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R:\Газпромнефть ГЕО\Блок снабжения и закупок\УИД\3. Инструменты УИД\Матрица УИД\Автомат\"/>
    </mc:Choice>
  </mc:AlternateContent>
  <bookViews>
    <workbookView xWindow="0" yWindow="0" windowWidth="49920" windowHeight="11400" activeTab="1"/>
  </bookViews>
  <sheets>
    <sheet name="Лист1" sheetId="2" r:id="rId1"/>
    <sheet name="Газпромнефть-ГЕО, ООО" sheetId="1" r:id="rId2"/>
  </sheets>
  <definedNames>
    <definedName name="_xlnm._FilterDatabase" localSheetId="1" hidden="1">'Газпромнефть-ГЕО, ООО'!$A$1:$DI$2952</definedName>
  </definedNames>
  <calcPr calcId="162913"/>
  <pivotCaches>
    <pivotCache cacheId="5" r:id="rId3"/>
  </pivotCaches>
</workbook>
</file>

<file path=xl/calcChain.xml><?xml version="1.0" encoding="utf-8"?>
<calcChain xmlns="http://schemas.openxmlformats.org/spreadsheetml/2006/main">
  <c r="AS2952" i="1" l="1"/>
  <c r="AS2951" i="1"/>
  <c r="AS2950" i="1"/>
  <c r="AS2949" i="1"/>
  <c r="AS2948" i="1"/>
  <c r="AS2947" i="1"/>
  <c r="AS2946" i="1"/>
  <c r="AS2945" i="1"/>
  <c r="AS2944" i="1"/>
  <c r="AS2943" i="1"/>
  <c r="AS2942" i="1"/>
  <c r="AS2941" i="1"/>
  <c r="AS2940" i="1"/>
  <c r="AS2939" i="1"/>
  <c r="AS2938" i="1"/>
  <c r="AS2937" i="1"/>
  <c r="AS2936" i="1"/>
  <c r="AS2935" i="1"/>
  <c r="AS2934" i="1"/>
  <c r="AS2933" i="1"/>
  <c r="AS2932" i="1"/>
  <c r="AS2931" i="1"/>
  <c r="AS2930" i="1"/>
  <c r="AS2929" i="1"/>
  <c r="AS2928" i="1"/>
  <c r="AS2927" i="1"/>
  <c r="AS2926" i="1"/>
  <c r="AS2925" i="1"/>
  <c r="AS2924" i="1"/>
  <c r="AS2923" i="1"/>
  <c r="AS2922" i="1"/>
  <c r="AS2921" i="1"/>
  <c r="AS2920" i="1"/>
  <c r="AS2919" i="1"/>
  <c r="AS2918" i="1"/>
  <c r="AS2917" i="1"/>
  <c r="AS2916" i="1"/>
  <c r="AS2915" i="1"/>
  <c r="AS2914" i="1"/>
  <c r="AS2913" i="1"/>
  <c r="AS2912" i="1"/>
  <c r="AS2911" i="1"/>
  <c r="AS2910" i="1"/>
  <c r="AS2909" i="1"/>
  <c r="AS2908" i="1"/>
  <c r="AS2907" i="1"/>
  <c r="AS2906" i="1"/>
  <c r="AS2905" i="1"/>
  <c r="AS2904" i="1"/>
  <c r="AS2903" i="1"/>
  <c r="AS2902" i="1"/>
  <c r="AS2901" i="1"/>
  <c r="AS2900" i="1"/>
  <c r="AS2899" i="1"/>
  <c r="AS2898" i="1"/>
  <c r="AS2897" i="1"/>
  <c r="AS2896" i="1"/>
  <c r="AS2895" i="1"/>
  <c r="AS2894" i="1"/>
  <c r="AS2893" i="1"/>
  <c r="AS2892" i="1"/>
  <c r="AS2891" i="1"/>
  <c r="AS2890" i="1"/>
  <c r="AS2889" i="1"/>
  <c r="AS2888" i="1"/>
  <c r="AS2887" i="1"/>
  <c r="AS2886" i="1"/>
  <c r="AS2885" i="1"/>
  <c r="AS2884" i="1"/>
  <c r="AS2883" i="1"/>
  <c r="AS2882" i="1"/>
  <c r="AS2881" i="1"/>
  <c r="AS2880" i="1"/>
  <c r="AS2879" i="1"/>
  <c r="AS2878" i="1"/>
  <c r="AS2877" i="1"/>
  <c r="AS2876" i="1"/>
  <c r="AS2875" i="1"/>
  <c r="AS2874" i="1"/>
  <c r="AS2873" i="1"/>
  <c r="AS2872" i="1"/>
  <c r="AS2871" i="1"/>
  <c r="AS2870" i="1"/>
  <c r="AS2869" i="1"/>
  <c r="AS2868" i="1"/>
  <c r="AS2867" i="1"/>
  <c r="AS2866" i="1"/>
  <c r="AS2865" i="1"/>
  <c r="AS2864" i="1"/>
  <c r="AS2863" i="1"/>
  <c r="AS2862" i="1"/>
  <c r="AS2861" i="1"/>
  <c r="AS2860" i="1"/>
  <c r="AS2859" i="1"/>
  <c r="AS2858" i="1"/>
  <c r="AS2857" i="1"/>
  <c r="AS2856" i="1"/>
  <c r="AS2855" i="1"/>
  <c r="AS2854" i="1"/>
  <c r="AS2853" i="1"/>
  <c r="AS2852" i="1"/>
  <c r="AS2851" i="1"/>
  <c r="AS2850" i="1"/>
  <c r="AS2849" i="1"/>
  <c r="AS2848" i="1"/>
  <c r="AS2847" i="1"/>
  <c r="AS2846" i="1"/>
  <c r="AS2845" i="1"/>
  <c r="AS2844" i="1"/>
  <c r="AS2843" i="1"/>
  <c r="AS2842" i="1"/>
  <c r="AS2841" i="1"/>
  <c r="AS2840" i="1"/>
  <c r="AS2839" i="1"/>
  <c r="AS2838" i="1"/>
  <c r="AS2837" i="1"/>
  <c r="AS2836" i="1"/>
  <c r="AS2835" i="1"/>
  <c r="AS2834" i="1"/>
  <c r="AS2833" i="1"/>
  <c r="AS2832" i="1"/>
  <c r="AS2831" i="1"/>
  <c r="AS2830" i="1"/>
  <c r="AS2829" i="1"/>
  <c r="AS2828" i="1"/>
  <c r="AS2827" i="1"/>
  <c r="AS2826" i="1"/>
  <c r="AS2825" i="1"/>
  <c r="AS2824" i="1"/>
  <c r="AS2823" i="1"/>
  <c r="AS2822" i="1"/>
  <c r="AS2821" i="1"/>
  <c r="AS2820" i="1"/>
  <c r="AS2819" i="1"/>
  <c r="AS2818" i="1"/>
  <c r="AS2817" i="1"/>
  <c r="AS2816" i="1"/>
  <c r="AS2815" i="1"/>
  <c r="AS2814" i="1"/>
  <c r="AS2813" i="1"/>
  <c r="AS2812" i="1"/>
  <c r="AS2811" i="1"/>
  <c r="AS2810" i="1"/>
  <c r="AS2809" i="1"/>
  <c r="AS2808" i="1"/>
  <c r="AS2807" i="1"/>
  <c r="AS2806" i="1"/>
  <c r="AS2805" i="1"/>
  <c r="AS2804" i="1"/>
  <c r="AS2803" i="1"/>
  <c r="AS2802" i="1"/>
  <c r="AS2801" i="1"/>
  <c r="AS2800" i="1"/>
  <c r="AS2799" i="1"/>
  <c r="AS2798" i="1"/>
  <c r="AS2797" i="1"/>
  <c r="AS2796" i="1"/>
  <c r="AS2795" i="1"/>
  <c r="AS2794" i="1"/>
  <c r="AS2793" i="1"/>
  <c r="AS2792" i="1"/>
  <c r="AS2791" i="1"/>
  <c r="AS2790" i="1"/>
  <c r="AS2789" i="1"/>
  <c r="AS2788" i="1"/>
  <c r="AS2787" i="1"/>
  <c r="AS2786" i="1"/>
  <c r="AS2785" i="1"/>
  <c r="AS2784" i="1"/>
  <c r="AS2783" i="1"/>
  <c r="AS2782" i="1"/>
  <c r="AS2781" i="1"/>
  <c r="AS2780" i="1"/>
  <c r="AS2779" i="1"/>
  <c r="AS2778" i="1"/>
  <c r="AS2777" i="1"/>
  <c r="AS2776" i="1"/>
  <c r="AS2775" i="1"/>
  <c r="AS2774" i="1"/>
  <c r="AS2773" i="1"/>
  <c r="AS2772" i="1"/>
  <c r="AS2771" i="1"/>
  <c r="AS2770" i="1"/>
  <c r="AS2769" i="1"/>
  <c r="AS2768" i="1"/>
  <c r="AS2767" i="1"/>
  <c r="AS2766" i="1"/>
  <c r="AS2765" i="1"/>
  <c r="AS2764" i="1"/>
  <c r="AS2763" i="1"/>
  <c r="AS2762" i="1"/>
  <c r="AS2761" i="1"/>
  <c r="AS2760" i="1"/>
  <c r="AS2759" i="1"/>
  <c r="AS2758" i="1"/>
  <c r="AS2757" i="1"/>
  <c r="AS2756" i="1"/>
  <c r="AS2755" i="1"/>
  <c r="AS2754" i="1"/>
  <c r="AS2753" i="1"/>
  <c r="AS2752" i="1"/>
  <c r="AS2751" i="1"/>
  <c r="AS2750" i="1"/>
  <c r="AS2749" i="1"/>
  <c r="AS2748" i="1"/>
  <c r="AS2747" i="1"/>
  <c r="AS2746" i="1"/>
  <c r="AS2745" i="1"/>
  <c r="AS2744" i="1"/>
  <c r="AS2743" i="1"/>
  <c r="AS2742" i="1"/>
  <c r="AS2741" i="1"/>
  <c r="AS2740" i="1"/>
  <c r="AS2739" i="1"/>
  <c r="AS2738" i="1"/>
  <c r="AS2737" i="1"/>
  <c r="AS2736" i="1"/>
  <c r="AS2735" i="1"/>
  <c r="AS2734" i="1"/>
  <c r="AS2733" i="1"/>
  <c r="AS2732" i="1"/>
  <c r="AS2731" i="1"/>
  <c r="AS2730" i="1"/>
  <c r="AS2729" i="1"/>
  <c r="AS2728" i="1"/>
  <c r="AS2727" i="1"/>
  <c r="AS2726" i="1"/>
  <c r="AS2725" i="1"/>
  <c r="AS2724" i="1"/>
  <c r="AS2723" i="1"/>
  <c r="AS2722" i="1"/>
  <c r="AS2721" i="1"/>
  <c r="AS2720" i="1"/>
  <c r="AS2719" i="1"/>
  <c r="AS2718" i="1"/>
  <c r="AS2717" i="1"/>
  <c r="AS2716" i="1"/>
  <c r="AS2715" i="1"/>
  <c r="AS2714" i="1"/>
  <c r="AS2713" i="1"/>
  <c r="AS2712" i="1"/>
  <c r="AS2711" i="1"/>
  <c r="AS2710" i="1"/>
  <c r="AS2709" i="1"/>
  <c r="AS2708" i="1"/>
  <c r="AS2707" i="1"/>
  <c r="AS2706" i="1"/>
  <c r="AS2705" i="1"/>
  <c r="AS2704" i="1"/>
  <c r="AS2703" i="1"/>
  <c r="AS2702" i="1"/>
  <c r="AS2701" i="1"/>
  <c r="AS2700" i="1"/>
  <c r="AS2699" i="1"/>
  <c r="AS2698" i="1"/>
  <c r="AS2697" i="1"/>
  <c r="AS2696" i="1"/>
  <c r="AS2695" i="1"/>
  <c r="AS2694" i="1"/>
  <c r="AS2693" i="1"/>
  <c r="AS2692" i="1"/>
  <c r="AS2691" i="1"/>
  <c r="AS2690" i="1"/>
  <c r="AS2689" i="1"/>
  <c r="AS2688" i="1"/>
  <c r="AS2687" i="1"/>
  <c r="AS2686" i="1"/>
  <c r="AS2685" i="1"/>
  <c r="AS2684" i="1"/>
  <c r="AS2683" i="1"/>
  <c r="AS2682" i="1"/>
  <c r="AS2681" i="1"/>
  <c r="AS2680" i="1"/>
  <c r="AS2679" i="1"/>
  <c r="AS2678" i="1"/>
  <c r="AS2677" i="1"/>
  <c r="AS2676" i="1"/>
  <c r="AS2675" i="1"/>
  <c r="AS2674" i="1"/>
  <c r="AS2673" i="1"/>
  <c r="AS2672" i="1"/>
  <c r="AS2671" i="1"/>
  <c r="AS2670" i="1"/>
  <c r="AS2669" i="1"/>
  <c r="AS2668" i="1"/>
  <c r="AS2667" i="1"/>
  <c r="AS2666" i="1"/>
  <c r="AS2665" i="1"/>
  <c r="AS2664" i="1"/>
  <c r="AS2663" i="1"/>
  <c r="AS2662" i="1"/>
  <c r="AS2661" i="1"/>
  <c r="AS2660" i="1"/>
  <c r="AS2659" i="1"/>
  <c r="AS2658" i="1"/>
  <c r="AS2657" i="1"/>
  <c r="AS2656" i="1"/>
  <c r="AS2655" i="1"/>
  <c r="AS2654" i="1"/>
  <c r="AS2653" i="1"/>
  <c r="AS2652" i="1"/>
  <c r="AS2651" i="1"/>
  <c r="AS2650" i="1"/>
  <c r="AS2649" i="1"/>
  <c r="AS2648" i="1"/>
  <c r="AS2647" i="1"/>
  <c r="AS2646" i="1"/>
  <c r="AS2645" i="1"/>
  <c r="AS2644" i="1"/>
  <c r="AS2643" i="1"/>
  <c r="AS2642" i="1"/>
  <c r="AS2641" i="1"/>
  <c r="AS2640" i="1"/>
  <c r="AS2639" i="1"/>
  <c r="AS2638" i="1"/>
  <c r="AS2637" i="1"/>
  <c r="AS2636" i="1"/>
  <c r="AS2635" i="1"/>
  <c r="AS2634" i="1"/>
  <c r="AS2633" i="1"/>
  <c r="AS2632" i="1"/>
  <c r="AS2631" i="1"/>
  <c r="AS2630" i="1"/>
  <c r="AS2629" i="1"/>
  <c r="AS2628" i="1"/>
  <c r="AS2627" i="1"/>
  <c r="AS2626" i="1"/>
  <c r="AS2625" i="1"/>
  <c r="AS2624" i="1"/>
  <c r="AS2623" i="1"/>
  <c r="AS2622" i="1"/>
  <c r="AS2621" i="1"/>
  <c r="AS2620" i="1"/>
  <c r="AS2619" i="1"/>
  <c r="AS2618" i="1"/>
  <c r="AS1348" i="1"/>
  <c r="AS2079" i="1"/>
  <c r="AS1345" i="1"/>
  <c r="AS2084" i="1"/>
  <c r="AS1566" i="1"/>
  <c r="AS2078" i="1"/>
  <c r="AS1565" i="1"/>
  <c r="AS1984" i="1"/>
  <c r="AS1422" i="1"/>
  <c r="AS2059" i="1"/>
  <c r="AS1363" i="1"/>
  <c r="AS2043" i="1"/>
  <c r="AS1371" i="1"/>
  <c r="AS2090" i="1"/>
  <c r="AS1372" i="1"/>
  <c r="AS2076" i="1"/>
  <c r="AS1342" i="1"/>
  <c r="AS2077" i="1"/>
  <c r="AS1362" i="1"/>
  <c r="AS2075" i="1"/>
  <c r="AS1350" i="1"/>
  <c r="AS126" i="1"/>
  <c r="AS1347" i="1"/>
  <c r="AS2089" i="1"/>
  <c r="AS2074" i="1"/>
  <c r="AS2083" i="1"/>
  <c r="AS1276" i="1"/>
  <c r="AS1352" i="1"/>
  <c r="AS2099" i="1"/>
  <c r="AS1361" i="1"/>
  <c r="AS1360" i="1"/>
  <c r="AS1359" i="1"/>
  <c r="AS1370" i="1"/>
  <c r="AS1983" i="1"/>
  <c r="AS1373" i="1"/>
  <c r="AS2073" i="1"/>
  <c r="AS1369" i="1"/>
  <c r="AS2058" i="1"/>
  <c r="AS1349" i="1"/>
  <c r="AS1358" i="1"/>
  <c r="AS1697" i="1"/>
  <c r="AS2082" i="1"/>
  <c r="AS1351" i="1"/>
  <c r="AS2098" i="1"/>
  <c r="AS1378" i="1"/>
  <c r="AS2072" i="1"/>
  <c r="AS1377" i="1"/>
  <c r="AS2088" i="1"/>
  <c r="AS1463" i="1"/>
  <c r="AS2057" i="1"/>
  <c r="AS1440" i="1"/>
  <c r="AS2038" i="1"/>
  <c r="AS1357" i="1"/>
  <c r="AS2087" i="1"/>
  <c r="AS1356" i="1"/>
  <c r="AS2097" i="1"/>
  <c r="AS2105" i="1"/>
  <c r="AS1368" i="1"/>
  <c r="AS2159" i="1"/>
  <c r="AS1376" i="1"/>
  <c r="AS2056" i="1"/>
  <c r="AS1355" i="1"/>
  <c r="AS2119" i="1"/>
  <c r="AS1375" i="1"/>
  <c r="AS2055" i="1"/>
  <c r="AS1385" i="1"/>
  <c r="AS2096" i="1"/>
  <c r="AS1354" i="1"/>
  <c r="AS1384" i="1"/>
  <c r="AS2044" i="1"/>
  <c r="AS1383" i="1"/>
  <c r="AS2071" i="1"/>
  <c r="AS1399" i="1"/>
  <c r="AS2070" i="1"/>
  <c r="AS1398" i="1"/>
  <c r="AS2086" i="1"/>
  <c r="AS2069" i="1"/>
  <c r="AS2091" i="1"/>
  <c r="AS1353" i="1"/>
  <c r="AS2158" i="1"/>
  <c r="AS1431" i="1"/>
  <c r="AS1393" i="1"/>
  <c r="AS2222" i="1"/>
  <c r="AS1379" i="1"/>
  <c r="AS1367" i="1"/>
  <c r="AS1386" i="1"/>
  <c r="AS1382" i="1"/>
  <c r="AS1392" i="1"/>
  <c r="AS2085" i="1"/>
  <c r="AS1374" i="1"/>
  <c r="AS1421" i="1"/>
  <c r="AS2109" i="1"/>
  <c r="AS1420" i="1"/>
  <c r="AS2118" i="1"/>
  <c r="AS1419" i="1"/>
  <c r="AS2104" i="1"/>
  <c r="AS1388" i="1"/>
  <c r="AS2103" i="1"/>
  <c r="AS1418" i="1"/>
  <c r="AS2127" i="1"/>
  <c r="AS1417" i="1"/>
  <c r="AS2117" i="1"/>
  <c r="AS1397" i="1"/>
  <c r="AS2102" i="1"/>
  <c r="AS1396" i="1"/>
  <c r="AS2121" i="1"/>
  <c r="AS1381" i="1"/>
  <c r="AS2101" i="1"/>
  <c r="AS1346" i="1"/>
  <c r="AS1416" i="1"/>
  <c r="AS2095" i="1"/>
  <c r="AS2116" i="1"/>
  <c r="AS1380" i="1"/>
  <c r="AS2081" i="1"/>
  <c r="AS1433" i="1"/>
  <c r="AS2080" i="1"/>
  <c r="AS1415" i="1"/>
  <c r="AS125" i="1"/>
  <c r="AS1414" i="1"/>
  <c r="AS2133" i="1"/>
  <c r="AS1413" i="1"/>
  <c r="AS2165" i="1"/>
  <c r="AS1412" i="1"/>
  <c r="AS2094" i="1"/>
  <c r="AS1411" i="1"/>
  <c r="AS2143" i="1"/>
  <c r="AS1410" i="1"/>
  <c r="AS2115" i="1"/>
  <c r="AS1409" i="1"/>
  <c r="AS1408" i="1"/>
  <c r="AS2181" i="1"/>
  <c r="AS1343" i="1"/>
  <c r="AS1407" i="1"/>
  <c r="AS1406" i="1"/>
  <c r="AS1993" i="1"/>
  <c r="AS1394" i="1"/>
  <c r="AS124" i="1"/>
  <c r="AS1387" i="1"/>
  <c r="AS1430" i="1"/>
  <c r="AS2122" i="1"/>
  <c r="AS1427" i="1"/>
  <c r="AS123" i="1"/>
  <c r="AS1391" i="1"/>
  <c r="AS2124" i="1"/>
  <c r="AS1426" i="1"/>
  <c r="AS2093" i="1"/>
  <c r="AS1395" i="1"/>
  <c r="AS2126" i="1"/>
  <c r="AS1425" i="1"/>
  <c r="AS2172" i="1"/>
  <c r="AS1344" i="1"/>
  <c r="AS1467" i="1"/>
  <c r="AS2125" i="1"/>
  <c r="AS1486" i="1"/>
  <c r="AS1405" i="1"/>
  <c r="AS2157" i="1"/>
  <c r="AS1438" i="1"/>
  <c r="AS2129" i="1"/>
  <c r="AS1404" i="1"/>
  <c r="AS2132" i="1"/>
  <c r="AS1437" i="1"/>
  <c r="AS2131" i="1"/>
  <c r="AS1403" i="1"/>
  <c r="AS2130" i="1"/>
  <c r="AS1444" i="1"/>
  <c r="AS2128" i="1"/>
  <c r="AS1436" i="1"/>
  <c r="AS2100" i="1"/>
  <c r="AS1459" i="1"/>
  <c r="AS1458" i="1"/>
  <c r="AS1429" i="1"/>
  <c r="AS2114" i="1"/>
  <c r="AS1402" i="1"/>
  <c r="AS2142" i="1"/>
  <c r="AS1401" i="1"/>
  <c r="AS2156" i="1"/>
  <c r="AS1366" i="1"/>
  <c r="AS1365" i="1"/>
  <c r="AS1390" i="1"/>
  <c r="AS1389" i="1"/>
  <c r="AS1424" i="1"/>
  <c r="AS1432" i="1"/>
  <c r="AS1443" i="1"/>
  <c r="AS2136" i="1"/>
  <c r="AS1449" i="1"/>
  <c r="AS122" i="1"/>
  <c r="AS1448" i="1"/>
  <c r="AS2113" i="1"/>
  <c r="AS121" i="1"/>
  <c r="AS2134" i="1"/>
  <c r="AS2108" i="1"/>
  <c r="AS2135" i="1"/>
  <c r="AS2120" i="1"/>
  <c r="AS2141" i="1"/>
  <c r="AS642" i="1"/>
  <c r="AS2112" i="1"/>
  <c r="AS641" i="1"/>
  <c r="AS1447" i="1"/>
  <c r="AS2144" i="1"/>
  <c r="AS640" i="1"/>
  <c r="AS1446" i="1"/>
  <c r="AS2244" i="1"/>
  <c r="AS120" i="1"/>
  <c r="AS1435" i="1"/>
  <c r="AS2176" i="1"/>
  <c r="AS119" i="1"/>
  <c r="AS1434" i="1"/>
  <c r="AS622" i="1"/>
  <c r="AS2155" i="1"/>
  <c r="AS669" i="1"/>
  <c r="AS1428" i="1"/>
  <c r="AS590" i="1"/>
  <c r="AS1442" i="1"/>
  <c r="AS2217" i="1"/>
  <c r="AS589" i="1"/>
  <c r="AS2216" i="1"/>
  <c r="AS639" i="1"/>
  <c r="AS1462" i="1"/>
  <c r="AS2324" i="1"/>
  <c r="AS588" i="1"/>
  <c r="AS1441" i="1"/>
  <c r="AS2323" i="1"/>
  <c r="AS638" i="1"/>
  <c r="AS1451" i="1"/>
  <c r="AS2154" i="1"/>
  <c r="AS611" i="1"/>
  <c r="AS1450" i="1"/>
  <c r="AS2153" i="1"/>
  <c r="AS659" i="1"/>
  <c r="AS1445" i="1"/>
  <c r="AS2164" i="1"/>
  <c r="AS623" i="1"/>
  <c r="AS1472" i="1"/>
  <c r="AS668" i="1"/>
  <c r="AS1457" i="1"/>
  <c r="AS2344" i="1"/>
  <c r="AS674" i="1"/>
  <c r="AS1456" i="1"/>
  <c r="AS667" i="1"/>
  <c r="AS2171" i="1"/>
  <c r="AS673" i="1"/>
  <c r="AS2163" i="1"/>
  <c r="AS637" i="1"/>
  <c r="AS1489" i="1"/>
  <c r="AS2140" i="1"/>
  <c r="AS618" i="1"/>
  <c r="AS1455" i="1"/>
  <c r="AS2170" i="1"/>
  <c r="AS666" i="1"/>
  <c r="AS1454" i="1"/>
  <c r="AS2169" i="1"/>
  <c r="AS625" i="1"/>
  <c r="AS1461" i="1"/>
  <c r="AS2168" i="1"/>
  <c r="AS658" i="1"/>
  <c r="AS1508" i="1"/>
  <c r="AS2175" i="1"/>
  <c r="AS2167" i="1"/>
  <c r="AS657" i="1"/>
  <c r="AS656" i="1"/>
  <c r="AS1475" i="1"/>
  <c r="AS655" i="1"/>
  <c r="AS1466" i="1"/>
  <c r="AS2190" i="1"/>
  <c r="AS624" i="1"/>
  <c r="AS689" i="1"/>
  <c r="AS2180" i="1"/>
  <c r="AS736" i="1"/>
  <c r="AS2166" i="1"/>
  <c r="AS636" i="1"/>
  <c r="AS1483" i="1"/>
  <c r="AS2152" i="1"/>
  <c r="AS694" i="1"/>
  <c r="AS1460" i="1"/>
  <c r="AS2174" i="1"/>
  <c r="AS1471" i="1"/>
  <c r="AS2610" i="1"/>
  <c r="AS684" i="1"/>
  <c r="AS1493" i="1"/>
  <c r="AS683" i="1"/>
  <c r="AS1487" i="1"/>
  <c r="AS654" i="1"/>
  <c r="AS1482" i="1"/>
  <c r="AS682" i="1"/>
  <c r="AS1474" i="1"/>
  <c r="AS681" i="1"/>
  <c r="AS1473" i="1"/>
  <c r="AS680" i="1"/>
  <c r="AS1453" i="1"/>
  <c r="AS2173" i="1"/>
  <c r="AS1481" i="1"/>
  <c r="AS2151" i="1"/>
  <c r="AS635" i="1"/>
  <c r="AS1480" i="1"/>
  <c r="AS2139" i="1"/>
  <c r="AS621" i="1"/>
  <c r="AS2162" i="1"/>
  <c r="AS653" i="1"/>
  <c r="AS2161" i="1"/>
  <c r="AS679" i="1"/>
  <c r="AS1477" i="1"/>
  <c r="AS634" i="1"/>
  <c r="AS1504" i="1"/>
  <c r="AS2179" i="1"/>
  <c r="AS687" i="1"/>
  <c r="AS633" i="1"/>
  <c r="AS1439" i="1"/>
  <c r="AS2178" i="1"/>
  <c r="AS1503" i="1"/>
  <c r="AS2177" i="1"/>
  <c r="AS632" i="1"/>
  <c r="AS1465" i="1"/>
  <c r="AS2186" i="1"/>
  <c r="AS631" i="1"/>
  <c r="AS1476" i="1"/>
  <c r="AS2150" i="1"/>
  <c r="AS712" i="1"/>
  <c r="AS1464" i="1"/>
  <c r="AS2107" i="1"/>
  <c r="AS686" i="1"/>
  <c r="AS1540" i="1"/>
  <c r="AS2194" i="1"/>
  <c r="AS539" i="1"/>
  <c r="AS2185" i="1"/>
  <c r="AS1470" i="1"/>
  <c r="AS652" i="1"/>
  <c r="AS651" i="1"/>
  <c r="AS620" i="1"/>
  <c r="AS1479" i="1"/>
  <c r="AS678" i="1"/>
  <c r="AS1469" i="1"/>
  <c r="AS118" i="1"/>
  <c r="AS677" i="1"/>
  <c r="AS1468" i="1"/>
  <c r="AS2184" i="1"/>
  <c r="AS672" i="1"/>
  <c r="AS2189" i="1"/>
  <c r="AS630" i="1"/>
  <c r="AS1494" i="1"/>
  <c r="AS2215" i="1"/>
  <c r="AS665" i="1"/>
  <c r="AS2123" i="1"/>
  <c r="AS763" i="1"/>
  <c r="AS1452" i="1"/>
  <c r="AS2193" i="1"/>
  <c r="AS693" i="1"/>
  <c r="AS2160" i="1"/>
  <c r="AS650" i="1"/>
  <c r="AS1502" i="1"/>
  <c r="AS2188" i="1"/>
  <c r="AS649" i="1"/>
  <c r="AS2253" i="1"/>
  <c r="AS619" i="1"/>
  <c r="AS1488" i="1"/>
  <c r="AS2292" i="1"/>
  <c r="AS117" i="1"/>
  <c r="AS1492" i="1"/>
  <c r="AS2192" i="1"/>
  <c r="AS685" i="1"/>
  <c r="AS2206" i="1"/>
  <c r="AS701" i="1"/>
  <c r="AS1511" i="1"/>
  <c r="AS2201" i="1"/>
  <c r="AS587" i="1"/>
  <c r="AS1510" i="1"/>
  <c r="AS2195" i="1"/>
  <c r="AS700" i="1"/>
  <c r="AS1262" i="1"/>
  <c r="AS2187" i="1"/>
  <c r="AS723" i="1"/>
  <c r="AS1485" i="1"/>
  <c r="AS676" i="1"/>
  <c r="AS1501" i="1"/>
  <c r="AS2221" i="1"/>
  <c r="AS617" i="1"/>
  <c r="AS1500" i="1"/>
  <c r="AS2197" i="1"/>
  <c r="AS711" i="1"/>
  <c r="AS1499" i="1"/>
  <c r="AS2183" i="1"/>
  <c r="AS751" i="1"/>
  <c r="AS1513" i="1"/>
  <c r="AS2200" i="1"/>
  <c r="AS648" i="1"/>
  <c r="AS2214" i="1"/>
  <c r="AS722" i="1"/>
  <c r="AS1539" i="1"/>
  <c r="AS2205" i="1"/>
  <c r="AS696" i="1"/>
  <c r="AS1484" i="1"/>
  <c r="AS647" i="1"/>
  <c r="AS1507" i="1"/>
  <c r="AS695" i="1"/>
  <c r="AS1495" i="1"/>
  <c r="AS1498" i="1"/>
  <c r="AS1512" i="1"/>
  <c r="AS2199" i="1"/>
  <c r="AS1555" i="1"/>
  <c r="AS2138" i="1"/>
  <c r="AS1522" i="1"/>
  <c r="AS2149" i="1"/>
  <c r="AS2213" i="1"/>
  <c r="AS692" i="1"/>
  <c r="AS1521" i="1"/>
  <c r="AS2204" i="1"/>
  <c r="AS1514" i="1"/>
  <c r="AS2230" i="1"/>
  <c r="AS707" i="1"/>
  <c r="AS1518" i="1"/>
  <c r="AS2203" i="1"/>
  <c r="AS706" i="1"/>
  <c r="AS1517" i="1"/>
  <c r="AS2202" i="1"/>
  <c r="AS710" i="1"/>
  <c r="AS1509" i="1"/>
  <c r="AS2251" i="1"/>
  <c r="AS688" i="1"/>
  <c r="AS1491" i="1"/>
  <c r="AS2196" i="1"/>
  <c r="AS699" i="1"/>
  <c r="AS698" i="1"/>
  <c r="AS1516" i="1"/>
  <c r="AS721" i="1"/>
  <c r="AS1523" i="1"/>
  <c r="AS713" i="1"/>
  <c r="AS1520" i="1"/>
  <c r="AS2137" i="1"/>
  <c r="AS720" i="1"/>
  <c r="AS1564" i="1"/>
  <c r="AS2289" i="1"/>
  <c r="AS671" i="1"/>
  <c r="AS1515" i="1"/>
  <c r="AS2212" i="1"/>
  <c r="AS646" i="1"/>
  <c r="AS1531" i="1"/>
  <c r="AS705" i="1"/>
  <c r="AS1563" i="1"/>
  <c r="AS2288" i="1"/>
  <c r="AS703" i="1"/>
  <c r="AS1497" i="1"/>
  <c r="AS2208" i="1"/>
  <c r="AS2211" i="1"/>
  <c r="AS1543" i="1"/>
  <c r="AS1963" i="1"/>
  <c r="AS116" i="1"/>
  <c r="AS1534" i="1"/>
  <c r="AS1533" i="1"/>
  <c r="AS1530" i="1"/>
  <c r="AS2238" i="1"/>
  <c r="AS1532" i="1"/>
  <c r="AS2237" i="1"/>
  <c r="AS1538" i="1"/>
  <c r="AS2236" i="1"/>
  <c r="AS2235" i="1"/>
  <c r="AS762" i="1"/>
  <c r="AS1519" i="1"/>
  <c r="AS2148" i="1"/>
  <c r="AS719" i="1"/>
  <c r="AS1535" i="1"/>
  <c r="AS2210" i="1"/>
  <c r="AS718" i="1"/>
  <c r="AS1554" i="1"/>
  <c r="AS702" i="1"/>
  <c r="AS1553" i="1"/>
  <c r="AS2287" i="1"/>
  <c r="AS1529" i="1"/>
  <c r="AS726" i="1"/>
  <c r="AS1537" i="1"/>
  <c r="AS2229" i="1"/>
  <c r="AS704" i="1"/>
  <c r="AS2243" i="1"/>
  <c r="AS2417" i="1"/>
  <c r="AS1528" i="1"/>
  <c r="AS2209" i="1"/>
  <c r="AS709" i="1"/>
  <c r="AS2228" i="1"/>
  <c r="AS1574" i="1"/>
  <c r="AS2234" i="1"/>
  <c r="AS725" i="1"/>
  <c r="AS1583" i="1"/>
  <c r="AS2227" i="1"/>
  <c r="AS727" i="1"/>
  <c r="AS1542" i="1"/>
  <c r="AS115" i="1"/>
  <c r="AS580" i="1"/>
  <c r="AS2220" i="1"/>
  <c r="AS2318" i="1"/>
  <c r="AS1552" i="1"/>
  <c r="AS737" i="1"/>
  <c r="AS1423" i="1"/>
  <c r="AS2242" i="1"/>
  <c r="AS1525" i="1"/>
  <c r="AS2068" i="1"/>
  <c r="AS645" i="1"/>
  <c r="AS1582" i="1"/>
  <c r="AS2226" i="1"/>
  <c r="AS761" i="1"/>
  <c r="AS1496" i="1"/>
  <c r="AS760" i="1"/>
  <c r="AS1581" i="1"/>
  <c r="AS2233" i="1"/>
  <c r="AS759" i="1"/>
  <c r="AS1536" i="1"/>
  <c r="AS2232" i="1"/>
  <c r="AS708" i="1"/>
  <c r="AS1551" i="1"/>
  <c r="AS2286" i="1"/>
  <c r="AS2616" i="1"/>
  <c r="AS1527" i="1"/>
  <c r="AS2231" i="1"/>
  <c r="AS717" i="1"/>
  <c r="AS1490" i="1"/>
  <c r="AS114" i="1"/>
  <c r="AS1562" i="1"/>
  <c r="AS2247" i="1"/>
  <c r="AS735" i="1"/>
  <c r="AS1526" i="1"/>
  <c r="AS2224" i="1"/>
  <c r="AS802" i="1"/>
  <c r="AS2241" i="1"/>
  <c r="AS716" i="1"/>
  <c r="AS1561" i="1"/>
  <c r="AS2223" i="1"/>
  <c r="AS811" i="1"/>
  <c r="AS1560" i="1"/>
  <c r="AS2225" i="1"/>
  <c r="AS691" i="1"/>
  <c r="AS1546" i="1"/>
  <c r="AS2182" i="1"/>
  <c r="AS715" i="1"/>
  <c r="AS724" i="1"/>
  <c r="AS1545" i="1"/>
  <c r="AS2252" i="1"/>
  <c r="AS734" i="1"/>
  <c r="AS2246" i="1"/>
  <c r="AS733" i="1"/>
  <c r="AS1559" i="1"/>
  <c r="AS2207" i="1"/>
  <c r="AS758" i="1"/>
  <c r="AS1629" i="1"/>
  <c r="AS2285" i="1"/>
  <c r="AS113" i="1"/>
  <c r="AS2255" i="1"/>
  <c r="AS714" i="1"/>
  <c r="AS1558" i="1"/>
  <c r="AS2240" i="1"/>
  <c r="AS2335" i="1"/>
  <c r="AS750" i="1"/>
  <c r="AS2284" i="1"/>
  <c r="AS757" i="1"/>
  <c r="AS1550" i="1"/>
  <c r="AS2250" i="1"/>
  <c r="AS749" i="1"/>
  <c r="AS112" i="1"/>
  <c r="AS748" i="1"/>
  <c r="AS1524" i="1"/>
  <c r="AS747" i="1"/>
  <c r="AS1731" i="1"/>
  <c r="AS2268" i="1"/>
  <c r="AS746" i="1"/>
  <c r="AS1597" i="1"/>
  <c r="AS745" i="1"/>
  <c r="AS1544" i="1"/>
  <c r="AS744" i="1"/>
  <c r="AS1573" i="1"/>
  <c r="AS2262" i="1"/>
  <c r="AS743" i="1"/>
  <c r="AS2042" i="1"/>
  <c r="AS2219" i="1"/>
  <c r="AS742" i="1"/>
  <c r="AS1628" i="1"/>
  <c r="AS2218" i="1"/>
  <c r="AS770" i="1"/>
  <c r="AS1549" i="1"/>
  <c r="AS2239" i="1"/>
  <c r="AS1580" i="1"/>
  <c r="AS2261" i="1"/>
  <c r="AS1596" i="1"/>
  <c r="AS2260" i="1"/>
  <c r="AS1595" i="1"/>
  <c r="AS2254" i="1"/>
  <c r="AS741" i="1"/>
  <c r="AS1594" i="1"/>
  <c r="AS2267" i="1"/>
  <c r="AS1579" i="1"/>
  <c r="AS2249" i="1"/>
  <c r="AS732" i="1"/>
  <c r="AS1547" i="1"/>
  <c r="AS2259" i="1"/>
  <c r="AS740" i="1"/>
  <c r="AS1571" i="1"/>
  <c r="AS2258" i="1"/>
  <c r="AS731" i="1"/>
  <c r="AS1578" i="1"/>
  <c r="AS2245" i="1"/>
  <c r="AS756" i="1"/>
  <c r="AS1570" i="1"/>
  <c r="AS2257" i="1"/>
  <c r="AS769" i="1"/>
  <c r="AS1569" i="1"/>
  <c r="AS2283" i="1"/>
  <c r="AS690" i="1"/>
  <c r="AS1577" i="1"/>
  <c r="AS2275" i="1"/>
  <c r="AS729" i="1"/>
  <c r="AS2277" i="1"/>
  <c r="AS755" i="1"/>
  <c r="AS1584" i="1"/>
  <c r="AS754" i="1"/>
  <c r="AS1506" i="1"/>
  <c r="AS2274" i="1"/>
  <c r="AS1576" i="1"/>
  <c r="AS2276" i="1"/>
  <c r="AS789" i="1"/>
  <c r="AS1505" i="1"/>
  <c r="AS768" i="1"/>
  <c r="AS1609" i="1"/>
  <c r="AS765" i="1"/>
  <c r="AS1575" i="1"/>
  <c r="AS2280" i="1"/>
  <c r="AS764" i="1"/>
  <c r="AS2273" i="1"/>
  <c r="AS767" i="1"/>
  <c r="AS1586" i="1"/>
  <c r="AS2279" i="1"/>
  <c r="AS730" i="1"/>
  <c r="AS2266" i="1"/>
  <c r="AS739" i="1"/>
  <c r="AS2291" i="1"/>
  <c r="AS774" i="1"/>
  <c r="AS1568" i="1"/>
  <c r="AS670" i="1"/>
  <c r="AS111" i="1"/>
  <c r="AS2265" i="1"/>
  <c r="AS753" i="1"/>
  <c r="AS1599" i="1"/>
  <c r="AS2272" i="1"/>
  <c r="AS775" i="1"/>
  <c r="AS1585" i="1"/>
  <c r="AS2271" i="1"/>
  <c r="AS773" i="1"/>
  <c r="AS1548" i="1"/>
  <c r="AS2270" i="1"/>
  <c r="AS752" i="1"/>
  <c r="AS1572" i="1"/>
  <c r="AS2264" i="1"/>
  <c r="AS728" i="1"/>
  <c r="AS1593" i="1"/>
  <c r="AS2278" i="1"/>
  <c r="AS777" i="1"/>
  <c r="AS1541" i="1"/>
  <c r="AS2282" i="1"/>
  <c r="AS1592" i="1"/>
  <c r="AS766" i="1"/>
  <c r="AS1644" i="1"/>
  <c r="AS776" i="1"/>
  <c r="AS1557" i="1"/>
  <c r="AS2294" i="1"/>
  <c r="AS772" i="1"/>
  <c r="AS1605" i="1"/>
  <c r="AS2295" i="1"/>
  <c r="AS1589" i="1"/>
  <c r="AS2281" i="1"/>
  <c r="AS771" i="1"/>
  <c r="AS1604" i="1"/>
  <c r="AS2263" i="1"/>
  <c r="AS788" i="1"/>
  <c r="AS1603" i="1"/>
  <c r="AS2387" i="1"/>
  <c r="AS2300" i="1"/>
  <c r="AS820" i="1"/>
  <c r="AS1602" i="1"/>
  <c r="AS804" i="1"/>
  <c r="AS1556" i="1"/>
  <c r="AS2297" i="1"/>
  <c r="AS110" i="1"/>
  <c r="AS2343" i="1"/>
  <c r="AS1598" i="1"/>
  <c r="AS2309" i="1"/>
  <c r="AS1810" i="1"/>
  <c r="AS2308" i="1"/>
  <c r="AS109" i="1"/>
  <c r="AS1608" i="1"/>
  <c r="AS2307" i="1"/>
  <c r="AS586" i="1"/>
  <c r="AS1606" i="1"/>
  <c r="AS2293" i="1"/>
  <c r="AS792" i="1"/>
  <c r="AS2306" i="1"/>
  <c r="AS791" i="1"/>
  <c r="AS2305" i="1"/>
  <c r="AS807" i="1"/>
  <c r="AS1601" i="1"/>
  <c r="AS2303" i="1"/>
  <c r="AS790" i="1"/>
  <c r="AS1616" i="1"/>
  <c r="AS2334" i="1"/>
  <c r="AS787" i="1"/>
  <c r="AS1600" i="1"/>
  <c r="AS801" i="1"/>
  <c r="AS1615" i="1"/>
  <c r="AS2296" i="1"/>
  <c r="AS782" i="1"/>
  <c r="AS2299" i="1"/>
  <c r="AS803" i="1"/>
  <c r="AS1614" i="1"/>
  <c r="AS2314" i="1"/>
  <c r="AS800" i="1"/>
  <c r="AS1643" i="1"/>
  <c r="AS2310" i="1"/>
  <c r="AS799" i="1"/>
  <c r="AS1642" i="1"/>
  <c r="AS2248" i="1"/>
  <c r="AS781" i="1"/>
  <c r="AS1641" i="1"/>
  <c r="AS780" i="1"/>
  <c r="AS1613" i="1"/>
  <c r="AS128" i="1"/>
  <c r="AS798" i="1"/>
  <c r="AS1612" i="1"/>
  <c r="AS1591" i="1"/>
  <c r="AS2365" i="1"/>
  <c r="AS108" i="1"/>
  <c r="AS797" i="1"/>
  <c r="AS1611" i="1"/>
  <c r="AS2312" i="1"/>
  <c r="AS1610" i="1"/>
  <c r="AS2298" i="1"/>
  <c r="AS432" i="1"/>
  <c r="AS796" i="1"/>
  <c r="AS1627" i="1"/>
  <c r="AS2302" i="1"/>
  <c r="AS107" i="1"/>
  <c r="AS779" i="1"/>
  <c r="AS2301" i="1"/>
  <c r="AS106" i="1"/>
  <c r="AS795" i="1"/>
  <c r="AS105" i="1"/>
  <c r="AS794" i="1"/>
  <c r="AS2313" i="1"/>
  <c r="AS130" i="1"/>
  <c r="AS808" i="1"/>
  <c r="AS1626" i="1"/>
  <c r="AS2357" i="1"/>
  <c r="AS129" i="1"/>
  <c r="AS806" i="1"/>
  <c r="AS1632" i="1"/>
  <c r="AS2317" i="1"/>
  <c r="AS134" i="1"/>
  <c r="AS104" i="1"/>
  <c r="AS2256" i="1"/>
  <c r="AS103" i="1"/>
  <c r="AS805" i="1"/>
  <c r="AS1640" i="1"/>
  <c r="AS2316" i="1"/>
  <c r="AS102" i="1"/>
  <c r="AS101" i="1"/>
  <c r="AS1631" i="1"/>
  <c r="AS2320" i="1"/>
  <c r="AS172" i="1"/>
  <c r="AS1400" i="1"/>
  <c r="AS100" i="1"/>
  <c r="AS793" i="1"/>
  <c r="AS99" i="1"/>
  <c r="AS142" i="1"/>
  <c r="AS138" i="1"/>
  <c r="AS818" i="1"/>
  <c r="AS1633" i="1"/>
  <c r="AS135" i="1"/>
  <c r="AS1696" i="1"/>
  <c r="AS2304" i="1"/>
  <c r="AS131" i="1"/>
  <c r="AS778" i="1"/>
  <c r="AS2311" i="1"/>
  <c r="AS786" i="1"/>
  <c r="AS1625" i="1"/>
  <c r="AS127" i="1"/>
  <c r="AS832" i="1"/>
  <c r="AS132" i="1"/>
  <c r="AS819" i="1"/>
  <c r="AS2325" i="1"/>
  <c r="AS842" i="1"/>
  <c r="AS2339" i="1"/>
  <c r="AS150" i="1"/>
  <c r="AS831" i="1"/>
  <c r="AS1639" i="1"/>
  <c r="AS2338" i="1"/>
  <c r="AS147" i="1"/>
  <c r="AS835" i="1"/>
  <c r="AS1624" i="1"/>
  <c r="AS146" i="1"/>
  <c r="AS810" i="1"/>
  <c r="AS145" i="1"/>
  <c r="AS834" i="1"/>
  <c r="AS1623" i="1"/>
  <c r="AS144" i="1"/>
  <c r="AS1648" i="1"/>
  <c r="AS143" i="1"/>
  <c r="AS830" i="1"/>
  <c r="AS1622" i="1"/>
  <c r="AS2290" i="1"/>
  <c r="AS137" i="1"/>
  <c r="AS822" i="1"/>
  <c r="AS1621" i="1"/>
  <c r="AS98" i="1"/>
  <c r="AS154" i="1"/>
  <c r="AS675" i="1"/>
  <c r="AS1638" i="1"/>
  <c r="AS2333" i="1"/>
  <c r="AS141" i="1"/>
  <c r="AS817" i="1"/>
  <c r="AS2337" i="1"/>
  <c r="AS156" i="1"/>
  <c r="AS816" i="1"/>
  <c r="AS1620" i="1"/>
  <c r="AS2336" i="1"/>
  <c r="AS158" i="1"/>
  <c r="AS815" i="1"/>
  <c r="AS2332" i="1"/>
  <c r="AS829" i="1"/>
  <c r="AS348" i="1"/>
  <c r="AS738" i="1"/>
  <c r="AS2331" i="1"/>
  <c r="AS140" i="1"/>
  <c r="AS828" i="1"/>
  <c r="AS2350" i="1"/>
  <c r="AS139" i="1"/>
  <c r="AS827" i="1"/>
  <c r="AS171" i="1"/>
  <c r="AS821" i="1"/>
  <c r="AS161" i="1"/>
  <c r="AS814" i="1"/>
  <c r="AS2330" i="1"/>
  <c r="AS170" i="1"/>
  <c r="AS826" i="1"/>
  <c r="AS1607" i="1"/>
  <c r="AS2342" i="1"/>
  <c r="AS169" i="1"/>
  <c r="AS825" i="1"/>
  <c r="AS2322" i="1"/>
  <c r="AS153" i="1"/>
  <c r="AS813" i="1"/>
  <c r="AS2353" i="1"/>
  <c r="AS149" i="1"/>
  <c r="AS833" i="1"/>
  <c r="AS1647" i="1"/>
  <c r="AS151" i="1"/>
  <c r="AS812" i="1"/>
  <c r="AS2349" i="1"/>
  <c r="AS179" i="1"/>
  <c r="AS1710" i="1"/>
  <c r="AS2346" i="1"/>
  <c r="AS175" i="1"/>
  <c r="AS1646" i="1"/>
  <c r="AS168" i="1"/>
  <c r="AS838" i="1"/>
  <c r="AS2319" i="1"/>
  <c r="AS155" i="1"/>
  <c r="AS844" i="1"/>
  <c r="AS2145" i="1"/>
  <c r="AS174" i="1"/>
  <c r="AS2269" i="1"/>
  <c r="AS148" i="1"/>
  <c r="AS97" i="1"/>
  <c r="AS96" i="1"/>
  <c r="AS785" i="1"/>
  <c r="AS95" i="1"/>
  <c r="AS160" i="1"/>
  <c r="AS824" i="1"/>
  <c r="AS2329" i="1"/>
  <c r="AS167" i="1"/>
  <c r="AS784" i="1"/>
  <c r="AS2371" i="1"/>
  <c r="AS180" i="1"/>
  <c r="AS872" i="1"/>
  <c r="AS1619" i="1"/>
  <c r="AS2352" i="1"/>
  <c r="AS166" i="1"/>
  <c r="AS837" i="1"/>
  <c r="AS2370" i="1"/>
  <c r="AS94" i="1"/>
  <c r="AS93" i="1"/>
  <c r="AS1709" i="1"/>
  <c r="AS2356" i="1"/>
  <c r="AS165" i="1"/>
  <c r="AS92" i="1"/>
  <c r="AS1650" i="1"/>
  <c r="AS2409" i="1"/>
  <c r="AS839" i="1"/>
  <c r="AS1618" i="1"/>
  <c r="AS91" i="1"/>
  <c r="AS851" i="1"/>
  <c r="AS1669" i="1"/>
  <c r="AS2362" i="1"/>
  <c r="AS2361" i="1"/>
  <c r="AS850" i="1"/>
  <c r="AS1660" i="1"/>
  <c r="AS2373" i="1"/>
  <c r="AS157" i="1"/>
  <c r="AS849" i="1"/>
  <c r="AS1649" i="1"/>
  <c r="AS178" i="1"/>
  <c r="AS809" i="1"/>
  <c r="AS1653" i="1"/>
  <c r="AS90" i="1"/>
  <c r="AS89" i="1"/>
  <c r="AS88" i="1"/>
  <c r="AS87" i="1"/>
  <c r="AS847" i="1"/>
  <c r="AS1637" i="1"/>
  <c r="AS2341" i="1"/>
  <c r="AS86" i="1"/>
  <c r="AS854" i="1"/>
  <c r="AS1636" i="1"/>
  <c r="AS2340" i="1"/>
  <c r="AS85" i="1"/>
  <c r="AS697" i="1"/>
  <c r="AS1635" i="1"/>
  <c r="AS84" i="1"/>
  <c r="AS840" i="1"/>
  <c r="AS1704" i="1"/>
  <c r="AS83" i="1"/>
  <c r="AS845" i="1"/>
  <c r="AS82" i="1"/>
  <c r="AS846" i="1"/>
  <c r="AS81" i="1"/>
  <c r="AS848" i="1"/>
  <c r="AS2355" i="1"/>
  <c r="AS80" i="1"/>
  <c r="AS841" i="1"/>
  <c r="AS2348" i="1"/>
  <c r="AS79" i="1"/>
  <c r="AS836" i="1"/>
  <c r="AS78" i="1"/>
  <c r="AS2360" i="1"/>
  <c r="AS77" i="1"/>
  <c r="AS857" i="1"/>
  <c r="AS76" i="1"/>
  <c r="AS75" i="1"/>
  <c r="AS2359" i="1"/>
  <c r="AS74" i="1"/>
  <c r="AS1916" i="1"/>
  <c r="AS2351" i="1"/>
  <c r="AS177" i="1"/>
  <c r="AS853" i="1"/>
  <c r="AS1634" i="1"/>
  <c r="AS2386" i="1"/>
  <c r="AS176" i="1"/>
  <c r="AS823" i="1"/>
  <c r="AS1657" i="1"/>
  <c r="AS152" i="1"/>
  <c r="AS862" i="1"/>
  <c r="AS1741" i="1"/>
  <c r="AS2354" i="1"/>
  <c r="AS195" i="1"/>
  <c r="AS856" i="1"/>
  <c r="AS1364" i="1"/>
  <c r="AS73" i="1"/>
  <c r="AS72" i="1"/>
  <c r="AS859" i="1"/>
  <c r="AS1656" i="1"/>
  <c r="AS71" i="1"/>
  <c r="AS864" i="1"/>
  <c r="AS1719" i="1"/>
  <c r="AS70" i="1"/>
  <c r="AS866" i="1"/>
  <c r="AS1695" i="1"/>
  <c r="AS2347" i="1"/>
  <c r="AS69" i="1"/>
  <c r="AS860" i="1"/>
  <c r="AS1703" i="1"/>
  <c r="AS2364" i="1"/>
  <c r="AS68" i="1"/>
  <c r="AS861" i="1"/>
  <c r="AS1661" i="1"/>
  <c r="AS2321" i="1"/>
  <c r="AS67" i="1"/>
  <c r="AS858" i="1"/>
  <c r="AS1651" i="1"/>
  <c r="AS66" i="1"/>
  <c r="AS865" i="1"/>
  <c r="AS1652" i="1"/>
  <c r="AS2526" i="1"/>
  <c r="AS65" i="1"/>
  <c r="AS843" i="1"/>
  <c r="AS1694" i="1"/>
  <c r="AS2501" i="1"/>
  <c r="AS64" i="1"/>
  <c r="AS867" i="1"/>
  <c r="AS1766" i="1"/>
  <c r="AS63" i="1"/>
  <c r="AS876" i="1"/>
  <c r="AS1693" i="1"/>
  <c r="AS2328" i="1"/>
  <c r="AS62" i="1"/>
  <c r="AS863" i="1"/>
  <c r="AS1658" i="1"/>
  <c r="AS2358" i="1"/>
  <c r="AS61" i="1"/>
  <c r="AS1692" i="1"/>
  <c r="AS2315" i="1"/>
  <c r="AS880" i="1"/>
  <c r="AS2367" i="1"/>
  <c r="AS136" i="1"/>
  <c r="AS879" i="1"/>
  <c r="AS2474" i="1"/>
  <c r="AS182" i="1"/>
  <c r="AS855" i="1"/>
  <c r="AS1691" i="1"/>
  <c r="AS2345" i="1"/>
  <c r="AS181" i="1"/>
  <c r="AS868" i="1"/>
  <c r="AS1663" i="1"/>
  <c r="AS159" i="1"/>
  <c r="AS889" i="1"/>
  <c r="AS298" i="1"/>
  <c r="AS893" i="1"/>
  <c r="AS1662" i="1"/>
  <c r="AS2191" i="1"/>
  <c r="AS164" i="1"/>
  <c r="AS877" i="1"/>
  <c r="AS1659" i="1"/>
  <c r="AS60" i="1"/>
  <c r="AS163" i="1"/>
  <c r="AS878" i="1"/>
  <c r="AS2374" i="1"/>
  <c r="AS162" i="1"/>
  <c r="AS59" i="1"/>
  <c r="AS58" i="1"/>
  <c r="AS183" i="1"/>
  <c r="AS882" i="1"/>
  <c r="AS1668" i="1"/>
  <c r="AS57" i="1"/>
  <c r="AS194" i="1"/>
  <c r="AS881" i="1"/>
  <c r="AS1655" i="1"/>
  <c r="AS2372" i="1"/>
  <c r="AS184" i="1"/>
  <c r="AS888" i="1"/>
  <c r="AS1690" i="1"/>
  <c r="AS2363" i="1"/>
  <c r="AS190" i="1"/>
  <c r="AS871" i="1"/>
  <c r="AS1667" i="1"/>
  <c r="AS2574" i="1"/>
  <c r="AS187" i="1"/>
  <c r="AS887" i="1"/>
  <c r="AS1689" i="1"/>
  <c r="AS186" i="1"/>
  <c r="AS920" i="1"/>
  <c r="AS1688" i="1"/>
  <c r="AS193" i="1"/>
  <c r="AS897" i="1"/>
  <c r="AS1666" i="1"/>
  <c r="AS245" i="1"/>
  <c r="AS886" i="1"/>
  <c r="AS1670" i="1"/>
  <c r="AS2385" i="1"/>
  <c r="AS244" i="1"/>
  <c r="AS892" i="1"/>
  <c r="AS1687" i="1"/>
  <c r="AS2384" i="1"/>
  <c r="AS243" i="1"/>
  <c r="AS894" i="1"/>
  <c r="AS1590" i="1"/>
  <c r="AS2327" i="1"/>
  <c r="AS242" i="1"/>
  <c r="AS885" i="1"/>
  <c r="AS1686" i="1"/>
  <c r="AS241" i="1"/>
  <c r="AS2380" i="1"/>
  <c r="AS189" i="1"/>
  <c r="AS875" i="1"/>
  <c r="AS1685" i="1"/>
  <c r="AS2366" i="1"/>
  <c r="AS188" i="1"/>
  <c r="AS874" i="1"/>
  <c r="AS2379" i="1"/>
  <c r="AS873" i="1"/>
  <c r="AS2378" i="1"/>
  <c r="AS870" i="1"/>
  <c r="AS1684" i="1"/>
  <c r="AS2369" i="1"/>
  <c r="AS217" i="1"/>
  <c r="AS891" i="1"/>
  <c r="AS2613" i="1"/>
  <c r="AS2389" i="1"/>
  <c r="AS211" i="1"/>
  <c r="AS1683" i="1"/>
  <c r="AS2395" i="1"/>
  <c r="AS197" i="1"/>
  <c r="AS890" i="1"/>
  <c r="AS2368" i="1"/>
  <c r="AS208" i="1"/>
  <c r="AS905" i="1"/>
  <c r="AS224" i="1"/>
  <c r="AS56" i="1"/>
  <c r="AS1705" i="1"/>
  <c r="AS2612" i="1"/>
  <c r="AS216" i="1"/>
  <c r="AS911" i="1"/>
  <c r="AS1682" i="1"/>
  <c r="AS200" i="1"/>
  <c r="AS55" i="1"/>
  <c r="AS1681" i="1"/>
  <c r="AS2375" i="1"/>
  <c r="AS206" i="1"/>
  <c r="AS252" i="1"/>
  <c r="AS1699" i="1"/>
  <c r="AS2383" i="1"/>
  <c r="AS205" i="1"/>
  <c r="AS884" i="1"/>
  <c r="AS1702" i="1"/>
  <c r="AS185" i="1"/>
  <c r="AS906" i="1"/>
  <c r="AS1654" i="1"/>
  <c r="AS2436" i="1"/>
  <c r="AS223" i="1"/>
  <c r="AS901" i="1"/>
  <c r="AS1680" i="1"/>
  <c r="AS232" i="1"/>
  <c r="AS900" i="1"/>
  <c r="AS2400" i="1"/>
  <c r="AS199" i="1"/>
  <c r="AS883" i="1"/>
  <c r="AS215" i="1"/>
  <c r="AS54" i="1"/>
  <c r="AS1679" i="1"/>
  <c r="AS196" i="1"/>
  <c r="AS53" i="1"/>
  <c r="AS1678" i="1"/>
  <c r="AS214" i="1"/>
  <c r="AS904" i="1"/>
  <c r="AS209" i="1"/>
  <c r="AS903" i="1"/>
  <c r="AS202" i="1"/>
  <c r="AS902" i="1"/>
  <c r="AS2394" i="1"/>
  <c r="AS192" i="1"/>
  <c r="AS926" i="1"/>
  <c r="AS1698" i="1"/>
  <c r="AS2393" i="1"/>
  <c r="AS191" i="1"/>
  <c r="AS947" i="1"/>
  <c r="AS1677" i="1"/>
  <c r="AS2411" i="1"/>
  <c r="AS220" i="1"/>
  <c r="AS943" i="1"/>
  <c r="AS1676" i="1"/>
  <c r="AS2429" i="1"/>
  <c r="AS210" i="1"/>
  <c r="AS946" i="1"/>
  <c r="AS2487" i="1"/>
  <c r="AS228" i="1"/>
  <c r="AS1675" i="1"/>
  <c r="AS2406" i="1"/>
  <c r="AS207" i="1"/>
  <c r="AS899" i="1"/>
  <c r="AS227" i="1"/>
  <c r="AS896" i="1"/>
  <c r="AS2486" i="1"/>
  <c r="AS222" i="1"/>
  <c r="AS898" i="1"/>
  <c r="AS1617" i="1"/>
  <c r="AS2399" i="1"/>
  <c r="AS201" i="1"/>
  <c r="AS852" i="1"/>
  <c r="AS1776" i="1"/>
  <c r="AS173" i="1"/>
  <c r="AS52" i="1"/>
  <c r="AS1701" i="1"/>
  <c r="AS2382" i="1"/>
  <c r="AS221" i="1"/>
  <c r="AS869" i="1"/>
  <c r="AS1708" i="1"/>
  <c r="AS2392" i="1"/>
  <c r="AS219" i="1"/>
  <c r="AS908" i="1"/>
  <c r="AS1671" i="1"/>
  <c r="AS2405" i="1"/>
  <c r="AS925" i="1"/>
  <c r="AS2391" i="1"/>
  <c r="AS51" i="1"/>
  <c r="AS895" i="1"/>
  <c r="AS2404" i="1"/>
  <c r="AS237" i="1"/>
  <c r="AS910" i="1"/>
  <c r="AS226" i="1"/>
  <c r="AS909" i="1"/>
  <c r="AS1876" i="1"/>
  <c r="AS2403" i="1"/>
  <c r="AS218" i="1"/>
  <c r="AS928" i="1"/>
  <c r="AS1707" i="1"/>
  <c r="AS2390" i="1"/>
  <c r="AS225" i="1"/>
  <c r="AS919" i="1"/>
  <c r="AS1645" i="1"/>
  <c r="AS2458" i="1"/>
  <c r="AS233" i="1"/>
  <c r="AS942" i="1"/>
  <c r="AS2435" i="1"/>
  <c r="AS236" i="1"/>
  <c r="AS918" i="1"/>
  <c r="AS1674" i="1"/>
  <c r="AS2402" i="1"/>
  <c r="AS213" i="1"/>
  <c r="AS924" i="1"/>
  <c r="AS1716" i="1"/>
  <c r="AS2401" i="1"/>
  <c r="AS907" i="1"/>
  <c r="AS1715" i="1"/>
  <c r="AS2408" i="1"/>
  <c r="AS932" i="1"/>
  <c r="AS1665" i="1"/>
  <c r="AS50" i="1"/>
  <c r="AS1714" i="1"/>
  <c r="AS2381" i="1"/>
  <c r="AS923" i="1"/>
  <c r="AS1717" i="1"/>
  <c r="AS2398" i="1"/>
  <c r="AS931" i="1"/>
  <c r="AS1775" i="1"/>
  <c r="AS2397" i="1"/>
  <c r="AS49" i="1"/>
  <c r="AS1875" i="1"/>
  <c r="AS2396" i="1"/>
  <c r="AS939" i="1"/>
  <c r="AS1718" i="1"/>
  <c r="AS922" i="1"/>
  <c r="AS1700" i="1"/>
  <c r="AS2428" i="1"/>
  <c r="AS938" i="1"/>
  <c r="AS1854" i="1"/>
  <c r="AS2416" i="1"/>
  <c r="AS231" i="1"/>
  <c r="AS917" i="1"/>
  <c r="AS1713" i="1"/>
  <c r="AS2415" i="1"/>
  <c r="AS133" i="1"/>
  <c r="AS921" i="1"/>
  <c r="AS1792" i="1"/>
  <c r="AS2611" i="1"/>
  <c r="AS253" i="1"/>
  <c r="AS48" i="1"/>
  <c r="AS1791" i="1"/>
  <c r="AS2608" i="1"/>
  <c r="AS992" i="1"/>
  <c r="AS1712" i="1"/>
  <c r="AS47" i="1"/>
  <c r="AS230" i="1"/>
  <c r="AS930" i="1"/>
  <c r="AS1711" i="1"/>
  <c r="AS936" i="1"/>
  <c r="AS1743" i="1"/>
  <c r="AS2420" i="1"/>
  <c r="AS264" i="1"/>
  <c r="AS945" i="1"/>
  <c r="AS1753" i="1"/>
  <c r="AS2377" i="1"/>
  <c r="AS240" i="1"/>
  <c r="AS2427" i="1"/>
  <c r="AS272" i="1"/>
  <c r="AS929" i="1"/>
  <c r="AS1723" i="1"/>
  <c r="AS2376" i="1"/>
  <c r="AS251" i="1"/>
  <c r="AS935" i="1"/>
  <c r="AS1740" i="1"/>
  <c r="AS2419" i="1"/>
  <c r="AS250" i="1"/>
  <c r="AS916" i="1"/>
  <c r="AS2430" i="1"/>
  <c r="AS198" i="1"/>
  <c r="AS915" i="1"/>
  <c r="AS1790" i="1"/>
  <c r="AS2426" i="1"/>
  <c r="AS256" i="1"/>
  <c r="AS914" i="1"/>
  <c r="AS1673" i="1"/>
  <c r="AS2425" i="1"/>
  <c r="AS46" i="1"/>
  <c r="AS927" i="1"/>
  <c r="AS1672" i="1"/>
  <c r="AS2414" i="1"/>
  <c r="AS259" i="1"/>
  <c r="AS940" i="1"/>
  <c r="AS1730" i="1"/>
  <c r="AS2198" i="1"/>
  <c r="AS941" i="1"/>
  <c r="AS1751" i="1"/>
  <c r="AS2434" i="1"/>
  <c r="AS249" i="1"/>
  <c r="AS913" i="1"/>
  <c r="AS1725" i="1"/>
  <c r="AS2433" i="1"/>
  <c r="AS255" i="1"/>
  <c r="AS948" i="1"/>
  <c r="AS1874" i="1"/>
  <c r="AS2407" i="1"/>
  <c r="AS258" i="1"/>
  <c r="AS937" i="1"/>
  <c r="AS1567" i="1"/>
  <c r="AS2418" i="1"/>
  <c r="AS235" i="1"/>
  <c r="AS1178" i="1"/>
  <c r="AS1729" i="1"/>
  <c r="AS297" i="1"/>
  <c r="AS934" i="1"/>
  <c r="AS2446" i="1"/>
  <c r="AS212" i="1"/>
  <c r="AS956" i="1"/>
  <c r="AS1739" i="1"/>
  <c r="AS248" i="1"/>
  <c r="AS944" i="1"/>
  <c r="AS1738" i="1"/>
  <c r="AS2424" i="1"/>
  <c r="AS261" i="1"/>
  <c r="AS955" i="1"/>
  <c r="AS1750" i="1"/>
  <c r="AS2423" i="1"/>
  <c r="AS45" i="1"/>
  <c r="AS949" i="1"/>
  <c r="AS1779" i="1"/>
  <c r="AS265" i="1"/>
  <c r="AS933" i="1"/>
  <c r="AS2422" i="1"/>
  <c r="AS239" i="1"/>
  <c r="AS965" i="1"/>
  <c r="AS247" i="1"/>
  <c r="AS964" i="1"/>
  <c r="AS2441" i="1"/>
  <c r="AS296" i="1"/>
  <c r="AS963" i="1"/>
  <c r="AS1587" i="1"/>
  <c r="AS2454" i="1"/>
  <c r="AS257" i="1"/>
  <c r="AS44" i="1"/>
  <c r="AS246" i="1"/>
  <c r="AS962" i="1"/>
  <c r="AS1721" i="1"/>
  <c r="AS2453" i="1"/>
  <c r="AS43" i="1"/>
  <c r="AS954" i="1"/>
  <c r="AS1728" i="1"/>
  <c r="AS2440" i="1"/>
  <c r="AS271" i="1"/>
  <c r="AS953" i="1"/>
  <c r="AS1727" i="1"/>
  <c r="AS2452" i="1"/>
  <c r="AS268" i="1"/>
  <c r="AS952" i="1"/>
  <c r="AS1748" i="1"/>
  <c r="AS254" i="1"/>
  <c r="AS951" i="1"/>
  <c r="AS2438" i="1"/>
  <c r="AS263" i="1"/>
  <c r="AS961" i="1"/>
  <c r="AS42" i="1"/>
  <c r="AS234" i="1"/>
  <c r="AS988" i="1"/>
  <c r="AS1747" i="1"/>
  <c r="AS2413" i="1"/>
  <c r="AS238" i="1"/>
  <c r="AS971" i="1"/>
  <c r="AS1746" i="1"/>
  <c r="AS2439" i="1"/>
  <c r="AS260" i="1"/>
  <c r="AS966" i="1"/>
  <c r="AS1749" i="1"/>
  <c r="AS270" i="1"/>
  <c r="AS958" i="1"/>
  <c r="AS41" i="1"/>
  <c r="AS275" i="1"/>
  <c r="AS957" i="1"/>
  <c r="AS1745" i="1"/>
  <c r="AS2445" i="1"/>
  <c r="AS274" i="1"/>
  <c r="AS912" i="1"/>
  <c r="AS1018" i="1"/>
  <c r="AS970" i="1"/>
  <c r="AS2432" i="1"/>
  <c r="AS269" i="1"/>
  <c r="AS969" i="1"/>
  <c r="AS2147" i="1"/>
  <c r="AS262" i="1"/>
  <c r="AS968" i="1"/>
  <c r="AS277" i="1"/>
  <c r="AS995" i="1"/>
  <c r="AS1742" i="1"/>
  <c r="AS279" i="1"/>
  <c r="AS975" i="1"/>
  <c r="AS1787" i="1"/>
  <c r="AS2457" i="1"/>
  <c r="AS229" i="1"/>
  <c r="AS974" i="1"/>
  <c r="AS1737" i="1"/>
  <c r="AS2410" i="1"/>
  <c r="AS276" i="1"/>
  <c r="AS973" i="1"/>
  <c r="AS2442" i="1"/>
  <c r="AS282" i="1"/>
  <c r="AS978" i="1"/>
  <c r="AS1744" i="1"/>
  <c r="AS2451" i="1"/>
  <c r="AS281" i="1"/>
  <c r="AS1027" i="1"/>
  <c r="AS1736" i="1"/>
  <c r="AS2388" i="1"/>
  <c r="AS950" i="1"/>
  <c r="AS1809" i="1"/>
  <c r="AS289" i="1"/>
  <c r="AS1000" i="1"/>
  <c r="AS1845" i="1"/>
  <c r="AS40" i="1"/>
  <c r="AS295" i="1"/>
  <c r="AS982" i="1"/>
  <c r="AS2437" i="1"/>
  <c r="AS287" i="1"/>
  <c r="AS977" i="1"/>
  <c r="AS2462" i="1"/>
  <c r="AS286" i="1"/>
  <c r="AS960" i="1"/>
  <c r="AS1735" i="1"/>
  <c r="AS280" i="1"/>
  <c r="AS981" i="1"/>
  <c r="AS1734" i="1"/>
  <c r="AS285" i="1"/>
  <c r="AS987" i="1"/>
  <c r="AS1720" i="1"/>
  <c r="AS284" i="1"/>
  <c r="AS1722" i="1"/>
  <c r="AS2431" i="1"/>
  <c r="AS283" i="1"/>
  <c r="AS993" i="1"/>
  <c r="AS1724" i="1"/>
  <c r="AS2444" i="1"/>
  <c r="AS39" i="1"/>
  <c r="AS994" i="1"/>
  <c r="AS2606" i="1"/>
  <c r="AS294" i="1"/>
  <c r="AS986" i="1"/>
  <c r="AS1760" i="1"/>
  <c r="AS2564" i="1"/>
  <c r="AS293" i="1"/>
  <c r="AS972" i="1"/>
  <c r="AS1759" i="1"/>
  <c r="AS2463" i="1"/>
  <c r="AS304" i="1"/>
  <c r="AS991" i="1"/>
  <c r="AS1758" i="1"/>
  <c r="AS2461" i="1"/>
  <c r="AS299" i="1"/>
  <c r="AS976" i="1"/>
  <c r="AS1774" i="1"/>
  <c r="AS2473" i="1"/>
  <c r="AS985" i="1"/>
  <c r="AS1752" i="1"/>
  <c r="AS2450" i="1"/>
  <c r="AS303" i="1"/>
  <c r="AS2449" i="1"/>
  <c r="AS967" i="1"/>
  <c r="AS2448" i="1"/>
  <c r="AS278" i="1"/>
  <c r="AS990" i="1"/>
  <c r="AS1733" i="1"/>
  <c r="AS2456" i="1"/>
  <c r="AS302" i="1"/>
  <c r="AS989" i="1"/>
  <c r="AS1726" i="1"/>
  <c r="AS2472" i="1"/>
  <c r="AS301" i="1"/>
  <c r="AS984" i="1"/>
  <c r="AS1732" i="1"/>
  <c r="AS2471" i="1"/>
  <c r="AS267" i="1"/>
  <c r="AS1044" i="1"/>
  <c r="AS1966" i="1"/>
  <c r="AS331" i="1"/>
  <c r="AS1003" i="1"/>
  <c r="AS1773" i="1"/>
  <c r="AS2412" i="1"/>
  <c r="AS330" i="1"/>
  <c r="AS315" i="1"/>
  <c r="AS999" i="1"/>
  <c r="AS314" i="1"/>
  <c r="AS38" i="1"/>
  <c r="AS1757" i="1"/>
  <c r="AS323" i="1"/>
  <c r="AS983" i="1"/>
  <c r="AS1756" i="1"/>
  <c r="AS308" i="1"/>
  <c r="AS980" i="1"/>
  <c r="AS273" i="1"/>
  <c r="AS979" i="1"/>
  <c r="AS1765" i="1"/>
  <c r="AS266" i="1"/>
  <c r="AS959" i="1"/>
  <c r="AS1002" i="1"/>
  <c r="AS1755" i="1"/>
  <c r="AS307" i="1"/>
  <c r="AS998" i="1"/>
  <c r="AS1772" i="1"/>
  <c r="AS37" i="1"/>
  <c r="AS36" i="1"/>
  <c r="AS997" i="1"/>
  <c r="AS1778" i="1"/>
  <c r="AS35" i="1"/>
  <c r="AS322" i="1"/>
  <c r="AS34" i="1"/>
  <c r="AS1754" i="1"/>
  <c r="AS33" i="1"/>
  <c r="AS1034" i="1"/>
  <c r="AS1706" i="1"/>
  <c r="AS32" i="1"/>
  <c r="AS1020" i="1"/>
  <c r="AS1799" i="1"/>
  <c r="AS321" i="1"/>
  <c r="AS1042" i="1"/>
  <c r="AS1798" i="1"/>
  <c r="AS318" i="1"/>
  <c r="AS1017" i="1"/>
  <c r="AS1811" i="1"/>
  <c r="AS288" i="1"/>
  <c r="AS1016" i="1"/>
  <c r="AS1771" i="1"/>
  <c r="AS327" i="1"/>
  <c r="AS1023" i="1"/>
  <c r="AS1786" i="1"/>
  <c r="AS2477" i="1"/>
  <c r="AS31" i="1"/>
  <c r="AS1041" i="1"/>
  <c r="AS1889" i="1"/>
  <c r="AS378" i="1"/>
  <c r="AS1022" i="1"/>
  <c r="AS1785" i="1"/>
  <c r="AS2476" i="1"/>
  <c r="AS333" i="1"/>
  <c r="AS1015" i="1"/>
  <c r="AS1784" i="1"/>
  <c r="AS2475" i="1"/>
  <c r="AS320" i="1"/>
  <c r="AS1014" i="1"/>
  <c r="AS1800" i="1"/>
  <c r="AS2604" i="1"/>
  <c r="AS306" i="1"/>
  <c r="AS1013" i="1"/>
  <c r="AS1808" i="1"/>
  <c r="AS324" i="1"/>
  <c r="AS1012" i="1"/>
  <c r="AS1767" i="1"/>
  <c r="AS317" i="1"/>
  <c r="AS1011" i="1"/>
  <c r="AS1783" i="1"/>
  <c r="AS2470" i="1"/>
  <c r="AS313" i="1"/>
  <c r="AS1010" i="1"/>
  <c r="AS2480" i="1"/>
  <c r="AS1009" i="1"/>
  <c r="AS2447" i="1"/>
  <c r="AS335" i="1"/>
  <c r="AS1008" i="1"/>
  <c r="AS1860" i="1"/>
  <c r="AS2469" i="1"/>
  <c r="AS337" i="1"/>
  <c r="AS1007" i="1"/>
  <c r="AS1770" i="1"/>
  <c r="AS2468" i="1"/>
  <c r="AS316" i="1"/>
  <c r="AS1006" i="1"/>
  <c r="AS1664" i="1"/>
  <c r="AS329" i="1"/>
  <c r="AS1040" i="1"/>
  <c r="AS1793" i="1"/>
  <c r="AS2479" i="1"/>
  <c r="AS336" i="1"/>
  <c r="AS1782" i="1"/>
  <c r="AS2467" i="1"/>
  <c r="AS334" i="1"/>
  <c r="AS1033" i="1"/>
  <c r="AS1797" i="1"/>
  <c r="AS2466" i="1"/>
  <c r="AS338" i="1"/>
  <c r="AS1039" i="1"/>
  <c r="AS1844" i="1"/>
  <c r="AS2465" i="1"/>
  <c r="AS357" i="1"/>
  <c r="AS1026" i="1"/>
  <c r="AS2018" i="1"/>
  <c r="AS328" i="1"/>
  <c r="AS1025" i="1"/>
  <c r="AS347" i="1"/>
  <c r="AS1001" i="1"/>
  <c r="AS1796" i="1"/>
  <c r="AS203" i="1"/>
  <c r="AS1032" i="1"/>
  <c r="AS1789" i="1"/>
  <c r="AS341" i="1"/>
  <c r="AS1066" i="1"/>
  <c r="AS1764" i="1"/>
  <c r="AS340" i="1"/>
  <c r="AS1031" i="1"/>
  <c r="AS349" i="1"/>
  <c r="AS1021" i="1"/>
  <c r="AS1763" i="1"/>
  <c r="AS300" i="1"/>
  <c r="AS1005" i="1"/>
  <c r="AS1762" i="1"/>
  <c r="AS332" i="1"/>
  <c r="AS1030" i="1"/>
  <c r="AS1807" i="1"/>
  <c r="AS350" i="1"/>
  <c r="AS1004" i="1"/>
  <c r="AS1806" i="1"/>
  <c r="AS346" i="1"/>
  <c r="AS1038" i="1"/>
  <c r="AS1805" i="1"/>
  <c r="AS1037" i="1"/>
  <c r="AS1804" i="1"/>
  <c r="AS1083" i="1"/>
  <c r="AS1036" i="1"/>
  <c r="AS1803" i="1"/>
  <c r="AS292" i="1"/>
  <c r="AS1029" i="1"/>
  <c r="AS352" i="1"/>
  <c r="AS1047" i="1"/>
  <c r="AS326" i="1"/>
  <c r="AS1082" i="1"/>
  <c r="AS351" i="1"/>
  <c r="AS1046" i="1"/>
  <c r="AS1019" i="1"/>
  <c r="AS362" i="1"/>
  <c r="AS319" i="1"/>
  <c r="AS1062" i="1"/>
  <c r="AS1802" i="1"/>
  <c r="AS30" i="1"/>
  <c r="AS1053" i="1"/>
  <c r="AS361" i="1"/>
  <c r="AS1052" i="1"/>
  <c r="AS1781" i="1"/>
  <c r="AS356" i="1"/>
  <c r="AS1028" i="1"/>
  <c r="AS360" i="1"/>
  <c r="AS1043" i="1"/>
  <c r="AS1801" i="1"/>
  <c r="AS355" i="1"/>
  <c r="AS1050" i="1"/>
  <c r="AS1813" i="1"/>
  <c r="AS325" i="1"/>
  <c r="AS1049" i="1"/>
  <c r="AS1788" i="1"/>
  <c r="AS359" i="1"/>
  <c r="AS29" i="1"/>
  <c r="AS1896" i="1"/>
  <c r="AS291" i="1"/>
  <c r="AS1035" i="1"/>
  <c r="AS290" i="1"/>
  <c r="AS1059" i="1"/>
  <c r="AS1821" i="1"/>
  <c r="AS369" i="1"/>
  <c r="AS1058" i="1"/>
  <c r="AS368" i="1"/>
  <c r="AS1048" i="1"/>
  <c r="AS1820" i="1"/>
  <c r="AS367" i="1"/>
  <c r="AS1055" i="1"/>
  <c r="AS1851" i="1"/>
  <c r="AS366" i="1"/>
  <c r="AS1099" i="1"/>
  <c r="AS2040" i="1"/>
  <c r="AS365" i="1"/>
  <c r="AS1056" i="1"/>
  <c r="AS1853" i="1"/>
  <c r="AS354" i="1"/>
  <c r="AS1061" i="1"/>
  <c r="AS28" i="1"/>
  <c r="AS345" i="1"/>
  <c r="AS1065" i="1"/>
  <c r="AS1858" i="1"/>
  <c r="AS371" i="1"/>
  <c r="AS1064" i="1"/>
  <c r="AS1818" i="1"/>
  <c r="AS1057" i="1"/>
  <c r="AS1795" i="1"/>
  <c r="AS344" i="1"/>
  <c r="AS1063" i="1"/>
  <c r="AS1817" i="1"/>
  <c r="AS1814" i="1"/>
  <c r="AS364" i="1"/>
  <c r="AS996" i="1"/>
  <c r="AS1816" i="1"/>
  <c r="AS373" i="1"/>
  <c r="AS1081" i="1"/>
  <c r="AS1815" i="1"/>
  <c r="AS370" i="1"/>
  <c r="AS1069" i="1"/>
  <c r="AS390" i="1"/>
  <c r="AS1090" i="1"/>
  <c r="AS1761" i="1"/>
  <c r="AS377" i="1"/>
  <c r="AS1089" i="1"/>
  <c r="AS1830" i="1"/>
  <c r="AS2464" i="1"/>
  <c r="AS376" i="1"/>
  <c r="AS1088" i="1"/>
  <c r="AS2455" i="1"/>
  <c r="AS375" i="1"/>
  <c r="AS1087" i="1"/>
  <c r="AS1824" i="1"/>
  <c r="AS379" i="1"/>
  <c r="AS2029" i="1"/>
  <c r="AS2485" i="1"/>
  <c r="AS381" i="1"/>
  <c r="AS1067" i="1"/>
  <c r="AS2510" i="1"/>
  <c r="AS389" i="1"/>
  <c r="AS1068" i="1"/>
  <c r="AS1918" i="1"/>
  <c r="AS2509" i="1"/>
  <c r="AS372" i="1"/>
  <c r="AS1080" i="1"/>
  <c r="AS2508" i="1"/>
  <c r="AS388" i="1"/>
  <c r="AS1079" i="1"/>
  <c r="AS1822" i="1"/>
  <c r="AS343" i="1"/>
  <c r="AS1086" i="1"/>
  <c r="AS2547" i="1"/>
  <c r="AS1085" i="1"/>
  <c r="AS1084" i="1"/>
  <c r="AS1777" i="1"/>
  <c r="AS2500" i="1"/>
  <c r="AS1110" i="1"/>
  <c r="AS1843" i="1"/>
  <c r="AS1078" i="1"/>
  <c r="AS1829" i="1"/>
  <c r="AS2615" i="1"/>
  <c r="AS27" i="1"/>
  <c r="AS1828" i="1"/>
  <c r="AS374" i="1"/>
  <c r="AS1095" i="1"/>
  <c r="AS1827" i="1"/>
  <c r="AS385" i="1"/>
  <c r="AS1077" i="1"/>
  <c r="AS1769" i="1"/>
  <c r="AS384" i="1"/>
  <c r="AS1098" i="1"/>
  <c r="AS1826" i="1"/>
  <c r="AS26" i="1"/>
  <c r="AS1076" i="1"/>
  <c r="AS1825" i="1"/>
  <c r="AS382" i="1"/>
  <c r="AS1024" i="1"/>
  <c r="AS1873" i="1"/>
  <c r="AS408" i="1"/>
  <c r="AS1109" i="1"/>
  <c r="AS1842" i="1"/>
  <c r="AS431" i="1"/>
  <c r="AS1097" i="1"/>
  <c r="AS1841" i="1"/>
  <c r="AS395" i="1"/>
  <c r="AS1096" i="1"/>
  <c r="AS1840" i="1"/>
  <c r="AS397" i="1"/>
  <c r="AS1075" i="1"/>
  <c r="AS1839" i="1"/>
  <c r="AS2484" i="1"/>
  <c r="AS383" i="1"/>
  <c r="AS1092" i="1"/>
  <c r="AS1838" i="1"/>
  <c r="AS2483" i="1"/>
  <c r="AS396" i="1"/>
  <c r="AS1094" i="1"/>
  <c r="AS1812" i="1"/>
  <c r="AS2482" i="1"/>
  <c r="AS394" i="1"/>
  <c r="AS1837" i="1"/>
  <c r="AS2491" i="1"/>
  <c r="AS393" i="1"/>
  <c r="AS1074" i="1"/>
  <c r="AS1836" i="1"/>
  <c r="AS2490" i="1"/>
  <c r="AS392" i="1"/>
  <c r="AS1073" i="1"/>
  <c r="AS1835" i="1"/>
  <c r="AS2525" i="1"/>
  <c r="AS391" i="1"/>
  <c r="AS1091" i="1"/>
  <c r="AS414" i="1"/>
  <c r="AS1100" i="1"/>
  <c r="AS1895" i="1"/>
  <c r="AS425" i="1"/>
  <c r="AS1108" i="1"/>
  <c r="AS309" i="1"/>
  <c r="AS1072" i="1"/>
  <c r="AS2489" i="1"/>
  <c r="AS407" i="1"/>
  <c r="AS1850" i="1"/>
  <c r="AS406" i="1"/>
  <c r="AS1107" i="1"/>
  <c r="AS1857" i="1"/>
  <c r="AS405" i="1"/>
  <c r="AS1106" i="1"/>
  <c r="AS1849" i="1"/>
  <c r="AS413" i="1"/>
  <c r="AS1104" i="1"/>
  <c r="AS1848" i="1"/>
  <c r="AS2499" i="1"/>
  <c r="AS412" i="1"/>
  <c r="AS1051" i="1"/>
  <c r="AS404" i="1"/>
  <c r="AS1054" i="1"/>
  <c r="AS430" i="1"/>
  <c r="AS1093" i="1"/>
  <c r="AS1834" i="1"/>
  <c r="AS421" i="1"/>
  <c r="AS1119" i="1"/>
  <c r="AS1894" i="1"/>
  <c r="AS420" i="1"/>
  <c r="AS1045" i="1"/>
  <c r="AS1819" i="1"/>
  <c r="AS419" i="1"/>
  <c r="AS1113" i="1"/>
  <c r="AS1794" i="1"/>
  <c r="AS2507" i="1"/>
  <c r="AS1103" i="1"/>
  <c r="AS2506" i="1"/>
  <c r="AS1872" i="1"/>
  <c r="AS2498" i="1"/>
  <c r="AS418" i="1"/>
  <c r="AS1102" i="1"/>
  <c r="AS1871" i="1"/>
  <c r="AS417" i="1"/>
  <c r="AS1112" i="1"/>
  <c r="AS1927" i="1"/>
  <c r="AS424" i="1"/>
  <c r="AS1060" i="1"/>
  <c r="AS1870" i="1"/>
  <c r="AS411" i="1"/>
  <c r="AS1115" i="1"/>
  <c r="AS1926" i="1"/>
  <c r="AS1114" i="1"/>
  <c r="AS1856" i="1"/>
  <c r="AS403" i="1"/>
  <c r="AS1138" i="1"/>
  <c r="AS1847" i="1"/>
  <c r="AS2595" i="1"/>
  <c r="AS402" i="1"/>
  <c r="AS1118" i="1"/>
  <c r="AS401" i="1"/>
  <c r="AS1137" i="1"/>
  <c r="AS1855" i="1"/>
  <c r="AS410" i="1"/>
  <c r="AS1101" i="1"/>
  <c r="AS1859" i="1"/>
  <c r="AS400" i="1"/>
  <c r="AS1071" i="1"/>
  <c r="AS1914" i="1"/>
  <c r="AS399" i="1"/>
  <c r="AS1117" i="1"/>
  <c r="AS1869" i="1"/>
  <c r="AS423" i="1"/>
  <c r="AS1070" i="1"/>
  <c r="AS1888" i="1"/>
  <c r="AS429" i="1"/>
  <c r="AS1132" i="1"/>
  <c r="AS1868" i="1"/>
  <c r="AS416" i="1"/>
  <c r="AS1120" i="1"/>
  <c r="AS398" i="1"/>
  <c r="AS1122" i="1"/>
  <c r="AS1867" i="1"/>
  <c r="AS415" i="1"/>
  <c r="AS1121" i="1"/>
  <c r="AS1887" i="1"/>
  <c r="AS437" i="1"/>
  <c r="AS1116" i="1"/>
  <c r="AS1886" i="1"/>
  <c r="AS436" i="1"/>
  <c r="AS1105" i="1"/>
  <c r="AS435" i="1"/>
  <c r="AS1125" i="1"/>
  <c r="AS1885" i="1"/>
  <c r="AS434" i="1"/>
  <c r="AS1141" i="1"/>
  <c r="AS1884" i="1"/>
  <c r="AS433" i="1"/>
  <c r="AS1131" i="1"/>
  <c r="AS1883" i="1"/>
  <c r="AS447" i="1"/>
  <c r="AS1145" i="1"/>
  <c r="AS1893" i="1"/>
  <c r="AS1142" i="1"/>
  <c r="AS1892" i="1"/>
  <c r="AS1124" i="1"/>
  <c r="AS339" i="1"/>
  <c r="AS1136" i="1"/>
  <c r="AS1866" i="1"/>
  <c r="AS25" i="1"/>
  <c r="AS2106" i="1"/>
  <c r="AS1150" i="1"/>
  <c r="AS1891" i="1"/>
  <c r="AS24" i="1"/>
  <c r="AS1823" i="1"/>
  <c r="AS409" i="1"/>
  <c r="AS23" i="1"/>
  <c r="AS1957" i="1"/>
  <c r="AS422" i="1"/>
  <c r="AS22" i="1"/>
  <c r="AS1882" i="1"/>
  <c r="AS477" i="1"/>
  <c r="AS1130" i="1"/>
  <c r="AS2617" i="1"/>
  <c r="AS204" i="1"/>
  <c r="AS1129" i="1"/>
  <c r="AS459" i="1"/>
  <c r="AS1128" i="1"/>
  <c r="AS1865" i="1"/>
  <c r="AS387" i="1"/>
  <c r="AS1135" i="1"/>
  <c r="AS1890" i="1"/>
  <c r="AS386" i="1"/>
  <c r="AS1127" i="1"/>
  <c r="AS1864" i="1"/>
  <c r="AS21" i="1"/>
  <c r="AS20" i="1"/>
  <c r="AS1902" i="1"/>
  <c r="AS446" i="1"/>
  <c r="AS1134" i="1"/>
  <c r="AS1909" i="1"/>
  <c r="AS441" i="1"/>
  <c r="AS1153" i="1"/>
  <c r="AS1906" i="1"/>
  <c r="AS342" i="1"/>
  <c r="AS1126" i="1"/>
  <c r="AS1905" i="1"/>
  <c r="AS438" i="1"/>
  <c r="AS1144" i="1"/>
  <c r="AS1904" i="1"/>
  <c r="AS445" i="1"/>
  <c r="AS1123" i="1"/>
  <c r="AS1833" i="1"/>
  <c r="AS458" i="1"/>
  <c r="AS1143" i="1"/>
  <c r="AS1863" i="1"/>
  <c r="AS358" i="1"/>
  <c r="AS1140" i="1"/>
  <c r="AS1832" i="1"/>
  <c r="AS440" i="1"/>
  <c r="AS1149" i="1"/>
  <c r="AS1852" i="1"/>
  <c r="AS466" i="1"/>
  <c r="AS2614" i="1"/>
  <c r="AS1908" i="1"/>
  <c r="AS444" i="1"/>
  <c r="AS1133" i="1"/>
  <c r="AS353" i="1"/>
  <c r="AS1152" i="1"/>
  <c r="AS2443" i="1"/>
  <c r="AS453" i="1"/>
  <c r="AS1160" i="1"/>
  <c r="AS452" i="1"/>
  <c r="AS1148" i="1"/>
  <c r="AS1915" i="1"/>
  <c r="AS2497" i="1"/>
  <c r="AS312" i="1"/>
  <c r="AS1151" i="1"/>
  <c r="AS2496" i="1"/>
  <c r="AS1161" i="1"/>
  <c r="AS2495" i="1"/>
  <c r="AS1159" i="1"/>
  <c r="AS1912" i="1"/>
  <c r="AS2494" i="1"/>
  <c r="AS1158" i="1"/>
  <c r="AS1903" i="1"/>
  <c r="AS19" i="1"/>
  <c r="AS1164" i="1"/>
  <c r="AS1911" i="1"/>
  <c r="AS305" i="1"/>
  <c r="AS1157" i="1"/>
  <c r="AS1881" i="1"/>
  <c r="AS2516" i="1"/>
  <c r="AS380" i="1"/>
  <c r="AS1172" i="1"/>
  <c r="AS1925" i="1"/>
  <c r="AS2515" i="1"/>
  <c r="AS311" i="1"/>
  <c r="AS1171" i="1"/>
  <c r="AS2514" i="1"/>
  <c r="AS468" i="1"/>
  <c r="AS1170" i="1"/>
  <c r="AS1910" i="1"/>
  <c r="AS2513" i="1"/>
  <c r="AS443" i="1"/>
  <c r="AS1162" i="1"/>
  <c r="AS1913" i="1"/>
  <c r="AS2488" i="1"/>
  <c r="AS442" i="1"/>
  <c r="AS1111" i="1"/>
  <c r="AS1862" i="1"/>
  <c r="AS2511" i="1"/>
  <c r="AS18" i="1"/>
  <c r="AS1156" i="1"/>
  <c r="AS509" i="1"/>
  <c r="AS1155" i="1"/>
  <c r="AS508" i="1"/>
  <c r="AS1175" i="1"/>
  <c r="AS1901" i="1"/>
  <c r="AS2505" i="1"/>
  <c r="AS451" i="1"/>
  <c r="AS1154" i="1"/>
  <c r="AS1956" i="1"/>
  <c r="AS2493" i="1"/>
  <c r="AS450" i="1"/>
  <c r="AS1182" i="1"/>
  <c r="AS1900" i="1"/>
  <c r="AS2504" i="1"/>
  <c r="AS470" i="1"/>
  <c r="AS1181" i="1"/>
  <c r="AS449" i="1"/>
  <c r="AS1174" i="1"/>
  <c r="AS1880" i="1"/>
  <c r="AS2492" i="1"/>
  <c r="AS310" i="1"/>
  <c r="AS1173" i="1"/>
  <c r="AS1879" i="1"/>
  <c r="AS2512" i="1"/>
  <c r="AS467" i="1"/>
  <c r="AS1177" i="1"/>
  <c r="AS1924" i="1"/>
  <c r="AS457" i="1"/>
  <c r="AS1147" i="1"/>
  <c r="AS1899" i="1"/>
  <c r="AS476" i="1"/>
  <c r="AS1179" i="1"/>
  <c r="AS1878" i="1"/>
  <c r="AS1146" i="1"/>
  <c r="AS1907" i="1"/>
  <c r="AS465" i="1"/>
  <c r="AS1339" i="1"/>
  <c r="AS1982" i="1"/>
  <c r="AS456" i="1"/>
  <c r="AS1169" i="1"/>
  <c r="AS1923" i="1"/>
  <c r="AS464" i="1"/>
  <c r="AS1168" i="1"/>
  <c r="AS463" i="1"/>
  <c r="AS1167" i="1"/>
  <c r="AS1981" i="1"/>
  <c r="AS17" i="1"/>
  <c r="AS1166" i="1"/>
  <c r="AS475" i="1"/>
  <c r="AS1165" i="1"/>
  <c r="AS2037" i="1"/>
  <c r="AS455" i="1"/>
  <c r="AS1949" i="1"/>
  <c r="AS472" i="1"/>
  <c r="AS1184" i="1"/>
  <c r="AS1930" i="1"/>
  <c r="AS462" i="1"/>
  <c r="AS1189" i="1"/>
  <c r="AS16" i="1"/>
  <c r="AS461" i="1"/>
  <c r="AS1176" i="1"/>
  <c r="AS507" i="1"/>
  <c r="AS1163" i="1"/>
  <c r="AS2002" i="1"/>
  <c r="AS483" i="1"/>
  <c r="AS1180" i="1"/>
  <c r="AS471" i="1"/>
  <c r="AS15" i="1"/>
  <c r="AS1921" i="1"/>
  <c r="AS478" i="1"/>
  <c r="AS1846" i="1"/>
  <c r="AS506" i="1"/>
  <c r="AS1216" i="1"/>
  <c r="AS1898" i="1"/>
  <c r="AS2594" i="1"/>
  <c r="AS460" i="1"/>
  <c r="AS1197" i="1"/>
  <c r="AS1922" i="1"/>
  <c r="AS482" i="1"/>
  <c r="AS1186" i="1"/>
  <c r="AS2518" i="1"/>
  <c r="AS428" i="1"/>
  <c r="AS1192" i="1"/>
  <c r="AS1877" i="1"/>
  <c r="AS2503" i="1"/>
  <c r="AS481" i="1"/>
  <c r="AS1191" i="1"/>
  <c r="AS1861" i="1"/>
  <c r="AS480" i="1"/>
  <c r="AS1929" i="1"/>
  <c r="AS2502" i="1"/>
  <c r="AS14" i="1"/>
  <c r="AS1188" i="1"/>
  <c r="AS1933" i="1"/>
  <c r="AS2538" i="1"/>
  <c r="AS427" i="1"/>
  <c r="AS13" i="1"/>
  <c r="AS2536" i="1"/>
  <c r="AS448" i="1"/>
  <c r="AS1190" i="1"/>
  <c r="AS1920" i="1"/>
  <c r="AS2478" i="1"/>
  <c r="AS487" i="1"/>
  <c r="AS1139" i="1"/>
  <c r="AS1932" i="1"/>
  <c r="AS2517" i="1"/>
  <c r="AS486" i="1"/>
  <c r="AS1213" i="1"/>
  <c r="AS2014" i="1"/>
  <c r="AS2524" i="1"/>
  <c r="AS479" i="1"/>
  <c r="AS1202" i="1"/>
  <c r="AS485" i="1"/>
  <c r="AS1212" i="1"/>
  <c r="AS1897" i="1"/>
  <c r="AS2459" i="1"/>
  <c r="AS499" i="1"/>
  <c r="AS1215" i="1"/>
  <c r="AS1935" i="1"/>
  <c r="AS2523" i="1"/>
  <c r="AS1211" i="1"/>
  <c r="AS1931" i="1"/>
  <c r="AS2522" i="1"/>
  <c r="AS469" i="1"/>
  <c r="AS1329" i="1"/>
  <c r="AS1955" i="1"/>
  <c r="AS2531" i="1"/>
  <c r="AS454" i="1"/>
  <c r="AS1328" i="1"/>
  <c r="AS2013" i="1"/>
  <c r="AS2529" i="1"/>
  <c r="AS484" i="1"/>
  <c r="AS1478" i="1"/>
  <c r="AS474" i="1"/>
  <c r="AS1210" i="1"/>
  <c r="AS2528" i="1"/>
  <c r="AS1183" i="1"/>
  <c r="AS1954" i="1"/>
  <c r="AS491" i="1"/>
  <c r="AS1209" i="1"/>
  <c r="AS1768" i="1"/>
  <c r="AS2519" i="1"/>
  <c r="AS498" i="1"/>
  <c r="AS1195" i="1"/>
  <c r="AS1928" i="1"/>
  <c r="AS2530" i="1"/>
  <c r="AS1282" i="1"/>
  <c r="AS1917" i="1"/>
  <c r="AS2540" i="1"/>
  <c r="AS490" i="1"/>
  <c r="AS1194" i="1"/>
  <c r="AS1939" i="1"/>
  <c r="AS2543" i="1"/>
  <c r="AS504" i="1"/>
  <c r="AS1245" i="1"/>
  <c r="AS1938" i="1"/>
  <c r="AS497" i="1"/>
  <c r="AS1187" i="1"/>
  <c r="AS1941" i="1"/>
  <c r="AS2521" i="1"/>
  <c r="AS496" i="1"/>
  <c r="AS1271" i="1"/>
  <c r="AS2520" i="1"/>
  <c r="AS495" i="1"/>
  <c r="AS1208" i="1"/>
  <c r="AS1990" i="1"/>
  <c r="AS505" i="1"/>
  <c r="AS1204" i="1"/>
  <c r="AS1944" i="1"/>
  <c r="AS494" i="1"/>
  <c r="AS1196" i="1"/>
  <c r="AS1943" i="1"/>
  <c r="AS2542" i="1"/>
  <c r="AS489" i="1"/>
  <c r="AS1219" i="1"/>
  <c r="AS2033" i="1"/>
  <c r="AS2535" i="1"/>
  <c r="AS493" i="1"/>
  <c r="AS1201" i="1"/>
  <c r="AS503" i="1"/>
  <c r="AS1207" i="1"/>
  <c r="AS1947" i="1"/>
  <c r="AS2534" i="1"/>
  <c r="AS502" i="1"/>
  <c r="AS1206" i="1"/>
  <c r="AS1946" i="1"/>
  <c r="AS2533" i="1"/>
  <c r="AS492" i="1"/>
  <c r="AS1205" i="1"/>
  <c r="AS1945" i="1"/>
  <c r="AS2481" i="1"/>
  <c r="AS473" i="1"/>
  <c r="AS1193" i="1"/>
  <c r="AS2012" i="1"/>
  <c r="AS2537" i="1"/>
  <c r="AS488" i="1"/>
  <c r="AS1200" i="1"/>
  <c r="AS1964" i="1"/>
  <c r="AS2532" i="1"/>
  <c r="AS510" i="1"/>
  <c r="AS1214" i="1"/>
  <c r="AS2421" i="1"/>
  <c r="AS511" i="1"/>
  <c r="AS1199" i="1"/>
  <c r="AS1948" i="1"/>
  <c r="AS516" i="1"/>
  <c r="AS1218" i="1"/>
  <c r="AS501" i="1"/>
  <c r="AS1217" i="1"/>
  <c r="AS2011" i="1"/>
  <c r="AS2553" i="1"/>
  <c r="AS514" i="1"/>
  <c r="AS1203" i="1"/>
  <c r="AS2460" i="1"/>
  <c r="AS1942" i="1"/>
  <c r="AS521" i="1"/>
  <c r="AS1226" i="1"/>
  <c r="AS1989" i="1"/>
  <c r="AS2576" i="1"/>
  <c r="AS500" i="1"/>
  <c r="AS1185" i="1"/>
  <c r="AS1937" i="1"/>
  <c r="AS1234" i="1"/>
  <c r="AS1936" i="1"/>
  <c r="AS1266" i="1"/>
  <c r="AS2545" i="1"/>
  <c r="AS513" i="1"/>
  <c r="AS1229" i="1"/>
  <c r="AS1962" i="1"/>
  <c r="AS2552" i="1"/>
  <c r="AS1228" i="1"/>
  <c r="AS1977" i="1"/>
  <c r="AS2569" i="1"/>
  <c r="AS512" i="1"/>
  <c r="AS1232" i="1"/>
  <c r="AS1961" i="1"/>
  <c r="AS2541" i="1"/>
  <c r="AS517" i="1"/>
  <c r="AS1227" i="1"/>
  <c r="AS12" i="1"/>
  <c r="AS524" i="1"/>
  <c r="AS1225" i="1"/>
  <c r="AS1940" i="1"/>
  <c r="AS2546" i="1"/>
  <c r="AS523" i="1"/>
  <c r="AS1953" i="1"/>
  <c r="AS2562" i="1"/>
  <c r="AS538" i="1"/>
  <c r="AS1244" i="1"/>
  <c r="AS1960" i="1"/>
  <c r="AS2555" i="1"/>
  <c r="AS529" i="1"/>
  <c r="AS1240" i="1"/>
  <c r="AS1959" i="1"/>
  <c r="AS2554" i="1"/>
  <c r="AS522" i="1"/>
  <c r="AS1239" i="1"/>
  <c r="AS1976" i="1"/>
  <c r="AS528" i="1"/>
  <c r="AS1231" i="1"/>
  <c r="AS1970" i="1"/>
  <c r="AS527" i="1"/>
  <c r="AS1230" i="1"/>
  <c r="AS1965" i="1"/>
  <c r="AS2326" i="1"/>
  <c r="AS526" i="1"/>
  <c r="AS1292" i="1"/>
  <c r="AS1952" i="1"/>
  <c r="AS525" i="1"/>
  <c r="AS1265" i="1"/>
  <c r="AS1969" i="1"/>
  <c r="AS530" i="1"/>
  <c r="AS1233" i="1"/>
  <c r="AS1249" i="1"/>
  <c r="AS2539" i="1"/>
  <c r="AS537" i="1"/>
  <c r="AS1246" i="1"/>
  <c r="AS11" i="1"/>
  <c r="AS363" i="1"/>
  <c r="AS1224" i="1"/>
  <c r="AS515" i="1"/>
  <c r="AS1238" i="1"/>
  <c r="AS1588" i="1"/>
  <c r="AS2561" i="1"/>
  <c r="AS10" i="1"/>
  <c r="AS1223" i="1"/>
  <c r="AS1968" i="1"/>
  <c r="AS520" i="1"/>
  <c r="AS1243" i="1"/>
  <c r="AS2006" i="1"/>
  <c r="AS2551" i="1"/>
  <c r="AS519" i="1"/>
  <c r="AS1958" i="1"/>
  <c r="AS2560" i="1"/>
  <c r="AS9" i="1"/>
  <c r="AS1237" i="1"/>
  <c r="AS1975" i="1"/>
  <c r="AS2573" i="1"/>
  <c r="AS536" i="1"/>
  <c r="AS1248" i="1"/>
  <c r="AS2017" i="1"/>
  <c r="AS535" i="1"/>
  <c r="AS1236" i="1"/>
  <c r="AS531" i="1"/>
  <c r="AS1235" i="1"/>
  <c r="AS1974" i="1"/>
  <c r="AS1251" i="1"/>
  <c r="AS1973" i="1"/>
  <c r="AS543" i="1"/>
  <c r="AS1222" i="1"/>
  <c r="AS1972" i="1"/>
  <c r="AS542" i="1"/>
  <c r="AS1256" i="1"/>
  <c r="AS2005" i="1"/>
  <c r="AS556" i="1"/>
  <c r="AS1255" i="1"/>
  <c r="AS2010" i="1"/>
  <c r="AS2563" i="1"/>
  <c r="AS541" i="1"/>
  <c r="AS1254" i="1"/>
  <c r="AS2550" i="1"/>
  <c r="AS426" i="1"/>
  <c r="AS1261" i="1"/>
  <c r="AS1967" i="1"/>
  <c r="AS2593" i="1"/>
  <c r="AS544" i="1"/>
  <c r="AS1253" i="1"/>
  <c r="AS1951" i="1"/>
  <c r="AS2559" i="1"/>
  <c r="AS1291" i="1"/>
  <c r="AS1971" i="1"/>
  <c r="AS2558" i="1"/>
  <c r="AS600" i="1"/>
  <c r="AS1242" i="1"/>
  <c r="AS2009" i="1"/>
  <c r="AS2575" i="1"/>
  <c r="AS540" i="1"/>
  <c r="AS552" i="1"/>
  <c r="AS1250" i="1"/>
  <c r="AS1919" i="1"/>
  <c r="AS2567" i="1"/>
  <c r="AS551" i="1"/>
  <c r="AS1260" i="1"/>
  <c r="AS1780" i="1"/>
  <c r="AS550" i="1"/>
  <c r="AS1198" i="1"/>
  <c r="AS555" i="1"/>
  <c r="AS1241" i="1"/>
  <c r="AS2601" i="1"/>
  <c r="AS2549" i="1"/>
  <c r="AS546" i="1"/>
  <c r="AS1259" i="1"/>
  <c r="AS2605" i="1"/>
  <c r="AS439" i="1"/>
  <c r="AS1252" i="1"/>
  <c r="AS2039" i="1"/>
  <c r="AS2568" i="1"/>
  <c r="AS549" i="1"/>
  <c r="AS1247" i="1"/>
  <c r="AS1988" i="1"/>
  <c r="AS2571" i="1"/>
  <c r="AS547" i="1"/>
  <c r="AS1269" i="1"/>
  <c r="AS1831" i="1"/>
  <c r="AS2572" i="1"/>
  <c r="AS534" i="1"/>
  <c r="AS1268" i="1"/>
  <c r="AS8" i="1"/>
  <c r="AS545" i="1"/>
  <c r="AS1992" i="1"/>
  <c r="AS2580" i="1"/>
  <c r="AS533" i="1"/>
  <c r="AS1258" i="1"/>
  <c r="AS1991" i="1"/>
  <c r="AS2599" i="1"/>
  <c r="AS1281" i="1"/>
  <c r="AS1996" i="1"/>
  <c r="AS554" i="1"/>
  <c r="AS1264" i="1"/>
  <c r="AS2557" i="1"/>
  <c r="AS559" i="1"/>
  <c r="AS1332" i="1"/>
  <c r="AS2021" i="1"/>
  <c r="AS564" i="1"/>
  <c r="AS1987" i="1"/>
  <c r="AS1267" i="1"/>
  <c r="AS1995" i="1"/>
  <c r="AS2556" i="1"/>
  <c r="AS578" i="1"/>
  <c r="AS2001" i="1"/>
  <c r="AS2570" i="1"/>
  <c r="AS553" i="1"/>
  <c r="AS1297" i="1"/>
  <c r="AS2054" i="1"/>
  <c r="AS2566" i="1"/>
  <c r="AS532" i="1"/>
  <c r="AS1263" i="1"/>
  <c r="AS2000" i="1"/>
  <c r="AS558" i="1"/>
  <c r="AS1280" i="1"/>
  <c r="AS2053" i="1"/>
  <c r="AS2592" i="1"/>
  <c r="AS548" i="1"/>
  <c r="AS1272" i="1"/>
  <c r="AS2052" i="1"/>
  <c r="AS2591" i="1"/>
  <c r="AS571" i="1"/>
  <c r="AS7" i="1"/>
  <c r="AS1980" i="1"/>
  <c r="AS570" i="1"/>
  <c r="AS1257" i="1"/>
  <c r="AS2565" i="1"/>
  <c r="AS562" i="1"/>
  <c r="AS2607" i="1"/>
  <c r="AS561" i="1"/>
  <c r="AS1283" i="1"/>
  <c r="AS557" i="1"/>
  <c r="AS1221" i="1"/>
  <c r="AS1999" i="1"/>
  <c r="AS2579" i="1"/>
  <c r="AS569" i="1"/>
  <c r="AS1307" i="1"/>
  <c r="AS1986" i="1"/>
  <c r="AS2578" i="1"/>
  <c r="AS568" i="1"/>
  <c r="AS1306" i="1"/>
  <c r="AS1985" i="1"/>
  <c r="AS567" i="1"/>
  <c r="AS1275" i="1"/>
  <c r="AS2035" i="1"/>
  <c r="AS583" i="1"/>
  <c r="AS1274" i="1"/>
  <c r="AS2016" i="1"/>
  <c r="AS2548" i="1"/>
  <c r="AS575" i="1"/>
  <c r="AS1273" i="1"/>
  <c r="AS1979" i="1"/>
  <c r="AS574" i="1"/>
  <c r="AS1287" i="1"/>
  <c r="AS582" i="1"/>
  <c r="AS1290" i="1"/>
  <c r="AS2004" i="1"/>
  <c r="AS581" i="1"/>
  <c r="AS1279" i="1"/>
  <c r="AS560" i="1"/>
  <c r="AS1304" i="1"/>
  <c r="AS1994" i="1"/>
  <c r="AS1296" i="1"/>
  <c r="AS2590" i="1"/>
  <c r="AS1289" i="1"/>
  <c r="AS2527" i="1"/>
  <c r="AS566" i="1"/>
  <c r="AS1295" i="1"/>
  <c r="AS2008" i="1"/>
  <c r="AS2598" i="1"/>
  <c r="AS563" i="1"/>
  <c r="AS1278" i="1"/>
  <c r="AS2067" i="1"/>
  <c r="AS6" i="1"/>
  <c r="AS1270" i="1"/>
  <c r="AS2015" i="1"/>
  <c r="AS518" i="1"/>
  <c r="AS573" i="1"/>
  <c r="AS1327" i="1"/>
  <c r="AS2051" i="1"/>
  <c r="AS572" i="1"/>
  <c r="AS1298" i="1"/>
  <c r="AS1978" i="1"/>
  <c r="AS577" i="1"/>
  <c r="AS1303" i="1"/>
  <c r="AS576" i="1"/>
  <c r="AS1302" i="1"/>
  <c r="AS2007" i="1"/>
  <c r="AS601" i="1"/>
  <c r="AS1301" i="1"/>
  <c r="AS1998" i="1"/>
  <c r="AS565" i="1"/>
  <c r="AS1300" i="1"/>
  <c r="AS2003" i="1"/>
  <c r="AS2577" i="1"/>
  <c r="AS596" i="1"/>
  <c r="AS1950" i="1"/>
  <c r="AS595" i="1"/>
  <c r="AS2020" i="1"/>
  <c r="AS664" i="1"/>
  <c r="AS1277" i="1"/>
  <c r="AS1934" i="1"/>
  <c r="AS2589" i="1"/>
  <c r="AS599" i="1"/>
  <c r="AS1299" i="1"/>
  <c r="AS2609" i="1"/>
  <c r="AS2588" i="1"/>
  <c r="AS585" i="1"/>
  <c r="AS1305" i="1"/>
  <c r="AS2060" i="1"/>
  <c r="AS598" i="1"/>
  <c r="AS1294" i="1"/>
  <c r="AS2034" i="1"/>
  <c r="AS663" i="1"/>
  <c r="AS1220" i="1"/>
  <c r="AS2050" i="1"/>
  <c r="AS579" i="1"/>
  <c r="AS1308" i="1"/>
  <c r="AS2587" i="1"/>
  <c r="AS597" i="1"/>
  <c r="AS1326" i="1"/>
  <c r="AS2066" i="1"/>
  <c r="AS2597" i="1"/>
  <c r="AS5" i="1"/>
  <c r="AS1325" i="1"/>
  <c r="AS2024" i="1"/>
  <c r="AS2586" i="1"/>
  <c r="AS629" i="1"/>
  <c r="AS1334" i="1"/>
  <c r="AS2032" i="1"/>
  <c r="AS2600" i="1"/>
  <c r="AS584" i="1"/>
  <c r="AS1319" i="1"/>
  <c r="AS2544" i="1"/>
  <c r="AS594" i="1"/>
  <c r="AS1286" i="1"/>
  <c r="AS2585" i="1"/>
  <c r="AS593" i="1"/>
  <c r="AS1285" i="1"/>
  <c r="AS606" i="1"/>
  <c r="AS1313" i="1"/>
  <c r="AS2049" i="1"/>
  <c r="AS4" i="1"/>
  <c r="AS1312" i="1"/>
  <c r="AS2023" i="1"/>
  <c r="AS605" i="1"/>
  <c r="AS1314" i="1"/>
  <c r="AS2022" i="1"/>
  <c r="AS592" i="1"/>
  <c r="AS1284" i="1"/>
  <c r="AS591" i="1"/>
  <c r="AS1330" i="1"/>
  <c r="AS2028" i="1"/>
  <c r="AS662" i="1"/>
  <c r="AS1293" i="1"/>
  <c r="AS2027" i="1"/>
  <c r="AS644" i="1"/>
  <c r="AS1310" i="1"/>
  <c r="AS2026" i="1"/>
  <c r="AS610" i="1"/>
  <c r="AS1324" i="1"/>
  <c r="AS2025" i="1"/>
  <c r="AS2584" i="1"/>
  <c r="AS1318" i="1"/>
  <c r="AS1997" i="1"/>
  <c r="AS1316" i="1"/>
  <c r="AS2019" i="1"/>
  <c r="AS2583" i="1"/>
  <c r="AS604" i="1"/>
  <c r="AS1323" i="1"/>
  <c r="AS2065" i="1"/>
  <c r="AS2603" i="1"/>
  <c r="AS661" i="1"/>
  <c r="AS1341" i="1"/>
  <c r="AS2031" i="1"/>
  <c r="AS3" i="1"/>
  <c r="AS1340" i="1"/>
  <c r="AS2110" i="1"/>
  <c r="AS603" i="1"/>
  <c r="AS2048" i="1"/>
  <c r="AS609" i="1"/>
  <c r="AS1288" i="1"/>
  <c r="AS2047" i="1"/>
  <c r="AS2596" i="1"/>
  <c r="AS660" i="1"/>
  <c r="AS1317" i="1"/>
  <c r="AS2046" i="1"/>
  <c r="AS602" i="1"/>
  <c r="AS1309" i="1"/>
  <c r="AS1630" i="1"/>
  <c r="AS2582" i="1"/>
  <c r="AS607" i="1"/>
  <c r="AS1311" i="1"/>
  <c r="AS2111" i="1"/>
  <c r="AS608" i="1"/>
  <c r="AS615" i="1"/>
  <c r="AS1338" i="1"/>
  <c r="AS2581" i="1"/>
  <c r="AS614" i="1"/>
  <c r="AS1333" i="1"/>
  <c r="AS2064" i="1"/>
  <c r="AS613" i="1"/>
  <c r="AS1322" i="1"/>
  <c r="AS2030" i="1"/>
  <c r="AS628" i="1"/>
  <c r="AS1321" i="1"/>
  <c r="AS2146" i="1"/>
  <c r="AS627" i="1"/>
  <c r="AS1315" i="1"/>
  <c r="AS2036" i="1"/>
  <c r="AS2602" i="1"/>
  <c r="AS616" i="1"/>
  <c r="AS2" i="1"/>
  <c r="AS2041" i="1"/>
  <c r="AS626" i="1"/>
  <c r="AS1320" i="1"/>
  <c r="AS612" i="1"/>
  <c r="AS1337" i="1"/>
  <c r="AS2063" i="1"/>
  <c r="AS2062" i="1"/>
  <c r="AS1336" i="1"/>
  <c r="AS2092" i="1"/>
  <c r="AS643" i="1"/>
  <c r="AS1335" i="1"/>
  <c r="AS2045" i="1"/>
  <c r="AS783" i="1"/>
  <c r="AS1331" i="1"/>
  <c r="AS2061" i="1"/>
</calcChain>
</file>

<file path=xl/sharedStrings.xml><?xml version="1.0" encoding="utf-8"?>
<sst xmlns="http://schemas.openxmlformats.org/spreadsheetml/2006/main" count="121539" uniqueCount="14536">
  <si>
    <t/>
  </si>
  <si>
    <t>Организация ГК</t>
  </si>
  <si>
    <t>Типовая форма по КТ-021</t>
  </si>
  <si>
    <t>Номер проекта</t>
  </si>
  <si>
    <t>Состояние</t>
  </si>
  <si>
    <t>Тип ДД</t>
  </si>
  <si>
    <t>Вид ДД</t>
  </si>
  <si>
    <t>Вышестоящий ДД</t>
  </si>
  <si>
    <t>Основной ДД</t>
  </si>
  <si>
    <t>Рег. Номер договора/соглашения</t>
  </si>
  <si>
    <t>Наименование ДД</t>
  </si>
  <si>
    <t>Номер ДД</t>
  </si>
  <si>
    <t>Цель/Предмет заключения ДД</t>
  </si>
  <si>
    <t>Дата регистрации</t>
  </si>
  <si>
    <t>Автор в СЭД</t>
  </si>
  <si>
    <t>Исполнитель</t>
  </si>
  <si>
    <t>Дата подписания</t>
  </si>
  <si>
    <t>Вид документа</t>
  </si>
  <si>
    <t>Подразделение-владелец ДД</t>
  </si>
  <si>
    <t>Подписант</t>
  </si>
  <si>
    <t>Способ подписания</t>
  </si>
  <si>
    <t>Тип срока действия ДД</t>
  </si>
  <si>
    <t>Срок действия с</t>
  </si>
  <si>
    <t>Срок действия по</t>
  </si>
  <si>
    <t>Доверенность</t>
  </si>
  <si>
    <t>Код в ЕСК</t>
  </si>
  <si>
    <t>Контрагент</t>
  </si>
  <si>
    <t>ИНН</t>
  </si>
  <si>
    <t>Код по КТ-020</t>
  </si>
  <si>
    <t>Вид взаиморасчётов</t>
  </si>
  <si>
    <t>Категория</t>
  </si>
  <si>
    <t>Налоговая ставка</t>
  </si>
  <si>
    <t>Иная налоговая ставка</t>
  </si>
  <si>
    <t>Сумма с НДС/НДФЛ в рублях</t>
  </si>
  <si>
    <t>Сумма без учета налога</t>
  </si>
  <si>
    <t>Сумма налога</t>
  </si>
  <si>
    <t>Указать гарантированный объем</t>
  </si>
  <si>
    <t>Авансирование</t>
  </si>
  <si>
    <t>Процент авансового платежа</t>
  </si>
  <si>
    <t>Сумма авансового платежа в рублях</t>
  </si>
  <si>
    <t>Получатель платежа</t>
  </si>
  <si>
    <t>Категория товаров/работ/услуг</t>
  </si>
  <si>
    <t>Банковское сопровождение</t>
  </si>
  <si>
    <t>Ссылка на карточку</t>
  </si>
  <si>
    <t>Газпромнефть-ГЕО, ООО</t>
  </si>
  <si>
    <t>00001-22</t>
  </si>
  <si>
    <t>Закрыт</t>
  </si>
  <si>
    <t>Нетиповой ДД</t>
  </si>
  <si>
    <t>Дополнительное соглашение</t>
  </si>
  <si>
    <t>ГЕО-21/09000/00271/Р</t>
  </si>
  <si>
    <t>Дополнительное соглашение №1</t>
  </si>
  <si>
    <t>1</t>
  </si>
  <si>
    <t>Продление срока действия договора ГЕО-21/09000/00271/Р от 06.12.2021г.</t>
  </si>
  <si>
    <t>Сорокин И.М.</t>
  </si>
  <si>
    <t>Договорный документ</t>
  </si>
  <si>
    <t>Блок геологии и разработки</t>
  </si>
  <si>
    <t>Аксенов М.А.</t>
  </si>
  <si>
    <t>На бумажном носителе</t>
  </si>
  <si>
    <t>До исполнения обязательств</t>
  </si>
  <si>
    <t>Д-54</t>
  </si>
  <si>
    <t>0000049191</t>
  </si>
  <si>
    <t>нет</t>
  </si>
  <si>
    <t xml:space="preserve">АО Инфосистемы Джет </t>
  </si>
  <si>
    <t>7729058675</t>
  </si>
  <si>
    <t>Договор возмездного оказания услуг</t>
  </si>
  <si>
    <t>Не предполагает взаиморасчетов</t>
  </si>
  <si>
    <t>00001-23</t>
  </si>
  <si>
    <t>Зарегистрирован</t>
  </si>
  <si>
    <t>ГЕО-21/10114/00257/Р</t>
  </si>
  <si>
    <t>10114 - Супервайзерские услуги полевых работ площадными геофизическими методами;</t>
  </si>
  <si>
    <t>6</t>
  </si>
  <si>
    <t xml:space="preserve">Перевод части негарантированного объёма в гарантированный. </t>
  </si>
  <si>
    <t>Дакиров В.С.</t>
  </si>
  <si>
    <t>Управление сейсморазведочных работ</t>
  </si>
  <si>
    <t>ЭП</t>
  </si>
  <si>
    <t>0000039714</t>
  </si>
  <si>
    <t xml:space="preserve">АО ЦГЭ </t>
  </si>
  <si>
    <t>7734033757</t>
  </si>
  <si>
    <t>Супервайзерские услуги полевых работ площадными геофизическими методами</t>
  </si>
  <si>
    <t>Расходная часть</t>
  </si>
  <si>
    <t>Стоимостной</t>
  </si>
  <si>
    <t>да</t>
  </si>
  <si>
    <t>20%</t>
  </si>
  <si>
    <t>26000 Соглашение о конфиденциальности с российским контрагентом</t>
  </si>
  <si>
    <t>00001-24</t>
  </si>
  <si>
    <t>Типовой ДД</t>
  </si>
  <si>
    <t>Соглашение</t>
  </si>
  <si>
    <t>ГЕО-23/26000/00232</t>
  </si>
  <si>
    <t>заключение СоК c ООО «Газбиопром инновации» в связи с проведением совместным исследований по поиску оптимальных методов и технологических решений по переработке осадков сточных вод ГУП «Водоканал Санкт-Петербурга». Работы подразумевают привлечение сотрудников «Газбиопром инновации» в качестве экспертов в связи с уникальными компетенциями в направлении работ</t>
  </si>
  <si>
    <t>Волохов Р.Д.</t>
  </si>
  <si>
    <t>Блок коммерческой деятельности</t>
  </si>
  <si>
    <t>Созинов С.А.</t>
  </si>
  <si>
    <t>Д-60</t>
  </si>
  <si>
    <t>ООО "Газбиопром инновации"</t>
  </si>
  <si>
    <t>Соглашение о конфиденциальности</t>
  </si>
  <si>
    <t>00002-22</t>
  </si>
  <si>
    <t>Договор</t>
  </si>
  <si>
    <t>ГЕО-22/09000/00019/Р</t>
  </si>
  <si>
    <t>Договор возмездного оказания услуг по операционной поддержке бизнеса направления «Каркас безопасности»</t>
  </si>
  <si>
    <t xml:space="preserve">Предоставдение услуг по операционной поддержке бизнеса направления «Каркас безопасности» _x000D_
</t>
  </si>
  <si>
    <t>Якобчак Р.И.</t>
  </si>
  <si>
    <t>Управление производственной безопасности</t>
  </si>
  <si>
    <t>Власов М.М.</t>
  </si>
  <si>
    <t xml:space="preserve">С ограничением по срокам </t>
  </si>
  <si>
    <t>Д-59</t>
  </si>
  <si>
    <t xml:space="preserve">Общество с ограниченной ответственностью Газпромнефть-Нефтесервис </t>
  </si>
  <si>
    <t>00002-23</t>
  </si>
  <si>
    <t>ГЕО-22/17000/00343/Р</t>
  </si>
  <si>
    <t>Договор страхования от несчастных случаев и болезней</t>
  </si>
  <si>
    <t>Страхование сотрудников ООО ГПН-ГЕО от несчастных случаев и болезней на 2023 г</t>
  </si>
  <si>
    <t>Курашко М.В.</t>
  </si>
  <si>
    <t>Управление по работе с персоналом</t>
  </si>
  <si>
    <t>Игнатова Ю.В.</t>
  </si>
  <si>
    <t>Д-66</t>
  </si>
  <si>
    <t>0000040642</t>
  </si>
  <si>
    <t xml:space="preserve">АО СОГАЗ </t>
  </si>
  <si>
    <t>7736035485</t>
  </si>
  <si>
    <t>Договор страхования</t>
  </si>
  <si>
    <t>без НДС</t>
  </si>
  <si>
    <t>0,00</t>
  </si>
  <si>
    <t>00002-24</t>
  </si>
  <si>
    <t>ДС 14 к № ГЕО-21/10208/00166/Р от 20.07.2021</t>
  </si>
  <si>
    <t>14</t>
  </si>
  <si>
    <t xml:space="preserve">ДС по перераспределению части не гарантированного объема 2023 года в гарантированный объем 2024 и не гарантированный объем 2024 </t>
  </si>
  <si>
    <t>Покатов О.Н.</t>
  </si>
  <si>
    <t>Блок главного инженера</t>
  </si>
  <si>
    <t>Трифонов А.В.</t>
  </si>
  <si>
    <t>0000058703</t>
  </si>
  <si>
    <t xml:space="preserve">ООО НСХ АЗИЯ ДРИЛЛИНГ </t>
  </si>
  <si>
    <t>5914024719</t>
  </si>
  <si>
    <t xml:space="preserve">Прочие производственные услуги.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t>
  </si>
  <si>
    <t>00003-22</t>
  </si>
  <si>
    <t>ГЕО-21/35000/00307</t>
  </si>
  <si>
    <t xml:space="preserve">Договор на выполнение работ по искусственному воспроизводству водных биологических ресурсов в целях компенсации ущерба, причиненного водным биоресурсам и среде их обитания </t>
  </si>
  <si>
    <t>ООО "ГПН-ГЕО" обязуется за свой счет выполнить работы по искусственному воспроизводству водных биологических ресурсов (далее - мероприятия) на основании утвержденного плана искусственного воспроизводства водных биоресурсов в целях компенсации ущерба, причиненного водным биоресурсам и среде их обитания без предоставления водных биоресурсов в пользование и сдать их результат Заказчику в соответствии с Договором путем осуществления выпуска водных биологических ресурсов в водные объекты рыбохозяйственного значения в качестве восстановительного мероприятия для полного возмещения ущерба, нанесенного водным биоресурсам и среде их обитания</t>
  </si>
  <si>
    <t>Липатова О.И.</t>
  </si>
  <si>
    <t>Отдел экологической безопасности</t>
  </si>
  <si>
    <t>Масалкин Ю.В.</t>
  </si>
  <si>
    <t xml:space="preserve"> Енисейское территориальном управлении Федерального агентства по рыболовству</t>
  </si>
  <si>
    <t>Соглашения об обеспечении исполнения обязательств</t>
  </si>
  <si>
    <t>00003-23</t>
  </si>
  <si>
    <t>ГЕО-22/17000/00018/Р</t>
  </si>
  <si>
    <t>Дополнительное соглашение №1 к договору страхования от несчастных случаев и болезней №0622 LA 000079/ГЕО-22/17000/00018/Р от «01» января 2022 г.</t>
  </si>
  <si>
    <t>Изменение списка застраованных</t>
  </si>
  <si>
    <t>Рамочный</t>
  </si>
  <si>
    <t>00004-22</t>
  </si>
  <si>
    <t>ГЕО-21/09000/00120/Р</t>
  </si>
  <si>
    <t>ДОПОЛНИТЕЛЬНОЕ СОГЛАШЕНИЕ №1 К СОГЛАШЕНИЮ ОБ ОКАЗАНИИ ЮРИДИЧЕСКОЙ ПОМОЩИ №ГЕО-21/09000/00120/Р от 30.04.2021г.</t>
  </si>
  <si>
    <t>Продление срока оказания услуг</t>
  </si>
  <si>
    <t>Цветков Д.В.</t>
  </si>
  <si>
    <t>0000057812</t>
  </si>
  <si>
    <t xml:space="preserve">Адвокатское Бюро ЕПАМ </t>
  </si>
  <si>
    <t>7841006500</t>
  </si>
  <si>
    <t>00005-22</t>
  </si>
  <si>
    <t xml:space="preserve"> ГЕО-19/09000/00325/Р</t>
  </si>
  <si>
    <t>ДС № 3 к Д № ГЕО-19/09000/00325/Р</t>
  </si>
  <si>
    <t>3</t>
  </si>
  <si>
    <t>Перенос сроков оказания услуг, предусмотренных договором № ГЕО-19/09000/00325/Р от 30 декабря 2019 года</t>
  </si>
  <si>
    <t>0000047431</t>
  </si>
  <si>
    <t>АО Университет Управления Проектам и</t>
  </si>
  <si>
    <t>7706623585</t>
  </si>
  <si>
    <t>Договор на обучение (тренинги, семинары и проч.)</t>
  </si>
  <si>
    <t>00005-23</t>
  </si>
  <si>
    <t>ГЕО-20/10986/00128/Р</t>
  </si>
  <si>
    <t xml:space="preserve">Дополнительное соглашение № 6 к Договору № ГЕО-20/10986/00128/Р от 07.08.2020 г. </t>
  </si>
  <si>
    <t xml:space="preserve">ДС заключается с целью увеличения стоимости договора на 9 224 875,38 руб. без НДС, перераспределения объёмов по годам и между статьями затрат, и продления оказания услуг до середины февраля 2023 г.  </t>
  </si>
  <si>
    <t>Хабибуллин Т.Ф.</t>
  </si>
  <si>
    <t>Отдел по промышленной и пожарной безопасности</t>
  </si>
  <si>
    <t>Ядрышников П.Н.</t>
  </si>
  <si>
    <t>Д-51</t>
  </si>
  <si>
    <t>0000093917</t>
  </si>
  <si>
    <t xml:space="preserve">ООО АКБАРЫС </t>
  </si>
  <si>
    <t>5609193118</t>
  </si>
  <si>
    <t>00005-24</t>
  </si>
  <si>
    <t>ГЕО-24/10000/00003/Р</t>
  </si>
  <si>
    <t>ДОГОВОР на оказание услуг по обслуживанию и прокату погружных установок электроцентробежных насосов</t>
  </si>
  <si>
    <t>Заключение договора для нужд ООО "ГПН-ГЕО"</t>
  </si>
  <si>
    <t>Лопарев В.В.</t>
  </si>
  <si>
    <t>Николаев Ю.М.</t>
  </si>
  <si>
    <t>0000061428</t>
  </si>
  <si>
    <t xml:space="preserve">ООО РИМЕРА-Сервис </t>
  </si>
  <si>
    <t>7705907626</t>
  </si>
  <si>
    <t>0</t>
  </si>
  <si>
    <t>25000 Договор об оказании услуг физическим лицом (без выезда на Лицензионные участки Заказчика)</t>
  </si>
  <si>
    <t>00006-23</t>
  </si>
  <si>
    <t>ГЕО-23/25000/00007/Р</t>
  </si>
  <si>
    <t>Договор гражданско-правового характера</t>
  </si>
  <si>
    <t>Буракова О.В.</t>
  </si>
  <si>
    <t>Отдел административной поддержки бизнеса</t>
  </si>
  <si>
    <t>0000107378</t>
  </si>
  <si>
    <t xml:space="preserve">Исаева Ирина Сергеевна </t>
  </si>
  <si>
    <t>471200460370</t>
  </si>
  <si>
    <t>Договор оказания услуг с физическим лицом</t>
  </si>
  <si>
    <t>13%</t>
  </si>
  <si>
    <t>00006-24</t>
  </si>
  <si>
    <t>ГЕО-21/10302/00225/Р</t>
  </si>
  <si>
    <t xml:space="preserve">ДОПОЛНИТЕЛЬНОЕ СОГЛАШЕНИЕ № 6 к Договору № ГЕО-21/10302/00225/Р от 11.10.2021г.  </t>
  </si>
  <si>
    <t>Смещение окончания работ на скважине № 401 Западно-Рубежинского ЛУ на 2024г.</t>
  </si>
  <si>
    <t>Мячина М.В.</t>
  </si>
  <si>
    <t>Отдел подготовительных работ и экономического анализа</t>
  </si>
  <si>
    <t>Д-82</t>
  </si>
  <si>
    <t>0000062524</t>
  </si>
  <si>
    <t xml:space="preserve">ООО ПФ Сокол </t>
  </si>
  <si>
    <t>5908034187</t>
  </si>
  <si>
    <t xml:space="preserve">Технологическое сопровождение (прокат) забойных двигателей     </t>
  </si>
  <si>
    <t xml:space="preserve">10307 Договор на оказание услуг по предоставлению оборудования и инженерному сопровождению при спуске и креплению скважин хвостовиками </t>
  </si>
  <si>
    <t>00007-22</t>
  </si>
  <si>
    <t>ГЕО-22/09000/00014/Р</t>
  </si>
  <si>
    <t>Заключение договора по услуге 10307 Предоставление оборудования и инженерное сопровождение при спуске и креплении скважин хвостовиками</t>
  </si>
  <si>
    <t>Дунаев Э.В.</t>
  </si>
  <si>
    <t>Блок бурения и ВСР</t>
  </si>
  <si>
    <t>Гаврилов С.В.</t>
  </si>
  <si>
    <t>Д-58</t>
  </si>
  <si>
    <t>0000071739</t>
  </si>
  <si>
    <t xml:space="preserve">ООО НОВ Комплишн Тулз </t>
  </si>
  <si>
    <t>7710497816</t>
  </si>
  <si>
    <t>33100 Соглашение в области производственной безопасности</t>
  </si>
  <si>
    <t>00007-23</t>
  </si>
  <si>
    <t>Проект</t>
  </si>
  <si>
    <t xml:space="preserve">на исполнение требований и обязательства Подрядчика в области ПБ  ПАО «Газпром нефть». </t>
  </si>
  <si>
    <t>Калугина С.Б.</t>
  </si>
  <si>
    <t>Галлямов Р.Ю.</t>
  </si>
  <si>
    <t>Департамент капитального строительства</t>
  </si>
  <si>
    <t xml:space="preserve">Без сроков </t>
  </si>
  <si>
    <t>Д-33</t>
  </si>
  <si>
    <t>0000102205</t>
  </si>
  <si>
    <t xml:space="preserve">ООО ДАН Групп </t>
  </si>
  <si>
    <t>9715287189</t>
  </si>
  <si>
    <t>Соглашение участников хозяйственных обществ в области производственной безопасности</t>
  </si>
  <si>
    <t>00007-24</t>
  </si>
  <si>
    <t>ГЕО-24/33400/00007</t>
  </si>
  <si>
    <t>Соглашение о  безопасном использовании информационных систем</t>
  </si>
  <si>
    <t xml:space="preserve">Соглашение о безопасном использовании информационных систем
</t>
  </si>
  <si>
    <t>Гулин В.Д.</t>
  </si>
  <si>
    <t>0000085689</t>
  </si>
  <si>
    <t xml:space="preserve">ООО СИГМА-ГЕО </t>
  </si>
  <si>
    <t>3808219470</t>
  </si>
  <si>
    <t>Соглашение о безопасном использовании информационных систем</t>
  </si>
  <si>
    <t>00008-21</t>
  </si>
  <si>
    <t>Заказ</t>
  </si>
  <si>
    <t xml:space="preserve">НТЦ-18/29000/01335/Д-ГЕО/ГЕО-19/10124/00001 </t>
  </si>
  <si>
    <t>Выделение перспективных объектов в пластах Б-VIII-1, Вн-1 и рифея с построением сейсмогеологических моделей и расчетом технологических показателей разработки в рамках проекта Оморинский</t>
  </si>
  <si>
    <t>ЗАКАЗ № НТЦ-21/09000/00055/Д-ГЕО к №НТЦ-18/29000/01335/Д-ГЕО/ГЕО-19/10124/00001 от 09.01.2019 г.</t>
  </si>
  <si>
    <t>Подготовка бизнес кейса для выхода на ИК с целью запроса финансирования на программу ГРР этапа «Оценка»</t>
  </si>
  <si>
    <t>Ябиров Р.З.</t>
  </si>
  <si>
    <t>0000045789</t>
  </si>
  <si>
    <t xml:space="preserve">ООО Газпромнефть НТЦ </t>
  </si>
  <si>
    <t>7838395487</t>
  </si>
  <si>
    <t>НИОКР, НИР в области геологии и разработки месторождений</t>
  </si>
  <si>
    <t>00008-22</t>
  </si>
  <si>
    <t>ГЕО-20/101109/00144/Р</t>
  </si>
  <si>
    <t>Дополнительное соглашение в связи со смменой реквизитов</t>
  </si>
  <si>
    <t>Изменение реквизитов Подрядчика</t>
  </si>
  <si>
    <t>0000082130</t>
  </si>
  <si>
    <t xml:space="preserve">ООО Геохим </t>
  </si>
  <si>
    <t>7203027949</t>
  </si>
  <si>
    <t>Договор на выполнение НИР, ОКР и технологических работ</t>
  </si>
  <si>
    <t>00008-23</t>
  </si>
  <si>
    <t>ГЕО-23/33100/00004</t>
  </si>
  <si>
    <t>Соглашение в области производственной безопасности (ПБ)</t>
  </si>
  <si>
    <t>00008-24</t>
  </si>
  <si>
    <t>ГЕО-21/10303/00204/Р</t>
  </si>
  <si>
    <t>ДОПОЛНИТЕЛЬНОЕ СОГЛАШЕНИЕ № 13 к Договору № ОРН-18/10303/03693/Р от 20.12.2018г.</t>
  </si>
  <si>
    <t>13</t>
  </si>
  <si>
    <t xml:space="preserve">Смещение окончания работ на скв. 401 Западно-Рубежинского ЛУ на 2024г. </t>
  </si>
  <si>
    <t>0000060716</t>
  </si>
  <si>
    <t xml:space="preserve">ООО ИСК ПетроИнжиниринг </t>
  </si>
  <si>
    <t>7728803870</t>
  </si>
  <si>
    <t>00009-22</t>
  </si>
  <si>
    <t xml:space="preserve">ГЕО-20/09000/00182/Д/АБ-20/09000/00005/Р </t>
  </si>
  <si>
    <t>Дополнительное соглашение № 2 к операторскому соглашению</t>
  </si>
  <si>
    <t>2</t>
  </si>
  <si>
    <t>Оказание операторских услуг</t>
  </si>
  <si>
    <t>Кошелева Ю.В.</t>
  </si>
  <si>
    <t>Управление экономического планирования и анализа</t>
  </si>
  <si>
    <t>0000047108</t>
  </si>
  <si>
    <t xml:space="preserve">ООО Гыдан Энерджи </t>
  </si>
  <si>
    <t>3245502148</t>
  </si>
  <si>
    <t>Доходная часть</t>
  </si>
  <si>
    <t>00009-23</t>
  </si>
  <si>
    <t>ГЕО-23/33100/00008</t>
  </si>
  <si>
    <t>Для выполнения работ подрядной организацией АО «БЕЙКЕР ХЬЮЗ»</t>
  </si>
  <si>
    <t>Ушакова М.А.</t>
  </si>
  <si>
    <t>Блок производственной безопасности</t>
  </si>
  <si>
    <t>0000037860</t>
  </si>
  <si>
    <t xml:space="preserve">АО Технологии ОФС </t>
  </si>
  <si>
    <t>7714024384</t>
  </si>
  <si>
    <t>00009-24</t>
  </si>
  <si>
    <t>Дополнительное соглашение № 6 к Договору № ГЕО-22/09000/00014/Р от 07.01.2022г.</t>
  </si>
  <si>
    <t>33200 Соглашение об электронном документообороте</t>
  </si>
  <si>
    <t>00010-22</t>
  </si>
  <si>
    <t>ГЕО-22/33200/00009</t>
  </si>
  <si>
    <t>В связи с реализацией МТР ОТ ГПН-Оренбург необходимо заключение соглашения об ЭДО</t>
  </si>
  <si>
    <t>Долгов Д.Г.</t>
  </si>
  <si>
    <t>Управление материально-технического обеспечения, транспортного обеспечения и сопутствующих сервисов</t>
  </si>
  <si>
    <t>Титов А.В.</t>
  </si>
  <si>
    <t>Д-56</t>
  </si>
  <si>
    <t>0000073273</t>
  </si>
  <si>
    <t xml:space="preserve">ООО Газпромнефть-Оренбург </t>
  </si>
  <si>
    <t>5610218014</t>
  </si>
  <si>
    <t>Соглашение об использовании электронного документооборота</t>
  </si>
  <si>
    <t>00010-23</t>
  </si>
  <si>
    <t>ГЕО-23/26000/00009</t>
  </si>
  <si>
    <t>Блок корпоративной защиты</t>
  </si>
  <si>
    <t>00010-24</t>
  </si>
  <si>
    <t>ГЕО-24/33100/00009</t>
  </si>
  <si>
    <t>Соглашение ПБ</t>
  </si>
  <si>
    <t>Производственно-технологический департамент</t>
  </si>
  <si>
    <t>Михайлов Ю.А.</t>
  </si>
  <si>
    <t>Д-2</t>
  </si>
  <si>
    <t>00011-22</t>
  </si>
  <si>
    <t>ГЕО-20/17000/00212/Р</t>
  </si>
  <si>
    <t>Дополнительное соглашение №2</t>
  </si>
  <si>
    <t>Изменение количесва застрахованных лиц</t>
  </si>
  <si>
    <t>00011-23</t>
  </si>
  <si>
    <t xml:space="preserve">Наряд-заказ на оказание услуг № 11 к Договору №ГЕО-20/10986/00128/Р от 01.09.2020 г. </t>
  </si>
  <si>
    <t>11</t>
  </si>
  <si>
    <t xml:space="preserve">Оказание услуг по обеспечению безопасных условий труда для работников и соблюдению требований промышленной безопасности на скважинах № 178 Лескинского лицензионного участка. </t>
  </si>
  <si>
    <t>00011-24</t>
  </si>
  <si>
    <t>ГЕО-24/33200/00011</t>
  </si>
  <si>
    <t>обмен ЭД</t>
  </si>
  <si>
    <t>00012-21</t>
  </si>
  <si>
    <t>ГЕО-21/00000/00103</t>
  </si>
  <si>
    <t>Установление документооборота с использованием электронной подписи.</t>
  </si>
  <si>
    <t>Савельева И.И.</t>
  </si>
  <si>
    <t>0000081355</t>
  </si>
  <si>
    <t xml:space="preserve">ООО Проф Лингва </t>
  </si>
  <si>
    <t>7721690184</t>
  </si>
  <si>
    <t>ПРОЧИЕ ДОГОВОРЫ</t>
  </si>
  <si>
    <t>00012-23</t>
  </si>
  <si>
    <t xml:space="preserve">Наряд-заказ на оказание услуг № 12 к Договору №ГЕО-20/10986/00128/Р от 01.09.2020 г. </t>
  </si>
  <si>
    <t>12</t>
  </si>
  <si>
    <t xml:space="preserve">Оказание услуг по обеспечению безопасных условий труда для работников и соблюдению требований промышленной безопасности на скважинах № 341 Солнечного лицензионного участка. </t>
  </si>
  <si>
    <t>00012-24</t>
  </si>
  <si>
    <t>ГЕО-24/26000/00010</t>
  </si>
  <si>
    <t>00013-24</t>
  </si>
  <si>
    <t>ГЕО-24/33200/00008</t>
  </si>
  <si>
    <t xml:space="preserve">подписание документов посредством электронного документооборота </t>
  </si>
  <si>
    <t>Коваленко М.В.</t>
  </si>
  <si>
    <t>Страдымов А.Г.</t>
  </si>
  <si>
    <t>Ковтун М.А.</t>
  </si>
  <si>
    <t>Д-62</t>
  </si>
  <si>
    <t>0000056254</t>
  </si>
  <si>
    <t xml:space="preserve">ООО ЧОО СТАФ </t>
  </si>
  <si>
    <t>7839415866</t>
  </si>
  <si>
    <t>00014-22</t>
  </si>
  <si>
    <t xml:space="preserve">ГЕО-19_10900_00290_Р </t>
  </si>
  <si>
    <t>Дополнительное соглашение №1 к ДОГОВОРУ № ГЕО-19/10900/00290/Р 25.11.2019</t>
  </si>
  <si>
    <t>Проведение медицинских осмотров в 2022-2024 гг в соответствии с приказом 29 Н от 28.01.2021</t>
  </si>
  <si>
    <t>Евстигнеев В.А.</t>
  </si>
  <si>
    <t>0000067067</t>
  </si>
  <si>
    <t xml:space="preserve">ООО СОГАЗ ПРОФМЕДИЦИНА </t>
  </si>
  <si>
    <t>7816483740</t>
  </si>
  <si>
    <t>00014-23</t>
  </si>
  <si>
    <t>Дополнительное соглашение № 4 к Договору № ГЕО-22/09000/00014/Р от 07.01.2022г.</t>
  </si>
  <si>
    <t>4</t>
  </si>
  <si>
    <t>Перераспределение объема работ внутри договора без изменения объема и стоимости работ по договору</t>
  </si>
  <si>
    <t>00014-24</t>
  </si>
  <si>
    <t>ГЕО-22/20000/00337/Д</t>
  </si>
  <si>
    <t>ДС 3 к ГЕО-22/20000/00337/Д ООО "НТЦ "Геомеханика"</t>
  </si>
  <si>
    <t>Увеличение стоимости договора</t>
  </si>
  <si>
    <t>Титова Е.В.</t>
  </si>
  <si>
    <t>Блок снабжения и закупок</t>
  </si>
  <si>
    <t>0000105643</t>
  </si>
  <si>
    <t xml:space="preserve">ООО НТЦ Геомеханика </t>
  </si>
  <si>
    <t>7717693190</t>
  </si>
  <si>
    <t>Агентский договор</t>
  </si>
  <si>
    <t>Агентский</t>
  </si>
  <si>
    <t>00015-21</t>
  </si>
  <si>
    <t>№ ГЕО-20/09000/00169/Р/20-02/364 от 26.10.2020</t>
  </si>
  <si>
    <t>СДополнительное соглашение об использовании электронного документооборота</t>
  </si>
  <si>
    <t>ДС №1 к № ГЕО-20/09000/00169/Р/20-02/364 от 26.10.2020</t>
  </si>
  <si>
    <t>Переход на электронный документооборот</t>
  </si>
  <si>
    <t>Д-1</t>
  </si>
  <si>
    <t>0000037846</t>
  </si>
  <si>
    <t xml:space="preserve">ООО Газпромнефть ИТО </t>
  </si>
  <si>
    <t>8905032518</t>
  </si>
  <si>
    <t>00015-22</t>
  </si>
  <si>
    <t>ГЕО-21/10985/00168/Р</t>
  </si>
  <si>
    <t>ДОПОЛНИТЕЛЬНОЕ СОГЛАШЕНИЕ №3</t>
  </si>
  <si>
    <t xml:space="preserve">Перераспределением объёмов работ из негарантированного в гарантированный объём:_x000D_
1. Раскрытие негарантированного объема на 2022 год на выполнение работ по утилизации отходов бурения. _x000D_
2.Раскрытие негарантированного объема на закуп и доставку компонентов для утилизации отходов бурения (потребность согласно применяемой технологии) ._x000D_
</t>
  </si>
  <si>
    <t>Кукленков М.А.</t>
  </si>
  <si>
    <t>Перфильев Д.А.</t>
  </si>
  <si>
    <t>Д-61</t>
  </si>
  <si>
    <t>0000072857</t>
  </si>
  <si>
    <t xml:space="preserve">ООО Энерго-Утилизационная Компания </t>
  </si>
  <si>
    <t>6679052232</t>
  </si>
  <si>
    <t>Капитальное строительство и ПИР</t>
  </si>
  <si>
    <t>00015-23</t>
  </si>
  <si>
    <t>Изменение</t>
  </si>
  <si>
    <t>ГЕО-22/11000/00267/Р</t>
  </si>
  <si>
    <t>Изм.№1 к наряд-заказу №1 ГЕО-22/11000/00267/Р УГП</t>
  </si>
  <si>
    <t>Изм.№1 к наряд-заказу №1 по договору №ГЕО-22/11000/00267/Р от 10.10.2022 – «на выполнение инженерных изысканий»</t>
  </si>
  <si>
    <t>Мормышев А.А.</t>
  </si>
  <si>
    <t>Салахутдинов Р.С.</t>
  </si>
  <si>
    <t>0000076283</t>
  </si>
  <si>
    <t xml:space="preserve">ООО Уралгеопроект </t>
  </si>
  <si>
    <t>4501174492</t>
  </si>
  <si>
    <t>20000 Агентский договор на организацию вертолетных авиаперевозок</t>
  </si>
  <si>
    <t>00015-24</t>
  </si>
  <si>
    <t>ГЕО-24/20000/00014/Д</t>
  </si>
  <si>
    <t>20000 Агентский договор на организацию вертолетных авиаперевозок ООО "ТНГ-Групп"</t>
  </si>
  <si>
    <t>Авиаперевозка персонала и груза КА</t>
  </si>
  <si>
    <t>0000048878</t>
  </si>
  <si>
    <t xml:space="preserve">ООО ТНГ-Групп </t>
  </si>
  <si>
    <t>1645019164</t>
  </si>
  <si>
    <t>00016-22</t>
  </si>
  <si>
    <t xml:space="preserve">ГЕО-21/09000/00003/Р </t>
  </si>
  <si>
    <t>Дополнительное соглашение № 1</t>
  </si>
  <si>
    <t>Изменений условий договора</t>
  </si>
  <si>
    <t>0000047806</t>
  </si>
  <si>
    <t xml:space="preserve">ООО Газпромнефть Бизнес-сервис </t>
  </si>
  <si>
    <t>8905044954</t>
  </si>
  <si>
    <t xml:space="preserve">10000 Договор по услуге «Полевые сейсморазведочные работы 2Д, 3Д» (услуга № 10110 согласно КТ-777) </t>
  </si>
  <si>
    <t>00016-23</t>
  </si>
  <si>
    <t>ГЕО-23/10000/00021/Р</t>
  </si>
  <si>
    <t>Договор на выполнение работ по проведению полевых электроразведочных работ методом мЗСБ в пределах Оморинского ЛУ для нужд ООО «ГПН-ГЕО» в 2023г.</t>
  </si>
  <si>
    <t>Выполнение работ по проведению полевых электроразведочных работ методом мЗСБ в пределах Оморинского ЛУ</t>
  </si>
  <si>
    <t>00016-24</t>
  </si>
  <si>
    <t>ГЕО-23/10318/00010/Р+ ПР + ПУР</t>
  </si>
  <si>
    <t xml:space="preserve">Изменение № 1 к НАРЯД-ЗАКАЗУ №1. к Договору №ГЕО-23/10318/00010/Р от «10» января 2023 г. </t>
  </si>
  <si>
    <t xml:space="preserve">Продление срока действия Наряд-заказа </t>
  </si>
  <si>
    <t>Ларионов Е.А.</t>
  </si>
  <si>
    <t>Отбор керна при бурении и реконструкции скважин</t>
  </si>
  <si>
    <t>00017-21</t>
  </si>
  <si>
    <t>ГЕО-21/00000/00100</t>
  </si>
  <si>
    <t>Переход на ЭДО</t>
  </si>
  <si>
    <t>Малова Д.П.</t>
  </si>
  <si>
    <t>Финансовое управление</t>
  </si>
  <si>
    <t>0000040340</t>
  </si>
  <si>
    <t xml:space="preserve">Банк ГПБ (АО) </t>
  </si>
  <si>
    <t>7744001497</t>
  </si>
  <si>
    <t>00017-22</t>
  </si>
  <si>
    <t>ГЕО-22/35100/00011</t>
  </si>
  <si>
    <t>Договор об обработке персональных данных</t>
  </si>
  <si>
    <t>безопасная передача персональных данных , в рамках заключения агентского договора на на организацию обучения сотрудников ГПН-ГЕО</t>
  </si>
  <si>
    <t>0000008602</t>
  </si>
  <si>
    <t xml:space="preserve">ПАО Газпром нефть </t>
  </si>
  <si>
    <t>5504036333</t>
  </si>
  <si>
    <t>Договор поручительства</t>
  </si>
  <si>
    <t>26000 Соглашение о конфиденциальности с дочерним обществом ПАО «Газпром»</t>
  </si>
  <si>
    <t>00017-23</t>
  </si>
  <si>
    <t>ГЕО-23/26000/00014</t>
  </si>
  <si>
    <t>Соблюдение конфиденциальности при создании единой программы воспроизводства минерально-сырьевой базы Нерутинской зоны</t>
  </si>
  <si>
    <t>Ибрагимов А.М.</t>
  </si>
  <si>
    <t>Блок ЗИД по геологии</t>
  </si>
  <si>
    <t>ПАО ГАЗПРОМ</t>
  </si>
  <si>
    <t>00017-24</t>
  </si>
  <si>
    <t>ГЕО-24/33200/00012</t>
  </si>
  <si>
    <t>Приказ 123-П от 10.11.2023</t>
  </si>
  <si>
    <t>0000087384</t>
  </si>
  <si>
    <t>ООО Инженерно-технологический серв ис</t>
  </si>
  <si>
    <t>7204183725</t>
  </si>
  <si>
    <t>00018-22</t>
  </si>
  <si>
    <t>ГЕО-22/09100/00028/Р</t>
  </si>
  <si>
    <t xml:space="preserve"> организация обучения, повышения квалификации, профессиональной переподготовки, стажировок работников,оказание услуг по организации и проведению выездных семинаров, конференций, иных корпоративных мероприятий,консультационных услуг </t>
  </si>
  <si>
    <t>00018-24</t>
  </si>
  <si>
    <t>ГЕО-24/25000/00013/Р</t>
  </si>
  <si>
    <t>В связи с исполнением  требований Федеральных законов от 26.02.1997 № 31-ФЗ «О мобилизационной подготовке и мобилизации в Российской Федерации», от 28.03.1998 № 53-ФЗ «О воинской обязанности и военной службе», Постановлениями Правительства Российской Федерации от 27.11.2006 № 719 «Об утверждении Положения о воинском учете», от 17.03.2010 № 156 «Об утверждении Правил бронирования», Приказа Министра обороны Российской Федерации от 22.11.2021 № 700 «Об утверждении Инструкции об организации работы по обеспечению функционирования системы воинского учета», Методическими рекомендациями Генерального штаба Вооруженных Сил Российской Федерации от 11.07.2017 по ведению воинского учета в организациях</t>
  </si>
  <si>
    <t>Хужина В.А.</t>
  </si>
  <si>
    <t>0000106509</t>
  </si>
  <si>
    <t xml:space="preserve">Писарева Ирина Михайловна </t>
  </si>
  <si>
    <t>470600737240</t>
  </si>
  <si>
    <t>00019-22</t>
  </si>
  <si>
    <t>Р0151</t>
  </si>
  <si>
    <t>Дополнительное соглашение №3 к договору оказания услуг б/н от 10.04.2015г. (рамочный)  с ЗАО "ХМНС"</t>
  </si>
  <si>
    <t>Продление рамочного договора между ООО "ГПН-ГЕО" и ЗАО "ХМНС"</t>
  </si>
  <si>
    <t>Хакимов Д.К.</t>
  </si>
  <si>
    <t>Кластер «Интеграция, совместные предприятия, зарубежные активы»</t>
  </si>
  <si>
    <t>0000066014</t>
  </si>
  <si>
    <t>ЗАО Ханты-Мансийский нефтегазовый союз</t>
  </si>
  <si>
    <t>7838491381</t>
  </si>
  <si>
    <t>иное</t>
  </si>
  <si>
    <t>00019-23</t>
  </si>
  <si>
    <t>СОР к ГЕО-22/25000/00293/Р от 01.11.2022</t>
  </si>
  <si>
    <t>ДС к заключенному ДД №ГЕО-22/25000/00293/Р от 01.11.2022</t>
  </si>
  <si>
    <t xml:space="preserve">1. На основании п. 15.1 Договора Стороны пришли к соглашению о расторжении Договора (далее – Соглашение) с 01.01.2023 г. Последним днем действия Договора считать 31.12.2022 г. </t>
  </si>
  <si>
    <t>Кайгородцева Е.В.</t>
  </si>
  <si>
    <t>Управление инвестиционного планирования</t>
  </si>
  <si>
    <t>0000107661</t>
  </si>
  <si>
    <t xml:space="preserve">Михайлова Наталья Александровна </t>
  </si>
  <si>
    <t>611300073999</t>
  </si>
  <si>
    <t>00019-24</t>
  </si>
  <si>
    <t>ГЕО-21/00000/00144/Д</t>
  </si>
  <si>
    <t>Блинова Д.М.</t>
  </si>
  <si>
    <t>00020-22</t>
  </si>
  <si>
    <t>ГЕО-22/33200/00013</t>
  </si>
  <si>
    <t>Для обмена электронными документами</t>
  </si>
  <si>
    <t>0000048216</t>
  </si>
  <si>
    <t xml:space="preserve">АО ПГО Тюменьпромгеофизика </t>
  </si>
  <si>
    <t>8605013881</t>
  </si>
  <si>
    <t>00020-23</t>
  </si>
  <si>
    <t>Обработка результатов согласования</t>
  </si>
  <si>
    <t>Спецификация</t>
  </si>
  <si>
    <t>ГЕО-22/01200/00330/Д</t>
  </si>
  <si>
    <t>Спецификация № 2 к ГЕО-22/01200/00330/Д</t>
  </si>
  <si>
    <t>Реализация МТР проекта ЧОНА с ГПН-ГЕО в ГПН-АНГАРА</t>
  </si>
  <si>
    <t>0000039463</t>
  </si>
  <si>
    <t xml:space="preserve">ООО Газпромнефть-Ангара </t>
  </si>
  <si>
    <t>8905034804</t>
  </si>
  <si>
    <t>Договор поставки/купли продажи движимого имущества</t>
  </si>
  <si>
    <t>00020-24</t>
  </si>
  <si>
    <t>ГЕО-22/10120/00208/Р</t>
  </si>
  <si>
    <t>ДС №4 к Договору ГЕО-22/10120/00208/Р от 18.08.2022</t>
  </si>
  <si>
    <t>Перевод имеющиеся в Договоре ставки демобилизации и технологического дежурства оборудования из негарантированного объема 2024 г. в гарантированный объем 2024 г.</t>
  </si>
  <si>
    <t>Яшкина К.Л.</t>
  </si>
  <si>
    <t>Николаев В.А.</t>
  </si>
  <si>
    <t>Гидродинамические исследования</t>
  </si>
  <si>
    <t>00021-21</t>
  </si>
  <si>
    <t>ГЕО-18/00000/00071/Р от 25.12.2018гНа о</t>
  </si>
  <si>
    <t xml:space="preserve">Дополнительное согласшение на оказание охранных услуг </t>
  </si>
  <si>
    <t>ДС№4 к Договру ГЕО-18/00000/00071/Р от 25.12.2018г</t>
  </si>
  <si>
    <t>Увеличение ставки сотрудника бюро пропусков, уменьшение негарантированного объема услуг, снижение стоимости договора</t>
  </si>
  <si>
    <t>Глухарева Ю.Б.</t>
  </si>
  <si>
    <t>Тарифный</t>
  </si>
  <si>
    <t>00021-22</t>
  </si>
  <si>
    <t>ГЕО-20/09000/00057/Р</t>
  </si>
  <si>
    <t>ДС-2 пролонгация на 2022й taxi Комплекс Парадная</t>
  </si>
  <si>
    <t>Продление до 31.12.2022 срока действия договора ГЕО-20/09000/00057/Р на услуги по перевозке (taxi) сотрудников  офиса в г.Санкт-петербург по агенсткой схеме</t>
  </si>
  <si>
    <t>Гусаков В.В.</t>
  </si>
  <si>
    <t>0000040878</t>
  </si>
  <si>
    <t xml:space="preserve">ООО Комплекс Парадная </t>
  </si>
  <si>
    <t>7826711272</t>
  </si>
  <si>
    <t>26000 Договор о конфиденциальности с физическим лицом</t>
  </si>
  <si>
    <t>00021-23</t>
  </si>
  <si>
    <t>ГЕО-23/26000/00011</t>
  </si>
  <si>
    <t>Заключение договора о конфиденциальности с физ.лицом, оказывающего Обществу услуги на основании договора ГПХ, по неразглашению информации, составляющей коммерческую тайну и иной конфиденциальной информации Общества и его контрагентов.</t>
  </si>
  <si>
    <t>00021-24</t>
  </si>
  <si>
    <t>ГЕО-24/26000/00017</t>
  </si>
  <si>
    <t xml:space="preserve">По неразглашению информации, составляющей коммерческую тайну и иной конфиденциальной информации </t>
  </si>
  <si>
    <t>00022-21</t>
  </si>
  <si>
    <t>ГЕО-21/00000/00106</t>
  </si>
  <si>
    <t>0000042477</t>
  </si>
  <si>
    <t xml:space="preserve">ООО Нестле Россия </t>
  </si>
  <si>
    <t>7705739450</t>
  </si>
  <si>
    <t>00022-22</t>
  </si>
  <si>
    <t>ГЕО-19/11708/00133/Р от 25.06.2019</t>
  </si>
  <si>
    <t>Заказ-Наряд №15 к договору №ГЕО-19/11708/00133/Р от 25.06.2019</t>
  </si>
  <si>
    <t>15</t>
  </si>
  <si>
    <t>Научно исследовательские работы по оценке перспективности действующих участков с целью доизучения в периметре территории деятельности АО «Газпромнефть ННГ»</t>
  </si>
  <si>
    <t>Коротков С.П.</t>
  </si>
  <si>
    <t>Управление по разработке</t>
  </si>
  <si>
    <t>0000058271</t>
  </si>
  <si>
    <t xml:space="preserve">ООО ПетроТрейс </t>
  </si>
  <si>
    <t>7725696878</t>
  </si>
  <si>
    <t>НИОКР, НИР прочие</t>
  </si>
  <si>
    <t>00022-23</t>
  </si>
  <si>
    <t>ГЕО-23/26000/00012</t>
  </si>
  <si>
    <t>Неразглашение информации, составляющей коммерческую тайну</t>
  </si>
  <si>
    <t>Аршинина М.Н.</t>
  </si>
  <si>
    <t>0000085381</t>
  </si>
  <si>
    <t xml:space="preserve">ООО ПЕНТАКОН </t>
  </si>
  <si>
    <t>7813216425</t>
  </si>
  <si>
    <t>00023-22</t>
  </si>
  <si>
    <t>ЭН-22/012100/00002/Д</t>
  </si>
  <si>
    <t>Договор купли-продажи</t>
  </si>
  <si>
    <t>Продажа невостребованного имущества ООО "Энерком" в рамках передачи лицензии на право пользования недрами Солнечного ЛУ с ООО «Энерком» на ПАО «Газпром нефть» (Протокол ЦК по недропользованию и управлению движением лицензий ПАО «Газпром нефть»</t>
  </si>
  <si>
    <t>0000101164</t>
  </si>
  <si>
    <t xml:space="preserve">ИП Задорожный Виталий Викторович </t>
  </si>
  <si>
    <t>564800724210</t>
  </si>
  <si>
    <t>Договор купли-продажи НВИ/НЛИ</t>
  </si>
  <si>
    <t>00023-23</t>
  </si>
  <si>
    <t>ГЕО-19/10308/00217/Р</t>
  </si>
  <si>
    <t>Дополнительное соглашение № 4 с Геологинг, на включение ОЭДК,к Договору №ГЕО-19/10308/00217/Р от 19.08.2019 на проведение геолого-технологических исследований скважин при бурении</t>
  </si>
  <si>
    <t xml:space="preserve">Внесение новых оценочных листов </t>
  </si>
  <si>
    <t>0000104871</t>
  </si>
  <si>
    <t xml:space="preserve">ООО Геологинг </t>
  </si>
  <si>
    <t>7705848410</t>
  </si>
  <si>
    <t>00024-21</t>
  </si>
  <si>
    <t>ГЕО-21/00000/00105</t>
  </si>
  <si>
    <t>0000088489</t>
  </si>
  <si>
    <t xml:space="preserve">ИП Титов Михаил Федорович </t>
  </si>
  <si>
    <t>781432213030</t>
  </si>
  <si>
    <t>00024-22</t>
  </si>
  <si>
    <t>ГЕО-21/11708/00165/Р</t>
  </si>
  <si>
    <t>Запад ННГ к договору ГЕО-21/11708/00165/Р//НТЦ-21/09000/00768/Д от 12.07.2021</t>
  </si>
  <si>
    <t>НТЦ-03114-21Д-ГЕО</t>
  </si>
  <si>
    <t>Научно исследовательские работы для формирования предварительной базовой интегрированной концепции разработки в периметре Западных участков территории деятельности АО «Газпромнефть-ННГ»</t>
  </si>
  <si>
    <t>10150 Договор (Мастер-форма) на оказание услуг по газодинамическим исследованиям</t>
  </si>
  <si>
    <t>00024-23</t>
  </si>
  <si>
    <t>ГЕО-23/10150/00017/Р</t>
  </si>
  <si>
    <t>Проведение газодинамических/газоконденсатных/гидродинамических исследований скважин на Северо-Ямбургском и Хамбатейском ЛУ</t>
  </si>
  <si>
    <t>0000062894</t>
  </si>
  <si>
    <t xml:space="preserve">ООО ИЦ ГазИнформПласт </t>
  </si>
  <si>
    <t>7017253595</t>
  </si>
  <si>
    <t>Газодинамические исследования</t>
  </si>
  <si>
    <t>00024-24</t>
  </si>
  <si>
    <t>№ ГЕО-22/11000/00274/Р</t>
  </si>
  <si>
    <t>Наряд-заказ №6 от 16.01.2024 г к Договору № ГЕО-22/11000/00274/Р от 14.10.2022г.</t>
  </si>
  <si>
    <t>На проведение авторского надзора за строительством</t>
  </si>
  <si>
    <t>Шолохова И.А.</t>
  </si>
  <si>
    <t>Управление проектно-изыскательских работ</t>
  </si>
  <si>
    <t>0000076851</t>
  </si>
  <si>
    <t xml:space="preserve">ООО Газпром морские проекты </t>
  </si>
  <si>
    <t>2466091092</t>
  </si>
  <si>
    <t>00025-22</t>
  </si>
  <si>
    <t>Зима к договору ГЕО-21/11708/00165/Р//НТЦ-21/09000/00768/Д от 12.07.2021</t>
  </si>
  <si>
    <t>НТЦ-03134-21Д-ГЕО</t>
  </si>
  <si>
    <t>Программа Проектов «Зима». Концепт геологии и разработки с обоснованием оптимальных программ исследований, дизайном ГРР и ОПР</t>
  </si>
  <si>
    <t>00025-23</t>
  </si>
  <si>
    <t>АНГ-19/11513/00007/Р</t>
  </si>
  <si>
    <t xml:space="preserve">Наряд-заказ № 35 к Договору № АНГ-19/11513/00007/Р </t>
  </si>
  <si>
    <t>35</t>
  </si>
  <si>
    <t>Переоформление краткосрочных договоров аренды лесных участков по проекту "Оморинский" на новый срок</t>
  </si>
  <si>
    <t>Титаева И.А.</t>
  </si>
  <si>
    <t>Управление маркшейдерско-землеустроительных работ</t>
  </si>
  <si>
    <t>0000060723</t>
  </si>
  <si>
    <t xml:space="preserve">ООО СЕРВИСТА </t>
  </si>
  <si>
    <t>3811088474</t>
  </si>
  <si>
    <t>00025-24</t>
  </si>
  <si>
    <t>Изменение № 1 к Наряд-Заказу № 1 к Договору № ГЕО-22/09000/00014/Р от 07.01.2022г.</t>
  </si>
  <si>
    <t>Внесение изменений в НЗ в связи с изменением производственной программы</t>
  </si>
  <si>
    <t>00026-22</t>
  </si>
  <si>
    <t>БМ Енисей к договору ГЕО-21/11708/00165/Р//НТЦ-21/09000/00768/Д от 12.07.2021</t>
  </si>
  <si>
    <t>НТЦ-03231-21Д-ГЕО</t>
  </si>
  <si>
    <t>Построение региональной модели формирования углеводородных систем палеозойского возраста и оценка перспектив их нефтегазаносности в пределах территории Гыданского полуострова и Акватории Енисейского залива</t>
  </si>
  <si>
    <t>10319 Договор на оказание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t>
  </si>
  <si>
    <t>00026-23</t>
  </si>
  <si>
    <t>ГЕО-23/10000/00023/Р</t>
  </si>
  <si>
    <t>оказания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t>
  </si>
  <si>
    <t>0000051935</t>
  </si>
  <si>
    <t xml:space="preserve">ООО НьюТек Сервисез </t>
  </si>
  <si>
    <t>7709832820</t>
  </si>
  <si>
    <t>311324824.26</t>
  </si>
  <si>
    <t>Телеметрическое и технологическое  сопровождение при  наклонно-направленном и горизонтальном бурении и технологическое сопровождение (прокат) буровых долот и забойных двигателей</t>
  </si>
  <si>
    <t>00026-24</t>
  </si>
  <si>
    <t>Дополнительное соглашение №3 к Договору №ГЕО-23/10150/00017/Р от «10» января 2023 г.</t>
  </si>
  <si>
    <t xml:space="preserve">Раскрытие негарантированного объема 2024 г.
Применение ставок консервации оборудования </t>
  </si>
  <si>
    <t>00027-22</t>
  </si>
  <si>
    <t>ОиИ Хамбатей к договору ГЕО-21/11708/00165/Р//НТЦ-21/09000/00768/Д от 12.07.2021</t>
  </si>
  <si>
    <t>НТЦ-03019-21Д-ГЕО</t>
  </si>
  <si>
    <t>Обработка и комплексная интерпретация геолого-геофизических данных сейсморазведочных работ МОГТ 2D и 3D в пределах Хамбатейского лицензионного участка и сопредельной территории в 2022-2023 гг.»</t>
  </si>
  <si>
    <t>00027-23</t>
  </si>
  <si>
    <t xml:space="preserve"> оказание услуг по супервайзерскому контролю технологии полевых сейсморазведочных работ на Луговом ЛУ</t>
  </si>
  <si>
    <t xml:space="preserve"> оказание услуг по супервайзерскому контролю технологии полевых сейсморазведочных работ на Луговом ЛУ, в рамках операторского договора между СН-МНГ и ГПН-ГЕО.</t>
  </si>
  <si>
    <t>10308 Договор на проведение геолого-технологических исследований скважин при бурении</t>
  </si>
  <si>
    <t>00027-24</t>
  </si>
  <si>
    <t>ГЕО-24/10000/00022/Р</t>
  </si>
  <si>
    <t>на проведение геолого-технологических исследований скважин  в процессе бурения услуга 10308</t>
  </si>
  <si>
    <t>0000071220</t>
  </si>
  <si>
    <t xml:space="preserve">ООО НППГА Луч </t>
  </si>
  <si>
    <t>5401950707</t>
  </si>
  <si>
    <t>00028-23</t>
  </si>
  <si>
    <t>ГЕО-22/10000/00278/Р</t>
  </si>
  <si>
    <t>ДС1 к договору № ГЕО-22/10000/00278/Р</t>
  </si>
  <si>
    <t>Включение условий по банковскому сопровождению</t>
  </si>
  <si>
    <t>Безруков А.А.</t>
  </si>
  <si>
    <t>0000054112</t>
  </si>
  <si>
    <t xml:space="preserve">ООО ПИТЦ Геофизика </t>
  </si>
  <si>
    <t>5914022670</t>
  </si>
  <si>
    <t>00028-24</t>
  </si>
  <si>
    <t>ГЕО-24/10000/00021/Р</t>
  </si>
  <si>
    <t>проведение геолого-технологических исследований скважин при бурении</t>
  </si>
  <si>
    <t xml:space="preserve">ООО Геологгинг </t>
  </si>
  <si>
    <t>00029-22</t>
  </si>
  <si>
    <t>№ ГЕО-20/10986/00138/Р от 10.08.2020 г.</t>
  </si>
  <si>
    <t>Задание № 16 к Договору № ГЕО-20/10986/00138/Р от 10.08.2020г. с компанией ООО «ОГК» в рамках исполнения данного договора в 2022 году по контролю состояния производственной безопасности с целью исполнения агентского договора, заключенного между ООО «ГПН-ГЕ</t>
  </si>
  <si>
    <t>16</t>
  </si>
  <si>
    <t>заключение Задания № 16 к Договору № ГЕО-20/10986/00138/Р от 10.08.2020г. с компанией ООО «ОГК» в рамках исполнения данного договора в 2022 году по контролю состояния производственной безопасности с целью исполнения агентского договора, заключенного между ООО «ГПН-ГЕО» и ООО «ГПН-Восток»</t>
  </si>
  <si>
    <t>Рябикина М.А.</t>
  </si>
  <si>
    <t>Подколзин А.С.</t>
  </si>
  <si>
    <t>0000063179</t>
  </si>
  <si>
    <t xml:space="preserve">ООО ОГК </t>
  </si>
  <si>
    <t>7727747172</t>
  </si>
  <si>
    <t>00029-23</t>
  </si>
  <si>
    <t>Дополнительное соглашение № 4 к Договору № ГЕО-21/10302/00225/Р от 11.10.2021г.</t>
  </si>
  <si>
    <t>Перерарспределние работ по годам</t>
  </si>
  <si>
    <t>00029-24</t>
  </si>
  <si>
    <t>ГЕО-23/10000/00067/Р</t>
  </si>
  <si>
    <t>Изменение №1 к Наряд-заказу №1  от 14.04.23 г. к Договору №ГЕО-23/10000/00067/Р от 31.03.23 г.</t>
  </si>
  <si>
    <t>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t>
  </si>
  <si>
    <t>Кузьмин Е.А.</t>
  </si>
  <si>
    <t>Управление инжиниринга бурения</t>
  </si>
  <si>
    <t>0000104605</t>
  </si>
  <si>
    <t xml:space="preserve">ООО Стратек групп </t>
  </si>
  <si>
    <t>9705112341</t>
  </si>
  <si>
    <t>00030-22</t>
  </si>
  <si>
    <t>ГЕО-22/25000/00015/Р</t>
  </si>
  <si>
    <t>Оказание услуг по организации отправки/встречи авиарейсов (вертолеты)</t>
  </si>
  <si>
    <t>Леденев Ю.А.</t>
  </si>
  <si>
    <t>0000090055</t>
  </si>
  <si>
    <t xml:space="preserve">Шестакова Мария Андреевна </t>
  </si>
  <si>
    <t>381806333704</t>
  </si>
  <si>
    <t>00030-23</t>
  </si>
  <si>
    <t>ГЕО-21/10301/00259/Р</t>
  </si>
  <si>
    <t>Дополнительное соглашение № 4</t>
  </si>
  <si>
    <t>Перераспределение работ по годам</t>
  </si>
  <si>
    <t>0000061621</t>
  </si>
  <si>
    <t xml:space="preserve">ООО ТРАЕКТОРИЯ - СЕРВИС </t>
  </si>
  <si>
    <t>6381010888</t>
  </si>
  <si>
    <t>Технологическое сопровождение (прокат) буровых долот</t>
  </si>
  <si>
    <t>00030-24</t>
  </si>
  <si>
    <t>00031-22</t>
  </si>
  <si>
    <t>Страхование сотрудников ООО "ГПН-ГЕО" от несчастных случаев и болезней на 2022 г</t>
  </si>
  <si>
    <t>00031-23</t>
  </si>
  <si>
    <t>ГЕО-23/26000/00015</t>
  </si>
  <si>
    <t xml:space="preserve">Для обмена конфиденциальными данными </t>
  </si>
  <si>
    <t>0000041228</t>
  </si>
  <si>
    <t xml:space="preserve">ООО Газпром ВНИИГАЗ </t>
  </si>
  <si>
    <t>5003028155</t>
  </si>
  <si>
    <t>00031-24</t>
  </si>
  <si>
    <t>Изменение №2 к наряд-заказу №2 от 28.11.23 г. к Договору №ГЕО-23/10000/00067/Р от 31.03.23 г.</t>
  </si>
  <si>
    <t>00032-23</t>
  </si>
  <si>
    <t>ГЕО-22/10000/00273/Р</t>
  </si>
  <si>
    <t>ДС1 к договору № ГЕО-22/10000/00273/Р от 10.10.2022</t>
  </si>
  <si>
    <t>0000049141</t>
  </si>
  <si>
    <t xml:space="preserve">ПАО ГЕОТЕК Сейсморазведка </t>
  </si>
  <si>
    <t>7203215460</t>
  </si>
  <si>
    <t>00032-24</t>
  </si>
  <si>
    <t>Заявка</t>
  </si>
  <si>
    <t>ГЕО-23/09000/00149/Р</t>
  </si>
  <si>
    <t>Заявка № 10 к договору о предоставлении труда работников (персонала) № ГЕО-23/09000/00149/Р от 28.08.2023 г.</t>
  </si>
  <si>
    <t>10</t>
  </si>
  <si>
    <t>Привлечение персонала по направлению «Производственная безопасность», Супервайзер по производственной безопасности на проект «Оморинский», Камовская площадь, скважина КМ-4 и КМ-4бис, в рамках и на условиях действующего договора № ГЕО-23/09000/00149/Р от «28» августа 2023 г.</t>
  </si>
  <si>
    <t>Фокин Е.В.</t>
  </si>
  <si>
    <t>0000084590</t>
  </si>
  <si>
    <t xml:space="preserve">ООО Свифт Текникал </t>
  </si>
  <si>
    <t>7708277130</t>
  </si>
  <si>
    <t>00033-21</t>
  </si>
  <si>
    <t>№ ГПН-18/09000/02142/Р от 07 сентября 2018 г.</t>
  </si>
  <si>
    <t>Выполнение операторских работ и оказание операторских услуг</t>
  </si>
  <si>
    <t>ДС №8 к Договору № ГПН-18/09000/02142/Р от 07.09.2018г.</t>
  </si>
  <si>
    <t>Авансирование услуг</t>
  </si>
  <si>
    <t>Николаев М.Н.</t>
  </si>
  <si>
    <t>00033-23</t>
  </si>
  <si>
    <t>ГЕО-22/10000/00276/Р</t>
  </si>
  <si>
    <t>ДС1 к договору № ГЕО-22/10000/00276/Р</t>
  </si>
  <si>
    <t>0000067121</t>
  </si>
  <si>
    <t xml:space="preserve">ООО ТСГК </t>
  </si>
  <si>
    <t>7202171361</t>
  </si>
  <si>
    <t>00033-24</t>
  </si>
  <si>
    <t>Заявка № 11 к договору о предоставлении труда работников (персонала) № ГЕО-23/09000/00149/Р от 28.08.2023 г.</t>
  </si>
  <si>
    <t>Привлечение персонала по направлению «Производственная безопасность», Супервайзер по производственной безопасности на проект «Оморинский», Салаирская площадь, скважина СЛР-3, в рамках и на условиях действующего договора № ГЕО-23/09000/00149/Р от «28» августа 2023 г</t>
  </si>
  <si>
    <t>00034-21</t>
  </si>
  <si>
    <t>ГЕО-21/00000/00118</t>
  </si>
  <si>
    <t>СОГЛАШЕНИЕ ОБ ИСПОЛЬЗОВАНИИ ЭЛЕКТРОННОГО ДОКУМЕНТООБОРОТА</t>
  </si>
  <si>
    <t>организация юридически значимого документооборота во исполнение совершенных между ними сделок с использованием Электронной подписи</t>
  </si>
  <si>
    <t>0000019598</t>
  </si>
  <si>
    <t xml:space="preserve">Компания Шлюмберже Лоджелко Инк. </t>
  </si>
  <si>
    <t>9909012867</t>
  </si>
  <si>
    <t>00034-23</t>
  </si>
  <si>
    <t>ГЕО-21/10308/00248/Р</t>
  </si>
  <si>
    <t>ДС №2 к договору №ГЕО-21/10308/00248/Р</t>
  </si>
  <si>
    <t xml:space="preserve">Редакция Приложения № 7 к договору, актуализация Оценочных листов </t>
  </si>
  <si>
    <t>00034-24</t>
  </si>
  <si>
    <t>Заявка № 12 к договору о предоставлении труда работников (персонала) № ГЕО-23/09000/00149/Р от 28.08.2023 г.</t>
  </si>
  <si>
    <t>Привлечение персонала по направлению «Производственная безопасность», руководитель группы по производственной безопасности на проект «Титан», скв. № 1 ПО Северо-Ямбургского ЛУ, в рамках и на условиях действующего договора № ГЕО-23/09000/00149/Р от «28» августа 2023 г.</t>
  </si>
  <si>
    <t>00035-21</t>
  </si>
  <si>
    <t>ГЕО-21/11031/00101/Р</t>
  </si>
  <si>
    <t>Договор на оказание услуг по гидромеханизированной разработке грунта</t>
  </si>
  <si>
    <t>Выполнить Работы по гидронамыву песчаного грунта в штабель на месторождениях, где Заказчик осуществляет операторские услуги</t>
  </si>
  <si>
    <t>Макаринский Е.Ю.</t>
  </si>
  <si>
    <t>Кукленков Михаил Александрович</t>
  </si>
  <si>
    <t>0000073305</t>
  </si>
  <si>
    <t xml:space="preserve">ООО УГМ </t>
  </si>
  <si>
    <t>8904080406</t>
  </si>
  <si>
    <t>СМР Комплекс работ по разработке карьеров
(примечание: разработка карьеров грунта, в т.ч. гидронамывным способом)</t>
  </si>
  <si>
    <t>00035-22</t>
  </si>
  <si>
    <t>ГЕО-21 /11708/00165/P//НТЦ-21/0900/00768/Д</t>
  </si>
  <si>
    <t>Построение предварительного базового концепта разработки проекта Южный Оренбург</t>
  </si>
  <si>
    <t>НТЦ-03240-21Д</t>
  </si>
  <si>
    <t>обусловлено необходимостью выполнения оценки экономической целесообразности бурения скважин на поисковые объекты сложного геологического строения расчета профилей потенциальной добычи, оптимальной системы разработке и подготовки экономических моделей</t>
  </si>
  <si>
    <t>00035-23</t>
  </si>
  <si>
    <t>Задание</t>
  </si>
  <si>
    <t>ГЕО-20/10986/00138/Р</t>
  </si>
  <si>
    <t>Задание 23.1</t>
  </si>
  <si>
    <t>23.1</t>
  </si>
  <si>
    <t>Изменение Задания 23 в редакции Задания 23.1 к Договору</t>
  </si>
  <si>
    <t>Автеньев М.В.</t>
  </si>
  <si>
    <t>00035-24</t>
  </si>
  <si>
    <t>ГЕО-21/10318/00258/Р</t>
  </si>
  <si>
    <t>Изменение № 1 к НАРЯД-ЗАКАЗУ №2 от 13.09.2023г. к Договору № ГЕО-21/10318/00258/Р от «08» ноября 2021 г.</t>
  </si>
  <si>
    <t>Изменение наряд-заказа в связи с изменением производственной программы</t>
  </si>
  <si>
    <t>00036-21</t>
  </si>
  <si>
    <t>ГЕО-21/00000/00107</t>
  </si>
  <si>
    <t>Соглашение об использовани ЭДО</t>
  </si>
  <si>
    <t>Диденко П.В.</t>
  </si>
  <si>
    <t>Отдел по работе с подрядными организациями и безопасности на транспорте</t>
  </si>
  <si>
    <t>00036-22</t>
  </si>
  <si>
    <t>ГЕО-22/33200/00016</t>
  </si>
  <si>
    <t>Внедрение Электронного Документооборота</t>
  </si>
  <si>
    <t>00036-23</t>
  </si>
  <si>
    <t>ГЕО-23/26000/00018</t>
  </si>
  <si>
    <t>Для выполнения работ подрядной организацией ООО «ИЦ ГазИнформПласт»</t>
  </si>
  <si>
    <t>00036-24</t>
  </si>
  <si>
    <t>Перевод на ЭДО агентской схемы по авиаперевозкам</t>
  </si>
  <si>
    <t>0000066115</t>
  </si>
  <si>
    <t>ООО Управление технологического тр анспорта - Югра</t>
  </si>
  <si>
    <t>8603129231</t>
  </si>
  <si>
    <t>00037-21</t>
  </si>
  <si>
    <t>ГЕО-21/09000/00102/Д</t>
  </si>
  <si>
    <t>Оказание услуг Ассистанса</t>
  </si>
  <si>
    <t>За вознаграждение совершать по Заявке действия по предоставлению услуг программы Ассистанс</t>
  </si>
  <si>
    <t>0000074750</t>
  </si>
  <si>
    <t xml:space="preserve">ООО Газпромнефть-ННГГФ </t>
  </si>
  <si>
    <t>8905062456</t>
  </si>
  <si>
    <t>00037-22</t>
  </si>
  <si>
    <t>ГЕО-21/07000/00311/Д</t>
  </si>
  <si>
    <t>проведение полевых сейсморазведочных работ МОГТ ЗД с применением роведение полевых сейсморазведочных работ МОГТ ЗД с применением технологии «Зеленая сейсмика ©» на ЛУ работ ПАО «СН-МНГ», а также, в пределах примыкающего нераспределенного фонда в 2021-2023</t>
  </si>
  <si>
    <t>Ахматгалиев С.З.</t>
  </si>
  <si>
    <t>Д-38</t>
  </si>
  <si>
    <t>0000027605</t>
  </si>
  <si>
    <t xml:space="preserve">ПАО СН-МНГ </t>
  </si>
  <si>
    <t>8605003932</t>
  </si>
  <si>
    <t>Договор подряда</t>
  </si>
  <si>
    <t>00037-23</t>
  </si>
  <si>
    <t>ГЕО-23/33200/00019</t>
  </si>
  <si>
    <t>Для обмена документами с подрядной организацией ООО «ИЦ ГазИнформПласт»</t>
  </si>
  <si>
    <t>00037-24</t>
  </si>
  <si>
    <t>ГЕО-21/08000/00296/Р</t>
  </si>
  <si>
    <t>Изм №1 к Заявке №15 ВНИГНИ №ГЕО-21/08000/00296/Р от 28.12.2021</t>
  </si>
  <si>
    <t>Изм №1 к Заявке №15 ВНИГНИ №ГЕО-21/08000/00296/Р от 28.12.2021. Цель - изменение сроков предоставления услуг.</t>
  </si>
  <si>
    <t>Мустафин И.Р.</t>
  </si>
  <si>
    <t>0000073438</t>
  </si>
  <si>
    <t xml:space="preserve">ФГБУ ВНИГНИ </t>
  </si>
  <si>
    <t>7720330291</t>
  </si>
  <si>
    <t>00038-21</t>
  </si>
  <si>
    <t>ГЕО-21/00000/00108</t>
  </si>
  <si>
    <t>0000081920</t>
  </si>
  <si>
    <t xml:space="preserve">ООО ЭКОДАР-СПБ </t>
  </si>
  <si>
    <t>7810440235</t>
  </si>
  <si>
    <t>00038-23</t>
  </si>
  <si>
    <t>ГЕО-23/20000/00020/Д</t>
  </si>
  <si>
    <t>20000 Агентский договор на организацию вертолетных авиаперевозок ООО "ИЦ ГазИнформПласт"</t>
  </si>
  <si>
    <t>00038-24</t>
  </si>
  <si>
    <t>ГЕО-22/09000/00203/Р</t>
  </si>
  <si>
    <t>ДС №2 к договору № 78209402/ГЕО-22/09000/00203/Р от «10» августа 2022г.</t>
  </si>
  <si>
    <t xml:space="preserve">Дополнительное соглашение №2 о взаимодействии в рамках электронного документооборота. По требованию КА новую форму (типовую) соглашения об ЭДО заключаем как дополнительное соглашение к договору оказания услуг. При этом ТФД не изменяется.
</t>
  </si>
  <si>
    <t>Исаева И.С.</t>
  </si>
  <si>
    <t>ЭП (внешний)</t>
  </si>
  <si>
    <t>0000090774</t>
  </si>
  <si>
    <t xml:space="preserve">АО Почта России </t>
  </si>
  <si>
    <t>7724490000</t>
  </si>
  <si>
    <t>00039-22</t>
  </si>
  <si>
    <t>ГЕО-22/33200/00017</t>
  </si>
  <si>
    <t xml:space="preserve">Заключить соглашение об использовании электронного документооборота с контрагентом. _x000D_
</t>
  </si>
  <si>
    <t>Касатов И.Н.</t>
  </si>
  <si>
    <t>0000045671</t>
  </si>
  <si>
    <t xml:space="preserve">ООО Партнеры Ноябрьск </t>
  </si>
  <si>
    <t>8905039143</t>
  </si>
  <si>
    <t>00039-23</t>
  </si>
  <si>
    <t>ГЕО-23/26000/00053</t>
  </si>
  <si>
    <t>АКЦИОНЕРНАЯ КОМПАНИЯ "АЛРОСА" (ПУБЛИЧНОЕ АКЦИОНЕРНОЕ ОБЩЕСТВО)</t>
  </si>
  <si>
    <t>00039-24</t>
  </si>
  <si>
    <t>Заявка на оказание услуг №2 к Договору №ГЕО-23/10150/00017/Р от «10» января 2023 г.</t>
  </si>
  <si>
    <t>Выдача нового объема на Северо-Ямбургский ЛУ</t>
  </si>
  <si>
    <t>Волков Г.В.</t>
  </si>
  <si>
    <t>Д-16</t>
  </si>
  <si>
    <t>00040-22</t>
  </si>
  <si>
    <t xml:space="preserve">ГЕО-20/09000/00170/Р  </t>
  </si>
  <si>
    <t>Дополнительное соглашение № 3</t>
  </si>
  <si>
    <t>Перераспределние негарантированных объемов 2022-2023 гг в гарантированный объем 2022 г</t>
  </si>
  <si>
    <t>0000065849</t>
  </si>
  <si>
    <t xml:space="preserve">ООО Выход </t>
  </si>
  <si>
    <t>7816556691</t>
  </si>
  <si>
    <t>00040-23</t>
  </si>
  <si>
    <t>ГЕО-23/33100/00024</t>
  </si>
  <si>
    <t>33100 Соглашение в области производственной безопасности (НьюТек Сервисиз)</t>
  </si>
  <si>
    <t>Оказания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t>
  </si>
  <si>
    <t>Салихов М.Р.</t>
  </si>
  <si>
    <t>00040-24</t>
  </si>
  <si>
    <t xml:space="preserve">ГЕО-23/10000/00219/Р </t>
  </si>
  <si>
    <t>Наряд-Заказ по Проекту "Титан"</t>
  </si>
  <si>
    <t>Заключение НЗ на демобилизацию оборудования</t>
  </si>
  <si>
    <t>Шакирзянов Л.Н.</t>
  </si>
  <si>
    <t>Д-20</t>
  </si>
  <si>
    <t>00041-22</t>
  </si>
  <si>
    <t xml:space="preserve">ГЕО-20/17000/00213/Р </t>
  </si>
  <si>
    <t>Доброльное медицинское страхование сотрудников ООО ГПН-ГЕО на три месяца 2022 г</t>
  </si>
  <si>
    <t>00041-23</t>
  </si>
  <si>
    <t>ГЕО-22/10000/00055/Р</t>
  </si>
  <si>
    <t>ДС №5 к Договору №ГЕО-22/10000/00055/Р от 17.03.2022 г.</t>
  </si>
  <si>
    <t>5</t>
  </si>
  <si>
    <t>Перевод негарантированного объема в гарантированный для оказания услуг ГТИ на Северо-Ямбургском ЛУ</t>
  </si>
  <si>
    <t>ГТИ при бурении</t>
  </si>
  <si>
    <t>00041-24</t>
  </si>
  <si>
    <t>ГЕО-24/09000/00020/Р</t>
  </si>
  <si>
    <t>Договор на оказание услуг по камеральной проверке документов на соответствие требованиям ПБ</t>
  </si>
  <si>
    <t>в целях обеспечения проверки документов, поступающих от ПО в ССП</t>
  </si>
  <si>
    <t>2397320</t>
  </si>
  <si>
    <t>00042-21</t>
  </si>
  <si>
    <t>АНГ_19/11513/00010/Р</t>
  </si>
  <si>
    <t xml:space="preserve">Наряд-заказ № 6 к Договору № АНГ-19/11513/00010/Р </t>
  </si>
  <si>
    <t>Оформление разрешительной документации на земельные участки для объекта "Площадка поисково-оценочной скважины №1 на Северо-Ямбургском ЛУ с временной зимней автодорогой"</t>
  </si>
  <si>
    <t>Титаева И.А. - Руководитель маркшейдерско-землеустроительных работ - Управление маркшейдерско-землеустроительных работ;</t>
  </si>
  <si>
    <t>0000066314</t>
  </si>
  <si>
    <t xml:space="preserve">ООО Магеллан </t>
  </si>
  <si>
    <t>7202242358</t>
  </si>
  <si>
    <t xml:space="preserve">Выполнение комплекса топографо-геодезических, землеустроительных и лесоустроительных  работ </t>
  </si>
  <si>
    <t>0%</t>
  </si>
  <si>
    <t>00042-22</t>
  </si>
  <si>
    <t>Лобанов А.А.</t>
  </si>
  <si>
    <t>Управление по геологии</t>
  </si>
  <si>
    <t>00042-23</t>
  </si>
  <si>
    <t>ГЕО-22/10000/00036/Р</t>
  </si>
  <si>
    <t>Дополнительное соглашение №4 к Договору № ГЕО-22/10000/00036/Р от 14.02.2022г</t>
  </si>
  <si>
    <t xml:space="preserve">4 </t>
  </si>
  <si>
    <t>Корректировака производственной программы и перевод в гарантированную часть</t>
  </si>
  <si>
    <t>Рымаренко А.А.</t>
  </si>
  <si>
    <t>Управление внутрискважинных работ</t>
  </si>
  <si>
    <t>0000060954</t>
  </si>
  <si>
    <t xml:space="preserve">ООО ВЕТЕРАН </t>
  </si>
  <si>
    <t>5603007580</t>
  </si>
  <si>
    <t>00042-24</t>
  </si>
  <si>
    <t>ГЕО-24/09100/00037/Р</t>
  </si>
  <si>
    <t>ДОГОВОР N EMBA-XXXX/29-ПМ об образовании на обучение по дополнительным</t>
  </si>
  <si>
    <t xml:space="preserve">
1.1. Исполнитель обязуется предоставить Обучающемуся образовательную услугу (далее - услуги), а Заказчик и Обучающийся обязуются оплатить образовательную услугу по предоставлению программы профессиональной переподготовки «Executive MBA» (далее – «Программа»).
1.2. Форма обучения - очно-заочная (модульная) с применением электронного обучения и дистанционных образовательных технологий в соответствии с учебным планом и образовательной программой Исполнителя. 
1.3. Срок освоения Программы (продолжительность обучения) на момент подписания Договора составляет с декабря 2023 г. по сентябрь 2025 г. Программа состоит из 17 учебных модулей.
1.4. Услуги по Договору оказываются на основании Лицензии от «26» апреля 2017 года №77081, выданной Министерством образования Московской области (срок действия – бессрочно).
</t>
  </si>
  <si>
    <t>Лейман Д.Д.</t>
  </si>
  <si>
    <t>0000058328</t>
  </si>
  <si>
    <t>Московская школа управления СКОЛКО ВО</t>
  </si>
  <si>
    <t>5032180980</t>
  </si>
  <si>
    <t>00043-21</t>
  </si>
  <si>
    <t>№ГЕО-20/11708/00047/Р//НТЦ-20/08000/00383/Д-ГЕО</t>
  </si>
  <si>
    <t>Заказ №НТЦ-20/29000/01264/Д-ГЕО</t>
  </si>
  <si>
    <t>Концепт обустройства ачимовских толщ Вынгаяхинского месторождения с применением технологии смешивающегося вытеснения</t>
  </si>
  <si>
    <t>Алексашин Ю.В.</t>
  </si>
  <si>
    <t>Управление концептуального проектирования и инжиниринга</t>
  </si>
  <si>
    <t>Агеев П.А.</t>
  </si>
  <si>
    <t>00043-22</t>
  </si>
  <si>
    <t>ГЕО-21/09000/00220/Р</t>
  </si>
  <si>
    <t xml:space="preserve">Дополнительное соглашение </t>
  </si>
  <si>
    <t xml:space="preserve">Изменение условий договора_x000D_
</t>
  </si>
  <si>
    <t>Д-46</t>
  </si>
  <si>
    <t>00043-23</t>
  </si>
  <si>
    <t>ГЕО-23/10000/00032/Р +ПР + ПУР</t>
  </si>
  <si>
    <t>10306 Договор на выполнение работ по цементированию обсадных колонн и хвостовиков, установке цементных мостов</t>
  </si>
  <si>
    <t>Договор на выполнение работ по цементированию обсадных колонн и хвостовиков, установке цементных мостов</t>
  </si>
  <si>
    <t>0000068695</t>
  </si>
  <si>
    <t xml:space="preserve">ООО Бурсервис </t>
  </si>
  <si>
    <t>1106013435</t>
  </si>
  <si>
    <t>311652098.45</t>
  </si>
  <si>
    <t>00043-24</t>
  </si>
  <si>
    <t>Наряд-заказ на производство работ №2 к Договору №ГЕО-22/10120/00208/Р от «18» августа 2022г.</t>
  </si>
  <si>
    <t>00044-22</t>
  </si>
  <si>
    <t>АНГ-191151300010Р</t>
  </si>
  <si>
    <t>НАРЯД-ЗАКАЗ № 9 к Договору № АНГ-191151300010Р от 18 февраля 2019</t>
  </si>
  <si>
    <t>9</t>
  </si>
  <si>
    <t>Оформление сервитута объекта "Площадка базы строительной техники на ПК0 автозимника на Северо-Ямбургский ЛУ"</t>
  </si>
  <si>
    <t>Расулов И.Ф.</t>
  </si>
  <si>
    <t>00044-24</t>
  </si>
  <si>
    <t>ГЕО-24/33200/00018</t>
  </si>
  <si>
    <t xml:space="preserve">Соглашение об использовании электронного документооборота </t>
  </si>
  <si>
    <t>0000048775</t>
  </si>
  <si>
    <t xml:space="preserve">АО ФРЕЙТ ЛИНК </t>
  </si>
  <si>
    <t>7728142525</t>
  </si>
  <si>
    <t>00045-22</t>
  </si>
  <si>
    <t>ГЕО-22/09000/00050/Д</t>
  </si>
  <si>
    <t>Рамочный договор</t>
  </si>
  <si>
    <t>Оказание услуг согласно отдельным Заказ-Нарядам</t>
  </si>
  <si>
    <t>0000081627</t>
  </si>
  <si>
    <t xml:space="preserve">АО Евротэк-Югра </t>
  </si>
  <si>
    <t>7728606167</t>
  </si>
  <si>
    <t>00045-24</t>
  </si>
  <si>
    <t>ГЕО-22/11000/00274/Р</t>
  </si>
  <si>
    <t>Наряд-заказ №7 к Договору № ГЕО-22/11000/00274/Р от 14.10.2022г.</t>
  </si>
  <si>
    <t>7</t>
  </si>
  <si>
    <t>00046-21</t>
  </si>
  <si>
    <t>Создание концепций геологии и разработки для пилотной закачки газа в пласт</t>
  </si>
  <si>
    <t>ЗАКАЗ №НТЦ-20/07000/01464/Д-ГЕО</t>
  </si>
  <si>
    <t>Сопровождение проекта по Вынгаяхинскому месторождению в части организации пилота MGI</t>
  </si>
  <si>
    <t>00046-22</t>
  </si>
  <si>
    <t>ГЕО-22/20000/00026/Д</t>
  </si>
  <si>
    <t>Агентский договор на организацию вертолетных авиаперевозок с ООО "Газпромнефть-Снабжение"</t>
  </si>
  <si>
    <t>Авиаперевозка персонала и грузов КА</t>
  </si>
  <si>
    <t>0000027645</t>
  </si>
  <si>
    <t xml:space="preserve">ООО Газпромнефть - Снабжение </t>
  </si>
  <si>
    <t>5501072608</t>
  </si>
  <si>
    <t>00046-23</t>
  </si>
  <si>
    <t>ГЕО-22/09000/00287/Р</t>
  </si>
  <si>
    <t>Дополнительное соглашение № 2 к Договору № ГЕО-22/09000/00287/Р от 03.11.2022 г. на оказание охранных услуг</t>
  </si>
  <si>
    <t>Переход контрагента на УСН</t>
  </si>
  <si>
    <t>0000068974</t>
  </si>
  <si>
    <t xml:space="preserve">ООО ЧОП СОБР </t>
  </si>
  <si>
    <t>3808120671</t>
  </si>
  <si>
    <t>00046-24</t>
  </si>
  <si>
    <t>ГЕО-24/09600/00027</t>
  </si>
  <si>
    <t>О практической подготовке при реализации (проведении) практики обучающихся РГПУ им. А.И. Герцена</t>
  </si>
  <si>
    <t>Организация практической подготовки при реализации (проведении) практики обучающихся Университета</t>
  </si>
  <si>
    <t>Федеральное государственное бюджетное образовательное учреждение высшего образования "Российский государственный педагогический университет им. А.И. Герцена"</t>
  </si>
  <si>
    <t>Договор на прохождение практики студентами</t>
  </si>
  <si>
    <t>00047-22</t>
  </si>
  <si>
    <t>ГЕО-22/09000/00023/Р</t>
  </si>
  <si>
    <t>Оказание услуг по сбору и передаче данных, формированию отчетности, архивированию, визуализации и предоставлению каналов связи (Титан)</t>
  </si>
  <si>
    <t>Сбор и передача данных, формирование отчетности, архивирование, визуализация, предоставление каналов связи</t>
  </si>
  <si>
    <t>00047-23</t>
  </si>
  <si>
    <t>№ ГЕО-22/10951/00165/Р от 29.07.22 г.</t>
  </si>
  <si>
    <t>Изменение №1 к Заданию №1 с АО "ЦАСЭО" к ДД № ГЕО-22/10951/00165/Р</t>
  </si>
  <si>
    <t xml:space="preserve">Корректировка объемов, проставление фактической даты мобилизации. </t>
  </si>
  <si>
    <t>0000048275</t>
  </si>
  <si>
    <t xml:space="preserve">АО ЦАСЭО </t>
  </si>
  <si>
    <t>7709267582</t>
  </si>
  <si>
    <t>00047-24</t>
  </si>
  <si>
    <t xml:space="preserve">НАРЯД-ЗАКАЗ №1 к  Договору № ГЕО-24/10000/00003/Р  от «15» Января 2024 г. </t>
  </si>
  <si>
    <t>Испытание скважины 3 Салаирская</t>
  </si>
  <si>
    <t>00048-22</t>
  </si>
  <si>
    <t>ГЕО-22/20000/00022/Р</t>
  </si>
  <si>
    <t>Оказание услуг по освоению скважин методами свабирования и компрессирования при ТКРС</t>
  </si>
  <si>
    <t>00048-23</t>
  </si>
  <si>
    <t>ГЕО-21/09000/00250/Р</t>
  </si>
  <si>
    <t>Дополнительное соглашение № 5 к Договору № ГЕО-21/09000/00250/Р от 08.11.2021 г. на оказание охранных услуг</t>
  </si>
  <si>
    <t>09100 Договор по организации участия в обучающих, развивающих, командообразующих, представительских и спортивно-оздоровительных Российских мероприятиях и за ее пределами, в случае необходимости сотрудничества с иностранными контрагентами для сотрудников ООО «ГПН-ГЕО», информационное сопровождение мероприятий</t>
  </si>
  <si>
    <t>00048-24</t>
  </si>
  <si>
    <t>ГЕО-24/09100/00024/Р</t>
  </si>
  <si>
    <t xml:space="preserve">в целях организации участия сотрудников ГПН-ГЕО в обучающих, развивающих, командообразующих, представительских и спортивно-оздоровительных мероприятиях.  </t>
  </si>
  <si>
    <t>Сасса А.В.</t>
  </si>
  <si>
    <t>00049-23</t>
  </si>
  <si>
    <t>ГЕО-22/09000/00219/Р</t>
  </si>
  <si>
    <t>Дополнительное соглашение № 1 к Договору № ГЕО-22/09000/00219/Р от 13.09.2022 г. возмездного оказания услуг по охране объектов</t>
  </si>
  <si>
    <t>00049-24</t>
  </si>
  <si>
    <t>ГЕО-24/09100/00025/Р</t>
  </si>
  <si>
    <t xml:space="preserve">в целях организации корпоративных форумов и конференций, спонсорской деятельности, корпоративных и благотворительных мероприятий для сотрудников ООО «ГПН-ГЕО», созданию и проведению рекламно-информационных проектов, информационное сопровождение мероприятий </t>
  </si>
  <si>
    <t>Нюняйкина О.В.</t>
  </si>
  <si>
    <t>Отдел по корпоративным коммуникациям</t>
  </si>
  <si>
    <t>00050-22</t>
  </si>
  <si>
    <t>ГЕО-22/09000/00025/Р</t>
  </si>
  <si>
    <t>Договор на оказание услуг подвижной спутниковой связи</t>
  </si>
  <si>
    <t>Оперативное обеспечение средствами связи сотрудников ООО «Газпромнефть-ГЕО», находящихся на вахте или выезжающих на удаленные месторождения.</t>
  </si>
  <si>
    <t>0000062875</t>
  </si>
  <si>
    <t xml:space="preserve">ООО СТЭК.КОМ </t>
  </si>
  <si>
    <t>7734255830</t>
  </si>
  <si>
    <t>00050-23</t>
  </si>
  <si>
    <t>Дополнительное соглашение №5 к Договору № ГЕО-22/10000/00036/Р от 14.02.2022г. на выполнение работ по обработке призабойной зоны пласта</t>
  </si>
  <si>
    <t xml:space="preserve">Внедрение актуализированной методологии ОЭДК  В соответствии с протоколом экспертного совета по управлению взаимоотношениями с контрагентами БРД ПАО «Газпром нефть» № 67 от 27 июня 2022 г. №ПТ-100.0364/000068/02 вопрос №2 </t>
  </si>
  <si>
    <t>00050-24</t>
  </si>
  <si>
    <t>ГЕО-19/09000/00303/Р</t>
  </si>
  <si>
    <t>Наряд-задание № 5 к договору ГЕО-19/09000/00303/Р от 15.11.2019</t>
  </si>
  <si>
    <t>Организация и содержание медицинского здравпункта в Уральском Федеральном Округе на Северо-Ямбургском лицензионном участке (скв. 1 ПО)</t>
  </si>
  <si>
    <t xml:space="preserve">ООО ММЦ Профмедицина </t>
  </si>
  <si>
    <t>00051-22</t>
  </si>
  <si>
    <t>ГПН-18/09000/02142/Р от 07.09.2018г.</t>
  </si>
  <si>
    <t>Программа Ю.Ямал на 22 год</t>
  </si>
  <si>
    <t>Д-57</t>
  </si>
  <si>
    <t>00051-23</t>
  </si>
  <si>
    <t>ГЕО-23/33100/00026</t>
  </si>
  <si>
    <t>Для выполнения работ подрядной организацией ООО «ИЦ ГазИнформПласт»_x000D_
ДЛЯ ИНФО - СОГЛАШЕНИЕ ПО ПБ ЗАКЛЮЧАЕТСЯ В РЕДАКЦИИ, ОПУБЛИКОВАННОЙ НА КОНКУРЕНТНОМ ОТБОРЕ. В ДАЛЬНЕЙШЕМ ПРИ НЕОБХОДИМОСТИ И В СЛУЧАЕ СОГЛАСИЯ КОНТРАГЕНТА СОГЛАШЕНИЕ ПО ПБ БУДЕТ АКТУАЛИЗИРОВАНО.</t>
  </si>
  <si>
    <t>00051-24</t>
  </si>
  <si>
    <t>Заявка № 13 к договору о предоставлении труда работников (персонала) № ГЕО-23/09000/00149/Р от 28.08.2023 г.</t>
  </si>
  <si>
    <t>Привлечение персонала по направлению «Производственная безопасность», супервайзер по производственной безопасности на проект «Титан», скв. № 1 ПО Северо-Ямбургского ЛУ, в рамках и на условиях действующего договора № ГЕО-23/09000/00149/Р от «28» августа 2023 г.</t>
  </si>
  <si>
    <t>00052-24</t>
  </si>
  <si>
    <t>ГЕО-24/09600/00046</t>
  </si>
  <si>
    <t>Договор о практической подготовке обучающихся</t>
  </si>
  <si>
    <t>Предметом настоящего Договора является организация практической подготовки обучающихся.</t>
  </si>
  <si>
    <t>Шишова О.П.</t>
  </si>
  <si>
    <t>Кластер "Традиционные запасы"</t>
  </si>
  <si>
    <t>Федеральное государственное бюджетное образовательное учреждение высшего образования «Санкт-Петербургский государственный экономический университет» (СПбГЭУ)</t>
  </si>
  <si>
    <t>00053-22</t>
  </si>
  <si>
    <t>№ГЕО-20/10986/00128/Р</t>
  </si>
  <si>
    <t>Нраяд заказ на оказние услуг №6</t>
  </si>
  <si>
    <t>на 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t>
  </si>
  <si>
    <t>Договор купли-продажи сопутствующих товаров и услгуг</t>
  </si>
  <si>
    <t>10303 Договор подряда по приготовлению и инженерному сопровождению буровых растворов</t>
  </si>
  <si>
    <t>00053-23</t>
  </si>
  <si>
    <t>ГЕО-23/10000/00035/Р +ПР + ПУР</t>
  </si>
  <si>
    <t>Договор подряда по приготовлению и инженерному сопровождению буровых</t>
  </si>
  <si>
    <t>95623521.23</t>
  </si>
  <si>
    <t>00053-24</t>
  </si>
  <si>
    <t>тест</t>
  </si>
  <si>
    <t>Герасимова О.А.</t>
  </si>
  <si>
    <t>Рога и копыта ООО</t>
  </si>
  <si>
    <t>00054-22</t>
  </si>
  <si>
    <t>ГЕО-21/01200/00189/Р</t>
  </si>
  <si>
    <t xml:space="preserve">Пролангация финансовых обязательств к ранее заключенному договору поставки ГЕО-21/01200/00189/Р. Без изменения стоимости договора._x000D_
</t>
  </si>
  <si>
    <t>Лесняк Н.А.</t>
  </si>
  <si>
    <t>00054-23</t>
  </si>
  <si>
    <t>ГЕО-23/33100/00031</t>
  </si>
  <si>
    <t>Соглашение в области ПБ</t>
  </si>
  <si>
    <t>Копылов Е.О.</t>
  </si>
  <si>
    <t>0000040255</t>
  </si>
  <si>
    <t xml:space="preserve">АНО Экотерра </t>
  </si>
  <si>
    <t>7729407742</t>
  </si>
  <si>
    <t>00054-24</t>
  </si>
  <si>
    <t>ГЕО-24/25000/00026/Р</t>
  </si>
  <si>
    <t>Разработка и внедрение единого формата графического дизайна презентационных материалов для реализации целевой организационной модели управления проектами развития ресурсной базы</t>
  </si>
  <si>
    <t>Войтенко М.А.</t>
  </si>
  <si>
    <t>Управление планирования и контроля реализации проектов</t>
  </si>
  <si>
    <t>0000087796</t>
  </si>
  <si>
    <t xml:space="preserve">Кунова Светлана Сергеевна </t>
  </si>
  <si>
    <t>692700520683</t>
  </si>
  <si>
    <t>00055-21</t>
  </si>
  <si>
    <t>ГЕО-19/09000/00321/Д</t>
  </si>
  <si>
    <t>Дополнительное соглашение №1 к Договору на оказание услуг по теме: "Геологическое изучение перспектив нефтегазоносности Западного кластера Ачимовской толщи"</t>
  </si>
  <si>
    <t>ДС №1 к ГЕО-19/09000/00321/Д/ХНТ-19/10185/1294/Р/60</t>
  </si>
  <si>
    <t>Изменение работ по  программе проектов  «Ачимовка-Хантос»</t>
  </si>
  <si>
    <t>Андреева И.В.</t>
  </si>
  <si>
    <t>0000039295</t>
  </si>
  <si>
    <t xml:space="preserve">ООО Газпромнефть-Хантос </t>
  </si>
  <si>
    <t>8618006063</t>
  </si>
  <si>
    <t>00055-22</t>
  </si>
  <si>
    <t>ГЕО-22/20000/00027/Д</t>
  </si>
  <si>
    <t>Агентский договор на организацию вертолетных авиаперевозок с ООО "Дан Групп"</t>
  </si>
  <si>
    <t>ООО «Дан Групп»</t>
  </si>
  <si>
    <t>00055-23</t>
  </si>
  <si>
    <t>Дополнительное соглашение №4</t>
  </si>
  <si>
    <t>актуализация оценочного листа</t>
  </si>
  <si>
    <t>Кольцов К.В.</t>
  </si>
  <si>
    <t>00055-24</t>
  </si>
  <si>
    <t xml:space="preserve">ГЕО-21/09000/00198/Р </t>
  </si>
  <si>
    <t>ДОПОЛНИТЕЛЬНОЕ СОГЛАШЕНИЕ № 8 К ДОГОВОРУ № ГЕО-21/09000/00198/Р от 06.09.2021 г.  возмездного оказания услуг по охране объектов</t>
  </si>
  <si>
    <t>8</t>
  </si>
  <si>
    <t xml:space="preserve">Продление срока действия Договора и сроков оказания услуг до 15.05.2024 г.
Перераспределение объёмов услуг между статьями затрат и между годами, с уменьшением общей стоимости договора.
</t>
  </si>
  <si>
    <t>Отдел экономической безопасности</t>
  </si>
  <si>
    <t>0000068442</t>
  </si>
  <si>
    <t xml:space="preserve">ООО ОО Пигас </t>
  </si>
  <si>
    <t>5611027573</t>
  </si>
  <si>
    <t>00056-21</t>
  </si>
  <si>
    <t>ГЕО-21/00000/00123/Д</t>
  </si>
  <si>
    <t>Методическое и экспертное сопровождение реализации технологических проектов Технологической стратегии БРД</t>
  </si>
  <si>
    <t>Назметдинов Рустем Мидхатович</t>
  </si>
  <si>
    <t>00056-23</t>
  </si>
  <si>
    <t>ГЕО-23/09000/00041/Р</t>
  </si>
  <si>
    <t>Договор оказания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t>
  </si>
  <si>
    <t>обеспечений безопасных условий труда при работе с сероводородом</t>
  </si>
  <si>
    <t>00057-21</t>
  </si>
  <si>
    <t>ГЕО-21/00000/00109</t>
  </si>
  <si>
    <t>Обмен электронными документами</t>
  </si>
  <si>
    <t>Д-5</t>
  </si>
  <si>
    <t>00057-23</t>
  </si>
  <si>
    <t>ГЕО-23/01200/00034/Д</t>
  </si>
  <si>
    <t xml:space="preserve">Договор купли-продажи </t>
  </si>
  <si>
    <t>Реализация ДТ в адрес подрядной организации ООО «Уралгеопроект», предоставляющей ООО «ГПН-ГЕО» услуги изыскательских работ (ДОГОВОР (Рамочный) № ГЕО-22/1Ю00/00030/Р от 14.02.2022г.) при реализации производственной программы Проекта «Титан» на Северо-Ямбургском ЛУ в 2023 году.</t>
  </si>
  <si>
    <t>Нежальских В.А.</t>
  </si>
  <si>
    <t>01200 Договор  поставки МТР</t>
  </si>
  <si>
    <t>00058-22</t>
  </si>
  <si>
    <t>ГЕО-22/01200/00024/Р</t>
  </si>
  <si>
    <t>Договор поставки (купли-продажи) книиг Научно-популярное издание "Атлас нефти" (подарочное издание)</t>
  </si>
  <si>
    <t>Потемкина И.В.</t>
  </si>
  <si>
    <t>0000056624</t>
  </si>
  <si>
    <t xml:space="preserve">БУ Музей геологии, нефти и газа </t>
  </si>
  <si>
    <t>8601021225</t>
  </si>
  <si>
    <t>00058-23</t>
  </si>
  <si>
    <t>ГЕО-19/11708/00133/Р</t>
  </si>
  <si>
    <t>Анализ и разработка методов прогнозирования насыщения Ачимовской толщи в Западной Сибири</t>
  </si>
  <si>
    <t>22</t>
  </si>
  <si>
    <t>необходимость уточнения перечня дополнительных исследований скважин, керна, флюидов требуемых для эффективного решения задачи по минимизации технических проблем и проверки гипотез</t>
  </si>
  <si>
    <t>ДС по актуализации методологии оценки эффективности деятельности контрагентов и мотивации в области ПБ в действующих договорах</t>
  </si>
  <si>
    <t>00058-24</t>
  </si>
  <si>
    <t>ГЕО-22/10968/00279/Р</t>
  </si>
  <si>
    <t>ДС №2 к Договору №ГЕО-22/10968/00279/Р от 31.10.2022</t>
  </si>
  <si>
    <t>Актуализация методологии оценки эффективности деятельности Контрагента</t>
  </si>
  <si>
    <t>Васильева А.И.</t>
  </si>
  <si>
    <t>0000063129</t>
  </si>
  <si>
    <t xml:space="preserve">ООО Велес </t>
  </si>
  <si>
    <t>5603032851</t>
  </si>
  <si>
    <t>Вывоз, транспортировка и размещение отходов производственной деятельности</t>
  </si>
  <si>
    <t>00059-23</t>
  </si>
  <si>
    <t>ГЕО-22/10000/00312/Р</t>
  </si>
  <si>
    <t>Корректировка производственной программы</t>
  </si>
  <si>
    <t>0000088498</t>
  </si>
  <si>
    <t xml:space="preserve">АО СКИК </t>
  </si>
  <si>
    <t>3023006808</t>
  </si>
  <si>
    <t>00059-24</t>
  </si>
  <si>
    <t>ГЕО-24/09600/00032</t>
  </si>
  <si>
    <t>Организация практической подготовки обучающихся Федерального государственного бюджетного образовательного учреждения высшего образования «Санкт-Петербургский государственный экономический университет» (СПбГЭУ) в ООО "Газпромнефть-ГЕО"</t>
  </si>
  <si>
    <t>0000061204</t>
  </si>
  <si>
    <t xml:space="preserve">СПбГЭУ </t>
  </si>
  <si>
    <t>7840483155</t>
  </si>
  <si>
    <t>09000 Договор на оказание телекоммуникационных услуг</t>
  </si>
  <si>
    <t>00060-22</t>
  </si>
  <si>
    <t>ГЕО-22/09000/00020/Р</t>
  </si>
  <si>
    <t>Организация комплекса услуг связи на Северо-Ямбургском ЛУ (проект "Титан").</t>
  </si>
  <si>
    <t>00060-23</t>
  </si>
  <si>
    <t>ГЕО-21/08000/00297/Р</t>
  </si>
  <si>
    <t>Изготовление и отправка образцов керна скважин 91РО и 92РО Тазовского месторождения в Казанский Федеральный Университет</t>
  </si>
  <si>
    <t>2/23-297</t>
  </si>
  <si>
    <t>Необходимость проведения работ вызвана в связи с получением нового кернового материала из скважин №91РО и №92РО Тазовского месторождения для построения геолого-гидродинамической модели пластов</t>
  </si>
  <si>
    <t>0000087378</t>
  </si>
  <si>
    <t xml:space="preserve">ООО Нефтеком </t>
  </si>
  <si>
    <t>7204203139</t>
  </si>
  <si>
    <t>00060-24</t>
  </si>
  <si>
    <t>ГЕО-24/10000/00036/Р</t>
  </si>
  <si>
    <t>Договор на выполнение работ по ревизии запорной арматуры, средств индивидуальной защиты</t>
  </si>
  <si>
    <t>Проведение комплекса мероприятий по ревизии и гидравлическому испытанию фонтанной арматуры для ООО «Газпромнефть-ГЕО» подрядной организацией на собственных (арендованных) производственных площадях (базах).</t>
  </si>
  <si>
    <t>Сергеев А.В.</t>
  </si>
  <si>
    <t>0000060987</t>
  </si>
  <si>
    <t xml:space="preserve">ООО НПП Ресурс Сервис </t>
  </si>
  <si>
    <t>5610089418</t>
  </si>
  <si>
    <t>00061-23</t>
  </si>
  <si>
    <t>ГЕО-23/25000/00033/Р</t>
  </si>
  <si>
    <t>Оказание услуг по обеспечению промышленной безопасности при эксплуатации опасных производственных объектах Общества и подрядных организаций, находящихся в зоне ответственности ООО «ГПН-ГЕО»</t>
  </si>
  <si>
    <t>Морозов А.В.</t>
  </si>
  <si>
    <t>0000092470</t>
  </si>
  <si>
    <t xml:space="preserve">Бертунов Алексей Александрович </t>
  </si>
  <si>
    <t>380201363701</t>
  </si>
  <si>
    <t>33100 Дополнительное соглашение к Соглашениям в  в области производственной безопасности;</t>
  </si>
  <si>
    <t>00061-24</t>
  </si>
  <si>
    <t>Актуализация Соглашения по ПБ</t>
  </si>
  <si>
    <t>00062-22</t>
  </si>
  <si>
    <t>ГЕО-22/25000/00021/Р</t>
  </si>
  <si>
    <t>00062-23</t>
  </si>
  <si>
    <t>ГЕО-23/33200/00027</t>
  </si>
  <si>
    <t>33200 Соглашение об электронном документообороте Конверс Авиа</t>
  </si>
  <si>
    <t>Электонный обмен документами АО «Авиакомпания Конверс Авиа».</t>
  </si>
  <si>
    <t>0000062421</t>
  </si>
  <si>
    <t xml:space="preserve">ЗАО Авиакомпания Конверс Авиа </t>
  </si>
  <si>
    <t>6924010964</t>
  </si>
  <si>
    <t>00062-24</t>
  </si>
  <si>
    <t>ГЕО-23/04300/00159/Р</t>
  </si>
  <si>
    <t>Дополнительное соглашение к Договору аренды земельных участков №ГЕО-23/04300/00159/Р</t>
  </si>
  <si>
    <t>О прекращении аренды земельного участка, об уменьшении стоимости договора</t>
  </si>
  <si>
    <t>Сазонова А.С.</t>
  </si>
  <si>
    <t>0000099166</t>
  </si>
  <si>
    <t xml:space="preserve">ЗАО им. Калинина </t>
  </si>
  <si>
    <t>5648004029</t>
  </si>
  <si>
    <t>Договор аренды недвижимости</t>
  </si>
  <si>
    <t>00063-21</t>
  </si>
  <si>
    <t>НТЦ-18/29000/01335/Д-ГЕО/ГЕО-19/10124/00001</t>
  </si>
  <si>
    <t>Комплексное геолого-геомеханическое моделирование участков ОПР</t>
  </si>
  <si>
    <t>ЗАКАЗ № НТЦ-21/07000/00377/Д-ГЕО</t>
  </si>
  <si>
    <t>Анализ геомеханических параметров в интервалах ачимовских пластов с целью оценки направления и величины тектонического стресса, параметров давления начала обрушения, поглощения и разрыва породы</t>
  </si>
  <si>
    <t>00063-22</t>
  </si>
  <si>
    <t>ГЕО-22/01200/00035/Д</t>
  </si>
  <si>
    <t>Продажа песка в ООО "Газпромнефть - Снабжение"</t>
  </si>
  <si>
    <t>00063-23</t>
  </si>
  <si>
    <t>ГЕО-23/33200/00028</t>
  </si>
  <si>
    <t>33200 Соглашение об электронном документообороте БАРБУС, ООО</t>
  </si>
  <si>
    <t>Электонный обмен документами ООО "БАРБУС".</t>
  </si>
  <si>
    <t>0000096994</t>
  </si>
  <si>
    <t xml:space="preserve">ООО БАРБУС </t>
  </si>
  <si>
    <t>6316103250</t>
  </si>
  <si>
    <t>00063-24</t>
  </si>
  <si>
    <t>ГЕО-24/26000/00028</t>
  </si>
  <si>
    <t>Обязательства по предоставлению друг другу и неразглашению информации, составляющей коммерческую тайну, и иной конфиденциальной информации</t>
  </si>
  <si>
    <t>00064-22</t>
  </si>
  <si>
    <t>Заказ-Наряд №16 к договору №ГЕО-19/11708/00133/Р от 25.06.2019</t>
  </si>
  <si>
    <t>Выполнение глубинной миграции по сейсмическим профилям 2D на сопредельных Лескинскому и Усть-Енисейскому ЛУ территориях правого берега р. Енисей</t>
  </si>
  <si>
    <t>00064-23</t>
  </si>
  <si>
    <t>ГЕО-23/33200/00029</t>
  </si>
  <si>
    <t xml:space="preserve">33200 Соглашение об электронном документообороте ООО «НьюТек Сервисез» </t>
  </si>
  <si>
    <t>Электонный обмен документами ООО «НьюТек Сервисез».</t>
  </si>
  <si>
    <t>00064-24</t>
  </si>
  <si>
    <t>ГЕО-24/33200/00030</t>
  </si>
  <si>
    <t>Для осуществления обменом документов в электронном виде</t>
  </si>
  <si>
    <t>00065-22</t>
  </si>
  <si>
    <t>ГЕО-22/11000/00030/Р</t>
  </si>
  <si>
    <t>Выполнение изыскательских работ для нужд ООО «ГПН-ГЕО»</t>
  </si>
  <si>
    <t>ООО «Уралгеопроект»</t>
  </si>
  <si>
    <t>00065-23</t>
  </si>
  <si>
    <t>ГЕО-22/11029/00172/Р</t>
  </si>
  <si>
    <t>Изм №1 в Наряд-заказ №2 ...172 СТС,ООО</t>
  </si>
  <si>
    <t>изменения №1 к Наряд-заказу №2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t>
  </si>
  <si>
    <t>0000080408</t>
  </si>
  <si>
    <t xml:space="preserve">ООО СТС </t>
  </si>
  <si>
    <t>3812043780</t>
  </si>
  <si>
    <t>СМР Объектов инженерной подготовки и дорог месторождений нефти и газа
(примечание: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t>
  </si>
  <si>
    <t>00065-24</t>
  </si>
  <si>
    <t>ГЕО-24/33100/00029</t>
  </si>
  <si>
    <t>Условия Договора</t>
  </si>
  <si>
    <t>00066-21</t>
  </si>
  <si>
    <t>Заказ-Наряд №10 к договору №ГЕО-19/11708/00133/Р от 25.06.2019</t>
  </si>
  <si>
    <t xml:space="preserve">Заказ-наряд №10 к №ГЕО-19/11708/00133/Р от 25.06.2019 </t>
  </si>
  <si>
    <t>Обоснование концепта разработки Ачимовской Толщи Приобского месторождения при формировании бизнес-кейса</t>
  </si>
  <si>
    <t>Д-3</t>
  </si>
  <si>
    <t>11018, 11019, 11020, 11021, 11022  Наряд-заказ к Договору (рамочному) на выполнение  работ по услугам "Капитальное строительство и ПИР"</t>
  </si>
  <si>
    <t>00066-22</t>
  </si>
  <si>
    <t>на согласовании в Тессе</t>
  </si>
  <si>
    <t>Выполнение инженерных изысканий по объекту «Строительство поисковой скважины Сал-3П Салаирской площади Оморинского лицензионного участка»</t>
  </si>
  <si>
    <t>Григоренко Е.А.</t>
  </si>
  <si>
    <t>ООО "Уралгеопроект"</t>
  </si>
  <si>
    <t>00066-23</t>
  </si>
  <si>
    <t>Изм №2 в Наряд-заказ №1 ...172 СТС,ООО</t>
  </si>
  <si>
    <t>изменения №2 к Наряд-заказу №1 к Договору №ГЕО-22/11029/00172/Р от 25.07.2022  – «ОВыполнение работ по инженерной подготовке площадки и проездов к геологоразведочной скважине КМ-4 Оморинского лицензионного участка»</t>
  </si>
  <si>
    <t>Бабаев Д.Г.</t>
  </si>
  <si>
    <t>00066-24</t>
  </si>
  <si>
    <t>ГЕО-24/26000/00031</t>
  </si>
  <si>
    <t>Договорные условия</t>
  </si>
  <si>
    <t>00067-21</t>
  </si>
  <si>
    <t>Перераспределение объёма работ и суммы по годам (без изменения общей стоимости договора) производственной программы для  работы двух гусеничных вездеходов в период с мая по сентябрь включительно</t>
  </si>
  <si>
    <t xml:space="preserve">ДС №5 к № ГЕО-18/10001/00082/Р от «29» декабря 2018г </t>
  </si>
  <si>
    <t>Перераспределение объёма работ и суммы по годам (без изменения общей стоимости договора) обусловлены изменением производственной программы в части предоставления транспортных средств в 2021 году (а именно: работа двух гусеничных вездеходов в период ЧС с мая по сентябрь включительно).</t>
  </si>
  <si>
    <t>Д-11</t>
  </si>
  <si>
    <t>Услуги складской и транспортной логистики. (Оказываемые услуги для ДО БРД)</t>
  </si>
  <si>
    <t>00067-22</t>
  </si>
  <si>
    <t>НАРЯД-ЗАКАЗ № 10 к Договору № АНГ-191151300010Р от 18 февраля 2019</t>
  </si>
  <si>
    <t xml:space="preserve">Выполнение комплекса землеустроительных и лесоустроительных работ для объекта: «Обустройство поисково-оценочной скважины №72 Хамбатейского лицензионного участка», в том числе:_x000D_
1. Скважина №72ПО Хамбатейского лицензионного участка._x000D_
2. Автозимник от базы «Нурма» до скважины 72ПО._x000D_
3. Автозимник от карьера ОПИ к площадке скважины 72ПО._x000D_
</t>
  </si>
  <si>
    <t>00067-23</t>
  </si>
  <si>
    <t>№ ГЕО-21/101108/00193/Р</t>
  </si>
  <si>
    <t>ДС № 3 к Д № ГЕО-21/101108/00193/Р</t>
  </si>
  <si>
    <t>Перевод негаранта 2023 в гарант 2023</t>
  </si>
  <si>
    <t>Д-52</t>
  </si>
  <si>
    <t>0000086565</t>
  </si>
  <si>
    <t xml:space="preserve">ООО РН-БашНИПИнефть </t>
  </si>
  <si>
    <t>0278127289</t>
  </si>
  <si>
    <t>00067-24</t>
  </si>
  <si>
    <t xml:space="preserve">ГЕО-19/10900/00290/Р </t>
  </si>
  <si>
    <t>Дополнительного соглашения №5 к Договору  ГЕО-19/10900/00290/Р от 25.11.2019 г.</t>
  </si>
  <si>
    <t>В целях внедрения проекта ПАО «Газпром нефть» «Комплексная система охраны здоровья» и на основании Протокола совещания № ПТ-/000186/10 от 20.09.23г введена ставка «групповое профилактическое консультирование по коррекции факторов риска развития неинфекционных заболеваний», а ставка целевой скрининг здоровья пролонгирована на 2024 год. С учетом проставления фактических объемов за 2023 год и перераспределения объемов на 2024 год общая стоимость договора не увеличивается, и она составляет: не более 9 695 120,00 руб. (НДС не облагается).</t>
  </si>
  <si>
    <t>Табуева М.А.</t>
  </si>
  <si>
    <t>Программы проектов производственной безопасности в ГРР</t>
  </si>
  <si>
    <t>00068-23</t>
  </si>
  <si>
    <t>ГЕО-19/11708/00133/Р от 25.06.2019 г.</t>
  </si>
  <si>
    <t>ДС1 Продление срока действия договора с ПТ</t>
  </si>
  <si>
    <t>Продление срока действия договора</t>
  </si>
  <si>
    <t>00068-24</t>
  </si>
  <si>
    <t xml:space="preserve">№ ГЕО-22/09000/00287/Р </t>
  </si>
  <si>
    <t xml:space="preserve">ДС № 4 к Договору № ГЕО-22/09000/00287/Р от 03.11.2022 </t>
  </si>
  <si>
    <t>Перевод негарантированного объема работ 2024 г. в гарантированный объем работ 2024 г., без изменения общей стоимости договора для организации работы 2 (двух) КПП на проекте «Оморинский», в объеме 367 суток, в том числе: Салаирская площадь (скв. № Слр-3) КПП №1 в период с 01.03.2024г. по 30.04.2024 г. (61 сут.) и Камовская площадь (скв. №№ КМ-4, КМ4бис) КПП-№ 2 в период с 01.03.2024 г. по 31.12.2024 г. (306 сут.).</t>
  </si>
  <si>
    <t>00069-21</t>
  </si>
  <si>
    <t>119/ГЕО-19/09000/00021/Р от 02.09.2019г.</t>
  </si>
  <si>
    <t>Дополнительное соглашение об изменении реквизитов</t>
  </si>
  <si>
    <t>ДС 2 к № 119/ГЕО-19/09000/00221/Р от 02.09.2019 г.</t>
  </si>
  <si>
    <t>Внесение в договор новых реквизитов контрагента</t>
  </si>
  <si>
    <t>Юридическая служба</t>
  </si>
  <si>
    <t>0000070869</t>
  </si>
  <si>
    <t xml:space="preserve">ООО РКЦ </t>
  </si>
  <si>
    <t>5611035905</t>
  </si>
  <si>
    <t>00069-24</t>
  </si>
  <si>
    <t>ДС № 4 к Договору № ГЕО/22/09000/00287/Р от 03.11.2022</t>
  </si>
  <si>
    <t>Перевод негарантированного объема работ 2024 г. в гарантированный объем работ 2024 г., без изменения общей стоимости договора для организации работы 2 (двух) КПП на проекте «Оморинский», в объеме 367 суток, в том числе: Салаирская площадь (скв. № Слр-3) КПП №1 в период с 01.03.2024г. по 30.04.2024 г. (61 сут.) и Камовская площадь (скв. №№ КМ-4, КМ4бис) КПП-№ 2 в период с 01.03.2024 г. по 31.12.2024 г. (306 сут.).  и заключения дополнительного соглашения №4 к договору №ГЕО-22/09000/00287/Р от 03.11.2022г., предусматривающего раскрытие негарантированного объема услуг 2024 года по организации охраны контрольно-пропускных пунктов в объеме 367 суток</t>
  </si>
  <si>
    <t>00070-21</t>
  </si>
  <si>
    <t>ГЕО-21/00000/00112</t>
  </si>
  <si>
    <t>Соглашение об ЭДО</t>
  </si>
  <si>
    <t>Для установления электронного документооборота с контрагентом</t>
  </si>
  <si>
    <t>00070-23</t>
  </si>
  <si>
    <t>ГЕО-23/09000/00042/Р</t>
  </si>
  <si>
    <t xml:space="preserve">Договор бюджетного учреждения возмездного оказания услуг </t>
  </si>
  <si>
    <t>Запись геологической и иной информации о недрах, подготовка информационно-аналитически (справочных, методических) материалов по геологии и недропользованию. Необходимо для проведения анализа данных глубокого бурения на территории участка НРФ, непосредственно граничащего с Лескинским и Пухуцяяхским лицензионными участками. Полученные данные позволят более достоверно распространить фациальную модель и выводы по бассейновой модели, оценить перспективность участка НРФ.</t>
  </si>
  <si>
    <t>Минич А.А.</t>
  </si>
  <si>
    <t>0000060372</t>
  </si>
  <si>
    <t>ФБУ ТФГИ по Уральскому федеральном у округу</t>
  </si>
  <si>
    <t>6661088534</t>
  </si>
  <si>
    <t>00070-24</t>
  </si>
  <si>
    <t>Наряд-Заказ №1</t>
  </si>
  <si>
    <t>Выполнение геолого-технологических исследований скважин № 671, 721 Западно-Чатылькинского ЛУ, в рамках ДС №6 к Договору №ГЕО-19/00000/00317/Д/ННГ-19/10124/01839/Р от 24.12.2019 г. о выполнении операторских работ между ООО "ГПН-ГЕО" и АО "ГПН-ННГ"</t>
  </si>
  <si>
    <t>00071-22</t>
  </si>
  <si>
    <t>АГЕНТСКОЕ ПОРУЧЕНИЕ № 1</t>
  </si>
  <si>
    <t>00071-23</t>
  </si>
  <si>
    <t xml:space="preserve">Договора на оказание услуг по обеспечению противофонтанной и газовой безопаности на скважинах (объектах) ООО "ГПН-ГЕО"  </t>
  </si>
  <si>
    <t>В целях предупреждения газонефтеводопроявлений (далее по тексту «ГНВП») и открытых фонтанов «Исполнитель» принимает на себя обязательства по оказанию услуг, связанных с обеспечением противофонтанной и газовой безопасности при эксплуатации скважин (объектов) Заказчика, согласно Технического задания (Приложение №1).</t>
  </si>
  <si>
    <t>0000057796</t>
  </si>
  <si>
    <t xml:space="preserve">ООО Газпром газобезопасность </t>
  </si>
  <si>
    <t>5003028148</t>
  </si>
  <si>
    <t>00071-24</t>
  </si>
  <si>
    <t>Дополнительное соглашение № 1 к договору № ГЕО-24/09600/00027 от 13.02.2024</t>
  </si>
  <si>
    <t>В соответствии с пунктом 1.3 договора от 13.02.2024 № ГЕО-24/09600/0027 о практической подготовке при реализации (проведении) практики обучающихся 
РГПУ им. А. И. Герцена (далее — договор) Стороны согласовали перечень образовательных программ, компоненты образовательных программ, количество обучающихся, осваивающих компоненты образовательных программ, а также сроки организации практической подготовки при реализации (проведении) практики в соответствии с приложением № 1, являющимся неотъемлемой частью настоящего дополнительного соглашения.
2. В соответствии с пунктом 1.4 договора Стороны согласовали перечень помещений Профильной организации в соответствии с приложением № 2, являющимся неотъемлемой частью настоящего дополнительного соглашения.</t>
  </si>
  <si>
    <t>Федеральное государственное бюджетное образовательное учреждение высшего  образования «Российский государственный педагогический университет им. А. И. Герцена</t>
  </si>
  <si>
    <t>00072-21</t>
  </si>
  <si>
    <t>ДС №9 к Договору № ГПН-18/09000/02142/Р от 07 сентября 2018 г.</t>
  </si>
  <si>
    <t>Оказание операторских услуг на Солнечном ЛУ</t>
  </si>
  <si>
    <t>00072-22</t>
  </si>
  <si>
    <t xml:space="preserve">АНГ-18/09000/00186/Р </t>
  </si>
  <si>
    <t>Дополнительное соглашение №9 к Договору о выполнении операторских работ и оказании операторских услуг (проект Чона)</t>
  </si>
  <si>
    <t>Согласование программы выполнения работ и оказания услуг на 2022г. в рамках программы проектов ГРР: Чона (Игнялинский ЛУ, Вакунайский ЛУ, Тымпучиканский ЛУ).</t>
  </si>
  <si>
    <t>Частухина Е.В.</t>
  </si>
  <si>
    <t>Д-53</t>
  </si>
  <si>
    <t>00072-23</t>
  </si>
  <si>
    <t>ДС №1 к Договору №ГЕО-23/10150/00017/Р от «10» января 2023 г.</t>
  </si>
  <si>
    <t>Включение в договор реквизитов Исполнителя</t>
  </si>
  <si>
    <t>00072-24</t>
  </si>
  <si>
    <t>ГЕО-24/27100/00040/Д</t>
  </si>
  <si>
    <t xml:space="preserve"> Договор поставки ДТ</t>
  </si>
  <si>
    <t xml:space="preserve">Коллеги, добрый день!
К нам обратились Газпром Бурение по вопросу выкупа у ГЕО остатков ДТ на проекте «Титан» (Северо-Ямбургский ЛУ). Закуп/поставка ДТ на ЛУ был произведен в  2022 году. Остатки в ИС SAP на 14.02.24 - 225,433 тн на сумму 12.941.747,19 рублей без НДС, средняя цена 57 613.24 руб. без НДС за тонну (цены за партии разные).
Ожидаемые остатки ДТ в момент демобилизации Газпром Бурения с ЛУ – 100-200 тн., подлежащие продаже.
Протоколом ПДК узаконено решение о продаже ДТ на условиях формирования цены по рыночной оценке и цене – 65 617.42 руб. без НДС.
ВАЖНО! КОЛЛЕГИ ИЗ "Газпромнефть Экспертные решения", прошу Вас обратить внимание на пункты раздела 8, они указаны в нашей редакции, но, рядом в примечание указано как это желают видеть коллеги - покупатели из Газпром Бурение. Можем ли принять желаемую ими редакцию?
</t>
  </si>
  <si>
    <t>0000025354</t>
  </si>
  <si>
    <t xml:space="preserve">ООО Газпром бурение </t>
  </si>
  <si>
    <t>5003026493</t>
  </si>
  <si>
    <t>Договор поставки нефтепродуктов (рубли)</t>
  </si>
  <si>
    <t>00073-21</t>
  </si>
  <si>
    <t>ГЕО-21/00000/00110</t>
  </si>
  <si>
    <t xml:space="preserve"> Глухарева Ю.Б.</t>
  </si>
  <si>
    <t>00073-22</t>
  </si>
  <si>
    <t>ГЕО-21/09000/00043/Д</t>
  </si>
  <si>
    <t>Увеличение суммы</t>
  </si>
  <si>
    <t>00073-23</t>
  </si>
  <si>
    <t xml:space="preserve">Наряд-заказ №1 к Договору №ГЕО-23/10150/00017/Р от «10» января 2023 г. с ООО «ИЦ ГазИнформПласт» </t>
  </si>
  <si>
    <t>Оказание услуг 10150 «Проведение газодинамических/газоконденсатных/гидродинамических исследований скважин» на Северо-Ямбургском ЛУ в 2023 году_x000D_
_x000D_
Для информации - банковские реквизиты Исполнителя в карточке договорного документа будут указаны после заключения ДС к Договору о смене расчетного счета</t>
  </si>
  <si>
    <t>00073-24</t>
  </si>
  <si>
    <t>Наряд-заказ № 6</t>
  </si>
  <si>
    <t>00074-22</t>
  </si>
  <si>
    <t>ГЕО-20/10126/00022/Р</t>
  </si>
  <si>
    <t>ДС №1 к Договору №ГЕО-20/10126/00022/Р от 15.01.2020 г.</t>
  </si>
  <si>
    <t>Включение новых расценок без изменения общей стоимости договора, а также актуализация паспортов Каркаса безопасности.</t>
  </si>
  <si>
    <t>00074-23</t>
  </si>
  <si>
    <t>ГЕО-23/33400/00040</t>
  </si>
  <si>
    <t>Согласешие по СУДИР</t>
  </si>
  <si>
    <t>00074-24</t>
  </si>
  <si>
    <t>ГЕО-24/25000/00042/Р</t>
  </si>
  <si>
    <t>Заключение договора ГПХ на услуги в области эффективности контрактования</t>
  </si>
  <si>
    <t>Калимуллина Д.И.</t>
  </si>
  <si>
    <t>0000114895</t>
  </si>
  <si>
    <t xml:space="preserve">Гавронская Ирина Сергеевна </t>
  </si>
  <si>
    <t>110603361944</t>
  </si>
  <si>
    <t>00075-21</t>
  </si>
  <si>
    <t>ГЕО-21/00000/00111</t>
  </si>
  <si>
    <t>00075-22</t>
  </si>
  <si>
    <t xml:space="preserve">№ ГЕО-18/00000/00025Д </t>
  </si>
  <si>
    <t>Дополнительное соглашение №7 к Договору о выполнении операторских работ и оказании операторских услуг (Оморинский ЛУ)</t>
  </si>
  <si>
    <t xml:space="preserve">частичный перевод негарантированного объема 2022г. в гарантированный в рамках программы выполнения работ и оказания услуг ГРР по Оморинскому ЛУ на 2021-2022гг. </t>
  </si>
  <si>
    <t>0000086584</t>
  </si>
  <si>
    <t xml:space="preserve">ООО Энерком </t>
  </si>
  <si>
    <t>5609077986</t>
  </si>
  <si>
    <t>00075-23</t>
  </si>
  <si>
    <t>Хранение кернового материала ООО "ГПН-ГЕО"</t>
  </si>
  <si>
    <t>1/23-297</t>
  </si>
  <si>
    <t>Хранение и систематизация кернового материала</t>
  </si>
  <si>
    <t>00075-24</t>
  </si>
  <si>
    <t>ГЕО-24/33400/00039</t>
  </si>
  <si>
    <t>ООО "ГПН-ГЕО" в связи с заключенным с ООО "ИнтерТайм" договором на оказание услуг обязуется в рамках ст. 718 Гражданского кодекса РФ предоставить доступ к автоматизированной информационной системе «СУДИР» (далее – «СУДИР») и к информационным ресурсам через СУДИР (далее – «ИР») сотрудникам Стороны-2 без ограничений по количеству предоставляемых доступов к СУДИР</t>
  </si>
  <si>
    <t>0000069013</t>
  </si>
  <si>
    <t xml:space="preserve">ООО ИнтерТайм </t>
  </si>
  <si>
    <t>7203218005</t>
  </si>
  <si>
    <t>00076-21</t>
  </si>
  <si>
    <t>ГЕО-21/24000/00113/Р</t>
  </si>
  <si>
    <t xml:space="preserve">ЛИЦЕНЗИОННЫЙ ДОГОВОР О ПРЕДОСТАВЛЕНИИ ПРАВА ИСПОЛЬЗОВАНИЯ НОВЫХ ВЕРСИЙ  ПРОГРАММ ДЛЯ ЭЛЕКТРОННО-ВЫЧИСЛИТЕЛЬНЫХ МАШИН (ЛИЦЕНЗИИ) </t>
  </si>
  <si>
    <t>Закупка технической поддержки КИБ Серчинформ</t>
  </si>
  <si>
    <t>Бринкис В.В.</t>
  </si>
  <si>
    <t>Бринкис Вячеслав Валентинович</t>
  </si>
  <si>
    <t>0000072503</t>
  </si>
  <si>
    <t xml:space="preserve">ООО СерчИнформ </t>
  </si>
  <si>
    <t>7704306397</t>
  </si>
  <si>
    <t>Лицензионный договор</t>
  </si>
  <si>
    <t>406 615,56</t>
  </si>
  <si>
    <t>100</t>
  </si>
  <si>
    <t>00076-22</t>
  </si>
  <si>
    <t>00076-24</t>
  </si>
  <si>
    <t>ГЕО-24/33000/00038</t>
  </si>
  <si>
    <t>Уведомление-соглашение</t>
  </si>
  <si>
    <t xml:space="preserve">Переход на факторинговое обслуживание по договору №ХНТ-20/10110/967/Р/60/ГЕО-20/10110/00198/Р от 06.10.2020 г </t>
  </si>
  <si>
    <t>0000070037, 0000067121</t>
  </si>
  <si>
    <t xml:space="preserve">ООО Сбербанк Факторинг ; 
ООО ТСГК </t>
  </si>
  <si>
    <t>7802754982, 7202171361</t>
  </si>
  <si>
    <t>Соглашение участников хозяйственных обществ (юридических лиц)</t>
  </si>
  <si>
    <t>00077-21</t>
  </si>
  <si>
    <t xml:space="preserve">№ АНГ-19/11513/00010/Р </t>
  </si>
  <si>
    <t xml:space="preserve">ДС№1 к договору № АНГ-19/11513/00010/Р </t>
  </si>
  <si>
    <t>изменение реквизитов К/А</t>
  </si>
  <si>
    <t>Зизаев Р.М.</t>
  </si>
  <si>
    <t>00077-22</t>
  </si>
  <si>
    <t>ГЕО-20/10986/00138/Р от 10.08.2020г.</t>
  </si>
  <si>
    <t>Задание № 17 на выполнение НГО работ к Договору № ГЕО-20/10986/00138/Р от 10.08.2020г.  с компанией ООО «ОГК» (в редакции ДС № 7) на оказание супервайзерских услуг по контролю состояния производственной безопасности в 2022 году на Тай</t>
  </si>
  <si>
    <t>17</t>
  </si>
  <si>
    <t>Задание № 17 на выполнение негарантированного объема работ к Договору № ГЕО-20/10986/00138/Р от 10.08.2020г.  с компанией ООО «ОГК» (в редакции ДС № 7) на оказание супервайзерских услуг по контролю состояния производственной безопасности в 2022 году на Тайлаковском ЛУ</t>
  </si>
  <si>
    <t>09000 Договор на возмездное оказание услуг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(90804 по КТ-777)</t>
  </si>
  <si>
    <t>00077-23</t>
  </si>
  <si>
    <t>ГЕО-23/09000/00036/Р</t>
  </si>
  <si>
    <t xml:space="preserve">Оказание услуги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t>
  </si>
  <si>
    <t>Авдеева Д.Б.</t>
  </si>
  <si>
    <t>0000038433</t>
  </si>
  <si>
    <t xml:space="preserve">АО ГЦБиТ </t>
  </si>
  <si>
    <t>7707113869</t>
  </si>
  <si>
    <t>00078-22</t>
  </si>
  <si>
    <t>Договор на выполнение работ по обработке призабойной зоны пласта кислотными составами</t>
  </si>
  <si>
    <t>Выполнение работ по ОПЗ для проекта "Южный Оренбург"</t>
  </si>
  <si>
    <t>Быков Н.В.</t>
  </si>
  <si>
    <t>00078-24</t>
  </si>
  <si>
    <t>ГЕО-24/26000/00033</t>
  </si>
  <si>
    <t>Обязательства Исполнителя, оказывающего Обществу услуги на основании договора №ГЕО-24/25000/00026/Р  от 15.02.2024г, по неразглашению информации, составляющей коммерческую тайну и иной конфиденциальной информации Общества и его контрагентов</t>
  </si>
  <si>
    <t>00079-22</t>
  </si>
  <si>
    <t>Дополнение</t>
  </si>
  <si>
    <t>Дополнение № 1 к  Заданию № 15 на оказание супервайзерских услуг по контролю состояния производственной безопасности в 2021-2022гг. на Тайлаковском ЛУ</t>
  </si>
  <si>
    <t>В связи с фактическим согласованием операторского договора с АО «Славнефть-Мегионнефтегаз» (Договор № ВР-49-10110/22-23 от 30.12.2021г.) в январе 2022 года, требуется прекратить исполнение ранее заключенного Задания № 15 с 26.01.2022г. согласно решения ГЭ (Протокол № ПТ-3/000460/01 от 16.12.21г. условие приостановки действия Задания № 15, с даты заключения операторского Договора с АО «Славнефть-Мегионнефтегаз» (заключения нового Задания с ООО "ОГК" на объемы операторского Договора). Так как объем оказанных услуг по состоянию на 25.01.2022г. принят к финансовому учету, то физический объем в количестве 12 суток СП ПБ (2 специалиста СП ПБ * 6 суток с 26.01.22г. по 31.01.2022г.) на сумму не более 143 484,00 рублей без НДС отнести на стоимость заключаемого Задания № 17 для исключения дублирования затрат на СП ПБ.</t>
  </si>
  <si>
    <t>00079-23</t>
  </si>
  <si>
    <t>ГЕО-21/00000/00282/Д</t>
  </si>
  <si>
    <t xml:space="preserve">Дополнительное соглашение № 1 к Договору № ГПН/С-21/11/Р / ГЕО-21/00000/00282/Д от 07 августа 2021 г. о выполнении операторских работ и оказании операторских услуг </t>
  </si>
  <si>
    <t xml:space="preserve">Изменение программы выполнения Работ и оказания Услуг </t>
  </si>
  <si>
    <t>0000089914</t>
  </si>
  <si>
    <t xml:space="preserve">ООО Газпромнефть-Салым </t>
  </si>
  <si>
    <t>8601068576</t>
  </si>
  <si>
    <t>00079-24</t>
  </si>
  <si>
    <t>ГЕО-24/33100/00034</t>
  </si>
  <si>
    <t>00080-21</t>
  </si>
  <si>
    <t>ГЕО-19/10111/00120/Р/1219</t>
  </si>
  <si>
    <t>ДОПОЛНИТЕЛЬНОЕ СОГЛАШЕНИЕ № 5 к Договору № ГЕО-19/10111/00120/Р от 15.05.2019 г. по «ОБРАБОТКЕ И ИНТЕРПРЕТАЦИИ ДАННЫХ СЕЙСМОРАЗВЕДОЧНЫХ РАБОТ»</t>
  </si>
  <si>
    <t xml:space="preserve">ДС №5 к № ГЕО-19/10111/00120/Р </t>
  </si>
  <si>
    <t>Выполнение программы работ на Первомайском ЛУ</t>
  </si>
  <si>
    <t>Филичев А.В.</t>
  </si>
  <si>
    <t>Проект "Южный Оренбург"</t>
  </si>
  <si>
    <t>Д-18</t>
  </si>
  <si>
    <t>Обработка и интерпретация сейсмических данных 3Д, 2Д</t>
  </si>
  <si>
    <t>№1</t>
  </si>
  <si>
    <t>00080-23</t>
  </si>
  <si>
    <t>ГЕО-23/25000/00039/Р</t>
  </si>
  <si>
    <t>00080-24</t>
  </si>
  <si>
    <t>ГЕО-24/33200/00035</t>
  </si>
  <si>
    <t xml:space="preserve">в целях обмена электронными документами посредством системы электронного документооборота </t>
  </si>
  <si>
    <t>00081-22</t>
  </si>
  <si>
    <t>Дополнительное соглашение №3</t>
  </si>
  <si>
    <t xml:space="preserve">Изменение типа договора с рамочного на смешанный. Дополнение </t>
  </si>
  <si>
    <t>Анисимов А.Н.</t>
  </si>
  <si>
    <t>00081-23</t>
  </si>
  <si>
    <t>00399</t>
  </si>
  <si>
    <t>Дополнительное соглашение №1 к договору ГЕО-20/09000/00123/Р</t>
  </si>
  <si>
    <t>Перенос неиспользованного гарантированного объема с 2022 в 2023 г. без увеличения общей стоимости договора</t>
  </si>
  <si>
    <t>Матвеев В.Н.</t>
  </si>
  <si>
    <t>00082-21</t>
  </si>
  <si>
    <t xml:space="preserve">НТЦ-18/09000/01305/Д-ГЕО/ГЕО-19/09000/00045/Р </t>
  </si>
  <si>
    <t>заказ</t>
  </si>
  <si>
    <t>НТЦ-00134-21/Д</t>
  </si>
  <si>
    <t xml:space="preserve">Информационно-консультационные услуги  в формате вебинара по теме: _x000D_
«PVT-свойства нефти, газа и пластовой воды (базовый курс для разработчиков)»_x000D_
</t>
  </si>
  <si>
    <t>00082-22</t>
  </si>
  <si>
    <t>ГЕО-22/26000/00029</t>
  </si>
  <si>
    <t>в рамках исполнения договора на утилизацию НСО № ГЕО-22/10968/00008/Р от 17.01.2022г. (срок действия до 31.12.2026г,)</t>
  </si>
  <si>
    <t>ООО "ЭМТ"</t>
  </si>
  <si>
    <t>00082-23</t>
  </si>
  <si>
    <t>ГЕО-22/10402/00187/Р</t>
  </si>
  <si>
    <t xml:space="preserve">ДС №3 к Договору №ГЕО-22/10402/00187/Р </t>
  </si>
  <si>
    <t xml:space="preserve">Изменение рекзвизитов Подрядчика в 20 разделе Договора </t>
  </si>
  <si>
    <t>0000073563</t>
  </si>
  <si>
    <t xml:space="preserve">ООО ГеоЛад - СТ </t>
  </si>
  <si>
    <t>8609322418</t>
  </si>
  <si>
    <t>Капитальный ремонт и освоение скважин</t>
  </si>
  <si>
    <t>00082-24</t>
  </si>
  <si>
    <t>ГЕО-24/09000/00043/Р</t>
  </si>
  <si>
    <t xml:space="preserve">Договор на разработку стандарта организации по пожарной безопасности </t>
  </si>
  <si>
    <t>Разработка стандарта организации по пожарной безопасности и типового проекта обоснования безопасности опасного производственного объекта для объектов «Склады временного хранения дизельного топлива с применением эластичных резервуаров»</t>
  </si>
  <si>
    <t>Белоусов О.В.</t>
  </si>
  <si>
    <t>0000102945</t>
  </si>
  <si>
    <t xml:space="preserve">ООО МПЦ </t>
  </si>
  <si>
    <t>7721258344</t>
  </si>
  <si>
    <t>00083-21</t>
  </si>
  <si>
    <t>НТЦ-00200-21Д</t>
  </si>
  <si>
    <t xml:space="preserve">Информационно-консультационные услуги в формате вебинара по теме: _x000D_
«Неантиклинальные ловушки. Методические подходы к изучению, прогноз и картирование в разработке», 19.042021-21.04.2021 Мурзин Р.Р._x000D_
</t>
  </si>
  <si>
    <t>00083-22</t>
  </si>
  <si>
    <t>Южный Ямал к договору ГЕО-21/11708/00165/Р//НТЦ-21/09000/00768/Д от 12.07.2021</t>
  </si>
  <si>
    <t>НТЦ-03033-21Д-ГЕО</t>
  </si>
  <si>
    <t>Обработка и комплексная интерпретация геолого-геофизических данных сейсморазведочных Концепт геологии и/или разработки с обоснованием оптимальных программ исследований/с дизайном ГРР и ОПР («Научно-исследовательские работы для формирования концепции геологии и разработки в периметре проекта “Южный Ямал”»)</t>
  </si>
  <si>
    <t>00083-24</t>
  </si>
  <si>
    <t>Изменение №1 к Заявке № 10</t>
  </si>
  <si>
    <t>Изложить раздел 1, Заявки № 10 к Договору № ГЕО-23/09000/00149/Р от 25.09.2023 г. в части Ф.И.О. работника в следующей редакции:
- Демидов Денис Дмитриевич
- Харченко Артур Валерьевич</t>
  </si>
  <si>
    <t>00084-22</t>
  </si>
  <si>
    <t>ГЕО-21/00000/00281/Д</t>
  </si>
  <si>
    <t>Любимов Е.В.</t>
  </si>
  <si>
    <t>00084-23</t>
  </si>
  <si>
    <t>ГЕО-23/26000/00037</t>
  </si>
  <si>
    <t>Стороны в связи с заключением договора № ГЕО-23/09000/00036/Р от 13 февраля 2023 года принимают на себя обязательства по предоставлению друг другу и неразглашению информации, составляющей коммерческую тайну, и иной конфиденциальной информации, в соответствии с условиями настоящего Соглашения.</t>
  </si>
  <si>
    <t>Сергель О.Г.</t>
  </si>
  <si>
    <t>00084-24</t>
  </si>
  <si>
    <t>Заявка № 14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</si>
  <si>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«Южный Оренбург», скв. № 401, Западно-Рубежинский ЛУ</t>
  </si>
  <si>
    <t>00085-21</t>
  </si>
  <si>
    <t xml:space="preserve">Наряд-заказ № 25 к Договору № АНГ-19/11513/00007/Р </t>
  </si>
  <si>
    <t>Оформление разрешительной документации на земельные участки для объекта "Обустройство поисково-оценочной скважины 198 Лескинского лицензионного участка"</t>
  </si>
  <si>
    <t>Горбунов Е.А.. - Начальник управления маркшейдерско-землеустроительных работ - Главный маркшейдер - Управление маркшейдерско-зем</t>
  </si>
  <si>
    <t>00085-22</t>
  </si>
  <si>
    <t>ГЕО-22/20000/00090/Д</t>
  </si>
  <si>
    <t>Организация оказания услуг связанных с лицензированием пользования недрами на территории Российской Федерации</t>
  </si>
  <si>
    <t>Управление лицензирования и недропользования</t>
  </si>
  <si>
    <t>00085-23</t>
  </si>
  <si>
    <t>ГЕО-23/33300/00038</t>
  </si>
  <si>
    <t>Осуществление обработки персональных данных работников ООО «ГПН-ГЕО»</t>
  </si>
  <si>
    <t>00085-24</t>
  </si>
  <si>
    <t>ГЕО-24/33200/00041</t>
  </si>
  <si>
    <t>Организация электронного документооборота с контрагентом ООО "МПЦ"</t>
  </si>
  <si>
    <t>00086-21</t>
  </si>
  <si>
    <t>НТЦ-18/29000/01338/Д-ГЕО-18/11708/00074/Р от 29 декабря 2018г.</t>
  </si>
  <si>
    <t>ЗАКАЗ во исполнение Договора № НТЦ-18/29000/01338/Д-ГЕО-18/11708/00074/Р от 29 декабря 2018г.</t>
  </si>
  <si>
    <t>НТЦ-00537-21Д-ГЕО</t>
  </si>
  <si>
    <t>Формирование Заказа к рамочному Договору № НТЦ-18/29000/01338/Д-ГЕО-18/11708/00074/Р от 29 декабря 2018г. с ООО «Газпромнефть НТЦ» на 2021г. по услуге «Инжиниринг, интегрированное управление проектами бурения и внутрискважинных работ для ООО «ГПН-ГЕО». Проект «Енисей» Лескинский ЛУ, «Южный Оренбург» Солнечный, Корноваринский, Надежнинский, Западно-Рубежнинский ЛУ</t>
  </si>
  <si>
    <t>Смешанный договор</t>
  </si>
  <si>
    <t>00086-22</t>
  </si>
  <si>
    <t>ГЕО-19/10201/00155/Р</t>
  </si>
  <si>
    <t>Дополнительное соглашение №7 к Договору № ГЕО-19/10201/00155/Р от 11.07.2019г.</t>
  </si>
  <si>
    <t xml:space="preserve">Внесение административных изменений:_x000D_
_x000D_
1. Соглашение в области ПБ актуализировано в соответствии с Приказом 122-П от 30.07.2021 (включая новые паспорта КБ, стандарты СП и положение об авиаперевозках);_x000D_
2. Изменение Акта приема передачи ЛНД (перечисленные в нем новые документы будут переданы на CD-диске)_x000D_
3. Изменение штрафных санкций в соответствии с Приказом 85-П от 07.06.2021_x000D_
4. Обновление раздела УЭДК и Оценочного листа в соответствии с Протоколом ПТ-100.0359/0000110 от 07.12.2020_x000D_
</t>
  </si>
  <si>
    <t>Шкателов А.А.</t>
  </si>
  <si>
    <t>0000062082</t>
  </si>
  <si>
    <t xml:space="preserve">АО Инвестгеосервис </t>
  </si>
  <si>
    <t>7704627560</t>
  </si>
  <si>
    <t>Геолого-разведочное бурение под ключ</t>
  </si>
  <si>
    <t>00086-23</t>
  </si>
  <si>
    <t>ГЕО-23/09000/00046/Р</t>
  </si>
  <si>
    <t>На проведение кадастровых работ</t>
  </si>
  <si>
    <t>Исполнитель обязуется по заданию Заказчика осуществить кадастровые работы в отношении объектов недвижимого имущества - на предоставление государственной регистрации и на подготовку технических планов в отношении объектов недвижимого имущества.</t>
  </si>
  <si>
    <t>0000087793</t>
  </si>
  <si>
    <t xml:space="preserve">ООО КЦ Ямал-Недвижимость </t>
  </si>
  <si>
    <t>8901025862</t>
  </si>
  <si>
    <t>00086-24</t>
  </si>
  <si>
    <t xml:space="preserve"> Изм№4 к НЗ№1 к  №ГЕО-22/11029/00172/Р от 25.07.2022 (Камовская площадка)</t>
  </si>
  <si>
    <t>НЗ№1 Изм№4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t>
  </si>
  <si>
    <t>00087-21</t>
  </si>
  <si>
    <t>ДС №1 к договору №ГЕО-19/10308/00217/Р  от 19.08.2019</t>
  </si>
  <si>
    <t>ДС 1 к ГЕО-19/10308/00217/Р</t>
  </si>
  <si>
    <t>Ввод дополнительных ставок и видов работ для анализа извлеченного из шлама газа сероводорода (H2S) без изменения стоимости договора</t>
  </si>
  <si>
    <t>0000083900</t>
  </si>
  <si>
    <t xml:space="preserve">GeoloG International B.V. </t>
  </si>
  <si>
    <t>00087-22</t>
  </si>
  <si>
    <t>ГЕО-22/26000/00033</t>
  </si>
  <si>
    <t>Соблюдение мероприятий по информационной безопасности</t>
  </si>
  <si>
    <t>Крутова Е.С.</t>
  </si>
  <si>
    <t>0000071795</t>
  </si>
  <si>
    <t xml:space="preserve">ООО Грант+ </t>
  </si>
  <si>
    <t>8913008090</t>
  </si>
  <si>
    <t>00087-23</t>
  </si>
  <si>
    <t>НАРЯД-ЗАКАЗ № 13 к Договору № АНГ-19/11513/00010/Р от 18 февраля 2019</t>
  </si>
  <si>
    <t>Выполнение комплекса землеустроительных и лесоустроительных работ для объекта: "Проведение полевых сейсморазведочных работ МОГТ 3Д на Воргенском ЛУ"</t>
  </si>
  <si>
    <t>00087-24</t>
  </si>
  <si>
    <t>ГЕО-24/20000/00050/Р</t>
  </si>
  <si>
    <t xml:space="preserve">Агентский договор с ООО "ФК "Санкт-Петербург"" </t>
  </si>
  <si>
    <t>Организация применения факторинга по закупке от ПАО "Газпром нефть"</t>
  </si>
  <si>
    <t>Чернявский Г.С.</t>
  </si>
  <si>
    <t>Блок экономики и финансов</t>
  </si>
  <si>
    <t>0000092707</t>
  </si>
  <si>
    <t xml:space="preserve">ООО ФК Санкт-Петербург </t>
  </si>
  <si>
    <t>7801159596</t>
  </si>
  <si>
    <t>00088-22</t>
  </si>
  <si>
    <t>ГЕО-21/26000/00314</t>
  </si>
  <si>
    <t>0000052955</t>
  </si>
  <si>
    <t xml:space="preserve">ООО УК Юграгидрострой </t>
  </si>
  <si>
    <t>8602068466</t>
  </si>
  <si>
    <t>00088-23</t>
  </si>
  <si>
    <t>ГЕО-22/10000/00057/Р</t>
  </si>
  <si>
    <t>Дополнительное соглашение №3 к Договору № ГЕО-22/10000/00057/Р от 18.03.2022</t>
  </si>
  <si>
    <t>Замена Соглашения в области производственной безопасности (ПБ) на актуальное</t>
  </si>
  <si>
    <t>00088-24</t>
  </si>
  <si>
    <t>ГЕО-19/01200/00064/Р</t>
  </si>
  <si>
    <t>ДОПОЛНИТЕЛЬНОЕ СОГЛАШЕНИЕ №1 к договору №ГЕО-19/01200/00064/Р от 08.04.2019г.</t>
  </si>
  <si>
    <t>Продление договора на  Услуги по изготовлению сувенирной, полиграфической продукции с фирменной символикой, брендирования и выпуску корпоративных изданий без изменения стоимости договора.</t>
  </si>
  <si>
    <t>Скивка Я.И.</t>
  </si>
  <si>
    <t>00089-21</t>
  </si>
  <si>
    <t>ГЕО-19/10901/00028/Р</t>
  </si>
  <si>
    <t>Задание на оказание услуг № 4 к Договору № ГЕО-19/10901/00028/Р от 22.02.2019 г.</t>
  </si>
  <si>
    <t>Задание №4 к № ГЕО-19/10901/00028/Р от 22.02.2019 г.</t>
  </si>
  <si>
    <t>Проведение производственного контроля за вредными и опасными производственными факторами на рабочих местах  в ООО «ГПН-ГЕО</t>
  </si>
  <si>
    <t>Петушкова В.Е.</t>
  </si>
  <si>
    <t>0000063161</t>
  </si>
  <si>
    <t xml:space="preserve">ООО ТОЦОТ </t>
  </si>
  <si>
    <t>7017207750</t>
  </si>
  <si>
    <t>Специальная оценка условий труда в соответствии с государственным нормативным требованием охраны труда</t>
  </si>
  <si>
    <t>00089-22</t>
  </si>
  <si>
    <t>ГЕО-21/26000/00313</t>
  </si>
  <si>
    <t>00089-23</t>
  </si>
  <si>
    <t xml:space="preserve">ГЕО-20/10110/00198/Р </t>
  </si>
  <si>
    <t>Дополнительное соглашение №9 к Договору № ХНТ-20/10110/967/Р/60 от 06.10.2020 г. на основании Соглашения о перемене лиц в обязательстве по Договору № ГЕО-20/10110/00198/Р от 25.12.2020 г.</t>
  </si>
  <si>
    <t>00089-24</t>
  </si>
  <si>
    <t>ГЕО-23/08000/00156/Р</t>
  </si>
  <si>
    <t>Индексация расценок 2024 года, перевод части негарантированного объема 2024 года в гарантированный</t>
  </si>
  <si>
    <t>0000093724</t>
  </si>
  <si>
    <t xml:space="preserve">ООО Алатау-7 </t>
  </si>
  <si>
    <t>8601057334</t>
  </si>
  <si>
    <t>00090-23</t>
  </si>
  <si>
    <t>ГЕО-23/33000/00057</t>
  </si>
  <si>
    <t xml:space="preserve">Соглашение с Пользователем о временном использовании (апробации) ИСС «Техэксперт» </t>
  </si>
  <si>
    <t>Временное использование (апробация) ИСС "Техэксперт" специалистами БГИ</t>
  </si>
  <si>
    <t>Общество с ограниченной ответственностью "Решения Для Бизнеса"</t>
  </si>
  <si>
    <t>00090-24</t>
  </si>
  <si>
    <t>Изм№3 к НЗ№2  к ДД №ГЕО-22/11029/00172/Р от 25.07.2022 (Камовская площадка)</t>
  </si>
  <si>
    <t xml:space="preserve">Изм№3 к НЗ№2 к Договору №ГЕО-22/11029/00172/Р от 25.07.2022 </t>
  </si>
  <si>
    <t>00091-22</t>
  </si>
  <si>
    <t>ГЕО-21/09000/00048/Д</t>
  </si>
  <si>
    <t>Дополнительное соглашение №1 к Заказу №3</t>
  </si>
  <si>
    <t>Корректировка этапа 3 "Сопровождение ОПР"</t>
  </si>
  <si>
    <t>Метелкин Д.В.</t>
  </si>
  <si>
    <t>Д-55</t>
  </si>
  <si>
    <t>0000000059</t>
  </si>
  <si>
    <t xml:space="preserve">АО Газпромнефть-ННГ </t>
  </si>
  <si>
    <t>8905000428</t>
  </si>
  <si>
    <t>00091-23</t>
  </si>
  <si>
    <t>ГЕО-23/33100/00043</t>
  </si>
  <si>
    <t>33100 Соглашение в области производственной безопасности (БурСервис)</t>
  </si>
  <si>
    <t>1. Договор на выполнение работ по цементированию обсадных колонн и хвостовиков, установке цементных мостов_x000D_
2. Договор подряда по приготовлению и инженерному сопровождению буровых растворов</t>
  </si>
  <si>
    <t>00091-24</t>
  </si>
  <si>
    <t>Изм№1 к НЗ№3 к   к ДД №ГЕО-22/11029/00172/Р от 25.07.2022 (Камовская площадка)</t>
  </si>
  <si>
    <t xml:space="preserve">Изм№1 к НЗ№3 к Договору №ГЕО-22/11029/00172/Р от 25.07.2022 </t>
  </si>
  <si>
    <t>00092-21</t>
  </si>
  <si>
    <t>АНГ-18/10501/00257/Р</t>
  </si>
  <si>
    <t>Обслуживание погружных установок электроцентробежных насосов</t>
  </si>
  <si>
    <t>ДС №2 к АНГ-18/10501/00257/Р</t>
  </si>
  <si>
    <t>Выполнение производственной программы проект "Чона"</t>
  </si>
  <si>
    <t>Жданов А.С.</t>
  </si>
  <si>
    <t>Д-22</t>
  </si>
  <si>
    <t>0000070846</t>
  </si>
  <si>
    <t xml:space="preserve">ООО БРПО </t>
  </si>
  <si>
    <t>7014052636</t>
  </si>
  <si>
    <t>00092-22</t>
  </si>
  <si>
    <t>ГЕО-21/10208/00166/Р</t>
  </si>
  <si>
    <t>Дополнительное соглашение №5 к Договору № ОРН-20/10204/00210/Р от 14.02.2020г.</t>
  </si>
  <si>
    <t xml:space="preserve">О заключении ДС №5 к договору № ОРН-20/10204/00210/Р от 14.02.2020г. (на основании Соглашения о перемене лиц в обязательстве № ГЕО-21/10208/00166/Р от 20.07.2021) между ООО «ГПН-ГЕО» и ООО «НСХ АЗИЯ ДРИЛЛИНГ», предусматривающего:_x000D_
_x000D_
1. Соглашение в области ПБ актуализировано в соответствии с Приказом 122-П от 30.07.2021 (включая новые паспорта КБ);_x000D_
2. Изменение Акта приема передачи ЛНД, включая Пропускной и внутриобъектовый режимы на Лицензионных участках и объектах ООО «ГПН-ГЕО» (перечисленные в нем документы будут переданы на CD-диске)_x000D_
3. Изменение штрафных санкций в соответствии с Приказом 85-П от 07.06.2021_x000D_
4. Обновление раздела УЭДК и Оценочного листа в соответствии с Протоколом ПТ-100.0359/0000110 от 07.12.2020_x000D_
5. Актуализация Регламента МТР в соответствии с Приказом 46-П от 17.04.2019_x000D_
6. Актуализация пунктов Договора после переуступки (изменение почтовых и электронных адресов с ГПН-ОРБ на ГПН-ГЕО)_x000D_
</t>
  </si>
  <si>
    <t>00092-23</t>
  </si>
  <si>
    <t>ГЕО-23/33200/00045</t>
  </si>
  <si>
    <t xml:space="preserve">33200 Соглашение об электронном документообороте ООО «БурСервис» </t>
  </si>
  <si>
    <t>Электонный обмен документами ООО «БурСервис».</t>
  </si>
  <si>
    <t>00092-24</t>
  </si>
  <si>
    <t>Изм№1 к  НЗ№4 к ДД №ГЕО-22/11029/00172/Р от 25.07.2022 (Камовская площадка)</t>
  </si>
  <si>
    <t>НЗ№4 Изм№1 к Договору №ГЕО-22/11029/00172/Р от 25.07.2022</t>
  </si>
  <si>
    <t>00093-24</t>
  </si>
  <si>
    <t>ГЕО-23/10000/00202/Д</t>
  </si>
  <si>
    <t>ДС №1 к Договору №MOS/23/0080/ГЕО-23/10000/00202/Д от 06.12.2023 г.</t>
  </si>
  <si>
    <t>Приведение расчета стоимости к фактически законтрактованным расценкам с третьими лицами</t>
  </si>
  <si>
    <t>0000105641</t>
  </si>
  <si>
    <t xml:space="preserve">ООО СПД </t>
  </si>
  <si>
    <t>8619017847</t>
  </si>
  <si>
    <t>00094-21</t>
  </si>
  <si>
    <t>Спецификация №2</t>
  </si>
  <si>
    <t>ГЕО-20/01200/00131/Д/Д_64025_67942_42100 от 08.07.2020</t>
  </si>
  <si>
    <t>Спецификация № 3 к договору поставки ГЕО-20/01200/00131/Д/Д_64025_67942_42100 от 08.07.2020</t>
  </si>
  <si>
    <t>Продажа 3 тундроматов из свободного запаса в ГПН-Заполярье</t>
  </si>
  <si>
    <t>Блок по закупкам</t>
  </si>
  <si>
    <t>0000064025</t>
  </si>
  <si>
    <t xml:space="preserve">ООО Газпромнефть - Заполярье </t>
  </si>
  <si>
    <t>7728720448</t>
  </si>
  <si>
    <t>00094-22</t>
  </si>
  <si>
    <t>ГЕО-22/34000/00041/Р</t>
  </si>
  <si>
    <t>Соглашение об установлении сервитута</t>
  </si>
  <si>
    <t>Установление сервитута на часть земельного участка с кадастровым номером 89:06:000000:53, на общую площадь 2,0337 га, для объекта «Площадка базы подрядных организаций и размещения строительных материалов на ПК0 автозимника на Северо-Ябургский ЛУ»</t>
  </si>
  <si>
    <t>0000071917</t>
  </si>
  <si>
    <t xml:space="preserve">Администрация Тазовского района </t>
  </si>
  <si>
    <t>8910003576</t>
  </si>
  <si>
    <t>Соглашение с органами государственной власти и управления и муниципальными образованиями</t>
  </si>
  <si>
    <t>00094-23</t>
  </si>
  <si>
    <t>ДС№10. Приведение к факту. Раскрытие негаранта.</t>
  </si>
  <si>
    <t>ДС№10 к договору № ОРН-20/10204/00210/Р от 14.02.2020г. (на основании Соглашения о перемене лиц в обязательстве № ГЕО-21/10208/00166/Р от 20.07.2021) с ООО «НСХ АЗИЯ ДРИЛЛИНГ» на выполнение бурения эксплуатационных/разведочных скважин по суточной ставке или фиксированной ставке (в т.ч. Мобильными установками), Проект «Южный Оренбург» 2022-2024 гг., предусматривающего: 1. приведение к факту 2022г. путем перераспределение неосвоенных объемов 2022г. в гарантированные 2023г.; 2. перераспределение объемов по видам работ бурение скважин / испытание (освоение) скважин. 3. раскрытие негарантированной части объемов 2023-2024гг. Договора в гарантированную часть 2023г. в связи с корректировкой производственной программы по проекту Южный-Оренбург.</t>
  </si>
  <si>
    <t>Бурение геологоразведочных скважин по суточной или иной фиксирванной ставке (в т.ч. мобильными установками)</t>
  </si>
  <si>
    <t>845170753.27</t>
  </si>
  <si>
    <t>00094-24</t>
  </si>
  <si>
    <t>На подписании</t>
  </si>
  <si>
    <t>ГЕО-24/33200/00044</t>
  </si>
  <si>
    <t xml:space="preserve"> Соглашение об электронном документообороте Сколково</t>
  </si>
  <si>
    <t xml:space="preserve">1.	Стороны подтверждают взаимное согласие на выставление и получение электронных документов, указанных в Приложении № 1 к настоящему Соглашению (переход на электронный документооборот, ЭДО). Прямо не указанные в Приложении № 1 электронные документы не передаются и не принимаются, а переданные не рассматриваются и не порождают каких-либо обязанностей для Сторон.
2.	Стороны подтверждают, что будут использовать необходимые технические средства, позволяющие принимать и обрабатывать электронные документы, подписанные усиленной квалифицированной электронной подписью с учетом выполнения требований по безопасности информации. Стороны обязуются за свой счет внедрить и настроить необходимое для использования электронного документооборота программное обеспечение.
</t>
  </si>
  <si>
    <t>Северюхина Н.В.</t>
  </si>
  <si>
    <t>00095-21</t>
  </si>
  <si>
    <t>ГЕО-20/11501/00184/Р</t>
  </si>
  <si>
    <t>Дополнительное соглашение №1 к договору №ГЕО-20/11501/00184/Р</t>
  </si>
  <si>
    <t>ДС №1 к договору №ГЕО-20/11501/00184/Р</t>
  </si>
  <si>
    <t>Выполнение камеральных маркшейдерских работ</t>
  </si>
  <si>
    <t>Хохлов А.А.</t>
  </si>
  <si>
    <t>0000062928</t>
  </si>
  <si>
    <t xml:space="preserve">ООО Горный аудит </t>
  </si>
  <si>
    <t>7701645627</t>
  </si>
  <si>
    <t>Разработка проекта производства маркшейдерских работ</t>
  </si>
  <si>
    <t>00095-22</t>
  </si>
  <si>
    <t>Продление сроков договора</t>
  </si>
  <si>
    <t>Белкин М.Ю.</t>
  </si>
  <si>
    <t>00095-23</t>
  </si>
  <si>
    <t xml:space="preserve">Наряд - заказ на оказание услуг № 1 </t>
  </si>
  <si>
    <t>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Солнечном ЛУ скв. № 341</t>
  </si>
  <si>
    <t>00096-21</t>
  </si>
  <si>
    <t>ГЕО-20/1150100184/Р</t>
  </si>
  <si>
    <t>НЗ №1 к договору №ГЕО-20/11501/00184/Р</t>
  </si>
  <si>
    <t>00096-22</t>
  </si>
  <si>
    <t>Увеличение суммы договора</t>
  </si>
  <si>
    <t>00096-23</t>
  </si>
  <si>
    <t>ГЕО-23/01200/00056/Р</t>
  </si>
  <si>
    <t>Договор поставки ПО "Киберпротект"</t>
  </si>
  <si>
    <t>Обновление ПО "Киберпротект" с ОС Windows на ОС Astra Linux, продление техподдержки.</t>
  </si>
  <si>
    <t>0000040222</t>
  </si>
  <si>
    <t xml:space="preserve">АО Софтлайн </t>
  </si>
  <si>
    <t>7736227885</t>
  </si>
  <si>
    <t>00096-24</t>
  </si>
  <si>
    <t>ГЕО-21/10924/00124/Р</t>
  </si>
  <si>
    <t>Дополнительное соглашение №9  к Договору №ГЕО-21/10924/00124/Р от 12.05.2021 г. на выполнение работ  по экологическому мониторингу месторождений</t>
  </si>
  <si>
    <t>Перераспределение объема выполняемых работ (перевод негарантированного объема работ 2024 г. в гарантированный объем работ 2024 г.) по СФО, ПФО и УФО</t>
  </si>
  <si>
    <t>Экологический мониторинг месторождений</t>
  </si>
  <si>
    <t>00097-21</t>
  </si>
  <si>
    <t>Соглашение о передаче в ГПН-ГЕО</t>
  </si>
  <si>
    <t>АНГ-18/11104/00084/Р</t>
  </si>
  <si>
    <t>Соглашение о перемене лица в обязательстве по Договору №АНГ-18/11104/00084/Р от 02.04.2018</t>
  </si>
  <si>
    <t>Соглашение о перемене к/а</t>
  </si>
  <si>
    <t>Перемена лица в обязательстве</t>
  </si>
  <si>
    <t>0000027645, 0000057650</t>
  </si>
  <si>
    <t xml:space="preserve">ООО Газпромнефть - Снабжение ; 
ООО Газпромнефть - Ямал </t>
  </si>
  <si>
    <t>5501072608, 8901001822</t>
  </si>
  <si>
    <t>Авиационное обслуживание (вертолеты)</t>
  </si>
  <si>
    <t>10318  Мастер-форма Договора по услуге  «Отбор керна при бурении и реконструкции скважин»</t>
  </si>
  <si>
    <t>00097-22</t>
  </si>
  <si>
    <t>ГЕО-22/10318/00037/Р</t>
  </si>
  <si>
    <t>Договор на выполнения работ по отбору керна на Северо-Ямбурском ЛУ (Проект "Титан")</t>
  </si>
  <si>
    <t>Веселкин А.С.</t>
  </si>
  <si>
    <t>0000039779</t>
  </si>
  <si>
    <t xml:space="preserve">АО НПП Бурсервис </t>
  </si>
  <si>
    <t>0277067693</t>
  </si>
  <si>
    <t>00097-23</t>
  </si>
  <si>
    <t>ГЕО-19/11708/00134/Р от 25.06.2019</t>
  </si>
  <si>
    <t>Заказ-Наряд №14 к договору №ГЕО-19/11708/00134/Р от 25.06.2019</t>
  </si>
  <si>
    <t>Концептуальное проектирование разработки глубоководных отложений мелового комплекса (пласты АС9, АС9-1, АС10-1, АС10-2, АС12, ЮС2-3, ЮС4) месторождения имени Александра Жагрина</t>
  </si>
  <si>
    <t>00097-24</t>
  </si>
  <si>
    <t>ГЕО-24/08000/00084/Р</t>
  </si>
  <si>
    <t>Супервизия работы «Создание единой программы воспроизводства минерально-сырьевой базы Нерутинской зоны»</t>
  </si>
  <si>
    <t xml:space="preserve">Заключение договора для исполнения обязательств по договору СОЗДАНИЕ ЕДИНОЙ ПРОГРАММЫ ВОСПРОИЗВОДСТВА МИНЕРАЛЬНО-СЫРЬЕВОЙ БАЗЫ НЕРУТИНСКОЙ ЗОНЫ
Договор № ГЕО-23/09000/00172/Д от 30 октября 2023 г.
«Супервизия работы «Создание единой программы воспроизводства минерально-сырьевой базы Нерутинской зоны». Технико-экономические предложения по освоению перспективных структур нераспределенного фонда недр Нерутинской зоны»
</t>
  </si>
  <si>
    <t>Игревский И.В.</t>
  </si>
  <si>
    <t>Проект "Западно-Юбилейное"</t>
  </si>
  <si>
    <t>Д-15</t>
  </si>
  <si>
    <t>00098-21</t>
  </si>
  <si>
    <t>НЗ №2 к договору №ГЕО-20/11501/00184/Р</t>
  </si>
  <si>
    <t>00098-23</t>
  </si>
  <si>
    <t xml:space="preserve">№ ГЕО-22/10000/00065/Р </t>
  </si>
  <si>
    <t>Дополнительное соглашение №5 на оказание услуг по испытанию геологоразведочных скважин на Солнечном ЛУ и Западно-Рубежинском ЛУ, предусматривающее перевод части негарантированного объем услуг в гарантированный объем услуг в 2023г</t>
  </si>
  <si>
    <t xml:space="preserve">Приведение негарантированного объема работ в гарантированный на 2023г. в связи с производственной необходимостью._x000D_
</t>
  </si>
  <si>
    <t>Бикташев Р.С.</t>
  </si>
  <si>
    <t>0000085349</t>
  </si>
  <si>
    <t xml:space="preserve">ООО ОКТАН СЕРВИС </t>
  </si>
  <si>
    <t>5610220126</t>
  </si>
  <si>
    <t>00098-24</t>
  </si>
  <si>
    <t>Наряд-Заказ №7 к Договору №ГЕО-21/10924/00124/Р от 12.05.2021 г. на выполнение работ  по экологическому мониторингу месторождений</t>
  </si>
  <si>
    <t>Выполнение работ по СФО, ПФО и УФО в 2024 г.</t>
  </si>
  <si>
    <t>00099-21</t>
  </si>
  <si>
    <t>ГЕО-21/26000/00114</t>
  </si>
  <si>
    <t xml:space="preserve">Необходимость заключения Соглашения (Договора) о конфиденциальности между ООО «ГПН-ГЕО» и ООО «ГТС обусловлена надобностью передачи (возможной передачей) конфиденциальной информации в ходе проведения работ по договору   №АНГ-18/10985/00282/Р от 29.12.2018 г_x000D_
Соглашение (Договор) о конфиденциальности подготовлено в соответствии с разделом 4.6 К-12.02.00-01 Режим коммерческой тайны по типовой форме Компании для российского контрагента._x000D_
Планируемые для передачи контрагенту сведения подпадают под действие пункта 8.1 КТ-040 Конфиденциальная информация._x000D_
</t>
  </si>
  <si>
    <t>0000063984</t>
  </si>
  <si>
    <t xml:space="preserve">ООО ГИДРОТЕХНОЛОГИИ СИБИРИ </t>
  </si>
  <si>
    <t>3808099451</t>
  </si>
  <si>
    <t>00099-22</t>
  </si>
  <si>
    <t>Бассейновая/региональная модель с оценкой перспектив (анализ и моделирование углеводородных систем в пределах зоны интереса проекта "Титан")</t>
  </si>
  <si>
    <t>НТЦ-03281-21Д-ГЕО</t>
  </si>
  <si>
    <t>Уточнение рисков миграции углеводородов и фазового состава углеводородов проекта "Титан"_x000D_
Северо-Ямбургский лицензионный участок с привлечением материалов по Ямбургскому НГКМ и его окружению.</t>
  </si>
  <si>
    <t>Толмачев Е.О.</t>
  </si>
  <si>
    <t>Кластер "Большая Ачимовка"</t>
  </si>
  <si>
    <t>00099-23</t>
  </si>
  <si>
    <t>Задание № 32 к Договору № ГЕО-20/10986/00138/Р от 10.08.2020 г. на оказание супервайзерских услуг по контролю состояния производственной безопасности на объектах ООО "ГПН-ГЕО"</t>
  </si>
  <si>
    <t>32</t>
  </si>
  <si>
    <t>Оказание услуг супервайзинг БДД на проекте "Оморинский"</t>
  </si>
  <si>
    <t>00099-24</t>
  </si>
  <si>
    <t>Наряд-заказ №8 к Договору № ГЕО-22/11000/00274/Р от 14.10.2022г</t>
  </si>
  <si>
    <t>На выполнение проектных работ</t>
  </si>
  <si>
    <t>00100-22</t>
  </si>
  <si>
    <t>ГЕО-19/00000/00317/Д</t>
  </si>
  <si>
    <t>Уточнения программы оказания услуг и выполнения работ с дополнением объемов по Воргенскому и Умсейскому лицензионным участкам, влекущее увеличение сроков оказания услуг / выполнении работ и действия договора по 31,12.2024г., а также увеличения стоимости по договору на сумму</t>
  </si>
  <si>
    <t>00100-23</t>
  </si>
  <si>
    <t>00100-24</t>
  </si>
  <si>
    <t>ГЕО-22/10000/00271/Р</t>
  </si>
  <si>
    <t>Актуализация формата оценочного листа и раздела договора "Управление эффективностью деятельности"</t>
  </si>
  <si>
    <t>00101-22</t>
  </si>
  <si>
    <t>ГЕО-21/11708/00165/Р//НТЦ-21/09000/00768/Д</t>
  </si>
  <si>
    <t>Геомеханическая модель с обоснованием ОТР для пилотной закачки газа в пласт</t>
  </si>
  <si>
    <t>НТЦ-00092-22Д-ГЕО</t>
  </si>
  <si>
    <t>Цель – оценка геомеханических параметров участка ОПР с учетом истории разработки, формирование решений по оптимальному забойному давлению в скважинах, планируемых под закачку</t>
  </si>
  <si>
    <t>00101-23</t>
  </si>
  <si>
    <t>ГЕО-23/10000/00054/Р</t>
  </si>
  <si>
    <t>10308 ГТИ при бурении</t>
  </si>
  <si>
    <t>Воронин А.С.</t>
  </si>
  <si>
    <t>126031920</t>
  </si>
  <si>
    <t>00101-24</t>
  </si>
  <si>
    <t>ГЕО-21/07000/00283/Р</t>
  </si>
  <si>
    <t>Дополнительное соглашение № 5 к договору ГЕО-21/07000/00283/Р от 20.12.2021</t>
  </si>
  <si>
    <t>Применение округления до двух знаков после запятой</t>
  </si>
  <si>
    <t>00102-22</t>
  </si>
  <si>
    <t xml:space="preserve">ГЕО-21/11708/00165/Р//НТЦ-21/09000/00768/Д </t>
  </si>
  <si>
    <t>НТЦ-00052-22Д-ГЕО</t>
  </si>
  <si>
    <t>Цель – сопровождение проекта АчMGI по пласту БП17 Вынгаяхинского месторождения в части организации пилота по технологии смешивающегося вытеснения при закачке газа в пласт</t>
  </si>
  <si>
    <t>00102-23</t>
  </si>
  <si>
    <t>ГЕО-22/10000/00193/Р</t>
  </si>
  <si>
    <t>Дополнительное соглашение №3 к Договору №ГЕО-22/10000/00193/Р от 15.08.2022г.</t>
  </si>
  <si>
    <t>Перенос неосвоенного гарантированного объема и негарантированного объема по договору 2022 года в 2023 год, раскрытие части негарантированного объема 2023 года, а так же уменьшения объемов отдельных позиций с одновременным увеличением других без увеличения единичных расценок и общей цены договора.</t>
  </si>
  <si>
    <t>Забиров А.А.</t>
  </si>
  <si>
    <t>26495453</t>
  </si>
  <si>
    <t>00103-22</t>
  </si>
  <si>
    <t>ГЕО-19/10001/00157/Р/ГСН-19/10001/00829/Д/ТМН-15 от 15.07.2019г.</t>
  </si>
  <si>
    <t>ДС № 13 (перенос экономии 21г. на 22г., включение мотивационных показателей в условия договора)</t>
  </si>
  <si>
    <t>• Приведение стоимости договора СТЛ к фактическому исполнению в 2021 году. В связи с наличием фактической экономии на сумму 72 975 927,94 рублей без НДС по договору СТЛ в 2021 году относительно планируемых затрат предлагается сумму неосвоенных средств 2021 года перенести в 2022 год для возможности оперативного управления изменениями производственной программы в 2022 году и оплаты услуг СТЛ в 1 квартале 2022 года._x000D_
• Данные изменения не влекут за собой увеличение / изменение общей стоимости договора, либо увеличение / изменение единичных расценок / тарифов.</t>
  </si>
  <si>
    <t>00103-23</t>
  </si>
  <si>
    <t>ДС№11. на уточнение требований к автотранспорту (Шнекоротор)</t>
  </si>
  <si>
    <t>Дополнительное соглашение №11 к Договору №ОРН-20/10204/00210/Р от 14 февраля 2020 года (на основании Соглашения о перемене лиц в обязательстве № ГЕО-21/10208/00166/Р от 20.07.2021) с ООО «НСХ АЗИЯ ДРИЛЛИНГ» на уточнение требований к автотранспорту без изменения единичных расценок, общей стоимости и объема услуг по Договору._x000D_
Пункт 2.22 КТ-530 «Иные изменения, не поименованные в настоящем каталоге, не являющиеся существенными».</t>
  </si>
  <si>
    <t>00103-24</t>
  </si>
  <si>
    <t>Изменение № 1 к НАРЯД-ЗАКАЗУ № 1 от 17.01.2023г. к Договору № ГЕО-21/10302/00225/Р от 11.10.2021г.</t>
  </si>
  <si>
    <t>00104-23</t>
  </si>
  <si>
    <t>ГЕО-22/10968/00244/Р</t>
  </si>
  <si>
    <t>Перенос объёма услуг по перебазировке с 2022 на 2023 год</t>
  </si>
  <si>
    <t>0000041259</t>
  </si>
  <si>
    <t xml:space="preserve">ООО НИИ ЭиРИПР </t>
  </si>
  <si>
    <t>7203159800</t>
  </si>
  <si>
    <t>00104-24</t>
  </si>
  <si>
    <t>ГЕО-19/10156/00057/Р</t>
  </si>
  <si>
    <t xml:space="preserve">ДС №6 К ДД № ГЕО-19/10156/00057/Р </t>
  </si>
  <si>
    <t>Перевод НГО 2024 в ГО 2024, перераспределение части невостребованного ГО 2023 г. в ГО 2024 г., актуализация реквизитов и юридического адреса Подрядчика</t>
  </si>
  <si>
    <t>00105-22</t>
  </si>
  <si>
    <t>ДС №1 к договору поставки № Д_27645_67942_49007 от 28.01.2022 г</t>
  </si>
  <si>
    <t>Включение в договор арбитражной оговорки (арбитражного соглашения)</t>
  </si>
  <si>
    <t>00105-23</t>
  </si>
  <si>
    <t>ГЕО-19/10900/00290/Р</t>
  </si>
  <si>
    <t xml:space="preserve">ДС № 4 к Д № ГЕО-19/10900/00290/Р </t>
  </si>
  <si>
    <t xml:space="preserve"> В целях реализации Политики и требований НМД ПАО «Газпром нефть» в области производственной безопасности, для предупреждения и снижения количества несчастных случаев связанных со здоровьем работников на производственных объектах ООО «ГПН-ГЕО».</t>
  </si>
  <si>
    <t>00105-24</t>
  </si>
  <si>
    <t>Соглашение о расторжении</t>
  </si>
  <si>
    <t xml:space="preserve">Соглашение о расторжении </t>
  </si>
  <si>
    <t xml:space="preserve">Соглашение о расторжении договора ГПХ </t>
  </si>
  <si>
    <t>00106-21</t>
  </si>
  <si>
    <t>Формирование геологического концепта и предпосылок по разработке Медвежьего кластера. Формирование стратегии развития РБ Нерутинской зоны</t>
  </si>
  <si>
    <t>НТЦ-00189-21Д-ГЕО</t>
  </si>
  <si>
    <t>геолого-экономической оценка участков с последующим формированием стратегии доступа и развития РБ Нерутинской зоны</t>
  </si>
  <si>
    <t>Ибрагимов Айдар Миргалиянович</t>
  </si>
  <si>
    <t>00106-22</t>
  </si>
  <si>
    <t>Сопровождение формирования концепций разработки для пилотной закачки газа в пласт</t>
  </si>
  <si>
    <t>НТЦ-00072-22Д-ГЕО</t>
  </si>
  <si>
    <t>00106-23</t>
  </si>
  <si>
    <t>ГЕО-23/20000/00047/Д</t>
  </si>
  <si>
    <t>20000 Агентский договор на организацию вертолетных авиаперевозок ООО «НьюТек Сервисез»</t>
  </si>
  <si>
    <t>00106-24</t>
  </si>
  <si>
    <t>Наряд-заказ №2 к договору ГЕО-22/10968/00279/Р от 31.10.2022</t>
  </si>
  <si>
    <t>Организация работы по утилизации отходов бурения на скв. Солнечного ЛУ с компанией ООО "Велес"</t>
  </si>
  <si>
    <t>00107-21</t>
  </si>
  <si>
    <t xml:space="preserve">№НТЦ-21/07000/00081/Д-ГЕО </t>
  </si>
  <si>
    <t xml:space="preserve">Дополнительное соглашение №1 к Заказу №НТЦ-21/07000/00081/Д-ГЕО </t>
  </si>
  <si>
    <t>Продление срока выполнения работ по Заказу № НТЦ-21/07000/00081/Д-ГЕО от 09.03.2021 по теме: «Предварительная концепция реализация этапа «Оценка» по крупному проекту ГРР «Енисей». Этап 1» до 31.05.2021г.</t>
  </si>
  <si>
    <t>00107-22</t>
  </si>
  <si>
    <t>ГЕО-22/01200/00052/Д</t>
  </si>
  <si>
    <t xml:space="preserve">ДОГОВОР купли-продажи движимого имущества </t>
  </si>
  <si>
    <t>Продажа ИТ оборудования с запасов ГЕО в ГПН-ИТО</t>
  </si>
  <si>
    <t>00107-24</t>
  </si>
  <si>
    <t>ГЕО-24/09600/00047</t>
  </si>
  <si>
    <t>О практической подготовке обучающегося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t>
  </si>
  <si>
    <t>организация практической подготовки обучающегося Финансового университета при проведении практики</t>
  </si>
  <si>
    <t>Федеральное государственное образовательное бюджетное учреждение высшего образования «Финансовый университет при Правительстве Российской Федерации»</t>
  </si>
  <si>
    <t>11505 Договор на выполнение цифровой аэрофотосъемки и воздушно-лазерного сканирования</t>
  </si>
  <si>
    <t>00108-21</t>
  </si>
  <si>
    <t>ГЕО-21/11505/00115/Р</t>
  </si>
  <si>
    <t>С целью выполнения цифровой аэрофотосъемки и воздушно-лазерного сканирования</t>
  </si>
  <si>
    <t>Общество с ограниченной ответственностью «Научно-Производственное Предприятие «Сибгеокарта»</t>
  </si>
  <si>
    <t>Аэрофотосъемка, космическая съемка. Создание ортофотопланов</t>
  </si>
  <si>
    <t>00108-22</t>
  </si>
  <si>
    <t>Сервис по формированию бизнес-заказа на технологии (Технологический скаутинг гипотез по сформулированным бизнес-вызовам северного кластера Ачимовской толщи)</t>
  </si>
  <si>
    <t>НТЦ-00293-22Д-ГЕО</t>
  </si>
  <si>
    <t xml:space="preserve"> Определение направлений поиска на основе сформулированных бизнес-вызовов</t>
  </si>
  <si>
    <t>00108-23</t>
  </si>
  <si>
    <t>ГЕО-10/10900/00266/Р</t>
  </si>
  <si>
    <t xml:space="preserve">Дополнительное соглашение № 4 к Договору № ГЕО-19/10900/00266/Р от 01.10.2019 г. </t>
  </si>
  <si>
    <t>В целях продления оказания услуг по противофонтанной безопасности на объектах Лескинского ЛУ до мая 2023 года включительно, путём преевода негарантированного объёма в гарантированный (91 сутки, 2 652 195 руб.)</t>
  </si>
  <si>
    <t>00108-24</t>
  </si>
  <si>
    <t>Изменение №1 к Заявке № 11 к Договору № ГЕО-23/09000/00149/Р от 28.08.2023 г.</t>
  </si>
  <si>
    <t>1.	Изложить раздел 1, Заявки № 11 к Договору № ГЕО-23/09000/00149/Р от 28.08.2023 г. в части Ф.И.О. работника в следующей редакции:
- Кочетков Сергей Сергеевич.
- Сабиров Рустам Маснавиевич.</t>
  </si>
  <si>
    <t>00109-22</t>
  </si>
  <si>
    <t>ГЕО-20/1101/00070/Р</t>
  </si>
  <si>
    <t>Н-З №3 к  Договору №ГЕО-20/11014/00070/Р от 06.05. 2021 года</t>
  </si>
  <si>
    <t>Заключения Наряд-заказа №3 по договору № ГЕО-20/11014/00070/Р от 06.05.2020 г. с ООО «Техно-Сервис»</t>
  </si>
  <si>
    <t>0000067167</t>
  </si>
  <si>
    <t xml:space="preserve">ООО Техно-Сервис </t>
  </si>
  <si>
    <t>7719520026</t>
  </si>
  <si>
    <t>00109-23</t>
  </si>
  <si>
    <t>ДС№1 Арбитражное соглашение. ООО НППГА "ЛУЧ" ГЕО-23/10000/00054/Р</t>
  </si>
  <si>
    <t>ДС№1 Арбитражное соглашение.</t>
  </si>
  <si>
    <t>00109-24</t>
  </si>
  <si>
    <t>00110-21</t>
  </si>
  <si>
    <t>ГЕО-21/25000/00116/Р</t>
  </si>
  <si>
    <t>Договор ГПХ на оказание услуг</t>
  </si>
  <si>
    <t>Табуева Мария Анатольевна</t>
  </si>
  <si>
    <t>00110-22</t>
  </si>
  <si>
    <t>ГЕО-22/20000/00176/Д</t>
  </si>
  <si>
    <t>Агентский договор на выполнение работ по переобработке сейсмических материалов МОГТ-ЗД в пределах Западно-Юбилейного участка</t>
  </si>
  <si>
    <t>Выполнение работ по обработке сейсмических материалов МОГТ-ЗД в пределах Западно-Юбилейного участка</t>
  </si>
  <si>
    <t>Мурзин Р.Р.</t>
  </si>
  <si>
    <t>0000069357</t>
  </si>
  <si>
    <t xml:space="preserve">ООО Меретояханефтегаз </t>
  </si>
  <si>
    <t>8903034220</t>
  </si>
  <si>
    <t>00110-23</t>
  </si>
  <si>
    <t>ГЕО-23/20000/00048/Д</t>
  </si>
  <si>
    <t>20000 Агентский договор на организацию вертолетных авиаперевозок ООО «БурСервис»</t>
  </si>
  <si>
    <t>04300 Договор аренды земельных участков (под строительство)</t>
  </si>
  <si>
    <t>00110-24</t>
  </si>
  <si>
    <t>ГЕО-24/04300/00049/Р</t>
  </si>
  <si>
    <t>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t>
  </si>
  <si>
    <t>0000103052</t>
  </si>
  <si>
    <t xml:space="preserve">Кондрашов Николай Александрович </t>
  </si>
  <si>
    <t>563900109424</t>
  </si>
  <si>
    <t>00111-23</t>
  </si>
  <si>
    <t>ГЕО-23/33200/00055</t>
  </si>
  <si>
    <t>33200 Соглашение об электронном документообороте ООО НППГА "ЛУЧ"</t>
  </si>
  <si>
    <t>Электонный обмен документами ООО НППГА "ЛУЧ"</t>
  </si>
  <si>
    <t>00111-24</t>
  </si>
  <si>
    <t>ГЕО-23/33100/00062</t>
  </si>
  <si>
    <t>В целях реализации «Системы управления исполнением договорных обязательств при выполнении производственных работ / услуг» и систематизации процесса взаимодействия с подрядными организациями в области производственной безопасности и оптимизации процесса согласования договорных документов.</t>
  </si>
  <si>
    <t>00112-21</t>
  </si>
  <si>
    <t>00112-23</t>
  </si>
  <si>
    <t>ГЕО-21/11505/00195/Р</t>
  </si>
  <si>
    <t>Наряд-заказ № 5 корректировка</t>
  </si>
  <si>
    <t>Выполнение цифровой аэрофотосъемки (ЦАФС) и воздушно-лазерного сканирования (ВЛС) пилотируемым воздушным судном на территории Хамакинской площади Чаяндинского ЛУ (Республика Саха (Якутия). Номер района по ТЗ - 6)</t>
  </si>
  <si>
    <t>0000091163</t>
  </si>
  <si>
    <t xml:space="preserve">ООО ГЕОТЭК </t>
  </si>
  <si>
    <t>5001063958</t>
  </si>
  <si>
    <t>00112-24</t>
  </si>
  <si>
    <t>Заказ-Наряд №29 к договору №ГЕО-19/11708/00133/Р от 25.06.2019</t>
  </si>
  <si>
    <t>29</t>
  </si>
  <si>
    <t>Научно-исследовательские работы для формирования предварительной базовой интегрированной концепции разработки в пределах Пякутинской площади</t>
  </si>
  <si>
    <t>Лежнина Марина Игоревна</t>
  </si>
  <si>
    <t>ГЕО-19/00000/00317/Д/ННГ-19/10124/01839/Р</t>
  </si>
  <si>
    <t>00113-21</t>
  </si>
  <si>
    <t>ГЕО-20/11104/00153/Д от 22.09.2020г.</t>
  </si>
  <si>
    <t>ДС №2 к Агентскому договору ГЕО-20/11104/00153/Д</t>
  </si>
  <si>
    <t>ДС №2 к ГЕО-20/11104/00153/Д</t>
  </si>
  <si>
    <t>Продление срока действия договора, увеличение стоимости договора</t>
  </si>
  <si>
    <t>00113-23</t>
  </si>
  <si>
    <t>Дополнительное соглашение № 5 к договору № ГЕО-21/10318/00258/Р от 08.11.2021г.</t>
  </si>
  <si>
    <t>Перераспределение объема работ по годам</t>
  </si>
  <si>
    <t>00114-23</t>
  </si>
  <si>
    <t>ГЕО-23/31000/00049</t>
  </si>
  <si>
    <t>Соглашение об урегулировании претензионных требований (НСХ Азия Дриллинг)</t>
  </si>
  <si>
    <t>Соглашение об урегулировании претензионных требований. Претензия №3/001519 от 05.12.2022 (НСХ АЗИЯ ДРИЛЛИНГ, ООО)</t>
  </si>
  <si>
    <t>Соглашение об урегулировании финансовых обязательств</t>
  </si>
  <si>
    <t>00114-24</t>
  </si>
  <si>
    <t>ГЕО-19/11708/00134/Р</t>
  </si>
  <si>
    <t>Заказ-Наряд №16</t>
  </si>
  <si>
    <t>Комплексная интерпретация сейсморазведочных данных 3D в интервале продуктивных пластов Ю2-Ю4 в зоне сочленения Вынгапуровского и Новогоднего месторождений с использованием объектно-ориентированного прогноза</t>
  </si>
  <si>
    <t>Мостовой П.Я.</t>
  </si>
  <si>
    <t>10419 Договор на выполнение работ/услуг  «Свинчивание и спуск труб и НКТ, включая оборудование, инженерную поддержку и инструменты, запись и предоставление момента свинчивания в цифровом виде</t>
  </si>
  <si>
    <t>00115-22</t>
  </si>
  <si>
    <t>ГЕО-22/10419/00039/Р</t>
  </si>
  <si>
    <t>Заключение договора для проекта "Титан"</t>
  </si>
  <si>
    <t>0000047295</t>
  </si>
  <si>
    <t xml:space="preserve">ООО Везерфорд </t>
  </si>
  <si>
    <t>7708639661</t>
  </si>
  <si>
    <t>Услуги  по свинчиванию и спуску труб и НКТ, включая оборудование, инженерную поддержку и инструменты. Запись и предоставлнение момента свинчивания в цифровом виде</t>
  </si>
  <si>
    <t>00115-23</t>
  </si>
  <si>
    <t>1.1</t>
  </si>
  <si>
    <t>Изменение Наряд-Заказа № 1 в редакции Наряд-Заказа № 1.1</t>
  </si>
  <si>
    <t>00115-24</t>
  </si>
  <si>
    <t>Дополнительное соглашение №2 к договору ГЕО-23/09000/00041/Р от «31» января 2023 г</t>
  </si>
  <si>
    <t xml:space="preserve">Исключение единичных расценок на проживание персонала из приложений:
- №8 к договору «Расчет стоимости оказания услуг» 
- №8.3 к договору «Расчет суточной ставки на услуги супервайзера по сероводороду, в т.ч. проведение инструктажей, обучений по утверждённой программе, контроль доступа и учет персонала на объекте, проведение УТЗ» (п. 6.1. «Проживание персонала») 
Уменьшение суммы договора на сумму проживания персонала в размере (-) 11 102 140,00 руб. без учета НДС, а также суммы мотивации (-) 222 042,80
Включение в договор условий по возврату компенсации проживания за предыдущий период 
Включение графика платежей по возврату компенсации за проживание персонала
</t>
  </si>
  <si>
    <t>00116-22</t>
  </si>
  <si>
    <t>ГЕО-22/33200/00040</t>
  </si>
  <si>
    <t xml:space="preserve">Использование электронного документооборота для принятия ТМЦ </t>
  </si>
  <si>
    <t>0000084257</t>
  </si>
  <si>
    <t xml:space="preserve">ООО Комус </t>
  </si>
  <si>
    <t>7721793895</t>
  </si>
  <si>
    <t>00116-23</t>
  </si>
  <si>
    <t>ГЕО-22/10000/00144/Р</t>
  </si>
  <si>
    <t>НАРЯД-ЗАКАЗ НА ОКАЗАНИЕ УСЛУГ № 4 к ДОГОВОРУ № ГЕО-22/10000/00144/Р от 27.06.2022г.</t>
  </si>
  <si>
    <t>выполнение работ и оказание услуг в области пожарной безопасности</t>
  </si>
  <si>
    <t>0000048356</t>
  </si>
  <si>
    <t xml:space="preserve">ООО Защита Югры </t>
  </si>
  <si>
    <t>8601034898</t>
  </si>
  <si>
    <t>00116-24</t>
  </si>
  <si>
    <t>Наряд-заказ №3 к договору ГЕО-22/10968/00279/Р от 31.10.2022</t>
  </si>
  <si>
    <t>00117-21</t>
  </si>
  <si>
    <t>ГЕО-20/01200/00131/Д</t>
  </si>
  <si>
    <t>Спецификация №4</t>
  </si>
  <si>
    <t>Реализация основных средств проекта «ЧОНА» в адрес ДО Газпромнефть – Заполярье,</t>
  </si>
  <si>
    <t xml:space="preserve">Нежальских В.А. </t>
  </si>
  <si>
    <t>00117-22</t>
  </si>
  <si>
    <t>Дополнительное соглашение № 7 к Договору № ОРН-18/10303/03693/Р от 20.12.2018г.</t>
  </si>
  <si>
    <t>Замена химреагента RICHMOLE Component 100 на Petro Hib D без изменения общей стоимости и объема работ по Договору</t>
  </si>
  <si>
    <t>Приготовление и инженерное сопровождение буровых растворов</t>
  </si>
  <si>
    <t>00117-23</t>
  </si>
  <si>
    <t>ГЕО-23/33400/00051</t>
  </si>
  <si>
    <t xml:space="preserve">Соглашение о безопасном использовании информационных систем </t>
  </si>
  <si>
    <t xml:space="preserve">Предоставление НТЦ Геомеханика доступа к автоматизированной информационной системе удаленного доступа к информационным ресурсам «СУДИР» </t>
  </si>
  <si>
    <t>00117-24</t>
  </si>
  <si>
    <t>И № 2 к ЗК № 5 к ДД №ГЕО-22/11029/00172/Р от 25.07.2022</t>
  </si>
  <si>
    <t>И № 2 к ЗК № 5 к ДД №ГЕО-22/11029/00172/Р от 25.07.2022 (скв "КМ4бис"). Изм объёмов услуг по обустройству дорог и строительству площадки.</t>
  </si>
  <si>
    <t>00118-22</t>
  </si>
  <si>
    <t>ГЕО-22/33100/00038</t>
  </si>
  <si>
    <t>Соглашение в области производственной безопасности с АО "НПП "Бурсервис"</t>
  </si>
  <si>
    <t>Регулирование отношений в области производственной безопасности между ООО "ГПН-ГЕО" и АО "НПП "Бурсервис"</t>
  </si>
  <si>
    <t>00118-23</t>
  </si>
  <si>
    <t>ГЕО-23/33400/00052</t>
  </si>
  <si>
    <t xml:space="preserve">Предоставление ООО "ИЦ ГазИнформПласт" доступа к автоматизированной информационной системе удаленного доступа к информационным ресурсам «СУДИР» </t>
  </si>
  <si>
    <t>00118-24</t>
  </si>
  <si>
    <t>Подписание ЭП контрагентом</t>
  </si>
  <si>
    <t>ЗК № 6 к ДД №ГЕО-22/11029/00172/Р от 25.07.2022</t>
  </si>
  <si>
    <t>ЗК № 6 к ДД №ГЕО-22/11029/00172/Р от 25.07.2022 (скв "КМ4"). Рекультивация площадки скв. КМ4.</t>
  </si>
  <si>
    <t>00119-22</t>
  </si>
  <si>
    <t>ГЕО-22/13000/00043</t>
  </si>
  <si>
    <t>Уведомление-соглашение о фактоинге к договору ХНТ-19/10110/898/Р/60 от 27.08.2019 (переуступка № ГЕО-21/07000/00299/Р от 27.12.2021)</t>
  </si>
  <si>
    <t>Заключение Уведомления-соглашения о фактоинге к договору ХНТ-19/10110/898/Р/60 от 27.08.2019 (переуступка № ГЕО-21/07000/00299/Р от 27.12.2021)</t>
  </si>
  <si>
    <t>Договор финансирования под уступку денежного требования</t>
  </si>
  <si>
    <t>00119-23</t>
  </si>
  <si>
    <t>Дополнительное соглашение №6 к Договору № ГЕО-21/10924/00124/Р от 12 мая 2021 года на оказание услуги по экологическому мониторингу месторождений</t>
  </si>
  <si>
    <t>Частичный перевод негарантированного объема услуг в гарантированный в 2023 году в Сибирском, Уральском, Приволжском и Дальневосточном федеральных округах без изменения единичных расценок и общей суммы договора</t>
  </si>
  <si>
    <t>00119-24</t>
  </si>
  <si>
    <t>ГЕО-23/27100/00096/Д</t>
  </si>
  <si>
    <t>Спецификация №3 к Договору поставки №ГЕО-23/27100/00096/Д от «01» июня 2023 г.</t>
  </si>
  <si>
    <t>Коллеги, добрый день!
Доходный ДД. 
От ПО поступил запрос на заключение Спецификации №3 на увеличение объема приобретения ДТ у ГПН-ГЕО на Оморинском ЛУ. Расчет стоимости для спецификации №3 согласован с Отделом эффективности контрактования.
Оплата Товара осуществляется на условиях 100% предоплаты.     
Передача ДТ  осуществляется при участии представителя ГПН-ГЕО (Суперинтендант, супервайзер по бурению).</t>
  </si>
  <si>
    <t>11000 Наряд-заказ к Договору (рамочному) на выполнение  "ПИР Объекты системы энергообеспечения месторождений нефти и газа (сети выше 35), вкл. авторский надзор"</t>
  </si>
  <si>
    <t>00120-21</t>
  </si>
  <si>
    <t>№ ГЕО-19/11019/00140/Р от 19.06.2019 г.</t>
  </si>
  <si>
    <t xml:space="preserve">Наряд-заказ №6 </t>
  </si>
  <si>
    <t>Выполнение проектных работ по объекту «Строительство поисково-оценочной скважины №1ПО Северо-Ямбургского лицензионного участка»</t>
  </si>
  <si>
    <t>0000087804</t>
  </si>
  <si>
    <t xml:space="preserve">ООО НЕФТЕГАЗПРОЕКТ </t>
  </si>
  <si>
    <t>2634048800</t>
  </si>
  <si>
    <t>ПИР Объекты добычи, подготовки и транспорта нефти, вкл. авторский надзор</t>
  </si>
  <si>
    <t>00120-22</t>
  </si>
  <si>
    <t xml:space="preserve">№ГЕО-19/10126/00195/Р </t>
  </si>
  <si>
    <t>Дополнительное соглашение № 3 к Договору №ГЕО-19/10126/00195/Р от 01.08.2019 г.</t>
  </si>
  <si>
    <t>БЕЗ ИЗМЕНЕНИЯ СТОИМОСТИ ДОГОВОРА_x000D_
Включение в расчет стоимости Договора расшифровки единичной расценки «Технологическое дежурство отряда ГИС при бурении (оборудование/персонал/вагон-дом и т.д.)»</t>
  </si>
  <si>
    <t>00120-23</t>
  </si>
  <si>
    <t>ДС №2 к Договору №ГЕО-22/10000/00271/Р от 10.10.2022 г. с ООО «ТНГ-Групп»</t>
  </si>
  <si>
    <t xml:space="preserve">Квалификация дополнительной сейсмопартии </t>
  </si>
  <si>
    <t>00120-24</t>
  </si>
  <si>
    <t>ДС №5 к ДОГОВОРУ №ГЕО-23/10000/00067/Р от 31.03.2023 г.</t>
  </si>
  <si>
    <t>Раскрытие "негарантированного "объема</t>
  </si>
  <si>
    <t>00121-21</t>
  </si>
  <si>
    <t>№5</t>
  </si>
  <si>
    <t>Изменению №2 к Наряд-заказу №5 от 29.12.2020 к №ГЕО-19/11019/00140/Р от 19.06.2019</t>
  </si>
  <si>
    <t xml:space="preserve">Выполнение дополнительных инженерных изысканий «Строительство объектов Северо-Ямбургского лицензионного участка»._x000D_
Выделение этапов календарного плана. Разделение одного этапа на два этапа </t>
  </si>
  <si>
    <t>00121-22</t>
  </si>
  <si>
    <t xml:space="preserve">№ГЕО-20/10126/00022/Р </t>
  </si>
  <si>
    <t xml:space="preserve">ДС №2 к Договору №ГЕО-20/10126/00022/Р от 15.01.2020 г. </t>
  </si>
  <si>
    <t>00121-23</t>
  </si>
  <si>
    <t>НАРЯД-ЗАКАЗ №34 к Договору № АНГ-19/11513/00007/Р от 14.02.2019</t>
  </si>
  <si>
    <t>34</t>
  </si>
  <si>
    <t>Оформление земельных участков для объекта: 1) Строительство разведочной скважины Км-5 Камовской площади Оморинского лицензионного участка. 2) Участки пунктов дежурства техники, складирования древесины и временного размещения городка на ПК0 Оморинского лицензионного участка</t>
  </si>
  <si>
    <t>00121-24</t>
  </si>
  <si>
    <t>ГЕО-24/24000/00054/Р</t>
  </si>
  <si>
    <t>Приобретение доступа к ИТ ОЛИМПОКС</t>
  </si>
  <si>
    <t>Для реализации обучения в области ПЭБ</t>
  </si>
  <si>
    <t>Разумовский М.В.</t>
  </si>
  <si>
    <t>0000070392</t>
  </si>
  <si>
    <t xml:space="preserve">ООО ТЕРМИКА-ПЛЮС </t>
  </si>
  <si>
    <t>7716180477</t>
  </si>
  <si>
    <t>00122-21</t>
  </si>
  <si>
    <t>АНГ-19/11513/00010/Р</t>
  </si>
  <si>
    <t xml:space="preserve">Наряд-заказ № 7 к Договору № АНГ-19/11513/00010/Р </t>
  </si>
  <si>
    <t>Оформление разрешительной документации на земельные участки для объекта  "Проведение полевых сейсморазведочных работ МОГТ 3Д на Воргенском ЛУ"</t>
  </si>
  <si>
    <t>00122-22</t>
  </si>
  <si>
    <t>ГЕО-22/16000/00080/Р</t>
  </si>
  <si>
    <t>Договор хранения</t>
  </si>
  <si>
    <t>Оказание услуги хранения, приемки, выдачи специальной одежды, специальной обуви, смывающих, обезвреживающих средств и других средств индивидуальной защиты работникам ООО «ГПН-ГЕО»</t>
  </si>
  <si>
    <t>0000089597</t>
  </si>
  <si>
    <t xml:space="preserve">ООО ТТ </t>
  </si>
  <si>
    <t>7811455562</t>
  </si>
  <si>
    <t>00122-24</t>
  </si>
  <si>
    <t>ГЕО-24/09000/00060/Р</t>
  </si>
  <si>
    <t>оказание услуг по обучению руководителей и специалистов ООО «ГПН-ГЕО» оказанию первой помощи пострадавшим на производстве, в том числе в особых условиях на удаленных лицензионных участках</t>
  </si>
  <si>
    <t xml:space="preserve">Исполнение требований Постановления Правительства РФ от 24.12.2021 N 2464 «О порядке обучения по охране труда и проверки знания требований охраны труда», а также исполнения требований Приказа № 16-П от 16.02.2024 г. об утверждении «Матрицы обучений и аттестации руководителей и специалистов ООО «ГПН-ГЕО» по направлениям в области производственной безопасности в 2024 г.» </t>
  </si>
  <si>
    <t>0000115200</t>
  </si>
  <si>
    <t>ЧОУ ДПО Научно-образовательный Инс титут ММЦ</t>
  </si>
  <si>
    <t>7841070190</t>
  </si>
  <si>
    <t>00123-21</t>
  </si>
  <si>
    <t>ГЕО-21/01000/00126/Д</t>
  </si>
  <si>
    <t>Договор поставки (продажи) портландцемента</t>
  </si>
  <si>
    <t xml:space="preserve">Продажа цемента из категории НВИ </t>
  </si>
  <si>
    <t xml:space="preserve">Акционерное общество «Салехардский речной порт» </t>
  </si>
  <si>
    <t>00123-22</t>
  </si>
  <si>
    <t>ГЕО-22/07100/00042/Р</t>
  </si>
  <si>
    <t>0000044973</t>
  </si>
  <si>
    <t>ООО Технологическая Компания Шлюмб ерже</t>
  </si>
  <si>
    <t>7709413265</t>
  </si>
  <si>
    <t>00123-23</t>
  </si>
  <si>
    <t>ГЕО-23/01200/00059/Р</t>
  </si>
  <si>
    <t xml:space="preserve">ДОГОВОР ПОСТАВКИ </t>
  </si>
  <si>
    <t>Поставка сувенирной продукции для ООО "ГПН-ГЕО"</t>
  </si>
  <si>
    <t>0000109171</t>
  </si>
  <si>
    <t xml:space="preserve">ИП Лебедева Екатерина Николаевна </t>
  </si>
  <si>
    <t>667010670731</t>
  </si>
  <si>
    <t>00123-24</t>
  </si>
  <si>
    <t>ГЕО-23/10000/00223/Р</t>
  </si>
  <si>
    <t>Дополнительное соглашение №1 к Договору № ГЕО-23/10000/00223/Р от 18.12.2023 г.</t>
  </si>
  <si>
    <t>00124-21</t>
  </si>
  <si>
    <t>Получение услуг по договору ГПХ</t>
  </si>
  <si>
    <t>Белов Л.К.</t>
  </si>
  <si>
    <t>0000096142</t>
  </si>
  <si>
    <t xml:space="preserve">Белов Леонид Константинович </t>
  </si>
  <si>
    <t>462001940602</t>
  </si>
  <si>
    <t>240 000,00</t>
  </si>
  <si>
    <t>00000 ДС на изменение реквизитов контрагента (адрес, счет)</t>
  </si>
  <si>
    <t>00124-23</t>
  </si>
  <si>
    <t>ГЕО-22/10000/00179/Р</t>
  </si>
  <si>
    <t>Изменением банковских реквизитов контрагента</t>
  </si>
  <si>
    <t>0000066687</t>
  </si>
  <si>
    <t>Филиал компании Шлюмберже Лоджелко , Инк. г. Новый Уренгой</t>
  </si>
  <si>
    <t>00124-24</t>
  </si>
  <si>
    <t>ГЕО-24/20000/00048/Д</t>
  </si>
  <si>
    <t>00125-21</t>
  </si>
  <si>
    <t>Соглашение об оказании юридической помощи</t>
  </si>
  <si>
    <t>Оказание юридических услуг в связи с уголовным делом</t>
  </si>
  <si>
    <t>Санкт-Петербургское Адвокатское бюро "Егоров, Пугинский, Афанасьев и Партнеры"</t>
  </si>
  <si>
    <t>00125-22</t>
  </si>
  <si>
    <t>№ ГЕО-19/09000/00180 от 05.08.2019г.</t>
  </si>
  <si>
    <t>Дополнительное соглашение № 8 к договору № ГЕО-19/09000/00180/Р от 05.08.2019 г.</t>
  </si>
  <si>
    <t>Продление срока действия договора по 27.09.2022г. и перераспределение объемов - исключение негарантированного объема услуг (предусмотренного договором) с одновременным увеличением услуг охраны КПП на Лескинском ЛУ (предусмотренных договором), без увеличения общей стоимости по договору и единичных расценок</t>
  </si>
  <si>
    <t>00125-23</t>
  </si>
  <si>
    <t>ГЕО-23/33200/00141</t>
  </si>
  <si>
    <t>Соглашение об электронном документообороте между ООО "ГПН-ГЕО" и ИП Лебедева Е.Н.</t>
  </si>
  <si>
    <t>00125-24</t>
  </si>
  <si>
    <t>ГЕО-24/10000/00053/Р</t>
  </si>
  <si>
    <t xml:space="preserve">Договор с ООО "ПетроТрейс" на оказание услуг, связанных с геолого-экономической оценкой, сопровождением и реализацией проектов </t>
  </si>
  <si>
    <t>Оказание услуг, связанных с геолого-экономической оценкой, сопровождением и реализацией проектов на этапах «Доступ», «Поиск» и «Оценка», созданием сейсмогеологических моделей по проектам ООО «ГПН-ГЕО», обработка и комплексная интерпретация новой сейсмики ЗД</t>
  </si>
  <si>
    <t>00126-21</t>
  </si>
  <si>
    <t>ГЕО-20/24000/00187/Р</t>
  </si>
  <si>
    <t>СУБЛИЦЕНЗИОННЫЙ ДОГОВОР</t>
  </si>
  <si>
    <t>ДС №1 к ГЕО-20/24000/00187/Р</t>
  </si>
  <si>
    <t>Дозакупка лицензий на программное обеспечение Microsoft</t>
  </si>
  <si>
    <t>Разумовский Максим Викторович</t>
  </si>
  <si>
    <t>00126-22</t>
  </si>
  <si>
    <t>№ ГЕО-20/09000/00182/Д / АБ-20/09000/00005/Р</t>
  </si>
  <si>
    <t>ДОПОЛНИТЕЛЬНОЕ СОГЛАШЕНИЕ № 3 К ОПЕРАТОРСКОМУ СОГЛАШЕНИЮ № ГЕО-20/09000/00182/Д / АБ-20/09000/00005/Р</t>
  </si>
  <si>
    <t>Операторское соглашение</t>
  </si>
  <si>
    <t>00126-23</t>
  </si>
  <si>
    <t xml:space="preserve">ДС № 6 к Договору № ГЕО-22/10000/00055/Р от 17.03.2022 г.  </t>
  </si>
  <si>
    <t xml:space="preserve">Изменение банковских реквизитов Подрядчика </t>
  </si>
  <si>
    <t>00127-21</t>
  </si>
  <si>
    <t>Заказ-Наряд №11 к договору №ГЕО-19/11708/00133/Р от 25.06.2019</t>
  </si>
  <si>
    <t>Заказ-Наряд №11</t>
  </si>
  <si>
    <t>Научно исследовательские работы для формирования предварительной базовой интегрированной концепции разработки в периметре Западных участков территории деятельности АО «Газпромнефть ННГ»</t>
  </si>
  <si>
    <t>00127-22</t>
  </si>
  <si>
    <t>ГЕО-22/10000/00048/Р</t>
  </si>
  <si>
    <t>Договор на оказание услуг по предоставлению оборудования и инженерному сопровождению при спуске и креплению скважин хвостовиками</t>
  </si>
  <si>
    <t>Оказание услуги 10307. "Предоставление оборудования и инженерное сопровождение при спуске и креплению скважин хвостовиками" для проекта "Титан"</t>
  </si>
  <si>
    <t>00127-23</t>
  </si>
  <si>
    <t>ГЕО-21/10308/00236/Р</t>
  </si>
  <si>
    <t>Дополнительное соглашение №6 к Договору № ГЕО-21/10308/00236/Р от 04.10.2021</t>
  </si>
  <si>
    <t>00127-24</t>
  </si>
  <si>
    <t>ГЕО-23/10000/00094/Р</t>
  </si>
  <si>
    <t>Изменение реквизитов контрагента</t>
  </si>
  <si>
    <t>Горев М.А.</t>
  </si>
  <si>
    <t>0000070856</t>
  </si>
  <si>
    <t xml:space="preserve">ФГБУ Рослесинфорг </t>
  </si>
  <si>
    <t>7722319952</t>
  </si>
  <si>
    <t>00128-21</t>
  </si>
  <si>
    <t>ГЕО-21/10126/00121/Р</t>
  </si>
  <si>
    <t>На проведение геофизических исследований при строительстве/реконструкции скважин/ и на проведение прострелочно-взрывных работ</t>
  </si>
  <si>
    <t xml:space="preserve">В целях обеспечения эффективности процесса закупки на оказание услуг «ГИС при строительстве/реконструкции скважин» (10126) и «Проведение ПВР» (10130) предлагается признать целесообразным заключение договора с взаимозависимым лицом ООО «Газпромнефть-ННГГФ». </t>
  </si>
  <si>
    <t>ГИС при строительстве/реконструкции скважин</t>
  </si>
  <si>
    <t>00128-23</t>
  </si>
  <si>
    <t xml:space="preserve">Наряд - Заказ на оказание услуг № 2 к Договору </t>
  </si>
  <si>
    <t>на 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Лескинском ЛУ</t>
  </si>
  <si>
    <t>00129-22</t>
  </si>
  <si>
    <t xml:space="preserve">ГЕО-20/10940/00117/Р </t>
  </si>
  <si>
    <t>Раздел 4 Договора дополнить пунктом 4.10 следующего содержания: «Вместо счета-фактуры и акта об оказании услуг, Стороны вправе формировать и подписывать универсальный передаточный документ (УПД), объединяющий в себе счет-фактуру и первичный учетный документ (акт об оказании)».</t>
  </si>
  <si>
    <t>0000086733</t>
  </si>
  <si>
    <t xml:space="preserve">ООО ЭкоСтройПереработка </t>
  </si>
  <si>
    <t>7203336545</t>
  </si>
  <si>
    <t>00129-23</t>
  </si>
  <si>
    <t xml:space="preserve">НАРЯД-ЗАКАЗ № 5 к ДОГОВОРУ № ГЕО-21/10924/00124/Р от 12.05.2021 г. на выполнение работ по экологическому мониторингу месторождений </t>
  </si>
  <si>
    <t>НАРЯД-ЗАКАЗ № 5</t>
  </si>
  <si>
    <t xml:space="preserve">Выполнение Исполнителем работ по экологическому мониторингу месторождений в 2023 г. </t>
  </si>
  <si>
    <t>00130-22</t>
  </si>
  <si>
    <t>ГЕО-22/33200/00046</t>
  </si>
  <si>
    <t>00130-23</t>
  </si>
  <si>
    <t>Наряд-заказ №1. ООО НППГА «ЛУЧ»</t>
  </si>
  <si>
    <t>Наряд-заказ №1. ООО НППГА «ЛУЧ». Договор подряда "10308 ГТИ при бурении"</t>
  </si>
  <si>
    <t>105026600</t>
  </si>
  <si>
    <t>00130-24</t>
  </si>
  <si>
    <t>ГЕО-24/24000/00068/Р</t>
  </si>
  <si>
    <t>Предоставление доступа к ИС Консультант ПЛЮС с архивными базами</t>
  </si>
  <si>
    <t>0000115173</t>
  </si>
  <si>
    <t xml:space="preserve">ООО Ваше Право Консультант Плюс </t>
  </si>
  <si>
    <t>7801337545</t>
  </si>
  <si>
    <t>00131-21</t>
  </si>
  <si>
    <t xml:space="preserve"> № НТЦ-20/09000/00114/Д-ГЕО от «02» декабря 2020 г </t>
  </si>
  <si>
    <t>НТЦ-18/29000/01344/Д-ГЕО-18/11602/00075/Р</t>
  </si>
  <si>
    <t>Разработка нормативно-методического документа</t>
  </si>
  <si>
    <t>Разработка нормативной документации, технологических регламентов, проектно-сметной документации, норм расхода вспомогательных материалов по подготовке газа</t>
  </si>
  <si>
    <t>00131-22</t>
  </si>
  <si>
    <t>ГЕО-22/33100/00044</t>
  </si>
  <si>
    <t xml:space="preserve">Соблюдение норм и правил ПБ </t>
  </si>
  <si>
    <t>00131-23</t>
  </si>
  <si>
    <t>Дополнительное соглашение №3 к Договору № ГЕО-22/10000/00048/Р от 28.02.2022 г.</t>
  </si>
  <si>
    <t>00131-24</t>
  </si>
  <si>
    <t>Изменение №3 к наряд-заказу №2 от 28.11.23 г. к Договору №ГЕО-23/10000/00067/Р от 31.03.23 г.</t>
  </si>
  <si>
    <t>00132-22</t>
  </si>
  <si>
    <t>ГЕО-22/26000/00049</t>
  </si>
  <si>
    <t xml:space="preserve">Соблюдение условий конфиденциальности в случае передачи конфиденциальной информации </t>
  </si>
  <si>
    <t>00133-21</t>
  </si>
  <si>
    <t>Дополнительное соглашение №8 к договору оказания услуг № ГЕО-19/10001/00157/Р/ГСН-19/10001/00829/Д/ТМН-15 от 15.07.2019г.</t>
  </si>
  <si>
    <t>ГЕО-19/10001/00157/Р</t>
  </si>
  <si>
    <t>ДОПОЛНИТЕЛЬНОЕ СОГЛАШЕНИЕ № 9 к Договору оказания услуг № ГЕО-19/10001/00157/Р/ГСН-19/10001/00829/Д/ТМН-15 от «15» июля 2019г.</t>
  </si>
  <si>
    <t xml:space="preserve">1. В рамках операторского соглашения ГЕО-20/09000/00182/_x000D_
Д/АБ-20/09000/00005/Р от 23.11.2020 ООО «ГПН-ГЕО» оказывает услуги на Лескинском ЛУ (проект «Енисей») для ООО «Газпромнефть-Аэро Брянск». Услуги логистики на проекте «Енисей» оказываются по договору № ГЕО-19/10001/00157/Р от 15.07.2019 с ООО «Газпромнефть – Снабжение». В рамках исполнения требований ООО «Газпромнефть-Аэро Брянск» в договор № ГЕО-19/10001/00157/Р требуется внести изменения, предусматривающие:_x000D_
1.1 Чёткое определение географических границ деятельности (перемещения техники, хранения материалов и оборудования, создания временных сооружений и т.п.) ООО «Газпромнефть - снабжение» в рамках исполнения договора;_x000D_
1.2 Ответственность ООО «Газпромнефть - снабжение» за любые убытки и затраты (включая стоимость или соответствующую часть стоимости рекультивации объектов в пределах Лескинского ЛУ, использованных ООО «Газпромнефть - снабжение» для оказания услуг третьим лицам), понесённые ООО «ГПН-ГЕО» или ООО «Газпромнефть-Аэро Брянск» в результате осуществления ООО «Газпромнефть - снабжение» на Лескинском ЛУ деятельности, не входящей в состав работ и услуг, предусмотренных Договором логистики;_x000D_
1.3 Обязанность ООО «Газпромнефть - снабжение» предварительно согласовывать с ООО «ГПН – ГЕО» возможность осуществления любой деятельности вне рамок оговорённых границ;_x000D_
1.4 Недопустимость выставления ООО «Газпромнефть - снабжение» к возмещению со стороны ООО «ГПН-ГЕО» стоимости или части стоимости работ, в той мере, в которой результат таких работ используется ООО «Газпромнефть - снабжение» для оказания услуг третьим лицам. Необходимость корректировки общей цены по Договору логистики, если устанавливается, что ранее такое возмещение уже состоялось._x000D_
</t>
  </si>
  <si>
    <t>00133-23</t>
  </si>
  <si>
    <t>ГЕО-23/33000/00058</t>
  </si>
  <si>
    <t xml:space="preserve">Переход на факторинговое обслуживание по договору №ГЕО-22/10000/00057/Р от 18.03.2022г. </t>
  </si>
  <si>
    <t>0000062699, 0000049141</t>
  </si>
  <si>
    <t xml:space="preserve">ООО ГПБ - факторинг ; 
ПАО ГЕОТЕК Сейсморазведка </t>
  </si>
  <si>
    <t>7727712331, 7203215460</t>
  </si>
  <si>
    <t>00133-24</t>
  </si>
  <si>
    <t xml:space="preserve">Изменение №2 к Наряд-заказу №1 к Договору  №ГЕО-23/10318/00010/Р от «10» января 2023 г. с АО «Технологии ОФС» </t>
  </si>
  <si>
    <t>Актуализация наряд-заказа в части объема и расценки по ставке "Отобранный представительный, кондиционный керн - согласно условиям и требованиям к оборудованию, персоналу и программному обеспечению, указанным в техническом задании, которые должны быть включены в данную ставку. 80 мм. от 51 до 100 метров". Прочие ставки без изменений.</t>
  </si>
  <si>
    <t>00134-21</t>
  </si>
  <si>
    <t>ГЕО-21/11104/00122/Д</t>
  </si>
  <si>
    <t>Агентский договор на организацию вертолетных авиаперевозок</t>
  </si>
  <si>
    <t>00134-22</t>
  </si>
  <si>
    <t>ГЕО-20/09000/00214/Р</t>
  </si>
  <si>
    <t>Дополнительное соглашение №1 к Договору оказания комплекса услуг по введению бухгалтерского (финансового) и налогового учета, проведение безналичных расчетов и услуг в области валютного контроля № ГЕО-20/09000/00214/Р/ГБС-20/09000/00868/Д/БС-24 от 30.12.20</t>
  </si>
  <si>
    <t xml:space="preserve">Включение дополнительных услуг по отправке  отчетности в управления статистики в электронном виде и администрированию ЭДО_x000D_
</t>
  </si>
  <si>
    <t>00134-23</t>
  </si>
  <si>
    <t>ГЕО-21/10430/00237/Р</t>
  </si>
  <si>
    <t>Дополнительное соглашение №2 к Договору № ГЕО-21/10430/00237/Р от 25.10.2021 г.</t>
  </si>
  <si>
    <t>Инженерное и технологическое сопровождение работ при текущем и капитальном ремонте скважин (ТКРС)</t>
  </si>
  <si>
    <t>00134-24</t>
  </si>
  <si>
    <t>ГЕО-24/10150/00055/Р</t>
  </si>
  <si>
    <t>Проведение газодинамических/газоконденсатных/гидродинамических исследований скважин</t>
  </si>
  <si>
    <t>00135-23</t>
  </si>
  <si>
    <t>Наряд-заказа № 1 к Договору №ГЕО-22/10968/00244/Р от 23.09.2022 г. с ООО «НИИ ЭиРИПР»</t>
  </si>
  <si>
    <t>Выполнение работ по утилизации отходов бурения</t>
  </si>
  <si>
    <t>00135-24</t>
  </si>
  <si>
    <t>ГЕО-24/26000/00056</t>
  </si>
  <si>
    <t>Заключение СОКа для возможной передачи конфиденциальной информации в ходе заключения Агентского договора между двумя организациями.</t>
  </si>
  <si>
    <t>Коростелев И.С.</t>
  </si>
  <si>
    <t>00136-22</t>
  </si>
  <si>
    <t>ГЕО-21/10110/00217/Р + ПР</t>
  </si>
  <si>
    <t>ДС № 1 к договору ГЕО-21/10110/00217/Р</t>
  </si>
  <si>
    <t>Заключение ДС № 1 к договору ГЕО-21/10110/00217/Р</t>
  </si>
  <si>
    <t>0000040495</t>
  </si>
  <si>
    <t xml:space="preserve">АО Башнефтегеофизика </t>
  </si>
  <si>
    <t>0275009544</t>
  </si>
  <si>
    <t>Полевые сейсморазведочные работы 2Д, 3Д</t>
  </si>
  <si>
    <t>00136-23</t>
  </si>
  <si>
    <t>ГЕО-21/10900/00249/Р</t>
  </si>
  <si>
    <t>Дополнительное соглашение №3 к договору №ГЕО-21/10900/00249/Р от 08.11.2021 г.</t>
  </si>
  <si>
    <t>Частичный перевод негарантированного объема работ 2023 г. в гарантированный</t>
  </si>
  <si>
    <t>0000101243</t>
  </si>
  <si>
    <t xml:space="preserve">Енисейский филиал ФГБУ Главрыбвод </t>
  </si>
  <si>
    <t>7708044880</t>
  </si>
  <si>
    <t>00136-24</t>
  </si>
  <si>
    <t>ГЕО-24/09000/00051/Р</t>
  </si>
  <si>
    <t>ДД на оказание услуг по утилизации отходов бурения на лицензионных участках Восточной Сибири</t>
  </si>
  <si>
    <t>Организация утилизации отходов бурения на лицензионных участках Восточной Сибири.</t>
  </si>
  <si>
    <t>00137-21</t>
  </si>
  <si>
    <t>ГЕО-18/18000/00046/Р/ГСН-18/18000/01164/Д/НС-03.3</t>
  </si>
  <si>
    <t>ДС №6 к ГЕО-18/18000/00046/Р/ГСН-18/18000/01164/Д/НС-03.3</t>
  </si>
  <si>
    <t xml:space="preserve"> ДС №6  и ПР к ДС 6</t>
  </si>
  <si>
    <t>С целью выполнения требования приказа ПАО "Газпром нефть" от 06.04.2021 №32-П по поставке МТР на условиях выборки товара со склада поставщика.</t>
  </si>
  <si>
    <t>Долгов Д.Г,</t>
  </si>
  <si>
    <t>00137-23</t>
  </si>
  <si>
    <t>ГЕО-20/10838/00020/Р</t>
  </si>
  <si>
    <t>Дополнительное соглашение к договору №ГЕО-20/10838/00020/Р от 01.02.2020 по перераспределение между гарант. и негарант. объёмами работ</t>
  </si>
  <si>
    <t xml:space="preserve">Приведение негарантированного объема работ в гарантированный на 2023г. по проекту Оморинсчкий в связи с производственной необходимостью. </t>
  </si>
  <si>
    <t>0000088405</t>
  </si>
  <si>
    <t xml:space="preserve">ООО ПЭБ </t>
  </si>
  <si>
    <t>6312086734</t>
  </si>
  <si>
    <t>00137-24</t>
  </si>
  <si>
    <t>ГЕО-24/04300/00052/Р</t>
  </si>
  <si>
    <t>для строительства промышленных и иных объектов, в том числе (но не ограничиваясь) для размещения бурового оборудования при бурении разведочной скважины 342 Корнаваринского лицензионного участка и размещения подъездного пути к скважине</t>
  </si>
  <si>
    <t>0000115183</t>
  </si>
  <si>
    <t xml:space="preserve">Гарифулин Юрий Анатольевич </t>
  </si>
  <si>
    <t>564802061920</t>
  </si>
  <si>
    <t>00138-21</t>
  </si>
  <si>
    <t>ГЕО-21/25000/00117/Р</t>
  </si>
  <si>
    <t>Ефременко А.А.</t>
  </si>
  <si>
    <t>Белов Л.К. - Подрядчик - Управление инвестиционного планирования</t>
  </si>
  <si>
    <t>00138-22</t>
  </si>
  <si>
    <t>№ГЕО-20/101109/00144/Р</t>
  </si>
  <si>
    <t>Услуги по исследованию состава и свойств пластовых флюидов скв.178 Лескинское ЛУ</t>
  </si>
  <si>
    <t>Заказ № 02/2022</t>
  </si>
  <si>
    <t>Выполнение стандартного комплекса лабораторных исследований пластовых флюидов в соответствии с п.3 Геолого-технического задания (Приложение №1 к Договору № ГЕО -20/101109/00144/Р от 11.09.2020г.)._x000D_
Химический состав и свойства пластовой воды_x000D_
Подготовка технического отчета.</t>
  </si>
  <si>
    <t>00138-23</t>
  </si>
  <si>
    <t xml:space="preserve">20 DR 077 / ГЕО-20/17000/00171Р  </t>
  </si>
  <si>
    <t xml:space="preserve">Дополнительное соглашение №4 к Договору (Полису) страхования рисков при разведке и разработке месторождений № 20 DR 077 / ГЕО-20/17000/00171Р  </t>
  </si>
  <si>
    <t xml:space="preserve">Внесение изменений в договор (Полис) страхования рисков при разведке и разработке месторождений </t>
  </si>
  <si>
    <t>00138-24</t>
  </si>
  <si>
    <t>ГЕО-24/33200/00057</t>
  </si>
  <si>
    <t>Организация электронного документооборота с контрагентом</t>
  </si>
  <si>
    <t>00000 Соглашение об электронном документообороте</t>
  </si>
  <si>
    <t>00139-21</t>
  </si>
  <si>
    <t>ГЕО-21/00000/00119</t>
  </si>
  <si>
    <t>Электронный документооборот первичных учетных документов</t>
  </si>
  <si>
    <t>00139-22</t>
  </si>
  <si>
    <t>ГЕО-21/00000/00196/Д</t>
  </si>
  <si>
    <t>Корректировка условий по договору</t>
  </si>
  <si>
    <t>Компания Салым Петролеум Девелопмент Н.В.</t>
  </si>
  <si>
    <t>00139-23</t>
  </si>
  <si>
    <t xml:space="preserve">ГЕО-19/10111/00120/Р  </t>
  </si>
  <si>
    <t>Дополнительное соглашение №9 к Договору № ГЕО-19/10111/00120/Р   от 15.05.2019</t>
  </si>
  <si>
    <t>Перевод негарантированного объема  (235 кв.км.+5 скважин по Краснореченской площади) в гарантированный объем</t>
  </si>
  <si>
    <t>00139-24</t>
  </si>
  <si>
    <t>ГЕО-24/33100/00086</t>
  </si>
  <si>
    <t>33100 Соглашение в области производственной безопасности с Компанией Шлюмберже Лоджелко Инк.</t>
  </si>
  <si>
    <t>Организация безопасности работ по Договору с Компанией Шлюмберже Лоджелко Инк.</t>
  </si>
  <si>
    <t>00140-21</t>
  </si>
  <si>
    <t>ГЕО-21/33000/00131</t>
  </si>
  <si>
    <t>Об использовании электронного документооборота</t>
  </si>
  <si>
    <t>Использование электронного документооборота</t>
  </si>
  <si>
    <t>Хисамутдинов С.И.</t>
  </si>
  <si>
    <t>Хисамутдинов</t>
  </si>
  <si>
    <t>0000039285</t>
  </si>
  <si>
    <t xml:space="preserve">ООО Газпромнефть-Автоматизация </t>
  </si>
  <si>
    <t>8905032469</t>
  </si>
  <si>
    <t>00140-22</t>
  </si>
  <si>
    <t>ГЕО-22/33200/00045</t>
  </si>
  <si>
    <t>0000100775</t>
  </si>
  <si>
    <t xml:space="preserve">ЧОУ ДПО УЦ Ракурс+ </t>
  </si>
  <si>
    <t>6312197040</t>
  </si>
  <si>
    <t>00140-23</t>
  </si>
  <si>
    <t>ГЕО-21/11104/00291/Р</t>
  </si>
  <si>
    <t>Изменение летных тарифов на оказание услуг, перевод НГО в ГО.</t>
  </si>
  <si>
    <t>Бабиков Н.В.</t>
  </si>
  <si>
    <t>0000011433</t>
  </si>
  <si>
    <t xml:space="preserve">АО ЮТэйр-Вертолетные услуги </t>
  </si>
  <si>
    <t>8604005359</t>
  </si>
  <si>
    <t>26206654.08</t>
  </si>
  <si>
    <t>00140-24</t>
  </si>
  <si>
    <t>Наряд-заказ №8 к Договору №ГЕО-21/11505/00195/Р от «24» августа 2021г.</t>
  </si>
  <si>
    <t>Выполнение цифровой аэрофотосъемки (ЦАФС) и воздушно-лазерного сканирования (ВЛС) пилотируемым воздушным судном на территории Южно-Новопортовского ЛУ. Номер района по ТЗ - 4)</t>
  </si>
  <si>
    <t>00141-21</t>
  </si>
  <si>
    <t>ГЕО-21/11513/00019/Р</t>
  </si>
  <si>
    <t>Наряд-заказ № 1 кк Договору № ГЕО-21/11513/00019/Р</t>
  </si>
  <si>
    <t xml:space="preserve">Наряд-заказ № 1 к Договору № ГЕО-21/11513/00019/Р </t>
  </si>
  <si>
    <t>Оформление разрешительной документации на земельные участки (части земельных участков) с кадастровыми номерами: 56:31:1308001:43; 56:31:1308001:45; 56:31:0000000:1162; 56:31:0000000:1472; 56:31:0610025:22</t>
  </si>
  <si>
    <t>0000066514</t>
  </si>
  <si>
    <t xml:space="preserve">ООО Лэнд Эксперт </t>
  </si>
  <si>
    <t>7725741143</t>
  </si>
  <si>
    <t>00141-22</t>
  </si>
  <si>
    <t>Заключение НЗ по исследованию керна</t>
  </si>
  <si>
    <t>НТЦ-03235-21Д-ГЕО</t>
  </si>
  <si>
    <t>Оказание услуг по продукту: «Сервис по контролю качества лабораторных исследований керна и флюидов»</t>
  </si>
  <si>
    <t>00141-23</t>
  </si>
  <si>
    <t>ГЕО-21/11104/00292/Р</t>
  </si>
  <si>
    <t>Дополнительное соглашение №5</t>
  </si>
  <si>
    <t>Изменение летных тарифов на оказание услуг, без изменения общей стоимости договора.</t>
  </si>
  <si>
    <t>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t>
  </si>
  <si>
    <t>00141-24</t>
  </si>
  <si>
    <t>ГЕО-22/10000/00313/</t>
  </si>
  <si>
    <t xml:space="preserve">Актуализация Перечня нарушений и штрафных санкций в области ПБ </t>
  </si>
  <si>
    <t>00142-21</t>
  </si>
  <si>
    <t xml:space="preserve">ДС№1 к договору № АНГ-19/11513/00007/Р </t>
  </si>
  <si>
    <t xml:space="preserve">ДС №1 </t>
  </si>
  <si>
    <t xml:space="preserve">1. Продление срока действия договора до 31.12.2024г_x000D_
2. Изменение срока предоставления первичных учетных документов, в соответствии со сроками управленческой отчетности и закрытия, принятыми в 2021 г в ООО «ГПН-ГЕО», с возможностью предоставления универсального передаточного документа, в рамках перехода на электронный документооборот (ЭДО)._x000D_
3. Изменение текущего порядка оплаты на порядок, применяемый для вновь заключенных договоров._x000D_
4. Распределение общего объема работ на период 2019-2024 гг., без увеличения ориентировочного общего количества._x000D_
</t>
  </si>
  <si>
    <t>00142-22</t>
  </si>
  <si>
    <t>ГЕО-22/33200/00054</t>
  </si>
  <si>
    <t>0000055382</t>
  </si>
  <si>
    <t xml:space="preserve">АО Стандарт безопасности </t>
  </si>
  <si>
    <t>7718554537</t>
  </si>
  <si>
    <t>00142-23</t>
  </si>
  <si>
    <t xml:space="preserve">ГЕО-20/11104/00210/Р </t>
  </si>
  <si>
    <t>Изменение летных тарифов на оказание услуг, без изменения общей суммы договора</t>
  </si>
  <si>
    <t>00142-24</t>
  </si>
  <si>
    <t>ГЕО-22/10000/00313/Р</t>
  </si>
  <si>
    <t>Внесение изменений в договоры в части актуализации перечня нарушений и штрафных санкций</t>
  </si>
  <si>
    <t>00143-23</t>
  </si>
  <si>
    <t>Дополнительное соглашение №7</t>
  </si>
  <si>
    <t>Перераспределение негарантированных объемов в гарантированный объем в 2023г. для покрытия потребности новых ставок медицинского аналитика и доверенного врача</t>
  </si>
  <si>
    <t>00143-24</t>
  </si>
  <si>
    <t>ДС №4 к Договору №ГЕО-22/10000/00271/Р от 10.10.2022 с ООО "ТНГ-Групп"</t>
  </si>
  <si>
    <t>Актуализация перечня штрафов и штрафных санкций, раздела по мотивации, формы расчета мотивации и раздела УЭДК</t>
  </si>
  <si>
    <t>00144-21</t>
  </si>
  <si>
    <t xml:space="preserve">Соглашение от 11.02.20219 к АНГ-18/10985/00282/Р </t>
  </si>
  <si>
    <t>№АНГ-18/10985/00282/Р от 29.12.2018</t>
  </si>
  <si>
    <t>Дополнительное соглашение № 4 к Договору № АНГ-18/10985/00282/Р от 29.12.2018 г.</t>
  </si>
  <si>
    <t xml:space="preserve">В целях исключения сверхлимитных платежей и соблюдения Законодательства РФ ООО «ГПН-ГЕО» необходимо произвести работы по утилизации отходов бурения в летний период 2021 г. образовавшиеся при строительстве скважин в 2020г._x000D_
По графику производства работ мероприятия по утилизации отходов бурения на площадке 6И запланированы в летний период 2021г. _x000D_
10985 «Утилизация отходов бурения и рекультивация нарушенных земель, занятых под шламовые амбары/шламонакопители» на 2019-2021гг._x000D_
Проект «Чона»_x000D_
</t>
  </si>
  <si>
    <t>Утилизация отходов бурения и рекультивация нарушенных земель, занятых под шламовые амбары/шламонакопители</t>
  </si>
  <si>
    <t>00144-22</t>
  </si>
  <si>
    <t>ГЕО-22/09000/00051/Д</t>
  </si>
  <si>
    <t>Договор оказания услуг на Западно-Лугинецком ЛУ</t>
  </si>
  <si>
    <t>Дакиров В.С</t>
  </si>
  <si>
    <t>0000040194</t>
  </si>
  <si>
    <t xml:space="preserve">ООО Газпромнефть-Восток </t>
  </si>
  <si>
    <t>7017126251</t>
  </si>
  <si>
    <t>00144-23</t>
  </si>
  <si>
    <t xml:space="preserve">НТЦ-19/07000/00599/Р </t>
  </si>
  <si>
    <t>Заключение НЗ №3/23-297</t>
  </si>
  <si>
    <t>3/23-297</t>
  </si>
  <si>
    <t>Оценка влияния технологических жидкостей на фильтрационные характеристики образцов керна Приобского месторождения</t>
  </si>
  <si>
    <t>00144-24</t>
  </si>
  <si>
    <t>ГЕО-24/33100/00058</t>
  </si>
  <si>
    <t>Организация безопасности работ по Договору  ООО "ГТС"</t>
  </si>
  <si>
    <t>00145-21</t>
  </si>
  <si>
    <t xml:space="preserve"> ГЕО-20/10986/00128/Р от 07.08.2020 г.</t>
  </si>
  <si>
    <t>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t>
  </si>
  <si>
    <t>ДС №3 к ДОГОВОРУ № ГЕО-20/10986/00128/Р от 07.08.2020 г.</t>
  </si>
  <si>
    <t xml:space="preserve">Перераспределение объёмов работ по годам (перенос гарантированного объёма Лескинского ЛУ 2020 года в гарантированный объём Лескинского ЛУ 2021 год в количестве 8 суток, весь не гарантированный объём Лескинского ЛУ 2020 года и Приволжского федерального округа Оренбургской области переносится в не гарантированный объём 2022 год Приволжского федерального округа Оренбургской области). </t>
  </si>
  <si>
    <t>Цурак Ю.Д.</t>
  </si>
  <si>
    <t>Супервайзинг ПЭБ и ОТ</t>
  </si>
  <si>
    <t>00145-22</t>
  </si>
  <si>
    <t>ХНТ-20/10110/967/Р/60/ГЕО-20/10110/00198/Р</t>
  </si>
  <si>
    <t>ДОПОЛНИТЕЛЬНОЕ СОГЛАШЕНИЕ № 4 к Договору № ХНТ-20/10110/967/Р/60/ГЕО-20/10110/00198/Р от 06.10.2020 г. на выполнение работ по теме: «Проведение полевых сейсморазведочных работ МОГТ 3D с применением технологии «Зеленая сейсмика ©»</t>
  </si>
  <si>
    <t>Выплата материальной мотивации по итогам 4 кв. 2021 г.</t>
  </si>
  <si>
    <t>00145-23</t>
  </si>
  <si>
    <t>ГЕО-22/11518/00282/Р</t>
  </si>
  <si>
    <t>Дополнительное соглашение № 1 к Соглашению № ГЕО-22/11518/00282/Р от 01.11.2022 г. о возмещении убытков при временном занятии земельных участков</t>
  </si>
  <si>
    <t xml:space="preserve">внесение изменений в соответствии с обращением МОП Ярсалинское в соглашение, в части исключения предоставления актов выполненных работ и счетов на оплату </t>
  </si>
  <si>
    <t>0000058974</t>
  </si>
  <si>
    <t xml:space="preserve">МОП Ярсалинское </t>
  </si>
  <si>
    <t>8909001670</t>
  </si>
  <si>
    <t>Расчет ущерба землепользователей (упущенной выгоды)</t>
  </si>
  <si>
    <t>00145-24</t>
  </si>
  <si>
    <t xml:space="preserve">ДС 3 к к Договору № ГЕО-22/10000/00276/Р от 10.10.2022. </t>
  </si>
  <si>
    <t>00146-22</t>
  </si>
  <si>
    <t>№ ГЕО-21/09000/00250/Р</t>
  </si>
  <si>
    <t>Дополнительное соглашение №1 к договору № ГЕО-21/09000/00250/Р от 08.11.2022г.</t>
  </si>
  <si>
    <t>Перераспределение негарантированного объема работ 2022г. в гарантированный объем работ 2022г., без изменения общей стоимости договора, гарантированными объемами становятся:_x000D_
- специалист по организации пропускного режима (с местом постоянного нахождения в г. Новый-Уренгой на территории Ямальского муниципального района, Ямало – Ненецкого автономного округа, Тюменской области, Уральский федеральный округ), с предоставлением за счет Исполнителя рабочего места в офисном помещении, с необходимым для оказания услуг оборудованием (Приложение № 4 к Техническому заданию) в период с 01.04.2022г. по 31.12.2022г., итого 275 суток.</t>
  </si>
  <si>
    <t>00146-23</t>
  </si>
  <si>
    <t>ГЕО-22/09000/00093/Р</t>
  </si>
  <si>
    <t>ДОПОЛНИТЕЛЬНОЕ СОГЛАШЕНИЕ 1  к Договору на оказание услуг № ГЕО-22/09000/00093/Р от 02.05.2022 г.</t>
  </si>
  <si>
    <t>Перераспределение негарантированного объема услуг 2023 г. в гарантированный объем 2023 г.</t>
  </si>
  <si>
    <t>0000081360</t>
  </si>
  <si>
    <t>ООО Корпоративный альянс Турне-Тр анс</t>
  </si>
  <si>
    <t>3905605417</t>
  </si>
  <si>
    <t>00146-24</t>
  </si>
  <si>
    <t>ДС №11 ВНИГНИ № ГЕО-21/08000/00296/Р от 28.12.2021</t>
  </si>
  <si>
    <t>Перераспределение объемов из НГО в ГО.</t>
  </si>
  <si>
    <t>00147-22</t>
  </si>
  <si>
    <t>СОР к Д ГЕО-19/10114/00309/Д</t>
  </si>
  <si>
    <t>Соглашение о расторжении договора</t>
  </si>
  <si>
    <t>Расторжение договора</t>
  </si>
  <si>
    <t>00147-23</t>
  </si>
  <si>
    <t>ГЕО-21/10301/00261/Р</t>
  </si>
  <si>
    <t>Изменение реквизитов сторон</t>
  </si>
  <si>
    <t>0000061903</t>
  </si>
  <si>
    <t>Волго-Уральский Филиал Компании Шл юмберже Лоджелко Инк.</t>
  </si>
  <si>
    <t>00147-24</t>
  </si>
  <si>
    <t xml:space="preserve">ДС 2 к к Договору № ГЕО-22/10000/00273/Р от 10.10.2022. </t>
  </si>
  <si>
    <t>Актуализация перечня нарушений и штрафных санкций, раздела по мотивации, формы расчета мотивации и раздела УЭДК</t>
  </si>
  <si>
    <t xml:space="preserve">АО ГЕОТЕК </t>
  </si>
  <si>
    <t>00148-21</t>
  </si>
  <si>
    <t>ГЕО-20/10940/00117/Р</t>
  </si>
  <si>
    <t xml:space="preserve">Заказ № 02 к Договору № ГЕО-20/10940/00117/Р от 10.07.2020 г. </t>
  </si>
  <si>
    <t>Заказ 02</t>
  </si>
  <si>
    <t>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в Сибирском федеральном округе (Иркутская обл., Игнялинский ЛУ).</t>
  </si>
  <si>
    <t>Супервайзерские услуги при осуществлении деятельности по утилизации и/или обезвреживанию отходов и (при необходимости) рекультивации земель, занятых под шламовые амбары/шламонакопители</t>
  </si>
  <si>
    <t>00148-23</t>
  </si>
  <si>
    <t>Протокол разногласий</t>
  </si>
  <si>
    <t>ГЕО-23/10000/00035/Р</t>
  </si>
  <si>
    <t xml:space="preserve">Протокол урегулирования разногласий с ООО "БурСервис". Бур р-ры. №ГЕО-23/10000/00035/Р от 10.02.2023 </t>
  </si>
  <si>
    <t>+ПУР</t>
  </si>
  <si>
    <t xml:space="preserve">Протокол урегулирования разногласий к протоколу разногласий к Договору подряда по приготовлению и инженерному сопровождению буровых растворов №ГЕО-23/10000/00035/Р от 10.02.2023 года (далее - «Договор») подписанному с протоколом разногласий от 10.02.2023г._x000D_
</t>
  </si>
  <si>
    <t>00148-24</t>
  </si>
  <si>
    <t xml:space="preserve">ДС 5 к договору №ГЕО-22/09000/00287/Р от 03.11.2022 года </t>
  </si>
  <si>
    <t>Внесение изменений в договор в части актуализации перечня нарушений и штрафных санкций в области ПБ</t>
  </si>
  <si>
    <t>00149-21</t>
  </si>
  <si>
    <t>Приложение №7 (Спецификация)</t>
  </si>
  <si>
    <t>ГЕО-20/01000/00085/Р (ГСН-20/01000/00656/Д/НС-03.3) от 20.05.2020 г</t>
  </si>
  <si>
    <t xml:space="preserve"> Приложение №8 к Договору поставки № ГЕО -20/01000/00085/Р от 20.05.2020г.</t>
  </si>
  <si>
    <t>Приложение №8 к ГЕО -20/01000/00085/Р от 20.05.2020г.</t>
  </si>
  <si>
    <t>Закуп (Поставка) СИЗ для перепродажи в ООО "Газпромнефть-Аэробрянск" в рамках операторского договора</t>
  </si>
  <si>
    <t>20,00</t>
  </si>
  <si>
    <t>00149-22</t>
  </si>
  <si>
    <t>ГЕО-22/33100/00047</t>
  </si>
  <si>
    <t>Заключение соглашения по ПБ</t>
  </si>
  <si>
    <t>00149-23</t>
  </si>
  <si>
    <t>ГЕО-23/20000/00065/Д</t>
  </si>
  <si>
    <t>20000 Агентский договор на организацию вертолетных авиаперевозок АО «ССК»</t>
  </si>
  <si>
    <t>0000057750</t>
  </si>
  <si>
    <t>Томский филиал акционерного обществ а Сибирская Сервисная Компания</t>
  </si>
  <si>
    <t>0814118403</t>
  </si>
  <si>
    <t>00149-24</t>
  </si>
  <si>
    <t>ДС №4 к Договору №ГЕО-23/10150/00017/Р от «10» января 2023 г. с ООО «ИЦ ГазИнформПласт»</t>
  </si>
  <si>
    <t>00150-22</t>
  </si>
  <si>
    <t>ГЕО-21/11708/00183/Д</t>
  </si>
  <si>
    <t>Корректировка КП</t>
  </si>
  <si>
    <t>00150-23</t>
  </si>
  <si>
    <t>Наряд-Заказ № 3 к Договору с ООО "Акбарыс"</t>
  </si>
  <si>
    <t>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Солнечном Лицензионном участке, скважина №341.</t>
  </si>
  <si>
    <t>00150-24</t>
  </si>
  <si>
    <t>Заявка №18 ВНИГНИ №ГЕО-21/08000/00296/Р от 28.12.2021</t>
  </si>
  <si>
    <t>18</t>
  </si>
  <si>
    <t>Подписка на актуализацию карт лицензирования и недропользования, анализ тенденций по фонду недр РФ, разработка рекомендаций на основании мониторинга лицензирования на углеводородное сырье по приоритетным для Компании участкам – 2 единицы.
Геолого-экономическая оценка ресурсов участков, планируемых к лицензированию (оценка нераспределенного фонда): новые поисковые зоны, прирезки, фланги.
Подготовка обоснований и сопровождение заявочной документации на внесение изменений в лицензии (прирезки, фланги, снятие рисков) – 2 единицы.
Создание и актуализация банка данных по аукционам, конкурсам и перечням на ГИ, проводимых в РФ за последние 10 лет – 2 единицы.</t>
  </si>
  <si>
    <t>00151-21</t>
  </si>
  <si>
    <t>НАРЯД-ЗАКАЗ НА ОКАЗАНИЕ УСЛУГ №4</t>
  </si>
  <si>
    <t>НЗ №4 к № ГЕО-20/10986/00128/Р от 07.08.2020 г.</t>
  </si>
  <si>
    <t xml:space="preserve">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Лескинском ЛУ_x000D_
_x000D_
</t>
  </si>
  <si>
    <t>00151-22</t>
  </si>
  <si>
    <t xml:space="preserve">2 </t>
  </si>
  <si>
    <t>Дополнительное соглашение №1 к Заказу №2</t>
  </si>
  <si>
    <t>00151-23</t>
  </si>
  <si>
    <t>Задание № 33</t>
  </si>
  <si>
    <t>33</t>
  </si>
  <si>
    <t>Оказание супервайзерских услуг по контролю состояния ~ производственной безопасности на объектах ООО «ГПН-ГЕО»</t>
  </si>
  <si>
    <t>00151-24</t>
  </si>
  <si>
    <t>ГЕО-21/09000/00198/Р</t>
  </si>
  <si>
    <t xml:space="preserve">ДС 9 к к договору №ГЕО-21/09000/00198/Р от 06.09.2021 года </t>
  </si>
  <si>
    <t>Актуализация перечня нарушений и штрафных санкций в области ПБ</t>
  </si>
  <si>
    <t>00152-21</t>
  </si>
  <si>
    <t>Актуализация геологического строения и технологических показателей разработки для создания интегрированного нефтегазового концепта проекта «Чона»</t>
  </si>
  <si>
    <t>НТЦ-20/09000/01526/Д-ГЕО</t>
  </si>
  <si>
    <t xml:space="preserve">Создание интегрированного нефтегазового концепта в рамках всего периметра проекта Чона. Аналитическое сопровождение производственной программы и камеральных работ (включая НИР) в 2021 г._x000D_
</t>
  </si>
  <si>
    <t>00152-22</t>
  </si>
  <si>
    <t>Полевые сейсморазведочные работы 2Д, 3Д (10110) на Воргенском, Западно-Чатылькинском ЛУ и прочих участках</t>
  </si>
  <si>
    <t>Проведение полевых сейсморазведочных работ 2Д, 3Д (10110) на Воргенском, Западно-Чатылькинском ЛУ и прочих участках</t>
  </si>
  <si>
    <t>00152-23</t>
  </si>
  <si>
    <t>ГЕО-23/10000/00032/Р</t>
  </si>
  <si>
    <t xml:space="preserve">Протокол урегулирования разногласий с ООО "БурСервис".  Цементаж. №ГЕО-23/10000/00032/Р от 06.02.2023 </t>
  </si>
  <si>
    <t>+ ПУР</t>
  </si>
  <si>
    <t xml:space="preserve">Протокол урегулирования разногласий к протоколу разногласий к Договору на выполнение работ по цементированию обсадных колонн и хвостовиков, установке цементных мостов №ГЕО-23/10000/00032Р от 06.02.2023 года (далее - «Договор») подписанному с протоколом разногласий от 06.02.2023г._x000D_
</t>
  </si>
  <si>
    <t>00153-21</t>
  </si>
  <si>
    <t>Соглашение к АНГ-17/10951/00138/Р</t>
  </si>
  <si>
    <t>АНГ-17/10951/00138/Р</t>
  </si>
  <si>
    <t>ДОПОЛНИТЕЛЬНОЕ СОГЛАШЕНИЕ № 2</t>
  </si>
  <si>
    <t xml:space="preserve">ДС 2 </t>
  </si>
  <si>
    <t>Изменение реквизитов Исполнителя</t>
  </si>
  <si>
    <t>0000080837</t>
  </si>
  <si>
    <t xml:space="preserve">МБУ ПМАСФ г. Шелехова </t>
  </si>
  <si>
    <t>3848000740</t>
  </si>
  <si>
    <t>Профилактика и ликвидация аварийных разливов нефти (услуги аварийно-спасательного формирования)</t>
  </si>
  <si>
    <t>00153-22</t>
  </si>
  <si>
    <t>ГЕО-22/10000/00053/Р</t>
  </si>
  <si>
    <t>Договор на оказание услуг по ННБ на проекте "Титан"</t>
  </si>
  <si>
    <t>ООО "ТехГеоБур"</t>
  </si>
  <si>
    <t>141207516.25</t>
  </si>
  <si>
    <t>00153-23</t>
  </si>
  <si>
    <t>НАРЯД-ЗАКАЗ № 14 к Договору № АНГ-191151300010Р от 18 февраля 2019</t>
  </si>
  <si>
    <t xml:space="preserve">Выполнение комплекса землеустроительных и лесоустроительных работ для объекта: «Обустройство поисково-оценочных скважин Северо-Ямбургского лицензионного участка», в том числе:_x000D_
1. На территории Надымского района:_x000D_
1.1. Автозимник на площадку поисково-оценочной скважины № 1 Северо-Ямбургского ЛУ_x000D_
1.2. Обустройство поисково-оценочной скважины № 2 Северо-Ямбургского ЛУ_x000D_
1.3. Поисково-оценочная скважина № 2 Северо-Ямбургского ЛУ (0,36га) _x000D_
1.4. Подъездная дорога к поисково-оценочной скважине № 2 Северо-Ямбургского ЛУ_x000D_
2. На территории Тазовского района:_x000D_
2.1. Обустройство поисково-оценочной скважины №3 Северо-Ямбургского ЛУ_x000D_
2.2. Поисково-оценочная скважина № 3  Северо-Ямбургского ЛУ(0,36га)_x000D_
2.3. Подъездная дорога к поисково-оценочной скважине № 3 Северо-Ямбургского ЛУ_x000D_
2.4. Площадка базы подрядных организаций и размещения строительных материалов на ПК0 автозимника на площадку поисково-оценочной скважины № 1 Северо-Ямбургского ЛУ_x000D_
</t>
  </si>
  <si>
    <t>00153-24</t>
  </si>
  <si>
    <t>45</t>
  </si>
  <si>
    <t xml:space="preserve">ГЕО-20/10986/00138/Р от 10.08.2020г. </t>
  </si>
  <si>
    <t>Изменение №1 к Заданию № 45 к Договору № ГЕО-20/10986/00138/Р от 10.08.2020г.</t>
  </si>
  <si>
    <t>Услуги для ООО "СПД".
Место оказания Услуг: Уральский федеральный округ (ХМАО, Верхнесалымский ЛУ и Ваделыпского ЛУ).</t>
  </si>
  <si>
    <t>10924 ДОГОВОР (Рамочный) на выполнение работ по экологическому мониторингу месторождений</t>
  </si>
  <si>
    <t>00154-21</t>
  </si>
  <si>
    <t>Выполнение работ по экологическому мониторингу месторождений</t>
  </si>
  <si>
    <t xml:space="preserve">Липатова Ольга Игоревна </t>
  </si>
  <si>
    <t>ООО «ИнтерТайм»</t>
  </si>
  <si>
    <t>Оказание услуг по экологическому мониторингу месторождений</t>
  </si>
  <si>
    <t>00154-22</t>
  </si>
  <si>
    <t>ГЕО-22/10000/00116/Д</t>
  </si>
  <si>
    <t>Сопровождение и экспертиза решений по программе проектов ГРР на участках недр, расположенных в Карабашской зоне</t>
  </si>
  <si>
    <t>Услуга по сопровождению и экспертизе решений по программе проектов ГРР на участках недр, расположенных в Карабашской зоне</t>
  </si>
  <si>
    <t>00154-23</t>
  </si>
  <si>
    <t xml:space="preserve">Дополнительное соглашение №4 к Договору № ГЕО-22/10419/00039/Р от 21.02.2022 г. </t>
  </si>
  <si>
    <t xml:space="preserve">Перераспределение объема работ и стоимости по годам без изменения объема работ и стоимости по Договору </t>
  </si>
  <si>
    <t>00154-24</t>
  </si>
  <si>
    <t>ГЕО-24/26000/00059</t>
  </si>
  <si>
    <t>В рамках соблюдения режима коммерческой тайны</t>
  </si>
  <si>
    <t>00155-22</t>
  </si>
  <si>
    <t>№6</t>
  </si>
  <si>
    <t xml:space="preserve">№ ГЕО-19/11019/00140/Р </t>
  </si>
  <si>
    <t>Изменение №2 к наряд-заказу №6</t>
  </si>
  <si>
    <t xml:space="preserve">Дополнительные проектные работы на разработку конструкции скважины 1ПО С.Ямбургского ЛУ </t>
  </si>
  <si>
    <t>00155-23</t>
  </si>
  <si>
    <t>Договор на 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t>
  </si>
  <si>
    <t>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t>
  </si>
  <si>
    <t>23944100</t>
  </si>
  <si>
    <t>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t>
  </si>
  <si>
    <t>00156-21</t>
  </si>
  <si>
    <t>ГЕО-21/20000/00032/Р</t>
  </si>
  <si>
    <t xml:space="preserve">Приложение N 1.1 к Агентскому договору   №ГЕО-21/20000/00032/Р от "16" марта 2021 г.                                                                                                                        </t>
  </si>
  <si>
    <t>Приложение 1.1 к ГЕО-21/20000/00032/Р</t>
  </si>
  <si>
    <t>Передача на реализацию товаров (мебель)</t>
  </si>
  <si>
    <t>00156-23</t>
  </si>
  <si>
    <t>Дополнительное соглашение №4 к Договору №ГЕО-22/10000/00053/Р от 14.03.2022 г.</t>
  </si>
  <si>
    <t>Продление срока оказания услуг и срока действия Договора по 30.06.2023г. без изменения общей стоимости и объема услуг по Договору</t>
  </si>
  <si>
    <t>Раковица Д.К.</t>
  </si>
  <si>
    <t>0000057789</t>
  </si>
  <si>
    <t xml:space="preserve">ООО ТехГеоБур </t>
  </si>
  <si>
    <t>6319065934</t>
  </si>
  <si>
    <t>00156-24</t>
  </si>
  <si>
    <t>ГЕО-24/10000/00081/Р</t>
  </si>
  <si>
    <t>10163 Договор на выполнение работ "Испытание геологоразведочных скважин" (Шлюмберже Лоджелко Инк)</t>
  </si>
  <si>
    <t>Испытание геологоразведочных скважин на Оморинском ЛУ</t>
  </si>
  <si>
    <t>203016300</t>
  </si>
  <si>
    <t>00157-22</t>
  </si>
  <si>
    <t>№ГЕО-22/11029/00004/Р</t>
  </si>
  <si>
    <t>Дополнительное соглашение №3 к Договору №ГЕО-22/11029/00004/Р от 10.01.2022</t>
  </si>
  <si>
    <t>Изменение объемов работ</t>
  </si>
  <si>
    <t>00157-24</t>
  </si>
  <si>
    <t>ДС №2 к Договору № ГЕО-23/10000/00223/Р от 18.12.2023 г.</t>
  </si>
  <si>
    <t>00158-21</t>
  </si>
  <si>
    <t>Задание № 7 на оказание СП услуг для проекта "Южный Оренбург"</t>
  </si>
  <si>
    <t>Задание № 7</t>
  </si>
  <si>
    <t xml:space="preserve">Рябикина М.А. - Контрактный инженер по услугам капитального строительства - Управление закупок работ и услуг; </t>
  </si>
  <si>
    <t>00158-22</t>
  </si>
  <si>
    <t>ГПН-14/12100/03171</t>
  </si>
  <si>
    <t>ДС к Договору займа</t>
  </si>
  <si>
    <t>б/н</t>
  </si>
  <si>
    <t xml:space="preserve">Изменение условий выплаты процентов_x000D_
</t>
  </si>
  <si>
    <t>Договор займа</t>
  </si>
  <si>
    <t>00158-23</t>
  </si>
  <si>
    <t>ГЕО-23/10318/00010/Р</t>
  </si>
  <si>
    <t>ПР и Протокол урегулирования разногласий к Договору №ГЕО-23/10318/00010/Р от «10» января 2023 г.</t>
  </si>
  <si>
    <t xml:space="preserve">Урегулирование разногласий по договору </t>
  </si>
  <si>
    <t>Акционерное общество «Бейкер Хьюз» (АО «Бейкер Хьюз»)</t>
  </si>
  <si>
    <t>00158-24</t>
  </si>
  <si>
    <t>ГЕО-24/09100/00071/Р</t>
  </si>
  <si>
    <t>Обучение по промышленной, пожарной,  экологической безопасности и охране труда с ООО "Академика"</t>
  </si>
  <si>
    <t xml:space="preserve">Организация обучения персонала по промышленной, пожарной,  экологической безопасности и охране труда </t>
  </si>
  <si>
    <t>0000115654</t>
  </si>
  <si>
    <t xml:space="preserve">ООО Академика </t>
  </si>
  <si>
    <t>7813324847</t>
  </si>
  <si>
    <t>00159-21</t>
  </si>
  <si>
    <t>ГЕО-21/09000/00129/Р</t>
  </si>
  <si>
    <t xml:space="preserve">обучающе-контролирующая система «ОЛИМПОКС» </t>
  </si>
  <si>
    <t>Возможность прохождения сотрудниками ДО учебных курсов</t>
  </si>
  <si>
    <t>Гаврилов А.Б.</t>
  </si>
  <si>
    <t>00159-22</t>
  </si>
  <si>
    <t>ГЕО-20/10986/00138/Р от 10.08.2020 г.</t>
  </si>
  <si>
    <t>ЗАДАНИЕ НА ОКАЗАНИЕ УСЛУГ № 18 к Договору № ГЕО-20/10986/00138/Р от 10.08.2020 г.</t>
  </si>
  <si>
    <t>Задание № 18 к Договору № ГЕО-20/10986/00138/Р от 10.08.2020г. с компанией ООО «ОГК» на оказание супервайзерских услуг по контролю состояния производственной безопасности (дале  - ПБ) в 2022 году на Лескинском ЛУ Проекта «Енисей»</t>
  </si>
  <si>
    <t>00159-23</t>
  </si>
  <si>
    <t>Протокол разногласий к Соглашению в области производственной безопасности № 23/33100/00008 от 10 января 2023 г.</t>
  </si>
  <si>
    <t>Урегулирование разногласий в связи с применением специальных условий к контрагенту АО «Бейкер Хьюз»</t>
  </si>
  <si>
    <t>00159-24</t>
  </si>
  <si>
    <t xml:space="preserve">ДС №1 к Договору №ГЕО-23/10318/00010/Р от 10.01.2023 г. </t>
  </si>
  <si>
    <t>10001 Договор хранения имущества (ТМЦ)</t>
  </si>
  <si>
    <t>00160-21</t>
  </si>
  <si>
    <t>ГЕО-21/10001/00127/Р</t>
  </si>
  <si>
    <t>В целях обеспечения эффективности процесса закупки услуги хранения, приемки, выдачи специальной одежды, специальной обуви, смывающих, обезвреживающих средств и других средств индивидуальной защиты работникам ООО «ГПН-ГЕО»</t>
  </si>
  <si>
    <t>00160-22</t>
  </si>
  <si>
    <t>Заказ на оказание услуг по теме: Программа развития компетенций/потенциала, Технический ашуранс и Техническая политика</t>
  </si>
  <si>
    <t>НТЦ-02897-21Д-ГЕО</t>
  </si>
  <si>
    <t xml:space="preserve">Оказание услуг по продуктам центра компетенций по технологиям строительства и ремонта скважин: «Программа развития компетенций/потенциала, Технический ашуранс и Техническая политика на месторождениях ООО «ГПН-ГЕО»_x000D_
</t>
  </si>
  <si>
    <t>00160-23</t>
  </si>
  <si>
    <t xml:space="preserve">ДС №4 к Договору № ГЕО-22/10000/00048/P от 28.02.2022 г. на оказание услуг по предоставлению оборудования и инженерному сопровождению при спуске и креплении </t>
  </si>
  <si>
    <t>00161-21</t>
  </si>
  <si>
    <t xml:space="preserve">НТЦ-21/09000/00177/Д-ГЕО </t>
  </si>
  <si>
    <t>ДС 1 к Заказу НТЦ-21/09000/00177/Д-ГЕО к ГЕО-19/10124/00001</t>
  </si>
  <si>
    <t xml:space="preserve">ДС 1 к Заказу НТЦ-21/09000/00177/Д-ГЕО </t>
  </si>
  <si>
    <t xml:space="preserve">перенос сроков закрытия Этапа №2 «Сейсмическая корреляция. Структурная интерпретация. Интерпретация данных ГИС по историческим ПФМ» с 30 апреля 2021г на 31 мая 2021г в связи с поздним заключением Субподрядного Договора </t>
  </si>
  <si>
    <t>00161-22</t>
  </si>
  <si>
    <t>НАРЯД-ЗАКАЗ №1 к Договору № ГЕО-21/10318/00258/Р от «08» ноября 2021 г.</t>
  </si>
  <si>
    <t>Выполнение работ по отбору керна на скважине №341 Солнечного ЛУ</t>
  </si>
  <si>
    <t xml:space="preserve">АО БЕЙКЕР ХЬЮЗ </t>
  </si>
  <si>
    <t>00161-23</t>
  </si>
  <si>
    <t>ГЕО-23/35000/00066</t>
  </si>
  <si>
    <t>00161-24</t>
  </si>
  <si>
    <t>27</t>
  </si>
  <si>
    <t xml:space="preserve">ГЕО-19/11708/00133/Р </t>
  </si>
  <si>
    <t>Изменение №1 к Заказ-Наряду №27 от 05.12.2023 во исполнение Договора ГЕО-19/11708/00133/Р от 25.06.2019 г.</t>
  </si>
  <si>
    <t>Продление срока действия Заказ-Наряда №27, корректировка приложений к Заказ-Наряду №27</t>
  </si>
  <si>
    <t xml:space="preserve">ООО Газпром добыча Ямбург </t>
  </si>
  <si>
    <t>ГЕО-23/09000/00179/Д</t>
  </si>
  <si>
    <t>00162-21</t>
  </si>
  <si>
    <t>ДАТ/ГЕО-19/11100/00254/Р от 01.10.2019 г.</t>
  </si>
  <si>
    <t>Перевод всего НГО в 2021 и 2022 годах в ГО услуг в 2021 и 2022 годах (без изменения сроков и стоимости)</t>
  </si>
  <si>
    <t xml:space="preserve">1. Перевод всего негарантированного объема услуг в 2021 и 2022 годах в гарантированный объем услуг в 2021 и 2022 годах в соответствии с условиями договора (п.2.5) без изменения сроков и стоимости Договора. _x000D_
2. В соответствии с пунктом 2 статьи 425 Гражданского кодекса РФ Стороны пришли к соглашению о том, что условия Дополнительного соглашения № 1 распространяются на отношения Сторон, возникшие с 01 января 2021г._x000D_
3. Дополнение Договора формой (образцом) уведомления на изменение объема услуг (в формате Приложения №11 к настоящему Договору)._x000D_
</t>
  </si>
  <si>
    <t>Гусаков ВВ</t>
  </si>
  <si>
    <t>Договор аренды транспортных средств</t>
  </si>
  <si>
    <t>00162-22</t>
  </si>
  <si>
    <t>НАРЯД-ЗАКАЗ № 11 к Договору № АНГ-19/11513/00010/Р от 18 февраля 2019</t>
  </si>
  <si>
    <t>Выполнение комплекса землеустроительных и лесоустроительных работ для объекта "Проведение полевых сейсморазведочных работ МОГТ 3Д на Воргенском ЛУ" (переоформление ранее заключенных договоров аренды на новый срок)</t>
  </si>
  <si>
    <t>00162-23</t>
  </si>
  <si>
    <t>ДС №4 к Договору № ГЕО-22/07100/00042/Р от 07.03.2022г.</t>
  </si>
  <si>
    <t>00162-24</t>
  </si>
  <si>
    <t>ГЕО-24/33300/00062</t>
  </si>
  <si>
    <t>Обработка персональных данных в интересах ООО "ГПН-ГЕО"</t>
  </si>
  <si>
    <t>00163-23</t>
  </si>
  <si>
    <t xml:space="preserve">ГЕО-22/11000/00274/Р </t>
  </si>
  <si>
    <t>Выполнение проектных работ</t>
  </si>
  <si>
    <t>00163-24</t>
  </si>
  <si>
    <t>ГЕО-24/26000/00061</t>
  </si>
  <si>
    <t>00164-21</t>
  </si>
  <si>
    <t>ГЕО-21/11708/00135/Р</t>
  </si>
  <si>
    <t>Выполнение цифровой аэрофотосъемки (ЦАФС), воздушно-лазерного сканирования (ВЛС)</t>
  </si>
  <si>
    <t>0000050959</t>
  </si>
  <si>
    <t xml:space="preserve">ООО Газпромнефть-ЦР </t>
  </si>
  <si>
    <t>7728654530</t>
  </si>
  <si>
    <t>00164-22</t>
  </si>
  <si>
    <t>ГЕО-19/09000/00312/Д</t>
  </si>
  <si>
    <t>Дополнительное соглашение № 1 к договору № ГЕО-19/09000/00312/Д от 31 декабря 2019 г.</t>
  </si>
  <si>
    <t>Внесение дополнительного условия к основному договору, касательно включения о применении УПД</t>
  </si>
  <si>
    <t>Лофицкая А.С.</t>
  </si>
  <si>
    <t>00164-23</t>
  </si>
  <si>
    <t>ГЕО-22/09000/00066/Р</t>
  </si>
  <si>
    <t>Дополнительное соглашение №5 к Договору № ГЕО-22/09000/00066/Р от 30.03.2022 г.</t>
  </si>
  <si>
    <t>0000061300</t>
  </si>
  <si>
    <t xml:space="preserve">ООО СТУ </t>
  </si>
  <si>
    <t>5603011386</t>
  </si>
  <si>
    <t>00164-24</t>
  </si>
  <si>
    <t>Дополнительное соглашение №3 к договору № ГЕО-23/10000/00054/Р от 10.03.2023 г.</t>
  </si>
  <si>
    <t>Внесение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t>
  </si>
  <si>
    <t>00165-21</t>
  </si>
  <si>
    <t>ГЕО-21/00000/00125</t>
  </si>
  <si>
    <t>Переход на юридически значимый электронный документооборот (ЭДО) в целях повышения эффективности сотрудничества и взаимного снижения издержек.</t>
  </si>
  <si>
    <t>00165-22</t>
  </si>
  <si>
    <t>ДОПОЛНИТЕЛЬНОЕ СОГЛАШЕНИЕ № 5 к Договору № ХНТ-20/10110/967/Р/60/ГЕО-20/10110/00198/Р от 06.10.2020 г. на выполнение работ по теме: «Проведение полевых сейсморазведочных работ МОГТ 3D с применением технологии «Зеленая сейсмика ©»</t>
  </si>
  <si>
    <t>дополнение договора условиями работы с гос. тайной</t>
  </si>
  <si>
    <t>00165-23</t>
  </si>
  <si>
    <t>Приложение</t>
  </si>
  <si>
    <t>ГЕО-21/11513/00213/Р</t>
  </si>
  <si>
    <t>Расчет платы за сервитут</t>
  </si>
  <si>
    <t>2.3; 2.4</t>
  </si>
  <si>
    <t xml:space="preserve">В рамках пункта 2.4. Соглашения об установления сервитута с увеличением кадастровой стоимости земельных участков, размер арендной платы может быть изменен Арендатором в одностороннем порядке без оформления дополнительного согласования с Сервитуарием. </t>
  </si>
  <si>
    <t>0000044244</t>
  </si>
  <si>
    <t>8904034777</t>
  </si>
  <si>
    <t>00165-24</t>
  </si>
  <si>
    <t>ДС №1 к договору № ГЕО-24/10000/00022/Р от 31.01.2024 г.</t>
  </si>
  <si>
    <t>10421 Договор на проведение операции по закачке азота в пласт</t>
  </si>
  <si>
    <t>00166-21</t>
  </si>
  <si>
    <t>ГЕО-21/10421/00132/Р</t>
  </si>
  <si>
    <t>Оказание услуг по закачке азота в пласт</t>
  </si>
  <si>
    <t>Шабалин С.В.</t>
  </si>
  <si>
    <t>Аренда азотной установки для скважин</t>
  </si>
  <si>
    <t>00166-22</t>
  </si>
  <si>
    <t>ГТИ при бурении на Северо-Ямбургском ЛУ</t>
  </si>
  <si>
    <t>Соглашение, содержащее условия применения усиленной квалифицированной электронной подписи (УКЭП) при подписании ДД (ЭД в части ДД)</t>
  </si>
  <si>
    <t>00166-23</t>
  </si>
  <si>
    <t>ГЕО-23/33200/00064</t>
  </si>
  <si>
    <t>Переход на электронный документооборот по договорным документам</t>
  </si>
  <si>
    <t>00166-24</t>
  </si>
  <si>
    <t>ГЕО-23/25000/00080/Р</t>
  </si>
  <si>
    <t>Дополнительное соглашение №2 к Договору № ГЕО-23/25000/00080/Р от 01.05.2023</t>
  </si>
  <si>
    <t>досрочное расторжение договора</t>
  </si>
  <si>
    <t>0000108565</t>
  </si>
  <si>
    <t xml:space="preserve">Шевченко Анастасия Сергеевна </t>
  </si>
  <si>
    <t>344313434712</t>
  </si>
  <si>
    <t>00167-21</t>
  </si>
  <si>
    <t>НТЦ-00558-21Д</t>
  </si>
  <si>
    <t xml:space="preserve">Информационно-консультационные услуги в формате вебинара по теме: _x000D_
«Основные принципы и положения классификации PRMS (SEC) для геолого-экономической оценки запасов УВ. Практическое применение», 12.05.2021-14.05.2021, Назаров И.Н._x000D_
</t>
  </si>
  <si>
    <t>00167-23</t>
  </si>
  <si>
    <t>00167-24</t>
  </si>
  <si>
    <t>ГЕО-24/33200/00072</t>
  </si>
  <si>
    <t>33200 Соглашение об электронном документообороте c ООО "РБ Факторинг"</t>
  </si>
  <si>
    <t>0000109515</t>
  </si>
  <si>
    <t xml:space="preserve">ООО РБ Факторинг </t>
  </si>
  <si>
    <t>7706677277</t>
  </si>
  <si>
    <t>00168-21</t>
  </si>
  <si>
    <t>ГЕО-20/10114/149/Д/ХНТ-20/10114/857/Р/60</t>
  </si>
  <si>
    <t>Соглашение о расторжении договора №ГЕО-20/10114/00149/Д/ХНТ-20/10114/857/Р/60 от 10.09.2020</t>
  </si>
  <si>
    <t>СОР договора  №ГЕО-20/10114/00149/Д/ХНТ-20/10114/857/Р/60 от 10.09.2020</t>
  </si>
  <si>
    <t>Кортков С.П.</t>
  </si>
  <si>
    <t>00168-22</t>
  </si>
  <si>
    <t>ГЕО-21/10312/00240/Р</t>
  </si>
  <si>
    <t>Уточнение некоторых условий договора (переход на ЭДО)</t>
  </si>
  <si>
    <t>00168-23</t>
  </si>
  <si>
    <t xml:space="preserve">Дополнительное соглашение № 2 к Договору № ГЕО-22/10000/00276/Р от 10.10.2022. </t>
  </si>
  <si>
    <t>00168-24</t>
  </si>
  <si>
    <t>Переслегин М.В.</t>
  </si>
  <si>
    <t>Проект "Западно-Зимнее"</t>
  </si>
  <si>
    <t>00169-21</t>
  </si>
  <si>
    <t>ГЕО-21/12100/00128/Р</t>
  </si>
  <si>
    <t xml:space="preserve">В связи с предстоящей подачей документов на право пользование участками недр Пясинский 2, Пясинский 3, Пясинский 4 _x000D_
расположенными в Таймырском Долгано-Ненецком районе Красноярского края (заявительный принцип)_x000D_
</t>
  </si>
  <si>
    <t>00169-22</t>
  </si>
  <si>
    <t xml:space="preserve">№ АНГ-19/11513/00007/Р </t>
  </si>
  <si>
    <t>НАРЯД-ЗАКАЗ № 29  к Договору № АНГ-19/11513/00007/Р от 14 февраля 2019</t>
  </si>
  <si>
    <t>Оформление земельных участков для «Обустройство поисково-оценочной скважины 198 Лескинского лицензионного участка»_x000D_
(получение разрешения на дополнительные земельные участки)</t>
  </si>
  <si>
    <t>00169-24</t>
  </si>
  <si>
    <t>ГЕО-23/31100/00211/Р</t>
  </si>
  <si>
    <t xml:space="preserve">ДС №3 </t>
  </si>
  <si>
    <t xml:space="preserve">Продление срока оказания услуг, корректировка "Календарного плана выполнения работ" к договору САХ-20/00000/00090/Р от 18.09.2020 г. на основании Соглашения о замене стороны №ГЕО-23/31100/00211/Р от 12.12.2023 г. </t>
  </si>
  <si>
    <t>0000080990</t>
  </si>
  <si>
    <t xml:space="preserve">АО ГЕОСЛУЖБА ГИН РАН </t>
  </si>
  <si>
    <t>7703783277</t>
  </si>
  <si>
    <t>Соглашение о перемене лиц в обязательстве</t>
  </si>
  <si>
    <t>00170-22</t>
  </si>
  <si>
    <t>ГЕО-22/09000/00070/Р</t>
  </si>
  <si>
    <t>Разработка концепции оснащения системами мультимедиа помещений офиса ООО «ГПН-ГЕО»</t>
  </si>
  <si>
    <t>Попов В.А.</t>
  </si>
  <si>
    <t>00170-23</t>
  </si>
  <si>
    <t>С целью обеспечения ПБ при оказании услуг.</t>
  </si>
  <si>
    <t>00170-24</t>
  </si>
  <si>
    <t>ДС 15 к № ГЕО-21/10208/00166/Р от 20.07.2021</t>
  </si>
  <si>
    <t>Заключение ДС №15 к договору НСХ о включение справочных единичных расценок, без увеличения общей цены по договору</t>
  </si>
  <si>
    <t>00171-21</t>
  </si>
  <si>
    <t>ГЕО-21/09000/00130/Р</t>
  </si>
  <si>
    <t>ДОГОВОР на оказание услуг в области защиты государственной тайны</t>
  </si>
  <si>
    <t>Услуги режимно-секретного органа при работе сотрудников ООО «ГПН-ГЕО» со сведениями, составляющими государственную тайну</t>
  </si>
  <si>
    <t>10163 Договор на выполнение работ "Испытание геологоразведочных скважин</t>
  </si>
  <si>
    <t>00171-22</t>
  </si>
  <si>
    <t>ГЕО-22/10000/00065/Р</t>
  </si>
  <si>
    <t>оказание услуг по испытанию геологоразведочных скважин Проекта Южный Юренбург</t>
  </si>
  <si>
    <t>93083604.72</t>
  </si>
  <si>
    <t>00171-23</t>
  </si>
  <si>
    <t>ГЕО-23/33200/00061</t>
  </si>
  <si>
    <t>00171-24</t>
  </si>
  <si>
    <t>ГЕО-24/20000/00070/Р</t>
  </si>
  <si>
    <t>Агентский договор с ООО "РБ Факторинг"</t>
  </si>
  <si>
    <t>00172-21</t>
  </si>
  <si>
    <t>Соглашение о передаче договора в ГПН-ГЕО</t>
  </si>
  <si>
    <t xml:space="preserve">ДС№2 к договору № АНГ-19/11513/00010/Р </t>
  </si>
  <si>
    <t xml:space="preserve">ДС №2 </t>
  </si>
  <si>
    <t>1. Продление срока действия договора до 31.12.2024г_x000D_
2. Изменение срока предоставления первичных учетных документов, в соответствии со сроками управленческой отчетности и закрытия, принятыми в 2021 г в ООО «ГПН-ГЕО»._x000D_
3. Изменение текущего порядка оплаты на порядок, применяемый для вновь заключенных договоров._x000D_
4. Распределение общего объема работ на период 2019-2024 гг., без увеличения ориентировочного общего количества.</t>
  </si>
  <si>
    <t>00172-23</t>
  </si>
  <si>
    <t>Дополнительное соглашение к Договору на оказание услуг физическим лицом (без выезда на Лицензионные участки Заказчика)</t>
  </si>
  <si>
    <t>Продление договора гражданско-правового характера.</t>
  </si>
  <si>
    <t>00172-24</t>
  </si>
  <si>
    <t>ГЕО-22/17000/00081/Р</t>
  </si>
  <si>
    <t>ДС №3 к договору 0622 LM 000043/ГЕО-22/17000/00081/Р от «01» апреля 2022 г.</t>
  </si>
  <si>
    <t>Продление договора ДМС</t>
  </si>
  <si>
    <t>00173-22</t>
  </si>
  <si>
    <t>ГЕО-19/09000/00227/Р</t>
  </si>
  <si>
    <t xml:space="preserve">изменение реквизитов контрагента </t>
  </si>
  <si>
    <t>0000092415</t>
  </si>
  <si>
    <t>Филиал АО ФРЕЙТ ЛИНК Фрейт Линк- Санкт-Петербург</t>
  </si>
  <si>
    <t>00173-23</t>
  </si>
  <si>
    <t>ГЕО-22/10951/00165/Р</t>
  </si>
  <si>
    <t>Задание №2 с АО "ЦАСЭО" к ДД № ГЕО-22/10951/00165/Р</t>
  </si>
  <si>
    <t>Добавление новых объемов</t>
  </si>
  <si>
    <t>00173-24</t>
  </si>
  <si>
    <t>ДС №6 к договору №ГЕО-21/11505/00195/Р от 24.08.2021</t>
  </si>
  <si>
    <t xml:space="preserve"> Актуализации перечня нарушений и штрафных санкций, условий договора по мотивации в области ПБ и оценке эффективности деятельности контрагента</t>
  </si>
  <si>
    <t>00174-21</t>
  </si>
  <si>
    <t>20-02/407/ГЕО-20/09000/00208/Р</t>
  </si>
  <si>
    <t>Закупка ИТ сервисных услуг</t>
  </si>
  <si>
    <t>ДС 1</t>
  </si>
  <si>
    <t>Гаврилов Антон Борисович</t>
  </si>
  <si>
    <t>00174-22</t>
  </si>
  <si>
    <t>ГЕО-22/09000/00064/Р</t>
  </si>
  <si>
    <t>Договор на оказание услуг по ГИС, ПВР, ПГИ, ВСП на скважине 1 ПО Северо-Ямбургского ЛУ</t>
  </si>
  <si>
    <t>Оказание услуг по ГИС, ПВР, ПГИ, ВСП на скважине 1 ПО Северо-Ямбургского ЛУ</t>
  </si>
  <si>
    <t>Шкварский А.В.</t>
  </si>
  <si>
    <t>00174-23</t>
  </si>
  <si>
    <t>ГЕО-22/20000/00140/Д</t>
  </si>
  <si>
    <t>ДС 1 к ГЕО-22/20000/00140/Д АО "НПП "Бурсервис"</t>
  </si>
  <si>
    <t>00174-24</t>
  </si>
  <si>
    <t>ГЕО-22/33100/00245</t>
  </si>
  <si>
    <t>Актуализация требований по производственной безопасности</t>
  </si>
  <si>
    <t>00175-22</t>
  </si>
  <si>
    <t>ГЕО-22/29000/00075/Р</t>
  </si>
  <si>
    <t xml:space="preserve">Выполнение шеф-монтажных работ устьевого оборудования </t>
  </si>
  <si>
    <t>Выполнение шеф-монтажных работ устьевого оборудования на проекте "Енисей"</t>
  </si>
  <si>
    <t>0000066582</t>
  </si>
  <si>
    <t xml:space="preserve">ООО ПК АНЕКО </t>
  </si>
  <si>
    <t>7451365960</t>
  </si>
  <si>
    <t>00175-24</t>
  </si>
  <si>
    <t>ГЕО-22/10000/00225/Р</t>
  </si>
  <si>
    <t xml:space="preserve">ДС№4 к Договору №ГЕО-22/10000/00225/Р от 20.09.2022   </t>
  </si>
  <si>
    <t>Дополнительное соглашение №4 к Договору №ГЕО-22/10000/00225/Р от 20.09.2022 "на бурение геологоразведочных скважин по суточной ставке или фиксированной ставке (в т.ч. мобильными установками)". Камовская площадь. Индексация.</t>
  </si>
  <si>
    <t>Чупров В.В.</t>
  </si>
  <si>
    <t>00176-22</t>
  </si>
  <si>
    <t>ГЕО-22/33100/00056</t>
  </si>
  <si>
    <t>Соблюдение требований ПБ контрагентом АО «ПГО «Тюменьпромгеофизика»_x000D_
//ФОРМА СОГЛАШЕНИЯ ПО ПБ И ПРИЛОЖЕНИЯ К НЕМУ, В ТОМ ЧИСЛЕ ПАСПОРТА КАРКАСА БЕЗОПАСНОСТИ, ПРИЛОЖЕНЫ В СООТВЕТСТВИИ С ТРЕБОВАНИЯМИ, ДЕЙСТВУЮЩИМИ НА МОМЕНТ ПРОВЕДЕНИЯ КОНКУРЕНТНОГО ОТБОРА. ЗАКЛЮЧЕНИЕ СОГЛАШЕНИЯ ПО ПБ С ИНЫМИ ТРЕБОВАНИЯМИ НЕВОЗМОЖНО. ЛЮБЫЕ ИЗМЕНЕНИЯ ДОЛЖНЫ БЫТЬ ОФОРМЛЕНЫ ПУТЕМ ЗАКЛЮЧЕНИЯ ДС.//</t>
  </si>
  <si>
    <t>00176-23</t>
  </si>
  <si>
    <t>00176-24</t>
  </si>
  <si>
    <t>ГЕО-24/33400/00063</t>
  </si>
  <si>
    <t>Соглашение о  безопасном использовании информационных систем с ООО "ГТС"</t>
  </si>
  <si>
    <t>Организация безопасного использования информационных систем с ОО "ГТС"</t>
  </si>
  <si>
    <t>00177-23</t>
  </si>
  <si>
    <t>ГЕО-23/04300/00074/Р</t>
  </si>
  <si>
    <t>Договор аренды земельных участков</t>
  </si>
  <si>
    <t>Аренда частей земельных участков с кадастровыми номерами 56:31:1308001:45, 56:31:0000000:1472, 56:31:0000000:1162 для размещения (строительство, реконструкция, ремонт, обслуживание) промышленных объектов, для проезда к промышленным объектам</t>
  </si>
  <si>
    <t>0000091084</t>
  </si>
  <si>
    <t xml:space="preserve">Руденко Александр Борисович </t>
  </si>
  <si>
    <t>561003662278</t>
  </si>
  <si>
    <t>00177-24</t>
  </si>
  <si>
    <t>ДС №5 к Договору №ГЕО-22/10120/00208/Р от 18.08.2022 г.</t>
  </si>
  <si>
    <t>1. Актуализация перечня нарушений и штрафных санкций, раздела по мотивации, формы расчета мотивации и раздела УЭДК
2. Корректировка ошибочного расчета стоимости договора заключенного к ДС 4 (без изменения общей стоимости договора)</t>
  </si>
  <si>
    <t>00178-22</t>
  </si>
  <si>
    <t xml:space="preserve"> оказание услуг по супервайзерскому контролю технологии полевых сейсморазведочных работ на Тайлаковском лицензионном участке.</t>
  </si>
  <si>
    <t>00178-23</t>
  </si>
  <si>
    <t>Дополнительное соглашение №7 к Договору № ГЕО-21/10308/00236/Р  от 04.10.2021</t>
  </si>
  <si>
    <t>Перевод части негарантированного объема в гарантированный объем работ в 2023 г.</t>
  </si>
  <si>
    <t>Кушников А.М.</t>
  </si>
  <si>
    <t>00178-24</t>
  </si>
  <si>
    <t>Дополнительное соглашение №4 к Договору № ГЕО-22/11000/00267/Р от 10.10.2022г</t>
  </si>
  <si>
    <t>Актуализация перечня нарушений и штрафных санкций, условий договора по мотивации в области ПБ</t>
  </si>
  <si>
    <t>00179-23</t>
  </si>
  <si>
    <t>Заказ 5 к договору ГЕО-20/11501/00184/Р</t>
  </si>
  <si>
    <t>00179-24</t>
  </si>
  <si>
    <t>ГЕО-24/01200/00069/Р</t>
  </si>
  <si>
    <t>Договор на поставку сувенирной продукции в 2024 году с ООО "Продакшен Сервис"</t>
  </si>
  <si>
    <t>0000089465</t>
  </si>
  <si>
    <t xml:space="preserve">ООО Продакшен Сервис </t>
  </si>
  <si>
    <t>7814748133</t>
  </si>
  <si>
    <t>00180-22</t>
  </si>
  <si>
    <t>00180-23</t>
  </si>
  <si>
    <t>Изменение срока действия Договора</t>
  </si>
  <si>
    <t>0000065735</t>
  </si>
  <si>
    <t xml:space="preserve">ООО ПФ Уралтрубопроводстройпроект </t>
  </si>
  <si>
    <t>0274095068</t>
  </si>
  <si>
    <t>00180-24</t>
  </si>
  <si>
    <t>ДС 8 к договору №ГЕО-20/11501/00184/Р от 29 ноября 2020 года</t>
  </si>
  <si>
    <t>00181-22</t>
  </si>
  <si>
    <t>Заключение Наряд-Заказа к Рамочному Договору</t>
  </si>
  <si>
    <t>НТЦ-00343-22Д-ГЕО</t>
  </si>
  <si>
    <t>Научно-исследовательские работы по оценке перспективности действующих участков с целью доизучения в периметре территории деятельности АО «Газпромнефть-ННГ»</t>
  </si>
  <si>
    <t>00181-23</t>
  </si>
  <si>
    <t>Дополнительное соглашение № 1 к договору добровольного медицинского страхования № 0622 LM 000043 от «01» апреля 2022 г.</t>
  </si>
  <si>
    <t xml:space="preserve">Пролонгация договора Добровольного медицинского страхования сотрудников ООО ГПН-ГЕО на период с 01 апреля 2023 г. по 31.03.2024 г.; изменение списков застрахованных лиц; увеличение суммы договора. </t>
  </si>
  <si>
    <t>00181-24</t>
  </si>
  <si>
    <t>Дополнительное соглашение №1 к договору № ГЕО-224/10000/00021/Р от 31.01.2024 г.</t>
  </si>
  <si>
    <t>00182-22</t>
  </si>
  <si>
    <t>Заключение Наряд-Заказа к Договору</t>
  </si>
  <si>
    <t>НТЦ-00058-22Д-ГЕО</t>
  </si>
  <si>
    <t>00182-24</t>
  </si>
  <si>
    <t>НАРЯД-ЗАКАЗ №37 к Договору № АНГ-19/11513/00007/Р от 14.02.2019</t>
  </si>
  <si>
    <t>37</t>
  </si>
  <si>
    <t xml:space="preserve">Рассмотрение возможности заключения наряд-заказа №37 к договору АНГ- 19/11513/00007/Р от 14.02.2019 и Соглашения о передаче Договора от 27.02.2019 с ООО «СЕРВИСТА» по выполнению комплекса землеустроительных работ для объектов: «Поисково- оценочная скважина №178 на Лескинском ЛУ», «Поисково-оценочная скважина №198 на Лескинском ЛУ», «Временная база хранения со складом ГСМ», «Береговая база Готовкина», «Лескинский ЛУ» (расторжение договоров аренды, получение разрешение, предварительное согласования) </t>
  </si>
  <si>
    <t>00183-22</t>
  </si>
  <si>
    <t>ГЕО-21/09000/00289</t>
  </si>
  <si>
    <t>Выполнение глубинной миграции по сейсмическим профилям 2D на сопредельных Лескинскому и Усть-Енисейскому ЛУ территориях правого берега р.Енисей</t>
  </si>
  <si>
    <t xml:space="preserve">Заказ-наряд к рамочному договору </t>
  </si>
  <si>
    <t>00183-23</t>
  </si>
  <si>
    <t>ГЕО-23/33400/00070</t>
  </si>
  <si>
    <t>Предоставление ООО "Барбус" доступа к автоматизированной информационной системе удаленного доступа к информационным ресурсам «СУДИР»  для организации работ в ПО "Эра-Бурение"</t>
  </si>
  <si>
    <t>00183-24</t>
  </si>
  <si>
    <t>ГЕО-24/33200/00077</t>
  </si>
  <si>
    <t>0000062602</t>
  </si>
  <si>
    <t xml:space="preserve">ООО Газпром телеком </t>
  </si>
  <si>
    <t>7740000020</t>
  </si>
  <si>
    <t>00184-23</t>
  </si>
  <si>
    <t>ГЕО-23/33400/00068</t>
  </si>
  <si>
    <t>Предоставление ООО "Бурсервис" доступа к автоматизированной информационной системе удаленного доступа к информационным ресурсам «СУДИР»  для организации работ в ПО "Эра-Бурение"</t>
  </si>
  <si>
    <t>00184-24</t>
  </si>
  <si>
    <t>00185-22</t>
  </si>
  <si>
    <t>ГЕО-22/20000/00072/Д</t>
  </si>
  <si>
    <t>Обработка и комплексная интерпретация сейсморазведочных данных МОГТ 2Д ВУ ОНГКМ в 2022 г.</t>
  </si>
  <si>
    <t>Выполнение обработки и комплексной интерпретации сейсморазведочных данных МОГТ 2Д ВУ ОНГКМ в 2022 г.</t>
  </si>
  <si>
    <t>00185-23</t>
  </si>
  <si>
    <t>ГЕО-23/33400/00069</t>
  </si>
  <si>
    <t>Предоставление АО "НПП "Бурсервис" доступа к автоматизированной информационной системе удаленного доступа к информационным ресурсам «СУДИР»  для организации работ в ПО "Эра-Бурение"</t>
  </si>
  <si>
    <t>00185-24</t>
  </si>
  <si>
    <t>ГЕО-24/33200/00065</t>
  </si>
  <si>
    <t>Соглашение об электронном документообороте между ООО "ГПН-ГЕО" и ООО "Продакшен Сервис"</t>
  </si>
  <si>
    <t>00186-23</t>
  </si>
  <si>
    <t>ГЕО-23/33400/00071</t>
  </si>
  <si>
    <t>Предоставление ООО "НьюТек Сервисез" доступа к автоматизированной информационной системе удаленного доступа к информационным ресурсам «СУДИР»  для организации работ в ПО "Эра-Бурение"</t>
  </si>
  <si>
    <t>00186-24</t>
  </si>
  <si>
    <t>ГЕО-24/01200/00064/Р</t>
  </si>
  <si>
    <t>Договор на поставку сувенирной продукции в 2024 году с ООО "КГИ"</t>
  </si>
  <si>
    <t>0000067609</t>
  </si>
  <si>
    <t xml:space="preserve">ООО КГИ </t>
  </si>
  <si>
    <t>7801207313</t>
  </si>
  <si>
    <t>00187-22</t>
  </si>
  <si>
    <t>МО ОПР СРР к договору ГЕО-21/11708/00165/Р//НТЦ-21/09000/00768/Д от 12.07.2021</t>
  </si>
  <si>
    <t>НТЦ-00139-22Д-ГЕО</t>
  </si>
  <si>
    <t>Методическое обеспечение опытно-производственных работ (ОПР) и полевой обработки на проектах, выполняемых и сопровождаемых ООО «ГПН-ГЕО»</t>
  </si>
  <si>
    <t>00187-23</t>
  </si>
  <si>
    <t>ГЕО-23/33400/00072</t>
  </si>
  <si>
    <t>Предоставление ООО НППГА "ЛУЧ" доступа к автоматизированной информационной системе удаленного доступа к информационным ресурсам «СУДИР»  для организации работ в ПО "Эра-Бурение"</t>
  </si>
  <si>
    <t>00187-24</t>
  </si>
  <si>
    <t>ДОПОЛНИТЕЛЬНОЕ СОГЛАШЕНИЕ №1 к Договору № ГЕО-24/09100/00025/Р ОТ 08.02.2024 г.</t>
  </si>
  <si>
    <t>Раскрытие негарантированного объема</t>
  </si>
  <si>
    <t>00188-22</t>
  </si>
  <si>
    <t>ГЕО-22/20000/00073/Д</t>
  </si>
  <si>
    <t>Оказание услуг по обработке и комплексной интерпретации геолого­ геофизических данных 2D с целью изучения геологического строения недр Краснореченского ЛУ на 2022 г.</t>
  </si>
  <si>
    <t>Обработка и комплексная интерпретация геолого­ геофизических данных 2D с целью изучения геологического строения недр Краснореченского ЛУ на 2022 г.</t>
  </si>
  <si>
    <t>00188-23</t>
  </si>
  <si>
    <t>Дополнение к Соглашению о праве ограниченного использования от 01.12.2020г.</t>
  </si>
  <si>
    <t xml:space="preserve">корректировка пункта 5 Соглашения в связи с изменением производственной программы </t>
  </si>
  <si>
    <t>Баринов К.В.</t>
  </si>
  <si>
    <t>0000047108, 0000072964</t>
  </si>
  <si>
    <t xml:space="preserve">ООО Гыдан Энерджи ; 
ООО НПФ ПОЛИТЕХНИКА </t>
  </si>
  <si>
    <t>3245502148, 5027002854</t>
  </si>
  <si>
    <t>00188-24</t>
  </si>
  <si>
    <t>ГЕО-24/33200/00066</t>
  </si>
  <si>
    <t>Соглашение об электронном документообороте между ООО "ГПН-ГЕО" и ООО "КГИ"</t>
  </si>
  <si>
    <t>00189-22</t>
  </si>
  <si>
    <t xml:space="preserve">АНГ-17/04500/00024/Р/Р </t>
  </si>
  <si>
    <t>СОР (4)</t>
  </si>
  <si>
    <t>Досрочно расторгнуть договор субаренды нежилого помещения в Административном здании с подземными автостоянками АНГ-17/04500/00024/Р/Р  от 08.03.2017. «29» мая 2022г. дата прекращения аренды.</t>
  </si>
  <si>
    <t>0000059938</t>
  </si>
  <si>
    <t xml:space="preserve">ООО Проперти менеджмент груп </t>
  </si>
  <si>
    <t>3808225339</t>
  </si>
  <si>
    <t>Договор субаренды недвижимости</t>
  </si>
  <si>
    <t>00189-23</t>
  </si>
  <si>
    <t>Заказ №4 к договору № ГЕО-21/101108/00193/Р</t>
  </si>
  <si>
    <t xml:space="preserve">Проведение комплекса лабораторных исследований проб пластовых флюидов, направленного на изучение процессов образования АСПО в пластовых условиях. </t>
  </si>
  <si>
    <t>00190-22</t>
  </si>
  <si>
    <t>ГЕО-22/08000/00069/Р</t>
  </si>
  <si>
    <t>Лабораторные исследования флюидов сложного фазового состояния для ООО "ГПН-ГЕО"</t>
  </si>
  <si>
    <t>Выполнение научно-исследовательских работ, работ по разработке технической документации для определенных Заказчиком целей, работ по созданию научно-технической продукции (НТП), иных работ на тему «Лабораторные исследования флюидов сложного фазового состояния для ООО "ГПН-ГЕО"</t>
  </si>
  <si>
    <t>0000084973</t>
  </si>
  <si>
    <t>ООО Газпромнефть-Технологические п артнерства</t>
  </si>
  <si>
    <t>8601066868</t>
  </si>
  <si>
    <t>00190-23</t>
  </si>
  <si>
    <t xml:space="preserve">ГЕО-21/08000/00297/Р </t>
  </si>
  <si>
    <t>Комплексные исследования керна скважины 341ПО Солнечного ЛУ</t>
  </si>
  <si>
    <t>5/23-297</t>
  </si>
  <si>
    <t>Необходимость проведения работ вызвана в связи с получением кернового материала из новой пробуренной скважины №341ПО.</t>
  </si>
  <si>
    <t>00190-24</t>
  </si>
  <si>
    <t>ДС №5 к договору №ГЕО-22/10000/00144/Р от 27.06.2022г с ООО "Защита Югры"</t>
  </si>
  <si>
    <t>1. Рассмотрение вопроса приведения к факту гарантированной части по Договору №ГЕО-22/10000/00144/Р от 27.06.2022г. с компанией ООО «Защита Югры» на выполнение работ и оказание услуг в области пожарной безопасности на объектах ООО «ГПН-ГЕО». 2. Рассмотрение вопроса о перераспределении негарантированных объёмов 2023-2024гг. по Договору №ГЕО-22/10000/00144/Р от 27.06.2022г. с компанией ООО «Защита Югры» на выполнение работ и оказание услуг в области пожарной безопасности на объектах ООО «ГПН-ГЕО».
3. Рассмотрение вопроса о перераспределении негарантированных объёмов 2024-2026гг. с «Дальневосточный федеральный округ» на «Сибирский федеральный округ» с компанией ООО «Защита Югры» на выполнение работ и оказание услуг в области пожарной безопасности на объектах ООО «ГПН-ГЕО». 4. Рассмотрение вопроса об включении единичной расценки - «5.
Углубленный медицинский осмотр (УМО)» в Приложение №3 «Расчёт стоимости» к Договору №ГЕО-22/10000/00144/Р от 27.06.2022г. с компанией ООО «Защита Югры» на выполнение работ и оказание услуг в области пожарной безопасности на объектах ООО «ГПН-ГЕО».</t>
  </si>
  <si>
    <t>10606,10607 Договор по услугам  «Приготовление технологических жидкостей"</t>
  </si>
  <si>
    <t>00191-22</t>
  </si>
  <si>
    <t>ГЕО-22/10000/00061/Р</t>
  </si>
  <si>
    <t>Договор на выполнение работ по приготовлению технологичских жидкостей</t>
  </si>
  <si>
    <t>Выполнение работ по приготовлению технологических жидкостей на Северо-Ямбургском ЛУ (Проект "Титан")</t>
  </si>
  <si>
    <t>0000057326</t>
  </si>
  <si>
    <t xml:space="preserve">ООО ИнТех </t>
  </si>
  <si>
    <t>7204121542</t>
  </si>
  <si>
    <t>00191-23</t>
  </si>
  <si>
    <t>ДС № 4 к Д № ГЕО-21/101108/00193/Р</t>
  </si>
  <si>
    <t>00191-24</t>
  </si>
  <si>
    <t>Внесение изменений в Договор согласно требованиям приказов № 31-П от 19.03.2024</t>
  </si>
  <si>
    <t>00192-22</t>
  </si>
  <si>
    <t>Заключение НЗ к Рамочному Договору</t>
  </si>
  <si>
    <t>НТЦ-00016-22Д-ГЕО</t>
  </si>
  <si>
    <t>Геологическое изучение перспектив нефтегазоносности Западного кластера АТ</t>
  </si>
  <si>
    <t>00192-23</t>
  </si>
  <si>
    <t>Изменение к Наряд-Заказу № 4 в редакции Наряд-Заказа № 4.1.</t>
  </si>
  <si>
    <t>Изменение объемов выполнения работ</t>
  </si>
  <si>
    <t>00192-24</t>
  </si>
  <si>
    <t>ГЕО-23/33100/00183</t>
  </si>
  <si>
    <t>Внесение изменений согласно требованиям приказа № 32-П от 19.03.2024</t>
  </si>
  <si>
    <t>00193-21</t>
  </si>
  <si>
    <t>ГЕО-19/10823/00331/Р</t>
  </si>
  <si>
    <t>ДС № 3</t>
  </si>
  <si>
    <t>уменьшение объемов отдельных позиций услуг с одновременным увеличением других предусмотренных договором позиций услуг без увеличения единичных расценок и общей цены Договора</t>
  </si>
  <si>
    <t>Забиров А.А. Главный энергетик</t>
  </si>
  <si>
    <t>0000040952</t>
  </si>
  <si>
    <t xml:space="preserve">ООО ЭнергоТехСервис </t>
  </si>
  <si>
    <t>7203126844</t>
  </si>
  <si>
    <t xml:space="preserve">Выработка электроэнергии сторонним производителем </t>
  </si>
  <si>
    <t>00193-22</t>
  </si>
  <si>
    <t>ГЕО-22/33100/00059</t>
  </si>
  <si>
    <t xml:space="preserve">в рамках исполнения приказа № 122-П </t>
  </si>
  <si>
    <t>Бикташев Руслан Станиславович - Руководитель направления по ППН и ППД, Производственно-технологический департамент</t>
  </si>
  <si>
    <t>00193-23</t>
  </si>
  <si>
    <t>№ГЕО-20/10986/00138/Р</t>
  </si>
  <si>
    <t xml:space="preserve">Задание № 34 </t>
  </si>
  <si>
    <t xml:space="preserve">Обеспечение супервайзинга на 3скв. Салаирской площадке._x000D_
</t>
  </si>
  <si>
    <t>00193-24</t>
  </si>
  <si>
    <t>ГЕО-22/33100/00252</t>
  </si>
  <si>
    <t>Дополнительное соглашение №2  к Соглашениям в  в области производственной безопасности №ГЕО-22/33100/00252 от 10.10.2022 г.</t>
  </si>
  <si>
    <t>00194-21</t>
  </si>
  <si>
    <t>Наряд-заказ №25 к АНГ-19/11513/00007/Р</t>
  </si>
  <si>
    <t>НАРЯД-ЗАКАЗ № 25 (корректировка) к Договору № АНГ-19/11513/00007/Р от 14 февраля 2019</t>
  </si>
  <si>
    <t xml:space="preserve">наряд-заказ № 25 (корректировка) </t>
  </si>
  <si>
    <t>Оформление земельных участков для «Обустройства поисково-оценочной скважины 198 Лескинского лицензионного участка»</t>
  </si>
  <si>
    <t>Расулов И.Ф. - Главный специалист по маркшейдерско-геодезическим работам - Управление маркшейдерско-землеустроительных работ;</t>
  </si>
  <si>
    <t>00194-22</t>
  </si>
  <si>
    <t>ГЕО-22/26000/00060</t>
  </si>
  <si>
    <t>Соглашение о конфиденциальности с российским контрагентом</t>
  </si>
  <si>
    <t>00194-23</t>
  </si>
  <si>
    <t>Задание № 35</t>
  </si>
  <si>
    <t>Оказание услуг супервайзинга на скв. 4 Камовской площадки</t>
  </si>
  <si>
    <t>00194-24</t>
  </si>
  <si>
    <t>ГЕО-24/33100/00067</t>
  </si>
  <si>
    <t>Реализация "Системы управления исполнением договорных  обязательств при выполнении производственных работ и систематизации процесса взаимодействия с ПО в области ПБ и оптимизации процесса согласования договорных документов.</t>
  </si>
  <si>
    <t>Соглашение в области производственной безопасности</t>
  </si>
  <si>
    <t>00195-23</t>
  </si>
  <si>
    <t>Наряд-Заказ № 5</t>
  </si>
  <si>
    <t>Оказание услуг в области пожарной безопасности скв. № 3 Салаирская площадка</t>
  </si>
  <si>
    <t>00195-24</t>
  </si>
  <si>
    <t>Дополнительное соглашение № 1 к Договору на оказание услуг № ГЕО-24/09100/00024/Р от «08» февраля» 2024 г.</t>
  </si>
  <si>
    <t>Перераспределение (по видам и стоимости мероприятий) части негарантированного объема услуг (мероприятий) 2025 г. между статьями в гарантированный объем услуг 2024 г., предусматривающее увеличение количества мероприятий, без изменения общей стоимости договора</t>
  </si>
  <si>
    <t>00196-21</t>
  </si>
  <si>
    <t>ГЕО-20/10924/00051/Р от 05 марта 2020 г.</t>
  </si>
  <si>
    <t>ДОПОЛНИТЕЛЬНОЕ СОГЛАШЕНИЕ №3 к Договору на выполнение работ по экологическому мониторингу месторождений № ГЕО-20/10924/00051/Р от 05 марта 2020 г.</t>
  </si>
  <si>
    <t>ДС 3</t>
  </si>
  <si>
    <t>Внесение изменений в реквизиты Исполнителя</t>
  </si>
  <si>
    <t>0000067554</t>
  </si>
  <si>
    <t xml:space="preserve">ООО ЭкоНефтеГазКонсалтинг </t>
  </si>
  <si>
    <t>7204168131</t>
  </si>
  <si>
    <t>00196-22</t>
  </si>
  <si>
    <t>01200 Спецификация № 2 к договору поставки Д_27645_67942_49007 / ГЕО-22/01200/00035/Д</t>
  </si>
  <si>
    <t>Продажа мебели из офиса в г. Иркутск</t>
  </si>
  <si>
    <t>00196-23</t>
  </si>
  <si>
    <t>НАРЯД-ЗАКАЗ НА ОКАЗАНИЕ УСЛУГ № 6</t>
  </si>
  <si>
    <t>Оказание услуг в области пожарной безопасности скв. 4 Камовской площадки</t>
  </si>
  <si>
    <t>00196-24</t>
  </si>
  <si>
    <t>ГЕО-22/11029/00171/Р</t>
  </si>
  <si>
    <t>ДС 6 к ГЕО-22/11029/00171/Р</t>
  </si>
  <si>
    <t>В соответствии с приказом П-31</t>
  </si>
  <si>
    <t>Усков А.А.</t>
  </si>
  <si>
    <t>00197-21</t>
  </si>
  <si>
    <t>ГЕО-21/00000/00138</t>
  </si>
  <si>
    <t>0000057554</t>
  </si>
  <si>
    <t xml:space="preserve">АО Авиакомпания Ангара </t>
  </si>
  <si>
    <t>3811089799</t>
  </si>
  <si>
    <t>00197-22</t>
  </si>
  <si>
    <t>Оказание услуг согласно  Заказ-Наряду</t>
  </si>
  <si>
    <t>1.1/2022</t>
  </si>
  <si>
    <t>Обновление концепта наземного обустройства месторождения для целей выхода на ИК (этап «Оценка»)</t>
  </si>
  <si>
    <t>00197-23</t>
  </si>
  <si>
    <t>ГЕО-23/10000/00075/Р</t>
  </si>
  <si>
    <t>на предоставление услуги по наладке метеостанции на Лескинском ЛУ ООО «ГПН-ГЕО»</t>
  </si>
  <si>
    <t>предоставлению Заказчику услуги по демонтажу, монтажу, наладке и поверке метеостанции на Лескинском ЛУ ООО «ГПН-ГЕО» на 2023г.</t>
  </si>
  <si>
    <t>0000097399</t>
  </si>
  <si>
    <t xml:space="preserve">ООО ИГП </t>
  </si>
  <si>
    <t>7802015068</t>
  </si>
  <si>
    <t>00197-24</t>
  </si>
  <si>
    <t>ДС 6 к ГЕО-22/11029/00172/Р</t>
  </si>
  <si>
    <t>актуализация перечня ШС</t>
  </si>
  <si>
    <t>00198-21</t>
  </si>
  <si>
    <t xml:space="preserve">ГЕО-20/10924/00055/Р </t>
  </si>
  <si>
    <t>ДОПОЛНИТЕЛЬНОЕ СОГЛАШЕНИЕ №3 к Договору на выполнение работ по экологическому мониторингу месторождений № ГЕО-20/10924/00055/Р от 05 марта 2020 г.</t>
  </si>
  <si>
    <t xml:space="preserve">Изменение реквизитов Исполнителя </t>
  </si>
  <si>
    <t>Липатова Ольга</t>
  </si>
  <si>
    <t>00198-22</t>
  </si>
  <si>
    <t>ГЕО-22/33100/00058</t>
  </si>
  <si>
    <t>Урегулирование правоотношений Сторон в области ПБ</t>
  </si>
  <si>
    <t>00198-23</t>
  </si>
  <si>
    <t>ГЕО-23/10318/00013/Р</t>
  </si>
  <si>
    <t>Наряд-заказ №1. АО «НПП «Бурсервис»</t>
  </si>
  <si>
    <t>Наряд-заказ №1. АО «НПП «Бурсервис». Договор подряда "на отбор керна при бурении и реконструкции скважин (10318)"</t>
  </si>
  <si>
    <t>32654786.32</t>
  </si>
  <si>
    <t>00198-24</t>
  </si>
  <si>
    <t>ГЕО-22/33100/00275</t>
  </si>
  <si>
    <t>ДС 2 к Соглашению в области производственной безопасности  № ГЕО-22/33100/00275 от 14.10.2022 г</t>
  </si>
  <si>
    <t>00199-23</t>
  </si>
  <si>
    <t>Дополнительное соглашение №1 к договору № ГЕО-22/10000/00225/Р от 20.09.2022 г.</t>
  </si>
  <si>
    <t xml:space="preserve">Актуализация ЛНД к Договору </t>
  </si>
  <si>
    <t xml:space="preserve">Мормышев А.А. </t>
  </si>
  <si>
    <t>00199-24</t>
  </si>
  <si>
    <t>ДС 4 к договору № ГЕО-22/11000/00274/Р от 14.10.2022 года</t>
  </si>
  <si>
    <t>00200-23</t>
  </si>
  <si>
    <t>ГЕО-22/10000/00226/Р</t>
  </si>
  <si>
    <t>Дополнительное соглашение №1 к договору № ГЕО-22/10000/00226/Р от 20.09.2022 г.</t>
  </si>
  <si>
    <t>00200-24</t>
  </si>
  <si>
    <t>Приказ П-32</t>
  </si>
  <si>
    <t>00201-21</t>
  </si>
  <si>
    <t>Задание № 8 на оказание супервайзерских услуг по контролю состояния производственной безопасности для проекта «Большая Ачимовка»</t>
  </si>
  <si>
    <t>Задание № 8</t>
  </si>
  <si>
    <t>оказание супервайзерских услуг по контролю состояния производственной безопасности в 2021 году для лицензионных участков Проекта «Большая Ачимовка» (проект «Ачимовка MGI»)</t>
  </si>
  <si>
    <t>Анисимов А.Н. - Руководитель региональных проектов по производственной безопасности кластера "Восточная Сибирь и Оренбург"</t>
  </si>
  <si>
    <t>00201-22</t>
  </si>
  <si>
    <t>ГЕО-22/33200/00079</t>
  </si>
  <si>
    <t>Переход на юридически значимый электронный документооборот (ЭДО) в целях повышения эффективности сотрудничества и взаимного снижения издержек. Форма  отличается от типовой</t>
  </si>
  <si>
    <t>00201-23</t>
  </si>
  <si>
    <t>ДС №4 к Договору № ГЕО-22/10402/00187/Р с Геолад-СТ</t>
  </si>
  <si>
    <t>Добавление условий по вывозу МТР с ЛУ Лескино</t>
  </si>
  <si>
    <t>Конюх М.В.</t>
  </si>
  <si>
    <t>00201-24</t>
  </si>
  <si>
    <t>ГЕО-23-10000-00173-Р</t>
  </si>
  <si>
    <t>Заявка №7 к договору №ГЕО-23/10000/00173/Р от 01.11.2023 г.</t>
  </si>
  <si>
    <t>Заключение в рамках исполнения договора</t>
  </si>
  <si>
    <t>0000074810</t>
  </si>
  <si>
    <t xml:space="preserve">ФГБУ Росгеолфонд </t>
  </si>
  <si>
    <t>7714372367</t>
  </si>
  <si>
    <t>00202-21</t>
  </si>
  <si>
    <t xml:space="preserve"> ГЕО-21/20000/00032/Р/ГСН-21/20000/00474/Д/НС-03.3.2 от 16.03.2021</t>
  </si>
  <si>
    <t xml:space="preserve">Приложение N 1.2 к Агентскому договору   №ГЕО-21/20000/00032/Р от "16" марта 2021 г.  </t>
  </si>
  <si>
    <t>1.2</t>
  </si>
  <si>
    <t>Передача на реализацию товаров по итогам решения ПДК (Очки ЗНД2 ADMIRAL РОСОМЗ/23231)._x000D_
По итогам продажи получим доход за вычетом 6,9% агентского вознаграждения</t>
  </si>
  <si>
    <t>00202-22</t>
  </si>
  <si>
    <t xml:space="preserve">ГЕО-22/09100/00028 </t>
  </si>
  <si>
    <t>Дополнительное соглашение № 138</t>
  </si>
  <si>
    <t>138</t>
  </si>
  <si>
    <t>Об использовании электронного документооборота в рамках ранее заключенного агентского договора</t>
  </si>
  <si>
    <t>00202-23</t>
  </si>
  <si>
    <t>Наряд-заказ №1 на оказание услуг по Договору №ГЕО-23/10000/00067/Р от "31" марта 2023г.</t>
  </si>
  <si>
    <t xml:space="preserve">С целью выполнения производственной программы проектов «Южный Оренбург» и «Оморинский»_x000D_
На скважине № 401 Западно-Рубежинского ЛУ (проект Южный Оренбург) и на скважинах № 3, 4 и 4бис (проект Оморинский)._x000D_
</t>
  </si>
  <si>
    <t>00202-24</t>
  </si>
  <si>
    <t>ГЕО/10000/00173/Р</t>
  </si>
  <si>
    <t>Заявка №8 к договору №ГЕО/23/10000/00173/Р от 01.11.2023г.</t>
  </si>
  <si>
    <t>00203-21</t>
  </si>
  <si>
    <t>№ ГЕО-20/11019/00045/Р от 15.03.2020 г.</t>
  </si>
  <si>
    <t>Изменение 2 к Н-З №1</t>
  </si>
  <si>
    <t>Выполнение дополнительных работ по объекту «Строительство поисково-оценочной скважины №341 Солнечного лицензионного участка», с увеличением стоимости работ по наряд-заказу и изменением сроков проектирования</t>
  </si>
  <si>
    <t>0000062701</t>
  </si>
  <si>
    <t xml:space="preserve">ООО Терра </t>
  </si>
  <si>
    <t>6318166129</t>
  </si>
  <si>
    <t>00203-22</t>
  </si>
  <si>
    <t>ГЕО-22/33200/00063</t>
  </si>
  <si>
    <t>00203-23</t>
  </si>
  <si>
    <t>Изм.№3 к наряд-заказу №1 . ...171 СТС, ООО</t>
  </si>
  <si>
    <t>Изм.№3 к наряд-заказу №1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</si>
  <si>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00203-24</t>
  </si>
  <si>
    <t>ГЕО-22/33100/00161</t>
  </si>
  <si>
    <t>ДС 1 к соглашению ПБ №ГЕО-22/33100/00161 от 21 июля 2022г.</t>
  </si>
  <si>
    <t>Приказ П-32Актуализация Соглашения ПБ</t>
  </si>
  <si>
    <t>00204-21</t>
  </si>
  <si>
    <t>Наряд-заказ №3</t>
  </si>
  <si>
    <t>Выполнение ПИР по объекту проектирования «Строительство поисково-оценочной скважины №401ПО Западно-Рубежинского лицензионного участка»</t>
  </si>
  <si>
    <t>00204-23</t>
  </si>
  <si>
    <t>Изм.№2 к наряд-заказу №3 . ...171 СТС, ООО</t>
  </si>
  <si>
    <t>Изм.№2 к наряд-заказу №3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</si>
  <si>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00204-24</t>
  </si>
  <si>
    <t>ГЕО-22/33100/00259</t>
  </si>
  <si>
    <t>ДС №2 к Соглашению по ПБ №ГЕО-22/33100/00259 от 10.10.2022 г.</t>
  </si>
  <si>
    <t>00205-21</t>
  </si>
  <si>
    <t>№4</t>
  </si>
  <si>
    <t>№ГЕО-19/11019/00145/Р</t>
  </si>
  <si>
    <t>Изменение 1 к Наряд-Заказу 4</t>
  </si>
  <si>
    <t>Дополнительные работ на корректировку ОТР с увеличением стоимости работ по Наряд-заказу</t>
  </si>
  <si>
    <t>00205-22</t>
  </si>
  <si>
    <t>ГЕО-19/09000/00303/P</t>
  </si>
  <si>
    <t>Дополнительное соглашение №3 к договору № ГЕО-19/09000/00303/P от 15.11.2019</t>
  </si>
  <si>
    <t xml:space="preserve">Дополнительное соглашение №3 к Договору №ГЕО-19/09000/00303/Р от 15.11.2019г., предусматривает:_x000D_
- включение варианта 2 комплекса телемедицины, серверного оборудования и условий эксплуатации телемедицинского оборудования в Техническое задание;_x000D_
- включение в Приложение №1 ставки «Эксплуатация телемедицинского оборудования»;_x000D_
- перераспределение негарантированных объемов в гарантированные. _x000D_
- изменение реквизитов ООО «СОГАЗ» ПРОФМЕДИЦИНА»._x000D_
</t>
  </si>
  <si>
    <t>00205-23</t>
  </si>
  <si>
    <t>Изм.№1 к наряд-заказу №2 . ...171 СТС, ООО</t>
  </si>
  <si>
    <t>Изм.№1 к наряд-заказу №2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</si>
  <si>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00205-24</t>
  </si>
  <si>
    <t>ГЕО-22/33100/00253</t>
  </si>
  <si>
    <t xml:space="preserve">ДС №1 к Соглашению по ПБ №ГЕО-22/33100/00253 от 10.10.2022 г. </t>
  </si>
  <si>
    <t>00206-21</t>
  </si>
  <si>
    <t>Договор №ГЕО/11019/00145/Р от 19.06.2019</t>
  </si>
  <si>
    <t>Выполнение проектных работ по объекту «Строительство поисково-оценочной скважины №198 Лескинского лицензионного участка»</t>
  </si>
  <si>
    <t>00206-22</t>
  </si>
  <si>
    <t>ГЕО-22/33200/00062</t>
  </si>
  <si>
    <t>в рамках исполнения приказа 144-П от 23.09.21г.</t>
  </si>
  <si>
    <t>00206-23</t>
  </si>
  <si>
    <t>ГЕО-22/10968/00197/Р</t>
  </si>
  <si>
    <t xml:space="preserve">Перенос объёмов работ по утилизации отходов бурения с 2022 года на 2023 год и перенос вывоза оборудования с площадки отходов бурения с 2024 года на 2023 год. Увеличение общей стоимости по договору + 508 730,24 руб. без НДС, за счёт разницы ценовых расценок по годам на уровень индексации, без изменения единичных расценок утверждённых Договором. </t>
  </si>
  <si>
    <t>00206-24</t>
  </si>
  <si>
    <t>ДС №2 к Соглашению по ПБ №ГЕО-23/33100/00026 от 10.01.2023 г.</t>
  </si>
  <si>
    <t>00207-22</t>
  </si>
  <si>
    <t>ГМ Енисей к договору ГЕО-21/11708/00165/Р//НТЦ-21/09000/00768/Д от 12.07.2021</t>
  </si>
  <si>
    <t>НТЦ-03028-21Д-ГЕО</t>
  </si>
  <si>
    <t>Концепт геологии и/или разработки с обоснованием оптимальных программ исследований/с дизайном ГРР и ОПР («Актуализация сейсмогеологической модели проекта "Енисей"»)</t>
  </si>
  <si>
    <t>00207-23</t>
  </si>
  <si>
    <t>ГЕО-21/10306/00256/Р</t>
  </si>
  <si>
    <t xml:space="preserve">Дополнительное соглашение № 5 к Договору № ГЕО-21/10306/00256/P от 26.10.2021г. на основании соглашения о перемене лица в обязательстве от 15.05.2022г.  </t>
  </si>
  <si>
    <t>Перераспределение объема услуг по годам без изменения общей стоимости и объема услуг по Договору</t>
  </si>
  <si>
    <t>Цементирование обсадных колонн и хвостовиков, установка цементных мостов</t>
  </si>
  <si>
    <t>00207-24</t>
  </si>
  <si>
    <t>0000073273, 0000008602</t>
  </si>
  <si>
    <t xml:space="preserve">ООО Газпромнефть-Оренбург ; 
ПАО Газпром нефть </t>
  </si>
  <si>
    <t>5610218014, 5504036333</t>
  </si>
  <si>
    <t>00208-22</t>
  </si>
  <si>
    <t>ДАТ/ГЕО-19/11100/00254/Р</t>
  </si>
  <si>
    <t>Перерасчет арендной платы в Феврале и Марте 2022 (COVID водители)</t>
  </si>
  <si>
    <t>Перерасчет размера арендной платы в Феврале и Марте 2022 года, в связи с оказанием услуг не в полном объеме (болезнь водителей и отсутствие возможности у Арендодателя предоставить замену)</t>
  </si>
  <si>
    <t>00208-23</t>
  </si>
  <si>
    <t>ГЕО-23/24000/00079/Р</t>
  </si>
  <si>
    <t>закупка лицензий криптографичесского ПО и техподдержки</t>
  </si>
  <si>
    <t>закупка лицензий криптографичесского ПО и техподдержки для реализации ЮЗЭДО.</t>
  </si>
  <si>
    <t>0000060441</t>
  </si>
  <si>
    <t xml:space="preserve">ООО УЦ ГИС </t>
  </si>
  <si>
    <t>7805544260</t>
  </si>
  <si>
    <t>00209-21</t>
  </si>
  <si>
    <t xml:space="preserve">ГЕО-21/11505/00115/Р </t>
  </si>
  <si>
    <t>Наряд-заказ к ГЕО-21/11505/00115/Р</t>
  </si>
  <si>
    <t xml:space="preserve">НЗ №1 </t>
  </si>
  <si>
    <t>Выполнение цифровой аэрофотосъемки и воздушно-лазерного сканирования</t>
  </si>
  <si>
    <t>0000062908</t>
  </si>
  <si>
    <t xml:space="preserve">ООО НПП Сибгеокарта </t>
  </si>
  <si>
    <t>8603136398</t>
  </si>
  <si>
    <t>00209-22</t>
  </si>
  <si>
    <t>ГЕО-22/33200/00087</t>
  </si>
  <si>
    <t>00209-23</t>
  </si>
  <si>
    <t>ГЕО-23/20000/00073/Д</t>
  </si>
  <si>
    <t>20000 Агентский договор на организацию вертолетных авиаперевозок ООО «СТС»</t>
  </si>
  <si>
    <t>00210-21</t>
  </si>
  <si>
    <t>ГЕО-21/00000/00134</t>
  </si>
  <si>
    <t>0000047473</t>
  </si>
  <si>
    <t xml:space="preserve">ООО НПЦ Геостра </t>
  </si>
  <si>
    <t>0276105917</t>
  </si>
  <si>
    <t>00210-23</t>
  </si>
  <si>
    <t>Наряд-заказ №3 ...172 СТС,ООО</t>
  </si>
  <si>
    <t>Наряд-заказ №3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t>
  </si>
  <si>
    <t>00211-21</t>
  </si>
  <si>
    <t>Дс № 6 на внесение изменений в ЛНА, перечень ШС и приведения стоимости Договора к факту исполнения в части НГО и ГО</t>
  </si>
  <si>
    <t xml:space="preserve"> 6</t>
  </si>
  <si>
    <t xml:space="preserve">В связи с принятием решения Комитетом по ПБ БРД ПАО «Газпром нефть» по применению сокращённого перечня нарушений и ШС в области ПБ, интеграции стандартов СП в процессы ГПН-ГЕО, а также приведение гарантированных и негарантированных объемов работ по Договору к фактическому распределению </t>
  </si>
  <si>
    <t>Анисимов Андрей Николаевич, Руководитель региональных проектов по производственной безопасности кластера "Восточная Сибирь и Оре</t>
  </si>
  <si>
    <t>00211-23</t>
  </si>
  <si>
    <t>ГЕО-22/20000/00233/Д</t>
  </si>
  <si>
    <t>ДС 1 к ГЕО-22/20000/00233/Д ООО "ПВО-Сервис"</t>
  </si>
  <si>
    <t>Продление срока действия и увеличение стоимости договора</t>
  </si>
  <si>
    <t>0000098088</t>
  </si>
  <si>
    <t xml:space="preserve">ООО ПВО-СЕРВИС </t>
  </si>
  <si>
    <t>3015092176</t>
  </si>
  <si>
    <t>00211-24</t>
  </si>
  <si>
    <t>ГЕО-24/33000/00125</t>
  </si>
  <si>
    <t>Соглашение о распределении обязательств</t>
  </si>
  <si>
    <t>Распределение сбора и предоставления информации и отчетностей по работам между тремя операторами (ПАО "Газпром нефть", ООО "Газпромнефть-ГЕО", ООО "Газпромнефть-Оренбург").</t>
  </si>
  <si>
    <t>Девлешова Н.А.</t>
  </si>
  <si>
    <t>Кластер "Восточная Сибирь и Оренбург"</t>
  </si>
  <si>
    <t>0000008602, 0000073273</t>
  </si>
  <si>
    <t xml:space="preserve">ПАО Газпром нефть ; 
ООО Газпромнефть-Оренбург </t>
  </si>
  <si>
    <t>5504036333, 5610218014</t>
  </si>
  <si>
    <t>00212-21</t>
  </si>
  <si>
    <t>ГЕО-21/04300/00133/Р</t>
  </si>
  <si>
    <t>аренда земельных участков для размещения промышленных объектов и проезда к ним</t>
  </si>
  <si>
    <t>00212-22</t>
  </si>
  <si>
    <t>ГЕО-22/11000/00012/Р</t>
  </si>
  <si>
    <t xml:space="preserve">соглашение о факторинге к Договору №ГЕО-22/11000/00012/Р от 04.01.2022г. с ООО «Сбербанк Факторинг» </t>
  </si>
  <si>
    <t>Уведомление о факторинге к Договору №ГЕО-22/11000/00012/Р от 04.01.2022г.</t>
  </si>
  <si>
    <t>0000102205, 0000070037</t>
  </si>
  <si>
    <t xml:space="preserve">ООО ДАН Групп ; 
ООО Сбербанк Факторинг </t>
  </si>
  <si>
    <t>9715287189, 7802754982</t>
  </si>
  <si>
    <t>00212-23</t>
  </si>
  <si>
    <t>СОГЛАШЕНИЕ о расторжении Договора на оказание охранных услуг № ГЕО-22/09000/00219/Р от 13.09.2022 года</t>
  </si>
  <si>
    <t xml:space="preserve">В связи с планируемой в конце апреля 2023 г. демобилизацией ВЖКсо скв. 198 и размещением всего персонала, задействованного на испытании скв. 198 на ББС, учитывая наличие на ББС ЧОП «Барс» (охрана вооружённая, по договору с ГПН-С до 30.09.2024 года), а также с целью экономии бюджета и оптимизации численности персонала - действие договора с ООО ЧОП «СОБР» (по проекту «Енисей») прекратить 30.04.2023 года. </t>
  </si>
  <si>
    <t>Данилов М.В.</t>
  </si>
  <si>
    <t>00212-24</t>
  </si>
  <si>
    <t>ГЕО-23/33100/00078</t>
  </si>
  <si>
    <t>Дополнительное соглашение №2 к соглашению в области ПБ</t>
  </si>
  <si>
    <t>Актуализация требований КБ и перечня ЛНД</t>
  </si>
  <si>
    <t>00213-23</t>
  </si>
  <si>
    <t>Задание №3 с АО "ЦАСЭО" к ДД № ГЕО-22/10951/00165/Р Енисей</t>
  </si>
  <si>
    <t xml:space="preserve">Добавление новых объемов </t>
  </si>
  <si>
    <t>00213-24</t>
  </si>
  <si>
    <t xml:space="preserve"> Дополнительное соглашение №1  к Соглашению в  в области производственной безопасности;</t>
  </si>
  <si>
    <t>11708 Договор на НИОКР, НИР, прочее</t>
  </si>
  <si>
    <t>00214-21</t>
  </si>
  <si>
    <t>ГЕО-21/11708/00142/Р</t>
  </si>
  <si>
    <t>Обеспечение технологической и экспертной поддержки в части создания концепта ГиР и организации пилота MGI, а также выполнение подбора различных МУН для типовых разрезов ачимовской толщи периметра компании</t>
  </si>
  <si>
    <t>ООО "Бейсип-ГеоТехнологии"</t>
  </si>
  <si>
    <t>00214-23</t>
  </si>
  <si>
    <t>ГЕО-23/20000/00076/Д</t>
  </si>
  <si>
    <t>20000 Агентский договор на организацию вертолетных авиаперевозок ООО НППГА «ЛУЧ»</t>
  </si>
  <si>
    <t>00214-24</t>
  </si>
  <si>
    <t>ГЕО-24/20000/00079/Р</t>
  </si>
  <si>
    <t>Агентский договор с ООО "Сбербанк Факторинг"</t>
  </si>
  <si>
    <t>0000070037</t>
  </si>
  <si>
    <t xml:space="preserve">ООО Сбербанк Факторинг </t>
  </si>
  <si>
    <t>7802754982</t>
  </si>
  <si>
    <t>00215-23</t>
  </si>
  <si>
    <t>ГЕО-23/09000/00091/Р/23/09000/00010/Д</t>
  </si>
  <si>
    <t>по развитию системы управления технологическим транспортом БРД (ЦУТ ГПН-Нефтесервис)</t>
  </si>
  <si>
    <t xml:space="preserve">Развитие системы управления технологическим транспортом БРД (ЦУТ), по услугам: _x000D_
1. Диспетчерское сопровождение системы спутникового мониторинга с режимом 24/7,_x000D_
2. Систематизации и тиражирования лучших практик по транспортным услугам,_x000D_
в соответствии с решениями Протокола ПТ-НК-47/0000010 от 31.03.23 заочного совещания БРД ПАО «Газпром нефть»_x000D_
</t>
  </si>
  <si>
    <t>0000043624</t>
  </si>
  <si>
    <t xml:space="preserve">ООО ГПН-Нефтесервис </t>
  </si>
  <si>
    <t>7728632093</t>
  </si>
  <si>
    <t>00215-24</t>
  </si>
  <si>
    <t>ГЕО-24/33200/00073</t>
  </si>
  <si>
    <t>33200 Соглашение об электронном документообороте  с ООО "Академика"</t>
  </si>
  <si>
    <t>Организация электронного документооборота с контрагентом ООО "Академика"</t>
  </si>
  <si>
    <t>00216-22</t>
  </si>
  <si>
    <t>Заказ к № ГЕО -21/0900/00250/Р от 08.11.2021</t>
  </si>
  <si>
    <t>Оказание услуг охраны</t>
  </si>
  <si>
    <t>00216-23</t>
  </si>
  <si>
    <t>ГЕО-20/09000/00122/Р</t>
  </si>
  <si>
    <t>Дополнительное соглашение №1 к договору ГЕО-20/09000/00122/Р от 27.07.2020</t>
  </si>
  <si>
    <t xml:space="preserve">ГЕО-20/09000/00122/Р </t>
  </si>
  <si>
    <t>Увеличение сроков оказания услуг и продление срока действия договора без изменения единичных расценок и общей стоимости Договора</t>
  </si>
  <si>
    <t>00216-24</t>
  </si>
  <si>
    <t>Дополнительное соглашение №8 к Договору № ГЕО-22/10000/00036/Р от 14.02.2022г.</t>
  </si>
  <si>
    <t>Перераспределение объема работ внутри договора</t>
  </si>
  <si>
    <t>00217-22</t>
  </si>
  <si>
    <t>ГЕО-22/09000/00071/Р</t>
  </si>
  <si>
    <t>Договор оказания телекоммуникационных услуг</t>
  </si>
  <si>
    <t>Оказание телекоммуникационных услуг на Солнечном ЛУ (проект "Южный Оренбург")</t>
  </si>
  <si>
    <t>00217-23</t>
  </si>
  <si>
    <t>ДОПОЛНИТЕЛЬНОЕ СОГЛАШЕНИЕ №6</t>
  </si>
  <si>
    <t>Перераспределение объёмов услуг, с уменьшением общей стоимости договора и уменьшением сроков действия договора и сроков оказания услуг</t>
  </si>
  <si>
    <t>00217-24</t>
  </si>
  <si>
    <t>ГЕО-24/33200/00076</t>
  </si>
  <si>
    <t>33200 Соглашение об электронном документообороте с ООО "Сбербанк Факторинг"</t>
  </si>
  <si>
    <t>00218-22</t>
  </si>
  <si>
    <t>ГЕО-22/01200/00078/Р</t>
  </si>
  <si>
    <t>Договор поставки ключей активации технической поддержки</t>
  </si>
  <si>
    <t>Организация технической поддержки оборудования шифрования С-Терра</t>
  </si>
  <si>
    <t>155 360,00</t>
  </si>
  <si>
    <t>00218-23</t>
  </si>
  <si>
    <t xml:space="preserve">ДС №11 </t>
  </si>
  <si>
    <t>Актуализация Оценочного Листа по услуге 10986</t>
  </si>
  <si>
    <t>00218-24</t>
  </si>
  <si>
    <t>ГЕО-24/33400/00075</t>
  </si>
  <si>
    <t>Соглашение о безопасном использовании ИС ПТ</t>
  </si>
  <si>
    <t>Безопасное использование ИС</t>
  </si>
  <si>
    <t>00219-22</t>
  </si>
  <si>
    <t>ГЕО-19/11216/00165/Р/19-02/39 от 12.07.2019г.</t>
  </si>
  <si>
    <t>Дополнительное соглашение об увеличении стоимости договора и переводе негарантированного объема в гарантированный</t>
  </si>
  <si>
    <t>- подключение дополнительных услуг_x000D_
- организация переноса услуг_x000D_
- перевод негарантированного объема в гарантированный</t>
  </si>
  <si>
    <t>00219-23</t>
  </si>
  <si>
    <t>ГЕО-23/20000/00077/Д</t>
  </si>
  <si>
    <t>20000 Агентский договор на организацию вертолетных авиаперевозок ООО "ТехГеоБур"</t>
  </si>
  <si>
    <t>00219-24</t>
  </si>
  <si>
    <t>ИЗМЕНЕНИЕ №1 от 08.04.2024г. к НАРЯД-ЗАКАЗУ №5 к ДОГОВОРУ № ГЕО-22/11000/00274/Р от 14.10.2022г.</t>
  </si>
  <si>
    <t>00220-22</t>
  </si>
  <si>
    <t>00547-21</t>
  </si>
  <si>
    <t>Выполнение цифровой аэрофотосъемки (ЦАФС) и воздушно-лазерного сканирования (ВЛС) с пилотируемых воздушных средств на территории Северо-Ямбургского ЛУ (Номер района по ТЗ - 3)</t>
  </si>
  <si>
    <t>00220-23</t>
  </si>
  <si>
    <t>ГЕО-23/20000/00082/Д</t>
  </si>
  <si>
    <t>20000 Агентский договор на организацию вертолетных авиаперевозок ООО "УТТ-Югра"</t>
  </si>
  <si>
    <t>00220-24</t>
  </si>
  <si>
    <t>Дополнительное соглашение №3 к Договору № ГЕО-23/10000/00223/Р от 18.12.2023 г.</t>
  </si>
  <si>
    <t>00221-22</t>
  </si>
  <si>
    <t>Ачвел. Зональный и объектный этапы НЗ к договору ГЕО-21/11708/00165/Р//НТЦ-21/09000/00768/Д от 12.07.2021</t>
  </si>
  <si>
    <t>НТЦ-00328-22Д-ГЕО</t>
  </si>
  <si>
    <t>Ачвел. Зональный и объектный этапы</t>
  </si>
  <si>
    <t>00221-23</t>
  </si>
  <si>
    <t>33100 Соглашение в области производственной безопасности (ООО НППГА "ЛУЧ")</t>
  </si>
  <si>
    <t>10308 ГТИ при бурении. ДД №ГЕО-23/10000/00054/Р от 10.03.2023г.</t>
  </si>
  <si>
    <t>00221-24</t>
  </si>
  <si>
    <t>Актуализация Соглашения в области производственной безопасности</t>
  </si>
  <si>
    <t>00222-22</t>
  </si>
  <si>
    <t>Вынгаяха к договору ГЕО-21/11708/00165/Р//НТЦ-21/09000/00768/Д от 12.07.2021</t>
  </si>
  <si>
    <t>НТЦ-00485-22Д-ГЕО</t>
  </si>
  <si>
    <t>«Подбор оптимальной технологии заканчивания скважин и проведения ГРП для одной из кустовых площадок Вынгаяхинского месторождения»</t>
  </si>
  <si>
    <t>00222-23</t>
  </si>
  <si>
    <t>Заявка № 8 на выполнение работ по теме: Составление итоговых аналитических отчетов по результатам выполнения геологоразведочных работ.</t>
  </si>
  <si>
    <t>Выполнение работ по:_x000D_
1. Составление отчета о выполненных работах северного кластера проекта Чона (Вакунайский, Тымпучиканский участки)._x000D_
2. Составление отчета о выполненных работах северного кластера проекта Чона (Игнялинский участок).</t>
  </si>
  <si>
    <t>00222-24</t>
  </si>
  <si>
    <t>НАРЯД-ЗАКАЗ № 16 к Договору № АНГ-191151300010Р от 18 февраля 2019</t>
  </si>
  <si>
    <t xml:space="preserve">выполнение комплекса землеустроительных и лесоустроительных работ для оформления 1 договора аренды для проведения полевых сейсморазведочных работ МОГТ ЗД на Холмогорском ЛУ (ЯНАО)
</t>
  </si>
  <si>
    <t>00223-22</t>
  </si>
  <si>
    <t>Карамовка к договору ГЕО-21/11708/00165/Р//НТЦ-21/09000/00768/Д от 12.07.2021</t>
  </si>
  <si>
    <t>НТЦ-00487-22Д-ГЕО</t>
  </si>
  <si>
    <t>«Сопровождение полевых работ по строительству многоствольных скважин по уровню сложности TAML-3 на Карамовском месторождении»</t>
  </si>
  <si>
    <t>00223-23</t>
  </si>
  <si>
    <t>Изм.№2 к наряд-заказу №1 ГЕО-22/11000/00267/Р УГП</t>
  </si>
  <si>
    <t>Изм.№2 к наряд-заказу №1 по договору №ГЕО-22/11000/00267/Р от 10.10.2022 – «на выполнение инженерных изысканий»</t>
  </si>
  <si>
    <t>65775687.39</t>
  </si>
  <si>
    <t>00223-24</t>
  </si>
  <si>
    <t>00224-22</t>
  </si>
  <si>
    <t>Дополнительное соглашение № 1 к договору на выполнение операторских работ и об оказании операторских услуг СРР с ООО "ГПН-Хантос"</t>
  </si>
  <si>
    <t>00224-23</t>
  </si>
  <si>
    <t>ГЕО-22/20000/00211/Д</t>
  </si>
  <si>
    <t>ДС 1 к ГЕО-22/20000/00211/Д ООО "ГеоЛад-СТ"</t>
  </si>
  <si>
    <t>Для уменьшения вероятности признания взаимозачетов (сальдирования) недействительными сделками, уточнение предмета договора, изменение формы отчета Агента, дополнение формой Акта о сальдировании</t>
  </si>
  <si>
    <t>00224-24</t>
  </si>
  <si>
    <t>Заявка № 15 к договору о предоставлении труда работников (персонала) № ГЕО-23/09000/00149/Р от 28.08.2023 г.</t>
  </si>
  <si>
    <t>Рассмотрение вопроса о возможности заключения Заявки №15 на привлечение супервайзера по производственной безопасности для проекта «Южный Оренбург», скв. № 401, Западно-Рубежинский ЛУ, в рамках Договора № ГЕО-23/09000/00149/Р от «28» августа 2023 г. с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t>
  </si>
  <si>
    <t>00225-22</t>
  </si>
  <si>
    <t>ГЕО-20/10924/00055/Р</t>
  </si>
  <si>
    <t>Дополнительное соглашение №6 к Договору на выполнение работ по экологическому мониторингу месторождений № ГЕО-20/10924/00055/Р от 05 марта 2020 г.</t>
  </si>
  <si>
    <t>Частичный перевод негарантированного объема услуг 2022 г. в гарантированный</t>
  </si>
  <si>
    <t>00225-23</t>
  </si>
  <si>
    <t>00225-24</t>
  </si>
  <si>
    <t>00226-22</t>
  </si>
  <si>
    <t>ГЕО-22/09000/00068/Р</t>
  </si>
  <si>
    <t>Договор оказания ИТ-услуг</t>
  </si>
  <si>
    <t>Услуги по сопровождению систем защиты информации: Разработка и актуализация документации по защите персональных данных в ИСПДн</t>
  </si>
  <si>
    <t>0000057164</t>
  </si>
  <si>
    <t xml:space="preserve">ООО Газпромнефть - ЦР </t>
  </si>
  <si>
    <t>00226-23</t>
  </si>
  <si>
    <t>Заявка № 9 на Разработку проектного документа на геологическое изучение недр (разведочные работы); оперативного подсчета запасов; проекта пробной эксплуатации залежи; отчета о результатах выполненных геологоразведочных работ в РГФ и ТФГИ на Солнечном ЛУ</t>
  </si>
  <si>
    <t>1. Составление отчета об оперативном подсчете запасов залежи пласта Д5-1 мосоловского горизонта месторождения им. В.П. Орлова._x000D_
2. Разработка проекта пробной эксплуатации залежи пласта Д5-1 мосоловского горизонта месторождения им. В.П. Орлова._x000D_
3. Разработка проектной документации на геологическое изучение (проект разведки/доразведки месторождения им. В.П. Орлова)._x000D_
4. Составление и сдача отчета по выполненным геологоразведочным работам (поисковый этап) на Солнечном лицензионном участке</t>
  </si>
  <si>
    <t>00226-24</t>
  </si>
  <si>
    <t>Изменение № 2 к Заявке № 5 от 01.05.2024 г.</t>
  </si>
  <si>
    <t>В связи с производственной необходимостью, возникшей у блока производственной безопасности ООО «ГПН-ГЕО» произвести перевод Теребихина Дмитрия Николаевича, принятого на позицию руководитель группы производственной безопасности в рамках Изменения №1 к Заявке № 5 к договору о предоставлении труда работников (персонала) № ГЕО-23/09000/00149/Р от 28.08.2023 г. с проекта «Оморинский», Камовская площадь (скв. КМ-4, скв КМ-4бис) на проект «Енисей», путём формирования новой Заявки. Таким образом существует потребность замены работника Теребихина Дмитрия Николаевича на Садыкова Рустама Рахимовича, с целью привлечения на проекте «Оморинский», Камовская площадь (скв. КМ-4, скв КМ-4бис). Теребихин Дмитрий Николаевич привлекался в рамках Изменения №1 к Заявке № 5 к договору о предоставлении труда работников (персонала) № ГЕО-23/09000/00149/Р от 28.08.2023 г. Оплата оказанных услуг будет произведена в соответствии с фактически оказанными услугами в рамках действующих договорных отношений.
1.	Изложить раздел 1, Изменения №1 к Заявке № 5 к договору о предоставлении труда работников (персонала) № ГЕО-23/09000/00149/Р от 28.08.2023 г. в части Ф.И.О. работника в следующей редакции:
- Чинчикеев Аржан Николаевич (привлечение с 30.10.2023 г. по 31.08.2024 г.)
- Теребихин Дмитрий Николаевич (привлечение с 18.12.2023 г. по 30.04.2024 г.)
- Садыков Рустам Рахимович (привлечение с 01.05.2024 г. по 31.08.2024 г.)</t>
  </si>
  <si>
    <t>00227-22</t>
  </si>
  <si>
    <t>Общество с ограниченной ответственностью «Специализированное Тампонажное Управление»</t>
  </si>
  <si>
    <t>00227-23</t>
  </si>
  <si>
    <t>Заключение договора возмездного оказания услуг по автоматизации маркшейдерских и землеустроительных задач в геоинформационной системе</t>
  </si>
  <si>
    <t>00227-24</t>
  </si>
  <si>
    <t>Изменение №2 к Заявке № 11 к Договору № ГЕО-23/09000/00149/Р от 28.08.2023 г.</t>
  </si>
  <si>
    <t>1.	Изложить раздел 1, Заявки № 11 к Договору № ГЕО-23/09000/00149/Р от 28.08.2023 г. в части Ф.И.О. работника в следующей редакции:
- Кочетков Сергей Сергеевич.
- Губанов Евгений Сергеевич.</t>
  </si>
  <si>
    <t>00228-22</t>
  </si>
  <si>
    <t>ГЕО-21/20000/00286/Д</t>
  </si>
  <si>
    <t>ДС №1 к АД ГЕО-21/20000/00286/Д от 16.12.2021 Шлюмберже Лод.</t>
  </si>
  <si>
    <t>Увеличение срока оплаты по договору</t>
  </si>
  <si>
    <t>00228-23</t>
  </si>
  <si>
    <t>Заявка № 10 на оказание услуг по информационно-аналитическому и практическому ведению недропользования на участках недр в периметре лицензионного портфеля</t>
  </si>
  <si>
    <t xml:space="preserve">1. Подписка на актуализацию карт лицензирования и недропользования, анализ тенденций по фонду недр РФ, разработка рекомендаций на основании мониторинга лицензирования на углеводородное сырье по приоритетным для Компании участкам_x000D_
2. Геолого-экономическая оценка ресурсов участков, планируемых к лицензированию (оценка нераспределенного фонда): новые поисковые зоны, прирезки, фланги. Подготовка обоснований и сопровождение заявочной документации на внесение изменений в лицензии (прирезки, фланги, снятие рисков)._x000D_
3. Создание и актуализация банка данных по аукционам, конкурсам и перечням на ГИ, проводимых в РФ за последние 10 лет._x000D_
_x000D_
</t>
  </si>
  <si>
    <t>00228-24</t>
  </si>
  <si>
    <t>Дополнительное соглашение №10 к Договору ГЕО-21/10114/00257 от 22.11.2021</t>
  </si>
  <si>
    <t>изменение срока выполнения работ в рамках ДС</t>
  </si>
  <si>
    <t>00229-23</t>
  </si>
  <si>
    <t xml:space="preserve">Заявка № 11 на выполнение работ по разработке проектной документации по геологическому изучению недр включая поиски и оценку месторождений (залежей) УВС в пределах Нижнепуринской группы лицензионных участков. </t>
  </si>
  <si>
    <t>1. Результаты выполненных работ оформляются на бумажных и электронных носителях в виде отчета, включающего в себя текстовую часть, графические и текстовые приложения _x000D_
2. Положительные заключения ФГКУ «Росгеолэкспертиза»</t>
  </si>
  <si>
    <t>00229-24</t>
  </si>
  <si>
    <t>ГЕО-24/20000/00153/Р</t>
  </si>
  <si>
    <t>Агентский ДД с АО "Альфа-Банк"</t>
  </si>
  <si>
    <t>0000051953</t>
  </si>
  <si>
    <t xml:space="preserve">АО АЛЬФА-БАНК </t>
  </si>
  <si>
    <t>7728168971</t>
  </si>
  <si>
    <t>00230-22</t>
  </si>
  <si>
    <t xml:space="preserve">ГЕО-19/10156/00057/Р </t>
  </si>
  <si>
    <t xml:space="preserve">Дополнительное соглашение №4 </t>
  </si>
  <si>
    <t>Переввод негарантированного объёма 2022 года в гарантированный без изменения стоимости Договора</t>
  </si>
  <si>
    <t>Услуги по хранению и стандартному комплексу лабораторных исследований керна</t>
  </si>
  <si>
    <t>00230-23</t>
  </si>
  <si>
    <t xml:space="preserve">Заявка № 12 на выполнение работ по разработке проектной документации по геологическому изучению недр включая поиски и оценку месторождений (залежей) УВС в пределах Таймырской группы лицензионных участков. </t>
  </si>
  <si>
    <t>1. Разработка проектной документации на геологическое изучение в пределах Таймырской группы лицензионных участков (поиск и оценка месторождений и залежей УВС)_x000D_
2. Получение положительного экспертного заключение ФГКУ «Росгеолэкспертиза»</t>
  </si>
  <si>
    <t>00230-24</t>
  </si>
  <si>
    <t>Наряд-задание № 6 к договору ГЕО-19/09000/00303/Р от 15.11.2019</t>
  </si>
  <si>
    <t>Организации и содержанию медицинского здравпункта на проекте Оморинский (Салаирское месторождение (скв.3ПО), Вахтовый городок «СТС»)</t>
  </si>
  <si>
    <t>00231-22</t>
  </si>
  <si>
    <t>ДС № 14 к договору СТЛ ЕНИСЕЙ № ГЕО-19/10001/00157/Р/ГСН-19/10001/00829/Д/ТМН-15 от 15.07.2019г.</t>
  </si>
  <si>
    <t>Увеличение стоимости ДД в 2022 году для обеспечения выполнения производственной программы по ГРР 2ПО (скважина 198) на 987 161 465,26 рублей без НДС.</t>
  </si>
  <si>
    <t>987161465.26</t>
  </si>
  <si>
    <t>00231-23</t>
  </si>
  <si>
    <t>00231-24</t>
  </si>
  <si>
    <t>ДС № 6 к ДОГОВОРУ № ГЕО-22/09000/00287/Р от 03.11.2022 г.</t>
  </si>
  <si>
    <t>Раскрытие негарантированного объема услуг 2024 года по организации охраны контрольно­ пропускного пункта в доп. объеме 123 суток на Сал 3 Оморинского ЛУ до 31.08.2024г</t>
  </si>
  <si>
    <t>00232-22</t>
  </si>
  <si>
    <t>ДС №1 к Договору № ГЕО-22/10000/00036/Р от 14.02.2022г.</t>
  </si>
  <si>
    <t>1. Изменение сроков оплаты на 30 дней._x000D_
2. Изменение арбитражной оговорки на оригинальную формулировку размещённую при проведении конкурентного отбора.</t>
  </si>
  <si>
    <t>00232-23</t>
  </si>
  <si>
    <t>00232-24</t>
  </si>
  <si>
    <t>ДС 1 к соглашению ПБ №ГЕО-24/33100/00009 от 15.01.2024</t>
  </si>
  <si>
    <t>Приказ П-32 Актуализация Соглашения ПБ</t>
  </si>
  <si>
    <t>00233-22</t>
  </si>
  <si>
    <t>Заключение НЗ к Рамочному Договору по Проекту "Титан"</t>
  </si>
  <si>
    <t>НТЦ-00313-22Д-ГЕО</t>
  </si>
  <si>
    <t>Обработка и интерпретация сейсморазведочных данных 3Д в пределах Северо-Ямбургского лицензионного участка ПАО «Газпром нефть» в 2022-2023 гг.</t>
  </si>
  <si>
    <t>00233-23</t>
  </si>
  <si>
    <t>00234-22</t>
  </si>
  <si>
    <t>НТЦ-00316-22Д-ГЕО</t>
  </si>
  <si>
    <t>Концепт геологии, разработки и обустройства с обоснованием оптимальных программ исследований с дизайном ГРР и ОПР Северо-Ямбургского лицензионного участка ПАО «Газпром нефть» в 2022-2023 гг.</t>
  </si>
  <si>
    <t>00234-23</t>
  </si>
  <si>
    <t>Изменение №1 от 21.04.2023г. к Наряд-заказу №1 к Договору №ГЕО-22/11000/00274/Р от 14.10.2022г.</t>
  </si>
  <si>
    <t>26000 Соглашение о конфиденциальности с дочерним обществом ГК ГПН</t>
  </si>
  <si>
    <t>00235-22</t>
  </si>
  <si>
    <t>ГЕО-21/26000/00315</t>
  </si>
  <si>
    <t>0000044114</t>
  </si>
  <si>
    <t xml:space="preserve">ООО ГПН-Развитие </t>
  </si>
  <si>
    <t>7728639370</t>
  </si>
  <si>
    <t>00235-23</t>
  </si>
  <si>
    <t>00236-22</t>
  </si>
  <si>
    <t xml:space="preserve">№ ГЕО-19/11019/00145/Р </t>
  </si>
  <si>
    <t>Выполнение проектных работ по объекту «Строительство поисковой скважины Сал-3П Салаирской площади Оморинского лицензионного участка»</t>
  </si>
  <si>
    <t>00236-23</t>
  </si>
  <si>
    <t>Наряд-заказ №4 . ...171 СТС, ООО</t>
  </si>
  <si>
    <t>Наряд-заказ №4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</si>
  <si>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00236-24</t>
  </si>
  <si>
    <t>ДС №6 к Договору ГЕО-21/07000/00283/Р от 20.12.21 г</t>
  </si>
  <si>
    <t>Перераспределение объемов, добавление физики в ГО 2024</t>
  </si>
  <si>
    <t>Асюлев К.С.</t>
  </si>
  <si>
    <t>00237-23</t>
  </si>
  <si>
    <t>ГЕО-23/20000/00081/Д</t>
  </si>
  <si>
    <t>20000 Агентский договор на организацию вертолетных авиаперевозок ООО «БАРБУС»</t>
  </si>
  <si>
    <t>00238-22</t>
  </si>
  <si>
    <t>ГЕО-21/11031/00040/Р</t>
  </si>
  <si>
    <t>Дополнительное соглашение №2 к Договору № ГЕО-21/11031/00040/Р от 01.03.2021 года</t>
  </si>
  <si>
    <t>О внесении изменений в содержание Наряд-заказа №1. Без увеличения общей цены договора. Выделение подэтапа 1.7 «Проект горного отвода и получение в Ростехнадзоре акта горного отвода на добычу общераспространенных полезных ископаемых (ОПИ)» Сводной сметы наряд-заказа №1 (Приложение №3 к наряд-заказу №1) из этапа 1 в отдельный Этап №4 по Наряд-заказу №1 со сроком выполнения работ - 30.09.2022г. на следующих условиях:</t>
  </si>
  <si>
    <t>00238-23</t>
  </si>
  <si>
    <t>Наряд-Заказ № 4</t>
  </si>
  <si>
    <t xml:space="preserve">В соответствии с п. 1.2. Договора № ГЕО-21/09000/00250/Р от 08.11.2021 г., Заказчик поручает Исполнителю выполнить ниже перечисленный перечень услуг (работ) для Заказчика в период с 01.05.2023 г. по 30.06.2023 г.:_x000D_
_x000D_
</t>
  </si>
  <si>
    <t>00239-22</t>
  </si>
  <si>
    <t>Геомеханическая модель с обоснованием ОТР проекта "Титан"</t>
  </si>
  <si>
    <t>НТЦ-03419-21Д-ГЕО</t>
  </si>
  <si>
    <t>Цель – повышение эффективности решений по вскрытию разреза месторождения Северо-Ямбург.</t>
  </si>
  <si>
    <t>00239-23</t>
  </si>
  <si>
    <t>00239-24</t>
  </si>
  <si>
    <t>ГЕО-24/33200/00078</t>
  </si>
  <si>
    <t xml:space="preserve">Принятие объемов оказанных услуг с использованием электронного документооборота </t>
  </si>
  <si>
    <t>00240-22</t>
  </si>
  <si>
    <t>ГЕО-19/11019/00293/Р/2075-19АН</t>
  </si>
  <si>
    <t xml:space="preserve">Продление сроков оказаняи услуг и срока действия договора </t>
  </si>
  <si>
    <t>0000047565</t>
  </si>
  <si>
    <t xml:space="preserve">АО НижневартовскНИПИнефть </t>
  </si>
  <si>
    <t>8603087486</t>
  </si>
  <si>
    <t>00240-23</t>
  </si>
  <si>
    <t>Дополнительное соглашение № 6 к Договору № ГЕО-21/08000/00296/Р от «28» декабря 2021 г.</t>
  </si>
  <si>
    <t>перераспределение объемов из НГО в ГО, в том числе между ставками.</t>
  </si>
  <si>
    <t>00240-24</t>
  </si>
  <si>
    <t>ИЗМЕНЕНИЕ №1 НАРЯД-ЗАКАЗА № 8</t>
  </si>
  <si>
    <t>Изменение №1 к наряд-заказу №8</t>
  </si>
  <si>
    <t>Изменение срока окончания работ по ранее выданному Н-З №8 в связи с отклонением от КП производственных СРР.</t>
  </si>
  <si>
    <t>00241-22</t>
  </si>
  <si>
    <t>Инженерно-технологическое сопровождение бурения скважин (проект Титан)</t>
  </si>
  <si>
    <t>НТЦ-00196-22Д-ГЕО</t>
  </si>
  <si>
    <t>Инженерно-технологическое сопровождение бурения скважин на Северо- Ямбургском лицензионном участке (проект Титан)</t>
  </si>
  <si>
    <t>00241-23</t>
  </si>
  <si>
    <t>Заключение НЗ по теме: "Комплексные исследования керна скважины 198 Лескинского ЛУ (интервалы отбора керна 1600.00-3071.80м.)"</t>
  </si>
  <si>
    <t>4/23-297</t>
  </si>
  <si>
    <t>Исследования керна скв №198 Лескинского ЛУ</t>
  </si>
  <si>
    <t>00241-24</t>
  </si>
  <si>
    <t>ГЕО-20/11104/00210/Р от 31.12.2020 г.</t>
  </si>
  <si>
    <t>ДС №6 к Договору ГЕО-20/11104/00210/Р от 31.12.2020 г.</t>
  </si>
  <si>
    <t>индексация тарифов, раскрытие НГО</t>
  </si>
  <si>
    <t>00242-22</t>
  </si>
  <si>
    <t xml:space="preserve">Инженерно-технологическое сопровождение бурения скважин </t>
  </si>
  <si>
    <t>НТЦ-00194-22Д-ГЕО</t>
  </si>
  <si>
    <t xml:space="preserve">Инженерно-технологическое сопровождение бурения скважин на Солнечном лицензионном участке (проект Южный Оренбург) </t>
  </si>
  <si>
    <t>00242-23</t>
  </si>
  <si>
    <t>ГЕО-22/10000/00210/Р</t>
  </si>
  <si>
    <t>Уточнение формулировок Технического задания</t>
  </si>
  <si>
    <t>00242-24</t>
  </si>
  <si>
    <t>ДС №4 Договору №ГЕО-21/11104/00291/Р от 24.12.2021 г.</t>
  </si>
  <si>
    <t>Индексация тарифов</t>
  </si>
  <si>
    <t>00243-23</t>
  </si>
  <si>
    <t>ГЕО-23/33000/00084/Р</t>
  </si>
  <si>
    <t>Соглашение о возмещении убытков, в том числе упущенной выгоды</t>
  </si>
  <si>
    <t>возместить Землепользователю убытки, в том числе упущенную выгоду (далее - убытки), в полном объеме, при изъятии Предприятием земельных участков, для размещения объектов «Поисково-оценочная скважина № 2 Северо-Ямбургского лицензионного участка», «Поисково-оценочная скважина № 3 Северо-Ямбургского лицензионного участка»</t>
  </si>
  <si>
    <t>0000084033</t>
  </si>
  <si>
    <t xml:space="preserve">АО Ныдинское </t>
  </si>
  <si>
    <t>8903008982</t>
  </si>
  <si>
    <t>00243-24</t>
  </si>
  <si>
    <t>Заказ-Наряд №1 к Договору ГЕО-24/10000/00053/Р от 18.03.2024 г.</t>
  </si>
  <si>
    <t xml:space="preserve">Выполнение работ по проекту "Нерутинский" </t>
  </si>
  <si>
    <t xml:space="preserve">ПАО Газпром </t>
  </si>
  <si>
    <t>00244-22</t>
  </si>
  <si>
    <t>ГЕО-22/11029/00004/Р</t>
  </si>
  <si>
    <t>Дополнительное соглашение №1 к Договору №ГЕО-22/11029/00004/Р от 10.01.2022г.</t>
  </si>
  <si>
    <t>Оплата не  позднее 30 дней</t>
  </si>
  <si>
    <t>00244-23</t>
  </si>
  <si>
    <t>ГЕО-19/11104/00153/Д</t>
  </si>
  <si>
    <t>ДС 5 к ГЕО-19/11104/00153/Д ООО "Газпром Бурение"</t>
  </si>
  <si>
    <t>Увеличение стоимости договора, включение стандартной оговорки УКЭП, дополнение формой Акта о сальдировании</t>
  </si>
  <si>
    <t>00244-24</t>
  </si>
  <si>
    <t>№7 к Договору № ГЕО-21/11104/00292/Р от 24.12.2021 г.</t>
  </si>
  <si>
    <t>Индексация летных тарифов</t>
  </si>
  <si>
    <t>00245-22</t>
  </si>
  <si>
    <t xml:space="preserve">Инженерно-технологическое сопровождение бурения скважины (проект Енисей) </t>
  </si>
  <si>
    <t>НТЦ-00195-22Д-ГЕО</t>
  </si>
  <si>
    <t>Инженерно-технологическое сопровождение бурения скважины на Лескинском лицензионном участке (проект Енисей) ООО «ГПН-ГЕО»</t>
  </si>
  <si>
    <t>00245-23</t>
  </si>
  <si>
    <t>ДС№4 дополнение ДД ГЕО-22/11029/00171/Р САЛ.3</t>
  </si>
  <si>
    <t>Каталогом КТ-530 «Изменение, дополнение, расторжение договора, заключенного по результатам закупки» предусмотрены пункты для внесения изменений в Договоры: _x000D_
2.12. «Техническая корректировка предмета договора без изменения вида, объема, состава, стоимости товаров, работ, услуг, в частности: исправление опечаток, изменение названий в связи с переименованием объектов, устранение противоречий.»;_x000D_
2.14. «Внедрение новых и изменение действующих локальных нормативных документов ПАО «Газпром нефть» или Обществ Газпром нефть.»; _x000D_
2.22. «Иные изменения, не поименованные в настоящем каталоге, не являющиеся существенными.</t>
  </si>
  <si>
    <t>00245-24</t>
  </si>
  <si>
    <t>ГЕО-24/33100/00082</t>
  </si>
  <si>
    <t>33100 Соглашение в области производственной безопасности с ООО Октан-Сервис</t>
  </si>
  <si>
    <t>Организация безопасности проведения работ согласно обновлённой политике компании в области ПБ</t>
  </si>
  <si>
    <t>00246-22</t>
  </si>
  <si>
    <t xml:space="preserve">АНГ-18/10926/00226/Р </t>
  </si>
  <si>
    <t>Дополнительное соглашение № 2 к Договору № АНГ-18/10926/00226/Р от 29.10.2018 г.</t>
  </si>
  <si>
    <t>Изменение наименования учебной программы в соответствии с вступлением 01.03.2022 г. в силу приказа МЧС России от 18 ноября 2021 г. № 806 «Об определении Порядка, видов, сроков обучения лиц, осуществляющих трудовую или служебную деятельность в организациях, по программам противопожарного инструктажа, требований к содержанию указанных программ и категорий лиц, проходящих обучение по дополнительным профессиональным программам в области пожарной безопасности».</t>
  </si>
  <si>
    <t>0000047541</t>
  </si>
  <si>
    <t xml:space="preserve">ЧОУ ДПО ИПБОТСП </t>
  </si>
  <si>
    <t>7826732280</t>
  </si>
  <si>
    <t>00246-23</t>
  </si>
  <si>
    <t>ДС№4 дополнение ДД ГЕО-22/11029/00172/Р КМ.4</t>
  </si>
  <si>
    <t>00246-24</t>
  </si>
  <si>
    <t>ГЕО-24/25000/00083/Р</t>
  </si>
  <si>
    <t xml:space="preserve">Договор возмездного оказания услуг для обеспечения эффективности и совершенствования процессов, связанных с реализацией операторских и прочих работ/услуг Общества </t>
  </si>
  <si>
    <t>Титиевский Е.Н.</t>
  </si>
  <si>
    <t>0000115916</t>
  </si>
  <si>
    <t xml:space="preserve">Котова Анна Максимовна </t>
  </si>
  <si>
    <t>280795166589</t>
  </si>
  <si>
    <t>00247-23</t>
  </si>
  <si>
    <t>ГЕО-22/20000/00148/Д</t>
  </si>
  <si>
    <t>ДС 1 к ГЕО-22/20000/00148/Д ООО "Технологическая Компания Шлюмберже"</t>
  </si>
  <si>
    <t>00247-24</t>
  </si>
  <si>
    <t xml:space="preserve">ДС №7 к ДД № ГЕО-22/10000/00065/Р	</t>
  </si>
  <si>
    <t>ДС №7</t>
  </si>
  <si>
    <t>Внесение изменений в Договор согласно требованиям приказа № 31-П от 19.03.2024</t>
  </si>
  <si>
    <t>00248-22</t>
  </si>
  <si>
    <t xml:space="preserve">ГЕО-22/11000/00012/Р </t>
  </si>
  <si>
    <t>ДД №1</t>
  </si>
  <si>
    <t>о переносе сроков оплаты не позднее 30 (тридцати) дней</t>
  </si>
  <si>
    <t>00248-23</t>
  </si>
  <si>
    <t xml:space="preserve">Соглашение о расторжении договора № ГЕО-23/25000/00007/Р от 10.01.2023 Г. </t>
  </si>
  <si>
    <t>СОР</t>
  </si>
  <si>
    <t>Досрочное расторжение договора на оказание услуг</t>
  </si>
  <si>
    <t>00248-24</t>
  </si>
  <si>
    <t>ГЕО-24/26000/00080</t>
  </si>
  <si>
    <t>00249-22</t>
  </si>
  <si>
    <t>ГЕО-22/09000/00067/Р</t>
  </si>
  <si>
    <t>Сбор и передача данных, формирование отчетности, архивирование, визуализация, предоставление каналов связи на ЛУ проекта Енисей, в т.ч. Лескинский ЛУ</t>
  </si>
  <si>
    <t>00249-23</t>
  </si>
  <si>
    <t>ГЕО-23/10000/00093/Р+ ПР</t>
  </si>
  <si>
    <t xml:space="preserve">Договор на оказание услуг по обеспечению противофонтанной и газовой безопасности на скважинах (объектах) ООО «ГПН-ГЕО» </t>
  </si>
  <si>
    <t>предупреждение газонефтеводопроявлений и открытых фонтанов</t>
  </si>
  <si>
    <t>00249-24</t>
  </si>
  <si>
    <t xml:space="preserve">ДС №6 к Договору №ГЕО-23/10000/00067/Р </t>
  </si>
  <si>
    <t>31833946</t>
  </si>
  <si>
    <t>00250-22</t>
  </si>
  <si>
    <t>00250-23</t>
  </si>
  <si>
    <t>Задание № 37</t>
  </si>
  <si>
    <t>Оказание супревайзинга ПБ и БДД на проекте Оморинский</t>
  </si>
  <si>
    <t>00250-24</t>
  </si>
  <si>
    <t>ГЕО-24/20000/00085/Д</t>
  </si>
  <si>
    <t>00251-22</t>
  </si>
  <si>
    <t>ГЕО-22/10000/00076/Р</t>
  </si>
  <si>
    <t xml:space="preserve">Соглашение о частичной передаче прав и обязанностей поДоговору № ВР-69-10110/20/23 от 30.09.2020 на проведение полевых сейсморазведочных работ МОГТ ЗД с применением технологии «Зеленая сейсмика ©» на лицензионных участках работ ПАО «СН-МНГ» в 2020-2023гг. </t>
  </si>
  <si>
    <t xml:space="preserve">Частичная передача прав и обязанностей поДоговору № ВР-69-10110/20/23 от 30.09.2020 на проведение полевых сейсморазведочных работ МОГТ ЗД с применением технологии «Зеленая сейсмика ©» на лицензионных участках работ ПАО «СН-МНГ» в 2020-2023гг. </t>
  </si>
  <si>
    <t>0000067121, 0000027605</t>
  </si>
  <si>
    <t xml:space="preserve">ООО ТСГК ; 
ПАО СН-МНГ </t>
  </si>
  <si>
    <t>7202171361, 8605003932</t>
  </si>
  <si>
    <t>00251-23</t>
  </si>
  <si>
    <t>ГЕО-23/40000/00087/Р</t>
  </si>
  <si>
    <t>Соглашение об установлении сервитута земельного участка</t>
  </si>
  <si>
    <t>право ограниченного пользования (сервитут) на часть земельного участка с кадастровым номером 56:22:0000000:2616 для размещения подъездного пути к скважине 401ПО Западно-Рубежинского лицензионного участка</t>
  </si>
  <si>
    <t>0000110339</t>
  </si>
  <si>
    <t xml:space="preserve">Утегужин Рустам Мажитович </t>
  </si>
  <si>
    <t>563902495616</t>
  </si>
  <si>
    <t>Соглашение о сервитуте</t>
  </si>
  <si>
    <t>00251-24</t>
  </si>
  <si>
    <t>Заявка № 16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</si>
  <si>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«Енисей», скв. № 178, скв. № 198, ББС "Енисей", Лескинского ЛУ</t>
  </si>
  <si>
    <t>00252-22</t>
  </si>
  <si>
    <t>Заказ-Наряд №17 к договору №ГЕО-19/11708/00133/Р от 25.06.2019</t>
  </si>
  <si>
    <t>Переобработка сейсмических материалов МОГТ-2D и МОГТ-3D на Западно-Юбилейных лицензионных участках</t>
  </si>
  <si>
    <t>00252-23</t>
  </si>
  <si>
    <t>ГЕО-23/25000/00085/Р</t>
  </si>
  <si>
    <t>Договор на оказание услуг по организации отправки/встречи авиарейсов (вертолеты) на п/п Богучаны</t>
  </si>
  <si>
    <t>Хорошавина Галина Геннадьевна</t>
  </si>
  <si>
    <t>00252-24</t>
  </si>
  <si>
    <t>00253-22</t>
  </si>
  <si>
    <t>Дополнительное соглашение №1 к Договору ГЕО-22/09000/00014/Р</t>
  </si>
  <si>
    <t xml:space="preserve">О заключении ДС №1 к договору ГЕО-22/09000/00014/Р, предусматривающего изменение сроков оплаты на 14 календарных дней_x000D_
_x000D_
</t>
  </si>
  <si>
    <t>00253-23</t>
  </si>
  <si>
    <t>ГЕО-23/26000/00083</t>
  </si>
  <si>
    <t>Заключение договора о конфиденциальности, в связи с заключением договора возмездного оказания услуги по автоматизации маркшейдерских и землеустроительных задач в геоинформационной системе.</t>
  </si>
  <si>
    <t>00253-24</t>
  </si>
  <si>
    <t>00254-23</t>
  </si>
  <si>
    <t xml:space="preserve">ДОПОЛНИТЕЛЬНОЕ СОГЛАШЕНИЕ №1 к ДОГОВОРУ №ГЕО-23/10000/00067/Р от 31.03.2023 г. на 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 </t>
  </si>
  <si>
    <t>Перевод негарантированного объема услуг в гарантированный, а также перераспределение объёмов услуг, с уменьшением общей стоимости договора</t>
  </si>
  <si>
    <t>30409100</t>
  </si>
  <si>
    <t>00254-24</t>
  </si>
  <si>
    <t>00255-21</t>
  </si>
  <si>
    <t>Внедрение в региональную модель Ачимовской толщи Западной Сибири новых геолого-геофизических данных и результатов работ зональных проектов</t>
  </si>
  <si>
    <t>Увеличение суммы и продление срока действия договора</t>
  </si>
  <si>
    <t>ПАО Газпром нефть</t>
  </si>
  <si>
    <t>00255-22</t>
  </si>
  <si>
    <t>ГЕО-22/09000/00074/Р</t>
  </si>
  <si>
    <t>Исполнитель обязуется по заданию Заказчика осуществить кадастровые работы в отношении объекта недвижимого имущества – эксплуатационной скважины №9 Игнялинского лицензионного участка, расположенной в Катангском районе Иркутской области.</t>
  </si>
  <si>
    <t>00255-23</t>
  </si>
  <si>
    <t>ДС 1 к ГЕО-22/20000/00337/Д ООО "НТЦ "Геомеханика"</t>
  </si>
  <si>
    <t>00255-24</t>
  </si>
  <si>
    <t>00256-22</t>
  </si>
  <si>
    <t xml:space="preserve">ГЕО-21/10120/00148/Р </t>
  </si>
  <si>
    <t>Проведение гидродинамических исследований/проведение промысловых геофизических исследований скважин при контроле за разработкой</t>
  </si>
  <si>
    <t xml:space="preserve">Перевод негарантированного объёма в гарантированный </t>
  </si>
  <si>
    <t>00256-23</t>
  </si>
  <si>
    <t>Перевод негарантированного объема услуг 2023-2024 гг. в гарантированный объем 2023 года.</t>
  </si>
  <si>
    <t>27022716.2</t>
  </si>
  <si>
    <t>00257-22</t>
  </si>
  <si>
    <t>Дополнительное соглашение №3 к Договору №ГЕО-21/10924/00124/Р от 12.05.2021 г. на оказание услуг Экологического мониторинга месторождений</t>
  </si>
  <si>
    <t xml:space="preserve">3 </t>
  </si>
  <si>
    <t>Заключение Дополнительного соглашения №3 к Договору необходимо с целью внесения в Договор изменений касаемо частичного перевода негарантированного объема услуг в гарантированный в 2022 г. по Сибирскому, Дальневосточному, Приволжскому и Уральскому федеральных округах, а также частичного перевода гарантированного объема услуг в негарантированный в 2022 г. по Уральскому федеральному округу без изменения единичных расценок и общей  суммы договора.</t>
  </si>
  <si>
    <t>00257-23</t>
  </si>
  <si>
    <t>ДС№3 уточнение срока ДД ГЕО-22/11029/00172/Р</t>
  </si>
  <si>
    <t>00257-24</t>
  </si>
  <si>
    <t>00258-22</t>
  </si>
  <si>
    <t xml:space="preserve">ДС на сокращение сроков оплаты </t>
  </si>
  <si>
    <t>ДС на сокращение сроков оплаты в соответствии с решениями Протокола ЭС по управлению взаимоотношениями с контрагентами БРД ПАО «Газпром нефть»  №ПТ-100.0364/0000021 от 15.03.2022г. и Протокола СК ООО "ГПН-ГЕО" №ПТ-СК/0000007 от 30.03.2022</t>
  </si>
  <si>
    <t>00258-23</t>
  </si>
  <si>
    <t xml:space="preserve">№ГЕО-20/11104/00210/Р </t>
  </si>
  <si>
    <t xml:space="preserve">ДС №5 к Договору №ГЕО-20/11104/00210/Р от 31.12.2020 г.  на оказание авиационных услуг с использованием вертолетов </t>
  </si>
  <si>
    <t xml:space="preserve">Раскрытие ГО </t>
  </si>
  <si>
    <t>00258-24</t>
  </si>
  <si>
    <t xml:space="preserve">Актуализация перечня нарушений и штрафных санкций, раздела по мотивации, формы расчета мотивации и раздела УЭДК
</t>
  </si>
  <si>
    <t>00259-22</t>
  </si>
  <si>
    <t xml:space="preserve">ГЕО-21/10924/00124/Р </t>
  </si>
  <si>
    <t xml:space="preserve">Наряд-заказ № 2 к договору № ГЕО-21/10924/00124/Р от 12.05.2021 г. на выполнение работ по экологическому мониторингу месторождений </t>
  </si>
  <si>
    <t>Выполнение работ по экологическому мониторингу месторождей в 2022 г.</t>
  </si>
  <si>
    <t>00259-23</t>
  </si>
  <si>
    <t>ГЕО-23/33200/00086</t>
  </si>
  <si>
    <t>Соглашение об электронном документообороте</t>
  </si>
  <si>
    <t>0000081209</t>
  </si>
  <si>
    <t xml:space="preserve">ООО Геодезические приборы </t>
  </si>
  <si>
    <t>7813273215</t>
  </si>
  <si>
    <t>00259-24</t>
  </si>
  <si>
    <t>ГЕО-22/10000/00318/Р</t>
  </si>
  <si>
    <t>ДС 2 к №ГЕО-22/10000/00318/Р от 05.12.2022г с БАРБУС,ООО</t>
  </si>
  <si>
    <t>00260-22</t>
  </si>
  <si>
    <t xml:space="preserve">ГЕО-20/11104/00201/Р </t>
  </si>
  <si>
    <t>ДС на сокращение сроков оплаты</t>
  </si>
  <si>
    <t>00260-23</t>
  </si>
  <si>
    <t>Заказ №5 к договору № ГЕО-21/101108/00193/Р</t>
  </si>
  <si>
    <t>00260-24</t>
  </si>
  <si>
    <t>ГЕО-22/33100/00321</t>
  </si>
  <si>
    <t>ДС 1 к соглашению ПБ №ГЕО-22/33100/00321 от 05.12.2022г. c БАРБУС, ООО</t>
  </si>
  <si>
    <t>00261-21</t>
  </si>
  <si>
    <t>ДС № 1</t>
  </si>
  <si>
    <t xml:space="preserve">ГЕО-20/09000/00058/Р ОТ 15.03.2020 </t>
  </si>
  <si>
    <t>Оказание услуг по содержанию Вахтового жилого комплекса (в т.ч. питание, клининг, химчистка) на Лицензионных участках ООО «ГПН-ГЕО»</t>
  </si>
  <si>
    <t xml:space="preserve">1. Перевод из негарантированного объема работ в гарантированный 120 суток услуг по уборке, содержанию и текущему ремонту, техническому обслуживанию, эксплуатации внутренних инженерных сетей и технологического оборудования._x000D_
2. Уменьшение суточных ставок в 2021г. в связи с уменьшением численности персонала, предусмотренного техническим заданием на период смарт-паузы._x000D_
3. В связи со снижением ставок на период смарт-паузы стоимость договора снизится на -631 626,28 руб. без НДС, -757 951,54 руб. с НДС. _x000D_
4. Перераспределение гарантированного объема услуг организации горячего питания в негарантированный объем работ 2021г. в связи со снижением численности Заказчика в 2021г._x000D_
</t>
  </si>
  <si>
    <t>00261-22</t>
  </si>
  <si>
    <t>Договор добровольного медицинского страхования</t>
  </si>
  <si>
    <t>Добровольное медцинское страхование рабоников ООО ГПН-ГЕО</t>
  </si>
  <si>
    <t>00262-21</t>
  </si>
  <si>
    <t>ГЕО-20/10100/00080/Р</t>
  </si>
  <si>
    <t>Оценка влияния водогазового переменного воздействия (WAG) на образцы керна Игнялинского ЛУ.</t>
  </si>
  <si>
    <t>№ 1/21-080</t>
  </si>
  <si>
    <t>Цель проведения работ вызвана необходимостью лабораторного подтверждения коэффициента вытеснения нефти водой для внесения в гидродинамическую модель месторождения и проведения расчётов добычи нефти</t>
  </si>
  <si>
    <t>Ябиров Р.З</t>
  </si>
  <si>
    <t>0000085548</t>
  </si>
  <si>
    <t xml:space="preserve">ООО Корэтест сервис </t>
  </si>
  <si>
    <t>7204036671</t>
  </si>
  <si>
    <t>Услуги по специальным лабораторным исследованиям керна и пластовых флюидов (в том числе уникальные исследования, новые технологии исследований)</t>
  </si>
  <si>
    <t>00262-23</t>
  </si>
  <si>
    <t>ГЕО-23/09000/00089/Р</t>
  </si>
  <si>
    <t>На проведение аттестации защищаемого помещения</t>
  </si>
  <si>
    <t>Аттестация защищаемого помещения</t>
  </si>
  <si>
    <t>0000056917</t>
  </si>
  <si>
    <t xml:space="preserve">АО Лаборатория ППШ </t>
  </si>
  <si>
    <t>7802076166</t>
  </si>
  <si>
    <t>00263-21</t>
  </si>
  <si>
    <t>Оценка влияния водогазового переменного воздействия (WAG) на образцы керна Камовского месторождения</t>
  </si>
  <si>
    <t>2/21-080</t>
  </si>
  <si>
    <t>00263-22</t>
  </si>
  <si>
    <t>ГЕО-22/20000/00094/Д</t>
  </si>
  <si>
    <t>Предварительное согласование проекта договора с ВЗЛ ООО "Газпромнефть-Заполярье"</t>
  </si>
  <si>
    <t>Договор на выполнение работ по аэрофотосъемке, воздушному лазерному сканированию и геофизической съемке на территории Чаяндинского, Тас-Юряхского и Верхневилючанского лицензионных участков для ООО «Газпромнефть-Заполярье» в 2022 - 2023 году</t>
  </si>
  <si>
    <t>00263-23</t>
  </si>
  <si>
    <t>Изменение банковских реквизитов КА</t>
  </si>
  <si>
    <t>00263-24</t>
  </si>
  <si>
    <t>ДС 4 к №ГЕО-23/10000/00023/Р от 30.01.2023г. с НьюТек Сервисез,ООО</t>
  </si>
  <si>
    <t>00264-22</t>
  </si>
  <si>
    <t>Наряд-заказ №2</t>
  </si>
  <si>
    <t>Выполнение цифровой аэрофотосъемки (ЦАФС) и воздушно-лазерного сканирования (ВЛС) пилотируемым воздушным судном на территории Хамбатейского ЛУ (ЯНАО, Ямальский район. Номер района по ТЗ - 4)</t>
  </si>
  <si>
    <t>00264-23</t>
  </si>
  <si>
    <t>ГЕО-23/09000/00101/Р</t>
  </si>
  <si>
    <t>Договор об оказании услуг связи</t>
  </si>
  <si>
    <t>улучшение качества сотовой связи на площадках Оморинского ЛУ (проект "Оморинка")</t>
  </si>
  <si>
    <t>0000018995</t>
  </si>
  <si>
    <t xml:space="preserve">ПАО МТС </t>
  </si>
  <si>
    <t>7740000076</t>
  </si>
  <si>
    <t>00264-24</t>
  </si>
  <si>
    <t>ДС 2 к соглашению ПБ №ГЕО-23/33100/00024 от 30.01.2023г. c НьюТек Сервисез, ООО</t>
  </si>
  <si>
    <t>00265-22</t>
  </si>
  <si>
    <t>№ГЕО-21/11031/00040/Р</t>
  </si>
  <si>
    <t>Дополнительное соглашение №3 к Договору № ГЕО-21/11031/00040/Р от 01.03.2021 года</t>
  </si>
  <si>
    <t>00265-23</t>
  </si>
  <si>
    <t>Наряд-заказ №2 к ДОГОВОРУ №ГЕО-23/10000/00067/Р от 31.03.2023 г. на 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t>
  </si>
  <si>
    <t>Раскрытие негарантированного объема услуг 2023 г. и перераспределение объема работ на Проектах</t>
  </si>
  <si>
    <t>Окунев В.Н.</t>
  </si>
  <si>
    <t>00265-24</t>
  </si>
  <si>
    <t>ГЕО-23/33100/00228</t>
  </si>
  <si>
    <t>Актуализация требований ПБ в соответствии с Приказом 32-П</t>
  </si>
  <si>
    <t>00266-22</t>
  </si>
  <si>
    <t>ГЕО-22/33200/00077</t>
  </si>
  <si>
    <t xml:space="preserve">АО СофтЛайн Трейд </t>
  </si>
  <si>
    <t>00266-23</t>
  </si>
  <si>
    <t>Наряд-Заказ № 4 к Договоруу с ООО "Акбарыс"</t>
  </si>
  <si>
    <t>Обеспечение безопасных условий труда на объектах с содержанием сероводорода</t>
  </si>
  <si>
    <t>00266-24</t>
  </si>
  <si>
    <t>ДС №1 к договору №ГЕО-24/10000/00053/Р от 18.03.2024 г.</t>
  </si>
  <si>
    <t xml:space="preserve">Перераспределение объема работ без изменения стоимости договора. </t>
  </si>
  <si>
    <t>00267-23</t>
  </si>
  <si>
    <t>ГЕО-23/09600/00099</t>
  </si>
  <si>
    <t xml:space="preserve">Договор на организацию практической подготовки обучающихся при проведении практик </t>
  </si>
  <si>
    <t>Договор на организацию практической подготовки обучающихся при проведении практик</t>
  </si>
  <si>
    <t>0000045645</t>
  </si>
  <si>
    <t xml:space="preserve">СПГУ, Горный университет </t>
  </si>
  <si>
    <t>7801021076</t>
  </si>
  <si>
    <t>00267-24</t>
  </si>
  <si>
    <t>ДС 1 к №№ГЕО-24/10000/00003/Р от 15.01.2024г. с РИМЕРА-Сервис, ООО</t>
  </si>
  <si>
    <t>актуализация ДД</t>
  </si>
  <si>
    <t>00268-23</t>
  </si>
  <si>
    <t>ГЕО-23/26000/00088</t>
  </si>
  <si>
    <t>СОК в целях заключения Договора на выполнение геологоразведочных работ на Ямбургском месторождении принимают на себя обязательства по предоставлению друг другу и неразглашению информации, составляющей коммерческую тайну, и иной конфиденциальной информации</t>
  </si>
  <si>
    <t>ООО «Газпром инвест»</t>
  </si>
  <si>
    <t>00268-24</t>
  </si>
  <si>
    <t xml:space="preserve">Изменение №2 к Наряд-заказу №1 на оказание услуг к Договору №ГЕО-23/10000/00067/Р от 31.03.2023 </t>
  </si>
  <si>
    <t>22489596</t>
  </si>
  <si>
    <t>00269-21</t>
  </si>
  <si>
    <t xml:space="preserve">АНГ-18/09000/00186/Р от 24.09.2018г. </t>
  </si>
  <si>
    <t>Дополнительное соглашение №8 к Договору о выполнении операторских работ и оказании операторских услуг (проект Чона)</t>
  </si>
  <si>
    <t>Дополнительное соглашение №8</t>
  </si>
  <si>
    <t xml:space="preserve">перевод негарантированного объема (частично) в гарантированный (после получения инвест. решения). Без изменения общей стоимости </t>
  </si>
  <si>
    <t>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t>
  </si>
  <si>
    <t>00269-22</t>
  </si>
  <si>
    <t>Применение усиленной квалифицированной электронной подписи (УКЭП) при подписании ДД (ЭД в части ДД)</t>
  </si>
  <si>
    <t>00269-23</t>
  </si>
  <si>
    <t xml:space="preserve">ЗАДАНИЕ НА ОКАЗАНИЕ УСЛУГ № 38 к Договору № ГЕО-20/10986/00138/Р </t>
  </si>
  <si>
    <t>38</t>
  </si>
  <si>
    <t>оказание супервайзерских услуг по контролю состояния производственной безопасности на объектах ООО "ГПН-ГЕО"</t>
  </si>
  <si>
    <t>00269-24</t>
  </si>
  <si>
    <t xml:space="preserve">Изменение №1 к Наряд-Заказу №3 к Договору №ГЕО-23/10000/00067/Р от 31.03.2023 г. </t>
  </si>
  <si>
    <t>00270-22</t>
  </si>
  <si>
    <t>Применения усиленной квалифицированной электронной подписи (УКЭП) при подписании ДД</t>
  </si>
  <si>
    <t>00270-23</t>
  </si>
  <si>
    <t>ДС №7 к Договору №ГЕО-22/10000/00055/Р от 17.03.2022 г.</t>
  </si>
  <si>
    <t>Перераспределение объемов работ, с уменьшением общей стоимости по договору</t>
  </si>
  <si>
    <t>00270-24</t>
  </si>
  <si>
    <t>ГЕО-20/11104/00201/Р от 31.12.2020</t>
  </si>
  <si>
    <t>№ 5 к Договору № ГЕО-20/11104/00201/Р от 31.12.2020 г. с АО «Авиакомпания «Ангара» на оказание авиационных услуг с использованием вертолетов</t>
  </si>
  <si>
    <t>Включение обновленного ОЛ по услуге 11104</t>
  </si>
  <si>
    <t>00271-22</t>
  </si>
  <si>
    <t xml:space="preserve">ГЕО-19/11708/00134/Р </t>
  </si>
  <si>
    <t>Дополнительное соглашение №1 к Наряд-Заказу №11 с Шлюмберже Лоджелко Инк.</t>
  </si>
  <si>
    <t>Увеличение срока действия договора без увеличения стоимости</t>
  </si>
  <si>
    <t>00271-23</t>
  </si>
  <si>
    <t xml:space="preserve">ДС №2 к Договору №ГЕО-23/10150/00017/Р от «10» января 2023 г. с ООО «ИЦ ГазИнформПласт» </t>
  </si>
  <si>
    <t>Перераспределение объемов работ, а также включение новых ставок на консервацию оборудования, без увеличения стоимости по договору</t>
  </si>
  <si>
    <t>00271-24</t>
  </si>
  <si>
    <t>00272-22</t>
  </si>
  <si>
    <t>Дополнительное соглашение №1 к Договору ГЕО-21/10301/00259/Р</t>
  </si>
  <si>
    <t xml:space="preserve">О заключении ДС №1 к договору ГЕО-21/10301/00259/Р, предусматривающего изменение сроков оплаты на 30 календарных дней_x000D_
_x000D_
</t>
  </si>
  <si>
    <t>00272-24</t>
  </si>
  <si>
    <t>ГЕО-22/33100/00207</t>
  </si>
  <si>
    <t>00273-21</t>
  </si>
  <si>
    <t>№ АНГ-18/10204/00243/Р от 19.11.2018г.</t>
  </si>
  <si>
    <t>Наряд-заказ № 1 к Договору № АНГ-18/10204/00243/Р от 19.11.2018г.</t>
  </si>
  <si>
    <t>Наряд-заказ № 1</t>
  </si>
  <si>
    <t>Выполнение работ в 2021г. по Договору № АНГ-18/10204/00243/Р от 19.11.2018г.</t>
  </si>
  <si>
    <t>Бурение эксплуатационных скважин по суточной ставке или фиксированной ставке (в т.ч. Мобильными установками)</t>
  </si>
  <si>
    <t>00273-23</t>
  </si>
  <si>
    <t>Договор на выполнение комплекса землеустроительных и лесоустроительных работ</t>
  </si>
  <si>
    <t>Выполнение комплекса землеустроительных и лесоустроительных работ на территории Российской Федерации для нужд ООО "ГПН-ГЕО" в 2023-2024 г.</t>
  </si>
  <si>
    <t>ФГБУ "Рослесинфорг"</t>
  </si>
  <si>
    <t>00273-24</t>
  </si>
  <si>
    <t xml:space="preserve">ДС№5 к Договору №ГЕО-22/10000/00225/Р от 20.09.2022   </t>
  </si>
  <si>
    <t>Дополнительное соглашение №5 к Договору №ГЕО-22/10000/00225/Р от 20.09.2022 "на бурение геологоразведочных скважин по суточной ставке или фиксированной ставке (в т.ч. мобильными установками)". Камовская площадь. Вырезка "окна".</t>
  </si>
  <si>
    <t>00274-23</t>
  </si>
  <si>
    <t xml:space="preserve">ДС №3 к Договору №ГЕО-22/10120/00208/Р от 18.08.2022 г. с ООО «НТЦ «ГЕОМЕХАНИКА» </t>
  </si>
  <si>
    <t>Перераспределение объемов работ</t>
  </si>
  <si>
    <t>00274-24</t>
  </si>
  <si>
    <t xml:space="preserve">ГЕО-18/00000/00025Д </t>
  </si>
  <si>
    <t xml:space="preserve">Дополнительное соглашение № 13 к Операторскому Договору № ГГЕО-18/00000/00025Д от 02 октября 2018 г. </t>
  </si>
  <si>
    <t>Дополнительное соглашение для включения условия договора по компенсации фактически понесенных расходов Оператора на уплату суммы вознаграждения банкам по договорам факторинга в целях выполнении операторских работ и оказания операторских услуг</t>
  </si>
  <si>
    <t>00275-22</t>
  </si>
  <si>
    <t>ГЕО-19/10111/00120/Р</t>
  </si>
  <si>
    <t>Дополнительное соглашение 7 к договору ГЕО-19/10111/00120/Р от 15.05.2019 г. на измнение срока оплаты на 30 к.д.</t>
  </si>
  <si>
    <t>измнение срока оплаты на 30 к.д.</t>
  </si>
  <si>
    <t>00275-23</t>
  </si>
  <si>
    <t>ГЕО-23/33400/00092</t>
  </si>
  <si>
    <t>Сторона-1 в связи с заключенным(и) со Стороной-2 договором(ами) на выполнение работ (оказание услуг) обязуется в рамках ст. 718 Гражданского кодекса РФ предоставить доступ к автоматизированной информационной системе «СУДИР» (далее – «СУДИР») и к информационным ресурсам через СУДИР (далее – «ИР») сотрудникам Стороны-2 без ограничений по количеству предоставляемых доступов к СУДИР.</t>
  </si>
  <si>
    <t>00275-24</t>
  </si>
  <si>
    <t xml:space="preserve">Приведение в соответствие КПП Принципала </t>
  </si>
  <si>
    <t>00276-23</t>
  </si>
  <si>
    <t>Дополнительное соглашение №7 к договору № ГЕО-21/10114/00257/Р от 22.11.2021 г.</t>
  </si>
  <si>
    <t>Перевод 100 суток работы супервайзеров из НГО в ГО в рамках 2023 года</t>
  </si>
  <si>
    <t>ОРН-22/10000/00003/Р/15/02/ГЕО-Д/3/ВГС</t>
  </si>
  <si>
    <t>00276-24</t>
  </si>
  <si>
    <t>ГЕО-22/33100/00145</t>
  </si>
  <si>
    <t>ДС 1 к согл ПБ №ГЕО-22/33100/00145 от 27.06.2022г. c Защита Югры, ООО</t>
  </si>
  <si>
    <t>00277-21</t>
  </si>
  <si>
    <t>НТЦ-00808-21Р</t>
  </si>
  <si>
    <t>Разработка методического документа «Требования к выполнению полевых сейсморазведочных работ МОГТ 3Д по линиям возбуждения сейсмического сигнала с применением технологии «Зелёная сейсмика»» в рамках технологического проекта I17PRD0845 «Зеленая сейсмика 2.0».</t>
  </si>
  <si>
    <t>Блок перспективного планирования</t>
  </si>
  <si>
    <t>00277-22</t>
  </si>
  <si>
    <t>№ ГЕО-19/09000/00292/Р от 04.12.2019г.</t>
  </si>
  <si>
    <t>00277-23</t>
  </si>
  <si>
    <t xml:space="preserve">ДС№2 к Договору №ГЕО-22/10000/00225/Р от 20.09.2022 </t>
  </si>
  <si>
    <t>Дополнительное соглашение №2 к Договору №ГЕО-22/10000/00225/Р от 20.09.2022 "на бурение геологоразведочных скважин по суточной ставке или фиксированной ставке (в т.ч. мобильными установками)". Камовская площадь.  Изм в ТЗ и утверждение ед. рсценок. КМ.4 Камовская площадь.</t>
  </si>
  <si>
    <t>00277-24</t>
  </si>
  <si>
    <t>Изменение №1 к Заявке № 6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</si>
  <si>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и супервайзера по производственной безопасности на проекте «Южный Ямал», Южно-Новопортовская площадь (СРР)</t>
  </si>
  <si>
    <t>00278-21</t>
  </si>
  <si>
    <t>Заказу № НТЦ-19/09000/02245/Д-ГЕО от 21 февраля 2020г.</t>
  </si>
  <si>
    <t>Дополнительное соглашение №1 по причине актуализации объёмов и периметра работ по геологическому изучению перспектив нефтеносносности Западного кластера Ачимовской толщи</t>
  </si>
  <si>
    <t>00278-22</t>
  </si>
  <si>
    <t>№ ГЕО-19/09000/00038/Р от 14.03.2019г.</t>
  </si>
  <si>
    <t>00278-23</t>
  </si>
  <si>
    <t xml:space="preserve">ДС№2 к Договору №ГЕО-22/10000/00226/Р от 20.09.2022   </t>
  </si>
  <si>
    <t>Дополнительное соглашение №2 к Договору №ГЕО-22/10000/00226/Р от 20.09.2022 "на бурение геологоразведочных скважин по суточной ставке или фиксированной ставке (в т.ч. мобильными установками)". Камовская площадь. ДД...226 ТФ ССК, АО. Изм в ТЗ и утверждение ед. рсценок. САЛ.3 Салаирская площадь</t>
  </si>
  <si>
    <t>00278-24</t>
  </si>
  <si>
    <t>ДС 2 к согл ПБ №ГЕО-23/33100/00043 от 17.02.2023г.. c БурСервис, ООО</t>
  </si>
  <si>
    <t>00279-21</t>
  </si>
  <si>
    <t>ГЕО-21/11104/00140/Д</t>
  </si>
  <si>
    <t>Агентской договор на организацию вертолетных авиаперевозок</t>
  </si>
  <si>
    <t>Авиаперевозка персонала и грузов Контрагента</t>
  </si>
  <si>
    <t>Титова Екатерина Владимировна</t>
  </si>
  <si>
    <t>ООО ИнтерТайм</t>
  </si>
  <si>
    <t>00279-22</t>
  </si>
  <si>
    <t>ГЕО-21/10110/00239/Р</t>
  </si>
  <si>
    <t>Дополнительное соглашение 1 к договору ГЕО-21/10110/00239/Р от 18.10.2021 на изменение сроков оплаты на 30 кд. и включение условий о гостайне</t>
  </si>
  <si>
    <t>изменение сроков оплаты на 30 кд. и включение условий о гостайне</t>
  </si>
  <si>
    <t>00279-24</t>
  </si>
  <si>
    <t>ДС№2 к №ГЕО-23/10000/00032/Р от 06.02.2023г. с БурСервис, ООО</t>
  </si>
  <si>
    <t>00280-21</t>
  </si>
  <si>
    <t>Наряд-заказ №4</t>
  </si>
  <si>
    <t>Выполнение проектно-изыскательских работ по объекту проектирования  «Строительство поисково-оценочной скважины № 201 Надеждинского лицензионного участка»</t>
  </si>
  <si>
    <t>00280-22</t>
  </si>
  <si>
    <t>ГЕО-22/29000/00084/Р</t>
  </si>
  <si>
    <t>Выполнение шеф-монтажных работ устьевого оборудования на проекте "Титан"</t>
  </si>
  <si>
    <t>00280-23</t>
  </si>
  <si>
    <t>00658</t>
  </si>
  <si>
    <t>Увеличение гарантированного объёма услуг.</t>
  </si>
  <si>
    <t>00280-24</t>
  </si>
  <si>
    <t xml:space="preserve">Изменение №1 к Наряд-заказу №3 к Договору №ГЕО-22/10000/00271/Р от «10» октября 2022 г. с ООО «ТНГ-Групп» </t>
  </si>
  <si>
    <t>Изменение срока выполнения работ по этапу "Полевые работы МОГТ 3Д ШП" без изменения общего срока выполнения работ по Наряд-заказу №3</t>
  </si>
  <si>
    <t>00281-21</t>
  </si>
  <si>
    <t>Наряд-заказ №5</t>
  </si>
  <si>
    <t>Выполнение проектно-изыскательских работ по объекту проектирования  «Строительство поисково-оценочной скважины №501ПО Корнаваринского лицензионного участка»</t>
  </si>
  <si>
    <t>00281-22</t>
  </si>
  <si>
    <t xml:space="preserve">ДС к № 2 к Договору на проведение геолого-технологического исследования скважин при бурении № ГЕО-21/10308/00236/Р от «04» октября 2021 года </t>
  </si>
  <si>
    <t xml:space="preserve">Сокращение сроков оплаты </t>
  </si>
  <si>
    <t>00281-23</t>
  </si>
  <si>
    <t>Наряд – Заказ №2 к Договору №ГЕО-22/10000/00271/Р от «10» октября 2022 г. с ООО "ТНГ-Групп"</t>
  </si>
  <si>
    <t>Выполнение СРР работ на Ягодном ЛУ в рамках операторского договора №ОРН-22/10000/00003/Р/15/02/ГЕО-Д/3/ВГС от «13» октября 2022 года с ГПН-Оренбург</t>
  </si>
  <si>
    <t>00281-24</t>
  </si>
  <si>
    <t>ДОПОЛНИТЕЛЬНОЕ СОГЛАШЕНИЕ № 10 К ДОГОВОРУ № ГЕО-21/09000/00198/Р от 06.09.2021 г.  возмездного оказания услуг по охране объектов</t>
  </si>
  <si>
    <t>Продление срока действия Договора и сроков оказания услуг до 31.07.2024 г.
Перераспределение объёмов услуг между статьями затрат, с уменьшением общей стоимости договора.</t>
  </si>
  <si>
    <t>00282-21</t>
  </si>
  <si>
    <t>Наряд-заказ №6</t>
  </si>
  <si>
    <t>Выполнение проектно-изыскательских работ по объекту проектирования  «Строительство поисково-оценочной скважины №502ПО Корнаваринского лицензионного участка»</t>
  </si>
  <si>
    <t>00282-22</t>
  </si>
  <si>
    <t>ДС к № 1 к Договору на проведение геолого-технологического исследования скважин при бурении № ГЕО-22/10000/00055/Р от 17.03.2022 г.</t>
  </si>
  <si>
    <t>Сокращение сроков оплаты</t>
  </si>
  <si>
    <t>00282-23</t>
  </si>
  <si>
    <t>Договор поставки ДТ</t>
  </si>
  <si>
    <t xml:space="preserve">поставить топливо дизельное ЕВРО кл.2 ДТ-З-К5 (770000796580) </t>
  </si>
  <si>
    <t>00282-24</t>
  </si>
  <si>
    <t>№ ХНТ-20/10110/967/Р/60/ГЕО-20/10110/00198/Р</t>
  </si>
  <si>
    <t>ДС №9 к Договору №ХНТ-20/10110/967/Р/60/ГЕО-20/10110/00198/Р от 06.10.2020 г.</t>
  </si>
  <si>
    <t>Увеличение размера материальной мотивации с одновременным уменьшением объема невостребованных ставок негарантированного объема, без увеличения стоимости договора</t>
  </si>
  <si>
    <t>00283-22</t>
  </si>
  <si>
    <t>Дополнительное соглашение №2 к Договору ГЕО-21/10430/00237/Р от 25.10.2021</t>
  </si>
  <si>
    <t xml:space="preserve">О заключении ДС №1 к Договору ГЕО-21/10430/00237/Р от 25.10.2021, предусматривающего изменение сроков оплаты на 14 календарных дней_x000D_
_x000D_
</t>
  </si>
  <si>
    <t>00283-23</t>
  </si>
  <si>
    <t>ДОПОЛНИТЕЛЬНОЕ СОГЛАШЕНИЕ № 5 к договору от 03.08.2022 № ГЕО-22/10402/00187/Р с Геолад-СТ</t>
  </si>
  <si>
    <t>включение в Приложение №3.1. «Таблицы ставок по договору» дополнительной ставки в 2023г. «Ставка технологического дежурства (по техническим причинам) 90% от стоимости бригадо-часа».</t>
  </si>
  <si>
    <t>00283-24</t>
  </si>
  <si>
    <t>ДС№2 к №ГЕО-23/10000/00035/Р от 10.02.2023г. с БурСервис, ООО</t>
  </si>
  <si>
    <t>00284-22</t>
  </si>
  <si>
    <t>Дополнительное соглашение №1 к Договору ГЕО-21/10301/00261/Р от 08.11.2021</t>
  </si>
  <si>
    <t xml:space="preserve">О заключении ДС №1 к Договору ГЕО-21/10301/00261/Р от 08.11.2021, предусматривающего изменение сроков оплаты на 14 календарных дней_x000D_
_x000D_
</t>
  </si>
  <si>
    <t>00284-23</t>
  </si>
  <si>
    <t>ДС-3 к договору № ГЕО-22/09000/00287/Р от 03.11.2022 г</t>
  </si>
  <si>
    <t xml:space="preserve">С целью мониторинга и оперативного реагирования на сложившуюся ситуацию в пожароопасный период 2023 года возникла необходимость в обеспечении усиления принимаемых мер на охраняемых объектах Оморинского ЛУ путем увеличения вахтового персонала ЧОП «СОБР» на 2 человека (с оружием и боеприпасами) в вахту для каждого КПП Оморинского ЛУ (итого 4 человека на два КПП) </t>
  </si>
  <si>
    <t>00284-24</t>
  </si>
  <si>
    <t>ГЕО-24/26000/00087</t>
  </si>
  <si>
    <t>00286-22</t>
  </si>
  <si>
    <t>Дополнительное соглашение №1 к Договору ГЕО-21/10318/00258/Р от 08.11.2021</t>
  </si>
  <si>
    <t xml:space="preserve">О заключении ДС №1 к Договору ГЕО-21/10318/00258/Р от 08.11.2021, предусматривающего изменение сроков оплаты на 14 календарных дней_x000D_
_x000D_
</t>
  </si>
  <si>
    <t>00286-23</t>
  </si>
  <si>
    <t>Изменение №1 к Заявке на оказание услуг №1 к Договору №ГЕО-23/10150/00017/Р от «10» января 2023 г.</t>
  </si>
  <si>
    <t>Корректировка выданных ранее объемов в связи с изменением производственной программы</t>
  </si>
  <si>
    <t>00286-24</t>
  </si>
  <si>
    <t>Заказ-Наряд №2 к Договору ГЕО-24/10000/00053/Р от 18.03.2024 г.</t>
  </si>
  <si>
    <t>Создание единой сейсмогеологической модели на основе объединенной полноазимутальной обработки материалов полевых сейсморазведочных работ сезонов 2018-2021 годов на Центрально- Ямбургской площади и 2021-2023 годов на Восточно-Ямбургском участке в объеме 3420 км.кв» часть 2</t>
  </si>
  <si>
    <t>00287-22</t>
  </si>
  <si>
    <t xml:space="preserve">ДС №1 к Договору №ГЕО-21/11104/00291/Р от 24.12.2021 г. на оказание авиационных услуг с использованием вертолетов </t>
  </si>
  <si>
    <t>00287-23</t>
  </si>
  <si>
    <t>ГЕО-23/09000/00105/Р</t>
  </si>
  <si>
    <t>подключение к приложению ГИД</t>
  </si>
  <si>
    <t>ООО "Оператор Газпром ИД"</t>
  </si>
  <si>
    <t>00287-24</t>
  </si>
  <si>
    <t>ГЕО-22/11104/00265/Р</t>
  </si>
  <si>
    <t>ДС 4 к №ГЕО-22/11104/00265/Р от 15.10.2022г. с Авиакомпания Конверс Авиа, АО</t>
  </si>
  <si>
    <t xml:space="preserve">АО Авиакомпания Конверс Авиа </t>
  </si>
  <si>
    <t>00288-22</t>
  </si>
  <si>
    <t xml:space="preserve"> ГЕО-19/11708/00134/Р</t>
  </si>
  <si>
    <t>Дополнительное соглашение к Рамочному договору</t>
  </si>
  <si>
    <t>Изменение срока оплаты</t>
  </si>
  <si>
    <t>00288-23</t>
  </si>
  <si>
    <t xml:space="preserve">ДС №2 на изменение реквизитов контрагента </t>
  </si>
  <si>
    <t xml:space="preserve">Внесение изменений в банковские реквизиты Исполнителя раздел 20 договора "Реквизиты и подписи сторон" </t>
  </si>
  <si>
    <t>00288-24</t>
  </si>
  <si>
    <t>Экспертно-методическое сопровождение работ по отбору проб пластовых флюидов под давлением</t>
  </si>
  <si>
    <t>Выполнение услуг по экспертно-методическому сопровождению работ по отбору проб пластовых флюидов под давлением</t>
  </si>
  <si>
    <t>ООО "Газпромнефть-Пальян"</t>
  </si>
  <si>
    <t>00289-22</t>
  </si>
  <si>
    <t>Сервис по управлению геолого-геофизическими и геолого-промысловыми данными по проектам ООО «Газпромнефть-ГЕО»</t>
  </si>
  <si>
    <t>НТЦ-03007-21Д-ГЕО</t>
  </si>
  <si>
    <t>Сопровождение информационных систем и баз данных сейсморазведочных работ</t>
  </si>
  <si>
    <t>00289-23</t>
  </si>
  <si>
    <t>№ГЕО-21 /11031 /00040/Р</t>
  </si>
  <si>
    <t>ДС №9 к Договору № ГЕО-21/11031/00040/Р от 01.03.2023г.</t>
  </si>
  <si>
    <t>Продление срока выполнения работ, срока действия договора без изменения общей стоимости по Договору (с корректировкой ранее выданного Наряд-заказа), а также дополнение Договора Приложением №16 «Оценочный лист эффективности деятельности контрагента».</t>
  </si>
  <si>
    <t>00289-24</t>
  </si>
  <si>
    <t>О исключении банковского сопровождения</t>
  </si>
  <si>
    <t xml:space="preserve">Исключить Банковское сопровождение из Договора </t>
  </si>
  <si>
    <t>00290-22</t>
  </si>
  <si>
    <t>Дополнительное соглашение о перераспределении гарантированного и негарантированного объема</t>
  </si>
  <si>
    <t>- перевод части гарантированного объема в негарантированный_x000D_
- ввод новой ставки (расценки) за промежуточное решение по услугам связи</t>
  </si>
  <si>
    <t>00290-23</t>
  </si>
  <si>
    <t xml:space="preserve">Наряд-заказ №7 на оказание услуг по Договору № ГЕО-21/10114/00257/Р от 22.11.2021г. </t>
  </si>
  <si>
    <t>Оказание услуг по супервайзерскому контролю технологии полевых сейсморазведочных работ на Ягодном лицензионном участке.</t>
  </si>
  <si>
    <t>00290-24</t>
  </si>
  <si>
    <t>ДС № 8 к договору на оказание услуг по испытанию геологоразведочных скважин № ГЕО-22/10000/00065/Р от 31.03.2022 г.</t>
  </si>
  <si>
    <t xml:space="preserve">Об исключении банковского сопровождения </t>
  </si>
  <si>
    <t>00291-22</t>
  </si>
  <si>
    <t>№ ГЕО-19/09000/00180/Р от 05.08.2019г. на оказание охранных услуг</t>
  </si>
  <si>
    <t>00291-23</t>
  </si>
  <si>
    <t>ГЕО-22/25000/00302/Р</t>
  </si>
  <si>
    <t>Соглашение о расторжении Договора возмездного оказания услуг № ГЕО-22/25000/00302/Р от 23.11.2022 г.</t>
  </si>
  <si>
    <t>0000107705</t>
  </si>
  <si>
    <t xml:space="preserve">Аршинина Мария Николаевна </t>
  </si>
  <si>
    <t>470517442466</t>
  </si>
  <si>
    <t>00291-24</t>
  </si>
  <si>
    <t>ГЕО-23/17000/00231/Р</t>
  </si>
  <si>
    <t>Дополнительное соглашение №1 к договору страхования от несчастных случаев и болезней 0624 LA 000079/ГЕО-23/17000/00231/Р от «29» декабря 2023 г</t>
  </si>
  <si>
    <t>Пересмотр численности застрахованных лиц по договору, в связи приемом новых сотрудников и увольнением сотрудников ООО "ГПН-ГЕО"</t>
  </si>
  <si>
    <t>00292-22</t>
  </si>
  <si>
    <t>№ ГЕО-20/09000/00050/Р от 31.03.2020г.</t>
  </si>
  <si>
    <t>00292-23</t>
  </si>
  <si>
    <t xml:space="preserve">Соглашение о безопасном использовании информационных систем_x000D_
</t>
  </si>
  <si>
    <t>00293-21</t>
  </si>
  <si>
    <t>ГЕО-20/09000/00093/Д</t>
  </si>
  <si>
    <t>ДС №1 к договору об оказании услуг</t>
  </si>
  <si>
    <t>Изменение стоиости договора</t>
  </si>
  <si>
    <t>Мусолов С.Н.</t>
  </si>
  <si>
    <t>00293-22</t>
  </si>
  <si>
    <t>№ ГЕО-21/09000/00250/Р от 08.11.2021г.</t>
  </si>
  <si>
    <t>00293-23</t>
  </si>
  <si>
    <t>ГЕО-23/33400/00095</t>
  </si>
  <si>
    <t>Предоставление доступа к автоматизированной информационной системе «СУДИР» (далее – «СУДИР»)</t>
  </si>
  <si>
    <t>00294-22</t>
  </si>
  <si>
    <t xml:space="preserve">ГЕО-22/11029/00004/Р </t>
  </si>
  <si>
    <t>Дополнительное соглашение (ДС) №2  к договору, содержащее условия применения усиленной квалифицированной электронной подписи (УКЭП) при подписании ДД (ЭД в части ДД)</t>
  </si>
  <si>
    <t>00294-23</t>
  </si>
  <si>
    <t>Изменение №1 к Наряд-заказу на производство работ №1 к Договору №ГЕО-22/10120/00208/Р от «18» августа 2022г.</t>
  </si>
  <si>
    <t xml:space="preserve">Корректировка ранее выданных объемов в связи с изменением производственной программы </t>
  </si>
  <si>
    <t>00295-21</t>
  </si>
  <si>
    <t>ГЕО-21/00000/00139</t>
  </si>
  <si>
    <t>0000074858</t>
  </si>
  <si>
    <t xml:space="preserve">ООО АВТОДЕЛЮКС </t>
  </si>
  <si>
    <t>5609097622</t>
  </si>
  <si>
    <t>00295-22</t>
  </si>
  <si>
    <t>ГЕО-22/01200/00095/Р</t>
  </si>
  <si>
    <t>Договор поставки кспресс - тестов на COVID 19 GeneFinder 25 000 штук</t>
  </si>
  <si>
    <t>Поставка экспресс - тестов на COVID 19 GeneFinder 25 000 штук</t>
  </si>
  <si>
    <t>10%</t>
  </si>
  <si>
    <t>00295-23</t>
  </si>
  <si>
    <t>Дополнительное соглашение к действующему договору</t>
  </si>
  <si>
    <t>Увеличение объема работ и продление сроков действия</t>
  </si>
  <si>
    <t>00296-23</t>
  </si>
  <si>
    <t>Наряд - заказ № 7 к ДОГОВОРУ № ГЕО-22/10000/00144/Р от 27.06.2022г.</t>
  </si>
  <si>
    <t>оказание услуг в области пожарной безопасности по проекту «Южный Оренбург» (Западно - Рубежинского ЛУ; скважина № 401).</t>
  </si>
  <si>
    <t>00297-21</t>
  </si>
  <si>
    <t>ГЕО-19/10187/00123/Р от «30» мая 2019 г.</t>
  </si>
  <si>
    <t>ДС №6 к Договору № ГЕО-19/10187/00123/Р от «30» мая 2019 г.</t>
  </si>
  <si>
    <t>Перевод негарантированного объема в гарантированный</t>
  </si>
  <si>
    <t>Оценка ресурсов участков, планируемых к лицензированию</t>
  </si>
  <si>
    <t>00297-23</t>
  </si>
  <si>
    <t>Наряд-Заказ № 8 к ДОГОВОРУ № ГЕО-22/10000/00144/Р от 27.06.2022г.</t>
  </si>
  <si>
    <t>оказание услуг в области пожарной безопасности по проекту «Чона» (ОПО «Нефтеналив»).</t>
  </si>
  <si>
    <t>00297-24</t>
  </si>
  <si>
    <t>Заявка № 17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</si>
  <si>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проекте «Южный Оренбург», скв. № 401, Западно-Рубежинский ЛУ.</t>
  </si>
  <si>
    <t>00298-22</t>
  </si>
  <si>
    <t xml:space="preserve">ГЕО-20/11014/00070/Р </t>
  </si>
  <si>
    <t xml:space="preserve">подписание усиленной квалифицированной электронной подписью документов </t>
  </si>
  <si>
    <t>00298-23</t>
  </si>
  <si>
    <t>Дополнительное соглашение №5 с ТКШ</t>
  </si>
  <si>
    <t xml:space="preserve">Раскрытие ГО, перераспределение объемов, пролонгация на 2024 </t>
  </si>
  <si>
    <t>00298-24</t>
  </si>
  <si>
    <t xml:space="preserve">ЗН №17 к Договору № ГЕО-19/11708/00134/Р от «25» июня 2019 г. </t>
  </si>
  <si>
    <t>Выполнение обработки сейсморазведочных данных МОГТ 3Д в пределах Западно-Усть-Балыкского ЛУ для исполнения обязательств перед СН-МНГ</t>
  </si>
  <si>
    <t>00299-21</t>
  </si>
  <si>
    <t>ГЕО-19/10187/00123/Р</t>
  </si>
  <si>
    <t>Заказ №14 к к Договору № ГЕО-19/10187/00123/Р от «30» мая 2019 г.</t>
  </si>
  <si>
    <t xml:space="preserve"> Заказ №14</t>
  </si>
  <si>
    <t>Разработка проектов ГИН</t>
  </si>
  <si>
    <t>00299-23</t>
  </si>
  <si>
    <t xml:space="preserve">Дополнительное соглашение № 11 к Договору № ОРН-18/10303/03693/Р от 20.12.2018г. </t>
  </si>
  <si>
    <t>Перераспределение работ по договору без изменения объема работ и стоимости по Договору</t>
  </si>
  <si>
    <t>00299-24</t>
  </si>
  <si>
    <t>Наряд-заказ № 7 к по Договору № ГЕО-21/09000/00198/Р от 06.09.2021 г.</t>
  </si>
  <si>
    <t>00300-21</t>
  </si>
  <si>
    <t>Заказ №15 к к Договору № ГЕО-19/10187/00123/Р от «30» мая 2019 г.</t>
  </si>
  <si>
    <t xml:space="preserve"> Заказ №15</t>
  </si>
  <si>
    <t>Оказание услуг по информационно-аналитическому и практическому ведению недропользования</t>
  </si>
  <si>
    <t>00300-22</t>
  </si>
  <si>
    <t>ДОГОВОР (ПОЛИС)  № 20 DR 077 СТРАХОВАНИЯ  РИСКОВ ПРИ РАЗВЕДКЕ И РАЗРАБОТКЕ МЕСТОРОЖДЕНИЙ</t>
  </si>
  <si>
    <t>Страхование риска дополнительных (непредвиденных) расходов оператора, связанных с выходом скважины из-под контроля (расходы  на возврат скважины под контроль, перебуривание, загрязнение и возможные претензии третьих лиц, связанные с ним)</t>
  </si>
  <si>
    <t>00300-23</t>
  </si>
  <si>
    <t xml:space="preserve">ГЕО-20/11019/00045/Р </t>
  </si>
  <si>
    <t xml:space="preserve">ДС№5 к Д ГЕО-201101900045Р </t>
  </si>
  <si>
    <t>Изменение банковских реквизитов</t>
  </si>
  <si>
    <t>00300-24</t>
  </si>
  <si>
    <t>Наряд-задание № 7 к договору ГЕО-19/09000/00303/Р от 15.11.2019</t>
  </si>
  <si>
    <t>Организации и содержанию медицинского здравпункта в Сибирском федеральном округе, проект «Южный Ямал» при проведении полевых сейсморазведочных работ</t>
  </si>
  <si>
    <t>00301-21</t>
  </si>
  <si>
    <t>Заказ №16 к к Договору № ГЕО-19/10187/00123/Р от «30» мая 2019 г.</t>
  </si>
  <si>
    <t xml:space="preserve"> Заказ №16</t>
  </si>
  <si>
    <t>00301-23</t>
  </si>
  <si>
    <t>НАРЯД-ЗАКАЗ № 2 ООО «Уралгеопроект» к договору ГЕО-22/11000/00267/Р от 10.10.2022</t>
  </si>
  <si>
    <t>ЗК № 2 к Д № ГЕО-22/11000/00267/Р</t>
  </si>
  <si>
    <t>НАРЯД-ЗАКАЗ № 2 с ООО «Уралгеопроект». Выполнению инженерных изысканий для нужд ООО «ГПН-ГЕО».</t>
  </si>
  <si>
    <t>00301-24</t>
  </si>
  <si>
    <t>Наряд-заказ №9 к ДОГОВОРУ № ГЕО-22/11000/00274/Р от 14.10.2022 г.</t>
  </si>
  <si>
    <t>00302-21</t>
  </si>
  <si>
    <t>НТЦ-01097-21Д</t>
  </si>
  <si>
    <t xml:space="preserve">Информационно-консультационные услуги в формате вебинара по теме: _x000D_
«Методы ГИС и петрофизика», 15.06.2021-17.06.2021, Грановский А.М._x000D_
</t>
  </si>
  <si>
    <t>00302-22</t>
  </si>
  <si>
    <t>ГЕО-22/33200/00082</t>
  </si>
  <si>
    <t>00302-24</t>
  </si>
  <si>
    <t>Заказ-Наряд №3 к Договору ГЕО-24/10000/00053/Р от 18.03.2024 г.</t>
  </si>
  <si>
    <t>Научно-исследовательские работы по оценке перспективности действующих участков с целью доизучения в периметре территории деятельности АО «Газпромнефть ННГ»</t>
  </si>
  <si>
    <t>00303-22</t>
  </si>
  <si>
    <t>№ ГЕО-18/00000/00071/Р от 25.12.2018г.</t>
  </si>
  <si>
    <t>00303-23</t>
  </si>
  <si>
    <t xml:space="preserve">ГЕО-20/11014/00070/Р  </t>
  </si>
  <si>
    <t>ДОПОЛНИТЕЛЬНОЕ СОГЛАШЕНИЕ №3 к договору   № ГЕО-20/11014/00070/Р  от « 06 » мая 2020г.</t>
  </si>
  <si>
    <t>ДС заключается в соответствии с п.2.14 КТ-530 и п.1 решения Протокола СГ БРД ПАО «Газпром нефть» сектор Капитальное строительство №ПТ-601.0076/0000008 от 06.04.2023г.</t>
  </si>
  <si>
    <t>00303-24</t>
  </si>
  <si>
    <t>ГЕО-22/01200/00328/Р</t>
  </si>
  <si>
    <t>Спецификация №2 к Договору № ГЕО-22/01200/00328/Р</t>
  </si>
  <si>
    <t>Реализация трубы 530х8 В-09Г2С-12 (770000241487) в количестве 35 м. из ООО "Гыдан Энерджи" в ООО "ГПН-ГЕО" для проекта "Южный Оренбург"</t>
  </si>
  <si>
    <t>Разгоняев И.А.</t>
  </si>
  <si>
    <t>00304-21</t>
  </si>
  <si>
    <t>№ НТЦ-20/09000/00114/Д-ГЕО от «02» декабря 2020г.</t>
  </si>
  <si>
    <t>№ НТЦ-18/29000/01344/Д-ГЕО-18/11602/00075/Р от «29» декабря 2018г.</t>
  </si>
  <si>
    <t>ДОПОЛНИТЕЛЬНОЕ СОГЛАШЕНИЕ №2</t>
  </si>
  <si>
    <t>ДС №2 к заказу НТЦ-20/09000/00114/Д-ГЕО</t>
  </si>
  <si>
    <t>Пролонгация на один месяц</t>
  </si>
  <si>
    <t>НТЦ</t>
  </si>
  <si>
    <t>Разработка технической, нормативной и методической документации</t>
  </si>
  <si>
    <t>00304-23</t>
  </si>
  <si>
    <t xml:space="preserve">№ ГЕО-21/11031/00101/Р </t>
  </si>
  <si>
    <t xml:space="preserve"> Дополнительное соглашение №6 «Экосистема БРД»</t>
  </si>
  <si>
    <t>«ДС заключается в соответствии с п.2.14 КТ-530 и п.1 решения Протокола СГ БРД ПАО «Газпром нефть» сектор Капитальное строительство №ПТ-601.0076/0000008 от 06.04.2023г.</t>
  </si>
  <si>
    <t>00304-24</t>
  </si>
  <si>
    <t>ГЕО-24/09000/00090/Р</t>
  </si>
  <si>
    <t>Пользовательское соглашение</t>
  </si>
  <si>
    <t>Доступ к закупочным процедурам, публикуемым на «Центр электронных торгов B2B-Center», представляемой единственным владельцем АО «Центр развития экономики» сроком на 1 календарный год</t>
  </si>
  <si>
    <t>Герасимова А.Е.</t>
  </si>
  <si>
    <t>0000073189</t>
  </si>
  <si>
    <t xml:space="preserve">АО ЦРЭ </t>
  </si>
  <si>
    <t>5034031535</t>
  </si>
  <si>
    <t>00305-21</t>
  </si>
  <si>
    <t>ГЕО-21/25000/00136/Р</t>
  </si>
  <si>
    <t>0000086607</t>
  </si>
  <si>
    <t xml:space="preserve">Петушкова Виктория Евгеньевна </t>
  </si>
  <si>
    <t>891105381410</t>
  </si>
  <si>
    <t>00305-22</t>
  </si>
  <si>
    <t>НЗ-13 Обоснование и увязка концептуальной сейсмогеологической модели объединенной съемки Солнечного, Корнаваринского, Надеждинского, Западно-Рубежинского лицензионных участков с южным обрамлением Рубежинского прогиба</t>
  </si>
  <si>
    <t>• Формирование седиментологической модели среднедевонско-артинского осадочного комплекса</t>
  </si>
  <si>
    <t>00305-23</t>
  </si>
  <si>
    <t>Дополнительное соглашение №2 к договору № ГЕО-22/11000/00274 от «14» октября 2022г.</t>
  </si>
  <si>
    <t>Изменение условий договора в соответствии с п.2.14 КТ-530 и п.1 решения Протокола СГ БРД ПАО "Газпром нефть" сектор Капитальное строительство № ПТ-601.0076/0000008 от 06.04.2023г.</t>
  </si>
  <si>
    <t>00305-24</t>
  </si>
  <si>
    <t>ГЕО-24/09000/00089/Р</t>
  </si>
  <si>
    <t>Пользовательское соглашение о работе на электронной площадке АО «ТЭК-Торг» в Секции «Закупочные процедуры ПАО «НК «Роснефть»</t>
  </si>
  <si>
    <t>Доступ к закупочным процедурам, публикуемым на «Электронная торговая площадка «ТЭК-Торг», представляемой единственным владельцем АО «ТЭК-Торг» сроком на 1 календарный год</t>
  </si>
  <si>
    <t>0000072023</t>
  </si>
  <si>
    <t xml:space="preserve">АО ТЭК-Торг </t>
  </si>
  <si>
    <t>7704824695</t>
  </si>
  <si>
    <t>199 000,00</t>
  </si>
  <si>
    <t>00306-22</t>
  </si>
  <si>
    <t>ГЕО-22/24000/00085</t>
  </si>
  <si>
    <t>Соглашение о предоставлении демо версии Кибер ГРП</t>
  </si>
  <si>
    <t>Тестирование нового програмного обеспечения в области моделирования ГРП</t>
  </si>
  <si>
    <t>00306-23</t>
  </si>
  <si>
    <t>ДС №2. Экосистема БРД к Договору №ГЕО-22/11000/00267/Р от 10.10.2022</t>
  </si>
  <si>
    <t>Изменения в ДД. Экосистема БРД</t>
  </si>
  <si>
    <t>Эзбин Н.В.</t>
  </si>
  <si>
    <t>00306-24</t>
  </si>
  <si>
    <t>ЗК № 15 к Д № ГЕО-19/11708/00134/Р</t>
  </si>
  <si>
    <t>ДС 1 к ЗК 15 к Договору № ГЕО-19/11708/00134/Р от «25» июня 2019 г.</t>
  </si>
  <si>
    <t>Увеличение объемов выполнения работ по комплексной интерпретации сейсморазведочных данных МОГТ-3D и МОГТ-2D в пределах Северо-Самбургского и прилегающих участках, полученных в 1980-2018 гг для исполнения обязательств перед Меретояханефтегаз</t>
  </si>
  <si>
    <t>00307-23</t>
  </si>
  <si>
    <t>НЗ №3 к договору № ГЕО-22/11000/00274/Р от 14.10.2022 г.</t>
  </si>
  <si>
    <t>Выполнение проектных работ по объекту проектирования "Строительство поисково-оценочной скважины №3ПО Северо-Ямбургского лицензионного участка"</t>
  </si>
  <si>
    <t>00307-24</t>
  </si>
  <si>
    <t>ГЕО-24/33400/00088</t>
  </si>
  <si>
    <t>Соглашение СУДИР (ООО "Геологгинг")</t>
  </si>
  <si>
    <t>Чернов И.В.</t>
  </si>
  <si>
    <t>00308-22</t>
  </si>
  <si>
    <t>Дополнительное соглашение №1 к Договору ГЕО-21/10303/00204/Р от 08.09.2021</t>
  </si>
  <si>
    <t>О заключении ДС №1 к Договору ГЕО-21/10303/00204/Р от 08.09.2021, предусматривающего индексацию ставок по химическим реагентам</t>
  </si>
  <si>
    <t>00308-23</t>
  </si>
  <si>
    <t>ГЕО-23/40000/00097/Р</t>
  </si>
  <si>
    <t>Соглашение о возмещении убытков сельскохозяйственного производства, в т.ч. упущенной выгоды при временном занятии земельного участка</t>
  </si>
  <si>
    <t>возмещение убытков сельскохозяйственного производства при временном занятии части земельного участка для проезда к скважине № 401ПО Западно-Рубежинского лицензионного участка</t>
  </si>
  <si>
    <t>00308-24</t>
  </si>
  <si>
    <t>ДОПОЛНИТЕЛЬНОЕ СОГЛАШЕНИЕ №1 к Договору №ГЕО-24-09000-00051-Р  ГТС</t>
  </si>
  <si>
    <t>включение корректного ОЛ и доп.условий по БС (*административные изменения)</t>
  </si>
  <si>
    <t>00309-22</t>
  </si>
  <si>
    <t>Дополнительное соглашение №6 к Договору № ОРН-20/10204/00210/Р от 14.02.2020г.</t>
  </si>
  <si>
    <t xml:space="preserve">О заключении ДС №6 к договору № ОРН-20/10204/00210/Р от 14.02.2020г. (на основании Соглашения о перемене лиц в обязательстве № ГЕО-21/10208/00166/Р от 20.07.2021) между ООО «ГПН-ГЕО» и ООО «НСХ АЗИЯ ДРИЛЛИНГ», предусматривающего:_x000D_
_x000D_
- Индексацию ставок на 7% в соответствии с Протоколом ЭС БРД от 15.03.2022._x000D_
_x000D_
</t>
  </si>
  <si>
    <t>00309-23</t>
  </si>
  <si>
    <t>ГЕО-23/09000/00119/Р</t>
  </si>
  <si>
    <t>приобретение доступа к ИС ГРАНД-Смета</t>
  </si>
  <si>
    <t>0000062101</t>
  </si>
  <si>
    <t xml:space="preserve">ООО ГРАНД-Смета СПб </t>
  </si>
  <si>
    <t>7840475620</t>
  </si>
  <si>
    <t>130 900,00</t>
  </si>
  <si>
    <t>00309-24</t>
  </si>
  <si>
    <t>Спецификация №3 к Договору № ГЕО-22/01200/00328/Р</t>
  </si>
  <si>
    <t>Реализация имущества АХН в количестве 5 шт. из ООО "Гыдан Энерджи" в ООО "ГПН-ГЕО" для использования сотрудниками в офисе</t>
  </si>
  <si>
    <t>00310-22</t>
  </si>
  <si>
    <t>00311-22</t>
  </si>
  <si>
    <t>ДС № 2 к договору ГЕО-21/10110/00217/Р</t>
  </si>
  <si>
    <t>Уточнение статьи исключения ВЛС, корректировак сроков оплаты на 30 к.д., добавление условий гостайны</t>
  </si>
  <si>
    <t>00311-23</t>
  </si>
  <si>
    <t>ГЕО-22/20000/00100/Д</t>
  </si>
  <si>
    <t>ДС 2 к ГЕО-22/20000/00100/Д с АО «ПГО «Тюменьпромгеофизика»</t>
  </si>
  <si>
    <t>00311-24</t>
  </si>
  <si>
    <t>Изменение №1 к Заявке № 15 к Договору № ГЕО-23/09000/00149/Р от 28.08.2023 г.</t>
  </si>
  <si>
    <t>1.	Изложить раздел 1, Заявки № 15 к Договору № ГЕО-23/09000/00149/Р от 28.08.2023 г. в части Ф.И.О. работника в следующей редакции:
- Шигапов Ринат Камильевич.
- Немолочнов Михаил Сергеевич.</t>
  </si>
  <si>
    <t>00312-22</t>
  </si>
  <si>
    <t>Дополнительное соглашение №4 к Договору № ГЕО-21/11031/00101/Р от 25.03.2021 года</t>
  </si>
  <si>
    <t>00312-23</t>
  </si>
  <si>
    <t>ГЕО-23/26000/00098</t>
  </si>
  <si>
    <t>Соглашение о конфиденциальности для оформления договорных отношений между ООО "ГПН-ГЕО" и МКООО "Газпром интернэшнл лимитед" по форме КА</t>
  </si>
  <si>
    <t>Гареев Р.Д.</t>
  </si>
  <si>
    <t>МКООО «ГАЗПРОМ ИНТЕРНЭШНЛ ЛИМИТЕД»</t>
  </si>
  <si>
    <t>00313-22</t>
  </si>
  <si>
    <t>ГЕО-20/11708/00047/Р//НТЦ-20/08000/00383/Д-ГЕО</t>
  </si>
  <si>
    <t>Заказ НТЦ-00715-22Д-ГЕО</t>
  </si>
  <si>
    <t>НТЦ-00715-22Д-ГЕО</t>
  </si>
  <si>
    <t>Инжиниринговое сопровождение по крупному проекту ГРР «Толедо» м/р им. Эрвье</t>
  </si>
  <si>
    <t>00313-23</t>
  </si>
  <si>
    <t>ДС №5 к Договору №ГЕО-22/10000/00053/Р от 14.03.2022 г.</t>
  </si>
  <si>
    <t>Перевод НГО в ГО, продление срока выполнения работ/действия договора.</t>
  </si>
  <si>
    <t>00313-24</t>
  </si>
  <si>
    <t xml:space="preserve">ДС №2 к Договору №MOS/23/0080/ГЕО-23/10000/00202/Д от «06» декабря 2023 года </t>
  </si>
  <si>
    <t>Доходный договор.
1. Перевод мотивации по ПБ за полевые ЭРР сезон 23-24 из НГО в ГО.
2. Актуализация расчета стоимости в соответствии с производственной программой.
3. Изменение единицы измерения по услугам супервайзинга (этап вместо суток).
4. Включение новой расценки "Организация медицинской деятельности".
5. Актуализация условий приемки работ (исключение необходимости предоставления отчета оператора).</t>
  </si>
  <si>
    <t>00314-22</t>
  </si>
  <si>
    <t xml:space="preserve"> ГЕО-19/10156/00057/Р</t>
  </si>
  <si>
    <t>Оценка влияния технологических жидкостей на фильтрационные характеристики образцов керна</t>
  </si>
  <si>
    <t>2/22-057</t>
  </si>
  <si>
    <t>выполнить ряд фильтрационных экспериментов для оценки степени изменения ФЕС в зависимости от различных вариантов систем жидкостей ГРП и последующего освоения</t>
  </si>
  <si>
    <t>00314-23</t>
  </si>
  <si>
    <t xml:space="preserve">Наряд-заказ №2 на оказание услуг по Договору № ГЕО-22/10000/00053/Р от 14.03.2022 г. </t>
  </si>
  <si>
    <t xml:space="preserve">Выполенение работ по перебуриванию скважины 1ПО на Северо-Ямбургском ЛУ </t>
  </si>
  <si>
    <t>00314-24</t>
  </si>
  <si>
    <t>Изменение №3 к Заявке № 5 к договору № ГЕО-23/09000/00149/Р от «28» августа 2023 г.</t>
  </si>
  <si>
    <t>1.	Изложить раздел 1 Заявки № 5 к договору о предоставлении труда работников (персонала) № ГЕО-23/09000/00149/Р от 28.08.2023 г. в части Ф.И.О. работника в следующей редакции:
- Чинчикеев Аржан Николаевич (привлечение с 30.10.2023 г. по 31.08.2024 г.)
- Теребихин Дмитрий Николаевич (привлечение с 18.12.2023 г. по 30.04.2024 г.)
- Байтимиров Амангельды Шимбулатович (привлечение с 01.06.2024 г. по 31.08.2024 г.)</t>
  </si>
  <si>
    <t>10552 Договор на оказание услуг по освоению скважин через сепарационную установку</t>
  </si>
  <si>
    <t>00315-22</t>
  </si>
  <si>
    <t>оказание услуг по освоению скважин через сепарационную установку</t>
  </si>
  <si>
    <t>Договор контрактации</t>
  </si>
  <si>
    <t>00315-23</t>
  </si>
  <si>
    <t>Дополнительное соглашение № 7 к Договору № ГЕО-21/08000/00296/Р от «28» декабря 2021 г.</t>
  </si>
  <si>
    <t xml:space="preserve">Перераспределение объемов. </t>
  </si>
  <si>
    <t>00315-24</t>
  </si>
  <si>
    <t xml:space="preserve">НЗ №1 к Договору №MOS/23/0080/ГЕО-23/10000/00202/Д от «06» декабря 2023 года </t>
  </si>
  <si>
    <t xml:space="preserve">Доходный Наряд-заказ. 
Выполнение СРР на Южно-Ямской пл. </t>
  </si>
  <si>
    <t>00316-22</t>
  </si>
  <si>
    <t>Внесение изменений в формулировки технического задания, предмет договора и сроки оплаты выполненных работ</t>
  </si>
  <si>
    <t>00316-23</t>
  </si>
  <si>
    <t>ГЕО-22/09000/00106/Р</t>
  </si>
  <si>
    <t>Дополнительное согласшение №3 к Договору №ГЕО-22/09000/00106/Р от 16.05.2022г.</t>
  </si>
  <si>
    <t>Перевод негарантированного объема работ в гарантированный</t>
  </si>
  <si>
    <t>0000104253</t>
  </si>
  <si>
    <t xml:space="preserve">ООО СТОК-АЭРО </t>
  </si>
  <si>
    <t>7813297921</t>
  </si>
  <si>
    <t>00316-24</t>
  </si>
  <si>
    <t xml:space="preserve">НЗ №2 к Договору №ГЕО-23/10318/00010/Р от 10.01.2023 г. с АО «Технологии ОФС» </t>
  </si>
  <si>
    <t>Для обеспечения работ по отбору керна на скв. Камовская КМ-4бис Оморинского ЛУ</t>
  </si>
  <si>
    <t>00317-22</t>
  </si>
  <si>
    <t>Хранение керна</t>
  </si>
  <si>
    <t>1/22-057</t>
  </si>
  <si>
    <t>Хранение керновых материалов по ООО "ГПН-ГЕО"</t>
  </si>
  <si>
    <t>00317-23</t>
  </si>
  <si>
    <t>Дополнительное соглашение №1 к Соглашению об установлении сервитута</t>
  </si>
  <si>
    <t>Продление срока действия сервитута на часть земельного участка с кадастровым номером 89:06:000000:53, на общую площадь 2,0337 га, для объекта «Площадка базы подрядных организаций и размещения строительных материалов на ПК0 автозимника на Северо-Ямбургский ЛУ»</t>
  </si>
  <si>
    <t>00317-24</t>
  </si>
  <si>
    <t>Изм№2 к  НЗ№4 к ДД №ГЕО-22/11029/00172/Р от 25.07.2022 (Камовская)</t>
  </si>
  <si>
    <t>00318-22</t>
  </si>
  <si>
    <t>ГЕО-22/20000/00088/Д</t>
  </si>
  <si>
    <t>00318-23</t>
  </si>
  <si>
    <t>ДС №1 к договору ГЕО-23/10000/00021/Р от 13.01.2023</t>
  </si>
  <si>
    <t xml:space="preserve">Дополнительное соглашение в рамках выплаты Материальной мотивации подрядных организаций </t>
  </si>
  <si>
    <t>00318-24</t>
  </si>
  <si>
    <t>ДС№5 к Договору №ГЕО-22/10000/00225/Р от 20.09.2022 (клин)</t>
  </si>
  <si>
    <t>Дополнительное соглашение №5 к Договору №ГЕО-22/10000/00225/Р от 20.09.2022 "на бурение геологоразведочных скважин по суточной ставке или фиксированной ставке (в т.ч. мобильными установками)". Камовская площадь. Вырезка "окна"/клин.</t>
  </si>
  <si>
    <t>00319-22</t>
  </si>
  <si>
    <t>ГЕО-22/10968/00008/Р</t>
  </si>
  <si>
    <t>включение в договор условий применения усиленной квалифицированной электронной подписи</t>
  </si>
  <si>
    <t>0000064736</t>
  </si>
  <si>
    <t xml:space="preserve">ООО ЭМТ </t>
  </si>
  <si>
    <t>6350007780</t>
  </si>
  <si>
    <t>00319-23</t>
  </si>
  <si>
    <t>ГЕО-22/10986/00341/Р</t>
  </si>
  <si>
    <t>Дополнительное соглашение №1 к Договору № ГЕО-22/10986/00341/Р от 30.12.2022 г.</t>
  </si>
  <si>
    <t>Перераспределение гарантированного объема, раскрытие негарантированного объёма работ в гарантированный</t>
  </si>
  <si>
    <t>00319-24</t>
  </si>
  <si>
    <t>ДС 16 к № ГЕО-21/10208/00166/Р от 20.07.2021</t>
  </si>
  <si>
    <t>Заключение ДС №16 к договору НСХ о раскрытии НГО 2024</t>
  </si>
  <si>
    <t>00320-23</t>
  </si>
  <si>
    <t>ГЕО-22/10000/00155/Р</t>
  </si>
  <si>
    <t>ЗАКАЗ № 1 к Договору №ГЕО-22/10000/00155/Р от 01.07.2022 г.</t>
  </si>
  <si>
    <t>Оказание услуг по проведению специальной оценки условий труда с проведением необходимых лабораторных измерений и составлением всей необходимой документации, предусматривающего перевод негарантированного объема услуг в гарантированный</t>
  </si>
  <si>
    <t>0000056566</t>
  </si>
  <si>
    <t>ООО ЭКОСТАНДАРТ Технические решен ия</t>
  </si>
  <si>
    <t>7709675951</t>
  </si>
  <si>
    <t>00320-24</t>
  </si>
  <si>
    <t>Дополнительное соглашение №2 к Договору №ГЕО-24/10000/00003/Р от 15.01.2024г.</t>
  </si>
  <si>
    <t xml:space="preserve">Перевод денежных средств из не гарантированного объема в гарантированный
</t>
  </si>
  <si>
    <t>00321-22</t>
  </si>
  <si>
    <t>00321-23</t>
  </si>
  <si>
    <t>ГЕО-23/09000/00103/Д</t>
  </si>
  <si>
    <t>Договор выполнения работ</t>
  </si>
  <si>
    <t>Оказание услуг по методическому сопровождению, разработке методических рекомендаций по применению малоглубинной сейсморазведки на участках работ.</t>
  </si>
  <si>
    <t>0000050778</t>
  </si>
  <si>
    <t xml:space="preserve">АК АЛРОСА (ПАО) </t>
  </si>
  <si>
    <t>1433000147</t>
  </si>
  <si>
    <t>00321-24</t>
  </si>
  <si>
    <t>Заявка № 18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</si>
  <si>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для проекта «Оморинский», Салаирская площадь, скважина СЛР-3.</t>
  </si>
  <si>
    <t>00322-23</t>
  </si>
  <si>
    <t>ГЕО-23/09000/00104/Р</t>
  </si>
  <si>
    <t>Договор на ШМР/ПНР для зоны коворкинга</t>
  </si>
  <si>
    <t>Шеф-монтажные работы и пусконаладочные работы для организации зоны коворкинга на 8 этаже БЦ СИНОП</t>
  </si>
  <si>
    <t>00322-24</t>
  </si>
  <si>
    <t>Заявка № 19 к договору о предоставлении труда работников (персонала) № ГЕО-23/09000/00149/Р от 28.08.2023 г.</t>
  </si>
  <si>
    <t>19</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</si>
  <si>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супервайзера по производственной безопасности для проекта «Оморинский», Салаирская площадь, скважина СЛР-3.</t>
  </si>
  <si>
    <t>00323-22</t>
  </si>
  <si>
    <t xml:space="preserve">Дополнительное соглашение №4 к договору добровольного медицинского срахования </t>
  </si>
  <si>
    <t>Изменение количества застрахованных</t>
  </si>
  <si>
    <t>00323-23</t>
  </si>
  <si>
    <t>НЗ №9 проект "Титан" Защита Югры, ООО</t>
  </si>
  <si>
    <t xml:space="preserve">Проление НЗ №1 проекта "Титан" к ДОГОВОРУ № ГЕО-22/10000/00144/Р от 27.06.2022г </t>
  </si>
  <si>
    <t>00323-24</t>
  </si>
  <si>
    <t>ДС №12 ВНИГНИ № ГЕО-21/08000/00296/Р от 28.12.2021</t>
  </si>
  <si>
    <t>00324-22</t>
  </si>
  <si>
    <t>ГЕО-22/20000/00089/Д</t>
  </si>
  <si>
    <t>Агентский договор на организацию вертолетных авиаперевозок с ООО «ТехГеоБур»</t>
  </si>
  <si>
    <t>ООО «ТехГеоБур»</t>
  </si>
  <si>
    <t>00324-23</t>
  </si>
  <si>
    <t>Дополнительное соглашение № 2 к договору добровольного медицинского страхования № 0622 LM 000043 от «01» апреля 2022 г.</t>
  </si>
  <si>
    <t>ПЕресмотр числености застрахованных лиц по договору, в связи приемом новых сотрудников и увольнением сотрудников ООО "ГПН-ГЕО", а также включение новой Прграммы "Комплексное медицинское обслуживание" Д</t>
  </si>
  <si>
    <t>00324-24</t>
  </si>
  <si>
    <t>ГЕО-24/08000/00098/Р</t>
  </si>
  <si>
    <t>Договор на оказание услуг по НИР</t>
  </si>
  <si>
    <t>Проведение региональных исследований перспектив нефтегазоносности, формирование рабочих сейсмогеологических проектов и информационных пакетов по проектам, расположенных в пределах Западно-Сибирской нефтегазовой провинции с целью реализации программы региональных НИР в рамках исполнения обязательств по доходному договору №ГПН-23/09000/01265/Р/ГЕО-Д/ВГС от 15.12.2023 г.</t>
  </si>
  <si>
    <t>0000074279</t>
  </si>
  <si>
    <t xml:space="preserve">ФАУ ЗапСибНИИГГ </t>
  </si>
  <si>
    <t>7203374117</t>
  </si>
  <si>
    <t>00325-22</t>
  </si>
  <si>
    <t>ГЕО-22/26000/00086</t>
  </si>
  <si>
    <t xml:space="preserve">Дунаев Эдуард Владимирович - Руководитель направления по бурению </t>
  </si>
  <si>
    <t>00325-23</t>
  </si>
  <si>
    <t>ГЕО-23/09100/00100</t>
  </si>
  <si>
    <t>Заключение договора с ФГБОУ "Тюменский индустриальный университет"</t>
  </si>
  <si>
    <t>Прохождение производственной практики студента</t>
  </si>
  <si>
    <t>Шохин А.Е.</t>
  </si>
  <si>
    <t>ФГБОУ "Тюменский индустриальный университет"</t>
  </si>
  <si>
    <t>00325-24</t>
  </si>
  <si>
    <t>ГЕО-24/27500/00095/Р</t>
  </si>
  <si>
    <t>Договор на поставку сертификатов технической поддержки ПО Кибер бэкап</t>
  </si>
  <si>
    <t>Поставка сертификатов технической поддержки ПО Кибер бэкап</t>
  </si>
  <si>
    <t>0000095835</t>
  </si>
  <si>
    <t xml:space="preserve">ООО АРБАЙТ </t>
  </si>
  <si>
    <t>7729076392</t>
  </si>
  <si>
    <t>00326-22</t>
  </si>
  <si>
    <t>ДС №1 к Договору № ГЕО-22/07100/00042/Р с ООО «Технологическая Компания Шлюмберже»</t>
  </si>
  <si>
    <t xml:space="preserve">Индексация расценок в соответствии с Протоколом ЭС БРД № ПТ-100.0364.0000021 от 15.03.2022 и дополнение условий об ответственности Заказчика </t>
  </si>
  <si>
    <t>00326-23</t>
  </si>
  <si>
    <t>НЗ № 9. Защита Югры, ООО к ДД № ГЕО-22/10000/00144/Р от 27.06.2022г.</t>
  </si>
  <si>
    <t>Продление действие предоставления услуг по проекту "Титан" до 31.12.2023</t>
  </si>
  <si>
    <t>00326-24</t>
  </si>
  <si>
    <t>ГЕО-24/33300/00091</t>
  </si>
  <si>
    <t>Осуществление обработки персональных данных сотрудники ООО «ГПН-ГЕО» в целях оказания услуг обучения по договору № ГЕО-24/09100/00071/Р от 08.04.2024 г.</t>
  </si>
  <si>
    <t>00327-23</t>
  </si>
  <si>
    <t>Дополнительное соглашение №1 к договору на оказание услуг подвижной спутниковой связи №ГЕО-22/09000/00025 от 15.02.2022г.</t>
  </si>
  <si>
    <t>Увеличение максимальной стоимости услуг по Договору без изменения срока действия.</t>
  </si>
  <si>
    <t>00327-24</t>
  </si>
  <si>
    <t>ГЕО-24/09000/00094/Р</t>
  </si>
  <si>
    <t xml:space="preserve">Договор независимой экспертизы  </t>
  </si>
  <si>
    <t>Независимая экспертиза результатов 5-го этапа работ «Объединенная переобработка сейсмических данных 3D/2D. Регуляризация подготовки к миграции, миграция, постмиграционная обработка»» выполненных в рамках Заказ-Наряд №1 от «19» апреля 2024 г. «Создание единой программы воспроизводства минерально-сырьевой базы Нерутинской зоны (Часть»2)», к договору № ГЕО-24/10000/00053/Р от 18.03.2024. г.</t>
  </si>
  <si>
    <t>0000116313</t>
  </si>
  <si>
    <t xml:space="preserve">ИП Хромова Инга Юрьевна </t>
  </si>
  <si>
    <t>772772416385</t>
  </si>
  <si>
    <t>00328-22</t>
  </si>
  <si>
    <t>ГЕО-21/101108/00193/Р</t>
  </si>
  <si>
    <t>Дополнительное соглашение №1 к договору № ГЕО-21/101108/00193/Р от 16.07.2021 г.</t>
  </si>
  <si>
    <t>Заключение дополнительного соглашения для перевода негарантированного объема в гарантированный</t>
  </si>
  <si>
    <t>00328-23</t>
  </si>
  <si>
    <t>Изм №3 в Наряд-заказ №1 ...172 СТС,ООО</t>
  </si>
  <si>
    <t>изменения №3 к Наряд-заказу №1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t>
  </si>
  <si>
    <t>00328-24</t>
  </si>
  <si>
    <t>ГЕО-24/26000/00092</t>
  </si>
  <si>
    <t>Колоколов С.В.</t>
  </si>
  <si>
    <t>0000062699</t>
  </si>
  <si>
    <t xml:space="preserve">ООО ГПБ - факторинг </t>
  </si>
  <si>
    <t>7727712331</t>
  </si>
  <si>
    <t>00329-23</t>
  </si>
  <si>
    <t>Изм №2 в Наряд-заказ №2 ...172 СТС,ООО</t>
  </si>
  <si>
    <t>изменения №2 к Наряд-заказу №2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t>
  </si>
  <si>
    <t>00329-24</t>
  </si>
  <si>
    <t>ДС №2. Конверс Авиа. №ГЕО-22/11104/00265/Р от 15.10.2022.</t>
  </si>
  <si>
    <t>ДС №2. из НГО в ГО</t>
  </si>
  <si>
    <t>00330-22</t>
  </si>
  <si>
    <t>Включение в договор условий применения усиленной квалифицированной электронной подписи</t>
  </si>
  <si>
    <t>00330-23</t>
  </si>
  <si>
    <t>Заявка  №13 на выполнение работ  по теме: «Разработка дополнения к "Проекту на проведение работ по геологическому изучению и оценке пригодности участка недр для строительства и эксплуатации подземных сооружений"</t>
  </si>
  <si>
    <t xml:space="preserve">Разработка дополнения к «Проекту на проведение работ по геологическому изучению и оценке пригодности участка недр для строительства и эксплуатации подземных сооружений, не связанных с добычей полезных ископаемых, в целях размещения в пластах горных пород диоксида углерода (CO2), образующегося в результате хозяйственной и иной деятельности, в пределах Восточного лицензионного участка Оренбургского нефтегазоконденсатного месторождения»
</t>
  </si>
  <si>
    <t>00330-24</t>
  </si>
  <si>
    <t>ГЕО-24/09600/00102</t>
  </si>
  <si>
    <t xml:space="preserve">Организация практической подготовки обучающихся по образовательным программе высшего профессионального образования по направлениям подготовки Техносферная безопасность. </t>
  </si>
  <si>
    <t xml:space="preserve">ФГАОУ ВО "Санкт-Петербургский политехнический университет Петра Великого" </t>
  </si>
  <si>
    <t>00331-24</t>
  </si>
  <si>
    <t>Наряд-заказ №6.1 к договору ГЕО-23/09000/00041/Р</t>
  </si>
  <si>
    <t>6.1</t>
  </si>
  <si>
    <t>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Западно-Рубежинском  лицензионном участке</t>
  </si>
  <si>
    <t>00332-23</t>
  </si>
  <si>
    <t>ГЕО-23/17000/00118/Р</t>
  </si>
  <si>
    <t xml:space="preserve">Исполнение требований к членству ООО «ГПН-ГЕО» в саморегулируемой организации «Объединение строителей СПб» </t>
  </si>
  <si>
    <t>00333-23</t>
  </si>
  <si>
    <t>ГЕО-23/20000/00102/Д</t>
  </si>
  <si>
    <t>20000 Агентский договор на организацию вертолетных авиаперевозок ООО "Уралгеопроект"</t>
  </si>
  <si>
    <t>00333-24</t>
  </si>
  <si>
    <t>ГЕО-23/33100/00182</t>
  </si>
  <si>
    <t>00334-23</t>
  </si>
  <si>
    <t>Задание №4 с АО "ЦАСЭО" к ДД № ГЕО-22/10951/00165/Р</t>
  </si>
  <si>
    <t xml:space="preserve">Раскрытие ГО по проекту Титан </t>
  </si>
  <si>
    <t>00334-24</t>
  </si>
  <si>
    <t>ГЕО-24/10000/00108/Р</t>
  </si>
  <si>
    <t>ДД на выполнение полевых электроразведочных работ с ООО "СИГМА-ГЕО"</t>
  </si>
  <si>
    <t>Проведение полевых работ несейсмическими методами (электроразведочные работы) на проекте Южный Оренбург</t>
  </si>
  <si>
    <t>00335-23</t>
  </si>
  <si>
    <t>Наряд-заказ №4 от 27.06.2023г. к Договору № ГЕО-22/11000/00274/Р от 14.10.2022г.</t>
  </si>
  <si>
    <t>Выполнение проектных работ по объекту "Строительство поисково-оценочной скважины №201ПО Надеждинского лицензионного участка"</t>
  </si>
  <si>
    <t>00335-24</t>
  </si>
  <si>
    <t>ГЕО-24/33200/00093</t>
  </si>
  <si>
    <t>33200 Соглашение об электронном документообороте с ООО "СИГМА-ГЕО"</t>
  </si>
  <si>
    <t>00336-23</t>
  </si>
  <si>
    <t>НАРЯД-ЗАКАЗ №34 (корректировка) к Договору № АНГ-19/11513/00007/Р от 14.02.2019</t>
  </si>
  <si>
    <t xml:space="preserve"> 34 (корректировка)</t>
  </si>
  <si>
    <t xml:space="preserve">Оформление земельных участков для объекта: 1) Строительство разведочной скважины Км-5 Камовской площади Оморинского лицензионного участка. 2) Участки пунктов дежурства техники, складирования древесины и временного размещения городка на ПК0 Оморинского лицензионного участка. Внесение корректировки в связи с оформлением в аренду всех вариантов размещения Км-5. </t>
  </si>
  <si>
    <t>00336-24</t>
  </si>
  <si>
    <t>изм.1 к Наряд-заказу №8  к Договору №ГЕО-21/11505/00195/Р от «24» августа 2021г.</t>
  </si>
  <si>
    <t>Выполнение цифровой аэрофотосъемки (ЦАФС) и воздушно-лазерного сканирования (ВЛС) пилотируемым воздушным судном на территории Южно-Новопортовского ЛУ с дополнительным объемом работ. Номер района по ТЗ - 4</t>
  </si>
  <si>
    <t>00337-22</t>
  </si>
  <si>
    <t>Дополнительное соглашение возмездного оказания услуг по охране объектов</t>
  </si>
  <si>
    <t xml:space="preserve">Изменение сроков оплаты </t>
  </si>
  <si>
    <t>00337-23</t>
  </si>
  <si>
    <t>ГЕО-23/04300/00108/Р</t>
  </si>
  <si>
    <t>для строительства промышленных и иных объектов, а именно (но, не ограничиваясь) для размещения бурового оборудования при бурении скважины № 341 ПО и подъездного пути к ней Солнечного лицензионного участка</t>
  </si>
  <si>
    <t>00337-24</t>
  </si>
  <si>
    <t>НАРЯД-ЗАКАЗ №2 к Договору № ГЕО-23/10000/00094/Р от 01.06.2023</t>
  </si>
  <si>
    <t>Оформление земельных участков для объекта «Проведение полевых сейсморазведочных работ МОГТ 3Д на Холмогорском ЛУ (ХМАО)»</t>
  </si>
  <si>
    <t>00338-22</t>
  </si>
  <si>
    <t>На оказание охранных услуг</t>
  </si>
  <si>
    <t>00338-23</t>
  </si>
  <si>
    <t>ГЕО-22/04500/00319/Р</t>
  </si>
  <si>
    <t>Дополнительное соглашение №1 к договору субаренды земельного участка №ГЕО-21/04500/00319/Р от 09.12.2022</t>
  </si>
  <si>
    <t>для строительства промышленных и иных объектов, а именно (но не ограничиваясь) для размещения подъездного пути к скважине № 341ПО Солнечного лицензионного участка</t>
  </si>
  <si>
    <t>00339-22</t>
  </si>
  <si>
    <t>Дополнительное соглашение на оказание услуг по техническому обслуживанию инженерно-технических средств охраны</t>
  </si>
  <si>
    <t>Изменение сроков оплаты</t>
  </si>
  <si>
    <t>00339-23</t>
  </si>
  <si>
    <t>ГЕО-22/04500/00320/Р</t>
  </si>
  <si>
    <t>Дополнительное соглашение №1 к договору субаренды земельного участка ГЕО-22/04500/00320/Р от 09.12.2022</t>
  </si>
  <si>
    <t>0000099595</t>
  </si>
  <si>
    <t xml:space="preserve">ЗАО СТЕПНОЕ </t>
  </si>
  <si>
    <t>5648004036</t>
  </si>
  <si>
    <t>00339-24</t>
  </si>
  <si>
    <t>Наряд-заказ №9 к Договору №ГЕО-21/11505/00195/Р от «24» августа 2021г.</t>
  </si>
  <si>
    <t>Выполнение цифровой аэрофотосъемки и воздушно-лазерного сканирования с пилотируемых воздушных средств на территории Холмогоского ЛУ (ХМАО, ЯНАО).</t>
  </si>
  <si>
    <t>00340-22</t>
  </si>
  <si>
    <t>00340-23</t>
  </si>
  <si>
    <t>ГЕО-23/25000/00110/Р</t>
  </si>
  <si>
    <t>Оказание услуг по управлению исполнением договоров в рамках прохождения практики студентов ДПО "Закупки"</t>
  </si>
  <si>
    <t>Гилязетдинова Камила Ринатовна</t>
  </si>
  <si>
    <t>00340-24</t>
  </si>
  <si>
    <t>ГЕО-24/33100/00096</t>
  </si>
  <si>
    <t>Заключение Соглашения в области производственной безопасности</t>
  </si>
  <si>
    <t>00341-22</t>
  </si>
  <si>
    <t>ГЕО-19/10111/00141/Р</t>
  </si>
  <si>
    <t>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ГЕО-19/10111/00141/Р</t>
  </si>
  <si>
    <t>0000060956</t>
  </si>
  <si>
    <t xml:space="preserve">ООО Пургеофизика </t>
  </si>
  <si>
    <t>8911017194</t>
  </si>
  <si>
    <t>00341-23</t>
  </si>
  <si>
    <t>ГЕО-23/40000/00111/Р</t>
  </si>
  <si>
    <t>право ограниченного пользования (сервитут) на часть земельного участка с кадастровым номером 56:22:1407001:2 для размещения подъездного пути к скважине 401ПО Западно-Рубежинского лицензионного участка</t>
  </si>
  <si>
    <t>0000103544</t>
  </si>
  <si>
    <t xml:space="preserve">Надыршин Ренат Жамильевич </t>
  </si>
  <si>
    <t>563903365352</t>
  </si>
  <si>
    <t>00341-24</t>
  </si>
  <si>
    <t>Дополнительное соглашение № 2 к договору ГЕО-23/09000/00149/Р от «28» августа 2023 г.</t>
  </si>
  <si>
    <t>Дополнение расшифровки затрат по статье «Доставка вахтового персонала до пункта сбора» затратами на прохождение медицинских осмотров, необходимых для получения пропуска с целью заезда на объекты Заказчика и нахождения на них в течение вахты</t>
  </si>
  <si>
    <t>00342-22</t>
  </si>
  <si>
    <t>Дополнительное соглашение №4 к Договору №ГЕО-21/10924/00124/Р от 12.05.2021 г. на оказание услуг экологического мониторинга месторождений</t>
  </si>
  <si>
    <t>1. Изменение сроков оплаты_x000D_
2. Переход на ЭДО</t>
  </si>
  <si>
    <t>00342-23</t>
  </si>
  <si>
    <t>Задание № 39</t>
  </si>
  <si>
    <t>39</t>
  </si>
  <si>
    <t xml:space="preserve">Оказание услуг супервайзинга на проекте «Енисей» </t>
  </si>
  <si>
    <t>00342-24</t>
  </si>
  <si>
    <t>ГЕО-24/20000/00118/Р</t>
  </si>
  <si>
    <t>Агентский договор с ООО "ВТБ Факторинг"</t>
  </si>
  <si>
    <t>0000059765</t>
  </si>
  <si>
    <t xml:space="preserve">ООО ВТБ Факторинг </t>
  </si>
  <si>
    <t>7708683999</t>
  </si>
  <si>
    <t>00343-22</t>
  </si>
  <si>
    <t>ГЕО-22/33200/00091</t>
  </si>
  <si>
    <t>00343-23</t>
  </si>
  <si>
    <t>Задание № 40</t>
  </si>
  <si>
    <t>40</t>
  </si>
  <si>
    <t>Оказание услуг супервайзинга на проекте проект «Южный Оренбург», площадка скважины № 401 (Приволжский федеральный округ)</t>
  </si>
  <si>
    <t>00343-24</t>
  </si>
  <si>
    <t>ДС № 3 к №ГЕО-22/10000/00318/Р от 05.12.2022г с БАРБУС,ООО</t>
  </si>
  <si>
    <t>ДС № 3 к №ГЕО-22/10000/00318/Р от 05.12.2022г с БАРБУС,ООО НГО в ГО</t>
  </si>
  <si>
    <t>10271150</t>
  </si>
  <si>
    <t>00344-23</t>
  </si>
  <si>
    <t>Задание № 41</t>
  </si>
  <si>
    <t>41</t>
  </si>
  <si>
    <t>Оказание услуг супервайзинга на проекте проект проект «Титан», площадка скважины № 1ПО (Уральский федеральный округ )</t>
  </si>
  <si>
    <t>00344-24</t>
  </si>
  <si>
    <t>ГЕО-23/33100/00181</t>
  </si>
  <si>
    <t>00345-22</t>
  </si>
  <si>
    <t>00345-23</t>
  </si>
  <si>
    <t>ГЕО-20/10204/00036/Р</t>
  </si>
  <si>
    <t xml:space="preserve">Дополнительное соглашение №4 к договору № ГЕО-20/10204/00036/Р от 18.02.2020 г. </t>
  </si>
  <si>
    <t>Продление срока выполнения работ и срока действия договора по 31.12.2024г.</t>
  </si>
  <si>
    <t>00345-24</t>
  </si>
  <si>
    <t>ГЕО-23/33100/00212</t>
  </si>
  <si>
    <t>00346-22</t>
  </si>
  <si>
    <t>№ГЕО-21/11513/00019/Р</t>
  </si>
  <si>
    <t>Наряд-заказ №2 к договору №ГЕО-21/11513/00019/Р от 01.02.2021</t>
  </si>
  <si>
    <t>Подготовка схем расположения земельных участков на кадастровом плане территории, оформление, согласование межевого плана на образование земельного участка</t>
  </si>
  <si>
    <t>00346-23</t>
  </si>
  <si>
    <t xml:space="preserve">НЗ №5 к Договору № ГЕО-23/09000/00041/Р от 31.01.2023г </t>
  </si>
  <si>
    <t>НЗ №5 на 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Лескинском Лицензионном участке, скважина № 198.</t>
  </si>
  <si>
    <t>00346-24</t>
  </si>
  <si>
    <t>ГЕО-24/33200/00103</t>
  </si>
  <si>
    <t>33200 Соглашение об электронном документообороте c ВТБ Факторинг</t>
  </si>
  <si>
    <t>00347-22</t>
  </si>
  <si>
    <t>ГЕО-20/11104/00201/Р</t>
  </si>
  <si>
    <t>Переход на ЭДО в части ДД</t>
  </si>
  <si>
    <t>00347-23</t>
  </si>
  <si>
    <t>ГЕО-23/25000/00117/Р</t>
  </si>
  <si>
    <t>0000111458</t>
  </si>
  <si>
    <t xml:space="preserve">Усов Денис Олегович </t>
  </si>
  <si>
    <t>780263031432</t>
  </si>
  <si>
    <t>00347-24</t>
  </si>
  <si>
    <t>ГЕО-20/11112/00108/Р</t>
  </si>
  <si>
    <t>Актуализация ОЛ ОЭДК и внедрение ЭПЛ СМА БРД</t>
  </si>
  <si>
    <t>Управление транспортного обеспечения и авиаперевозок</t>
  </si>
  <si>
    <t>00348-23</t>
  </si>
  <si>
    <t>ДС №1. Конверс Авиа. №ГЕО-22/11104/00265/Р от 15.10.2022.</t>
  </si>
  <si>
    <t>ДС №1. из НГО в ГО</t>
  </si>
  <si>
    <t>133251000</t>
  </si>
  <si>
    <t>00348-24</t>
  </si>
  <si>
    <t>ГЕО-24/40000/00099/Р</t>
  </si>
  <si>
    <t>00349-22</t>
  </si>
  <si>
    <t>ДС №2 к ДП №Д_27645_49007 от 28.01.2022</t>
  </si>
  <si>
    <t xml:space="preserve">Включение формулировок по ЭДО и УПД </t>
  </si>
  <si>
    <t>00349-23</t>
  </si>
  <si>
    <t xml:space="preserve">ДС №10 с АО ИГС к Договору № ГЕО-19/10201/00155/Р </t>
  </si>
  <si>
    <t>Дорогойченков Д.В.</t>
  </si>
  <si>
    <t>00349-24</t>
  </si>
  <si>
    <t xml:space="preserve">ДС №9 к договору № ГЕО-22/10000/00065/Р от 31.03.2022 г. с ООО «ОКТАН СЕРВИС» </t>
  </si>
  <si>
    <t xml:space="preserve">ДС №9 к договору с ООО «ОКТАН СЕРВИС» предусматривающее, увеличение гарантированного объема работ путем уменьшения негарантированного объема в 2024 году. </t>
  </si>
  <si>
    <t>00350-21</t>
  </si>
  <si>
    <t>ГЕО-19/10110/00305/Р</t>
  </si>
  <si>
    <t>ДОПОЛНИТЕЛЬНОЕ СОГЛАШЕНИЕ № 6</t>
  </si>
  <si>
    <t>Сокращение штрафных санкций</t>
  </si>
  <si>
    <t>00350-22</t>
  </si>
  <si>
    <t xml:space="preserve">ГПН-18/09000/02142/Р </t>
  </si>
  <si>
    <t>Дополнительное соглашение №15 к Договору о выполнении операторских работ и оказании операторских услуг, проект Ю. Оренбург (КНЗР, Первомайский)</t>
  </si>
  <si>
    <t xml:space="preserve">увеличение стоимости проектного сопровождения в 2022г. по КНЗР в рамках выделенного лимита по проекту Ю.Оренбург. </t>
  </si>
  <si>
    <t>00350-23</t>
  </si>
  <si>
    <t xml:space="preserve">НЗ №2.1 к Договору № ГЕО-23/09000/00041/Р от 31.01.2023г </t>
  </si>
  <si>
    <t xml:space="preserve">НЗ №2.1 </t>
  </si>
  <si>
    <t>НЗ №2.1 на 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Лескинском Лицензионном участке,скважины № 198, 178.</t>
  </si>
  <si>
    <t>00350-24</t>
  </si>
  <si>
    <t xml:space="preserve">Наряд-заказ №1 к Договору №ГЕО-22/10000/00273/Р от 10.10.2022 г. с АО «ГЕОТЕК» </t>
  </si>
  <si>
    <t>Выполнение полевых сейсморазведочных работ МОГТ 3D с применением технологии «Зеленая сейсмика» на Южно-Ямской сейсморазведочной площади в 2024-2025гг. 
Владелец лицензии - ООО «СПД», доходный Наряд-заказ между ООО «ГПН - ГЕО» и ООО «СПД» приложен.</t>
  </si>
  <si>
    <t>00351-21</t>
  </si>
  <si>
    <t xml:space="preserve">Соглашение в ГПН-ГЕО  АНГ-18/10110/00165/Р </t>
  </si>
  <si>
    <t>АНГ-18/10110/00165/Р</t>
  </si>
  <si>
    <t>00351-22</t>
  </si>
  <si>
    <t>Переход на УКЭП в части ДД</t>
  </si>
  <si>
    <t>00351-23</t>
  </si>
  <si>
    <t>ГЕО-23/04300/00109/Р</t>
  </si>
  <si>
    <t>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 (далее - объект)</t>
  </si>
  <si>
    <t>00351-24</t>
  </si>
  <si>
    <t>ГЕО-24/09600/00097</t>
  </si>
  <si>
    <t>Санкт-Петербургский горный универси тет</t>
  </si>
  <si>
    <t>00352-21</t>
  </si>
  <si>
    <t>ГЕО-20/10110/00092/Р</t>
  </si>
  <si>
    <t>ДОПОЛНИТЕЛЬНОЕ СОГЛАШЕНИЕ № 3</t>
  </si>
  <si>
    <t>00352-22</t>
  </si>
  <si>
    <t>Изменение Наряд-Заказа</t>
  </si>
  <si>
    <t xml:space="preserve">Согласование изменения к Нарад-заказу № 1 на оказание услуг охраны  </t>
  </si>
  <si>
    <t>00352-24</t>
  </si>
  <si>
    <t>ДС на изменение реквизитов контрагента (ОГРН)</t>
  </si>
  <si>
    <t>Изменение ОГРН ввиду некорректного указания при подписании договора</t>
  </si>
  <si>
    <t>00353-21</t>
  </si>
  <si>
    <t>Комплексная интерпретация сейсморазведочных данных объединенного куба 3D с использованием сейсмических инверсий на Солнечном, Корнаваринском, Надеждинском, Западно-Рубежинском лицензионных участках</t>
  </si>
  <si>
    <t>Формирование сидементологической модели франско-фамеского осадочного комплекса, восстановление истории геологического развития и зон благоприятных для формирования залежей</t>
  </si>
  <si>
    <t>00353-22</t>
  </si>
  <si>
    <t>ГЕО-22/33200/00092</t>
  </si>
  <si>
    <t>00353-23</t>
  </si>
  <si>
    <t xml:space="preserve">ДС №5 к Договору № ГЕО-22/10000/00048/P от 28.02.2022 г. на оказание услуг по предоставлению оборудования и инженерному сопровождению при спуске и креплении </t>
  </si>
  <si>
    <t>Раскрытие ГО</t>
  </si>
  <si>
    <t>00353-24</t>
  </si>
  <si>
    <t>ГЕО-24/04300/00110/Р</t>
  </si>
  <si>
    <t>00354-22</t>
  </si>
  <si>
    <t>ГЕО-22/09000/00122/Р</t>
  </si>
  <si>
    <t>Договор на оказание услуг</t>
  </si>
  <si>
    <t xml:space="preserve">Услуги по профилактической и заключительной очаговой дезинфекции помещения в случае выявления больного с коронавирусной инфекцией (COVID-19) </t>
  </si>
  <si>
    <t>0000098115</t>
  </si>
  <si>
    <t xml:space="preserve">ООО ЭКОМАСТЕР </t>
  </si>
  <si>
    <t>7806243072</t>
  </si>
  <si>
    <t>00354-23</t>
  </si>
  <si>
    <t>ГЕО-23/33200/00106</t>
  </si>
  <si>
    <t>Переход на электронный документооборот, ЭДО</t>
  </si>
  <si>
    <t>00354-24</t>
  </si>
  <si>
    <t>ГЕО-24/09000/00105/Р</t>
  </si>
  <si>
    <t xml:space="preserve">Договор на оказание аудиторских услуг </t>
  </si>
  <si>
    <t>Проведение аудита бухгалтерской (финансовой) отчетности</t>
  </si>
  <si>
    <t>0000047475</t>
  </si>
  <si>
    <t xml:space="preserve">ООО ФинЭкспертиза </t>
  </si>
  <si>
    <t>7708096662</t>
  </si>
  <si>
    <t>00355-21</t>
  </si>
  <si>
    <t>ГЕО-20/10110/00198/Р</t>
  </si>
  <si>
    <t>00355-22</t>
  </si>
  <si>
    <t>ДС №4 к ГЕО-19/11104/00153/Д ООО "Газпром Бурение"</t>
  </si>
  <si>
    <t>Продление срока действия договора и увеличение суммы</t>
  </si>
  <si>
    <t>Д-19</t>
  </si>
  <si>
    <t>00355-23</t>
  </si>
  <si>
    <t>ГЕО-23/26000/00112</t>
  </si>
  <si>
    <t>Договор о конфиденциальности к договору ГПХ с Гилязетдиновой К.Р.</t>
  </si>
  <si>
    <t>Ушакова М.А. -Контрактный инженер по нефтесервисным услугам</t>
  </si>
  <si>
    <t>00355-24</t>
  </si>
  <si>
    <t>00356-21</t>
  </si>
  <si>
    <t>00356-22</t>
  </si>
  <si>
    <t>СГМ Южный Таймыр к договору ГЕО-21/11708/00165/Р//НТЦ-21/09000/00768/Д от 12.07.2021</t>
  </si>
  <si>
    <t>НТЦ-00426-22Д-ГЕО</t>
  </si>
  <si>
    <t>"Создание сейсмогеологической модели региона «Южный Таймыр»"</t>
  </si>
  <si>
    <t>00356-23</t>
  </si>
  <si>
    <t>№ ГЕО-22/09000/00057/Р/4/ИТО-Д/ВГС</t>
  </si>
  <si>
    <t>заказ GEO-KAM-mr001.3.MS к договору ГЕО-22/09000/00057/Р/4/ИТО-Д/ВГС от 25.11.2022г</t>
  </si>
  <si>
    <t>GEO-KAM-mr001.3.MS</t>
  </si>
  <si>
    <t>БЗ на услугу предоставление канала передачи данных по адресу РФ, Красноярский край, Эвенкийский р-он, пл. Камовская (60.0367784, 96.5668734)</t>
  </si>
  <si>
    <t>00356-24</t>
  </si>
  <si>
    <t>НЗ №5 ИЗМ№1 Уралгеопроект, ООО  к договору ГЕО-22/11000/00267/Р от 10.10.2022</t>
  </si>
  <si>
    <t>НАРЯД-ЗАКАЗ №5 ИЗМ№1 с ООО «Уралгеопроект». Выполнению инженерных изысканий для нужд ООО «ГПН-ГЕО».</t>
  </si>
  <si>
    <t>10456445.1</t>
  </si>
  <si>
    <t>00357-21</t>
  </si>
  <si>
    <t>ГЕО-21/09000/00146/Р</t>
  </si>
  <si>
    <t xml:space="preserve">Работы по изготовлению и монтажу стеклянных кострукций </t>
  </si>
  <si>
    <t xml:space="preserve">Савельева И.И. </t>
  </si>
  <si>
    <t>ООО «Стеклодел»</t>
  </si>
  <si>
    <t>70</t>
  </si>
  <si>
    <t>107 513,00</t>
  </si>
  <si>
    <t>00357-23</t>
  </si>
  <si>
    <t>заказ GEO-KAM-mr001.6  к договору ГЕО-22/09000/00057/Р/4/ИТО-Д/ВГС от 25.11.2022г</t>
  </si>
  <si>
    <t>GEO-KAM-mr001.6</t>
  </si>
  <si>
    <t>БЗ на услугу предоставление корпоративной телефонии по адресу РФ, Красноярский край, Эвенкийский р-он, пл. Камовская (60.0367784, 96.5668734)</t>
  </si>
  <si>
    <t>00358-21</t>
  </si>
  <si>
    <t>Заказ № НТЦ-19/09000/02210/Д-ГЕО от 21 февраля 2020г.</t>
  </si>
  <si>
    <t>ГЕО-19/10124/00001/НТЦ-18/29000/01335/Д-ГЕО</t>
  </si>
  <si>
    <t>Геологическое обеспечение управление проектов «Большая Ачимовка» - проект «Ачимовка-ННГ</t>
  </si>
  <si>
    <t>ДС-3</t>
  </si>
  <si>
    <t>Корректировка стоимости Этапов без изменения стоимости НЗ и без изменения срока окончания работ</t>
  </si>
  <si>
    <t>00358-23</t>
  </si>
  <si>
    <t>заказ GEO-KAM-mr001.4.MS к договору ГЕО-22/09000/00057/Р/4/ИТО-Д/ВГС от 25.11.2022г</t>
  </si>
  <si>
    <t>GEO-KAM-mr001.4.MS</t>
  </si>
  <si>
    <t>11517 Договор на выполнение работ по технической и биологической рекультивации нарушенных, незадействованных земель (Мастер-форма)</t>
  </si>
  <si>
    <t>00358-24</t>
  </si>
  <si>
    <t>ГЕО-24/11517/00107/Р</t>
  </si>
  <si>
    <t>11517 Договор с ООО "БТС" на выполнение работ по технической и биологической рекультивации нарушенных, незадействованных земель</t>
  </si>
  <si>
    <t>Выполнение технической и биологической рекультивации нарушенных, незадействованных земель на лицензионных участках ПАО "Газпром нефть"</t>
  </si>
  <si>
    <t>Черешников Е.Е.</t>
  </si>
  <si>
    <t>0000081847</t>
  </si>
  <si>
    <t xml:space="preserve">ООО БТС </t>
  </si>
  <si>
    <t>6311138429</t>
  </si>
  <si>
    <t>Выполнение технической и биологической рекультивации нарушенных, незадействованных  земель</t>
  </si>
  <si>
    <t>16540105.88</t>
  </si>
  <si>
    <t>00000 Дополнительное соглашение к договору на оказание услуг/выполнение работ по замене перечня нарушений и штрафных санкций</t>
  </si>
  <si>
    <t>00359-21</t>
  </si>
  <si>
    <t>ГЕО-20/09000/00050/Р</t>
  </si>
  <si>
    <t>Об утверждении перечня нарушений и штрафных санкций в области ПБ и утверждении типовой формы дополнительного соглашения к договорам по замене перечня штрафных санкий в области ПБ</t>
  </si>
  <si>
    <t>ООО ЧОП СОБР</t>
  </si>
  <si>
    <t>00359-22</t>
  </si>
  <si>
    <t>ГЕО-22/04300/00099/Р</t>
  </si>
  <si>
    <t>Договор аренды земельного участка</t>
  </si>
  <si>
    <t>для строительства промышленных и иных объектов, а именно (но не ограничиваясь) для размещения бурового оборудования при бурении скважины 401ПО Западно-Рубежинского лицензионного участка</t>
  </si>
  <si>
    <t>00359-23</t>
  </si>
  <si>
    <t>заказ GEO-KAM-INT-mr001.4.MS к договору ГЕО-22/09000/00057/Р/4/ИТО-Д/ВГС от 25.11.2022г</t>
  </si>
  <si>
    <t>GEO-KAM-INT-mr001.4.MS</t>
  </si>
  <si>
    <t>БЗ на услугу доступ в интернет по адресу РФ, СПб, ул. Репищева, д. 20</t>
  </si>
  <si>
    <t>00359-24</t>
  </si>
  <si>
    <t>ГЕО-24/33200/00106</t>
  </si>
  <si>
    <t>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t>
  </si>
  <si>
    <t>00360-22</t>
  </si>
  <si>
    <t>Выполнение по заданию Заказчика услуги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для ООО "ГПН-ГЕО"</t>
  </si>
  <si>
    <t>Рузимуродов И.П.</t>
  </si>
  <si>
    <t xml:space="preserve">Буракова Ольга Владимировна </t>
  </si>
  <si>
    <t>Управление закупок работ и услуг</t>
  </si>
  <si>
    <t>ООО "Корпоративный альянс "Турне-Транс"</t>
  </si>
  <si>
    <t>109956857.7</t>
  </si>
  <si>
    <t>00360-23</t>
  </si>
  <si>
    <t>заказ GEO-SAL-mr001.3.MS  к договору ГЕО-22/09000/00057/Р/4/ИТО-Д/ВГС от 25.11.2022г</t>
  </si>
  <si>
    <t>GEO-SAL-mr001.3.MS</t>
  </si>
  <si>
    <t>БЗ на услугу предоставление канала передачи данных по адресу РФ, Красноярский край, Эвенкийский р-он, пл. Салаирская</t>
  </si>
  <si>
    <t>00360-24</t>
  </si>
  <si>
    <t>ГЕО-24/26000/00109</t>
  </si>
  <si>
    <t>В целях обеспечения неразглашения информации, составляющей коммерческую тайну и иной конфиденциальной информации при оказании услуг/выполнении работ по Договору</t>
  </si>
  <si>
    <t>00361-22</t>
  </si>
  <si>
    <t>ПУР к Договору № ГЕО-22/071000/00042/Р от 07.03.2022г.</t>
  </si>
  <si>
    <t>Урегулирование разногласий к договору с учетом ДС №1 к Договору № ГЕО-22/071000/00042/Р от 07.03.2022г. (прилагается)</t>
  </si>
  <si>
    <t>00361-23</t>
  </si>
  <si>
    <t>заказ GEO-SAL-mr001.4.MS к договору ГЕО-22/09000/00057/Р/4/ИТО-Д/ВГС от 25.11.2022г</t>
  </si>
  <si>
    <t>GEO-SAL-mr001.4.MS</t>
  </si>
  <si>
    <t>00361-24</t>
  </si>
  <si>
    <t>ГЕО-24/33400/00113</t>
  </si>
  <si>
    <t>Соглашение СУДИР (ООО "БТС")</t>
  </si>
  <si>
    <t>00362-21</t>
  </si>
  <si>
    <t>ГЕО-21/00000/00137</t>
  </si>
  <si>
    <t>Соглашение о передаче прав на миграцию данных из ГеоБП в КЛАД</t>
  </si>
  <si>
    <t>Переход на новую платформу хранения данных КЛАД</t>
  </si>
  <si>
    <t>00362-22</t>
  </si>
  <si>
    <t xml:space="preserve">ГЕО-18/18000/00046/Р </t>
  </si>
  <si>
    <t>Приложение № 19 от 01.04.2022г. к Агентскому договору № ГЕО-18/18000/00046/Р от 06.12.2018 г.</t>
  </si>
  <si>
    <t>Внесение лимитов в договор на 2022 г. по проекту Титан</t>
  </si>
  <si>
    <t>00362-23</t>
  </si>
  <si>
    <t>заказ GEO-SAL-INT-mr001.4.MS к договору ГЕО-22/09000/00057/Р/4/ИТО-Д/ВГС от 25.11.2022г</t>
  </si>
  <si>
    <t>GEO-SAL-INT-mr001.4.MS</t>
  </si>
  <si>
    <t>00362-24</t>
  </si>
  <si>
    <t>ГЕО-24/33200/00101</t>
  </si>
  <si>
    <t xml:space="preserve">с целью использования электронного документооборота при исполнении договорных обязательств </t>
  </si>
  <si>
    <t>00363-21</t>
  </si>
  <si>
    <t>ГЕО-20/09000/00151/Р/ГСН-20/09000/Д/НС-03.3.1</t>
  </si>
  <si>
    <t>Дополнительное соглашение № 1 к договору оказания услуг № ГЕО-20/09000/00151/Р (ГСН-20/09000/01444/Д/НС-03.3.1) от 18.09.2020 г.</t>
  </si>
  <si>
    <t>Оказание услуг по своевременному обеспечению и обслуживанию средств индивидуальной защиты (СИЗ) работников</t>
  </si>
  <si>
    <t>ООО Газпромнефть-Снабжение</t>
  </si>
  <si>
    <t>00363-22</t>
  </si>
  <si>
    <t>ГЕО-22/09000/00102/Д</t>
  </si>
  <si>
    <t>Консалтинговый договор</t>
  </si>
  <si>
    <t>Оказание услуг по теме «Подбор оптимальной технологии закачивания скважин и проведения ГРП на Вынгаяхинском месторождении»</t>
  </si>
  <si>
    <t>00363-23</t>
  </si>
  <si>
    <t>заказ GEO-SAL-mr001.6  к договору ГЕО-22/09000/00057/Р/4/ИТО-Д/ВГС от 25.11.2022г</t>
  </si>
  <si>
    <t>GEO-SAL-mr001.6</t>
  </si>
  <si>
    <t>БЗ на услугу предоставление корпоративной телефонии по адресу РФ, Красноярский край, Эвенкийский р-он, пл. Салаирская</t>
  </si>
  <si>
    <t>00363-24</t>
  </si>
  <si>
    <t xml:space="preserve">ДС 9 к к договору № ГЕО-22/10000/00036/Р от 14.02.2022г. </t>
  </si>
  <si>
    <t>Внесение изменений в договор в части актуализации перечня нарушений и штрафных санкций, условий договора по мотивации в области ПБ и оценке эффективности деятельности контрагента</t>
  </si>
  <si>
    <t>00364-21</t>
  </si>
  <si>
    <t>ГПН-18/09000/02142/Р от 07 сентября 2018 г.</t>
  </si>
  <si>
    <t>Дополнительное соглашение №10 к Договору о выполнении операторских работ и оказании операторских услуг (проект Южный оренбург, КНЗР)</t>
  </si>
  <si>
    <t>Дополнительное соглашение №10</t>
  </si>
  <si>
    <t>увеличение зарат на проектное сопровождение в 2021г. (на основнии прогноза 3+9) без увеличения общей стоимости программы выполнения работ и оказания услуг по КНЗР; снижение % рентабельности с 5% до 4%.</t>
  </si>
  <si>
    <t>00364-22</t>
  </si>
  <si>
    <t>ГЕО-22/09000/00101/Д</t>
  </si>
  <si>
    <t xml:space="preserve">Оказание услуг по теме «Сопровождение полевых работ по строительству многоствольных скважин по уровню сложности TAML-3 на Карамовском месторождении»_x000D_
_x000D_
</t>
  </si>
  <si>
    <t>00364-23</t>
  </si>
  <si>
    <t>ГЕО-23/26000/00107</t>
  </si>
  <si>
    <t>00364-24</t>
  </si>
  <si>
    <t>ГЕО-24/33200/00100</t>
  </si>
  <si>
    <t>0000111062</t>
  </si>
  <si>
    <t xml:space="preserve">АО КрасАвиаПорт </t>
  </si>
  <si>
    <t>2411028461</t>
  </si>
  <si>
    <t>00365-22</t>
  </si>
  <si>
    <t>ГЕО-22/20000/00109/Д</t>
  </si>
  <si>
    <t>Cогласование договора с ВЗЛ ООО "Газпромнефть-Оренбург"</t>
  </si>
  <si>
    <t>Договор возмездного оказание услуги</t>
  </si>
  <si>
    <t>00365-23</t>
  </si>
  <si>
    <t>ДС №7 к Договору № ГЕО-22/09000/00066/Р от 30.03.2022 г.</t>
  </si>
  <si>
    <t>Продление срока действия договора, срока оказания услуг. Перераспределение объемов. Перераспределение между ставками.</t>
  </si>
  <si>
    <t>00000 Тестовая форма для обучения</t>
  </si>
  <si>
    <t>00365-24</t>
  </si>
  <si>
    <t>тесто обучение</t>
  </si>
  <si>
    <t>Рога и копыта</t>
  </si>
  <si>
    <t>00366-21</t>
  </si>
  <si>
    <t>ДС№ 1 к Договору на проведение операции по закачке азота в пласт № ГЕО-21/10421/00132/Р от 14 июня 2021 г.</t>
  </si>
  <si>
    <t xml:space="preserve">Исключение положения о лимите ответственности Заказчика перед Подрядчиком (типовые условия для ДД с компаниями группы Шлюмберже) согласно протоколу ЗССГ №ПТ-НК-47/283_x000D_
Договор заключался по типовой форме, ограничивающей лимит ответственности Заказчика (п. 15.11)_x000D_
</t>
  </si>
  <si>
    <t>00366-22</t>
  </si>
  <si>
    <t>Создание сейсмогеологических моделей и геологическое сопровождение работ по проекту Ач ННГ</t>
  </si>
  <si>
    <t>НТЦ-00670-22Д-ГЕО</t>
  </si>
  <si>
    <t>Детализация сейсмогеологической модели (СГМ) ключевых объектов ачимовской толщи Ноябрьского региона для уточнения основных неопределенностей</t>
  </si>
  <si>
    <t>00366-23</t>
  </si>
  <si>
    <t>НЗ №1 к ДОГОВОРУ № ГЕО-23/10000/00093/Р от 01.06.2023 г.</t>
  </si>
  <si>
    <t>Наряд-Заказ №1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t>
  </si>
  <si>
    <t>5231160</t>
  </si>
  <si>
    <t>00366-24</t>
  </si>
  <si>
    <t>Изм№3 к НЗ№4 к ДД №ГЕО-22/11029/00172/Р от 25.07.2022 с ООО "СТС" (Камовская)</t>
  </si>
  <si>
    <t>00367-22</t>
  </si>
  <si>
    <t>Агентский договор на организацию вертолетных авиаперевозок с АО «ПГО «Тюменьпромгеофизика»</t>
  </si>
  <si>
    <t>00367-23</t>
  </si>
  <si>
    <t>НЗ №4 Уралгеопроект, ООО  к договору ГЕО-22/11000/00267/Р от 10.10.2022</t>
  </si>
  <si>
    <t>НАРЯД-ЗАКАЗ №4 с ООО «Уралгеопроект». Выполнению инженерных изысканий для нужд ООО «ГПН-ГЕО».</t>
  </si>
  <si>
    <t>00367-24</t>
  </si>
  <si>
    <t>Заявка №19 ВНИГНИ №ГЕО-21/08000/00296/Р от 28.12.2021</t>
  </si>
  <si>
    <t>00368-22</t>
  </si>
  <si>
    <t>00368-23</t>
  </si>
  <si>
    <t>НЗ №3 Уралгеопроект, ООО  к договору ГЕО-22/11000/00267/Р от 10.10.2022</t>
  </si>
  <si>
    <t>НАРЯД-ЗАКАЗ №3 с ООО «Уралгеопроект». Выполнению инженерных изысканий для нужд ООО «ГПН-ГЕО».</t>
  </si>
  <si>
    <t>20205462.82</t>
  </si>
  <si>
    <t>00368-24</t>
  </si>
  <si>
    <t>Заявка № 20 к договору о предоставлении труда работников (персонала) № ГЕО-23/09000/00149/Р от 28.08.2023 г.</t>
  </si>
  <si>
    <t>20</t>
  </si>
  <si>
    <t>Рассмотрение вопроса о возможности заключения Заявки № 20 на привлечение руководителя группы по производственной безопасности в сейсморазведке для проекта «Южный Оренбург» (СРР) в рамках Договора № ГЕО-23/09000/00149/Р от «28» августа 2023 г. со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t>
  </si>
  <si>
    <t>00369-22</t>
  </si>
  <si>
    <t>00369-23</t>
  </si>
  <si>
    <t>ДС 1 к ГЕО-23/20000/00077/Д с ООО "ТехГеоБур"</t>
  </si>
  <si>
    <t>00369-24</t>
  </si>
  <si>
    <t>ГЕО-24/20000/00104/Д</t>
  </si>
  <si>
    <t>00370-22</t>
  </si>
  <si>
    <t>00370-23</t>
  </si>
  <si>
    <t>ГЕО-23/08000/00115/Д</t>
  </si>
  <si>
    <t>Переобработка и интерпретация сейсморазведочных данных по Накынскому кимберлитовому полю с выдачей методиеских рекомендаций</t>
  </si>
  <si>
    <t>00370-24</t>
  </si>
  <si>
    <t>Горшков С.М.</t>
  </si>
  <si>
    <t>00371-22</t>
  </si>
  <si>
    <t>Дополнительное соглашение №1 к Рамочному договору на оказание услуг, связанных с реализацией задач в сфере управления проектом по поиску, разведке и разработки перспективных участков</t>
  </si>
  <si>
    <t>00371-23</t>
  </si>
  <si>
    <t>ДС 1 к ГЕО-23/20000/00073/Д  от 17.04.2023 с ООО "СТС"</t>
  </si>
  <si>
    <t>00371-24</t>
  </si>
  <si>
    <t>00372-22</t>
  </si>
  <si>
    <t xml:space="preserve">Комплексные исследования керна скважины 178 Лескинского ЛУ </t>
  </si>
  <si>
    <t>3/22-057</t>
  </si>
  <si>
    <t>Исследование керна для построения геолого-гидродинамической модели пластов, проектирования бурения новых скважин с сохранением коллекторских свойств пластов, планированием эффективных ГТМ</t>
  </si>
  <si>
    <t>00372-23</t>
  </si>
  <si>
    <t>Доработка</t>
  </si>
  <si>
    <t xml:space="preserve">Закупка услуги по управлению проектом создания прототипа сайта для программы «Когнитивная геология», а также подготовка специальных продуктов для научно-популярного онлайн-журнала «Газпром нефти» «Энергия+». </t>
  </si>
  <si>
    <t>Анчина К.Г.</t>
  </si>
  <si>
    <t>0000108726</t>
  </si>
  <si>
    <t xml:space="preserve">Анчина Кристина Геннадьевна </t>
  </si>
  <si>
    <t>026207530791</t>
  </si>
  <si>
    <t>00372-24</t>
  </si>
  <si>
    <t>Изменение №1 к Заявке №7 в рамках исполнения Договора № ГЕО-23/09000/00149/Р от «28» августа 2023 г. со ООО «Свифт</t>
  </si>
  <si>
    <t>Предмет Заявки: Привлечение персонала по направлению «Производственная безопасность», ведущего специалиста по экологической безопасности – гидрогеолога в рамках и на условиях действующего договора № ГЕО-23/09000/00149/Р от «28» августа 2023 г.</t>
  </si>
  <si>
    <t>00373-23</t>
  </si>
  <si>
    <t>Договор о конфиденциальности между ООО «ГПН-ГЕО» и физическим лицом - Анчиной Кристиной Геннадьевной.</t>
  </si>
  <si>
    <t>00374-22</t>
  </si>
  <si>
    <t>ГЕО-20/11104/00153/Д</t>
  </si>
  <si>
    <t>ДС №4 к ГЕО-20/11104/00153/Д ГЕОЛОГ ИНТЕРНЕШНЛ Б.В.</t>
  </si>
  <si>
    <t>Разовое увеличение срока оплаты по договору</t>
  </si>
  <si>
    <t>00374-23</t>
  </si>
  <si>
    <t>ГЕО-23/25000/00113/Р</t>
  </si>
  <si>
    <t>00374-24</t>
  </si>
  <si>
    <t>Договор на оказание услуг по геологическому сопровождению строительства  эксплуатационных скважин на геолого-технологических моделях и мониторингу  проектных решений по разработке месторождений</t>
  </si>
  <si>
    <t>Геологическое сопровождение строительства эксплуатационных скважин на геолого-технологических моделях и мониторингу проектных решений по разработке месторождений для нужд и в интересах ООО «ЛВНГ» в 2025-2028 гг.</t>
  </si>
  <si>
    <t>ООО "Лаявожнефтегаз"</t>
  </si>
  <si>
    <t>00375-21</t>
  </si>
  <si>
    <t>00375-22</t>
  </si>
  <si>
    <t>Соглашение о передаче Агентского Договора № ГЕО-20/11104/00153/Д ГЕОЛОГ ИНТЕРНЕШНЛ Б.В.</t>
  </si>
  <si>
    <t>GeoloG International B.V. ; 
Geolog Surface Logging DMCC</t>
  </si>
  <si>
    <t>00375-23</t>
  </si>
  <si>
    <t>ГЕО-23/26000/00114</t>
  </si>
  <si>
    <t>00375-24</t>
  </si>
  <si>
    <t>ГЕО-24/26000/00112</t>
  </si>
  <si>
    <t>Необходимость заключения Соглашения о конфиденциальности между ООО «ГПН-ГЕО» и ООО «ЛВНГ» обусловлена необходимостью возможной передачи конфиденциальной информации в ходе проведения переговоров по перспективам взаимовыгодного сотрудничества между двумя организациями.</t>
  </si>
  <si>
    <t>ООО "ЛАЯВОЖНЕФТЕГАЗ"</t>
  </si>
  <si>
    <t>00376-22</t>
  </si>
  <si>
    <t>ДС №3 к Договору №ГЕО-21/10308/00236/Р от 04.10.2021 г.</t>
  </si>
  <si>
    <t>Переход на ЭДО в части договорных документов</t>
  </si>
  <si>
    <t>00376-23</t>
  </si>
  <si>
    <t>ГЕО-23/33100/00116</t>
  </si>
  <si>
    <t>Гулин Владимир Дмитриевич</t>
  </si>
  <si>
    <t>0000071214</t>
  </si>
  <si>
    <t xml:space="preserve">АО ГНПП АЭРОГЕОФИЗИКА </t>
  </si>
  <si>
    <t>7729421433</t>
  </si>
  <si>
    <t>00377-23</t>
  </si>
  <si>
    <t>ГЕО-23/25000/00121/Р</t>
  </si>
  <si>
    <t>Услуги в области геологоразведочных работ над проектами «Ноябрьск-Муравленковского региона»</t>
  </si>
  <si>
    <t>Лапина Софья Александровна</t>
  </si>
  <si>
    <t>00377-24</t>
  </si>
  <si>
    <t>ГЕО-24/34000/00115/Р</t>
  </si>
  <si>
    <t xml:space="preserve">Соглашение о взаимном сотрудничестве по социально-экономическому развитию Таймырского Долгано-Ненецкого муниципального района Красноярского края </t>
  </si>
  <si>
    <t>Долгосрочное и взаимное сотрудничество в области использования природно-ресурсного потенциала территорий в границах Таймырского Долгано-Ненецкого муниципального района</t>
  </si>
  <si>
    <t>Шевченко А.С.</t>
  </si>
  <si>
    <t>Горбунов Е.А.</t>
  </si>
  <si>
    <t>0000096440</t>
  </si>
  <si>
    <t>Администрация Таймырского Долгано-Н енецкого муниципального района</t>
  </si>
  <si>
    <t>8401011340</t>
  </si>
  <si>
    <t>00378-22</t>
  </si>
  <si>
    <t>ГЕО-20/10919/00076/Р</t>
  </si>
  <si>
    <t xml:space="preserve">Заказ № 02 к Договору № ГЕО-20/10919/00076/Р от 12.05.2020 г. </t>
  </si>
  <si>
    <t>Оказание услуг по разработке и согласованию нормативов допустимых выбросов (НДВ (ВСВ)) до 20 источников, в том числе для веществ I, II класса опасности – 1 проектный документ</t>
  </si>
  <si>
    <t>0000078878</t>
  </si>
  <si>
    <t xml:space="preserve">ООО БТ-Арсенал </t>
  </si>
  <si>
    <t>7804271420</t>
  </si>
  <si>
    <t>00378-23</t>
  </si>
  <si>
    <t>ГЕО-23/10000/00126/Р</t>
  </si>
  <si>
    <t xml:space="preserve">Договор на проведение полевых работ по регистрации потенциальных полей </t>
  </si>
  <si>
    <t xml:space="preserve">Проведение полевых работ по регистрации потенциальных полей несейсмическими методами _x000D_
</t>
  </si>
  <si>
    <t>37004742.37</t>
  </si>
  <si>
    <t>00378-24</t>
  </si>
  <si>
    <t>ГЕО-24/17000/00121/Р</t>
  </si>
  <si>
    <t>00379-23</t>
  </si>
  <si>
    <t>ГЕО-23/33400/00127</t>
  </si>
  <si>
    <t xml:space="preserve">Предоставление АО «ГНПП «Аэрогеофизика» доступа к автоматизированной информационной системе удаленного доступа к информационным ресурсам «СУДИР»  для "Цифрового двойника"_x000D_
</t>
  </si>
  <si>
    <t>00379-24</t>
  </si>
  <si>
    <t>ГЕО-24/33200/00111</t>
  </si>
  <si>
    <t>00380-22</t>
  </si>
  <si>
    <t>ДС №2 к Договору №ГЕО-22/10000/00055/Р от 17.03.2022 г.</t>
  </si>
  <si>
    <t>00380-23</t>
  </si>
  <si>
    <t>ГЕО-23/26000/00122</t>
  </si>
  <si>
    <t>Обязательства Исполнителя, оказывающего Обществу услуги на основании договора ГПХ, по неразглашению информации, составляющей коммерческую тайну и иной конфиденциальной информации (далее – Конфиденциальная информация) Общества и его контрагентов</t>
  </si>
  <si>
    <t>00380-24</t>
  </si>
  <si>
    <t>ГЕО-20/09000/00182/Д</t>
  </si>
  <si>
    <t>ДС №8 к Операторскому соглашению  № ГЕО-20/09000/00182/Д / АБ-20/09000/00005/Р от 23.11.2020 г.</t>
  </si>
  <si>
    <t>Дополнительное соглашение для включения условий и дополнительных затрат, позволяющих применять финансовый инструмент "Факторинг" при исполнении обязательств по операторскому соглашению, а также перераспределение затрат на выполнение работ.</t>
  </si>
  <si>
    <t>Котова А.М.</t>
  </si>
  <si>
    <t>00381-22</t>
  </si>
  <si>
    <t xml:space="preserve">ГЕО-21/10900/00249/Р </t>
  </si>
  <si>
    <t>Дополнительное соглашение №2 к договору №ГЕО-21/10900/00249/Р от 08.11.2021 г.</t>
  </si>
  <si>
    <t>Изменение сроков оплаты по договору</t>
  </si>
  <si>
    <t>00381-23</t>
  </si>
  <si>
    <t>00381-24</t>
  </si>
  <si>
    <t xml:space="preserve">ДС№5 к Договору №ГЕО-22/10000/00226/Р от 20.09.2022   </t>
  </si>
  <si>
    <t xml:space="preserve">- приведение к факту 2023г;
- перераспределение неизрасходованного объёма из 2023г в 2024г;
- раскрытие негарантированного объёма 2024г;
- Индексация суточных ставок бурения, испытания, производных ставок простоя и ставок дежурства по метео, демонтажа БУ с учетом изменения ТЗ с 19.06.2024 г. без изменения суммы Договора;
</t>
  </si>
  <si>
    <t>0000040656</t>
  </si>
  <si>
    <t xml:space="preserve">АО ССК </t>
  </si>
  <si>
    <t>00382-23</t>
  </si>
  <si>
    <t>ГЕО-23/26000/00120</t>
  </si>
  <si>
    <t>Заключение договора о конфиденциальности, в связи с заключением договора возмездного оказания услуги по подготовке чек-листа для выполнения работ по аэрофотосъемки при помощи беспилотной авиации</t>
  </si>
  <si>
    <t>00382-24</t>
  </si>
  <si>
    <t xml:space="preserve">ДОПОЛНИТЕЛЬНОЕ СОГЛАШЕНИЕ № 5 к Договору №ГЕО-22/11104/00265/Р от 15.10.2022 г. на оказание авиационных услуг с использованием вертолетов </t>
  </si>
  <si>
    <t>- Приведение к факту 2023г.
- Перенос невостребованных объёмов гарантированной части 2023г. в негарантированную в рамках 2024г. 
- Индексация расценок на 8,18%, за счёт перераспределения без увеличения стоимости Договора.</t>
  </si>
  <si>
    <t>01200 Договор  поставки МТР категории «Свободный запас»</t>
  </si>
  <si>
    <t>00384-24</t>
  </si>
  <si>
    <t>ГЕО-24/01200/00114/Д</t>
  </si>
  <si>
    <t>Реализация МТР категории "свободный запас" (труба 324 - 949,11 м.) в адрес ООО "Газпромнефть-Заполярье" (ВЗЛ) по спецификации №1</t>
  </si>
  <si>
    <t>00385-21</t>
  </si>
  <si>
    <t>ГЕО-21/25000/00163/Р</t>
  </si>
  <si>
    <t>Оказание услуги по геодезическим (камеральным) работам</t>
  </si>
  <si>
    <t>Федоров Александр Геннадьевич</t>
  </si>
  <si>
    <t>00385-22</t>
  </si>
  <si>
    <t>ГЕО-20/11104/00152/Д от 22.09.2021</t>
  </si>
  <si>
    <t>ДС №2 к АД ГЕО-20/11104/00152/Д ООО "АКБАРЫС"</t>
  </si>
  <si>
    <t>00385-23</t>
  </si>
  <si>
    <t>Дополнительное соглашение №2 к договору ГЕО-20/09000/00123/Р</t>
  </si>
  <si>
    <t>Перевод негарантированного объема в гарантированный и продление срока выполнения работ без изменения срока действия договора, общей цены договора и единичных расценок</t>
  </si>
  <si>
    <t>01200 Приложение (Спецификация) к Договору  поставки МТР категории «Свободный запас»</t>
  </si>
  <si>
    <t>00385-24</t>
  </si>
  <si>
    <t>Реализация МТР категории "свободный запас" (труба 101 - 1246,9 м.) в адрес ООО "Газпромнефть-Заполярье" (ВЗЛ) по спецификации №2</t>
  </si>
  <si>
    <t>00386-22</t>
  </si>
  <si>
    <t>ГЕО-22/20000/00139/Д</t>
  </si>
  <si>
    <t>Агентский договор на организацию вертолетных авиаперевозок с ООО "Газпромнефть-ННГГФ"</t>
  </si>
  <si>
    <t>00386-23</t>
  </si>
  <si>
    <t>ГЕО-23/04300/00123/Р</t>
  </si>
  <si>
    <t>00386-24</t>
  </si>
  <si>
    <t>ДОПОЛНИТЕЛЬНОЕ СОГЛАШЕНИЕ № 15 к Договору № ОРН-18/10303/03693/Р от 20.12.2018г.</t>
  </si>
  <si>
    <t>- приведение к факту объемов работ по скважине 401
- продление срока выполнения работ и срока действия Договора до 31.12.2025 в расценках 2024 года
- перераспределение неизрасходованного гарантированного объема работ 2024 г. в негарантированный 2025 г.</t>
  </si>
  <si>
    <t>00387-21</t>
  </si>
  <si>
    <t>ГЕО-20/09000/00180/Р</t>
  </si>
  <si>
    <t xml:space="preserve">Об утверждении перечня нарушенмй и штрафных санкций в облати ПБ и утверждении типовой формы дополнительного соглашения </t>
  </si>
  <si>
    <t>00387-22</t>
  </si>
  <si>
    <t>Дополнительное соглашение №2 об использовании электронного документооборота</t>
  </si>
  <si>
    <t>использование электронного вида обмена расчетно-платежными документами за услуги Исполнителя</t>
  </si>
  <si>
    <t>00387-23</t>
  </si>
  <si>
    <t>ГЕО-23/04300/00124/Р</t>
  </si>
  <si>
    <t>возмещение убытков сельскохозяйственного производства при временном занятии части земельного участка 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t>
  </si>
  <si>
    <t>00387-24</t>
  </si>
  <si>
    <t>ГЕО-24/26000/00116</t>
  </si>
  <si>
    <t xml:space="preserve">В связи с заключением договора ГЕО-24/11517/00107/Р от 19.06.2024г. стороны принимают на себя обязательства по предоставлению друг другу и неразглашению информации, составляющей коммерческую тайну, и иной конфиденциальной информации </t>
  </si>
  <si>
    <t>00388-21</t>
  </si>
  <si>
    <t>Заказ-Наряд №12 к договору №ГЕО-19/11708/00133/Р от 25.06.2019</t>
  </si>
  <si>
    <t>Заказ-Наряд №12</t>
  </si>
  <si>
    <t>Проектирование разработки объектов Игнялинского, Вакунайского и Тымпучиканского ЛУ</t>
  </si>
  <si>
    <t>00388-22</t>
  </si>
  <si>
    <t>ГЕО-22/20000/00103/Д</t>
  </si>
  <si>
    <t>Агентский договор на организацию вертолетных авиаперевозок с ООО "Везерфорд"</t>
  </si>
  <si>
    <t>00388-23</t>
  </si>
  <si>
    <t>ДС№5 к Договору № ГЕО-22/11029/00171/Р от 25.07.2022г.</t>
  </si>
  <si>
    <t>Протокол секторной группы Блока разведки и добычи (БРД) ПАО «Газпром нефть» сектор Капитальное строительство ПТ-601.0076/000008/01 от 08.06.2023.</t>
  </si>
  <si>
    <t>00388-24</t>
  </si>
  <si>
    <t>ГЕО-24/33100/00117</t>
  </si>
  <si>
    <t>33100 Соглашение в области производственной безопасности с ООО "БТС"</t>
  </si>
  <si>
    <t>00389-21</t>
  </si>
  <si>
    <t>ГЕО-21/01200/00143/Р</t>
  </si>
  <si>
    <t>Договор купли продажи техники ИТ</t>
  </si>
  <si>
    <t>Приобретение ИТ техники из ООО "Газпромнефть - Ангара"</t>
  </si>
  <si>
    <t>Разумовски Максим Викорович</t>
  </si>
  <si>
    <t>00389-22</t>
  </si>
  <si>
    <t>ГЕО-22/20000/00104/Д</t>
  </si>
  <si>
    <t>Агентский договор на организацию вертолетных авиаперевозок с ООО "СТУ"</t>
  </si>
  <si>
    <t>00389-23</t>
  </si>
  <si>
    <t>ДС№5 к Договору № ГЕО-22/11029/00172/Р от 25.07.2023г.</t>
  </si>
  <si>
    <t>00389-24</t>
  </si>
  <si>
    <t>Изменение №2 к Заявке № 10 к договору № ГЕО-23/09000/00149/Р от «28» августа 2023 г.</t>
  </si>
  <si>
    <t xml:space="preserve">1.	Изложить раздел 1, Заявки № 10 к договору о предоставлении труда работников (персонала) № ГЕО-23/09000/00149/Р от 28.08.2023 г. в части Ф.И.О. работника в следующей редакции:
- Демидов Денис Дмитриевич.
- Антохин Евгений Анатольевич.
</t>
  </si>
  <si>
    <t>00390-21</t>
  </si>
  <si>
    <t>ГЕО-21/09000/00151/Р</t>
  </si>
  <si>
    <t>Договор оказания аудиторских услуг</t>
  </si>
  <si>
    <t>ООО "Кроу Экспертиза"</t>
  </si>
  <si>
    <t>00390-23</t>
  </si>
  <si>
    <t>ГЕО-23/10000/00131/Р</t>
  </si>
  <si>
    <t>Выполнение строительно-монтажных работ, а также работ по пуско-наладке системы усиления сигнала сотовой связи</t>
  </si>
  <si>
    <t>0000092844</t>
  </si>
  <si>
    <t xml:space="preserve">ООО Мелдана </t>
  </si>
  <si>
    <t>6670342603</t>
  </si>
  <si>
    <t>00391-21</t>
  </si>
  <si>
    <t>ГЕО-21/09000/00152</t>
  </si>
  <si>
    <t>00391-24</t>
  </si>
  <si>
    <t>ГЕО-24/33400/00119</t>
  </si>
  <si>
    <t>00392-21</t>
  </si>
  <si>
    <t>Дополнительное соглашение №5 к договору поручения №ГЕО-18/18000/00046/Р/ГСН-1+/18000/01164/Д/НС-03.3</t>
  </si>
  <si>
    <t>№ГЕО-18/18000/00046/Р/ГСН-1+/18000/01164/Д/НС-03.3</t>
  </si>
  <si>
    <t xml:space="preserve">Дополнительное соглашение № 6 к Агентскому договору № ГЕО-18/18000/00046/Р от 06.12.2018 г.  </t>
  </si>
  <si>
    <t>Для возможности ООО "Газпромнефть-Снабжения" в рамках договору осуществлять анализ возможности покрытия потребности в Товаре путем вовлечения свободных запасов Дочерних обществ ПАО «Газпром нефть".</t>
  </si>
  <si>
    <t>Долгов Данил Геннадьевич</t>
  </si>
  <si>
    <t>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t>
  </si>
  <si>
    <t>00392-22</t>
  </si>
  <si>
    <t xml:space="preserve">ГЕО-21/09000/00001/Р </t>
  </si>
  <si>
    <t>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t>
  </si>
  <si>
    <t>00392-23</t>
  </si>
  <si>
    <t>ГЕО-23/18000/00125</t>
  </si>
  <si>
    <t>С целью выполнения обязанностей по обработке персональных данных  в интересах "ГПН-ГЕО"</t>
  </si>
  <si>
    <t>Договор поручения</t>
  </si>
  <si>
    <t>00393-21</t>
  </si>
  <si>
    <t>ГЕО-21/26000/00141</t>
  </si>
  <si>
    <t>Неразглашению информации, составляющей коммерческую тайну и иной конфиденциальной информации</t>
  </si>
  <si>
    <t>00393-22</t>
  </si>
  <si>
    <t>Увеличение стоимости программы работ</t>
  </si>
  <si>
    <t>00393-23</t>
  </si>
  <si>
    <t>ГЕО-23/10000/00129/Р</t>
  </si>
  <si>
    <t>Договор на оказание услуг по обслуживанию и прокату погружных установок электроцентробежных насосов</t>
  </si>
  <si>
    <t>Выполнение услуг по обслуживанию и прокату погружных установок электроцентробежных насосов (УЭЦН) для нужд "ГПН-ГЕО" на Лескинском ЛУ в 2023-2024 г.</t>
  </si>
  <si>
    <t>Кузнецов Василий Иванович - Руководитель программ по координации операционной деятельности проектов</t>
  </si>
  <si>
    <t>33023418</t>
  </si>
  <si>
    <t>00393-24</t>
  </si>
  <si>
    <t>ГЕО-23/25000/00226/Р</t>
  </si>
  <si>
    <t>Дополнительное соглашение №1 к договору №ГЕО-23/25000/00226/Р от 09.01.2024 г.</t>
  </si>
  <si>
    <t>изменение срока оказания услуг и срока действия договора, а также уменьшение стоимости договора</t>
  </si>
  <si>
    <t>Фонарева А.А.</t>
  </si>
  <si>
    <t>00394-21</t>
  </si>
  <si>
    <t>ГЕО-21/10319/00145/Р</t>
  </si>
  <si>
    <t xml:space="preserve">Соглашение об урегулировании требования компенсация затрат по договору № АНГ-18/10319/00277/Р от 31.12.2018г. </t>
  </si>
  <si>
    <t>компенсация затрат, возникших в связи с поздним оповещением от Заказчика о переносе мобилизации и изменении сроков бурения скважин 202, 207, 209 Игнялинского лицензионного участка</t>
  </si>
  <si>
    <t>00394-22</t>
  </si>
  <si>
    <t>ГЕО-22/11000/00096/Р</t>
  </si>
  <si>
    <t xml:space="preserve">Договор на оказание услуг авторского надзора </t>
  </si>
  <si>
    <t>Оказание услуг авторского надзора за строительством объекта «Поисково-оценочная скважина №1ПО Северо-Ямбургского лицензионного участка»</t>
  </si>
  <si>
    <t>00394-23</t>
  </si>
  <si>
    <t>№ГЕО-22/01200/00330/Д</t>
  </si>
  <si>
    <t>Договор купли продажи</t>
  </si>
  <si>
    <t>Реализация МТР (ДТ) проекта ЧОНА с ГПН-ГЕО в ГПН-АНГАРА</t>
  </si>
  <si>
    <t>00394-24</t>
  </si>
  <si>
    <t>Корректировочный Наряд-заказ №3.1 к договору ГЕО-22/10968/00279/Р от 31.10.2022</t>
  </si>
  <si>
    <t>3.1</t>
  </si>
  <si>
    <t>Организация работы по утилизации отходов бурения на скв. 401 Западно-Рубеженского ЛУ с компанией ООО "Велес"</t>
  </si>
  <si>
    <t>00395-21</t>
  </si>
  <si>
    <t>НТЦ-01369-21Д</t>
  </si>
  <si>
    <t xml:space="preserve">Информационно-консультационные услуги в формате вебинара по теме: _x000D_
«Экономика проектирования и разработки месторождений», 28.06.2021-30.06.2021, Боряков С.И._x000D_
</t>
  </si>
  <si>
    <t>00395-22</t>
  </si>
  <si>
    <t>ГЕО-22/11000/00097/Р</t>
  </si>
  <si>
    <t>Оказание услуг авторского надзора за строительством объектов на проекте "Южный Оренбург" на лицензионных участках ООО "ГПН-ГЕО"</t>
  </si>
  <si>
    <t>00395-23</t>
  </si>
  <si>
    <t>Дополнительное соглашение № 1 к договору ГЕО-22/10968/00279/Р от 18.11.2022</t>
  </si>
  <si>
    <t>1. Раскрытие не гарантированной части договора 2023года;_x000D_
2. Перераспределение объема работ из гарантированной части договора 2022 года в гарантированную часть договора 2023 года;_x000D_
3.  Перераспределение неизрасходованного объема работ из гарантированной части договора 2022 года в не гарантированную часть договора 2023 года;_x000D_
4. Уменьшение единичной расценки «утилизация отходов бурения (жидкая фаза)» для работ 2023 года по расценкам 2022 года;_x000D_
5. Увеличение объема работ не гарантированной части по «утилизация отходов бурения (жидкая фаза)» 2022 года в счет уменьшения расценки «утилизация отходов бурения (жидкая фаза)» работ 2023 года по расценкам 2022 года.</t>
  </si>
  <si>
    <t>00395-24</t>
  </si>
  <si>
    <t>ГЕО-24/33200/00122</t>
  </si>
  <si>
    <t>00396-21</t>
  </si>
  <si>
    <t>Цифровой двойник СРР</t>
  </si>
  <si>
    <t>Оказать Заказчику услуги по анализу бизнес-процессов и экспретизе технологических решений цифрового продукта U190001390 "Цифровой двойник"</t>
  </si>
  <si>
    <t>00396-22</t>
  </si>
  <si>
    <t>ГЕО-22/11000/00098/Р</t>
  </si>
  <si>
    <t>Оказание услуг авторского надзора за строительством объекта «Строительство поисково-оценочной скважины №198 Лескинского лицензионного участка»</t>
  </si>
  <si>
    <t>00396-23</t>
  </si>
  <si>
    <t>ГЕО-23/10000/00133/Р</t>
  </si>
  <si>
    <t>Договор на изготовление запасных частей и комплектующих к нефтепромысловому оборудованию</t>
  </si>
  <si>
    <t>Изготовление запасных частей и комплектующих к нефтепромысловому оборудованию» для скважины 401 Западно – Рубежинского ЛУ</t>
  </si>
  <si>
    <t>ООО "ТМК Нефтегазсервис -Бузулук"</t>
  </si>
  <si>
    <t>00396-24</t>
  </si>
  <si>
    <t>ГЕО-24/33200/00120</t>
  </si>
  <si>
    <t>00397-21</t>
  </si>
  <si>
    <t>ГЕО-20/10808/00203/Р</t>
  </si>
  <si>
    <t xml:space="preserve">Изменение реквезитов контрагента. </t>
  </si>
  <si>
    <t>00397-23</t>
  </si>
  <si>
    <t>ДС № 12 к ДОГОВОРУ № ГЕО-20/10986/00138/Р от 10.08.2020г. на оказание супервайзерских услуг по контролю состояния производственной безопасности на объектах ООО «ГПН-ГЕО»</t>
  </si>
  <si>
    <t>Приведение к факту, перераспределение объёмов по договору</t>
  </si>
  <si>
    <t>00397-24</t>
  </si>
  <si>
    <t>10120 Рамочный договор на выполнение работ по услуге "Гидродинамические исследования"</t>
  </si>
  <si>
    <t>00398-21</t>
  </si>
  <si>
    <t>ГЕО-21/10120/00148/Р</t>
  </si>
  <si>
    <t>10120 Договор на выполнение работ по услугам "Гидродинамические исследования" и 10125 "ГИС при контроле за разработкой"</t>
  </si>
  <si>
    <t>Оказание услуг по ГДИ и ГИС при контроле за разработкой на Вынгаяхинском, Пограничном, Приобском месторождениях в 2021-2022 годах</t>
  </si>
  <si>
    <t>Николаев Владимир Алексеевич, РН по разработке</t>
  </si>
  <si>
    <t>00398-22</t>
  </si>
  <si>
    <t>Изменение срока оплаты фактически выполненные работы</t>
  </si>
  <si>
    <t>Изложение в новой редакции п.6.2. Договора</t>
  </si>
  <si>
    <t>00398-23</t>
  </si>
  <si>
    <t>ДС №2 к договору №ГЕО-22/10000/00144/Р от 27.06.2022г.</t>
  </si>
  <si>
    <t>Перераспреджеление по договору. Выделение ставок.</t>
  </si>
  <si>
    <t>00398-24</t>
  </si>
  <si>
    <t>Изм№5 к НЗ№1 по ДД №ГЕО-22/11029/00171/Р  от 25.07.2022г.</t>
  </si>
  <si>
    <t>00399-21</t>
  </si>
  <si>
    <t>Договор на выполнение научно-технических работ и оказание научно-технических услуг (рамочный)</t>
  </si>
  <si>
    <t>Выполнение Исполнителем научно-технических работ и оказание научно-технических услуг в соответствии с Заказами на выполнение работ / оказание услуг</t>
  </si>
  <si>
    <t>00399-22</t>
  </si>
  <si>
    <t xml:space="preserve">Выполнение аэрофотосъемки (пространственное разрешение 0,15 м) и воздушного лазерного сканирования (плотность облака ТЛО - 4 точки на 1 кв. метр) с использованием пилотируемого воздушного судна по следующим объектам: _x000D_
- Хамакинская площадь Чаяндинского НГКМ, расположена в Республике Саха (Якутия) на территории Ленского района, площадь съемки 1490 км2._x000D_
</t>
  </si>
  <si>
    <t>00399-24</t>
  </si>
  <si>
    <t>Изм№3 к НЗ№2 по ДД №ГЕО-22/11029/00171/Р  от 25.07.2022г.</t>
  </si>
  <si>
    <t>00400-22</t>
  </si>
  <si>
    <t>ГЕО-22/11518/00107/Р</t>
  </si>
  <si>
    <t xml:space="preserve">Соглашение о возмещении убытков при временном занятии земельных участков </t>
  </si>
  <si>
    <t>Возместить Землепользователю убытки при временном занятии  Предприятием земельных участков, для размещения объектов  «Обустройство поисково-оценочной скважины №72 Хамбатейского лицензионного участка»</t>
  </si>
  <si>
    <t>00400-23</t>
  </si>
  <si>
    <t>ДС №8 к Договору №ГЕО-22/10000/00055/Р от 17.03.2022 г.</t>
  </si>
  <si>
    <t>00400-24</t>
  </si>
  <si>
    <t>Изм№4 к НЗ№3 по ДД №ГЕО-22/11029/00171/Р  от 25.07.2022г.</t>
  </si>
  <si>
    <t>00401-22</t>
  </si>
  <si>
    <t>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ГЕО-22/10000/00057/Р</t>
  </si>
  <si>
    <t>00401-23</t>
  </si>
  <si>
    <t xml:space="preserve">Доходный ДД. _x000D_
От ПО поступил запрос на заключение Спецификации №2 на увеличение объема приобретения ДТ у ГПН-ГЕО на Оморинском ЛУ. Расчет стоимости был согласован ранее, при заключении договора и Спецификации №1. _x000D_
Оплата Товара осуществляется на условиях 100% предоплаты. Цена действительна на весь заявленный объём.       _x000D_
Передача ДТ  осуществляется при участии представителя ГПН-ГЕО (Суперинтендант, супервайзер по бурению)._x000D_
</t>
  </si>
  <si>
    <t>00401-24</t>
  </si>
  <si>
    <t>ГЕО-22/33100/00296</t>
  </si>
  <si>
    <t>00402-22</t>
  </si>
  <si>
    <t>ГЕО-21/07000/00299/Р</t>
  </si>
  <si>
    <t>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ГЕО-21/07000/00299/Р</t>
  </si>
  <si>
    <t>00402-23</t>
  </si>
  <si>
    <t>ГЕО-23/04300/00135/Р</t>
  </si>
  <si>
    <t>Соглашение об установлении сервитута в отношении части земельного участка</t>
  </si>
  <si>
    <t>Установление права ограниченного пользования в отношении части земельного участка._x000D_
Право ограниченного пользования частью земельного участка включает в себя: право беспрепятственно осуществлять проход, проезд.</t>
  </si>
  <si>
    <t>0000111687</t>
  </si>
  <si>
    <t>Администрация МО Володарский сельсо вет Первомайского района</t>
  </si>
  <si>
    <t>5639006421</t>
  </si>
  <si>
    <t>00402-24</t>
  </si>
  <si>
    <t>Изм№1 к НЗ№4 по ДД №ГЕО-22/11029/00171/Р  от 25.07.2022г.</t>
  </si>
  <si>
    <t>00403-21</t>
  </si>
  <si>
    <t xml:space="preserve">ДС№1 к Договору № ГЕО-20/11104/00210/Р от 31.12.2020 г. на оказание авиационных услуг с использованием вертолетов </t>
  </si>
  <si>
    <t>Перевод ГО в НГО в связи со смарт-паузой по проекту "Чона"</t>
  </si>
  <si>
    <t>00403-23</t>
  </si>
  <si>
    <t>ГЕО-23/33200/00130</t>
  </si>
  <si>
    <t>Применение ЭДО с Подрядчиком</t>
  </si>
  <si>
    <t>Кузнецов В.И.</t>
  </si>
  <si>
    <t>00403-24</t>
  </si>
  <si>
    <t>Изм№2 к НЗ№5 по ДД №ГЕО-22/11029/00171/Р  от 25.07.2022г.</t>
  </si>
  <si>
    <t>00404-21</t>
  </si>
  <si>
    <t>ГЕО-21/25000/00155/Р</t>
  </si>
  <si>
    <t>договор ГПХ</t>
  </si>
  <si>
    <t xml:space="preserve">Организация практики студентов программы дополнительного обучения функции «ЗАКУПКИ» </t>
  </si>
  <si>
    <t>Рябикина М.А. - Контрактный инженер по услугам капитального строительства - Управление закупок работ и услуг;</t>
  </si>
  <si>
    <t>Гоголева Александра Дмитриевна</t>
  </si>
  <si>
    <t>00404-23</t>
  </si>
  <si>
    <t>ДС №1 к договору ГЕО-23/10000/00023/Р от 30.01.2023. Исключение банковского сопровождения.</t>
  </si>
  <si>
    <t>Исключение банковкой гарантии.</t>
  </si>
  <si>
    <t>00404-24</t>
  </si>
  <si>
    <t>ГЕО-24/33200/00123</t>
  </si>
  <si>
    <t>00405-21</t>
  </si>
  <si>
    <t>Подбор технологий повышения эффективности строительства скважин в геолого-геомеханических условиях характерных для Ачимовских залежей Ханты-Мансийского региона в 2021-2023гг.</t>
  </si>
  <si>
    <t>00405-22</t>
  </si>
  <si>
    <t xml:space="preserve">Применения квалифицированной электронной подписи (УКЭП) при подписании договорных документов в целях повышения эффективности сотрудничества и взаимного снижения издержек. </t>
  </si>
  <si>
    <t>00405-23</t>
  </si>
  <si>
    <t>ДС-6 к Договору ГЕО-22/10402/00187/Р с Геолад-СТ</t>
  </si>
  <si>
    <t>00405-24</t>
  </si>
  <si>
    <t>НЗ№6 по ДД №ГЕО-22/11029/00171/Р  от 25.07.2022г.</t>
  </si>
  <si>
    <t>00406-22</t>
  </si>
  <si>
    <t>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ГЕО-20/10110/00198/Р</t>
  </si>
  <si>
    <t>00406-23</t>
  </si>
  <si>
    <t>ГЕО-23/24000/00137/Р</t>
  </si>
  <si>
    <t>Приобретение простой (неисключительной) лицензии на приложение (программный продукт) для мини ПК QBIC TD-0350</t>
  </si>
  <si>
    <t>Проведение закупки и наличие заключенного договора необходимо для использования приложения в рамках организации коворкинг-пространства ООО «ГПН-ГЕО», реализуемое в рамках приказа 82-П от 12.09.2022 (п.3 о трансформации офисного пространства).</t>
  </si>
  <si>
    <t>ООО «Симпл Чардж»</t>
  </si>
  <si>
    <t>Дополнительное соглашение к договору на оказание услуг/выполнение работ по замене перечня нарушений и штрафных санкций.</t>
  </si>
  <si>
    <t>00407-21</t>
  </si>
  <si>
    <t>ГЕО-20/10803/00003/Р</t>
  </si>
  <si>
    <t>Изменение перечня нарушений и штрафных санкций в области ПБ в соотвесвии с протоколом заочного Заседания Комитета по производственной безопасности БРД № ПТ-100.0170/0000004 от 21 апреля 2021г.</t>
  </si>
  <si>
    <t>Комплексная эксплуатация энергетического оборудования локальных месторождений нефти</t>
  </si>
  <si>
    <t>00407-22</t>
  </si>
  <si>
    <t>НАРЯД-ЗАКАЗ №31 к Договору № АНГ-19/11513/00007/Р от 14.02.2019</t>
  </si>
  <si>
    <t>31</t>
  </si>
  <si>
    <t>Оформление земельных участков для объекта: «Обустройство поисково-оценочной скважины 198 Лескинского лицензионного участка» (оформление разрешения под дополнительные земельные участки)</t>
  </si>
  <si>
    <t>00407-23</t>
  </si>
  <si>
    <t xml:space="preserve">ГЕО-19/10201/00155/Р </t>
  </si>
  <si>
    <t xml:space="preserve">ПР к ДС-10 к договору от 11.07.2019г. № ГЕО-19/10201/00155/Р </t>
  </si>
  <si>
    <t xml:space="preserve">ПР к ДС-10 к договору  № ГЕО-19/10201/00155/Р </t>
  </si>
  <si>
    <t>ПР к ДС-10, добавление уточняющего пункта вывоза МТР со стороны подрядчика</t>
  </si>
  <si>
    <t>00407-24</t>
  </si>
  <si>
    <t>Изм№4 к НЗ№2 к ДД №ГЕО-22/11029/00172/Р от 25.07.2022 (Камовская)</t>
  </si>
  <si>
    <t>00408-21</t>
  </si>
  <si>
    <t>ГЕО-21/00000/00147</t>
  </si>
  <si>
    <t>В рамках перехода на ЭДО</t>
  </si>
  <si>
    <t>00408-22</t>
  </si>
  <si>
    <t>ДС №2 к АД ГЕО-21/20000/00286/Д от 16.12.2021 Шлюмберже Лод.</t>
  </si>
  <si>
    <t>00408-23</t>
  </si>
  <si>
    <t>Наряд-задание № 2 к договору ГЕО-19/09000/00303/Р от 15.11.2019</t>
  </si>
  <si>
    <t>НЗ №2 к договору ГЕО-19/09000/00303/Р</t>
  </si>
  <si>
    <t>Организации работы здравпунктов и оказанию медицинских услуг с компанией ООО «ММЦ Профмедицина» (Оморинский ЛУ),</t>
  </si>
  <si>
    <t>00408-24</t>
  </si>
  <si>
    <t>Изм№3 к НЗ№5 к ДД №ГЕО-22/11029/00172/Р от 25.07.2022 (Камовская)</t>
  </si>
  <si>
    <t>00409-21</t>
  </si>
  <si>
    <t>ГЕО-21/01200/00153/Р</t>
  </si>
  <si>
    <t xml:space="preserve">В соответствии с договором №АНГ-18/10204/00243/Р от 19.11.2018г. _x000D_
ООО «Газпром бурение» оказывали услуги по бурению эксплуатационных/разведочных скважин на Игнялинском ЛУ, на основании п.12 раздела 9 Приложения 1 к Техническому заданию, ООО «Газпром бурение» обеспечивает укладку дорожных плит ПДН под БУ с последующей реализацией Заказчику по остаточной стоимости после окончания строительства скважины._x000D_
 В целях выполнения условий Договора №АНГ-18/10204/00243/Р от 19.11.2018г., а также принимая во внимание, что предложенное коммерческое предложение на поставку дорожных плит ПДН не превышает рыночной стоимости, предлагается произвести закупку у ООО «Газпром бурение» </t>
  </si>
  <si>
    <t>Мячина Мария Валерьевна</t>
  </si>
  <si>
    <t>00409-23</t>
  </si>
  <si>
    <t xml:space="preserve">Изменение рквизитов </t>
  </si>
  <si>
    <t>00409-24</t>
  </si>
  <si>
    <t>НАРЯД-ЗАКАЗ №3 к Договору № ГЕО-23/10000/00094/Р от 01.06.2023</t>
  </si>
  <si>
    <t>Оформление земельных участков для проекта «ЧОНА» Игнялинского ЛУ.</t>
  </si>
  <si>
    <t>00410-21</t>
  </si>
  <si>
    <t>Выполнение научно-технических работ и оказание услуг по теме "Бизнес технологический продукт Ачимовская скважина"</t>
  </si>
  <si>
    <t>00410-22</t>
  </si>
  <si>
    <t>00410-23</t>
  </si>
  <si>
    <t>Наряд-заказ № 7 к договору ГЕО-21/11505/00195/Р от 24.08.2021 г.</t>
  </si>
  <si>
    <t>Выполнение аэрофотосъемки на Тас-Юряхском и Верхневилючанском ЛУ для нужд ГПН-Заполярье, согласно агентской схемы.</t>
  </si>
  <si>
    <t>Выполнение цифровой аэрофотосъемки и воздушно-лазерного сканирования с пилотируемых и беспилотных воздушных средств, геофизических съемок с беспилотных воздушных средств на территории РФ</t>
  </si>
  <si>
    <t>00410-24</t>
  </si>
  <si>
    <t>ГЕО-24/01230/00146/Р</t>
  </si>
  <si>
    <t>МСЗ закупка СКЗИ</t>
  </si>
  <si>
    <t xml:space="preserve">Проведение закупки средств крипто графической защиты.
</t>
  </si>
  <si>
    <t>договор купли-продажи программного обеспечения для ЭВМ и баз данных</t>
  </si>
  <si>
    <t>00411-21</t>
  </si>
  <si>
    <t xml:space="preserve">ГЕО-20/10808/00203/Р </t>
  </si>
  <si>
    <t>Эксплуатация и обслуживание теплоэнергетического оборудования, сетей тепловодоснабжения и канализации (котлы, арт. скважины, станции обезжелезивания, эл. оборудование котельных,  узлов учета тепловой энергии и воды,оборудования водоподготовки и очистки хозяйственно-бытовых стоков  и т.д.)</t>
  </si>
  <si>
    <t>00411-22</t>
  </si>
  <si>
    <t>Оценка рисков и прогнозирование процессов образования АСПО при закачке газа в свободном объёме флюида и поровом пространстве породы коллектора</t>
  </si>
  <si>
    <t>НТЦ-01500-22Д-ГЕО</t>
  </si>
  <si>
    <t>Целесообразность работ обусловлено необходимостью получения полной и достоверной информации о свойствах горных пород и пластовых флюидов, необходимой для решения геолого-промысловых задач поиска, разведки и добычи углеводородов</t>
  </si>
  <si>
    <t>00411-23</t>
  </si>
  <si>
    <t>ГЕО-23/33100/00132</t>
  </si>
  <si>
    <t>Выполнение работ по организации системы усиления сотовой связи</t>
  </si>
  <si>
    <t>00411-24</t>
  </si>
  <si>
    <t>ДС№3 к ДД № ГЕО-23/10000/00093/Р от 01.06.2023г. Газпром газобезопасность, ООО</t>
  </si>
  <si>
    <t>ДС№3 к ДД № ГЕО-23/10000/00093/Р от 01.06.2023г. Газпром газобезопасность, ООО.  Добавление компенсации УМО.</t>
  </si>
  <si>
    <t>00412-22</t>
  </si>
  <si>
    <t>Соглашение о перемене лица в обязательстве</t>
  </si>
  <si>
    <t>Заключение соглашения о перемене лица в обязательстве (10306)</t>
  </si>
  <si>
    <t>0000039514</t>
  </si>
  <si>
    <t>ООО "БурСервис"; 
Филиал компании Халлибуртон Интерн эшнл ГмбХ</t>
  </si>
  <si>
    <t>9909004922</t>
  </si>
  <si>
    <t>00412-23</t>
  </si>
  <si>
    <t>Задание № 36 к Договору № ГЕО-20/10986/00138/Р от 10.08.2020 г.</t>
  </si>
  <si>
    <t>36</t>
  </si>
  <si>
    <t>Оказание услуг супервайзинга на проекте проект проект «Офис СПБ»</t>
  </si>
  <si>
    <t>00412-24</t>
  </si>
  <si>
    <t>Наряд-заказ №7 к договору ГЕО-23/09000/00041/Р</t>
  </si>
  <si>
    <t>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Оморинском ЛУ</t>
  </si>
  <si>
    <t>00413-23</t>
  </si>
  <si>
    <t>Изм.№4 к наряд-заказу №1 к №ГЕО-22/11029/00171/Р  от 25.07.2022г.</t>
  </si>
  <si>
    <t>Изм.№4 к наряд-заказу №1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</si>
  <si>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00413-24</t>
  </si>
  <si>
    <t>ГЕО-24/10000/00132/Р</t>
  </si>
  <si>
    <t>Договор с ООО «НСХ АЗИЯ ДРИЛЛИНГ» на бурение геологоразведочных скважин по суточной ставке или фиксированной ставке (в т.ч. мобильными установками)</t>
  </si>
  <si>
    <t xml:space="preserve">Бурение геологоразведочных скважин по суточной или фиксированной ставке (в т.ч. мобильными установками) на проекте Южный Оренбург </t>
  </si>
  <si>
    <t>483221334.01</t>
  </si>
  <si>
    <t>00414-21</t>
  </si>
  <si>
    <t>Подбор технологий повышения эффективности строительства скважин в геолого-геомеханических условиях характерных для  Ачимовских залежей Ноябрьского региона в 2021-2022гг.</t>
  </si>
  <si>
    <t>00414-23</t>
  </si>
  <si>
    <t>Изм.№2 к наряд-заказу №2 К Договору №ГЕО-22/11029/00171/Р от 25.07.2022</t>
  </si>
  <si>
    <t>ИЗ№2 к наряд-заказу №2 К Договору №ГЕО-22/11029/00171/Р</t>
  </si>
  <si>
    <t>Изм.№2 к наряд-заказу №2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</si>
  <si>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00414-24</t>
  </si>
  <si>
    <t>Дополнительное соглашение №7  к Договору № АНГ-19/11513/00010/Р от 18.02.2019</t>
  </si>
  <si>
    <t>1. Продление срока действия договора на последующие 3 года, а именно до 31.12.2027г 
2. Изменение текущего порядка оплаты.
3. Распределение общего объема работ на период 2019-2027гг, без увеличения ориентировочного общего количества.</t>
  </si>
  <si>
    <t>00415-21</t>
  </si>
  <si>
    <t>ГЕО-21/11513/00156/Р</t>
  </si>
  <si>
    <t>Договор на выполнение комплекса маркшейдерских и землеустроительных работ на Солнечном, Корноваринском, Надеждинском, Западно-Рубежинском и Первомайском лицензионных участках</t>
  </si>
  <si>
    <t>Выполнение ООО «ГПН-ГЕО» маркшейдерско-землеустроительных работ по проекту «Южный Оренбург» для новых скважин</t>
  </si>
  <si>
    <t>00415-23</t>
  </si>
  <si>
    <t>Изм.№3 к наряд-заказу №3 к договору №ГЕО-22/11029/00171/Р  от 25.07.2022г.</t>
  </si>
  <si>
    <t>Изм.№3 к наряд-заказу №3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</si>
  <si>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00415-24</t>
  </si>
  <si>
    <t>ДС №3 к №ГЕО-23/10000/00035/Р от 10.02.2023г. с БурСервис,ООО</t>
  </si>
  <si>
    <t>ДС №3 к №ГЕО-23/10000/00035/Р от 10.02.2023г. с БурСервис,ООО НГО в ГО</t>
  </si>
  <si>
    <t>00416-23</t>
  </si>
  <si>
    <t>Задание №43 к Договору № ГЕО-20/10986/00138/Р от 10.08.2020 г.</t>
  </si>
  <si>
    <t xml:space="preserve">Задание №43 </t>
  </si>
  <si>
    <t>на привлечение супервайзера производственной безопасности на проекте «Оморинский ЛУ» региона «Сибирский федеральный округ» (Салаирская площадь (скв. Сал3), Камовская площадь (скв. Км4)) для экспертной поддержки по вопросам производственной безопасности на всех жизненных циклах проекта.</t>
  </si>
  <si>
    <t>00416-24</t>
  </si>
  <si>
    <t>ДОПОЛНИТЕЛЬНОЕ СОГЛАШЕНИЕ № 5 к Договору №ГЕО-21/11104/00291/Р от 24.12.2021 г. с Ютэйр</t>
  </si>
  <si>
    <t>Индексация + раскрытие НГО</t>
  </si>
  <si>
    <t>00417-21</t>
  </si>
  <si>
    <t>ГЕО-21/26000/00150</t>
  </si>
  <si>
    <t>Обмен конфиденциальной информацией в рамках деятельности по договорам на выполнение ГИС, ГДИС, ПВР</t>
  </si>
  <si>
    <t>00417-22</t>
  </si>
  <si>
    <t>Договору №ГЕО-20/11014/00070/Р от 06.05. 2020 года</t>
  </si>
  <si>
    <t>Н-З №4 к  Договору №ГЕО-20/11014/00070/Р от 06.05. 2021 года</t>
  </si>
  <si>
    <t>Заключения Наряд-заказа №4 по договору № ГЕО-20/11014/00070/Р от 06.05.2020 г. с ООО «Техно-Сервис»</t>
  </si>
  <si>
    <t>00417-23</t>
  </si>
  <si>
    <t xml:space="preserve">ДС№3 к Договору №ГЕО-22/10000/00225/Р от 20.09.2022 </t>
  </si>
  <si>
    <t>Дополнительное соглашение №3 к Договору №ГЕО-22/10000/00225/Р от 20.09.2022 "на бурение геологоразведочных скважин по суточной ставке или фиксированной ставке (в т.ч. мобильными установками)". Камовская площадь.  Актуализация ОЭДК в соответствии с протоколом №ПТ -100.0359/0000154 от 23.11.2021. Оценка ежемесячно.</t>
  </si>
  <si>
    <t>00417-24</t>
  </si>
  <si>
    <t>Дополнительное соглашение № 4 к Договору №ГЕО-23/10000/00223/Р от 18.12.2023 г.</t>
  </si>
  <si>
    <t xml:space="preserve">Дополнительное соглашение № 4
</t>
  </si>
  <si>
    <t>00418-21</t>
  </si>
  <si>
    <t>ДС №2 к Договору на проведение операции по закачке азота в пласт № ГЕО-21/10421/00132/Р от 14 июня 2021 г.</t>
  </si>
  <si>
    <t xml:space="preserve">_x000D_
</t>
  </si>
  <si>
    <t>00418-23</t>
  </si>
  <si>
    <t xml:space="preserve">ДС№3 к Договору №ГЕО-22/10000/00226/Р от 20.09.2022   </t>
  </si>
  <si>
    <t>Дополнительное соглашение №3 к Договору №ГЕО-22/10000/00226/Р от 20.09.2022 "на бурение геологоразведочных скважин по суточной ставке или фиксированной ставке (в т.ч. мобильными установками)". Камовская площадь. скв. САЛ.3 Салаирская площадь. Актуализация ОЭДК в соответствии с протоколом №ПТ -100.0359/0000154 от 23.11.2021. Оценка ежемесячно.</t>
  </si>
  <si>
    <t>00418-24</t>
  </si>
  <si>
    <t>Дополнительное соглашение № 3 к договору ГЕО-23/09000/00149/Р от «28» августа 2023 г.</t>
  </si>
  <si>
    <t>Заключение Дополнительного соглашения к договору №ГЕО-23/09000/00149/Р ОТ 28.08.2023 г., предусматривающее включение новой единичной расценки, без увеличения стоимости договора</t>
  </si>
  <si>
    <t>00419-22</t>
  </si>
  <si>
    <t>Сервис по формированию бизнес-заказа на разработку технологий</t>
  </si>
  <si>
    <t>НТЦ-03211-21Д-ГЕО</t>
  </si>
  <si>
    <t>Целесообразность работ обусловлена подготовкой бизнес-заказа на технологии с целью повышения эффективности разведки и добычи</t>
  </si>
  <si>
    <t>00419-23</t>
  </si>
  <si>
    <t>ДС №6 к Договору №ГЕО-22/10000/00053/Р от 14.03.2022 г.</t>
  </si>
  <si>
    <t>Перенос неосвоенного гарантированного объема услуг 2022 года в гарантированный объем 2023 года, за счет увеличения объема необходимых ставок в 2023 году, и уменьшения невостребованных ставок 2022 года, без увеличения единичных расценок и общей цены договора.</t>
  </si>
  <si>
    <t>00419-24</t>
  </si>
  <si>
    <t>Изменение № 2 к Заявке № 7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</si>
  <si>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Ведущего специалиста по экологической безопасности – гидрогеолога</t>
  </si>
  <si>
    <t>00420-21</t>
  </si>
  <si>
    <t>№ГЕО-19/11100/00241/Р от 17.09.2019 г.</t>
  </si>
  <si>
    <t xml:space="preserve">ДС №6 к Договору № ГЕО-19/11100/00241/Р от 17.09.2019 г. на оказание авиационных услуг с использованием вертолетов </t>
  </si>
  <si>
    <t>Перевод НГО 2019г. и 2020г. в ГО 2021г. и актуализация формата оценочного листа</t>
  </si>
  <si>
    <t>00420-22</t>
  </si>
  <si>
    <t>Выполнение инженерных изысканий по объекту «Строительство разведочной скважины Км-4 Оморинского лицензионного участка»</t>
  </si>
  <si>
    <t>00420-23</t>
  </si>
  <si>
    <t>Заказ №6/23 по теме: Тестирование технологических жидкостей на керне Ямбургского месторождения</t>
  </si>
  <si>
    <t>6/23-297</t>
  </si>
  <si>
    <t>Цель проведения работ вызвана необходимостью выполнить ряд фильтрационных экспериментов на керновом материале – Ямбургского месторождения для оценки степени изменения ФЕС в зависимости от различных вариантов систем жидкостей ГРП и последующего освоения.</t>
  </si>
  <si>
    <t>00420-24</t>
  </si>
  <si>
    <t>ГЕО-24/33200/00124</t>
  </si>
  <si>
    <t>Соглашение с ООО "НСХ АЗИЯ ДРИЛЛИНГ", содержащее условия применения УКЭП при подписании ДД (ЭД в части ДД)</t>
  </si>
  <si>
    <t>Переход на электронный документооборот по Договору с ООО "НСХ АЗИЯ ДРИЛЛИНГ"</t>
  </si>
  <si>
    <t>00421-21</t>
  </si>
  <si>
    <t>ГЕО-21/10968/00164/Р</t>
  </si>
  <si>
    <t>Договор на оказание возмездных услуг по обращению с отходами производства и потребления</t>
  </si>
  <si>
    <t>Исполнитель обязуется оказать услуги по обращению с отходами производства и потребления в соответствии с Техническим заданием, а Заказчик принять и оплатить надлежаще оказанные Исполнителем услуги</t>
  </si>
  <si>
    <t>00421-22</t>
  </si>
  <si>
    <t>Выполнение проектных работ по объекту «Строительство разведочных скважин №4, №4бис Камовской площади Оморинского лицензионного участка»</t>
  </si>
  <si>
    <t>00421-23</t>
  </si>
  <si>
    <t>ГЕО-18/09000/00059/Д</t>
  </si>
  <si>
    <t>Соглашение о расторжении договора передачи полномочий исполнительного органа ООО "Карабашские-6"</t>
  </si>
  <si>
    <t>СОР Д ГЕО-18/09000/00059/Д</t>
  </si>
  <si>
    <t>Решение единственного участника от 24.07.2023</t>
  </si>
  <si>
    <t>Жолобов Е.В.</t>
  </si>
  <si>
    <t xml:space="preserve">ООО Карабашские-6 </t>
  </si>
  <si>
    <t>Договор доверительного управления имуществом</t>
  </si>
  <si>
    <t>00421-24</t>
  </si>
  <si>
    <t>ГЕО-24/33200/00126</t>
  </si>
  <si>
    <t>Организация электронного документооборота с контрагентом ООО "НСХ АЗИЯ ДРИЛЛИНГ"</t>
  </si>
  <si>
    <t>00422-21</t>
  </si>
  <si>
    <t>00422-23</t>
  </si>
  <si>
    <t>ГЕО-23/26000/00134</t>
  </si>
  <si>
    <t>Заключение СоК с целью дальнейшего потенциального сотрудничества с контрагентом</t>
  </si>
  <si>
    <t>ЗАО ПУРГАЗ</t>
  </si>
  <si>
    <t>00422-24</t>
  </si>
  <si>
    <t>ГЕО-24/33100/00127</t>
  </si>
  <si>
    <t>33100 Соглашение в области производственной безопасности с ООО "НСХ АЗИЯ ДРИЛЛИНГ"</t>
  </si>
  <si>
    <t>00423-21</t>
  </si>
  <si>
    <t>ГЕО-21/26000/00157</t>
  </si>
  <si>
    <t>Договор о конфиденциальности к договору ГПХ Гоголева А.Д.</t>
  </si>
  <si>
    <t>10401 Типовой договор (мастер-форма) на проведение текущего ремонта и освоения скважин</t>
  </si>
  <si>
    <t>00423-23</t>
  </si>
  <si>
    <t>ГЕО-23/10401/00138/Р</t>
  </si>
  <si>
    <t xml:space="preserve">10401 Типовой договор (мастер-форма) на ГРП </t>
  </si>
  <si>
    <t>Выполнение работ по гидравлическому разрыву пласта на Северо-Ямбургском ЛУ</t>
  </si>
  <si>
    <t>0000038756</t>
  </si>
  <si>
    <t xml:space="preserve">ЗАО СП МеКаМинефть </t>
  </si>
  <si>
    <t>8620006279</t>
  </si>
  <si>
    <t>Текущий ремонт и освоение скважин</t>
  </si>
  <si>
    <t>76589257</t>
  </si>
  <si>
    <t>Гидравлический разрыв пласта</t>
  </si>
  <si>
    <t>00423-24</t>
  </si>
  <si>
    <t>Изменение №4 к Заявке № 5 к договору № ГЕО-23/09000/00149/Р от 28.08.2023 г.</t>
  </si>
  <si>
    <t>Рассмотрение вопроса о возможности заключения Изменения №4 к Заявке №5 на привлечение руководителя группы по производственной безопасности для проекта «Оморинский», Камовская площадь в рамках договора №ГЕО-23/09000/00149/Р от «28» августа 2023 г. с ООО «Свифт Текникал», на оказание услуг по предоставлению труда работников (персонала).</t>
  </si>
  <si>
    <t>00424-22</t>
  </si>
  <si>
    <t xml:space="preserve">1 </t>
  </si>
  <si>
    <t>Изменение сроков и объемов работ и уменьшение стоимости в связи с исключением этапов по объекту «Строительство поисково-оценочной скважины №198 Лескинского лицензионного участка»</t>
  </si>
  <si>
    <t>00424-23</t>
  </si>
  <si>
    <t>ГЕО-23/33200/00136</t>
  </si>
  <si>
    <t>00424-24</t>
  </si>
  <si>
    <t>ДС №3 к Договору №ГЕО-22/10000/00273/Р от 10.10.2022 г.</t>
  </si>
  <si>
    <t>Переименование квалифицированной сейсмической партии</t>
  </si>
  <si>
    <t>00425-21</t>
  </si>
  <si>
    <t>ГЕО-18/00000/00071/Р от 25.12.2018</t>
  </si>
  <si>
    <t>00425-22</t>
  </si>
  <si>
    <t>ДС № 3 к Договору № ГЕО-21/10110/00217/Р</t>
  </si>
  <si>
    <t>Выплата материальной мотивации</t>
  </si>
  <si>
    <t>00425-23</t>
  </si>
  <si>
    <t>ГЕО-23/33100/00139</t>
  </si>
  <si>
    <t>ЗАО "СП "МеКаМинефть"</t>
  </si>
  <si>
    <t>00425-24</t>
  </si>
  <si>
    <t>ДОПОЛНИТЕЛЬНОЕ СОГЛАШЕНИЕ № 11 К ДОГОВОРУ № ГЕО-21/09000/00198/Р от 06.09.2021 г.  возмездного оказания услуг по охране объектов</t>
  </si>
  <si>
    <t>Продление срока действия Договора и сроков оказания услуг до 31.12.2024 г.
Перераспределение объёмов услуг между статьями затрат, с уменьшением общей стоимости договора.</t>
  </si>
  <si>
    <t>Уколов И.С.</t>
  </si>
  <si>
    <t>00426-21</t>
  </si>
  <si>
    <t>ГЕО-21/26000/00159</t>
  </si>
  <si>
    <t>Необходимость передачи конфиденциальной информации в рамках технической сессии по обмену опытом по реализованным геологоразведочным мероприятиям и полученным результатам.</t>
  </si>
  <si>
    <t>Исхакова А.Р.</t>
  </si>
  <si>
    <t>АО "НК "Нефтиса"</t>
  </si>
  <si>
    <t>00426-22</t>
  </si>
  <si>
    <t>Дополнительное соглашение 2 к договору ГЕО-21/10110/00239/Р от 18.10.2021</t>
  </si>
  <si>
    <t>00426-23</t>
  </si>
  <si>
    <t>ГЕО-23/33400/00146</t>
  </si>
  <si>
    <t xml:space="preserve">Предоставление доступа к автоматизированной информационной системе удаленного доступа к информационным ресурсам «СУДИР» для организации работы Подрядной организации в программных продуктах Заказчика (по подаче заявки)_x000D_
</t>
  </si>
  <si>
    <t>00426-24</t>
  </si>
  <si>
    <t>Переход на электронный документооборот.</t>
  </si>
  <si>
    <t>Паркина И.А.</t>
  </si>
  <si>
    <t>00427-21</t>
  </si>
  <si>
    <t>ГЕО-19/09000/00292/Р от 04.12.2019</t>
  </si>
  <si>
    <t>ДС №4 к Договору ГЕО-19/09000/00292/Р от 04.12.2019</t>
  </si>
  <si>
    <t>00427-22</t>
  </si>
  <si>
    <t xml:space="preserve">Дополнительное соглашение №1 к договору №ГЕО-22/09000/00066/Р от 30.03.2022г </t>
  </si>
  <si>
    <t>применить новые сроки оплаты, в соответствии с пунктом 1.2.7. Протокола ЭС по управлению взаимоотношениями с контрагентами БРД ПАО «Газпром нефть» от 09.03.2022 (14 к.дн.)</t>
  </si>
  <si>
    <t>00427-23</t>
  </si>
  <si>
    <t>ДС 1 к ГЕО-23/20000/00065/Д от 29.03.2023 с АО "ССК" Томский филиал</t>
  </si>
  <si>
    <t>00427-24</t>
  </si>
  <si>
    <t>ГЕО-24/10000/00140/Р</t>
  </si>
  <si>
    <t>10116 Договор с ООО "РАИФ" на освоение скважин струйными насосами</t>
  </si>
  <si>
    <t xml:space="preserve">Оказание услуг по освоению скважин струйным насосам по заказу ООО «ГПН-ГЕО» на территории ЯНАО, Красноярского края, Оренбургской и Иркутской областей. </t>
  </si>
  <si>
    <t>Каныгин Д.О.</t>
  </si>
  <si>
    <t>0000073836</t>
  </si>
  <si>
    <t xml:space="preserve">ООО РАИФ </t>
  </si>
  <si>
    <t>1658105798</t>
  </si>
  <si>
    <t>4225183.38</t>
  </si>
  <si>
    <t>00428-23</t>
  </si>
  <si>
    <t>00428-24</t>
  </si>
  <si>
    <t>ГЕО-24/04300/00131/Р</t>
  </si>
  <si>
    <t>возмещение убытков сельскохозяйственного производства при временном занятии части земельного участка для строительства промышленных и иных объектов, в том числе (но не ограничиваясь) для размещения бурового оборудования при бурении разведочной скважины 342 Корнаваринского лицензионного участка и размещения подъездного пути к скважине</t>
  </si>
  <si>
    <t>00429-21</t>
  </si>
  <si>
    <t>ГЕО-19/09000/00038/Р от 14.03.2019</t>
  </si>
  <si>
    <t>ДС № 4 к договору ГЕО-19/09000/00038/Р от 14.03.2019</t>
  </si>
  <si>
    <t>00429-22</t>
  </si>
  <si>
    <t>ГЕО-22/09000/00177/Д</t>
  </si>
  <si>
    <t>Научно-методическое сопровождение обработки данных сейсморазведочных работ 3D, 2D и геофизических исследований скважин в пределах Западно-Юбилейных лицензионных участков</t>
  </si>
  <si>
    <t>Осуществление научно-методического сопровождения обработки данных сейсморазведочных работ 3D, 2D и геофизических исследований скважин в пределах Западно-Юбилейных лицензионных участков</t>
  </si>
  <si>
    <t>00429-23</t>
  </si>
  <si>
    <t>Наряд-задание № 3 к договору ГЕО-19/09000/00303/Р от 15.11.2019</t>
  </si>
  <si>
    <t>00429-24</t>
  </si>
  <si>
    <t>ГЕО-24/33200/00128</t>
  </si>
  <si>
    <t>00430-21</t>
  </si>
  <si>
    <t>НТЦ-01450-21Д</t>
  </si>
  <si>
    <t xml:space="preserve">Информационно-консультационные услуги в формате вебинара по теме: _x000D_
«Обработка данных сейсморазведки», 12.07.2021-14.07.2021, Грановский А.М., Гордиенко А.В, Коротков А.Б.._x000D_
</t>
  </si>
  <si>
    <t>00430-23</t>
  </si>
  <si>
    <t xml:space="preserve">ГЕО-21/101108/00194/Р </t>
  </si>
  <si>
    <t>ДОГОВОР НА ВЫПОЛНЕНИЕ РАБОТ ПО СПЕЦИАЛЬНЫМ ЛАБОРАТОРНЫМ ИССЛЕДОВАНИЯМ КЕРНА И ПЛАСТОВЫХ ФЛЮИДОВ</t>
  </si>
  <si>
    <t>Перевод части негарантированного объема услуг в гарантированный.</t>
  </si>
  <si>
    <t>Яковенко А.В.</t>
  </si>
  <si>
    <t>0000025072</t>
  </si>
  <si>
    <t xml:space="preserve">АО ВНИИнефть </t>
  </si>
  <si>
    <t>7713080756</t>
  </si>
  <si>
    <t>00430-24</t>
  </si>
  <si>
    <t>Изменение №3 к Заявке № 10 к договору № ГЕО-23/09000/00149/Р от «28» августа 2023 г.</t>
  </si>
  <si>
    <t>1.	Изложить раздел 1, Заявки № 10 к договору о предоставлении труда работников (персонала) № ГЕО-23/09000/00149/Р от 28.08.2023 г. в части Ф.И.О. работника в следующей редакции:
- Демидов Денис Дмитриевич.
- Кочетков Сергей Сергеевич.</t>
  </si>
  <si>
    <t>00431-23</t>
  </si>
  <si>
    <t>ГЕО-21/101108/00194/Р</t>
  </si>
  <si>
    <t>Заказ 3 к Договору № ГЕО-21/101108/00194/Р от «23» августа 2021 г.</t>
  </si>
  <si>
    <t>Заказ-наряд на выполнение работ по определению давления смесимости с использованием моделей рекомбинированной до пластовых условий нефти в пластовых термобарических условиях</t>
  </si>
  <si>
    <t>00431-24</t>
  </si>
  <si>
    <t>Изменение №1 к Заявке № 19 к договору № ГЕО-23/09000/00149/Р от «28» августа 2023 г.</t>
  </si>
  <si>
    <t>1.	Изложить раздел 1, Заявки № 19 к договору о предоставлении труда работников (персонала) № ГЕО-23/09000/00149/Р от 28.08.2023 г. в части Ф.И.О. работника в следующей редакции:
- Антохин Евгений Анатольевич.
- Гришин Андрей Васильевич.</t>
  </si>
  <si>
    <t>00432-21</t>
  </si>
  <si>
    <t>Соглашение к АНГ-19/11513/00010/Р</t>
  </si>
  <si>
    <t>Исполнение приказа №85-П от 07.06.2021, замена перечня штрафных санкций в области ПБ</t>
  </si>
  <si>
    <t>00432-23</t>
  </si>
  <si>
    <t>ГЕО-23/09000/00142/Д</t>
  </si>
  <si>
    <t xml:space="preserve">Рамочный договор </t>
  </si>
  <si>
    <t>Выполнение научно-технических работ и оказание научно-технических услуг.</t>
  </si>
  <si>
    <t>00432-24</t>
  </si>
  <si>
    <t>Спецификация №4 к Договору № ГЕО-22/01200/00328/Р</t>
  </si>
  <si>
    <t>Реализация палатки ПКП-А36 (инв. № 104000088, код SAP 770000822791)) в количестве 1 шт. из ООО "Гыдан Энерджи" в ООО "ГПН-ГЕО" для проекта "Оморинский" (Км-4бис)</t>
  </si>
  <si>
    <t>00433-22</t>
  </si>
  <si>
    <t>ГЕО-19/09000/00084Р</t>
  </si>
  <si>
    <t>Договор об оказании услуг</t>
  </si>
  <si>
    <t>Исполнитель обязуется по заданию Заказчика оказать услуги (в рамках договоров, соглашений, контрактов и т.д., заключенных с авиакомпаниями, гостиницами, транспортными предприятиями и другими поставщиками услуг) по организации деловых поездок сотрудников Заказчика (в том числе и групповых)</t>
  </si>
  <si>
    <t>00433-23</t>
  </si>
  <si>
    <t>ГЕО-23/09000/00140/Р</t>
  </si>
  <si>
    <t>на оказание услуг по проведению медицинских осмотров</t>
  </si>
  <si>
    <t xml:space="preserve">Целью проведения медицинских осмотров сотрудников ООО «ГПН-ГЕО» и подрядных организаций на площадке в с. Богучаны, Красноярского края, является минимизации рисков в области охраны здоровья, не допуск к заезду на ЛУ лиц с признаками инфекционных заболеваний, повышенным артериальным давлением или в состоянии алкогольного опьянения. </t>
  </si>
  <si>
    <t>00433-24</t>
  </si>
  <si>
    <t>00434-21</t>
  </si>
  <si>
    <t>Соглашение к АНГ-19/11513/00007/Р</t>
  </si>
  <si>
    <t>00434-22</t>
  </si>
  <si>
    <t>Построение предварительного базового концепта разработки проекта «Чона</t>
  </si>
  <si>
    <t>НТЦ-03406-21Д-ГЕО</t>
  </si>
  <si>
    <t>• Комплексное сопровождение работ и создание предварительной базовой интегрированной концепции разработки Игнялинского, Тымпучиканского и Вакунайского ЛУ</t>
  </si>
  <si>
    <t>00434-23</t>
  </si>
  <si>
    <t>Изменение №1 к НЗ№8. Защита Югры, ООО к ДД № ГЕО-22/10000/00144/Р от 27.06.2022г.</t>
  </si>
  <si>
    <t>Изм. №1 к НЗ №8 на оказание услуг в области пожарной безопасности по проекту «Чона» (выделение пневмоангара)</t>
  </si>
  <si>
    <t>00434-24</t>
  </si>
  <si>
    <t>ДС№7 к №ГЕО-22/10000/00225/Р от 20.09.2022г. с ССК, АО</t>
  </si>
  <si>
    <t>00435-21</t>
  </si>
  <si>
    <t>00435-22</t>
  </si>
  <si>
    <t>Изменение №1 к Заказу №1</t>
  </si>
  <si>
    <t>Корректировка КП без изменения стоимости Заказа №1</t>
  </si>
  <si>
    <t>Ваганов А.В.</t>
  </si>
  <si>
    <t>00435-23</t>
  </si>
  <si>
    <t xml:space="preserve">Наряд-заказ №3 на оказание услуг по Договору № ГЕО-22/10000/00053/Р от 14.03.2022 г. </t>
  </si>
  <si>
    <t>00435-24</t>
  </si>
  <si>
    <t>ГЕО-24/33400/00129</t>
  </si>
  <si>
    <t>Соглашение о безопасном использовании информационных систем. РИМЕРА-Сервис, ООО</t>
  </si>
  <si>
    <t>Соглашение с РИМЕРА-Сервис, ООО</t>
  </si>
  <si>
    <t>00436-22</t>
  </si>
  <si>
    <t>ДС №3 к Договору №ГЕО-22/10000/00055/Р от 17.03.2022 г. (ГТИ Титан)</t>
  </si>
  <si>
    <t>Перевод части негарантированного объема работ в гарантированный</t>
  </si>
  <si>
    <t>00436-23</t>
  </si>
  <si>
    <t>Стандартные и специальные исследования керна по скважине 1ПО Северо-Ямбургского месторождения</t>
  </si>
  <si>
    <t>9/23-297</t>
  </si>
  <si>
    <t>получение информации по коллекторам Сев-Ямбургского месторождения</t>
  </si>
  <si>
    <t>00436-24</t>
  </si>
  <si>
    <t>ГЕО-24/20000/00148/Р</t>
  </si>
  <si>
    <t>Агентский договор с ООО "ГПБ-Факторинг"</t>
  </si>
  <si>
    <t>00437-21</t>
  </si>
  <si>
    <t>ГЕО-21/26000/00154</t>
  </si>
  <si>
    <t>СОК. Обязательство по предоставлению Подрядчику и неразглашению информации представляющей коммерческую тайну</t>
  </si>
  <si>
    <t>Лачугин Д.С.</t>
  </si>
  <si>
    <t>ООО "Бейсип-ГеоТех"</t>
  </si>
  <si>
    <t>00437-23</t>
  </si>
  <si>
    <t>MOS/23/0137-F/ГЕО-23/09000/00142/Д от «25» августа 2023г.</t>
  </si>
  <si>
    <t>Заказ № 1</t>
  </si>
  <si>
    <t>Формирование стратегии Технологического полигона и дизайна ОПР с подбором технологических элементов скважин на Верхнесалымском МР.</t>
  </si>
  <si>
    <t>Метелкин Д.В</t>
  </si>
  <si>
    <t>00437-24</t>
  </si>
  <si>
    <t>ГЕО-24/33200/00130</t>
  </si>
  <si>
    <t>Соглашение об электронном документообороте.</t>
  </si>
  <si>
    <t xml:space="preserve">ООО Астрон </t>
  </si>
  <si>
    <t>00438-22</t>
  </si>
  <si>
    <t>Дополнительное соглашение № 7 к договору № ОРН-20/10204/00210/Р от 14.02.2020г</t>
  </si>
  <si>
    <t>Раскрытие негарантированной части (испытание скважин)</t>
  </si>
  <si>
    <t>00438-23</t>
  </si>
  <si>
    <t>Дополнительное соглашение №10 к Договору о выполнении операторских работ и оказании операторских услуг (Оморинский ЛУ)</t>
  </si>
  <si>
    <t>ДС № 10 к Д № ГЕО-18/00000/00025Д</t>
  </si>
  <si>
    <t>Уточнение условий авансирования закупки МТР в рамках операторских услуг (п. 2.4. Договора) в части получения, размера, сроков и порядок погашения аванса, без изменения стоимости договора.</t>
  </si>
  <si>
    <t>00438-24</t>
  </si>
  <si>
    <t>ГЕО-24/10000/00136/Р</t>
  </si>
  <si>
    <t>Договор с ООО "АСТ" на оказание услуг по обращению с отходами бурения</t>
  </si>
  <si>
    <t xml:space="preserve">Вывоз отходов с Сергинского речного порта и размещение на специализированном полигоне </t>
  </si>
  <si>
    <t>0000117178</t>
  </si>
  <si>
    <t xml:space="preserve">ООО АСТ </t>
  </si>
  <si>
    <t>8610017930</t>
  </si>
  <si>
    <t>883117.5</t>
  </si>
  <si>
    <t>00439-21</t>
  </si>
  <si>
    <t>ГЕО-21/25000/00161/Р</t>
  </si>
  <si>
    <t>Оказание услуг по заполнению базы данных по крупным проектам ГРР</t>
  </si>
  <si>
    <t>Заможний Е.А.</t>
  </si>
  <si>
    <t>Управление перспективного развития и сравнительного анализа</t>
  </si>
  <si>
    <t>Андреев Илья</t>
  </si>
  <si>
    <t>00439-22</t>
  </si>
  <si>
    <t>Приложение №7 к Договору поставки ГЕО-21/01200/00189/Р от 25.08.2021</t>
  </si>
  <si>
    <t>Заключение Приложения 7 (спецификации 3) на поставку СИЗ для сотрудников ГЕО с взаимозависимым лицом ООО "ГПН-С " к ранее заключенному договору поставки ГЕО-21/01200/00189/Р._x000D_
Малостоимостная закупка менее 1500 тыс. руб.</t>
  </si>
  <si>
    <t>00439-23</t>
  </si>
  <si>
    <t>ДОПОЛНИТЕЛЬНОЕ СОГЛАШЕНИЕ 2  к Договору на оказание услуг № ГЕО-22/09000/00093/Р от 02.05.2022 г.</t>
  </si>
  <si>
    <t>Перераспределение  неосвоенного гарантированного и  негарантированного объема услуг 2022-2023 г. на организацию деловых поездок в гарантированный объем услуг 2023 г на организацию мероприятий, без изменения единичных расценок и общей стоимости договора.</t>
  </si>
  <si>
    <t>00439-24</t>
  </si>
  <si>
    <t>ДС№6 к №ГЕО-22/10000/00226/Р от 20.09.2022г. с ССК, АО</t>
  </si>
  <si>
    <t>11018, 11019, 11020, 11021  Договор подряда на выполнение проектно-изыскательских работ</t>
  </si>
  <si>
    <t>00440-21</t>
  </si>
  <si>
    <t>ГЕО-21/11019/00160/Р</t>
  </si>
  <si>
    <t>Выполнение комплексных инженерных изысканий «Строительство поисково-оценочной скважины №198 Лескинского лицензионного участка</t>
  </si>
  <si>
    <t>ООО "Тюменская Геодезическая Компания"</t>
  </si>
  <si>
    <t>00440-22</t>
  </si>
  <si>
    <t>ГЕО-22/33200/00108</t>
  </si>
  <si>
    <t>00440-23</t>
  </si>
  <si>
    <t>Внесение дополнений в порядок демобилизации оборудования и имущества Исполнителя после прекращения оказания услуг Исполнителем на территории Лескинского лицензионного участка.</t>
  </si>
  <si>
    <t>00440-24</t>
  </si>
  <si>
    <t>ГЕО-24/26000/00133</t>
  </si>
  <si>
    <t>00441-21</t>
  </si>
  <si>
    <t>ГЕО-21/09000/00158/Р</t>
  </si>
  <si>
    <t>Об организации и проведении специальной экспертизы</t>
  </si>
  <si>
    <t xml:space="preserve">Проведение специальной экспертизы с целью определения готовности к осуществлению работ, связанных с использованием сведений, составляющих государственную тайну </t>
  </si>
  <si>
    <t>Юрченко А.В.</t>
  </si>
  <si>
    <t>Федеральное государственное унитарное предприятие "Научно-производственое предприятие "Гамма"</t>
  </si>
  <si>
    <t>00441-22</t>
  </si>
  <si>
    <t>00441-23</t>
  </si>
  <si>
    <t>ГЕО-23/09100/00148/Р</t>
  </si>
  <si>
    <t>Обучение по промышленной, пожарной, экологической безопасности и охране труда</t>
  </si>
  <si>
    <t>Обучение сотрудников ГПН-ГЕО по промышленной, пожарной, экологической безопасности и охране труда</t>
  </si>
  <si>
    <t>Общество с ограниченной ответственность "Учебный Информационно-Консультационный Комбинат Охраны Труда"</t>
  </si>
  <si>
    <t>00441-24</t>
  </si>
  <si>
    <t>ДС №5. Банк. сопровожд. к Договору №ГЕО-22/11000/00267/Р от 10.10.2022</t>
  </si>
  <si>
    <t>Д-45</t>
  </si>
  <si>
    <t>00442-21</t>
  </si>
  <si>
    <t>№ НТЦ-18/29000/01338/Д-ГЕО-18/11708/00074/Р от 29 декабря 2018г.</t>
  </si>
  <si>
    <t>Заказ во исполнение Договора № НТЦ-18/29000/01338/Д-ГЕО-18/11708/00074/Р от 29 декабря 2018г.</t>
  </si>
  <si>
    <t>НТЦ-00538-21Д-ГЕО</t>
  </si>
  <si>
    <t xml:space="preserve">Формирование Заказа к рамочному Договору № НТЦ-18/29000/01338/Д-ГЕО-18/11708/00074/Р от 29 декабря 2018г. с ООО «Газпромнефть НТЦ» на 2021г. по услуге "Инжиниринг, интегрированное управление проектами бурения и внутрискважинных работ Инженерно-консультационные услуги по визуализации стандартов по бурению и внутрискважинным работам для ООО "ГПН-ГЕО" (проект «Енисей» Лескинский ЛУ)_x000D_
</t>
  </si>
  <si>
    <t>00442-22</t>
  </si>
  <si>
    <t>Оценка альтернативных опций развития проекта «Оморинский»</t>
  </si>
  <si>
    <t>НТЦ-03212-21Д-ГЕО</t>
  </si>
  <si>
    <t xml:space="preserve"> Интерпретация данных СРР 3Д</t>
  </si>
  <si>
    <t>00442-23</t>
  </si>
  <si>
    <t>ГЕО-23/26000/00144</t>
  </si>
  <si>
    <t>Заключение СОКа для возможной передачи конфиденциальной информации в ходе проведения переговоров по перспективам взаимовыгодного сотрудничества между двумя организациями.</t>
  </si>
  <si>
    <t>Андрианов И.Н.</t>
  </si>
  <si>
    <t>ООО «Газпром добыча Тамбей»</t>
  </si>
  <si>
    <t>00443-21</t>
  </si>
  <si>
    <t>ГЕО-20/00000/00099</t>
  </si>
  <si>
    <t>ДС к Соглашению об организации электронного документооборота и использования электронных подписей для документов</t>
  </si>
  <si>
    <t>Изложить соглашение в редакции Дополнительного соглашения.  Все остальные условия Соглашения, не затронутые положениями Дополнительного соглашения № 1 остаются неизменными и Стороны подтверждают свои обязательства по ним. Настоящим соглашением стороны устанавливают условия и порядок организации юридически значимого документоооборота с использованием электронной подписи.</t>
  </si>
  <si>
    <t>Лесняк Наталья Александровна</t>
  </si>
  <si>
    <t>00443-22</t>
  </si>
  <si>
    <t>ГЕО-22/20000/00110/Д</t>
  </si>
  <si>
    <t>Агентский договор на организацию вертолетных авиаперевозок с ООО «Грант+»</t>
  </si>
  <si>
    <t>00443-23</t>
  </si>
  <si>
    <t>ГЕО-23/26000/00143</t>
  </si>
  <si>
    <t>«Моделирование и мониторинг геологических объектов им. В.А. Двуреченского» (ЗАО «МиМГО»)</t>
  </si>
  <si>
    <t>00443-24</t>
  </si>
  <si>
    <t>Наряд-заказ №10 к Договору №ГЕО-21/11505/00195/Р от «24» августа 2021г.</t>
  </si>
  <si>
    <t>Выполнение цифровой аэрофотосъемки (ЦАФС) и воздушно-лазерного сканирования (ВЛС) пилотируемым воздушным судном на территории Оренбургской обл., Восточный участок ОНГКМ. Номер района по ТЗ - 1</t>
  </si>
  <si>
    <t>00444-21</t>
  </si>
  <si>
    <t>СОГЛАШЕНИЕ О ПЕРЕМЕНЕ ЛИЦ В ОБЯЗАТЕЛЬСТВЕ к Договору подряда на бурение эксплуатационных скважин по суточной ставке (в т.ч. Мобильными установками) № ОРН-20/10204/00210/Р от 14.02.2020г.</t>
  </si>
  <si>
    <t xml:space="preserve">Дунаев Эдуард Владимирович Руководитель направления по бурению </t>
  </si>
  <si>
    <t>00444-22</t>
  </si>
  <si>
    <t>ГЕО-22/25000/00117/Р</t>
  </si>
  <si>
    <t>25000 Договор об оказании услуг физическим лицом (без выезда на Лицензионные участки Заказчика) Коваленко М.В.</t>
  </si>
  <si>
    <t>Договор об оказании услуг физическим лицом (без выезда на Лицензионные участки Заказчика) Коваленко М.В.</t>
  </si>
  <si>
    <t>Коваленко Марина Витальевна</t>
  </si>
  <si>
    <t>00444-23</t>
  </si>
  <si>
    <t>Дополнительное соглашение № 2 к Договору № ГЕО-22/10986/00341/Р от 30.12.2022 г.</t>
  </si>
  <si>
    <t>Исключение отдельных позиций услуг с одновременным увеличением других предусмотренных договором позиций услуг без увеличения единичных расценок и общей цены договора, а так же перенос негарантированного объема 2023 года в гарантированный объем 2023 года.</t>
  </si>
  <si>
    <t>00444-24</t>
  </si>
  <si>
    <t>00445-21</t>
  </si>
  <si>
    <t>ГЕО-20/11501/00184/Р от 29.11.2020</t>
  </si>
  <si>
    <t>00445-22</t>
  </si>
  <si>
    <t>ГЕО-22/26000/00113</t>
  </si>
  <si>
    <t>Договор о конфиденциальности к договору ГПХ Коваленко М.В.</t>
  </si>
  <si>
    <t>00445-23</t>
  </si>
  <si>
    <t>ДС 3 к ГЕО-22/20000/00100/Д с АО «ПГО «Тюменьпромгеофизика»</t>
  </si>
  <si>
    <t>00445-24</t>
  </si>
  <si>
    <t>Заказ-Наряд №1 к договору ГЕО-24/08000/00098/Р от 11.06.2024 г.</t>
  </si>
  <si>
    <t>Выполнение работ в рамках проекта №1 "Комплексный анализ геолого-геофизических данных, оценка остаточных запасов сеноманских газовых залежей и перспективных ресурсов сенонских отложений Вынгапуровского, Новогоднего, Вынгаяхинского и Еты-Пуровского месторождений"</t>
  </si>
  <si>
    <t>00446-21</t>
  </si>
  <si>
    <t>ГЕО-21/11505/00115/Р от 26.04.2021</t>
  </si>
  <si>
    <t>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t>
  </si>
  <si>
    <t>00446-22</t>
  </si>
  <si>
    <t>ГЕО-20/00000/00196/Д</t>
  </si>
  <si>
    <t>00446-23</t>
  </si>
  <si>
    <t>ДС 2 к ГЕО-22/20000/00211/Д ООО "ГеоЛад-СТ"</t>
  </si>
  <si>
    <t>00446-24</t>
  </si>
  <si>
    <t>ГЕО-23/04500/00151/Р</t>
  </si>
  <si>
    <t>Дополнительное соглашение №1 к  Договору субаренды нежилого помещения    № ГЕО-23/04500/00151/Р от 01.09.2023</t>
  </si>
  <si>
    <t xml:space="preserve">Продлении срока договора № ГЕО-23/04500/00151/Р от 01.09.2023г. на временное владение и пользование части следующего нежилого помещения общей площадью 26,05 кв.м., в том числе МОП 8,25 кв.м. (далее-Помещение), расположенного на 6 этаже в здании по адресу: город Санкт-Петербург, Синопская набережная, дом 22, литер А, кадастровый номер 78:31:0001455:2446.с 01.08.2024г. по 31.12.2024г в связи с продолжением пользования вышеуказанным помещением. </t>
  </si>
  <si>
    <t>0000094782</t>
  </si>
  <si>
    <t xml:space="preserve">ООО Газпромнефть-Геошельф </t>
  </si>
  <si>
    <t>7842182386</t>
  </si>
  <si>
    <t>00447-21</t>
  </si>
  <si>
    <t>Дополнительное Соглашение №7</t>
  </si>
  <si>
    <t>Дополнен перечень НИР на 2021 год и увеличена сумма по Договору</t>
  </si>
  <si>
    <t>00447-23</t>
  </si>
  <si>
    <t>ДС 2 к ГЕО-22/20000/00140/Д АО "НПП "Бурсервис"</t>
  </si>
  <si>
    <t>00447-24</t>
  </si>
  <si>
    <t>ИЗМ1 к НЗ №13. Защита Югры, ООО к ДД № ГЕО-22/10000/00144/Р от 27.06.2022г. Кама</t>
  </si>
  <si>
    <t>Сибирский федеральный округ, Оморинский лицензионный участок, скважины скважины Камовской площади. Добавили УМО.</t>
  </si>
  <si>
    <t>00448-21</t>
  </si>
  <si>
    <t>ГЕО-21/26000/00162</t>
  </si>
  <si>
    <t>В рамках обмена конфиденциальной информацией</t>
  </si>
  <si>
    <t>00448-22</t>
  </si>
  <si>
    <t>Договор на оказание услуг по разработке аэронавигационных паспортов посадочных площадок для вертолетов (АНП ПП) на объектах ООО "ГПН-ГЕО"</t>
  </si>
  <si>
    <t>Разработке аэронавигационных паспортов посадочных площадок для вертолетов (АНП ПП) на объектах ООО "ГПН-ГЕО"</t>
  </si>
  <si>
    <t>Бабиков Николай Владимирович</t>
  </si>
  <si>
    <t>ООО «СТОК-АЭРО»</t>
  </si>
  <si>
    <t>00448-23</t>
  </si>
  <si>
    <t>Актуализация соглашения в области ПБ</t>
  </si>
  <si>
    <t>00448-24</t>
  </si>
  <si>
    <t>ИЗМ1 к НЗ №10. Защита Югры, ООО к ДД № ГЕО-22/10000/00144/Р от 27.06.2022г. Кама</t>
  </si>
  <si>
    <t>Сибирский федеральный округ Лескинский лицензионный участок. Добавили УМО.</t>
  </si>
  <si>
    <t>10985 Мастер форма по услуге  «Утилизация отходов бурения и рекультивация нарушенных земель, занятых под шламовые амбары/шламонакопители»</t>
  </si>
  <si>
    <t>00449-21</t>
  </si>
  <si>
    <t>10985 Договор на оказание услуг по утилизации отходов бурения и рекультивация нарушенных земель, занятых под шламовые амбары/шламонакопители</t>
  </si>
  <si>
    <t>Утилизация отходов бурения и рекультивация нарушенных земель на Лескинском ЛУ</t>
  </si>
  <si>
    <t>ООО "Энерго-Утилизационная Компания"</t>
  </si>
  <si>
    <t>00449-22</t>
  </si>
  <si>
    <t>Дополнительное соглашение №9  к Агентскому договору № ГЕО-18/18000/00046/Р от 06.12.2018 г.</t>
  </si>
  <si>
    <t xml:space="preserve">В рамках исполнения поручения в соответствии с п.2.2.  Приказа ПАО «Газпром нефть» № 31-П от 14.04.2022 г. «О сроках подписания электронных документов по доходным договорам в Группе компаний «Газпром нефть» ГПНС направили на рассмотрение и согласование проект дополнительного соглашения к Агентскому договору в части определения сроков подписания первичных учетных документов с использованием электронно-цифровой подписи. </t>
  </si>
  <si>
    <t>00449-23</t>
  </si>
  <si>
    <t>ГЕО-23/18000/00145</t>
  </si>
  <si>
    <t>00449-24</t>
  </si>
  <si>
    <t>ГЕО-24/04300/00135/Р</t>
  </si>
  <si>
    <t>Установление права ограниченного пользования в отношении части земельного участка.
Право ограниченного пользования частью земельного участка включает в себя: право беспрепятственно осуществлять проход, проезд</t>
  </si>
  <si>
    <t>0000117175</t>
  </si>
  <si>
    <t xml:space="preserve">Администрация Степного сельсовета </t>
  </si>
  <si>
    <t>5648004170</t>
  </si>
  <si>
    <t>00450-21</t>
  </si>
  <si>
    <t xml:space="preserve">№ НТЦ-18/09000/01305/Д-ГЕО/ГЕО-19/09000/00045/Р </t>
  </si>
  <si>
    <t>№ НТЦ-01519-21Д</t>
  </si>
  <si>
    <t xml:space="preserve">Информационно-консультационные услуги в формате вебинара по теме: _x000D_
«Геотектонические концепции», 19.07.2021-22.07.2021, Ибрагимов А.М._x000D_
</t>
  </si>
  <si>
    <t>00450-24</t>
  </si>
  <si>
    <t>Наряд-заказ № 8 к договору № ГЕО-21/09000/00198/Р от 06.09.2021 г.</t>
  </si>
  <si>
    <t>По оказанию услуг охраны по Договору № ГЕО-21/09000/00198/Р от 06.09.2021 г.</t>
  </si>
  <si>
    <t>Д-31</t>
  </si>
  <si>
    <t>00000 Соглашение в области производственной безопасности</t>
  </si>
  <si>
    <t>00451-21</t>
  </si>
  <si>
    <t>ГЕО-21/00000/00169</t>
  </si>
  <si>
    <t>Согласование требований в области производственной безопасности</t>
  </si>
  <si>
    <t>00451-22</t>
  </si>
  <si>
    <t xml:space="preserve">ч. 2Соглашение о част. передаче прав и обязанностей поДоговору № ВР-69-10110/20/23 от 30.09.2020 на проведение полевых сейсморазведочных работ МОГТ ЗД с применением технологии «Зеленая сейсмика ©» на лицензионных участках работ ПАО «СН-МНГ» в 2020-2023гг. </t>
  </si>
  <si>
    <t xml:space="preserve">ч. 2 Частичная передача прав и обязанностей поДоговору № ВР-69-10110/20/23 от 30.09.2020 на проведение полевых сейсморазведочных работ МОГТ ЗД с применением технологии «Зеленая сейсмика ©» на лицензионных участках работ ПАО «СН-МНГ» в 2020-2023гг. </t>
  </si>
  <si>
    <t>0000027605, 0000067121</t>
  </si>
  <si>
    <t xml:space="preserve">ПАО СН-МНГ ; 
ООО ТСГК </t>
  </si>
  <si>
    <t>8605003932, 7202171361</t>
  </si>
  <si>
    <t>00451-23</t>
  </si>
  <si>
    <t>Раскрытие ГО, перераспределение объемов</t>
  </si>
  <si>
    <t>00451-24</t>
  </si>
  <si>
    <t xml:space="preserve">ДС№6 к Договору №ГЕО-22/10000/00225/Р от 20.09.2022   </t>
  </si>
  <si>
    <t>Дополнительное соглашение №6 к Договору №ГЕО-22/10000/00225/Р от 20.09.2022 "на бурение геологоразведочных скважин по суточной ставке или фиксированной ставке (в т.ч. мобильными установками)". Камовская площадь. ЗБГС + ИСП</t>
  </si>
  <si>
    <t>00452-21</t>
  </si>
  <si>
    <t>Специальные исследования керна по Камовскому месторождению (Квыт)</t>
  </si>
  <si>
    <t>2/21-057</t>
  </si>
  <si>
    <t>Исследование Квытеснения нефти для актуализации ГГДМ</t>
  </si>
  <si>
    <t>00452-22</t>
  </si>
  <si>
    <t>Агентский договор на организацию вертолетных авиаперевозок с ООО «Технологическая Компания Шлюмберже»</t>
  </si>
  <si>
    <t>00452-23</t>
  </si>
  <si>
    <t>Дополнительное соглашение к Договору  №ГЕО-23/10401/00138/Р от 10.08.2023г.</t>
  </si>
  <si>
    <t>Перераспределение не гарантийного объема в гарантированный объем по договору</t>
  </si>
  <si>
    <t>00453-22</t>
  </si>
  <si>
    <t>Включение в договор типовых условий по ЭДО</t>
  </si>
  <si>
    <t>00453-23</t>
  </si>
  <si>
    <t xml:space="preserve">Договор на оказание услуг по найму персонала </t>
  </si>
  <si>
    <t xml:space="preserve">Услуги по найму персонала для нужд ООО "ГПН-ГЕО" </t>
  </si>
  <si>
    <t>ООО "Свифт Текникал"</t>
  </si>
  <si>
    <t>00453-24</t>
  </si>
  <si>
    <t>ГЕО-24/09000/00142/Р</t>
  </si>
  <si>
    <t>Договор оказания услуг дизайна и вёрстки с ИП Скибинской В.В.</t>
  </si>
  <si>
    <t xml:space="preserve">Оказание услуг по разработке дизайна-макетов и верстке по заказу ООО «ГПН-ГЕО» </t>
  </si>
  <si>
    <t>0000117353</t>
  </si>
  <si>
    <t>ИП Скибинская Валентина Вячеславовн а</t>
  </si>
  <si>
    <t>212809355203</t>
  </si>
  <si>
    <t>00454-21</t>
  </si>
  <si>
    <t>Щербаков В.А.</t>
  </si>
  <si>
    <t>00454-22</t>
  </si>
  <si>
    <t>ГЕО-21/01200/00188/Р</t>
  </si>
  <si>
    <t>00454-23</t>
  </si>
  <si>
    <t>ГЕО-23/26000/00147</t>
  </si>
  <si>
    <t>Обмен данными для работы. Обоснование - письмо из Газпром добыча Ямбург.</t>
  </si>
  <si>
    <t>00455-21</t>
  </si>
  <si>
    <t>№ EMBA- XXIX/14/ГЕО-19/09000/00107/Р</t>
  </si>
  <si>
    <t>Дополнительное соглашение № 1 к Договору об оказании образовательных услуг № EMBA- XXIX/14/ГЕО-19/09000/00107/Р от «11» апреля 2019 г.</t>
  </si>
  <si>
    <t xml:space="preserve"> 1</t>
  </si>
  <si>
    <t>00455-22</t>
  </si>
  <si>
    <t>ГЕО-21/00000/144/Д</t>
  </si>
  <si>
    <t>Заказ №3</t>
  </si>
  <si>
    <t>Согласование стандарта на процесс и НМД для WEB-системы ЦД СРР</t>
  </si>
  <si>
    <t>Любимов Д.В.</t>
  </si>
  <si>
    <t>00455-23</t>
  </si>
  <si>
    <t>00455-24</t>
  </si>
  <si>
    <t>Изм. наряд-заказа №6.2 к договору ГЕО-23/09000/00041/Р</t>
  </si>
  <si>
    <t>6.2</t>
  </si>
  <si>
    <t>00456-21</t>
  </si>
  <si>
    <t>ГЕО-20/10111/00217/Д</t>
  </si>
  <si>
    <t>Агентское поручение №1 к агентскому договору №ОРН-20/20000/03369/Р от 20.10.2020</t>
  </si>
  <si>
    <t>Согласование агентского поручения к агентскому договору с ГПН-Оренбург с целью выполнения обработки и интерпретации СРР на Ягодной площади.</t>
  </si>
  <si>
    <t>00456-22</t>
  </si>
  <si>
    <t>ГЕО-19/20000/00230/Д</t>
  </si>
  <si>
    <t>00456-23</t>
  </si>
  <si>
    <t>ДС 1 к ГЕО-23/20000/00076/Д с ООО НППГА "ЛУЧ"</t>
  </si>
  <si>
    <t>00456-24</t>
  </si>
  <si>
    <t>Дополнительное соглашение №5  к Договору № АНГ-19/11513/00007/Р от 14.02.2019</t>
  </si>
  <si>
    <t>1. Продление срока действия договора на последующие 3 года, а именно до 31.12.2027г 
2. Распределение общего объема работ на период 2019-2027гг, без увеличения ориентировочного общего количества.</t>
  </si>
  <si>
    <t>00457-21</t>
  </si>
  <si>
    <t>№ НТЦ-01562-21Д</t>
  </si>
  <si>
    <t xml:space="preserve">Информационно-консультационные услуги в формате вебинара по теме: _x000D_
«Обучение методике оценки ценности информации исследований (VOI)», Слуцкий Д.А., Исхакова А.Р._x000D_
</t>
  </si>
  <si>
    <t>00457-22</t>
  </si>
  <si>
    <t>ГЕО-20/04400/00179/Р</t>
  </si>
  <si>
    <t>Договор аренды движимого имущества</t>
  </si>
  <si>
    <t>00457-23</t>
  </si>
  <si>
    <t>ДС 1 к ГЕО-23/20000/00102/Д с ООО "Уралгеопроект"</t>
  </si>
  <si>
    <t>00457-24</t>
  </si>
  <si>
    <t>ГЕО-24/26000/00139</t>
  </si>
  <si>
    <t>Соглашение о конфиденциальности с АО НПП ВНИИГИС</t>
  </si>
  <si>
    <t>В связи с предпроектной проработкой НИОКР "Многофазный глубинный пробоотборник"</t>
  </si>
  <si>
    <t>0000051239</t>
  </si>
  <si>
    <t xml:space="preserve">АО НПП ВНИИГИС </t>
  </si>
  <si>
    <t>0265013492</t>
  </si>
  <si>
    <t>00458-21</t>
  </si>
  <si>
    <t>№ НТЦ-01563-21Д</t>
  </si>
  <si>
    <t xml:space="preserve">Информационно-консультационные услуги в формате вебинара по теме: _x000D_
«Несейсмические методы проведения геологоразведочных работ», Коротков А.Б., Гордиенко А.В., Воцалевский В.З., 26.07.2021-30.07.2021_x000D_
</t>
  </si>
  <si>
    <t>00458-22</t>
  </si>
  <si>
    <t>ГЕО-22/04300/00111/Р</t>
  </si>
  <si>
    <t>СОГЛАШЕНИЕ о возмещении убытков сельскохозяйственного производства, в т. ч. упущенной выгоды при временном занятии земельного участка</t>
  </si>
  <si>
    <t>возмещении убытков сельскохозяйственного производства, включая упущенную выгоду и затраты на биологическую рекультивацию при временном занятии части земельного участка для размещения бурового оборудования при бурении скважины № 401ПО Западно-Рубежинского лицензионного участка</t>
  </si>
  <si>
    <t>13,00</t>
  </si>
  <si>
    <t>00458-23</t>
  </si>
  <si>
    <t>ДС №4 к Договору № ГЕО-22/10000/00179/Р от 01.08.2022 г.</t>
  </si>
  <si>
    <t>Увеличение стоимости договора вследствие необходимости продления срока оказания услуг по освоению скважин Лескинского ЛУ по 31.12.2024 в рамках изменений производственной программы проекта «Енисей».</t>
  </si>
  <si>
    <t>0000040998</t>
  </si>
  <si>
    <t>Филиал Компании Шлюмберже Лоджелко , Инк. в ЯНАО</t>
  </si>
  <si>
    <t>131670472.5</t>
  </si>
  <si>
    <t>00459-21</t>
  </si>
  <si>
    <t xml:space="preserve">№ ГЕО-19/10900/00266/Р </t>
  </si>
  <si>
    <t>Оказание услуг по обеспечению противофонтанной и газовой безопасности на скважинах (объектах) ООО «ГПН-ГЕО»</t>
  </si>
  <si>
    <t>Услуги противофонтанных военизированных частей</t>
  </si>
  <si>
    <t>00459-22</t>
  </si>
  <si>
    <t>00459-23</t>
  </si>
  <si>
    <t>НАРЯД-ЗАКАЗ №1 к Договору № ГЕО-23/10000/00094/Р от 01.06.2023</t>
  </si>
  <si>
    <t>Оформление земельных участков для объекта «Автозимник к разведочной скважине Км-4 (доотвод)»</t>
  </si>
  <si>
    <t>0000110951</t>
  </si>
  <si>
    <t>Северо-Западный филиал ФГБУ Рослес инфорг Севзаплеспроект</t>
  </si>
  <si>
    <t>00460-22</t>
  </si>
  <si>
    <t>ГЕО-22/33200/00114</t>
  </si>
  <si>
    <t>0000087258</t>
  </si>
  <si>
    <t xml:space="preserve">ООО Глобал Мониторинг </t>
  </si>
  <si>
    <t>5610133699</t>
  </si>
  <si>
    <t>00460-23</t>
  </si>
  <si>
    <t>ДС №3 к Договору № ГЕО-22/10000/00210/Р от 22.08.2022 г.</t>
  </si>
  <si>
    <t>00461-21</t>
  </si>
  <si>
    <t>ДОПОЛНИТЕЛЬНОЕ СОГЛАШЕНИЕ № 5 к Договору № ГЕО-19/10111/00141/Р от 29.04.2019 г. по «ОБРАБОТКЕ И ИНТЕРПРЕТАЦИИ ДАННЫХ СЕЙСМОРАЗВЕДОЧНЫХ РАБОТ»</t>
  </si>
  <si>
    <t>перевод НГО в ГО</t>
  </si>
  <si>
    <t>00461-22</t>
  </si>
  <si>
    <t>00461-23</t>
  </si>
  <si>
    <t>00462-21</t>
  </si>
  <si>
    <t>ГЕО-21/26000/00172</t>
  </si>
  <si>
    <t>Договор о конфиденциальности к договору ГПХ Кузнецов В.А.</t>
  </si>
  <si>
    <t>Кузнецов Владислав Александрович</t>
  </si>
  <si>
    <t>00462-22</t>
  </si>
  <si>
    <t>Заявка №1 к Договору № ГЕО-21/08000/00296/Р от «28» декабря 2021 г.</t>
  </si>
  <si>
    <t>Оказание услуг по информационно-аналитическому и практическому ведению недропользования на участках недр в периметре лицензионного портфеля</t>
  </si>
  <si>
    <t>00462-23</t>
  </si>
  <si>
    <t>Наряд-задание № 4 к договору ГЕО-19/09000/00303/Р от 15.11.2019</t>
  </si>
  <si>
    <t>00463-21</t>
  </si>
  <si>
    <t>ГЕО-21/25000/00171/Р</t>
  </si>
  <si>
    <t>00463-22</t>
  </si>
  <si>
    <t>ГЕО-21/10000/00302/Р</t>
  </si>
  <si>
    <t>ДС № 1 к Договору на оказание услуг складской и транспортной логистики (проект «Титан») № ГЕО-21/10000/00302/Р от 31.12.2021г.</t>
  </si>
  <si>
    <t>1. Перевод негарантированного объема работ в гарантированный по доставке МТР для обеспечения возможности завоза МТР компании ООО "Технологическая Компания Шлюмберже",_x000D_
2. Включение тарифа на оплату мобилизации и демобилизации в рамках проведения ОПИ ТС КАМАЗ Арктика._x000D_
3. Увеличение завоза генерального груза в период действия зимних автопрорездов (габаритное оборудование, прочие ТМЦ)</t>
  </si>
  <si>
    <t>00463-23</t>
  </si>
  <si>
    <t>ГЕО-23/33200/00150</t>
  </si>
  <si>
    <t>00464-21</t>
  </si>
  <si>
    <t>ГЕО-21/09000/00167/Р</t>
  </si>
  <si>
    <t xml:space="preserve">Договор комплексного правового сопровождения </t>
  </si>
  <si>
    <t>Комплексное правовое сопровождение деятельности ГПН-ГЕО</t>
  </si>
  <si>
    <t>ООО «Газпромнефть-Экспертные решения»</t>
  </si>
  <si>
    <t>00464-22</t>
  </si>
  <si>
    <t>Ведение электронного документоборота</t>
  </si>
  <si>
    <t>00464-23</t>
  </si>
  <si>
    <t>00465-22</t>
  </si>
  <si>
    <t>ГЕО-22/08000/00135/Р</t>
  </si>
  <si>
    <t>Приобретение прав на «Зеленую сейсмику 2.0»</t>
  </si>
  <si>
    <t>Приобретение в полном объеме исключительных прав на Ноу-хау созданное в рамках технологического проекта «Зеленая сейсмика 2.0», объект авторского права и право на получение патента на Изобретение, принадлежащее Правообладателю</t>
  </si>
  <si>
    <t>00465-23</t>
  </si>
  <si>
    <t>Совершенствование петрофизической модели Ачимовской толщи в Западной Сибири с учетом требований гипотез НИР-Насыщение</t>
  </si>
  <si>
    <t>24</t>
  </si>
  <si>
    <t> сопровождение работ по лабораторным исследования керна и оперативное использование материалов для совершенствования ПФМ</t>
  </si>
  <si>
    <t>00466-21</t>
  </si>
  <si>
    <t>ГЕО-18/10001/00082/Р</t>
  </si>
  <si>
    <t>ДС № 7 изменение ПиВОР и перечня ШС к договору № ГЕО-18/10001/00082/Р-ГСН-19/10001/00244/Д/ТМН-13 от «29» декабря 2018г.</t>
  </si>
  <si>
    <t>административные изменения условий договора на основании приказа 72-П от 03.07.2020 и приказа 85-П от 07.06.2021</t>
  </si>
  <si>
    <t>Гусаков Валентин Владимирович</t>
  </si>
  <si>
    <t>00466-22</t>
  </si>
  <si>
    <t xml:space="preserve">ГЕО-21/11513/00019/Р </t>
  </si>
  <si>
    <t>00466-23</t>
  </si>
  <si>
    <t>Заказ-Наряд №23 к договору №ГЕО-19/11708/00133/Р от 25.06.2019</t>
  </si>
  <si>
    <t>23</t>
  </si>
  <si>
    <t>Детализация модели и оценка потенциала расширения Чонского кластера</t>
  </si>
  <si>
    <t>00467-21</t>
  </si>
  <si>
    <t>Расчет технологических апсайдов и учет альтернативных подходов к разработке для повышения эффективности реализации проекта Чона</t>
  </si>
  <si>
    <t>НТЦ-00765-21Д-ГЕО</t>
  </si>
  <si>
    <t>Консолидация ресурсной базы проекта Чона на основе ранее выполненных работ по созданию сейсмогеологических моделей терригенных и карбонатных залежей</t>
  </si>
  <si>
    <t>00467-22</t>
  </si>
  <si>
    <t>ГЕО-20/11118/00069/Р</t>
  </si>
  <si>
    <t>Предоставление удаленного доступа к информационным ресурсам (СУДИР)</t>
  </si>
  <si>
    <t>00467-23</t>
  </si>
  <si>
    <t>00467-24</t>
  </si>
  <si>
    <t>ГЕО-24/36000/00147/Р</t>
  </si>
  <si>
    <t xml:space="preserve">Сублицензионный договор </t>
  </si>
  <si>
    <t xml:space="preserve">Закупка лицензии Agisoft Metashape </t>
  </si>
  <si>
    <t>Сублицензионный договор</t>
  </si>
  <si>
    <t>00468-21</t>
  </si>
  <si>
    <t>ГЕО-19/10124/00001/Р от 09.01.2019</t>
  </si>
  <si>
    <t>Заказ №НТЦ-00208-21Д-ГЕО к договору №ГЕО-19/10124/00001/Р от 09.01.2019</t>
  </si>
  <si>
    <t>НТЦ-00208-21Д-ГЕО</t>
  </si>
  <si>
    <t>00468-22</t>
  </si>
  <si>
    <t>ГЕО-22/33200/00112</t>
  </si>
  <si>
    <t>00468-23</t>
  </si>
  <si>
    <t>Договор субаренды нежилого помещения</t>
  </si>
  <si>
    <t xml:space="preserve"> Арендатор обязуется передать Субарендатору за плату во временное владение и пользование часть следующего нежилого помещения общей площадью 26,05 кв.м., в том числе МОП 8,25 кв.м. (далее – Помещение), расположенного на 6 (шестом) этаже в здании (сооружении) по адресу: город Санкт-Петербург, Синопская набережная, дом 22, литер А, кадастровый номер 78:31:0001455:2446. </t>
  </si>
  <si>
    <t>ООО "Газпромнефть-Геошельф"</t>
  </si>
  <si>
    <t>00468-24</t>
  </si>
  <si>
    <t>ГЕО-24/33100/00137</t>
  </si>
  <si>
    <t>33100 Соглашение в области производственной безопасности с ООО "АСТ"</t>
  </si>
  <si>
    <t>00469-21</t>
  </si>
  <si>
    <t>ГЕО-21/10926/00175/Р</t>
  </si>
  <si>
    <t>Обучение руководителей и специалистов ООО «ГПН-ГЕО» оказанию первой помощи пострадавшим на производстве</t>
  </si>
  <si>
    <t>ЧОУ ДПО «УЦ «Промэнергобезопасность»</t>
  </si>
  <si>
    <t>Обучение по промышленной, экологической безопасности и охране труда</t>
  </si>
  <si>
    <t>00469-23</t>
  </si>
  <si>
    <t>Наряд-заказ №1 на отбор керна Оморинский ЛУ</t>
  </si>
  <si>
    <t>Оказание услуг по отбору керна на Оморинском ЛУ</t>
  </si>
  <si>
    <t>00469-24</t>
  </si>
  <si>
    <t>ГЕО-24/33200/00138</t>
  </si>
  <si>
    <t>33200 Соглашение об электронном документообороте с "ООО" АСТ</t>
  </si>
  <si>
    <t>00470-21</t>
  </si>
  <si>
    <t xml:space="preserve">ГЕО-19/10900/00266/Р </t>
  </si>
  <si>
    <t>Изменение №1 к НАРЯД-ЗАКАЗУ НА ОКАЗАНИЕ УСЛУГ №5</t>
  </si>
  <si>
    <t>1 к Наряд-заказу 5</t>
  </si>
  <si>
    <t xml:space="preserve">Оказание услуг по обеспечению противофонтанной и газовой безопасности на объектах ООО «ГПН-ГЕО»_x000D_
</t>
  </si>
  <si>
    <t>00470-22</t>
  </si>
  <si>
    <t xml:space="preserve">Добавление в договор условия Банковского сопровождения </t>
  </si>
  <si>
    <t>00470-23</t>
  </si>
  <si>
    <t>ДС №1 к к договору страхования от несчастных случаев и болезней 0623 LA 000079/ГЕО-22/17000/00343/Р от «30» декабря 2022 г.</t>
  </si>
  <si>
    <t xml:space="preserve">Изменение численности застрахованных в связи с приемом новых сотрудников и увольнением </t>
  </si>
  <si>
    <t>00470-24</t>
  </si>
  <si>
    <t>ГЕО-24/33200/00141</t>
  </si>
  <si>
    <t>33200 Соглашение об электронном документообороте с ООО "РАИФ"</t>
  </si>
  <si>
    <t>00471-21</t>
  </si>
  <si>
    <t>№ ГЕО-19/11019/00140/Р от 19.06.2019</t>
  </si>
  <si>
    <t>Изменение условий договора согласно внутренним нормативным документам Заказчика</t>
  </si>
  <si>
    <t>00471-22</t>
  </si>
  <si>
    <t>ГЕО-22/09000/00121/Р</t>
  </si>
  <si>
    <t>Договор на оказание супервайзерскийх услуг (на проетке "Енисей")</t>
  </si>
  <si>
    <t>оказание услуг 10312 «Супервайзерские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на ЛескЛУ ("Енисей")</t>
  </si>
  <si>
    <t>Дорогойченков Д.</t>
  </si>
  <si>
    <t>0000050630</t>
  </si>
  <si>
    <t xml:space="preserve">АО Мессояханефтегаз </t>
  </si>
  <si>
    <t>8910002621</t>
  </si>
  <si>
    <t>00471-23</t>
  </si>
  <si>
    <t>Задание № 44 к Договору № ГЕО-20/10986/00138/Р от 10.08.2020 г.</t>
  </si>
  <si>
    <t>44</t>
  </si>
  <si>
    <t>Оказание услуг супервайзинга на проекте проект  «Титан»</t>
  </si>
  <si>
    <t>00471-24</t>
  </si>
  <si>
    <t>Арбитражное соглашение с ООО "РАИФ"</t>
  </si>
  <si>
    <t>Организация условий арбитража согласно политике Компании</t>
  </si>
  <si>
    <t>00472-21</t>
  </si>
  <si>
    <t>ГЕО-19/10001/00157/Р/ГСН-19/10001/00829/Д/ТМН-15</t>
  </si>
  <si>
    <t>ДС № 10 к договору № ГЕО-19/10001/00157/Р/ГСН-19/10001/00829/Д/ТМН-15 от 15.07.2021г.</t>
  </si>
  <si>
    <t>включение актуализированных ЛНД (СК ГПН-АРБ для проекта Енисей, ШС, паспорта КБ)</t>
  </si>
  <si>
    <t>Нежальских Вячеслав Андреевич - Начальник отдела материально-технического обеспечения, логистики и сопутствующих сервисов</t>
  </si>
  <si>
    <t>00472-22</t>
  </si>
  <si>
    <t xml:space="preserve">ГЕО-21/00000/00123/Д </t>
  </si>
  <si>
    <t>НТЦ-01762-22Р-ГПН</t>
  </si>
  <si>
    <t>Экспертная система по подбору типовых технологических решений для разработки и изучения АТ (ProБА)</t>
  </si>
  <si>
    <t>Кондратьев А.Ю.</t>
  </si>
  <si>
    <t>00472-23</t>
  </si>
  <si>
    <t>Дополнительное соглашение №1 к договору ГЕО-23/09000/00041/Р от «31» января 2023 г</t>
  </si>
  <si>
    <t>Изложить приложение № 11 «Формат оценочного листа» по услуге 10360 к Договору в редакции Приложения 1 к дополнительному соглашенгию</t>
  </si>
  <si>
    <t>00472-24</t>
  </si>
  <si>
    <t>ГЕО-24/33100/00143</t>
  </si>
  <si>
    <t>33100 Соглашение в области производственной безопасности с ООО "РАИФ"</t>
  </si>
  <si>
    <t>00473-23</t>
  </si>
  <si>
    <t>О порядке демобилизации оборудования и имущества Исполнителя после окончания Исполнителем работ на территории Лескинского лицензионного участка</t>
  </si>
  <si>
    <t>00473-24</t>
  </si>
  <si>
    <t>ГЕО-24/33200/00134</t>
  </si>
  <si>
    <t>33200 Соглашение об электронном документообороте с ИП Скибинской В.В.</t>
  </si>
  <si>
    <t>00474-21</t>
  </si>
  <si>
    <t>Дополнительное соглашение № 1 к Договору № ГЕО-19/10901/00028/Р от 22.02.2019 г.</t>
  </si>
  <si>
    <t>Внесение дополнения в Приложение №3 «Техническое задание»._x000D_
Добавление производственного объекта – Лескинский лицензионный участок - Красноярский край, Таймырский Долгано-Ненецкий район. Указание маршрута доставки Исполнителя «Место расположения Исполнителя – г. Новый Уренгой – Место расположения Исполнителя»._x000D_
Внесение изменения в Приложение №1 «Протокол согласования договорной цены»</t>
  </si>
  <si>
    <t>00474-23</t>
  </si>
  <si>
    <t>Перевод НГО в ГО для выполнения программы по перевозке флота ГРП на Ми-26</t>
  </si>
  <si>
    <t>139082968.68</t>
  </si>
  <si>
    <t>00474-24</t>
  </si>
  <si>
    <t>Многосторонний договор по услуге "Видеоаналитика"</t>
  </si>
  <si>
    <t>Филиппов Г.А.</t>
  </si>
  <si>
    <t>00475-21</t>
  </si>
  <si>
    <t>№ ГЕО-19/11019/00145/Р от 19.06.2019</t>
  </si>
  <si>
    <t>00475-23</t>
  </si>
  <si>
    <t>ГЕО-23/09000/00154/Р</t>
  </si>
  <si>
    <t>Оценка профессиональных рисков</t>
  </si>
  <si>
    <t xml:space="preserve">В целях выполнения мероприятий по организации процесса оценки профессиональных рисков </t>
  </si>
  <si>
    <t>0000064255</t>
  </si>
  <si>
    <t xml:space="preserve">ООО ПРОММАШ ТЕСТ </t>
  </si>
  <si>
    <t>5029124262</t>
  </si>
  <si>
    <t>00476-21</t>
  </si>
  <si>
    <t>ГЕО-21/10402/00170/Р</t>
  </si>
  <si>
    <t>Соглашение об урегулировании претензии по договору от 16.11.2018г. № АНГ-18/10402/00237/Р на выполнение работ по капитальному, текущему ремонту и освоению скважин</t>
  </si>
  <si>
    <t>Соглашение об урегулировании претензии</t>
  </si>
  <si>
    <t>Ефремов Александр Сергеевич - Начальник управления внутрискважинных работ</t>
  </si>
  <si>
    <t>00476-22</t>
  </si>
  <si>
    <t>№ ГЕО-22/11000/00012/Р от 04.01.2022г.</t>
  </si>
  <si>
    <t>выполнение работ «Инженерная подготовка площадки скважины №198 на Лескинском ЛУ» с привлечением машин и механизмов Заказчика</t>
  </si>
  <si>
    <t>изменение сроков окончания выполнение работ</t>
  </si>
  <si>
    <t>00476-23</t>
  </si>
  <si>
    <t>ГЕО-23/33000/00152</t>
  </si>
  <si>
    <t>Меморандум о взаимопонимании по продвижению сервисных услуг за рубежом</t>
  </si>
  <si>
    <t>Поиск, проработка и выполнение совместных проектов по оказанию комплекса сервисных услуг за рубежом</t>
  </si>
  <si>
    <t>МК ООО "Газпром Интернэшнл Лимитед"</t>
  </si>
  <si>
    <t>00476-24</t>
  </si>
  <si>
    <t xml:space="preserve">ДС 5 к договору № ГЕО-22/10968/00197/Р от 12.08.2022г. </t>
  </si>
  <si>
    <t>Частичный перенос объемов работ и денежных средств с 2023 на 2024 год</t>
  </si>
  <si>
    <t>00477-21</t>
  </si>
  <si>
    <t>№ ГЕО-20/11019/00045/Р от 15.03.2020</t>
  </si>
  <si>
    <t>00477-22</t>
  </si>
  <si>
    <t>Выполнение цифровой аэрофотосъемки (ЦАФС) и воздушно-лазерного сканирования (ВЛС) пилотируемым воздушным судном на территории Оморинского ЛУ (Красноярский край, Эвенкийский район. Номер района по ТЗ - 3)</t>
  </si>
  <si>
    <t>00477-23</t>
  </si>
  <si>
    <t xml:space="preserve">Дополнительное соглашение № 11 к Операторскому Договору № ГЕО-18/00000/00025Д от 02  октября 2018 г. </t>
  </si>
  <si>
    <t>Дополнительное соглашение № 11 к Операторскому Договору № ГЕО-18/00000/00025Д от 02  октября 2018 г.  об изменении формата отчетных документов</t>
  </si>
  <si>
    <t>00477-24</t>
  </si>
  <si>
    <t>ГЕО-24/26000/00145</t>
  </si>
  <si>
    <t>0000107108</t>
  </si>
  <si>
    <t xml:space="preserve">ООО ОйлГИС </t>
  </si>
  <si>
    <t>0278106553</t>
  </si>
  <si>
    <t>00478-21</t>
  </si>
  <si>
    <t xml:space="preserve">ГЕО-19/10823/00331/Р </t>
  </si>
  <si>
    <t>ДОПОЛНИТЕЛЬНОЕ СОГЛАШЕНИЕ № 5 к Договору № ГЕО-19/10823/00331/Р от 31 декабря2019 г. на оказание услуг по выработке электроэнергии сторонними производителями</t>
  </si>
  <si>
    <t>Перераспределение междуГО и НГО</t>
  </si>
  <si>
    <t>00478-22</t>
  </si>
  <si>
    <t>ГЕО-21/09000/00251/Р</t>
  </si>
  <si>
    <t>На оказание консультационных услуг (методическое сопровождение) в области гидрометеорологии и смежных с ней областях</t>
  </si>
  <si>
    <t>Увеличение срока договора без изменения стоимости</t>
  </si>
  <si>
    <t>0000059486</t>
  </si>
  <si>
    <t xml:space="preserve">ФГБУ Обь-Иртышское УГМС </t>
  </si>
  <si>
    <t>5504233490</t>
  </si>
  <si>
    <t>00478-23</t>
  </si>
  <si>
    <t xml:space="preserve">Договор на оказания услуг по телеметрическому и технологическое  сопровождение при наклонно-направленном и горизонтальном бурении на проекте Южный Оренбург </t>
  </si>
  <si>
    <t>Отдел инжиниринга бурения</t>
  </si>
  <si>
    <t>00478-24</t>
  </si>
  <si>
    <t>Дополнительное соглашение № 1 к договору № ГЕО-23/09000/00179/ на выполнение геологоразведочных работ на Ямбургском месторождении</t>
  </si>
  <si>
    <t>Актуализация Календарного плана без изменения общей суммы по ДД</t>
  </si>
  <si>
    <t>00479-22</t>
  </si>
  <si>
    <t>ГЕО-22/04300/00123/Р</t>
  </si>
  <si>
    <t>00479-23</t>
  </si>
  <si>
    <t>ГЕО-23/10000/00171/Р</t>
  </si>
  <si>
    <t>00479-24</t>
  </si>
  <si>
    <t>ГЕО-24/10000/00154/Р</t>
  </si>
  <si>
    <t>Договор с ООО "Траектория-Сервис" на оказание услуг по телеметрическому и технологическому сопровождению при наклонно-направленном и горизонтальном бурении</t>
  </si>
  <si>
    <t>Телеметрическое и технологическое сопровождение при наклонно-направленном и горизонтальном бурении на проекте Южный Оренбург</t>
  </si>
  <si>
    <t>228244933.33</t>
  </si>
  <si>
    <t>00480-21</t>
  </si>
  <si>
    <t>Выполнение производственной программы</t>
  </si>
  <si>
    <t>00480-22</t>
  </si>
  <si>
    <t>ГЕО-22/04300/00120/Р</t>
  </si>
  <si>
    <t>Соглашение об установлении сервитута в отношении части земельного участка (срочного, возмездного)</t>
  </si>
  <si>
    <t>для проезда к скважине № 401ПО Западно-Рубежинского лицензионного участка</t>
  </si>
  <si>
    <t>0000084763</t>
  </si>
  <si>
    <t>Администрация Первомайского района Оренбургской области</t>
  </si>
  <si>
    <t>5639004047</t>
  </si>
  <si>
    <t>00480-23</t>
  </si>
  <si>
    <t>Задание № 42 к Договору № ГЕО-20/10986/00138/Р от 10.08.2020 г.</t>
  </si>
  <si>
    <t>42</t>
  </si>
  <si>
    <t>На привлечение супервайзера производственной безопасности в офис «Супервайзер в СПб» региона «Все федеральные округа»</t>
  </si>
  <si>
    <t>00480-24</t>
  </si>
  <si>
    <t>ГЕО-24/26000/00144</t>
  </si>
  <si>
    <t>0000109980</t>
  </si>
  <si>
    <t xml:space="preserve">АО Инжиниринговый центр Кронштадт </t>
  </si>
  <si>
    <t>7838112072</t>
  </si>
  <si>
    <t>00481-21</t>
  </si>
  <si>
    <t xml:space="preserve">Дополнительное соглашение №1 к Договору № ГЕО-21/10924/00124/Р от 12.05.2021 г. </t>
  </si>
  <si>
    <t xml:space="preserve">Для оказания услуги 10924 «Экологический мониторинг месторождений» в Уральском ФО (Пухуцяяхский ЛУ), Сибирском ФО и Приволжском ФО (Первомайский ЛУ) </t>
  </si>
  <si>
    <t>Багаутдинова И.А.</t>
  </si>
  <si>
    <t>00481-23</t>
  </si>
  <si>
    <t>Заявка № 1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</si>
  <si>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«Титан», скв. № 1ПО Северо-Ямбургского ЛУ.</t>
  </si>
  <si>
    <t>00481-24</t>
  </si>
  <si>
    <t>ДС №8 к ДД №ГЕО-21/10306/00256/Р</t>
  </si>
  <si>
    <t>Заключение ДС №8 к ДД №ГЕО-21/10306/00256/Р о продлении срока выполнения работ до 2025г и раскрытие НГО</t>
  </si>
  <si>
    <t>00482-23</t>
  </si>
  <si>
    <t>ДОПОЛНИТЕЛЬНОЕ СОГЛАШЕНИЕ № 7 К ДОГОВОРУ № ГЕО-21/09000/00198/Р от 06.09.2021 г.  возмездного оказания услуг по охране объектов</t>
  </si>
  <si>
    <t>Продление срока действия договора и срока оказания услуг, а также перераспределение объёмов услуг между статьями затрат и между годами и перевод негарантированного объема услуг в гарантированный</t>
  </si>
  <si>
    <t>00482-24</t>
  </si>
  <si>
    <t>Изменение №1 к Наряд-заказу №2 к Договору №ГЕО-23/10318/00010/Р от 10.01.2023</t>
  </si>
  <si>
    <t>Корректировка объема работ</t>
  </si>
  <si>
    <t>00483-21</t>
  </si>
  <si>
    <t>ГЕО-19/09000/00267/Р</t>
  </si>
  <si>
    <t>на оказание фото- и видео услуг</t>
  </si>
  <si>
    <t xml:space="preserve">Перераспределение объема услуг по договору без изменения общей стоимости по договору_x000D_
</t>
  </si>
  <si>
    <t>Каратеева М.О.</t>
  </si>
  <si>
    <t>0000062188</t>
  </si>
  <si>
    <t xml:space="preserve">ООО МВ Продакшн </t>
  </si>
  <si>
    <t>7819316190</t>
  </si>
  <si>
    <t>00483-22</t>
  </si>
  <si>
    <t>ГЕО-20/10537/00066/Р</t>
  </si>
  <si>
    <t>Применение УПД в качестве единого документа для целей БУ</t>
  </si>
  <si>
    <t>00483-24</t>
  </si>
  <si>
    <t>ДС №6 к договору ГЕО-21/10301/00259/Р</t>
  </si>
  <si>
    <t>Заключение ДС №6 к договору ГЕО-21/10301/00259/Р о продлении выполнения работ до 2025 года и раскрытии НГО</t>
  </si>
  <si>
    <t>00484-21</t>
  </si>
  <si>
    <t>НАРЯД-ЗАКАЗ № 1 к Договору № ГЕО-21/10924/00124/Р от 12.05.2021 г.</t>
  </si>
  <si>
    <t>Проведение локального экологического мониторинга компонентов окружающей среды в 2021 г. в ДФО, ПФО, СФО, УФО.</t>
  </si>
  <si>
    <t>00484-23</t>
  </si>
  <si>
    <t>Договор по проведение ГИС Оморинский ЛУ</t>
  </si>
  <si>
    <t>проведение геофизических исследований при строительстве/реконструкции скважин/ на проведение прострелочно-взрывных работ/ на проведение гидродинамических исследований / проведение промысловых геофизических исследований скважин при контроле за разработкой</t>
  </si>
  <si>
    <t>ООО "Алатау-7"</t>
  </si>
  <si>
    <t>00484-24</t>
  </si>
  <si>
    <t>ГЕО-24/33200/00149</t>
  </si>
  <si>
    <t>00485-21</t>
  </si>
  <si>
    <t>№ ГЕО-19/11019/00293/Р/2075-19АН от 02.12.2019</t>
  </si>
  <si>
    <t xml:space="preserve">Изменение условий договора согласно внутренним нормативным документам Заказчика;_x000D_
Продление сроков оказания услуг АН, срока действия договора.  (!) Без изменения суммы договора </t>
  </si>
  <si>
    <t>00485-22</t>
  </si>
  <si>
    <t>ГЕО-22/20000/00118/Д</t>
  </si>
  <si>
    <t>Агентский договор на организацию вертолетных авиаперевозок с ООО «УГМ»</t>
  </si>
  <si>
    <t>00485-23</t>
  </si>
  <si>
    <t>ГЕО-23/08000/00158/Р</t>
  </si>
  <si>
    <t>Договор на проведение ГИС Ю.Оренбург</t>
  </si>
  <si>
    <t>на проведение геофизических исследований при строительстве/реконструкции скважин/ на проведение прострелочно-взрывных работ/ на проведение гидродинамических исследований / проведение промысловых геофизических исследований скважин при контроле за разработкой</t>
  </si>
  <si>
    <t>00485-24</t>
  </si>
  <si>
    <t>ДОПОЛНИТЕЛЬНОЕ СОГЛАШЕНИЕ 2 к Договору на оказание услуг № ГЕО-24/09100/00024/Р от 08.02.2024г.</t>
  </si>
  <si>
    <t>Перевод негарантированного объема услуг 2025-2026 г.  в гарантированный и негарантированный объем услуг 2024 г , без изменения  общей стоимости и срока действия договора.</t>
  </si>
  <si>
    <t>00486-21</t>
  </si>
  <si>
    <t>ГЕО-21/00000/00173/Р</t>
  </si>
  <si>
    <t>Уведомление - соглашение о факторинге по договору ДП_67942_66106_42290</t>
  </si>
  <si>
    <t>Заключение договора факторинга по оплате по договору поставки ДП_67942_66106_42290 от 03.08.2020 г.</t>
  </si>
  <si>
    <t>0000058622</t>
  </si>
  <si>
    <t xml:space="preserve">ООО РусТЭК </t>
  </si>
  <si>
    <t>8603151854</t>
  </si>
  <si>
    <t>00486-22</t>
  </si>
  <si>
    <t>00486-23</t>
  </si>
  <si>
    <t>ГЕО-23/08000/00157/Р</t>
  </si>
  <si>
    <t>Договор на проведение ГИС Енисей</t>
  </si>
  <si>
    <t>00486-24</t>
  </si>
  <si>
    <t>Заявка № 21 к договору о предоставлении труда работников (персонала) № ГЕО-23/09000/00149/Р от 28.08.2023 г.</t>
  </si>
  <si>
    <t>21</t>
  </si>
  <si>
    <t>00487-21</t>
  </si>
  <si>
    <t>ГЕО-21/17000/00174/Р</t>
  </si>
  <si>
    <t>Страхование гражданской ответственности</t>
  </si>
  <si>
    <t>Крутова Е.С. - Руководитель направления по ценообразованию и сметному нормированию</t>
  </si>
  <si>
    <t>00487-22</t>
  </si>
  <si>
    <t>Наряд-заказ № 5</t>
  </si>
  <si>
    <t>00487-23</t>
  </si>
  <si>
    <t>ГЕО-23/08000/00155/Р</t>
  </si>
  <si>
    <t>Договор на проведение ГИС Титан</t>
  </si>
  <si>
    <t>на проведение геофизических исследований при контроле за разработкой,  геофизических исследований при строительстве/реконструкции скважин, прострелочно-взрывных работ, вертикального сейсмического профилирования</t>
  </si>
  <si>
    <t>00487-24</t>
  </si>
  <si>
    <t>Заявка № 22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</si>
  <si>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для проекта «Оморинский», Камовская площадь, скважина КМ-4 бис.</t>
  </si>
  <si>
    <t>00488-21</t>
  </si>
  <si>
    <t>Заказ № НТЦ-01340-21Д-ГЕО к договору №ГЕО-19/10124/00001/Р от 09.01.2019</t>
  </si>
  <si>
    <t>НТЦ-01340-21Д-ГЕО</t>
  </si>
  <si>
    <t>Бизнес-технологический продукт Ачимовская скважина. Этап 1 Региональный</t>
  </si>
  <si>
    <t>00488-23</t>
  </si>
  <si>
    <t>Изменение банковских реквизитов контрагента</t>
  </si>
  <si>
    <t>00488-24</t>
  </si>
  <si>
    <t>ГЕО-24/26000/00150</t>
  </si>
  <si>
    <t>26000 Соглашение о конфиденциальности с российским контрагентом АО НПФ Геофизика</t>
  </si>
  <si>
    <t>0000026052</t>
  </si>
  <si>
    <t xml:space="preserve">АО НПФ Геофизика </t>
  </si>
  <si>
    <t>0278012129</t>
  </si>
  <si>
    <t>00489-23</t>
  </si>
  <si>
    <t>ГЕО-22/33100/00201</t>
  </si>
  <si>
    <t>00489-24</t>
  </si>
  <si>
    <t>ГЕО-24/33100/00151</t>
  </si>
  <si>
    <t>33100 Соглашение в области производственной безопасности с ООО «ТРАЕКТОРИЯ-СЕРВИС»</t>
  </si>
  <si>
    <t>00490-23</t>
  </si>
  <si>
    <t>ДОПОЛНИТЕЛЬНОЕ СОГЛАШЕНИЕ 3 к Договору на оказание услуг № ГЕО-22/09000/00093/Р от 02.05.2022 г.</t>
  </si>
  <si>
    <t>Заключение ДС на основании СЗ, в связи с несвоевременным внесением изменений.</t>
  </si>
  <si>
    <t>00490-24</t>
  </si>
  <si>
    <t>Изм№5 к НЗ№2 к ДД №ГЕО-22/11029/00172/Р от 25.07.2022 (Камовская)</t>
  </si>
  <si>
    <t>00491-22</t>
  </si>
  <si>
    <t>ДС № 2 к ДД № ГЕО-21/10000/00302/Р от 31.12.2021г. с ООО «ГПН-С» на оказание услуг СТЛ в 2022 году на Северо-Ямбургском ЛУ (Проект «Титан») на включение услуг по ТС экскаватор на гусеничном ходу</t>
  </si>
  <si>
    <t xml:space="preserve"> 2</t>
  </si>
  <si>
    <t>необходимость обеспечения дополнительной потребности ООО «ГПН- ГЕО» в услугах специализированной техники (экскаватор на гусеничном ходу) при реализации производственной программы Проекта «Титан» на Северо-Ямбургском ЛУ в 2022 году</t>
  </si>
  <si>
    <t>00491-23</t>
  </si>
  <si>
    <t>00491-24</t>
  </si>
  <si>
    <t>ГЕО-24/33400/00155</t>
  </si>
  <si>
    <t xml:space="preserve">Соглашение о  безопасном использовании информационных систем с ООО "Траектория-Сервис" </t>
  </si>
  <si>
    <t xml:space="preserve">Организация безопасного использования информационных систем с ООО "Траектория-Сервис" </t>
  </si>
  <si>
    <t>00492-22</t>
  </si>
  <si>
    <t>ГЕО-22/33200/00119</t>
  </si>
  <si>
    <t>00492-23</t>
  </si>
  <si>
    <t>00492-24</t>
  </si>
  <si>
    <t xml:space="preserve">ДС № 8 к Д № ГЕО-21/11104/00292/Р с Ютэйр </t>
  </si>
  <si>
    <t xml:space="preserve">индексация ФОТ </t>
  </si>
  <si>
    <t>00493-23</t>
  </si>
  <si>
    <t xml:space="preserve">по оказанию услуг охраны по Договору № ГЕО-21/09000/00198/Р от 06.09.2021г.
</t>
  </si>
  <si>
    <t>00493-24</t>
  </si>
  <si>
    <t>ГЕО-24/26000/00152</t>
  </si>
  <si>
    <t>26000 Соглашение о конфиденциальности с российским контрагентом НТЦ Геомеханика</t>
  </si>
  <si>
    <t>00494-21</t>
  </si>
  <si>
    <t>№ ГЕО-19/10001/00157/Р/ГСН-19/10001/00829/Д/ТМН-15</t>
  </si>
  <si>
    <t>ДС № 11 к Договору № ГЕО-19/10001/00157/Р/ГСН-19/10001/00829/Д/ТМН-15</t>
  </si>
  <si>
    <t xml:space="preserve">11 </t>
  </si>
  <si>
    <t>Перевод НГО 2021-2022 гг. в ГО 2021-2022гг., приведение стоимости договора к факту исполнения по состоянию на июнь 2021г. без изменения общей стоимости договора</t>
  </si>
  <si>
    <t>00494-23</t>
  </si>
  <si>
    <t>Изм 1 к НЗ №2 Уралгеопроект, ООО  к договору ГЕО-22/11000/00267/Р от 10.10.2022</t>
  </si>
  <si>
    <t>Изм 1 к НЗ №2 Уралгеопроект, ООО  к договору ГЕО-22/11000/00267/Р от 10.10.2022. Выполнению инженерных изысканий для нужд ООО «ГПН-ГЕО».</t>
  </si>
  <si>
    <t>00494-24</t>
  </si>
  <si>
    <t>НЗ №6 Уралгеопроект, ООО  к договору ГЕО-22/11000/00267/Р от 10.10.2022</t>
  </si>
  <si>
    <t>НАРЯД-ЗАКАЗ №6 с ООО «Уралгеопроект». Выполнению инженерных изысканий для нужд ООО «ГПН-ГЕО».</t>
  </si>
  <si>
    <t>00495-22</t>
  </si>
  <si>
    <t>Изменение платежных реквизитов подрядчика</t>
  </si>
  <si>
    <t>00495-23</t>
  </si>
  <si>
    <t>ДС№1 к ДОГОВОРУ № ГЕО-23/10000/00093/Р от 01.06.2023 г.</t>
  </si>
  <si>
    <t>ДС№1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 ОЭДК обновлёние.</t>
  </si>
  <si>
    <t>00495-24</t>
  </si>
  <si>
    <t>ДС №7 к Договору ГЕО-20/11104/00210/Р от 31.12.2020 г.</t>
  </si>
  <si>
    <t xml:space="preserve">Индексация ФОТ </t>
  </si>
  <si>
    <t>00496-21</t>
  </si>
  <si>
    <t>ГЕО-20/09000/00182/Д/АБ-20/09000/00005/Р</t>
  </si>
  <si>
    <t>Доплнительное соглашение №1</t>
  </si>
  <si>
    <t>Оказание операторских услуг на проекте Енисей</t>
  </si>
  <si>
    <t xml:space="preserve">ООО Газпромнефть-Аэро Брянск </t>
  </si>
  <si>
    <t>00496-22</t>
  </si>
  <si>
    <t>ГЕО-22/09000/00137/Д</t>
  </si>
  <si>
    <t>11708; 10124 Договор на выполнение работ по услугам:   «НИОКР, НИР прочие»  и «НИОКР, НИР в области геофизики, геологии и разработки месторождений»</t>
  </si>
  <si>
    <t>Выполнение научно-исследовательской работы для последующей реализации экономически эффективной добычи и первичной подготовки нефти, природного газа, газоконденсата посредством комплекса технико-технологических решений строительства и эксплуатации скважин на Харвутинской площади Ямбургского НГКМ в 2022-2023 г.</t>
  </si>
  <si>
    <t>00496-23</t>
  </si>
  <si>
    <t>НАРЯД-ЗАКАЗ №2 к Договору № ГЕО-21/10318/00258/Р от «08» ноября 2021 г.</t>
  </si>
  <si>
    <t>Выполнение работ по отбору керна на скважине №401 Западно-Рубежинского ЛУ</t>
  </si>
  <si>
    <t>00496-24</t>
  </si>
  <si>
    <t>НАРЯД-ЗАКАЗ № 17 к Договору № АНГ-191151300010Р от 18 февраля 2019</t>
  </si>
  <si>
    <t xml:space="preserve">Оформление подрядной организацией ООО "Магеллан" разрешительной документации на земельные участки необходимые для строительства скважины 1ПО Южно-Новопортовского ЛУ
</t>
  </si>
  <si>
    <t>00497-22</t>
  </si>
  <si>
    <t>ГЕО-22/09000/00130</t>
  </si>
  <si>
    <t>Договор о практической подготовке обучающихся между СПбГУ "Высшая школа журналистики и массовых коммуникаций"</t>
  </si>
  <si>
    <t>Прохождение учебной практики</t>
  </si>
  <si>
    <t>СПбГУ, "Высшая школа журналистики и массовых коммуникаций"</t>
  </si>
  <si>
    <t>00497-23</t>
  </si>
  <si>
    <t>Заявка № 2 к договору о предоставлении труда работников (персонала) № ГЕО-23/09000/00149/Р от 28.08.2023 г.</t>
  </si>
  <si>
    <t>00497-24</t>
  </si>
  <si>
    <t>Заявка №9 к договору №ГЕО/23/10000/00173/Р от 01.11.2023г.</t>
  </si>
  <si>
    <t>00498-21</t>
  </si>
  <si>
    <t>НТЦ-01419-21Д-ГЕО</t>
  </si>
  <si>
    <t>Актуализация концептуального проекта по Западно-Зимнему ЛУ (перевод Фазы 2.1 на этап Выбор, с учетом влияния на программу проектов "ЗИМА")</t>
  </si>
  <si>
    <t>00498-22</t>
  </si>
  <si>
    <t>Выполнение цифровой аэрофотосъемки (ЦАФС) и воздушно-лазерного сканирования (ВЛС) с пилотируемых воздушных средств на территории: Восточный участок ОНГКМ, Царичанский ЛУ, Филатовский ЛУ, Кувайский ЛУ, Ягодный ЛУ, Уранский ЛУ,  Балейкинский ЛУ, Новосамарский ЛУ, Новозаринский ЛУ, Рощинский ЛУ, Капитоновский ЛУ, Центрально-Уранский ЛУ, Краснореченский ЛУ Оренбурской области (Номер района по ТЗ - 1)</t>
  </si>
  <si>
    <t>00498-23</t>
  </si>
  <si>
    <t>ГЕО-23/33200/00165</t>
  </si>
  <si>
    <t>33200 Соглашение об электронном документообороте Газпром газобезопасность, ООО</t>
  </si>
  <si>
    <t>Электонный обмен документами ООО "Газпром газобезопасность".</t>
  </si>
  <si>
    <t>Д-40</t>
  </si>
  <si>
    <t>00498-24</t>
  </si>
  <si>
    <t>Заявка №10 к договору №ГЕО/23/10000/00173/Р от 01.11.2023г.</t>
  </si>
  <si>
    <t>00499-21</t>
  </si>
  <si>
    <t>ГЕО-21/09000/00176/Р</t>
  </si>
  <si>
    <t>Договор оказания услуг по оценке</t>
  </si>
  <si>
    <t>Оценка имузщества ООО "Энерком" в целях его продажи ПАО "Газпром нефть" в связи с передачей лицензии на Солнечный ЛУ.</t>
  </si>
  <si>
    <t>ООО "НОБЕЛЬ-АУДИТ"</t>
  </si>
  <si>
    <t>00499-22</t>
  </si>
  <si>
    <t>№ ГЕО-19/11019/00145/Р</t>
  </si>
  <si>
    <t xml:space="preserve">Изменение реквизитов Подрядчика </t>
  </si>
  <si>
    <t>00499-23</t>
  </si>
  <si>
    <t>ДС№12. ГЕО-21/10208/00166/Р от 20.07.2021 с ООО "НСХ Азия Дриллинг"</t>
  </si>
  <si>
    <t>НГО в ГО (скважина №401: переезд, бурение, испытание)</t>
  </si>
  <si>
    <t>982896782.09</t>
  </si>
  <si>
    <t>00499-24</t>
  </si>
  <si>
    <t>Дополнительное соглашение №8 к договору № ГЕО-22/09000/00014/Р от 07.01.2022г</t>
  </si>
  <si>
    <t xml:space="preserve">Дополнительное соглашение №8 о продлении срока выполнения работ, раскрытии НГО и перераспределении объемов работ к договору № ГЕО-22/09000/00014/Р от 07.01.2022г </t>
  </si>
  <si>
    <t>00500-22</t>
  </si>
  <si>
    <t>№ ГЕО-22/11000/00098/Р</t>
  </si>
  <si>
    <t>00500-23</t>
  </si>
  <si>
    <t>ДС№12 ДД №ГЕО-21/10208/00166/Р от 20.07.2021 с ООО "НСХ Азия Дриллинг"</t>
  </si>
  <si>
    <t>Дополнительное соглашение №12 ДД №ГЕО-21/10208/00166/Р от 20.07.2021 с ООО "НСХ Азия Дриллинг".</t>
  </si>
  <si>
    <t>00500-24</t>
  </si>
  <si>
    <t>Дополнительное соглашение № 7 к Договору на оказание услуг по освоению скважин через сепарационную установку № ГЕО-22/10000/00179/Р от 01.08.2022 года</t>
  </si>
  <si>
    <t>Цель заключения данного ДС  - освоение и испытание скважин через сепарационную установку</t>
  </si>
  <si>
    <t>00501-21</t>
  </si>
  <si>
    <t xml:space="preserve"> ГЕО-19/09000/00325/Р </t>
  </si>
  <si>
    <t>Перенос сроков оказания услуг</t>
  </si>
  <si>
    <t>00501-22</t>
  </si>
  <si>
    <t>№ ГЕО-22/11000/00030/Р</t>
  </si>
  <si>
    <t>00501-23</t>
  </si>
  <si>
    <t>Ларионов Е.(.</t>
  </si>
  <si>
    <t>00501-24</t>
  </si>
  <si>
    <t>Дополнительное соглашение №10 к договору ГЕО-19/09000/00303/Р от 15.11.2019</t>
  </si>
  <si>
    <t>Заключение дополнительного соглашения №10 о внесении изменений в приложение "Расчет стоимости услуг к Договору", ТЗ к договору ГЕО-19/09000/00303/Р от 15.11.2019</t>
  </si>
  <si>
    <t>00502-23</t>
  </si>
  <si>
    <t>ЗАКАЗ № 2 к Договору №ГЕО-22/10000/00155/Р от 01.07.2022 г.</t>
  </si>
  <si>
    <t>00502-24</t>
  </si>
  <si>
    <t>ГЕО-19/09000/00303/Р от 15.11.2019г</t>
  </si>
  <si>
    <t>ДС №10 к договору ГЕО-19/09000/00303/Р от 15.11.2019г</t>
  </si>
  <si>
    <t>Заключение ДС №10 о внесении изменений в приложение "Расчет стоимости услуг к Договору", ТЗ договору ГЕО-19/09000/00303/Р от 15.11.2019г</t>
  </si>
  <si>
    <t>00503-21</t>
  </si>
  <si>
    <t>ДОПОЛНИТЕЛЬНОЕ СОГЛАШЕНИЕ №1 к Договору на 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 ГЕО-20/10940/00117/Р от 10 июля 2020 г.</t>
  </si>
  <si>
    <t>00503-23</t>
  </si>
  <si>
    <t>ГЕО-22/33100/00198</t>
  </si>
  <si>
    <t>00503-24</t>
  </si>
  <si>
    <t xml:space="preserve">ДС №7 к Договору №ГЕО-23/10000/00067/Р </t>
  </si>
  <si>
    <t>Индексация расценок</t>
  </si>
  <si>
    <t>00504-21</t>
  </si>
  <si>
    <t>№ ГЕО-20/10838/00020/Р ОТ 01.02.2020</t>
  </si>
  <si>
    <t>Дополнительное соглашение к договору по перераспределение между гарант. и негарант. объёмами работ и по замене перечня нарушений и штрафных санкций.</t>
  </si>
  <si>
    <t>Приведение гарантированного объема работ на 2021г. в соответствии с актуальной производственной программой по проекту "Чона" и "Енисей". Изменение перечня нарушений и штрафных санкций в области ПБ в соответствии с протоколом заочного Заседания Комитета по производственной безопасности БРД № ПТ-100.0170/0000004 от 21 апреля 2021г.</t>
  </si>
  <si>
    <t>Контроль состояния электробезопасности на объектах подрядных организаций</t>
  </si>
  <si>
    <t>00504-22</t>
  </si>
  <si>
    <t>Подписание ДД УКЭП</t>
  </si>
  <si>
    <t>00504-24</t>
  </si>
  <si>
    <t>Изменение №3 от 21.08.2024г. к Наряд-заказу №1 к Договору № ГЕО-22/11000/00274/Р от 14.10.2022г.</t>
  </si>
  <si>
    <t>00505-21</t>
  </si>
  <si>
    <t xml:space="preserve">ГПН-20/20000/04373/Д // ГЕО-20/09000/00216/Р </t>
  </si>
  <si>
    <t>Дополнительное соглашение № 86 к агентскому договору № ГПН-20/20000/04373/Д/ ГЕО-20/09000/00216/Р от 31.12.2020 г.</t>
  </si>
  <si>
    <t>86</t>
  </si>
  <si>
    <t>Увеличение агентского вознаграждения</t>
  </si>
  <si>
    <t>00505-22</t>
  </si>
  <si>
    <t>№ ГЕО-20/10986/00138/Р</t>
  </si>
  <si>
    <t>00505-23</t>
  </si>
  <si>
    <t>Внесение изменений в Соглашение в области производственной безопасности</t>
  </si>
  <si>
    <t>00505-24</t>
  </si>
  <si>
    <t>ДС №5 к Договору №ГЕО-22/11000/00274/Р от 14.10.2022г</t>
  </si>
  <si>
    <t>Внесение дополнений в статью 1 и статью 2 ДД</t>
  </si>
  <si>
    <t>00506-21</t>
  </si>
  <si>
    <t>ГЕО-20/10924/00056/Р</t>
  </si>
  <si>
    <t>ДОПОЛНИТЕЛЬНОЕ СОГЛАШЕНИЕ №2 к Договору на выполнение работ по экологическому мониторингу месторождений № ГЕО-20/10924/00056/Р от 05 марта 2020 г.</t>
  </si>
  <si>
    <t>Внесение изменений в реквизиты Подрядчика</t>
  </si>
  <si>
    <t>Д-30</t>
  </si>
  <si>
    <t>00506-22</t>
  </si>
  <si>
    <t>ГЕО-22/09000/00124/Р</t>
  </si>
  <si>
    <t>на сопровождение Автоматизированной системы управления ЭКОЮРС</t>
  </si>
  <si>
    <t>предоставление доступа к Автоматизированной системе управления ЭКОЮРС</t>
  </si>
  <si>
    <t>0000050147</t>
  </si>
  <si>
    <t>ООО Центр правового обеспечения пр иродопользования</t>
  </si>
  <si>
    <t>7702303619</t>
  </si>
  <si>
    <t>00506-23</t>
  </si>
  <si>
    <t>Заявка № 3 к договору о предоставлении труда работников (персонала) № ГЕО-23/09000/00149/Р от 28.08.2023 г.</t>
  </si>
  <si>
    <t>00507-21</t>
  </si>
  <si>
    <t>ГЕО-21/00000/00184</t>
  </si>
  <si>
    <t>00507-23</t>
  </si>
  <si>
    <t>00508-21</t>
  </si>
  <si>
    <t>ГЕО-21/00000/00185</t>
  </si>
  <si>
    <t>00508-23</t>
  </si>
  <si>
    <t>ГЕО-23/04500/00160/Р</t>
  </si>
  <si>
    <t>Договор субаренды земельного участка</t>
  </si>
  <si>
    <t>для строительства промышленных и иных объектов, в том числе (но не ограничиваясь) для размещения подъездного пути к скважине №341ПО Солнечного лицензионного участка</t>
  </si>
  <si>
    <t>00508-24</t>
  </si>
  <si>
    <t>Заявка № 23 (РГ по ПБ)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</si>
  <si>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проекте «Южный Оренбург», Корнаваринский ЛУ, скважина № 342 Р.</t>
  </si>
  <si>
    <t>00509-21</t>
  </si>
  <si>
    <t>ГЕО-19/10901/00028/Р от 22.02.2019 г.</t>
  </si>
  <si>
    <t>Задание №5 к № ГЕО-19/10901/00028/Р от 22.02.2019 г.</t>
  </si>
  <si>
    <t xml:space="preserve">5 </t>
  </si>
  <si>
    <t>Проведение производственного контроля за вредными и опасными производственными факторами на производственных объектах нефтепромысла Общества (Лескинский лицензионный участок - Красноярский край, Таймырский Долгано-Ненецкий район)</t>
  </si>
  <si>
    <t>00509-22</t>
  </si>
  <si>
    <t>ГЕО-22/23300/00128/Р</t>
  </si>
  <si>
    <t>Оказание спонсорской помощи</t>
  </si>
  <si>
    <t>Спонсорская помощь в целях организации и проведения мероприятия: Научно-практическая конференция «Байкал-Гео’22» по тематике «Геологоразведка: Вызовы и современные решения»</t>
  </si>
  <si>
    <t>ООО "СИГМА-ГЕО"</t>
  </si>
  <si>
    <t>Договор об экономических, научных и культурных связях</t>
  </si>
  <si>
    <t>300 000,00</t>
  </si>
  <si>
    <t>00509-23</t>
  </si>
  <si>
    <t>ГЕО-23/04500/00161/Р</t>
  </si>
  <si>
    <t xml:space="preserve">Договор субаренды земельного участка </t>
  </si>
  <si>
    <t>00509-24</t>
  </si>
  <si>
    <t>Заявка № 24 (Супервайзер по ПБ)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</si>
  <si>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супервайзера по производственной безопасности на проекте «Южный Оренбург», Корнаваринский ЛУ, скважина № 342 Р.</t>
  </si>
  <si>
    <t>00510-21</t>
  </si>
  <si>
    <t>ГЕО-21/00000/00186</t>
  </si>
  <si>
    <t>00510-24</t>
  </si>
  <si>
    <t>ГЕО-24/25000/00004/Р</t>
  </si>
  <si>
    <t>ДС №1 к ДД №ГЕО-24/25000/00004/Р</t>
  </si>
  <si>
    <t>Увеличение сроков перечисления стоимости услуг по договору до 24 (двадцати четырёх) календарных дней для исключения риска просрочек платежей по данным договорам ГПХ в связи с исполнением Приказа № 07-П от 22.01.2024 «О внедрении централизованного контроля исполнения платежей с использованием сервисов ООО «Газпром ЕРЦ»» в периметре Дочерних Обществ компании «Газпром»</t>
  </si>
  <si>
    <t>0000111925</t>
  </si>
  <si>
    <t xml:space="preserve">Васильева Анастасия Ильинична </t>
  </si>
  <si>
    <t>550312402430</t>
  </si>
  <si>
    <t>00511-22</t>
  </si>
  <si>
    <t>ГЕО-22/09000/00134/Р</t>
  </si>
  <si>
    <t>Услуга по по разработке «Комплексного плана ликвидации чрезвычайных ситуаций при строительстве разведочной скважины 198 ПО на Лескинском лицензионном участке»</t>
  </si>
  <si>
    <t>00511-23</t>
  </si>
  <si>
    <t>ГЕО-23/09000/00169/Р</t>
  </si>
  <si>
    <t>закупка лицензий на техническое сопровождение программного обеспечения системы «КИБ Серчинформ»</t>
  </si>
  <si>
    <t>0000042879</t>
  </si>
  <si>
    <t xml:space="preserve">ООО ГАЗИНФОРМСЕРВИС </t>
  </si>
  <si>
    <t>7838017968</t>
  </si>
  <si>
    <t>00511-24</t>
  </si>
  <si>
    <t>ДС №1 к ДД №ГЕО-24/25000/00042/Р</t>
  </si>
  <si>
    <t>00512-21</t>
  </si>
  <si>
    <t xml:space="preserve">Наряд-заказ № 26 к Договору № АНГ-19/11513/00007/Р </t>
  </si>
  <si>
    <t>26</t>
  </si>
  <si>
    <t>оформление 2-х Распоряжений о выполнении работ по гелогическому изучению недр на землях лесного фонда сроком на 7 лет на  Игнялинском и Вакунайском лицензионных участках (для подъездных путей к объектам)</t>
  </si>
  <si>
    <t>00512-22</t>
  </si>
  <si>
    <t>№ ГЕО-21/09000/00198/Р от 06.09.2021 г.</t>
  </si>
  <si>
    <t>Дополнительное соглашение № 4 к договору № ГЕО-21/09000/00198/Р от 06.09.2021 г.</t>
  </si>
  <si>
    <t xml:space="preserve">Перевод негарантированого объема 2022 года КПП и ССП 107 суток, в гарантированный объем 2022 г.  </t>
  </si>
  <si>
    <t>00512-23</t>
  </si>
  <si>
    <t>33100 Дополнительное соглашение к Соглашениям в  в области производственной безопасности ДС1 к №ГЕО-22/33100/00245 от 10.10.2022.</t>
  </si>
  <si>
    <t xml:space="preserve">ДОПОЛНИТЕЛЬНОЕ СОГЛАШЕНИЕ №1 к Соглашение ПБ №ГЕО-22/33100/00245 от 10.10.2022.
</t>
  </si>
  <si>
    <t>Янбаев М.Х.</t>
  </si>
  <si>
    <t>00512-24</t>
  </si>
  <si>
    <t>ДС №1 к ДД №ГЕО-24/25000/00083/Р (Котова А.М.)</t>
  </si>
  <si>
    <t>00513-21</t>
  </si>
  <si>
    <t>ГЕО-21/10900/00177/Р</t>
  </si>
  <si>
    <t>оказание экспертно-консультационных услуг, связанных с локализацией</t>
  </si>
  <si>
    <t xml:space="preserve">оказание экспертно-консультационных услуг, связанных с локализацией_x000D_
и ликвидацией разливов нефтепродуктов_x000D_
</t>
  </si>
  <si>
    <t>Услуги, связанные с обеспечением промышленной безопасности, охраной окружающей среды, охраны труда и здоровья</t>
  </si>
  <si>
    <t>00513-22</t>
  </si>
  <si>
    <t>Дополнительное соглашение №4 к договору № ГЕО-19/09000/00303/P от 15.11.2019</t>
  </si>
  <si>
    <t xml:space="preserve">Дополнительное соглашение №4 к Договору №ГЕО-19/09000/00303/Р от 15.11.2019г., предусматривает:_x000D_
1) включение условий применения электронного документооборота._x000D_
2) продление срока оказания услуг и действия договора до 31.12.2028 г. без увеличения стоимости, ввиду наличия в портфеле ГРР проектов, реализуемых ООО «ГПН-ГЕО» в 2025-2028 гг. (перераспределение негарантированного объема 2022-2024 гг. на период 2025-2028 гг.)._x000D_
3) включение варианта врачебного здравпункта в исполнении на шасси комплекс прицепов вагон-домов модели «Кедр 42» в Приложение №7 «Техническое задание»;_x000D_
4) включение в Приложении №1 «Расчёт стоимости» ставок организации медицинского врачебного пункта в исполнении «Кедр 42» с телемедицинским оборудованием: _x000D_
- «Консервация здравпункта (К.42.2.4 исполнение «Кедр 42»)»;_x000D_
- «Эксплуатация здравпункта (К.42.2.4 исполнение «Кедр 42»)»; _x000D_
- «Телемедицинское оборудование (таблица 2 приложения 8 к ТЗ)»; _x000D_
- «Мобилизация» (здравпункта в исполнении «Кедр 42»)._x000D_
 5) Перераспределение негарантированных объемов в гарантированные, в связи с необходимостью оказания услуг в 2022 г., в том числе с использованием здравпункта в исполнении «Кедр 42» и телемедицинского оборудования в УрФО._x000D_
_x000D_
Стоимость услуг по ДС№4:_x000D_
-0,02 руб. без НДС, в том числе перераспределение негарантированных объемов в гарантированные:_x000D_
- увеличение гарантированного объема 280 321,58 руб. без НДС;_x000D_
- уменьшение негарантированного объема - 280 321,60  руб. без НДС._x000D_
</t>
  </si>
  <si>
    <t>00513-23</t>
  </si>
  <si>
    <t>ДС№1 к ДД №ГЕО-23/10318/00013/Р от 09.01.2023 АО "НПП "Бурсервис"</t>
  </si>
  <si>
    <t>Дополнительного соглашения №1 к Договору подряда №ГЕО-23/10318/00013/Р от 09.01.2023  заключенному между ООО «ГПН-ГЕО» и АО «НПП «Бурсервис» на выполнение работ «на отбор керна при бурении и реконструкции скважин (10318)»</t>
  </si>
  <si>
    <t>17522260.73</t>
  </si>
  <si>
    <t>00513-24</t>
  </si>
  <si>
    <t>ДС №1 к ДД №ГЕО-24/25000/00026/Р (Кунова С.С.)</t>
  </si>
  <si>
    <t>00514-21</t>
  </si>
  <si>
    <t>ГЕО-21/26000/00178</t>
  </si>
  <si>
    <t>Обмен информацией в рамках оказания услуг комплексного правового сопровождения деятельности ООО "ГПН-ГЕО"</t>
  </si>
  <si>
    <t>0000097271</t>
  </si>
  <si>
    <t>ООО Газпромнефть-Экспертные решени я</t>
  </si>
  <si>
    <t>7840095272</t>
  </si>
  <si>
    <t>00514-22</t>
  </si>
  <si>
    <t xml:space="preserve">Наряд-заказ № 30 к Договору № АНГ-19/11513/00007/Р </t>
  </si>
  <si>
    <t>30</t>
  </si>
  <si>
    <t>Переоформление ДА по проекту "ЧОНА" на новый срок</t>
  </si>
  <si>
    <t>00514-23</t>
  </si>
  <si>
    <t>Изм. №1 к НЗ№1 к ДД №ГЕО-23/10318/00013/Р от 09.01.2023 АО "НПП "Бурсервис"</t>
  </si>
  <si>
    <t>Изм. №1 к НЗ№1 к Договору подряда №ГЕО-23/10318/00013/Р от 09.01.2023  заключенному между ООО «ГПН-ГЕО» и АО «НПП «Бурсервис» на выполнение работ «на отбор керна при бурении и реконструкции скважин (10318)»</t>
  </si>
  <si>
    <t>00514-24</t>
  </si>
  <si>
    <t>ГЕО-24/25000/00001/Р</t>
  </si>
  <si>
    <t>ДС №1 к ДД № ГЕО-24/25000/00001/Р (Хорошавина Г.Г.)</t>
  </si>
  <si>
    <t>0000110719</t>
  </si>
  <si>
    <t xml:space="preserve">Хорошавина Галина Геннадьевна </t>
  </si>
  <si>
    <t>240700153927</t>
  </si>
  <si>
    <t>00515-22</t>
  </si>
  <si>
    <t>ГЕО-22/01200/00132/Р</t>
  </si>
  <si>
    <t>Договор оказания услуг по обновлению ПО С-Терра</t>
  </si>
  <si>
    <t>Обновление ПО Программно-аппаратного комплекса «С-Терра VPN» с версии 4.2 на версию 4.3._x000D_</t>
  </si>
  <si>
    <t>349 600,00</t>
  </si>
  <si>
    <t>00515-23</t>
  </si>
  <si>
    <t>№ 3</t>
  </si>
  <si>
    <t>ИЗМЕНЕНИЕ № 1 к Наряд-заказу № 3 к Договору № ГЕО-22/11000/00274/Р от 14.10.2022 г.</t>
  </si>
  <si>
    <t xml:space="preserve">На выполнение проектных работ </t>
  </si>
  <si>
    <t>00515-24</t>
  </si>
  <si>
    <t>ГЕО-24/09000/00160/Р</t>
  </si>
  <si>
    <t>Д-41</t>
  </si>
  <si>
    <t>00516-22</t>
  </si>
  <si>
    <t>ГЕО-22/09000/00129/Р</t>
  </si>
  <si>
    <t>Договор на оказание услуг по предоставлению питания</t>
  </si>
  <si>
    <t>Питание Суперинтенданта (сотрудника ООО "ГПН-ГЕО") на Северо - Ямбургском ЛУ (проект Титан)</t>
  </si>
  <si>
    <t>Общество с ограниченной ответственностью «Нижневартовсктранспродукт» (ООО «НТП»)</t>
  </si>
  <si>
    <t>00516-23</t>
  </si>
  <si>
    <t>ГЕО-23/33200/00162</t>
  </si>
  <si>
    <t>00516-24</t>
  </si>
  <si>
    <t xml:space="preserve">ДС №11 к Договору №ГЕО-21/10308/00236/Р от 04.10.2021 г. с АО «ПГО «Тюменьпромгеофизика» </t>
  </si>
  <si>
    <t>1. Перевод части негарантированного объема услуг 2024 г. в гарантированный объем 2024 г.;
2. Пролонгация договора до 31.12.2025 г.;
3. Увеличение единичных расценок с 01.01.2025 г.;
4. Уменьшение неиспользованного негарантированного объема услуг 2023 г.;
5. Уменьшение общей стоимости договора путем перераспределения объемов</t>
  </si>
  <si>
    <t>00517-22</t>
  </si>
  <si>
    <t>ГЕО-22/09000/00125/Р</t>
  </si>
  <si>
    <t>Питание сотрудников  ООО "ГПН-ГЕО" и персонала НТЦ на проекте Южный Оренбург</t>
  </si>
  <si>
    <t>Общество с ограниченной ответственностью «Комбинат общественного питания» ( ООО "КОП")</t>
  </si>
  <si>
    <t>00517-23</t>
  </si>
  <si>
    <t xml:space="preserve">ДС №2 к Договору ГЕО-22/10951/00165/Р от 29.07.2022г с ЦАСЭО </t>
  </si>
  <si>
    <t xml:space="preserve">замена ОЛ (ОЭДК) </t>
  </si>
  <si>
    <t>00517-24</t>
  </si>
  <si>
    <t>ДС № 12 к Д № ГЕО-21/09000/00198/Р</t>
  </si>
  <si>
    <t xml:space="preserve">Продление срока действия договора и оказания услуг до 21.08.2025 г.;
Перераспределение неосвоенных объемов услуг 2024 г. между статьями, годами и раскрытие негарантированного объема услуг для мобилизации, организации работы контрольно-пропускного пункта и системы согласования пропусков в период по 18.06.2025 г. </t>
  </si>
  <si>
    <t>00518-21</t>
  </si>
  <si>
    <t>ДС 1 и ПР к  ДС 1 к ГЕО-19/00000/00186/ННГ-19/00000/01228 от 07.08.2019</t>
  </si>
  <si>
    <t>ДС №1 к Соглашению об электронном документообороте ГЕО-19/00000/00186/ННГ-19/00000/01228 от 07.08.2019</t>
  </si>
  <si>
    <t>00518-22</t>
  </si>
  <si>
    <t>00518-23</t>
  </si>
  <si>
    <t>Смена банковских реквизитов АВТОДЕЛЮКС</t>
  </si>
  <si>
    <t>Смена банковских реквизитов АВТОДЕЛЮКС, в соответствии с п.6.6. ДД изменения реквизитов должны быть закреплены ДС</t>
  </si>
  <si>
    <t>00518-24</t>
  </si>
  <si>
    <t>ДОПОЛНИТЕЛЬНОЕ СОГЛАШЕНИЕ № 16 к Договору № ОРН-18/10303/03693/Р от 20.12.2018г.</t>
  </si>
  <si>
    <t>- увеличение объема хим. реагентов для оказания услуг необходимых для бурения двух оставшихся скважин в договоре в 2024-2025 годы
- увеличение суммы договора достаточного для бурения двух оставшихся скважин в договоре
- включение резерва во договору в размере 21% от стоимости двух оставшихся скважин</t>
  </si>
  <si>
    <t>00519-21</t>
  </si>
  <si>
    <t>ДС 1 к №ГЕО-19/00000/00198//НТЦ-19/00000/01365 от «01» августа 2019 г.</t>
  </si>
  <si>
    <t>Дополнительное соглашение № 1 к Соглашению об использовании электронного документооборота №ГЕО-19/00000/00198//НТЦ-19/00000/01365 от «01» августа 2019 г.</t>
  </si>
  <si>
    <t>Переход на электроннный документооборот</t>
  </si>
  <si>
    <t>00519-22</t>
  </si>
  <si>
    <t>Дополнительное соглашение №4 на индексацию тарифов 6,1% и 6,3%</t>
  </si>
  <si>
    <t>Индексация действующих тарифов пасссажирский (Ford Transit) и оперативный (Toyota Hilux) транспорта в соответствии с Протоколом ПТ-100.0364/0000021 от 15.03.22 очного заседания Экспертного совета по управлению взаимоотношениями с контрагентами БРД ПАО «Газпром нефть» № 15 от 09.03.22, а именно: 6,1% по оперативным/легковым перевозкам (до 8 пассажиро-мест, оперативный транспорт) на дизельном топливе и в размере 6,3% по пассажирской технике, автобусам, вахтовым автомобилям, грузо- пассажирским автомобилям (с 8 и более пассажиро-местами).</t>
  </si>
  <si>
    <t>00519-23</t>
  </si>
  <si>
    <t>Дополнительное соглашение № 8 к Договору № ГЕО-21/08000/00296/Р от «28» декабря 2021 г.</t>
  </si>
  <si>
    <t>00519-24</t>
  </si>
  <si>
    <t>Наряд-заказ № 9</t>
  </si>
  <si>
    <t>Мобилизация КПП, организация работы контрольно-пропускного пункта и системы согласования пропусков по 18.06.2025г.</t>
  </si>
  <si>
    <t>00520-21</t>
  </si>
  <si>
    <t>ГЕО-20/24000/00187/Р/ГПН-20/36000/03726/Д</t>
  </si>
  <si>
    <t>Соглашение о перемене лиц в обязательстве к сублицензионному договору № ГПН-20/36000/03726/Д  от 30.10.2020г.</t>
  </si>
  <si>
    <t>Изменение владельца договора со стороны поставщика.</t>
  </si>
  <si>
    <t>0000037846, 0000008602</t>
  </si>
  <si>
    <t xml:space="preserve">ООО Газпромнефть ИТО ; 
ПАО Газпром нефть </t>
  </si>
  <si>
    <t>8905032518, 5504036333</t>
  </si>
  <si>
    <t>00520-22</t>
  </si>
  <si>
    <t>НТЦ-00892-22Д-ГЕО</t>
  </si>
  <si>
    <t>«Программа развития компетенций/потенциала»</t>
  </si>
  <si>
    <t>00520-23</t>
  </si>
  <si>
    <t>Заявка № 14 к ДД № ГЕО-21/08000/00296/Р от 28.12.2021</t>
  </si>
  <si>
    <t>Заявка №14 к Договору № ГЕО-21/08000/00296/Р от 28.12.2021 с ФГБУ «ВНИГНИ» на оказание услуг по «Разработке проектной документации по геологическому изучению недр включая поиски и оценку месторождений (залежей) УВС в пределах Усть-Енисейского лицензионного участка. Этап 1. Проведение геофизических работ».</t>
  </si>
  <si>
    <t>00520-24</t>
  </si>
  <si>
    <t>ГЕО-21/10306/00256/P</t>
  </si>
  <si>
    <t xml:space="preserve">Применение УПД (универсальный передаточный документ) в рамках ЭДО. </t>
  </si>
  <si>
    <t>00521-21</t>
  </si>
  <si>
    <t>00521-22</t>
  </si>
  <si>
    <t>ГЕО-21/09000/00263/Р</t>
  </si>
  <si>
    <t>ДОПОЛНИТЕЛЬНОЕ СОГЛАШЕНИЕ № 1 К ДОГОВОРУ № 6492-Р/ГЕО-21/09000/00269/Р ОТ 24.11.2021 г.</t>
  </si>
  <si>
    <t>включение новых единичных расценок без увеличения общей цены по договору (оценка НМА)</t>
  </si>
  <si>
    <t>0000078552</t>
  </si>
  <si>
    <t xml:space="preserve">ООО Ассоциация АЛКО </t>
  </si>
  <si>
    <t>7203391553</t>
  </si>
  <si>
    <t>00521-23</t>
  </si>
  <si>
    <t>ГЕО-22/33100/00194</t>
  </si>
  <si>
    <t xml:space="preserve">Актуализация соглашения о ПБ </t>
  </si>
  <si>
    <t>00521-24</t>
  </si>
  <si>
    <t>Заявка № 25 (РГ по ПБ в сейсморазведке) к договору о предоставлении труда работников (персонала) № ГЕО-23/09000/00149/Р от 28.08.2023 г.</t>
  </si>
  <si>
    <t>25</t>
  </si>
  <si>
    <t>Рассмотрение вопроса о возможности заключения Заявки № 25 на привлечение руководителя группы по производственной безопасности в сейсморазведке для проекта «Южный Оренбург» (ЭРР) в рамках Договора № ГЕО-23/09000/00149/Р от «28» августа 2023 г. со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t>
  </si>
  <si>
    <t>00522-21</t>
  </si>
  <si>
    <t>На предоставление услуг по производству и предоставлению авиаметеорологической информации</t>
  </si>
  <si>
    <t>Проект договора для определения НМЦ для Эксплуатация метеорологического оборудования на Лескинском ЛУ</t>
  </si>
  <si>
    <t>00522-23</t>
  </si>
  <si>
    <t>00522-24</t>
  </si>
  <si>
    <t>Заявка № 26 (гидрогеолог) к договору о предоставлении труда работников (персонала) № ГЕО-23/09000/00149/Р от 28.08.2023 г.</t>
  </si>
  <si>
    <t>00523-21</t>
  </si>
  <si>
    <t xml:space="preserve">НТЦ-01762-21Д         </t>
  </si>
  <si>
    <t xml:space="preserve">Информационно-консультационные услуги в формате вебинара по теме: _x000D_
«Концептуальное проектирование системы энергоснабжения», 26.08.2021-27.08.2021, Филиппов В.А._x000D_
</t>
  </si>
  <si>
    <t>00523-23</t>
  </si>
  <si>
    <t>Дополнительное соглашение №8 к договору ГЕО-19/09000/00303/Р от	15.11.2019</t>
  </si>
  <si>
    <t>Изложить приложение раздел 13 договора в новой редакции, заменить приложение № 2 к Договору в редакции Приложения 2 к дополнительному соглашению</t>
  </si>
  <si>
    <t>00523-24</t>
  </si>
  <si>
    <t>Заявка № 27 (Статист)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</si>
  <si>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Ведущего специалиста по статистике и анализу в области производственной безопасности</t>
  </si>
  <si>
    <t>00524-21</t>
  </si>
  <si>
    <t>Рамочный договор о выполнении операторских работ и оказании операторских услуг</t>
  </si>
  <si>
    <t>Оказание операторских услуг ООО "Карабашские-6"</t>
  </si>
  <si>
    <t>Сафронова С.С.</t>
  </si>
  <si>
    <t>Оказание операторских услуг по опытно-промышленной эксплуатации скважины</t>
  </si>
  <si>
    <t>00524-22</t>
  </si>
  <si>
    <t>00524-23</t>
  </si>
  <si>
    <t>ГЕО-23/33200/00163</t>
  </si>
  <si>
    <t>Для осуществления электронного документооборота</t>
  </si>
  <si>
    <t>00524-24</t>
  </si>
  <si>
    <t>Изменение №1 к Заявке № 22 (РГ по ПБ) к договору № ГЕО-23/09000/00149/Р от 28.08.2023 г.</t>
  </si>
  <si>
    <t>00525-21</t>
  </si>
  <si>
    <t>ГЕО-21/10322/00262/Р</t>
  </si>
  <si>
    <t>на оперативную доставку сил и средств в случае возникновения чрезвычайной ситуации, связанной с локализацией и ликвидацией разлива нефти/нефтепродуктов</t>
  </si>
  <si>
    <t xml:space="preserve">Оперативная доставка сил и средств_x000D_
 в случае возникновения чрезвычайной ситуации, _x000D_
связанной с локализацией и ликвидацией разлива _x000D_
нефти/нефтепродуктов на объектах ООО ГПН-ГЕО  _x000D_
</t>
  </si>
  <si>
    <t>Аварийные работы, включая аренду аварийного инструмента, инструмента для ликвидации скважины и предоставление мастера по аварийным работам</t>
  </si>
  <si>
    <t>00525-22</t>
  </si>
  <si>
    <t>ЕО-20/Ю803/00003/Р</t>
  </si>
  <si>
    <t>00525-23</t>
  </si>
  <si>
    <t xml:space="preserve">Дополнительное соглашение №7 к Договору №ГЕО-21/10924/00124/Р от 12.05.2021 г. </t>
  </si>
  <si>
    <t>Частичный перевод услуг из негарантированного объема в гарантированный по УФО и СФО</t>
  </si>
  <si>
    <t>00525-24</t>
  </si>
  <si>
    <t>Изменение ед.расценок</t>
  </si>
  <si>
    <t>00526-23</t>
  </si>
  <si>
    <t xml:space="preserve">НАРЯД-ЗАКАЗ № 6 к ДОГОВОРУ № ГЕО-21/10924/00124/Р от 12.05.2021 г. на выполнение работ по экологическому мониторингу месторождений </t>
  </si>
  <si>
    <t>00526-24</t>
  </si>
  <si>
    <t>ГЕО-24/36000/00165/Р</t>
  </si>
  <si>
    <t>Сублицензионный договор ("ООО Медиатехнологии", ПО "nanoCAD")</t>
  </si>
  <si>
    <t xml:space="preserve">Предоставление неисключительного права (простой лицензии) на использование программного обеспечения Nanocad. </t>
  </si>
  <si>
    <t>0000118091</t>
  </si>
  <si>
    <t xml:space="preserve">ООО Медиатехнологии </t>
  </si>
  <si>
    <t>5638068432</t>
  </si>
  <si>
    <t>00527-22</t>
  </si>
  <si>
    <t>ГЕО-20/Ю838/00020/Р</t>
  </si>
  <si>
    <t>00527-23</t>
  </si>
  <si>
    <t>ГЕО-23/01200/00167/Р</t>
  </si>
  <si>
    <t>Договор поставки</t>
  </si>
  <si>
    <t>Предоставление сертификатов на техподдержку ПО С-Терра</t>
  </si>
  <si>
    <t xml:space="preserve">ПАО Софтлайн </t>
  </si>
  <si>
    <t>00527-24</t>
  </si>
  <si>
    <t>ГЕО-24/33200/00156</t>
  </si>
  <si>
    <t xml:space="preserve">33200 Соглашение об электронном документообороте с ООО «МЕДИАТЕХНОЛОГИИ» </t>
  </si>
  <si>
    <t>Д-29</t>
  </si>
  <si>
    <t>00528-21</t>
  </si>
  <si>
    <t>ГЕО-21/09000/00001/Р</t>
  </si>
  <si>
    <t>ДОПОЛНИТЕЛЬНОЕ СОГЛАШЕНИЕ № 1 К ДОГОВОРУ НА СЕРВИСНОЕ ОБСЛУЖИВАНИЕ №ДОУ-155-20/ ГЕО-21/09000/00001/Р от 01.01.2021</t>
  </si>
  <si>
    <t>1. Уточнение структуры законтрактованных услуг в Приложении №1 – создание главы 3 (п.3.1-3.6) «Услуги по сервисному обслуживанию объекта (переменная часть)»; 2. Изменение лимита по видам услуг в переменной части Приложения №2 (без изменения общей стоимости по договору), выделение лимита на «Прочие услуги», выполняемые по заявкам Заказчика. 3. Внести в расшифровку п.1.1.13, далее п.3.4 Приложения №1 к ДС №1 «Прочие услуги» уточнение «Для административно-хозяйственного и социально-бытового обеспечения».</t>
  </si>
  <si>
    <t>00528-22</t>
  </si>
  <si>
    <t>О сроках подписания ПУД по ЭДО</t>
  </si>
  <si>
    <t>Включение в ДД типовых требований по обмену ЭДО в редакции Комплекса Парадной</t>
  </si>
  <si>
    <t>00528-23</t>
  </si>
  <si>
    <t>ДС№1 к договору об оказании услуг № ГЕО-23/09000/00036/Р</t>
  </si>
  <si>
    <t>Внедрение программно-аппаратного комплекса Travel-click, предназначенного для выполнения взаимных обязательств Сторонами в рамках настоящего Договора на безвозмездной основе.</t>
  </si>
  <si>
    <t>00528-24</t>
  </si>
  <si>
    <t>НЗ №7 Уралгеопроект, ООО  к договору ГЕО-22/11000/00267/Р от 10.10.2022</t>
  </si>
  <si>
    <t>НАРЯД-ЗАКАЗ №7 с ООО «Уралгеопроект». Выполнению инженерных изысканий для нужд ООО «ГПН-ГЕО».</t>
  </si>
  <si>
    <t>00529-21</t>
  </si>
  <si>
    <t>ДС2 к заказу №НТЦ-20/07000/00116/Д-ГЕО к договору №ГЕО-19/10124/00001/Р от 09.01.2019</t>
  </si>
  <si>
    <t>Оценка свойств и параметров углеводородной системы по данным исследования каменного материала и пластовых флюидов скважины Лескинская 178ПО</t>
  </si>
  <si>
    <t>00529-23</t>
  </si>
  <si>
    <t>Комплексные исследования керна скважины 198 Лескинского ЛУ (интервалы отбора керна 3240.00-3974.70)</t>
  </si>
  <si>
    <t>7/23-297</t>
  </si>
  <si>
    <t>Необходимость проведения работ вызвана в связи с получением нового кернового материала из скважины №198 Лескинского ЛУ для построения геолого-гидродинамической модели пластов</t>
  </si>
  <si>
    <t>00529-24</t>
  </si>
  <si>
    <t>ГЕО-24/10000/00173</t>
  </si>
  <si>
    <t>Соглашение  об урегулировании взаимных претензионных требований и подведении итогового сальдо встречных предоставлений с ГПБ по Договору № ГЕО-21/07000/00283/Р от 20.12.2021 г.</t>
  </si>
  <si>
    <t>Урегулирование взаимных претензионных требований, согласно условиям ДД</t>
  </si>
  <si>
    <t>00530-21</t>
  </si>
  <si>
    <t>ГЕО-21/26000/00179</t>
  </si>
  <si>
    <t>Заключение соглашения о конфиденциальности с СПД</t>
  </si>
  <si>
    <t>Публичная компания с ограниченной ответственностью «Салым Петролеум Девелопмент Н.В.»</t>
  </si>
  <si>
    <t>00530-23</t>
  </si>
  <si>
    <t>Тестирование кислотных составов на керне скважины 198 Лескинского месторождения</t>
  </si>
  <si>
    <t>8/23-297</t>
  </si>
  <si>
    <t>Проведение исследований вызвана необходимостью изучить совместимости технологических жидкостей находящихся в стволе скважины, в пласте при проведении кислотного ОПЗ, определение степени изменения ФЕС с целью увеличения нефтеотдачи пластов</t>
  </si>
  <si>
    <t>00531-21</t>
  </si>
  <si>
    <t>ГЕО-21/09000/00206/Д</t>
  </si>
  <si>
    <t>Договор об отчуждении исключительных прав на РИД</t>
  </si>
  <si>
    <t>00531-22</t>
  </si>
  <si>
    <t>О формировании и подписании УПД по ЭДО</t>
  </si>
  <si>
    <t>00531-24</t>
  </si>
  <si>
    <t>Договор на оказание консультационных услуг</t>
  </si>
  <si>
    <t>Оказание консультационных услугу по теме: «Пластовые флюиды: отбор, исследования проб, экспертиза и PVT-моделирование»</t>
  </si>
  <si>
    <t>00532-21</t>
  </si>
  <si>
    <t>ГЕО-21/25000/00180/Р</t>
  </si>
  <si>
    <t>0000098012</t>
  </si>
  <si>
    <t xml:space="preserve">Табуева Мария Анатольевна </t>
  </si>
  <si>
    <t>452602389704</t>
  </si>
  <si>
    <t>00532-22</t>
  </si>
  <si>
    <t>Заказ НТЦ-01457-22</t>
  </si>
  <si>
    <t>НТЦ-01457-22</t>
  </si>
  <si>
    <t>Вариантная проработка образов методологий интегрированного Бизнес-Кейса» (Продукт – Техническая политика)</t>
  </si>
  <si>
    <t>00532-23</t>
  </si>
  <si>
    <t>ГЕО-23/33400/00164</t>
  </si>
  <si>
    <t>00532-24</t>
  </si>
  <si>
    <t>1.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ТН ВНК 1)</t>
  </si>
  <si>
    <t xml:space="preserve">1.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t>
  </si>
  <si>
    <t>ООО "МУБР"</t>
  </si>
  <si>
    <t>00533-21</t>
  </si>
  <si>
    <t>Оператораский договор на проведение комплекса СРР на территории В-Шапшинского ЛУ</t>
  </si>
  <si>
    <t>Проведение комплекса СРР на территории В-Шапшинского ЛУ</t>
  </si>
  <si>
    <t>00533-22</t>
  </si>
  <si>
    <t>Нраяд заказ на оказние услуг № 7</t>
  </si>
  <si>
    <t xml:space="preserve">на оказание услуг по обеспечению безопасных условий труда для работников и соблюдению требований промышленной безопасности на скважине № 198 Лескинского лицензионного участка </t>
  </si>
  <si>
    <t>00533-23</t>
  </si>
  <si>
    <t>№3</t>
  </si>
  <si>
    <t xml:space="preserve">перевод части негарантированного объёма работ в гарантированный объём </t>
  </si>
  <si>
    <t>00533-24</t>
  </si>
  <si>
    <t>1.2. ДС №1 к МДД подряда на бурение АО ТН ВНК с ООО МУБР</t>
  </si>
  <si>
    <t>00534-22</t>
  </si>
  <si>
    <t xml:space="preserve">Протокол разногласий к соглашению о предоставлении демо версии Кибер ГРП </t>
  </si>
  <si>
    <t>Протокол разногласий к ГЕО-22/24000/00085</t>
  </si>
  <si>
    <t xml:space="preserve">Урегулирование разногласий </t>
  </si>
  <si>
    <t>00534-23</t>
  </si>
  <si>
    <t>ГЕО-23/33200/00168</t>
  </si>
  <si>
    <t>00534-24</t>
  </si>
  <si>
    <t>2.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ТН ВНК 2)</t>
  </si>
  <si>
    <t>2.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</si>
  <si>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ООО “МУБР”</t>
  </si>
  <si>
    <t>00535-21</t>
  </si>
  <si>
    <t>НТЦ-01571-21Р-ГПН</t>
  </si>
  <si>
    <t>«Экспертная система по подбору типовых технологических решений для разработки и изучения АТ (ProБА)» в рамках выполнения работ этапа «Выбор» технологического проекта I18PRD0695 «Экспертная система по подбору типовых технологических решений для разработки и изучения АТ (ProБА)»</t>
  </si>
  <si>
    <t>Назметдинов Р.М.</t>
  </si>
  <si>
    <t>00535-22</t>
  </si>
  <si>
    <t>00535-23</t>
  </si>
  <si>
    <t>00535-24</t>
  </si>
  <si>
    <t>2.1. ДС №1 к МДД подряда на бурение АО ТН ВНК с ООО МУБР_лот №2</t>
  </si>
  <si>
    <t>2.1 ДС №1 к МДД подряда на бурение АО ТН ВНК с ООО МУБР_лот №2</t>
  </si>
  <si>
    <t>00536-21</t>
  </si>
  <si>
    <t>00536-22</t>
  </si>
  <si>
    <t>00536-23</t>
  </si>
  <si>
    <t xml:space="preserve">ДОПОЛНИТЕЛЬНОЕ СОГЛАШЕНИЕ № 1 к Соглашению в области производственной безопасности </t>
  </si>
  <si>
    <t xml:space="preserve">Актуализация соглашения в области производственной безопасности </t>
  </si>
  <si>
    <t>00536-24</t>
  </si>
  <si>
    <t>3.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СН МНГ 1)</t>
  </si>
  <si>
    <t>3.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</si>
  <si>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00537-22</t>
  </si>
  <si>
    <t>Имангулов А.Р.</t>
  </si>
  <si>
    <t>Д-23</t>
  </si>
  <si>
    <t>00537-23</t>
  </si>
  <si>
    <t>33100 Дополнительное соглашение к Соглашениям в  в области производственной безопасности ООО "НьюТек Сервисез"</t>
  </si>
  <si>
    <t>ДС № 1 к Соглашению по ПБ №ГЕО-23/33100/00024</t>
  </si>
  <si>
    <t xml:space="preserve">ДОПОЛНИТЕЛЬНОЕ СОГЛАШЕНИЕ №1 к Соглашение ПБ №ГЕО-23/33100/00024 от 30.01.2023г.
</t>
  </si>
  <si>
    <t>00537-24</t>
  </si>
  <si>
    <t>3.1. ДС №1 к МДД подряда на бурение ПАО СН МНГ с ООО МУБР_лот №1</t>
  </si>
  <si>
    <t>00538-21</t>
  </si>
  <si>
    <t xml:space="preserve">Наряд-заказ № 27 к Договору № АНГ-19/11513/00007/Р </t>
  </si>
  <si>
    <t xml:space="preserve"> разработка 5 проектов рекультивации фактически нарушенных земельных участков для объектов проекта Енисей</t>
  </si>
  <si>
    <t>00538-22</t>
  </si>
  <si>
    <t>ГЕО-21/11000/00301/Р</t>
  </si>
  <si>
    <t>Дополнительное соглашениеи №1 к Договору № ГСН-21/11000/00301/Р/ГСН-21/09000/03038/Д от 30.12.2021 на пользование зимними автодорогами и проездами по проекту «Титан»</t>
  </si>
  <si>
    <t>Изменение объемов работ и порядка расчетов за выполненные работы</t>
  </si>
  <si>
    <t>ООО "Газпромнефть-Снабжение"</t>
  </si>
  <si>
    <t>00538-23</t>
  </si>
  <si>
    <t>ДС №3 к договору №ГЕО-22/10000/00144/Р от 27.06.2022г. Защита Югры, ООО.</t>
  </si>
  <si>
    <t>Корректировка копеек ввиду некорректного отображения.</t>
  </si>
  <si>
    <t>00538-24</t>
  </si>
  <si>
    <t>4.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СН МНГ 2)</t>
  </si>
  <si>
    <t>4.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</si>
  <si>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00539-21</t>
  </si>
  <si>
    <t>Изучение процессов образования АСПО в пластовых условиях</t>
  </si>
  <si>
    <t>Специальные лабораторные исследования керна и пластовых флюидов (в том числе уникальные исследования, новые технологии исследований)</t>
  </si>
  <si>
    <t>ООО "РН-БашНИПИнефть"</t>
  </si>
  <si>
    <t>00539-22</t>
  </si>
  <si>
    <t>Уведомление-соглашение о фактоинге к договору ГЕО-19/10111/00141/Р от 29.04.2019</t>
  </si>
  <si>
    <t>Заключение соглашения о фактоинге к договору ГЕО-19/10111/00141/Р от 29.04.2019</t>
  </si>
  <si>
    <t>0000079678, 0000060956</t>
  </si>
  <si>
    <t xml:space="preserve">ООО Открытие Факторинг ; 
ООО Пургеофизика </t>
  </si>
  <si>
    <t>7725314818, 8911017194</t>
  </si>
  <si>
    <t>00539-23</t>
  </si>
  <si>
    <t>33100 Дополнительное соглашение к Соглашениям в  в области производственной безопасности ООО "Бурсервис"</t>
  </si>
  <si>
    <t xml:space="preserve">ДОПОЛНИТЕЛЬНОЕ СОГЛАШЕНИЕ №1 к Соглашение ПБ №ГЕО-23/33100/00043 от 17.02.2023г.
</t>
  </si>
  <si>
    <t>00539-24</t>
  </si>
  <si>
    <t>4.1. ДС №1 к МДД подряда на бурение ПАО СН МНГ с ООО МУБР_лот №2</t>
  </si>
  <si>
    <t>00540-21</t>
  </si>
  <si>
    <t>Договор поставки МТР между ООО "ГПН-ГЕО" и ООО "Газпромнефть-Снабжение". Поставка СИЗ для сотрудников ГЕО.</t>
  </si>
  <si>
    <t>00540-22</t>
  </si>
  <si>
    <t>№ГЕО-19/10111/00120/P</t>
  </si>
  <si>
    <t>Дополнительное соглашение к договору на выполнение работ по обработке и интерпретации данных СРР №ГЕО-19/10111/00120/P на перевод из НГО в ГО</t>
  </si>
  <si>
    <t>Перевод из НГО в ГО объемов по Уранскому, Краснореченскому и ВУ ОНГКМ для исполнения ДД с ГПН-Оренбург</t>
  </si>
  <si>
    <t>00540-23</t>
  </si>
  <si>
    <t>Наряд-заказ №5 к Договору №ГЕО-22/11000/00274/Р от 14.10.2022</t>
  </si>
  <si>
    <t xml:space="preserve">Выполнение проектных работ по объекту "Строительство разведочной скважины №342Р месторождения им. В.П. Орлова" </t>
  </si>
  <si>
    <t>00540-24</t>
  </si>
  <si>
    <t>5.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СН МНГ 3)</t>
  </si>
  <si>
    <t>5.1.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</si>
  <si>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00541-22</t>
  </si>
  <si>
    <t>ГЕО-22/10000/00127</t>
  </si>
  <si>
    <t>Соглашение о применении усиленной квалифицированный электронной подписи (УКЭП) при подписании договорных документов</t>
  </si>
  <si>
    <t>00541-23</t>
  </si>
  <si>
    <t>Дополнительное соглашение №1 к Соглашению в области производственной безопасности № ГЕО-22/33100/00275 от 14.10.2022</t>
  </si>
  <si>
    <t>Соглашение в области Производственной безопасности</t>
  </si>
  <si>
    <t>00541-24</t>
  </si>
  <si>
    <t>5.1. ДС №1 к МДД подряда на бурение ПАО СН МНГ с ООО МУБР_лот №3</t>
  </si>
  <si>
    <t>00542-22</t>
  </si>
  <si>
    <t>ЗАДАНИЕ НА ОКАЗАНИЕ УСЛУГ № 19 к Договору № ГЕО-20/10986/00138/Р от 10.08.2020 г.</t>
  </si>
  <si>
    <t>Оказание СП услуг по контролю состояния ПБ в 2022 году на территории ЛУ в Сибирском федеральном округе (Проект «Оморинский»)</t>
  </si>
  <si>
    <t>00542-23</t>
  </si>
  <si>
    <t>ГЕО-23/33300/00166</t>
  </si>
  <si>
    <t xml:space="preserve">С целью выполнения работ по договору, для урегулирования: передачи, обработки, хранения и уничтожения персональных данных, привлекаемого персонала по договору о найме персонала. </t>
  </si>
  <si>
    <t>00542-24</t>
  </si>
  <si>
    <t>6.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Хантос 1_фин вар)</t>
  </si>
  <si>
    <t>6.1. Рамочный договор между ООО "НСХ Азия Дриллинг"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</si>
  <si>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ООО "НСХ Азия Дриллинг"</t>
  </si>
  <si>
    <t>00543-21</t>
  </si>
  <si>
    <t>00543-22</t>
  </si>
  <si>
    <t>ГЕО-22/20000/00173/Р</t>
  </si>
  <si>
    <t xml:space="preserve">АГЕНТСКИЙ  ДОГОВОР </t>
  </si>
  <si>
    <t>В соответствии с условиями настоящего Договора, Агент обязуется за вознаграждение совершать юридические и иные действия от своего имени, но за счет Принципала, связанные с организацией тестирования и прокторинга сотрудников подрядных организаций в рамках проекта «Внешняя оценка знаний», Принципал обязуется возместить Агенту понесенные расходы и уплатить агентское вознаграждение.</t>
  </si>
  <si>
    <t>Григорьева А.А.</t>
  </si>
  <si>
    <t>00543-23</t>
  </si>
  <si>
    <t xml:space="preserve">Доп. соглашение к договор на оказание услуг по организации отправки/встречи авиарейсов (вертолеты) на п/п Богучаны. </t>
  </si>
  <si>
    <t>00543-24</t>
  </si>
  <si>
    <t>Применение УПД (универсальный передаточный документ) в рамках ЭДО.</t>
  </si>
  <si>
    <t>00544-21</t>
  </si>
  <si>
    <t>ГЕО-21/00000/00182</t>
  </si>
  <si>
    <t>Организация электронного документооборота с ООО "ГПН-ЭР" в рамках Договора комплексного правового сопровождения №№ ГЕО-21/09000/00167/Р от 01.08.2021г.</t>
  </si>
  <si>
    <t>00544-22</t>
  </si>
  <si>
    <t>ГЕО-22/33100/00126</t>
  </si>
  <si>
    <t>ООО "СТОК-АЭРО"</t>
  </si>
  <si>
    <t>00544-23</t>
  </si>
  <si>
    <t xml:space="preserve">ДС №1 к Договору №ГЕО-23/10000/00126/Р от 26.07.2023г. </t>
  </si>
  <si>
    <t>Продление срока действия договора и срока оказания услуг, без увеличения стоимости договора</t>
  </si>
  <si>
    <t>00544-24</t>
  </si>
  <si>
    <t>ДС № 1 к Договору № ГЕО-24/10000/00136/Р от 06.08.2024</t>
  </si>
  <si>
    <t>Д-32</t>
  </si>
  <si>
    <t>00545-22</t>
  </si>
  <si>
    <t>00545-23</t>
  </si>
  <si>
    <t>ГЕО-23/10000/00173/Р</t>
  </si>
  <si>
    <t>Договора на выполнение работ по поставке пространственных данных по направлению геологоразведочных работ</t>
  </si>
  <si>
    <t>В целях реализации стратегии выполнения региональных НИР осуществляется безальтернативная закупка с последующим заключением договора с ФГБУ «Росгеолфондом» на выполнение работ по поставке пространственных данных по направлению геологоразведочных работ</t>
  </si>
  <si>
    <t>00545-24</t>
  </si>
  <si>
    <t>ДС № 5 к Договору № ГЕО-22/10986/00341/Р от 30.12.2022 г.</t>
  </si>
  <si>
    <t>00546-21</t>
  </si>
  <si>
    <t>ГЕО-19/09000/00303/Р от 15 ноября 2019 г.</t>
  </si>
  <si>
    <t>Соглашение о перемене лиц в обязательстве по договору на оказание услуг по организации работы здравпунктов и оказание медицинских услуг</t>
  </si>
  <si>
    <t>Передача обязательств по договору № ГЕО-19/09000/00303/Р от15 ноября 2019 г.</t>
  </si>
  <si>
    <t>00546-22</t>
  </si>
  <si>
    <t>ГЕО-22/25000/00136/Р</t>
  </si>
  <si>
    <t>организация практики студентов дополнительного образования функции Закупки</t>
  </si>
  <si>
    <t>Тиракьян Андрей Игоревич</t>
  </si>
  <si>
    <t>00546-23</t>
  </si>
  <si>
    <t>ГЕО-23/26000/00170</t>
  </si>
  <si>
    <t>Для оказания операторских услуг ООО "СПД"</t>
  </si>
  <si>
    <t>00546-24</t>
  </si>
  <si>
    <t>НЗ №3 к ДОГОВОРУ № ГЕО-23/10000/00093/Р от 01.06.2023 г.</t>
  </si>
  <si>
    <t>Наряд-Заказ №3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t>
  </si>
  <si>
    <t>С целью выполнения цифровой аэрофотосъемки и воздушно-лазерного сканирования с пилотируемых и беспилотных воздушных средств, геофизических съемок с беспилотных воздушных средств на территории РФ</t>
  </si>
  <si>
    <t>А.А. Хохлов - Руководитель направления по маркшейдерским работам</t>
  </si>
  <si>
    <t>00547-22</t>
  </si>
  <si>
    <t>ПР к Договору № ГЕО-22/071000/00042/Р от 07.03.2022</t>
  </si>
  <si>
    <t>Урегулирование разногласий к Договору (Протокол разногласий) с учетом подписанного ПУР к Договору № ГЕО-22/071000/00042/Р от 07.03.2022 г. (прилагается)</t>
  </si>
  <si>
    <t>00547-24</t>
  </si>
  <si>
    <t>6.1 ДС к ДД на бурение НОМ Проспект_ГПНХ +МНГ_лот №1</t>
  </si>
  <si>
    <t>ООО «НСХ Азия Дриллинг»</t>
  </si>
  <si>
    <t>00548-21</t>
  </si>
  <si>
    <t>НАРЯД-ЗАКАЗ № 1 (изменение к наряд-заказу № 1 от 20.04.2021г.) по договору № ГЕО-20/11501/00184/Р</t>
  </si>
  <si>
    <t>НЗ 1</t>
  </si>
  <si>
    <t>00548-23</t>
  </si>
  <si>
    <t>00548-24</t>
  </si>
  <si>
    <t>7.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Хантос 2_фин вар)</t>
  </si>
  <si>
    <t>7.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</si>
  <si>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00549-23</t>
  </si>
  <si>
    <t>00549-24</t>
  </si>
  <si>
    <t>7.1 ДС к МДД на бурение НОМ Проспект_ГПНХ+МНГ_лот №2</t>
  </si>
  <si>
    <t>00550-21</t>
  </si>
  <si>
    <t>Дополнительное соглашение №5 к Договору № ГЕО-19/10201/00155/Р от 11.07.2019г.</t>
  </si>
  <si>
    <t>Включение единичных расценок на организацию временного жилого городка на период строительства поисково-оценочных скважин №178 ПО и №198 ПО на Лескинском ЛУ</t>
  </si>
  <si>
    <t>Кулагина А.А.</t>
  </si>
  <si>
    <t>00550-24</t>
  </si>
  <si>
    <t>8.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Хантос 3_фин вар)</t>
  </si>
  <si>
    <t>8. Рамочный договор между ООО "НСХ Азия Дриллинг"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</si>
  <si>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00551-23</t>
  </si>
  <si>
    <t>ГЕО-23/09000/00172/Д</t>
  </si>
  <si>
    <t>Доходный договор с ПАО «Газпром» на выполнение НИР по Нерутинской зоне</t>
  </si>
  <si>
    <t xml:space="preserve">ДАННАЯ ВЕРСИЯ ДОГОВОРА СОГЛАСОВАНА ПАО ГАЗПРОМ. ПРОСЬБА УКАЗЫВАТЬ ТОЛЬКО КРИТИЧНЫЕ ЗАМЕЧАНИЯ. Основные согласования получены в почте. 
Заключается доходный договор по поручению председателя правления ПАО «Газпром» Миллера А.Б. между Департаментом 307 (Заказчик) и Газпромнефть-ГЕО (Исполнитель) на бесконкурентной основе.
</t>
  </si>
  <si>
    <t>0000038712</t>
  </si>
  <si>
    <t>7736050003</t>
  </si>
  <si>
    <t>00551-24</t>
  </si>
  <si>
    <t>8.1. ДС к МДД на бурение НОМ Проспект_ГПНХ+МНГ_лот №3</t>
  </si>
  <si>
    <t>00552-21</t>
  </si>
  <si>
    <t>Поставка блоков ФБС (выкуп из свободных запасов ООО "Газпромнефть - Развитие" блоков ФБС 9.4.6-Т 252 шт для нужд проекта Енисей</t>
  </si>
  <si>
    <t>00552-23</t>
  </si>
  <si>
    <t>ГЕО-23/24000/00175/Р</t>
  </si>
  <si>
    <t>Договор публичной оферты</t>
  </si>
  <si>
    <t>Договор-оферта № 922160/2033072  от 24.10.2023 г. по тарифу Партнерский безлимит (лицензионный договор)</t>
  </si>
  <si>
    <t>0000100119</t>
  </si>
  <si>
    <t xml:space="preserve">АО ЭТС </t>
  </si>
  <si>
    <t>7703668940</t>
  </si>
  <si>
    <t>349 000,00</t>
  </si>
  <si>
    <t>00552-24</t>
  </si>
  <si>
    <t>9.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1)</t>
  </si>
  <si>
    <t xml:space="preserve"> 9.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</si>
  <si>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ООО “НГ-Бурение”</t>
  </si>
  <si>
    <t>00553-21</t>
  </si>
  <si>
    <t>Услуги по специальным лабораторным исследованиям керна и пластовых флюидов. Специальные фильтрационные исследования для   определения минимального давления смесимости на модели тонкой трубки</t>
  </si>
  <si>
    <t xml:space="preserve">Целью выполнения работы являются лабораторные исследования вытеснения нефти газом на модели тонкой трубки («slim tube») для определения минимального давления смесимости с использованием моделей рекомбинированной до пластовых условий нефти в пластовых термобарических условиях (давление до/не менее 50 МПа, температура – до/не менее 120 ˚С) </t>
  </si>
  <si>
    <t>АО "ВНИИнефть"</t>
  </si>
  <si>
    <t>00553-23</t>
  </si>
  <si>
    <t>НЗ № 10. Защита Югры, ООО к ДД № ГЕО-22/10000/00144/Р от 27.06.2022г.</t>
  </si>
  <si>
    <t xml:space="preserve">Сибирский федеральный округ, Лескинский лицензионный участок, проект «Енисей» с 01.11.2023г. по 31.08.2024г. </t>
  </si>
  <si>
    <t>00553-24</t>
  </si>
  <si>
    <t>9.1 ДС №1 к МДД подряда на бурение в рамках НОМ Проспект_ГПН ННГ_лот №1</t>
  </si>
  <si>
    <t>9.1. ДС №1 к МДД подряда на бурение в рамках НОМ Проспект_ГПН ННГ_лот №1</t>
  </si>
  <si>
    <t>00554-23</t>
  </si>
  <si>
    <t>ГЕО-22/33100/00264</t>
  </si>
  <si>
    <t>33100 Дополнительное соглашение к Соглашениям в  в области производственной безопасности АО "ССК" 82-П</t>
  </si>
  <si>
    <t xml:space="preserve">ДОПОЛНИТЕЛЬНОЕ СОГЛАШЕНИЕ №1 к Соглашению ПБ №ГЕО-22/33100/00264 от 21.10.2022г.
</t>
  </si>
  <si>
    <t>00554-24</t>
  </si>
  <si>
    <t>10.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2)</t>
  </si>
  <si>
    <t xml:space="preserve"> 10.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</si>
  <si>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00555-23</t>
  </si>
  <si>
    <t>Заявка № 4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</si>
  <si>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«Оморинский», Салаирский ЛУ (скв.3 Сал)</t>
  </si>
  <si>
    <t>00555-24</t>
  </si>
  <si>
    <t>10.1. ДС №1 к МДД подряда на бурение в рамках НОМ Проспект_ГПН ННГ_лот №2</t>
  </si>
  <si>
    <t>00556-22</t>
  </si>
  <si>
    <t>ГЕО-22/26000/00131</t>
  </si>
  <si>
    <t>Договор о конфиденциальности между ООО «ГПН-ГЕО» и физическим лицом - практикантом СПбГУ - Прокопенко Марией Олеговной</t>
  </si>
  <si>
    <t>Прокопенко Мария Олеговна</t>
  </si>
  <si>
    <t>00556-23</t>
  </si>
  <si>
    <t>Заказ 6 к договору ГЕО-20/11501/00184/Р</t>
  </si>
  <si>
    <t>00556-24</t>
  </si>
  <si>
    <t>11.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3)</t>
  </si>
  <si>
    <t xml:space="preserve"> 11.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</si>
  <si>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00557-22</t>
  </si>
  <si>
    <t>Агентский договор на организацию вертолетных авиаперевозок с АО «НПП «Бурсервис»</t>
  </si>
  <si>
    <t>00557-23</t>
  </si>
  <si>
    <t>ДС №10 к Договору №ГЕО-21/10308/00236/Р от 04.10.2021 г.</t>
  </si>
  <si>
    <t>Перевод части негарантированного объема 2024 г в гарантированный без изменения общей стоимости Договора</t>
  </si>
  <si>
    <t>59863677.02</t>
  </si>
  <si>
    <t>00557-24</t>
  </si>
  <si>
    <t>11.1. ДС №1 к МДД подряда на бурение в рамках НОМ Проспект_ГПН ННГ_лот №3</t>
  </si>
  <si>
    <t>00558-21</t>
  </si>
  <si>
    <t>ГЕО-20/10924/00051/Р</t>
  </si>
  <si>
    <t>Дополнительное соглашение № 4 к Договору на выполнение работ по экологическому мониторингу месторождений № ГЕО-20/10924/00051/Р от 05 марта 2020 г.</t>
  </si>
  <si>
    <t xml:space="preserve"> 4</t>
  </si>
  <si>
    <t>Замена Приложения «Соглашение в области производственной безопасности»</t>
  </si>
  <si>
    <t>10904 Договор на выполнение работ и оказание услуг в области пожарной безопасности</t>
  </si>
  <si>
    <t>00558-22</t>
  </si>
  <si>
    <t>услуги по обеспечению противопожарной безопасности, в том числе охрана от пожаров, тушение возникших пожаров, выполнение первоочередных аварийно-спасательных работ, ликвидация чрезвычайных ситуаций и их последствий, выполнение комплекса пожарно-профилактических мероприятий, на объектах Заказчика и объектах подрядных организаций Заказчика</t>
  </si>
  <si>
    <t xml:space="preserve">Морозов Анатолий Владимирович </t>
  </si>
  <si>
    <t>00558-23</t>
  </si>
  <si>
    <t>ДС №8 к Договору ГЕО-21/10308/00236/Р от 04.10.2021 г.</t>
  </si>
  <si>
    <t>Перевод части негарантированного объема в гарантированный в 2023 г. + актуализация Оценочного листа</t>
  </si>
  <si>
    <t xml:space="preserve">Ларионов Е.А. </t>
  </si>
  <si>
    <t>00558-24</t>
  </si>
  <si>
    <t>12.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4)</t>
  </si>
  <si>
    <t xml:space="preserve"> 12.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</si>
  <si>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00559-21</t>
  </si>
  <si>
    <t>Дополнительное соглашение № 4 к Договору на выполнение работ по экологическому мониторингу месторождений № ГЕО-20/10924/00055/Р от 05 марта 2020 г.</t>
  </si>
  <si>
    <t>Внесение изменений в Приложение "Соглашение в области ПБ"</t>
  </si>
  <si>
    <t>00559-22</t>
  </si>
  <si>
    <t>ГЕО-22/26000/00133</t>
  </si>
  <si>
    <t>Рябикина Маргарита Андреевна</t>
  </si>
  <si>
    <t>00559-23</t>
  </si>
  <si>
    <t>ДС №2 к договору ГЕО-23/10000/00023/Р от 30.01.2023. Вкл. ГК и Резистивиметр</t>
  </si>
  <si>
    <t>Вкл. ГК и Резистивиметр</t>
  </si>
  <si>
    <t>00559-24</t>
  </si>
  <si>
    <t>12.1. ДС №1 к МДД подряда на бурение в рамках НОМ Проспект_ГПН ННГ_лот №4</t>
  </si>
  <si>
    <t>00560-21</t>
  </si>
  <si>
    <t>00560-23</t>
  </si>
  <si>
    <t>00560-24</t>
  </si>
  <si>
    <t>13.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5)</t>
  </si>
  <si>
    <t xml:space="preserve"> 13.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t>
  </si>
  <si>
    <t>00561-22</t>
  </si>
  <si>
    <t>Западная Часть ОГМ НЗ к договору ГЕО-21/11708/00165/Р//НТЦ-21/09000/00768/Д от 12.07.2021</t>
  </si>
  <si>
    <t>НТЦ-01098-22Д-ГЕО</t>
  </si>
  <si>
    <t>"Научно-исследовательские работы для формирования предварительной базовой интегрированной концепции разработки в периметре западной части отдаленной группы месторождений (ОГМ)"</t>
  </si>
  <si>
    <t>00561-23</t>
  </si>
  <si>
    <t>Доходный договор с ООО «Газпром добыча Ямбург» на выполнение ПГРР на Ямбургском ЛУ</t>
  </si>
  <si>
    <t xml:space="preserve">Заключается договор с ООО «Газпром добыча Ямбург» на выполнение ГРР с использованием высокотехнологичных методов исследований для подготовки к освоению Ачимовских отложений Ямбургского НГКМ.  </t>
  </si>
  <si>
    <t>00561-24</t>
  </si>
  <si>
    <t>ГЕО-24/33200/00157</t>
  </si>
  <si>
    <t>Для подписания ПУД в ЭДО (Контур.Диадок)</t>
  </si>
  <si>
    <t>0000113169</t>
  </si>
  <si>
    <t xml:space="preserve">ООО Новатех </t>
  </si>
  <si>
    <t>7729443885</t>
  </si>
  <si>
    <t>00562-22</t>
  </si>
  <si>
    <t>ГеоМехМ Лески НЗ НЗ к договору ГЕО-21/11708/00165/Р//НТЦ-21/09000/00768/Д от 12.07.2021</t>
  </si>
  <si>
    <t>НТЦ-01598-22Д-ГЕО</t>
  </si>
  <si>
    <t>"Геомеханическая модель с обоснованием ОТР Лескинского ЛУ"</t>
  </si>
  <si>
    <t>00562-23</t>
  </si>
  <si>
    <t>Дополнительное соглашение № 4 к договору ГЕО-21/07000/00283/Р от 20.12.2021</t>
  </si>
  <si>
    <t>00562-24</t>
  </si>
  <si>
    <t>ГЕО-24/26000/00164</t>
  </si>
  <si>
    <t>Получение данных от АО "Газпром добыча Томск" для работы над НИР Лугинецкая группа</t>
  </si>
  <si>
    <t>АО "Газпром Добыча Томск"</t>
  </si>
  <si>
    <t>00563-21</t>
  </si>
  <si>
    <t xml:space="preserve">Договор о выполнении операторских работ и оказании операторских услуг </t>
  </si>
  <si>
    <t>Договоро выполнении операторских работ и оказании операторских услуг  по методическому, организационному и научно-техническому сопровождению проектов ООО "ГПН-Салым" на этапе "Поиск", на лицензионных участках Салымский 3 месторождение Солхэм и Салымский 5, по работам направленным на Геолого-Техническое исследование скважин</t>
  </si>
  <si>
    <t>00563-22</t>
  </si>
  <si>
    <t>Изготовление и отправка образцов керна скважины №540ST2 Вынгаяхинского месторождения в Казанский Федеральный Университет</t>
  </si>
  <si>
    <t>7/22-057</t>
  </si>
  <si>
    <t>Отправка образцов керна для проведения исследований</t>
  </si>
  <si>
    <t>00563-23</t>
  </si>
  <si>
    <t>Наряд-заказ №1 к договору ГЕО-21/07000/00283/Р от 20.12.2021</t>
  </si>
  <si>
    <t>Раскрытие не гарантированной части договора на 2023 год</t>
  </si>
  <si>
    <t>00564-21</t>
  </si>
  <si>
    <t>ДС №7 к Договору № ГЕО-19/10187/00123/Р от «30» мая 2019 г.</t>
  </si>
  <si>
    <t>00565-21</t>
  </si>
  <si>
    <t>Заказ №17 к к Договору № ГЕО-19/10187/00123/Р от «30» мая 2019 г.</t>
  </si>
  <si>
    <t>00565-22</t>
  </si>
  <si>
    <t>Специализированная переобработка СРР 3Д для поиска зон интенсивной трещиноватости</t>
  </si>
  <si>
    <t>НТЦ-01276-22Д-ГЕО</t>
  </si>
  <si>
    <t>прогноз зон развития интенсивной трещиноватости в пределах перспективных рифейских объектов Салаирской площади для выбора оптимальной проводки БГС в скв. Слр-3ПО и создание комплексной сейсмогеологической модели с уточнением оценки РБ перспективных объектов по результатам бурения и испытания скважины Слр-3ПО</t>
  </si>
  <si>
    <t>00565-23</t>
  </si>
  <si>
    <t>ДС 7 к Д № ГЕО-22/10402/00187/Р</t>
  </si>
  <si>
    <t>Раскрытие НГО</t>
  </si>
  <si>
    <t>00566-21</t>
  </si>
  <si>
    <t>00566-22</t>
  </si>
  <si>
    <t>ГЕО-22/09000/00169/Р</t>
  </si>
  <si>
    <t>Оказание телекоммуникационных услуг на ЛУ проекта "Южный Оренбург"</t>
  </si>
  <si>
    <t>00566-23</t>
  </si>
  <si>
    <t>Заявка № 5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</si>
  <si>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«Оморинский», Камовский ЛУ (скв.4 Кам)</t>
  </si>
  <si>
    <t>00567-21</t>
  </si>
  <si>
    <t>ГЕО-21/26000/00187</t>
  </si>
  <si>
    <t>В целях возможной передачи конфиденциальной информации в ходе проведения изыскательских работ для нужд ООО "ГПН-ГЕО"</t>
  </si>
  <si>
    <t>0000097250</t>
  </si>
  <si>
    <t xml:space="preserve">ООО ТюменьГеоКом </t>
  </si>
  <si>
    <t>7203225690</t>
  </si>
  <si>
    <t>00567-22</t>
  </si>
  <si>
    <t>00567-23</t>
  </si>
  <si>
    <t>00567-24</t>
  </si>
  <si>
    <t>ГЕО-24/04300/00159/Р</t>
  </si>
  <si>
    <t>для строительства промышленных и иных объектов, в том числе (но не ограничиваясь) для размещения бурового оборудования при бурении поисково-оценочной скважины 201 Надеждинского лицензионного участка и размещения подъездного пути к скважине</t>
  </si>
  <si>
    <t>0000118342</t>
  </si>
  <si>
    <t>ИП Глава К(Ф)Х Урдабаев Булат Никол аевич</t>
  </si>
  <si>
    <t>563903290160</t>
  </si>
  <si>
    <t>00568-21</t>
  </si>
  <si>
    <t>ГЕО-21/00000/00191</t>
  </si>
  <si>
    <t>Соглашение о взаимодействии в области охраны здоровья</t>
  </si>
  <si>
    <t>Заключение соглашения о взаимодействии в области охраны здоровья.</t>
  </si>
  <si>
    <t>00568-22</t>
  </si>
  <si>
    <t>ГЕО-22/33200/00142</t>
  </si>
  <si>
    <t>00568-23</t>
  </si>
  <si>
    <t>Усламин Д.В.</t>
  </si>
  <si>
    <t>00568-24</t>
  </si>
  <si>
    <t xml:space="preserve"> Договор на выполнение работ между АО «Инжиниринговый центр «Кронштадт» и ООО «ГПН-ГЕО»</t>
  </si>
  <si>
    <t>В целях обеспечения эффективности процесса закупки работ по анализу и исследованию ЗИП, разработке Конструкторской документации на ЗИП и изготовлению и поставке Готового экземпляра ЗИП, а также в рамках исполнения поручения Комитета по бизнес-инжинирингу, согласно Протоколу КомБИ от 14.11.2023 г.</t>
  </si>
  <si>
    <t>Д-47</t>
  </si>
  <si>
    <t>00569-21</t>
  </si>
  <si>
    <t>ГЕО-21/09000/00192/Р</t>
  </si>
  <si>
    <t>Оказание услуги  по организации участия представителей ООО "ГПН-ГЕО" во ВНОТ</t>
  </si>
  <si>
    <t>Участие во всеросийской неделе охраны труда.</t>
  </si>
  <si>
    <t>0000087129</t>
  </si>
  <si>
    <t xml:space="preserve">ООО ЭТАЛОН Конгресс </t>
  </si>
  <si>
    <t>5020039654</t>
  </si>
  <si>
    <t>00569-23</t>
  </si>
  <si>
    <t>ДС №6 по актуализации методологии оценки эффективности деятельности контрагентов и мотивации в области ПБ в действующих договорах</t>
  </si>
  <si>
    <t>Исполнение приказа №113-П от 20.10.2023, для актуализации оценки эффективности деятельности КА</t>
  </si>
  <si>
    <t>00569-24</t>
  </si>
  <si>
    <t>ГЕО-24/04300/00158/Р</t>
  </si>
  <si>
    <t>00570-21</t>
  </si>
  <si>
    <t>ГЕО-21/00000/00190</t>
  </si>
  <si>
    <t>00570-22</t>
  </si>
  <si>
    <t>ГЕО-22/33200/00158</t>
  </si>
  <si>
    <t>0000047853</t>
  </si>
  <si>
    <t>Северо-Западный филиал Публичного а кционерного общества Мегафон</t>
  </si>
  <si>
    <t>7812014560</t>
  </si>
  <si>
    <t>00570-23</t>
  </si>
  <si>
    <t>Дополнительное соглашение №6 к операторскому договору № ГЕО-20/09000/00182/Д</t>
  </si>
  <si>
    <t>Внести изменения в части закрытия ЭД</t>
  </si>
  <si>
    <t>00570-24</t>
  </si>
  <si>
    <t>Наряд-заказ №10 от 20.09.2024г. к Договору № ГЕО-22/11000/00274/Р от 14.10.2022г.</t>
  </si>
  <si>
    <t>00571-21</t>
  </si>
  <si>
    <t>ДС №1 к договору о выполнении операторских работ и об оказании операторских услуг</t>
  </si>
  <si>
    <t>Корректировка объема работ в соответствии с фактическим выполнением</t>
  </si>
  <si>
    <t>00571-23</t>
  </si>
  <si>
    <t>ГЕО-23/01200/00190/Р</t>
  </si>
  <si>
    <t xml:space="preserve">Договор купли-продажи подарочных карт </t>
  </si>
  <si>
    <t>Заключение  договора на поставку подарочных универсальных карт в детские магазины в качестве Новогоднего подарка для детей сотрудников ООО "ГПН-ГЕО"</t>
  </si>
  <si>
    <t>0000106378</t>
  </si>
  <si>
    <t xml:space="preserve">ООО Лоялти Сервис </t>
  </si>
  <si>
    <t>7714458367</t>
  </si>
  <si>
    <t>646269</t>
  </si>
  <si>
    <t>00571-24</t>
  </si>
  <si>
    <t>ГЕО-24/40000/00162/Р</t>
  </si>
  <si>
    <t>для размещения подъездного пути при бурении поисково-оценочной скважины 201 Надеждинского лицензионного участка</t>
  </si>
  <si>
    <t>0000118319</t>
  </si>
  <si>
    <t xml:space="preserve">Зотов Константин Юрьевич </t>
  </si>
  <si>
    <t>563902816926</t>
  </si>
  <si>
    <t>00572-21</t>
  </si>
  <si>
    <t>НТЦ-1717-21Д-ГЕО</t>
  </si>
  <si>
    <t>Разработка предварительной концепции наземного обустройства по крупному проекту ГРР "Оморинский"</t>
  </si>
  <si>
    <t>00572-23</t>
  </si>
  <si>
    <t>ГЕО-23/33200/00174</t>
  </si>
  <si>
    <t>Соглашение заключается с целью обмена электронными документами</t>
  </si>
  <si>
    <t>00572-24</t>
  </si>
  <si>
    <t>Заявка № 29 к договору о предоставлении труда работников (персонала) № ГЕО-23/09000/00149/Р от 28.08.2023 г.</t>
  </si>
  <si>
    <t>Заключение Заявки № 29 на привлечение супервайзера по производственной безопасности в сейсморазведке на Южно-Ямской площади (СРР ООО «СПД») в рамках договора № ГЕО-23/09000/00149/Р от «28» августа 2023 г. со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t>
  </si>
  <si>
    <t>00573-21</t>
  </si>
  <si>
    <t>00573-23</t>
  </si>
  <si>
    <t>ГЕО-23/33200/00191</t>
  </si>
  <si>
    <t>Соглашение об электронном документообороте между ООО "ГПН-ГЕО" и ООО "Лоялти сервис"</t>
  </si>
  <si>
    <t>00573-24</t>
  </si>
  <si>
    <t>13.1. ДС №1 к МДД подряда на бурение в рамках НОМ Проспект_ГПН ННГ_лот №5</t>
  </si>
  <si>
    <t>ООО «НГ-Бурение»</t>
  </si>
  <si>
    <t>00574-23</t>
  </si>
  <si>
    <t>На выполнение проектно-изыскательских работ, проведение авторского надзора за строительством</t>
  </si>
  <si>
    <t>ПАО "Гипротюменнефтегазпроект"</t>
  </si>
  <si>
    <t>00574-24</t>
  </si>
  <si>
    <t>Изменение № 1 к Наряд-заказу № 2 от к договору № ГЕО-24/10000/00053/Р от 18.03.2024</t>
  </si>
  <si>
    <t>Корректировка срока работ в связи с корректировкой срока по генеральному доходному договору
Протокол экспертной группы будет приложен позднее</t>
  </si>
  <si>
    <t>Симонова А.Д.</t>
  </si>
  <si>
    <t>Останков А.В.</t>
  </si>
  <si>
    <t>Проектный офис "Газовый разведчик"</t>
  </si>
  <si>
    <t>00575-21</t>
  </si>
  <si>
    <t>ГЕО-21/00000/00222</t>
  </si>
  <si>
    <t>0000092348</t>
  </si>
  <si>
    <t xml:space="preserve">ООО ИнновА </t>
  </si>
  <si>
    <t>7820332662</t>
  </si>
  <si>
    <t>00575-24</t>
  </si>
  <si>
    <t>НЗ №14. Защита Югры, ООО к ДД № ГЕО-22/10000/00144/Р от 27.06.2022г. ЮО</t>
  </si>
  <si>
    <t>На оказание услуг в области пожарной безопасности в 2024 году в Приволжском федеральном округе на Корнаваринском лицензионном участке, скважина №342Р.</t>
  </si>
  <si>
    <t>00576-21</t>
  </si>
  <si>
    <t>ГЕО-21/33200/00272</t>
  </si>
  <si>
    <t>00576-23</t>
  </si>
  <si>
    <t>Актуализация Соглашения по ПБ во исполнение Приказа №76-П от 24.07.2023</t>
  </si>
  <si>
    <t>00576-24</t>
  </si>
  <si>
    <t xml:space="preserve">ДС №8 к Договору №ГЕО-23/10000/00067/Р </t>
  </si>
  <si>
    <t>В целях исполнения решений Комитета по производственной безопасности БРД ПАО «Газпром нефть»</t>
  </si>
  <si>
    <t>00577-21</t>
  </si>
  <si>
    <t>ГЕО-21/00000/00197</t>
  </si>
  <si>
    <t>00577-23</t>
  </si>
  <si>
    <t>ДС №5 к договору на оказание услуг по освоению скважин через сепарационную установку</t>
  </si>
  <si>
    <t>00577-24</t>
  </si>
  <si>
    <t>ГЕО-24/40000/00161/Р</t>
  </si>
  <si>
    <t xml:space="preserve">для размещения подъездного пути при бурении поисково-оценочной скважины 201 Надеждинского лицензионного участка </t>
  </si>
  <si>
    <t>00578-22</t>
  </si>
  <si>
    <t>00578-24</t>
  </si>
  <si>
    <t>Наряд-заказ №8 к договору ГЕО-23/09000/00041/Р</t>
  </si>
  <si>
    <t xml:space="preserve">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Корнаваринском лицензионном участке </t>
  </si>
  <si>
    <t>00000 Дополнительное соглашение на изменение Приложения к ранее заключенным договорам "Соглашение в области производственной безопасности" (код по КТ-020 выбирать в соответствии с кодом договора)</t>
  </si>
  <si>
    <t>00579-21</t>
  </si>
  <si>
    <t xml:space="preserve">№ ГЕО-20/00000/00202 от 29.12.2020 г. </t>
  </si>
  <si>
    <t>Актуализация Соглашения по ПБ во исполнение Приказа ООО "ГПН-ГЕО" №122-П от 30.07.2021</t>
  </si>
  <si>
    <t>00579-22</t>
  </si>
  <si>
    <t>ГЕО-22/26000/00141</t>
  </si>
  <si>
    <t>Заключение Соглашения о конфиденциальности</t>
  </si>
  <si>
    <t>00579-24</t>
  </si>
  <si>
    <t>Дополнительное соглашение №1 к Договор на оказание аудиторских услуг ГЕО-24/09000/00105/Р от 18.06.2024</t>
  </si>
  <si>
    <t>Внесение в Договор изменений.</t>
  </si>
  <si>
    <t>00580-21</t>
  </si>
  <si>
    <t>ГЕО-21/25000/00163/Р от 20.07.2021</t>
  </si>
  <si>
    <t>Соглашение о расторжении договора оказания услуг №ГЕО-21/25000/00163/Р от 20.07.2021</t>
  </si>
  <si>
    <t>0000098581</t>
  </si>
  <si>
    <t xml:space="preserve">Федоров Александр Геннадьевич </t>
  </si>
  <si>
    <t>860310247015</t>
  </si>
  <si>
    <t>00580-23</t>
  </si>
  <si>
    <t>ГЕО-23/25000/00177/Р</t>
  </si>
  <si>
    <t>Методическое сопровождение, разработка методических рекомендаций по применению малоглубинной сейсморазведки на участках работ Накынского рудного поля</t>
  </si>
  <si>
    <t>Блок общих вопросов</t>
  </si>
  <si>
    <t>0000103611</t>
  </si>
  <si>
    <t xml:space="preserve">Осипенко Сергей Владимирович </t>
  </si>
  <si>
    <t>460502521373</t>
  </si>
  <si>
    <t>00580-24</t>
  </si>
  <si>
    <t>ГЕО-24/09000/00176/Р</t>
  </si>
  <si>
    <t>Договор на оказание фото- и видеоуслуг с ИП Зубковым Александром Михайловичем</t>
  </si>
  <si>
    <t xml:space="preserve">Оказание услуг по проведению фото- и видеосъемок, созданию видеороликов по заказу ООО «ГПН-ГЕО» </t>
  </si>
  <si>
    <t>0000080868</t>
  </si>
  <si>
    <t xml:space="preserve">Зубков Александр Михайлович </t>
  </si>
  <si>
    <t>781802539455</t>
  </si>
  <si>
    <t>1751192.34</t>
  </si>
  <si>
    <t>00581-22</t>
  </si>
  <si>
    <t>ГЕО-22/33200/00138</t>
  </si>
  <si>
    <t>Переход на ЭДО с ПО</t>
  </si>
  <si>
    <t>00581-23</t>
  </si>
  <si>
    <t>Изменение реквизитов</t>
  </si>
  <si>
    <t>00581-24</t>
  </si>
  <si>
    <t>Изменение № 2 к Наряд-заказу № 27 от 05.12.2023 к договору № ГЕО-19/11708/00133/Р от 25.06.2019</t>
  </si>
  <si>
    <t>Корректировка срока работ в связи с корректировкой срока работ по доходному договору</t>
  </si>
  <si>
    <t>00582-21</t>
  </si>
  <si>
    <t>Комплексное сопровождение работ по созданию концепции геологического строения проекта «Программа проектов ГРР “Развитие Оренбуржья”» на Солнечном, Корнаваринском, Надеждинском, Западно-Рубежинском ЛУ. Сценарий 2</t>
  </si>
  <si>
    <t>НТЦ-01815-21Д-ГЕО</t>
  </si>
  <si>
    <t>Комплексное сопровождение работ и создание концепции геологического строения залежей УВ Солнечного, Корнаваринского, Надеждинского, Западно-Рубежинского, Первомайского ЛУ</t>
  </si>
  <si>
    <t>00582-23</t>
  </si>
  <si>
    <t>ГЕО-23/25000/00178/Р</t>
  </si>
  <si>
    <t>Переобработка и интерпретация сейсморазведочных данных на участках работ Накынкого рудного поля, Вилюйской геолого-разведочной экспедиции АК ПАО «АЛРОСА»</t>
  </si>
  <si>
    <t>0000098050</t>
  </si>
  <si>
    <t xml:space="preserve">Немцов Владислав Сергеевич </t>
  </si>
  <si>
    <t>026504548167</t>
  </si>
  <si>
    <t>00582-24</t>
  </si>
  <si>
    <t>НЗ №6 к ДД №ГЕО-22/11029/00172/Р от 25.07.2022</t>
  </si>
  <si>
    <t>Наряд-заказ №6 к Договору №ГЕО-22/11029/00172/Р от 25.07.2022  – Рекультивация.</t>
  </si>
  <si>
    <t>09000 Договор на оказание возмездных услуг по охране объектов (пропускного и внутриобъектового режима)</t>
  </si>
  <si>
    <t>00583-21</t>
  </si>
  <si>
    <t>Договор возмездного оказания услуг по охране объектов (Южный Оренбург)</t>
  </si>
  <si>
    <t>Оказание услуг по охране объектов (внутриобъектового режима) на проекте «Южный Оренбург»</t>
  </si>
  <si>
    <t>Д-35</t>
  </si>
  <si>
    <t>00583-23</t>
  </si>
  <si>
    <t>НЗ №4 к ДД №ГЕО-22/11029/00172/Р от 25.07.2022</t>
  </si>
  <si>
    <t>Наряд-заказ №4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t>
  </si>
  <si>
    <t>00583-24</t>
  </si>
  <si>
    <t>ДС№3 к №ГЕО-23/10000/00032/Р от 06.02.2023г. с БурСервис, ООО</t>
  </si>
  <si>
    <t>Без увеличения стоимости Договора:
- приведение к факту работ 2023;
- раскрытие негарантированного объёма 2024 года;
- изменение срока действия Договора.</t>
  </si>
  <si>
    <t>00584-21</t>
  </si>
  <si>
    <t>Дополнительное соглашение № 2 к Договору 10924 Экологический мониторинг месторождений № ГЕО-21/10924/00124/Р от 12.05.2021 г.</t>
  </si>
  <si>
    <t>Внесение изменений в стоимость договора</t>
  </si>
  <si>
    <t>00584-22</t>
  </si>
  <si>
    <t>Наряд-заказ № 2 к Договору № ГЕО-21/09000/00198/Р от 06.09.2021 г.</t>
  </si>
  <si>
    <t xml:space="preserve">Наряд-Заказ № 2 по оказанию услуг охраны по Договору № ГЕО-21/09000/00198/Р от 06.09.2021 г_x000D_
</t>
  </si>
  <si>
    <t>00584-23</t>
  </si>
  <si>
    <t>НЗ №5 к ДД №ГЕО-22/11029/00171/Р от 25.07.2022</t>
  </si>
  <si>
    <t>Наряд-заказ №5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</si>
  <si>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00584-24</t>
  </si>
  <si>
    <t>ДС №3 к договору № 78209402/ГЕО-22/09000/00203/Р от «10» августа 2022г.</t>
  </si>
  <si>
    <t>Увеличение стоимости по договору оказания услуг почтовой связи (Бокс-сервис (с односторонним обменом корреспонденции)</t>
  </si>
  <si>
    <t>10 504,08</t>
  </si>
  <si>
    <t>00585-21</t>
  </si>
  <si>
    <t xml:space="preserve">Дополнительное соглашение №1 к Договору № ГЕО-21/11708/00165/Р//НТЦ-21/09000/00768/Д от 12.07.2021 </t>
  </si>
  <si>
    <t>Дополнение Перечня работ пунктом 1.50 "Сервисные услуги Блока Закупок и импортозамещения"</t>
  </si>
  <si>
    <t>Коротков С.П,</t>
  </si>
  <si>
    <t>00585-23</t>
  </si>
  <si>
    <t>ГЕО-23/25000/00176/Р</t>
  </si>
  <si>
    <t>Формирование отчетной документации к методическим рекомендациям по применению малоглубинной сейсморазведки на участках работ Накынского рудного поля</t>
  </si>
  <si>
    <t>0000113367</t>
  </si>
  <si>
    <t xml:space="preserve">Павленко Софья Викторовна </t>
  </si>
  <si>
    <t>720316646988</t>
  </si>
  <si>
    <t>00585-24</t>
  </si>
  <si>
    <t>ДС №1 к договору № ГЕО-23/10000/00173/Р от 01.11.2023</t>
  </si>
  <si>
    <t>Изменение банковских реквизитов Исполнителя в разделе 14 Договора</t>
  </si>
  <si>
    <t>00586-23</t>
  </si>
  <si>
    <t>ДС 1 к договору ГЕО-23/09000/00149/Р</t>
  </si>
  <si>
    <t>уточнение условий Технического задания</t>
  </si>
  <si>
    <t>00586-24</t>
  </si>
  <si>
    <t>Дополнительное соглашение № 3 к Договору на оказание услуг № ГЕО-24/09100/00024/Р от «08» февраля» 2024 г.</t>
  </si>
  <si>
    <t>Перераспределение негарантированного объема услуг 2025г. И 2026 г. в гарантированный объем 2024 г.</t>
  </si>
  <si>
    <t>00587-23</t>
  </si>
  <si>
    <t xml:space="preserve">ДС№4 к ДД №ГЕО-22/10000/00226/Р от 20.09.2022   </t>
  </si>
  <si>
    <t>ДС№4 к ДД №ГЕО-22/10000/00226/Р от 20.09.2022. ДС новые ед. расценки на клин.</t>
  </si>
  <si>
    <t>00587-24</t>
  </si>
  <si>
    <t>ГЕО-24/11000/00168/Р</t>
  </si>
  <si>
    <t>Договор подряда с ООО "СТС" на выполнение строительно-монтажных работ (СМР) Объектов инженерной подготовки и дорог месторождений нефти и газа  Оморинского ЛУ</t>
  </si>
  <si>
    <t>Выполнение работ по устройству зимних проездов и инженерной подготовки геологоразведочных скважин на Оморинском лицензионном участке</t>
  </si>
  <si>
    <t>611314888</t>
  </si>
  <si>
    <t>00588-21</t>
  </si>
  <si>
    <t>АНГ-18/10985/00282/Р</t>
  </si>
  <si>
    <t>Дополнительное соглашение №5 к Договору № АНГ-18/10985/00282/Р от 29.12.2018 г.</t>
  </si>
  <si>
    <t>Перераспределение объема работ 2021 года:_x000D_
o Уменьшение объема работ по утилизации отходов бурения (твердая фаза);_x000D_
o Уменьшение объема работ по рекультивации нарушенных земель, занятых под _x000D_
шламовые амбары/шламонакопители;_x000D_
o Увеличение объема работ по утилизации отходов бурения (жидкая фаза)._x000D_
 Частичное раскрытие негарантированного объема 2021 года на утилизацию твёрдых _x000D_
отходов бурения и рекультивацию нарушенных земель._x000D_
 Уменьшение единичной расценки по демобилизации оборудования._x000D_
 Уменьшение Дополнительных затрат Заказчика на выплату мотивационного _x000D_
вознаграждения в области Производственной безопасности в размере 2% от стоимости _x000D_
работ по году.</t>
  </si>
  <si>
    <t>00588-23</t>
  </si>
  <si>
    <t>00588-24</t>
  </si>
  <si>
    <t>Дополнительное соглашение №2 к договору страхования от несчастных случаев и болезней 0624 LA 000079/ГЕО-23/17000/00231/Р от «29» декабря 2023 г</t>
  </si>
  <si>
    <t>00589-21</t>
  </si>
  <si>
    <t>ДС №1 к Агентскому договору ГЕО-20/11104/00152/Д от 22.09.2020</t>
  </si>
  <si>
    <t>00589-23</t>
  </si>
  <si>
    <t>ГЕО-23/07000/00055/Р/4/ГЦР-Д/52/ВГС</t>
  </si>
  <si>
    <t>О ПЕРЕМЕНЕ ЛИЦ В ОБЯЗАТЕЛЬСТВЕ  к Договору на выполнение полевых и камеральных работ несейсмическими методами № ГЕО-23/07000/00055/Р/4/ГЦР-Д/52/ВГС от 09.01.2023г.</t>
  </si>
  <si>
    <t>Передача прав и обязанностей первоначального исполнителя к новому исполнителю</t>
  </si>
  <si>
    <t>0000057164, 0000027645</t>
  </si>
  <si>
    <t xml:space="preserve">ООО Газпромнефть - ЦР ; 
ООО Газпромнефть - Снабжение </t>
  </si>
  <si>
    <t>7728654530, 5501072608</t>
  </si>
  <si>
    <t>00589-24</t>
  </si>
  <si>
    <t>ГЕО-24/40000/00166/Р</t>
  </si>
  <si>
    <t>Соглашение об установлении сервитута (по форме ООО "Газпром добыча Ямбург")</t>
  </si>
  <si>
    <t>Обеспечение беспрепятственного прохода и проезда по земельным участкам ООО "Газпром добыча Ямбург" для проведения геологоразведочных работ ООО "ГПН-ГЕО"  на Северо-Ямбургском ЛУ</t>
  </si>
  <si>
    <t>00590-23</t>
  </si>
  <si>
    <t>НЗ №5 к ДД №ГЕО-22/11029/00172/Р от 25.07.2022</t>
  </si>
  <si>
    <t>Наряд-заказ №5 к Договору №ГЕО-22/11029/00172/Р от 25.07.2022  – «Выполнение работ по инженерной подготовке площадки и проездов к геологоразведочной скважине КМ Оморинского лицензионного участка»</t>
  </si>
  <si>
    <t>00591-21</t>
  </si>
  <si>
    <t>ГЕО-20/09000/00058/Р</t>
  </si>
  <si>
    <t xml:space="preserve">ДС на изменение реквизитов контрагента </t>
  </si>
  <si>
    <t>Изменение реквизитов расчетного счета контрагента ООО "Партнеры Ноябрьск"</t>
  </si>
  <si>
    <t>00591-23</t>
  </si>
  <si>
    <t>ДС №3 по актуализации методологии оценки эффективности деятельности контрагентов и мотивации в области ПБ в действующих договорах</t>
  </si>
  <si>
    <t>00591-24</t>
  </si>
  <si>
    <t>Изменение №1 к Заказ-Наряду №3 от 08.05.2024 г. к Договору ГЕО-24/10000/00053/Р от 18.03.2024 г.</t>
  </si>
  <si>
    <t xml:space="preserve">Корректировка объема работ, уменьшение производственной программы для заключения ЗаказНаряда №4 (отдельным договорным документом) </t>
  </si>
  <si>
    <t>Киямов Р.Т.</t>
  </si>
  <si>
    <t>00592-21</t>
  </si>
  <si>
    <t>ДС № 7 для исполнения операторского договора с Компанией «Салым Петролеум Девелопмент Н.В.» (СПД) на  Восточно-Шапшинском ЛУ</t>
  </si>
  <si>
    <t>Перераспределение негарантированного объма услуг 2021-2022гг. в гарантированный по Договору № ГЕО-20/10986/00138/Р от 10.08.2020г. с компанией ООО «ОГК» на оказание супервайзерских услуг по контролю состояния производственной безопасности и безопасности дорожного движения в 2021-2022гг. для исполнения операторского договора с Компанией «Салым Петролеум Девелопмент Н.В.» (СПД) на  Восточно-Шапшинском ЛУ и перераспределения НГО для покрытия ориентировочной планируемой потребности на 2021-2022г. по проектам СРР и ПРБ (Титан, Хамбатей и проч., в том числе по планируемым доходным операторским договорам с СПД, ГПН-Хантос и т.д. по объемам, территориально относящимся к УрФО).</t>
  </si>
  <si>
    <t>Анисимов Андрей Николаевич - Руководитель региональных проектов по производственной безопасности кластера "Восточная Сибирь и Ор</t>
  </si>
  <si>
    <t>00592-22</t>
  </si>
  <si>
    <t>Дополнительное соглашение №1  Договору № ГЕО-22/10000/00036/Р от 14.02.2022г. на выполнение работ по обработке призабойной зоны пласта.</t>
  </si>
  <si>
    <t xml:space="preserve">1. Индексация ставки ОПЗ за счет увеличения стоимости соляно-кислотного раствора HCL на 12,9%;_x000D_
2. Индексацию справочных расценок соляно-кислотных растворов различной концентрации от 3 до 24% с контроллером железа 2000 мг/л и 5000 мг/л с 20.06.2022 г.;_x000D_
Выделение затрат на эксплуатацию Протектора фонтанной арматуры (ПФА) из ставки «ОПЗ кислотными составами» в справочную опциональную дополнительную ставку, что в свою очередь влечет совокупное изменение (уменьшение) суммы договора на 3,2%._x000D_
</t>
  </si>
  <si>
    <t>ООО "Ветеран"</t>
  </si>
  <si>
    <t>00592-23</t>
  </si>
  <si>
    <t>ДС 4 к договору № ГЕО-22/10968/00197/Р от 12.08.2022г. по актуализации методологии оценки эффективности деятельности контрагентов и мотивации в области ПБ в действующих договорах</t>
  </si>
  <si>
    <t>00592-24</t>
  </si>
  <si>
    <t>Заказ-Наряд №4 к Договору ГЕО-24/10000/00053/Р от 18.03.2024 г.</t>
  </si>
  <si>
    <t>00593-21</t>
  </si>
  <si>
    <t>Задание № 9 на оказание СП услуг по контролю состояния ПБ и БДД в 2021-2022гг. для исполнения операторского договора с Компанией «Салым Петролеум Девелопмент Н.В.» (СПД) на  В.-Шапшинском ЛУ</t>
  </si>
  <si>
    <t>Оказание супервайзерских услуг по контролю состояния производственной безопасности и безопасности дорожного движения в 2021-2022гг. для исполнения операторского договора с Компанией «Салым Петролеум Девелопмент Н.В.» (СПД) на  Восточно-Шапшинском ЛУ</t>
  </si>
  <si>
    <t>Анисимов Андрей Николаевич - Руководитель региональных проектов по ПБ кластера "Восточная Сибирь и ОРБ</t>
  </si>
  <si>
    <t>00593-23</t>
  </si>
  <si>
    <t>ДС №2 к ГЕО-22/10968/00244/Р от 23.09.2022 г. по актуализации методологии оценки эффективности деятельности контрагентов и мотивации в области ПБ в действующих договорах</t>
  </si>
  <si>
    <t>00593-24</t>
  </si>
  <si>
    <t>ГЕО-24/33200/00163</t>
  </si>
  <si>
    <t>33200 Соглашение об электронном документообороте c АО «Инжиниринговый центр «Кронштадт»</t>
  </si>
  <si>
    <t>00594-21</t>
  </si>
  <si>
    <t>Увеличение объемов работ, увеличение стоимости договора</t>
  </si>
  <si>
    <t>00594-22</t>
  </si>
  <si>
    <t xml:space="preserve">В целях обеспечения ПБ при оказании услуг </t>
  </si>
  <si>
    <t>Белоусов Олег Викторович</t>
  </si>
  <si>
    <t>00594-23</t>
  </si>
  <si>
    <t>ДС №4 к договору №ГЕО-22/10000/00057/Р от 18.03.2022 г. с ПАО «ГЕОТЕК»</t>
  </si>
  <si>
    <t>Перенос срока демобилизации без изменения стоимости работ.</t>
  </si>
  <si>
    <t>00594-24</t>
  </si>
  <si>
    <t>Кузнецов В.Э.</t>
  </si>
  <si>
    <t>00595-21</t>
  </si>
  <si>
    <t>00595-22</t>
  </si>
  <si>
    <t>ГЕО-22/25000/00146/Р</t>
  </si>
  <si>
    <t>Заключение договора возмездного оказания услуг в отношении расположенных в границах Оренбургской области объектов недвижимого имущества и земельных участков, необходимых для эксплуатации объектов Заказчика</t>
  </si>
  <si>
    <t>0000086570</t>
  </si>
  <si>
    <t xml:space="preserve">Сазонова Анна Сергеевна </t>
  </si>
  <si>
    <t>561504779598</t>
  </si>
  <si>
    <t>00595-23</t>
  </si>
  <si>
    <t>00595-24</t>
  </si>
  <si>
    <t>ГЕО-24/36000/00175/Р</t>
  </si>
  <si>
    <t>Закупка лицензий Slider Диаграммы</t>
  </si>
  <si>
    <t>00596-21</t>
  </si>
  <si>
    <t>ГЕО-21/09000/00215/Р</t>
  </si>
  <si>
    <t>Договор на оказание услуг по оценке ИТ оборудования</t>
  </si>
  <si>
    <t xml:space="preserve">Формирование корректной цены продажи на основании отчета независимого оценщика на 19 объектов оценки (Коммутатор Ethernet MES2124P 2 шт, Точка доступа WEP-12AC 16 шт, Маршрутизатор ESR-100 1 шт)  в ГПН-ИТО_x000D_
_x000D_
Оценку будут проводить камерально </t>
  </si>
  <si>
    <t>0000099345</t>
  </si>
  <si>
    <t>ООО Аудиторская компания. Городско й центр экспертиз</t>
  </si>
  <si>
    <t>7816600358</t>
  </si>
  <si>
    <t>00596-22</t>
  </si>
  <si>
    <t>ГЕО-22/26000/00143</t>
  </si>
  <si>
    <t>Заключение договора о конфиденциальности, в связи с заключением договора возмездного оказания услуг в отношении расположенных в границах Оренбургской области объектов недвижимого имущества и земельных участков, необходимых для эксплуатации объектов Заказчика</t>
  </si>
  <si>
    <t>00596-23</t>
  </si>
  <si>
    <t xml:space="preserve"> В рамках исполнения поручений операционного комитета БРД от 15.05.2023 г., необходимо актуализировать методологию ОЭДК и мотивации в области ПБ в действующих договорах по услугам П-2 и ОП (при наличии в договоре условий ОЭДК). </t>
  </si>
  <si>
    <t>00596-24</t>
  </si>
  <si>
    <t>ГЕО-24/04300/00169/Р</t>
  </si>
  <si>
    <t>возмещение убытков сельскохозяйственного производства при временном занятии части земельного участка для строительства промышленных и иных объектов, в том числе (но не ограничиваясь) для размещения бурового оборудования при бурении поисково-оценочной скважины 201 Надеждинского лицензионного участка</t>
  </si>
  <si>
    <t>00597-22</t>
  </si>
  <si>
    <t>00597-24</t>
  </si>
  <si>
    <t>ГЕО-24/04500/00170/Р</t>
  </si>
  <si>
    <t>возмещение убытков сельскохозяйственного производства при временном занятии части земельного участка для строительства промышленных и иных объектов, в том числе (но не ограничиваясь) для размещения бурового оборудования при бурении поисково-оценочной скважины 201 Надеждинского лицензионного участка и размещения подъездного пути к скважине</t>
  </si>
  <si>
    <t>00598-22</t>
  </si>
  <si>
    <t>ГЕО-22/01200/00152/Д</t>
  </si>
  <si>
    <t>Реализация ДТ в адрес подрядной организации ООО «Ябмургтранссервис», предоставляющей ООО «ГПН-ГЕО» услуги специализированной техники (экскаватор на гусеничном ходу) при реализации производственной программы Проекта «Титан» на Северо-Ямбургском ЛУ в 2022 году.</t>
  </si>
  <si>
    <t>0000093574</t>
  </si>
  <si>
    <t xml:space="preserve">ООО Ямбургтранссервис </t>
  </si>
  <si>
    <t>7712100495</t>
  </si>
  <si>
    <t>00598-23</t>
  </si>
  <si>
    <t xml:space="preserve">ДС №1 к договору ГЕО-23/08000/00156/Р от 18.08.2023 г.  </t>
  </si>
  <si>
    <t>Актуализация расценок, ввод новых расценок, перераспределение объемов без увеличения общей стоимости договора</t>
  </si>
  <si>
    <t>00598-24</t>
  </si>
  <si>
    <t>ГЕО-24/40000/00172/Р</t>
  </si>
  <si>
    <t>возмещение убытков сельскохозяйственного производства при временном занятии части земельного участка для размещения подъездного пути при бурении поисково-оценочной скважины 201 Надеждинского лицензионного участка</t>
  </si>
  <si>
    <t>00599-23</t>
  </si>
  <si>
    <t>ДС 7 к договору № ГЕО-20/11501/00184/Р от 29.11.2020</t>
  </si>
  <si>
    <t>Продление договора до 31.12.2026</t>
  </si>
  <si>
    <t>00599-24</t>
  </si>
  <si>
    <t>ГЕО-24/40000/00171/Р</t>
  </si>
  <si>
    <t>00600-22</t>
  </si>
  <si>
    <t>ГЕО-22/33200/00147</t>
  </si>
  <si>
    <t>0000087403</t>
  </si>
  <si>
    <t>АНО Центр профессиональной патолог ии и лабораторной диагностики</t>
  </si>
  <si>
    <t>8601065060</t>
  </si>
  <si>
    <t>00600-23</t>
  </si>
  <si>
    <t>ДОПОЛНИТЕЛЬНОЕ СОГЛАШЕНИЕ 4 к Договору на оказание услуг № ГЕО-22/09000/00093/Р от 02.05.2022 г.</t>
  </si>
  <si>
    <t>Перевод негарантированного объема услуг 2024-2025 г.  в гарантированный и негарантированный объем услуг 2023 г , без изменения  общей стоимости и срока действия договора.</t>
  </si>
  <si>
    <t>00600-24</t>
  </si>
  <si>
    <t>ГЕО-24/33200/00167</t>
  </si>
  <si>
    <t>00601-21</t>
  </si>
  <si>
    <t>Дополнительное соглашение №1 к Договору  №ГЕО-21/11031/00040/Р от 01.03.2021</t>
  </si>
  <si>
    <t>Корректировка сроков по этапам календарного плана,  прочие административные изменения, переход на ЭДО</t>
  </si>
  <si>
    <t>00601-22</t>
  </si>
  <si>
    <t>ГЕО-22/10000/00150/Р</t>
  </si>
  <si>
    <t>Договор на оказание услуг по эксплуатации теплоэнергетического оборудования, сетей тепловодоснабжения и канализации  (10808)</t>
  </si>
  <si>
    <t xml:space="preserve">Услуги по проведению пусконаладочных и режимно-наладочных работ на оборудовании водоподготовки, очистки хозяйственно-бытовых стоков и комплекса для термического обезвреживания отходов, проведение лабораторных исследований проб питьевой воды и сточных вод, поставка одного комплекта фильтрующих материалов в объёме одного обслуживания установки водоподготовки </t>
  </si>
  <si>
    <t>00601-23</t>
  </si>
  <si>
    <t>ГЕО-23/24000/00192/Р</t>
  </si>
  <si>
    <t xml:space="preserve">24000 Рамочный лицензионный договор на предоставление или приобретение прав использования программ для электронных вычислительных машин (ЭВМ), предполагающий заключение, присоединение, выдачу дополнительного договорного документа </t>
  </si>
  <si>
    <t>Предоставление неисключительного права (простой лицензии) на использование программного обеспечения «Система безопасного управления средой виртуализации zVirt» вендора Orion Soft</t>
  </si>
  <si>
    <t>00601-24</t>
  </si>
  <si>
    <t>НАРЯД-ЗАКАЗ № 18 к Договору № АНГ-191151300010Р от 18 февраля 2019</t>
  </si>
  <si>
    <t>Разработка подрядной организацией ООО "Магеллан" проекта рекультивации нарушенных земельных участков для объекта: Площадка базы подрядных организаций и размещения строительных материалов на ПК0 автозимника на площадку поисково-оценочной скважины № 1 Северо-Ямбургского ЛУ</t>
  </si>
  <si>
    <t>00602-21</t>
  </si>
  <si>
    <t>Дополнительное соглашение №1 к Договору №ГЕО-21/11031/00101/Р от 25.03.2021г.</t>
  </si>
  <si>
    <t>Корректировка сроков по этапам, прочие административные изменения, переход на ЭДО</t>
  </si>
  <si>
    <t>00602-23</t>
  </si>
  <si>
    <t>ГЕО-23/01200/00180/Д</t>
  </si>
  <si>
    <t xml:space="preserve">Договор поставки </t>
  </si>
  <si>
    <t xml:space="preserve">Коллеги, добрый день!
По запросу от ГПН-Ямал, на основании ранее подготовленного и согласованного КП на реализацию с баланса ГПН-ГЕО резервуара РС-500, проводим реализацию. 
Резервуар РС-500 был закуплен в 2019 году для проекта Южный Ямал по цене 498 000,00 руб. без НДС, но не был вовлечен в производство в связи с переносом старта проекта.
С 2019 года резервуар хранился на сладе ГПН-Снабжение в г. Лабытнанги, на проектах ГПН-ГЕО не востребован (подтверждение служб приложено, дополнительно приложен протокол ПДК). 
Цена сформирована на основе независимой оцени и составляет 490 854,88 руб. без НДС.
Прошу рассмотреть и согласовать договор. 
</t>
  </si>
  <si>
    <t>0000057650</t>
  </si>
  <si>
    <t xml:space="preserve">ООО Газпромнефть - Ямал </t>
  </si>
  <si>
    <t>8901001822</t>
  </si>
  <si>
    <t>00603-21</t>
  </si>
  <si>
    <t>Дополнительное соглашение №2 к Договору №ГЕО-21/10421/00132/Р от 14.06.2021г. на проведение операции по закачке азота в пласт</t>
  </si>
  <si>
    <t>00603-23</t>
  </si>
  <si>
    <t>Изменение №1 к Заявке № 2</t>
  </si>
  <si>
    <t>1.	Изложить раздел 1, Заявки № 2 к Договору № ГЕО-23/09000/00149/Р от 25.09.2023 г. в части Ф.И.О. работника в следующей редакции:
- Москаленко Евгений Николаевич.
- Учайкин Иван Сергеевич.</t>
  </si>
  <si>
    <t>00603-24</t>
  </si>
  <si>
    <t>На подписании ЭП</t>
  </si>
  <si>
    <t xml:space="preserve">Изменение НЗ №1 к Договору №MOS/23/0080/ГЕО-23/10000/00202/Д от «06» декабря 2023 года </t>
  </si>
  <si>
    <t>Изменение Общей стоимости Наряд-заказа №1 и Приложения №3 Расчет стоимости работ к НЗ №1 (перераспределение затрат по статьям)</t>
  </si>
  <si>
    <t>00604-23</t>
  </si>
  <si>
    <t>Наряд-заказ №3 на оказание услуг  по Договору №ГЕО-23/10000/00067/Р от "31" марта 2023г.</t>
  </si>
  <si>
    <t>Заключение Наряд-заказа №3 на оказание услуг по Договору №ГЕО-23/10000/00067/Р от "31" марта 2023г.</t>
  </si>
  <si>
    <t>00604-24</t>
  </si>
  <si>
    <t>Заявка № 28 (РГ по ПБ в сейсморазведке) к договору о предоставлении труда работников (персонала) № ГЕО-23/09000/00149/Р от 28.08.2023 г.</t>
  </si>
  <si>
    <t>Рассмотрение вопроса о возможности заключения Заявки № 28 на привлечение руководителя группы по производственной безопасности в сейсморазведке для объекта Южно-Ямской ЛУ, ХМАО, Уральский федеральный округ. в рамках Договора № ГЕО-23/09000/00149/Р от «28» августа 2023 г. со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t>
  </si>
  <si>
    <t>00605-22</t>
  </si>
  <si>
    <t>10901 Договор на выполнение работ по услуге «Специальная оценка условий труда»</t>
  </si>
  <si>
    <t xml:space="preserve">услуги по проведению специальной оценки условий труда с проведением необходимых лабораторных измерений и составлением всей необходимой документации </t>
  </si>
  <si>
    <t>Петушкова Виктория Евгеньевна</t>
  </si>
  <si>
    <t>ООО "ЭКОСТАНДАРТ "Технические решения"</t>
  </si>
  <si>
    <t>2252436.9</t>
  </si>
  <si>
    <t>00605-23</t>
  </si>
  <si>
    <t>Заказ-Наряд №25 к договору №ГЕО-19/11708/00133/Р от 25.06.2019</t>
  </si>
  <si>
    <t>Создание единой программы воспроизводства минерально-сырьевой базы Нерутинской зоны (часть 1)</t>
  </si>
  <si>
    <t>00606-21</t>
  </si>
  <si>
    <t>ГЕО-21/04300/00199/Р</t>
  </si>
  <si>
    <t>Прием во временное владение и пользование части земельного участка для строительства подъездного пути к скважине №341ПО Солнечного ЛУ</t>
  </si>
  <si>
    <t>Федоров А.Г.</t>
  </si>
  <si>
    <t>00606-23</t>
  </si>
  <si>
    <t>Заказ-Наряд №26 к договору №ГЕО-19/11708/00133/Р от 25.06.2019</t>
  </si>
  <si>
    <t>Быстрые победы 2кв  24г. Научно исследовательские работы по оценке перспективности действующих участков с целью доизучения в периметре территории деятельности АО «Газпромнефть ННГ»</t>
  </si>
  <si>
    <t>00606-24</t>
  </si>
  <si>
    <t>ГЕО-24/10000/00177/Р</t>
  </si>
  <si>
    <t>Договор с ЦГЭ на оказание Супервайзерских услуг полевых работ площадными геофизическими методами</t>
  </si>
  <si>
    <t xml:space="preserve">Супервайзерские услуги полевых работ площадными геофизическими методами на лицензионных участках дочерних обществ (ДО) ПАО «Газпром нефть» и совместных предприятий (СП) в 2024-2027 гг. </t>
  </si>
  <si>
    <t>3017689</t>
  </si>
  <si>
    <t>00607-21</t>
  </si>
  <si>
    <t xml:space="preserve">ГЕО-20/10919/00072/Р </t>
  </si>
  <si>
    <t>Дополнительное соглашение № 3 к Договору на оказание услуг по разработке разрешительной природоохранной документации № ГЕО-20/10919/00072/Р от 12.05.2020 г.</t>
  </si>
  <si>
    <t>Внесение изменений в Приложение № 1</t>
  </si>
  <si>
    <t>0000084039</t>
  </si>
  <si>
    <t xml:space="preserve">ООО ЭКО-34 </t>
  </si>
  <si>
    <t>3443110618</t>
  </si>
  <si>
    <t>Разработка разрешительной природоохранной документации</t>
  </si>
  <si>
    <t>00607-22</t>
  </si>
  <si>
    <t xml:space="preserve">Дополнительное соглашение №5 к Договору №ГЕО-20/10986/00128/Р от 07.08.2020 г. </t>
  </si>
  <si>
    <t xml:space="preserve">Оказание услуг по защите персонала от возможного воздействия сероводорода. Перевод негарантированного объёма услгу из Солнечного ЛУ 2023 года в негаранитрованный объём услуг Лескинского ЛУ 2022 года. </t>
  </si>
  <si>
    <t>00607-24</t>
  </si>
  <si>
    <t>ГЕО-24/26000/00174</t>
  </si>
  <si>
    <t>Заключение СОК для заключения договора финансирования (по агентской схеме) и в ходе оказания услуг по договору финансирования (по агентской схеме).</t>
  </si>
  <si>
    <t>0000096939</t>
  </si>
  <si>
    <t xml:space="preserve">ПАО АК БАРС БАНК </t>
  </si>
  <si>
    <t>1653001805</t>
  </si>
  <si>
    <t>00608-22</t>
  </si>
  <si>
    <t>00608-23</t>
  </si>
  <si>
    <t>ИЗМ №2 к НЗ №2 Уралгеопроект, ООО  к договору ГЕО-22/11000/00267/Р от 10.10.2022</t>
  </si>
  <si>
    <t>ИЗМ №2 к НЗ №2 Уралгеопроект, ООО  к договору ГЕО-22/11000/00267/Р от 10.10.2022. Выполнению инженерных изысканий для нужд ООО «ГПН-ГЕО».</t>
  </si>
  <si>
    <t>00608-24</t>
  </si>
  <si>
    <t xml:space="preserve">Дополнительное соглашение №3 к договору ГЕО-23/08000/00156/Р от 18.08.2023г. с ООО "АЛАТАУ-7" </t>
  </si>
  <si>
    <t>Дополнительное соглашение об изменении единичных расценок</t>
  </si>
  <si>
    <t>589524637.13</t>
  </si>
  <si>
    <t>00609-24</t>
  </si>
  <si>
    <t xml:space="preserve">НЗ №8 </t>
  </si>
  <si>
    <t>Изменение №1 к Наряд-заказу №8 к Договору № ГЕО-22/11000/00274/Р от 14.10.2022г.</t>
  </si>
  <si>
    <t>00610-22</t>
  </si>
  <si>
    <t xml:space="preserve">№ ГЕО-22/09000/00102/Д </t>
  </si>
  <si>
    <t xml:space="preserve">Дополнительное соглашение №1 к Договору № ГЕО-22/09000/00102/Д </t>
  </si>
  <si>
    <t>Измение сроков выполнения работ по 2 Этапу</t>
  </si>
  <si>
    <t>00610-23</t>
  </si>
  <si>
    <t>Актуализация подходов ОЭДК в соответствии с п.5 - 6 Решения операционного комитета от 15.05.2023</t>
  </si>
  <si>
    <t>00610-24</t>
  </si>
  <si>
    <t>00611-22</t>
  </si>
  <si>
    <t>Дополнительное соглашение №2 к договору №ГЕО-22/10419/00039/Р от 21.02.2022 г.</t>
  </si>
  <si>
    <t>00611-24</t>
  </si>
  <si>
    <t>00612-21</t>
  </si>
  <si>
    <t>ГЕО-21/26000/00223</t>
  </si>
  <si>
    <t xml:space="preserve">проведение тестировании новых видоd жидкости ГРП на керне по проекту «Большая Ачимовка» </t>
  </si>
  <si>
    <t>АО "НГ Кемикалз"</t>
  </si>
  <si>
    <t>00612-22</t>
  </si>
  <si>
    <t>ГЕО-20/09000/00075/Р</t>
  </si>
  <si>
    <t>00612-23</t>
  </si>
  <si>
    <t>1. Заключение Соглашения в области производственной безопасности</t>
  </si>
  <si>
    <t xml:space="preserve">25000 Договор ГПХ на оказании услуг физическим лицом </t>
  </si>
  <si>
    <t>00612-24</t>
  </si>
  <si>
    <t xml:space="preserve">Оказание услуг в области управления исполнением договоров, разработке модели данных и их визуализации </t>
  </si>
  <si>
    <t>Михайлец Игорь Евгеньевич</t>
  </si>
  <si>
    <t>00613-21</t>
  </si>
  <si>
    <t>ГЕО-21/04500/00201/Р</t>
  </si>
  <si>
    <t>возмещении убытков сельскохозяйственного производства, в т. ч. упущенной выгоды при временном занятии земельного участка для размещения подъездного пути к скважине № 341ПО Солнечного лицензионного участка</t>
  </si>
  <si>
    <t>00613-22</t>
  </si>
  <si>
    <t>Выполнение проектных работ по объекту «Временная база хранения со складом ГСМ 6000 м3. Корректировка»</t>
  </si>
  <si>
    <t>00613-23</t>
  </si>
  <si>
    <t>00613-24</t>
  </si>
  <si>
    <t>ГЕО-23/25000/00208/Р</t>
  </si>
  <si>
    <t>ДС №1 к ДД № ГЕО-23/25000/00208/Р (Расторжение ДД ГПХ Сазонова А.П.)</t>
  </si>
  <si>
    <t>Расторжение Договора ГПХ</t>
  </si>
  <si>
    <t>НК-428</t>
  </si>
  <si>
    <t>00614-21</t>
  </si>
  <si>
    <t>Дополнительное соглашение №11 к Договору о выполнении операторских работ и оказании операторских услуг (проект Ю. Оренбург, КНЗР, Первомайский)</t>
  </si>
  <si>
    <t>1. добавлена программа работ и оказания услуг ГРР по Первомайскому ЛУ на 2021-2022гг. в рамках выделенного лимита по проекту Ю.Оренбург (без увеличения общей стоимости действующего ДС №10);_x000D_
2. добавлены условия авансирования закупок МТР</t>
  </si>
  <si>
    <t>00614-23</t>
  </si>
  <si>
    <t>00614-24</t>
  </si>
  <si>
    <t>ДОПОЛНИТЕЛЬНОЕ СОГЛАШЕНИЕ № 17 к Договору № ОРН-18/10303/03693/Р от 20.12.2018г.</t>
  </si>
  <si>
    <t>- перераспределение гарантированного объема работ из 2025 в 2024 год по ставке ""Инженерное сопровождение (2 инженера)""
- уменьшение норматива строительства скважины с 204 сут. до 185 сут. в соответствии с обновленной производственной программой
- перераспределение высвободившегося объема работ в ставку ""Резервные средства на непредвиденные расходы""
- приведение рецептуры буровых растворов в соответствие к утвержденной программе бурения (без изменения объема хим. реагентов и стоимости работ) приложение 10.8 к расчету стоимости"</t>
  </si>
  <si>
    <t>00615-21</t>
  </si>
  <si>
    <t xml:space="preserve">СОГЛАШЕНИЕ О ПЕРЕМЕНЕ ЛИЦ В ОБЯЗАТЕЛЬСТВЕ  к Договору № ОРН-18/10303/03693/Р от 20.12.2018г. </t>
  </si>
  <si>
    <t>Перемена лиц в обязательстве</t>
  </si>
  <si>
    <t>ООО «ИСК «ПетроИнжиниринг»</t>
  </si>
  <si>
    <t>00615-22</t>
  </si>
  <si>
    <t>Изменение реквизитов "Исполнителя"</t>
  </si>
  <si>
    <t>00615-23</t>
  </si>
  <si>
    <t>00615-24</t>
  </si>
  <si>
    <t>ДС №13 ВНИГНИ № ГЕО-21/08000/00296/Р от 28.12.2021</t>
  </si>
  <si>
    <t>1. Внесение изменений в механизм перевода негарантированного объема работ в гарантированный (выдача Заявок) 
2. Перераспределение невостребованного гарантированного объёма работ 2022-2023гг. в негарантированный объем работ 2024-2026гг.; 
3. Перераспределение негарантированного объёма работ 2022-2023гг. в гарантированный объем работ 2024 
4. Внесение изменений в Заявку на выполнение работ №9 по Договору.</t>
  </si>
  <si>
    <t>00616-21</t>
  </si>
  <si>
    <t>ГЕО-21/26000/00200</t>
  </si>
  <si>
    <t>обусловлена возможной передачей конфиденциальной информации в ходе проведения работ по договору№ ГЕО-21/101108/00194/Р от «23» августа 2021 г.</t>
  </si>
  <si>
    <t>АО «ВНИИнефть»</t>
  </si>
  <si>
    <t>00616-22</t>
  </si>
  <si>
    <t>Дополнительное соглашение №6 о введении перечня штрафов(сокращенный 13 штрафов)</t>
  </si>
  <si>
    <t>ДС по утверждению перечня нарушений и штрафных санкций в области ПБ</t>
  </si>
  <si>
    <t>00616-23</t>
  </si>
  <si>
    <t>00616-24</t>
  </si>
  <si>
    <t>Смена банковских реквизитов подрядчика</t>
  </si>
  <si>
    <t>00617-21</t>
  </si>
  <si>
    <t>Дополнительное соглашение к договору по перераспределение между гарант. и негарант. объёмами работ</t>
  </si>
  <si>
    <t xml:space="preserve">Приведение негарантированного объема работ в гарантированный в 2021г. в связи с производственной необходимостью. </t>
  </si>
  <si>
    <t>00617-23</t>
  </si>
  <si>
    <t>ДС №4 к договору №ГЕО-22/10000/00144/Р от 27.06.2022г.</t>
  </si>
  <si>
    <t>Перераспреджеление по договору 2023-2024гг. Выделение ставок "проживание".</t>
  </si>
  <si>
    <t>00617-24</t>
  </si>
  <si>
    <t>На согласовании</t>
  </si>
  <si>
    <t>ДС №2 К ДД №ГЕО-24/25000/00004/Р (Васильева А.И., продление ДД ГПХ)</t>
  </si>
  <si>
    <t>Закрытие потребности в оказании дополнительных услуг с ноября 2024 года по подготовке и сопровождению согласования закупочных решений, оформлении презентационных материалов в рамках Управления исполнением договорных обязательств</t>
  </si>
  <si>
    <t>00618-23</t>
  </si>
  <si>
    <t>Заключение соглашение ПБ согласно требованиям приказа от 27.07.2023 № 76-П</t>
  </si>
  <si>
    <t>00618-24</t>
  </si>
  <si>
    <t>Соглашение об установлении сервитута в отношении частей земельных участков</t>
  </si>
  <si>
    <t>Для размещения линейного объекта «Автозимник с площадкой техники на Южно-Новопортовском лицензионном участке»</t>
  </si>
  <si>
    <t>ДИО</t>
  </si>
  <si>
    <t>00619-21</t>
  </si>
  <si>
    <t xml:space="preserve">20 DR 077 / ГЕО-20/17000/00171/Р </t>
  </si>
  <si>
    <t>Дополнительное соглашение №1 к договору (полису) страхования рисков при разведке и разработке месторождений № 20 DR 077 / ГЕО-20/17000/00171/Р от 23 октября 2020 г.</t>
  </si>
  <si>
    <t xml:space="preserve">ДС (внесение изменений в п.1 договора) в связи с переименованием ООО "Газпромнефть-Аэро Брянск" в ООО "Гыдан Энерджи" и уточнение реквизитов - адреса "Гыдан Энерджи" </t>
  </si>
  <si>
    <t>00619-23</t>
  </si>
  <si>
    <t xml:space="preserve">Дополнительное соглашение №8 к Договору №ГЕО-21/10924/00124/Р от 12.05.2021 г. </t>
  </si>
  <si>
    <t>Внесение изменение в гл. 22 Договора, исключение из Договора Приложения №8 "Соглашение в области ПБ"</t>
  </si>
  <si>
    <t>00619-24</t>
  </si>
  <si>
    <t xml:space="preserve">В рамках заключаемого договора ГПХ https://tessa.gazprom-neft.local/edo/card/261767e5-7230-4910-a158-f27a4a0447fb </t>
  </si>
  <si>
    <t>00620-21</t>
  </si>
  <si>
    <t>№ 20 GL 0702 / ГЕО-20/17000/00172/Р</t>
  </si>
  <si>
    <t>Дополнительное соглашение №1 к Договору Страхования Общей Гражданской  Ответственности и Ответственности Товаропроизводителя (ПОЛИСУ) № 20 GL 0702 / ГЕО-20/17000/00172/Р  от 30.10.2020 г.</t>
  </si>
  <si>
    <t>00620-22</t>
  </si>
  <si>
    <t>Дополнительное соглашение №1 к договору № ГЕО-21/10306/00256/Р от 26.10.2021г.</t>
  </si>
  <si>
    <t>Сокращение срока оплаты до 14-ти дней</t>
  </si>
  <si>
    <t>00620-23</t>
  </si>
  <si>
    <t>ГЕО-23/33200/00185</t>
  </si>
  <si>
    <t>Актуализация типовой формы Соглашения об ЭДО согласно приказа №123-П от 10.11.2023</t>
  </si>
  <si>
    <t>00620-24</t>
  </si>
  <si>
    <t>00621-21</t>
  </si>
  <si>
    <t>ГЕО-21/25000/00203/Р</t>
  </si>
  <si>
    <t>Куропятник Д.А. - Подрядчик - Управление инвестиционного планирования</t>
  </si>
  <si>
    <t>Куропятник Дмитрий Александрович</t>
  </si>
  <si>
    <t>00621-22</t>
  </si>
  <si>
    <t>Дополнительное соглашение № 2 к Договору № ГЕО-21/08000/00296/Р от «28» декабря 2021 г.</t>
  </si>
  <si>
    <t>00622-21</t>
  </si>
  <si>
    <t>ГЕО-21/00000/00207</t>
  </si>
  <si>
    <t>Соблюдение требований Заказчика в области производственной безопасности</t>
  </si>
  <si>
    <t>Михаил Александрович Кукленков</t>
  </si>
  <si>
    <t>00622-22</t>
  </si>
  <si>
    <t>Заявка на выполнение работ  по теме: "Разработка Дополнения №1 к проекту работ по разведке Хамбатейского газоконденсатного месторождения, поиску и оценке новых залежей углеводородов"</t>
  </si>
  <si>
    <t>Разработку проектов ГИН (проекты поисково-оценочных работ, проекты разведочных работ, комбинированные и зональные проекты геологического изучения недр) в 2022 году</t>
  </si>
  <si>
    <t>00622-23</t>
  </si>
  <si>
    <t>ГЕО-23/33200/00186</t>
  </si>
  <si>
    <t>00622-24</t>
  </si>
  <si>
    <t>Дополнительное соглашение № 4 к договору ГЕО-23/09000/00149/Р от «28» августа 2023 г.</t>
  </si>
  <si>
    <t>Заключение Дополнительного соглашения к договору №ГЕО-23/09000/00149/Р ОТ 28.08.2023 г., предусматривающее изменение сроков оказания услуг без корректировки стоимости (действие договора до 31.12.2027 г.)</t>
  </si>
  <si>
    <t>00623-21</t>
  </si>
  <si>
    <t>ГЕО-21/26000/00202</t>
  </si>
  <si>
    <t>обусловлена возможной передачей конфиденциальной информации в ходе проведения работ по договору № ГЕО-21/101108/00193/Р от «16» августа 2021г.</t>
  </si>
  <si>
    <t>ООО «РН-БашНИПИнефть»</t>
  </si>
  <si>
    <t>00623-22</t>
  </si>
  <si>
    <t>Приложение № 20 от 01.07.2022г. к Агентскому договору № ГЕО-18/18000/00046/Р от 06.12.2018 г.</t>
  </si>
  <si>
    <t>Внесение лимитов в договор по АВ на паставку МТР в период с 20.07.2022 по 30.06.2023 г. для проектов ГЕО.</t>
  </si>
  <si>
    <t>00624-22</t>
  </si>
  <si>
    <t>ГЕО-22/25000/00153/Р</t>
  </si>
  <si>
    <t>Лучина Дарья Сергеевна</t>
  </si>
  <si>
    <t>00624-23</t>
  </si>
  <si>
    <t>ДС№3 ОЭДК к ДД ГЕО-23/10000/00023/Р от 30.01.2023 НьюТек Сервисез, ООО</t>
  </si>
  <si>
    <t xml:space="preserve">ОЭДК </t>
  </si>
  <si>
    <t>00624-24</t>
  </si>
  <si>
    <t>На проверке</t>
  </si>
  <si>
    <t>ДС №10 к договору ГЕО-22/10000/00056/Р от 31.03.2022 с ООО "ОКТАН СЕРВИС"</t>
  </si>
  <si>
    <t>ДС №10 к договору с ООО «ОКТАН СЕРВИС» предусматривающее, продление сроков действия договора на 2025-26 гг.</t>
  </si>
  <si>
    <t>Д-28</t>
  </si>
  <si>
    <t>00625-22</t>
  </si>
  <si>
    <t>ГЕО-22/26000/00149</t>
  </si>
  <si>
    <t>00625-23</t>
  </si>
  <si>
    <t>ДС№1 ОЭДК к ДД ГЕО-23/10000/00032/Р от 06.02.2023. БурСервис, ООО</t>
  </si>
  <si>
    <t>ОЭДК</t>
  </si>
  <si>
    <t>00626-22</t>
  </si>
  <si>
    <t>Изменение № 1 к Заказу № НТЦ-00052-22Д-ГЕО MGI Закачка газа НЗ к договору ГЕО-21/11708/00165/Р//НТЦ-21/09000/00768/Д от 12.07.2021</t>
  </si>
  <si>
    <t>"Сопровождение формирования концепций разработки для пилотной закачки газа в пласт"</t>
  </si>
  <si>
    <t>00626-23</t>
  </si>
  <si>
    <t>ДС№1 ОЭДК к ДД №ГЕО-23/10000/00035/Р от 10.02.2023г. Бурсервис, ООО</t>
  </si>
  <si>
    <t>00627-21</t>
  </si>
  <si>
    <t>ГЕО-21/25000/00233/Р</t>
  </si>
  <si>
    <t>Черноморов Илья Александрович</t>
  </si>
  <si>
    <t>00627-22</t>
  </si>
  <si>
    <t>Заказ № 4/22-057 НЗ к договору ГЕО-19/10156/00057/Р от 07.03.2019</t>
  </si>
  <si>
    <t>4/22-057</t>
  </si>
  <si>
    <t>"Комплексные исследования керна скважины 178 Лескинского ЛУ (интервалы отбора керна 2783-2791.5; 3506-3526.94; 3780-3792.25; 3916-3925.76)"</t>
  </si>
  <si>
    <t>00627-23</t>
  </si>
  <si>
    <t>ГЕО-23/33200/00187</t>
  </si>
  <si>
    <t>Соглашение ЭДО</t>
  </si>
  <si>
    <t>00628-21</t>
  </si>
  <si>
    <t>Задание №6 к № ГЕО-19/10901/00028/Р от 22.02.2019 г.</t>
  </si>
  <si>
    <t>Проведение специальной оценки условий труда и производственного контроля за вредными и опасными производственными факторами на рабочих местах расположенных в офисах Общества</t>
  </si>
  <si>
    <t>00628-22</t>
  </si>
  <si>
    <t>Заказ № 5/22-057 НЗ к договору ГЕО-19/10156/00057/Р от 07.03.2019</t>
  </si>
  <si>
    <t>5/22-057</t>
  </si>
  <si>
    <t>"Комплексные исследования керна скважины 178 Лескинского ЛУ (интервалы отбора керна 3960-3966.2; 4216.46-4222-46; 4488-4500.2)"</t>
  </si>
  <si>
    <t>00628-23</t>
  </si>
  <si>
    <t>ГЕО-23/33200/00188</t>
  </si>
  <si>
    <t>Соглашение по ЭДО</t>
  </si>
  <si>
    <t>00629-21</t>
  </si>
  <si>
    <t xml:space="preserve">Задание 8 </t>
  </si>
  <si>
    <t>Дополнения № 1 к Заданию № 8 к Договору № ГЕО-20/10986/00138/Р от 10.08.2020г. с компанией ООО «ОГК» на оказание супервайзерских услуг по контролю состояния производственной безопасности по Проекту «Большая Ачимовка» (проект «Ачимовка MGI»)</t>
  </si>
  <si>
    <t>Дополнения № 1 к Заданию № 8 к Договору № ГЕО-20/10986/00138/Р от 10.08.2020г. с компанией ООО «ОГК» на оказание супервайзерских услуг по контролю состояния производственной безопасности по Проекту «Большая Ачимовка» (проект «Ачимовка MGI») в 2021 году для лицензионных участков Проекта «Большая Ачимовка» (проект «Ачимовка MGI») без увеличения стоимости задания.</t>
  </si>
  <si>
    <t>А.Н. Анисимов -3. Руководитель региональных проектов по производственной безопасности кластера «Восточная Сибирь и Оренбург»</t>
  </si>
  <si>
    <t>00629-22</t>
  </si>
  <si>
    <t>перенос НГО 2020-2021гг. в НГО 2022г.</t>
  </si>
  <si>
    <t>Для возможности обеспечения проектной деятельности Общества в части сопровождения полевых работ специалистами СП и возможности оперативного заключения Заданий на оказание услуг СП между Обществом и ООО «ОГК» перенос невостребованного объема НГО работ периодов 2020-2021гг.  в НГО 2022г. без изменения общей стоимости ДД, без изменения общей стоимости гарантированного и негарантированного объема работ, без изменения существенных условий ДД и без изменения тарифов ДД.</t>
  </si>
  <si>
    <t>Фокин Евгений Васильевич - Руководитель направления по развитию супервайзинга производственной безопасности, Управление производ</t>
  </si>
  <si>
    <t>00629-23</t>
  </si>
  <si>
    <t>00630-21</t>
  </si>
  <si>
    <t>ГЕО-21/00000/00205</t>
  </si>
  <si>
    <t>00630-23</t>
  </si>
  <si>
    <t>ДС№1 ОЭДК к ДД №ГЕО-22/10000/00318/Р от 05.12.2022. БАРБУС, ООО</t>
  </si>
  <si>
    <t>00631-21</t>
  </si>
  <si>
    <t>Проведение полевых сейсморазведочных работ 2Д, 3Д (10110) на Хамбатейском ЛУ</t>
  </si>
  <si>
    <t>00631-22</t>
  </si>
  <si>
    <t>ГЕО-22/04500/00151/Р</t>
  </si>
  <si>
    <t>00631-23</t>
  </si>
  <si>
    <t>Дополнительное соглашение №2 к Договору ГЕО-23/10000/00054/Р от 10.03.2023 г.</t>
  </si>
  <si>
    <t>Внесение реквизитов отдельного банковского счета в Приложение №22 "Условия банковского сопровождения"</t>
  </si>
  <si>
    <t>00632-22</t>
  </si>
  <si>
    <t>ГЕО-22/11000/00166/Р</t>
  </si>
  <si>
    <t>10206  Договор подряда на выполнение проектно-изыскательных работ при бурении и/или реконструкции скважин, включая разработку (изменение) индивидуальных и групповых рабочих проектов, авторский надзор</t>
  </si>
  <si>
    <t>Выполнение проектных работ по объекту «Строительство поисково-оценочной скважины №72ПО Хамбатейского лицензионного участка. Корректировка»</t>
  </si>
  <si>
    <t>0000041165</t>
  </si>
  <si>
    <t xml:space="preserve">ООО СГП </t>
  </si>
  <si>
    <t>7202095640</t>
  </si>
  <si>
    <t>00632-23</t>
  </si>
  <si>
    <t>ГЕО-23/33200/00189</t>
  </si>
  <si>
    <t>00633-21</t>
  </si>
  <si>
    <t>ГЕО-20/10111/00217/Д/ОРН-20/20000/03369/Р</t>
  </si>
  <si>
    <t>Агентский договор на выполнение обработки и комплексной интерпретации геолого-геофизических данных 3D с целью изучения геологического строения Ягодного участка недр в 2021-2022 г.г.</t>
  </si>
  <si>
    <t>Увеличение объема выполнения работ по обработке и комплексной интерпретации геолого-геофизических данных 3D с целью изучения геологического строения недр Ягодной площади в 2021-2022 г.г.</t>
  </si>
  <si>
    <t>00633-22</t>
  </si>
  <si>
    <t>ГЕО-22/04500/00154/Р</t>
  </si>
  <si>
    <t>00633-23</t>
  </si>
  <si>
    <t>ДС№3 ОЭДК к ДД №ГЕО-22/11000/00267/Р от 10.10.2022. Уралгеопроект, ООО</t>
  </si>
  <si>
    <t>00634-21</t>
  </si>
  <si>
    <t>ГЕО-19/10001/00157/Р/ГСН-19/10001/00829/Д/ТМН-15 от «15» июля 2019г.</t>
  </si>
  <si>
    <t>ДС № 12 к договору № ГЕО-19/10001/00157/Р/ГСН-19/10001/00829/Д/ТМН-15 от «15» июля 2019г.</t>
  </si>
  <si>
    <t>Внесение изменений в пункт 6 «Численность персонала Исполнителя, задействованного в проекте» Приложения 13.1 «Водная доставка, услуги ПРР и хранения» без изменения стоимости договора, физического объема, без изменения тарифов и единичных расценок.</t>
  </si>
  <si>
    <t>00634-22</t>
  </si>
  <si>
    <t>Дополнительное соглашение №2 к договору № ГЕО-21/10301/00261/Р от 08.11.2021 г.</t>
  </si>
  <si>
    <t>Индексация расценок, включение в договор валютной оговорки</t>
  </si>
  <si>
    <t>00634-23</t>
  </si>
  <si>
    <t>Заказ-наряд №7</t>
  </si>
  <si>
    <t>ДС №2 к НЗ №7 к Договору №ГЕО-19/11708/00133/Р от 25.06.2019 г. на уменьшение суммы Наряд-Заказа №7</t>
  </si>
  <si>
    <t>Уменьшение суммы Наряд-Заказа №7</t>
  </si>
  <si>
    <t>00635-21</t>
  </si>
  <si>
    <t>ГЕО-21/04300/00210/Р</t>
  </si>
  <si>
    <t xml:space="preserve">ДОГОВОР АРЕНДЫ ЗЕМЕЛЬНОГО УЧАСТКА </t>
  </si>
  <si>
    <t>для размещения бурового оборудования при бурении скважины № 341 ПО и подъездного путик ней Солнечного лицензионного участка</t>
  </si>
  <si>
    <t>00635-23</t>
  </si>
  <si>
    <t>ДС 2 к договору № ГЕО-22/09000/00125Р от 01.06.2022г.</t>
  </si>
  <si>
    <t>Изменение реквизитов в договоре</t>
  </si>
  <si>
    <t>0000060948</t>
  </si>
  <si>
    <t xml:space="preserve">ООО КОП </t>
  </si>
  <si>
    <t>5603030477</t>
  </si>
  <si>
    <t>00636-21</t>
  </si>
  <si>
    <t>ГЕО-21/04300/00208/Р</t>
  </si>
  <si>
    <t>СОГЛАШЕНИЕ о возмещении убытков сельскохозяйственного производства, в т. ч. упущенной выгоды и затрат на биологическую рекультивацию при временном занятии земельного участка</t>
  </si>
  <si>
    <t>возмещении убытков сельскохозяйственного производства, в т. ч. упущенной выгоды и затрат на биологическую рекультивацию при временном занятии земельного участка для размещения бурового оборудования при бурении скважины № 341 ПО и подъездного путик ней Солнечного лицензионного участка</t>
  </si>
  <si>
    <t>00636-23</t>
  </si>
  <si>
    <t>ДС 2 к ГЕО-22/20000/00337/Д ООО "НТЦ "Геомеханика"</t>
  </si>
  <si>
    <t>00637-21</t>
  </si>
  <si>
    <t>ГЕО-21/10926/00214/Р</t>
  </si>
  <si>
    <t>на оказание консалтинговых услуг в области охраны труда, промышленной безопасности и охраны окружающей среды</t>
  </si>
  <si>
    <t xml:space="preserve">Исполнитель обязуется оказать нижеследующие консалтинговые услуги (далее – Услуги), а Заказчик обязуется оплатить Услуги: _x000D_
1.1.  Исполнитель оказывает для Заказчика консалтинговые услуги в проведении очного семинара в г. Москва на русском языке с 16–26 ноября для подготовки к получению «Международного Сертификата Национального Экзаменационного Совета по Охране Труда Великобритании» (далее NEBOSH IGC) в соответствии с Программой обучения и Графиком, Приложение 1 к Настоящему Договору, для одного сотрудника Заказчика._x000D_
1.2.  Исполнитель организует и проведет под своим наблюдением практическую и письменные части онлайн экзаменов NEBOSH IGC для сотрудника Заказчика, в соответствии с организационными требованиями Национального Экзаменационного Совета по Охране Труда Великобритании, 01 декабря 2021 года. _x000D_
1.3.  Исполнитель предоставляет место для проведения обучения, конференц пакет для одного сотрудника и распечатанные учебно-методические материалы курса NEBOSH IGC на русском языке._x000D_
1.4.  После успешной сдачи экзаменов Заказчиком Исполнитель организует передачу Заказчику международного сертификата NEBOSH IGC, выданного Национальным Экзаменационным Советом по Охране Труда Великобритании NEBOSH._x000D_
_x000D_
_x000D_
</t>
  </si>
  <si>
    <t>ООО «Ямнаска»</t>
  </si>
  <si>
    <t>280 000,00</t>
  </si>
  <si>
    <t>00637-22</t>
  </si>
  <si>
    <t>ДОГОВОР № КТР-2021-07/ГЕО-21/Ю900/00177/Р</t>
  </si>
  <si>
    <t>на оказание экспертно-консультационных услуг, связанных с локализацией и ликвидацией разливов нефтепродуктов</t>
  </si>
  <si>
    <t>раскрытие не гарантированного объема</t>
  </si>
  <si>
    <t>00637-23</t>
  </si>
  <si>
    <t>ГЕО-24/09000/00019/Р</t>
  </si>
  <si>
    <t>Договор на модернизацию помещения 506</t>
  </si>
  <si>
    <t>проектные и строительно-монтажные работы по модернизации инженерных систем в здании, расположенном по адресу: г. Санкт-Петербург, Синопская наб. д.22, лит.А, 5 этаж, помещение 506 офисного делового центра «Синоп»</t>
  </si>
  <si>
    <t>00638-21</t>
  </si>
  <si>
    <t>ГЕО-21/04500/00211/Р</t>
  </si>
  <si>
    <t>ДОГОВОР СУБАРЕНДЫ ЗЕМЕЛЬНОГО УЧАСТКА</t>
  </si>
  <si>
    <t>для размещения подъездного пути к скважине № 341ПО Солнечного лицензионного участка.</t>
  </si>
  <si>
    <t>00638-22</t>
  </si>
  <si>
    <t>ДС №3 к Договору №ГЕО-20/10126/00022/Р от 15.01.2020 г.</t>
  </si>
  <si>
    <t>Индексация единичных расценок и ввод дополнительных расценок без увеличения общей стоимости договора за счет уменьшения объемов работ, а также актуализация требований ПБ</t>
  </si>
  <si>
    <t>00638-23</t>
  </si>
  <si>
    <t>00639-21</t>
  </si>
  <si>
    <t>ГЕО-21/04500/00212/Р</t>
  </si>
  <si>
    <t>Соглашение о возмещении убытков сельскохозяйственного производства, в т. ч. упущенной выгоды при временном занятии земельного участка</t>
  </si>
  <si>
    <t xml:space="preserve"> возмещении убытков сельскохозяйственного производства, в т. ч. упущенной выгоды при временном занятии земельного участка для размещения подъездного пути к скважине № 341ПО Солнечного лицензионного участка</t>
  </si>
  <si>
    <t>00639-22</t>
  </si>
  <si>
    <t>Дополнительное соглашение № 1 к договору № ГЕО-22/09000/00023/Р от 09.02.2022г.</t>
  </si>
  <si>
    <t>Уточнение некоторых условий договора</t>
  </si>
  <si>
    <t>00640-21</t>
  </si>
  <si>
    <t>Наряд-заказ №1</t>
  </si>
  <si>
    <t>Выполнение цифровой аэрофотосъемки и воздушно-лазерного сканирования с пилотируемых воздушных средств на территории Корноваринского, Надеждинского, Западно-Рубежного ЛУ (Оренбургская область)</t>
  </si>
  <si>
    <t>00640-22</t>
  </si>
  <si>
    <t>ГЕО-22/33000/00159/Р</t>
  </si>
  <si>
    <t>ДОГОВОР на оказание услуг складской и транспортной логистики (проект «Хамбатей»)</t>
  </si>
  <si>
    <t>Услуги по погрузке (выгрузке) материально-технических ресурсов (далее по тексту - МТР), поступивших в адрес Исполнителя железнодорожными вагонами, контейнерами, автотранспортом и иным видом транспорта. Оказывать услуги по хранению МТР на открытой площадке/в складе на базах Исполнителя, услуги по перевозке автомобильным, железнодорожным, авиатранспортом и т.д.</t>
  </si>
  <si>
    <t>Лепихин С.А.</t>
  </si>
  <si>
    <t>00641-21</t>
  </si>
  <si>
    <t xml:space="preserve">Наряд-заказ № 8 к Договору № АНГ-19/11513/00010/Р </t>
  </si>
  <si>
    <t xml:space="preserve">Оформление разрешительной документации на земельные участки для объектов проекта Титан </t>
  </si>
  <si>
    <t>00641-22</t>
  </si>
  <si>
    <t>00642-21</t>
  </si>
  <si>
    <t>ГЕО-19/10126/00195/Р от 01.08.2019</t>
  </si>
  <si>
    <t>ДС №2 к Договору №ГЕО-19/10126/00195/Р от 01.08.2019 г.</t>
  </si>
  <si>
    <t>Перераспределение остатка денежных средств по Договору в соответствии с производственной программой, а также актуализация Паспортов КБ</t>
  </si>
  <si>
    <t>Николаев Владимир Алексеевич</t>
  </si>
  <si>
    <t>00642-22</t>
  </si>
  <si>
    <t>ГЕО-22/09000/00215/Р</t>
  </si>
  <si>
    <t xml:space="preserve">Договор на оказание услуг по разработке дизайн-макетов и верстке </t>
  </si>
  <si>
    <t>Исполнитель обязуется оказать Заказчику услуги по разработке дизайн-макетов и верстке именуемые в дальнейшем «Услуги», а Заказчик обязуется принять результат Услуг и оплатить его.</t>
  </si>
  <si>
    <t>0000104922</t>
  </si>
  <si>
    <t xml:space="preserve">ИП Чекмазов Никита Александрович </t>
  </si>
  <si>
    <t>772584730091</t>
  </si>
  <si>
    <t>00642-23</t>
  </si>
  <si>
    <t>Дополнительное соглашение №5 к Рамочному Договору</t>
  </si>
  <si>
    <t>Перевод негарантированный объём в гарантированный</t>
  </si>
  <si>
    <t>00643-22</t>
  </si>
  <si>
    <t>Увеличение объемов изыскательских работ по объекту "Строительство поисковой скважины Сал-3П Салаирской площади Оморинского лицензионного участка"</t>
  </si>
  <si>
    <t>00643-23</t>
  </si>
  <si>
    <t>НЗ №2 к ДОГОВОРУ № ГЕО-23/10000/00093/Р от 01.06.2023 г.</t>
  </si>
  <si>
    <t>Наряд-Заказ №2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t>
  </si>
  <si>
    <t>00644-21</t>
  </si>
  <si>
    <t>ГЕО-21/26000/00209</t>
  </si>
  <si>
    <t>Договор о конфиденциальности с контрагентом Куропятником Д.А.. Основной договор на оказание услуг (договор ГПХ) ГЕО-21/25000/00203/Р от 20.09.2021</t>
  </si>
  <si>
    <t>Рубинская П.Д.</t>
  </si>
  <si>
    <t>0000099587</t>
  </si>
  <si>
    <t xml:space="preserve">Куропятник Дмитрий Александрович </t>
  </si>
  <si>
    <t>781426584364</t>
  </si>
  <si>
    <t>00645-21</t>
  </si>
  <si>
    <t>00645-22</t>
  </si>
  <si>
    <t>ГЕО-22/17000/00157/Р</t>
  </si>
  <si>
    <t>В целях исполнения требований к членству ООО «ГПН-ГЕО» в саморегулируемой организации «Объединение строителей СПб» в соответствии с Положением п. 3.5 требуется страхование гражданской ответственности.</t>
  </si>
  <si>
    <t>00645-23</t>
  </si>
  <si>
    <t>Корректировка реквизитов по запросу контрагента</t>
  </si>
  <si>
    <t>10302 Договор на на выполнение работ/услуг «Технологическое сопровождение (прокат) забойных двигателей»</t>
  </si>
  <si>
    <t>00646-21</t>
  </si>
  <si>
    <t>Оказание услуг по технологическому сопровождению (прокату) забойных двигателей, проект "Южный Оренбург"</t>
  </si>
  <si>
    <t>ООО "ПФ Сокол"</t>
  </si>
  <si>
    <t>00646-22</t>
  </si>
  <si>
    <t>ГЕО-20/11019/00045/Р</t>
  </si>
  <si>
    <t>Выполнение проектно-изыскательских работ по объекту "Строительство поисково-оценочной скважины №351ПО Солнечного лицензионного участка"</t>
  </si>
  <si>
    <t>00646-23</t>
  </si>
  <si>
    <t>ГЕО-23/33200/00193</t>
  </si>
  <si>
    <t>Перезаключение действующего Соглашений об использовании электронного документооборота</t>
  </si>
  <si>
    <t>00647-21</t>
  </si>
  <si>
    <t xml:space="preserve">№ ГЕО-20/10940/00117/Р </t>
  </si>
  <si>
    <t xml:space="preserve">Заказ № 03 к Договору № ГЕО-20/10940/00117/Р от 10.07.2020 г. </t>
  </si>
  <si>
    <t>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в Сибирском федеральном округе (Красноярский край, Лескинский ЛУ).</t>
  </si>
  <si>
    <t>00647-22</t>
  </si>
  <si>
    <t>ЗАКАЗ №НТЦ-01664-22</t>
  </si>
  <si>
    <t>НТЦ-01664-22</t>
  </si>
  <si>
    <t>Оказание агентских услуг в рамках продукта «Сервисные услуги Блока Закупок и импортозамещения».</t>
  </si>
  <si>
    <t>00648-21</t>
  </si>
  <si>
    <t>ГЕО-21/11104/00216/Д</t>
  </si>
  <si>
    <t>00648-22</t>
  </si>
  <si>
    <t>Выполнение проектно-изыскательских работ по объекту "Строительство поисково-оценочной скважины №201ПО Надеждинского лицензионного участка"</t>
  </si>
  <si>
    <t>00648-23</t>
  </si>
  <si>
    <t>Изменение №1 к Заявке № 4</t>
  </si>
  <si>
    <t>- Изменение №1 к Заявке №4 на привлечение руководителя группы по производственной безопасности для проекта «Оморинский», Салаирский ЛУ (скв.3 Сал) Жуланова Максима Александровича взамен Павлюка Валерия Павловича;
- применение квалификационных требований к руководителю группы по производственной безопасности, в соответствии с принятыми в рамках протокола совещания группы по экспертизе от 02.11.2023 г. №ПТ-9/0000224 критериями;
- корректировку объёмов и сроков оказания услуг по привлечению Павлюка Валерия к факту и отражение объёмов и сроков услуг на период привлечения Жуланова М.А.</t>
  </si>
  <si>
    <t>00649-21</t>
  </si>
  <si>
    <t>Наряд-заказ №1 от 19.06.2019</t>
  </si>
  <si>
    <t>Изменение 1</t>
  </si>
  <si>
    <t>Изменение наименования скважины</t>
  </si>
  <si>
    <t>00649-22</t>
  </si>
  <si>
    <t>ГЕО-22/25000/00183/Р</t>
  </si>
  <si>
    <t xml:space="preserve">Оказание услуги по организации и проведению фото- и видеосъемок </t>
  </si>
  <si>
    <t>Исполнитель обязуется оказать Заказчику услуги по организации и проведению фото- и видеосъемок сотрудников, именуемые в дальнейшем «Услуги», а Заказчик обязуется принять результат Услуг и оплатить его.</t>
  </si>
  <si>
    <t>0000100751</t>
  </si>
  <si>
    <t xml:space="preserve">Забелин Иван Игоревич </t>
  </si>
  <si>
    <t>540403412077</t>
  </si>
  <si>
    <t>00649-23</t>
  </si>
  <si>
    <t>Уведомление о прекращении уведомления-соглашения №ГЕО-22/13000/00043 от 18.02.2022 (факторинговое обслуживание)</t>
  </si>
  <si>
    <t>Уведомление о прекращении факторингового обслуживания по договору №ХНТ-19/10110/898/Р/60 от 27.08.2019 г., заключенного между АО ТЕОТЕК" и ООО "ГПН-ГЕО".</t>
  </si>
  <si>
    <t>0000079678, 0000049141</t>
  </si>
  <si>
    <t xml:space="preserve">ООО Открытие Факторинг ; 
АО ГЕОТЕК </t>
  </si>
  <si>
    <t>7725314818, 7203215460</t>
  </si>
  <si>
    <t>00650-22</t>
  </si>
  <si>
    <t>ГЕО-22/26000/00156</t>
  </si>
  <si>
    <t>Соглашение о конфиденциальности с российским контрагентом ООО «Защита Югры»</t>
  </si>
  <si>
    <t>Морозов Анатолий Владимирович - Начальник отдела по промышленной и пожарной безопасности</t>
  </si>
  <si>
    <t>00650-23</t>
  </si>
  <si>
    <t>ДС №1 к Договору ГЕО-23/08000/00155/Р от 31.08.2023г.</t>
  </si>
  <si>
    <t>Актуализация и ввод дополнительных расценок;
Обновление оценочных листов и порядка УЭДК;
Увеличение суммы договора</t>
  </si>
  <si>
    <t>41304868.17</t>
  </si>
  <si>
    <t>00651-22</t>
  </si>
  <si>
    <t>ГЕО-22/04300/00160/Р</t>
  </si>
  <si>
    <t>00652-21</t>
  </si>
  <si>
    <t>ГЕО-18/09000/00051</t>
  </si>
  <si>
    <t>Оказание архивных услуг</t>
  </si>
  <si>
    <t>Оказание услуг по архивному хранению документов</t>
  </si>
  <si>
    <t>00652-22</t>
  </si>
  <si>
    <t>ГЕО-22/12100/00174/Р</t>
  </si>
  <si>
    <t xml:space="preserve">Целью заключения договора является подготовка заявочных документов на получение прав пользования недрами для геологического изучения и оценки пригодности участка недр для строительства и эксплуатации подземных сооружений, не связанных с добычей полезных ископаемых (заявительный принцип). Реальное финансирование осуществлятся не будет._x000D_
_x000D_
</t>
  </si>
  <si>
    <t>00652-23</t>
  </si>
  <si>
    <t>ДОПОЛНИТЕЛЬНОЕ СОГЛАШЕНИЕ №3 К ДОГОВОРУ № №ГЕО-23/10000/00067/Р от 31.03.20</t>
  </si>
  <si>
    <t>Перераспределение объёмов услуг, с уменьшением общей стоимости договора</t>
  </si>
  <si>
    <t>00653-21</t>
  </si>
  <si>
    <t xml:space="preserve">Оказание услуг по проведению геолого-технологического контроля и исследований при бурении разведочных и эксплуатационных скважин на Солнечном ЛУ, Корнаваринском ЛУ, Надеждинском ЛУ, Западно-Рубежинском ЛУ на проекте ЮЖНЫЙ ОРЕНБУГ в 2021-2024 г._x000D_
</t>
  </si>
  <si>
    <t>Кушников Александр Михайлович</t>
  </si>
  <si>
    <t>АО «ПГО «Тюменьпромгеофизика»</t>
  </si>
  <si>
    <t>00653-22</t>
  </si>
  <si>
    <t>ГЕО-22/09000/00006/Р</t>
  </si>
  <si>
    <t>Изменение расчетного счета Исполнителя</t>
  </si>
  <si>
    <t>00653-23</t>
  </si>
  <si>
    <t>Договор на оказание операторских услуг при проведении комплекса электроразведочных и комплекса сейсморазведочных работ</t>
  </si>
  <si>
    <t>Оказание операторских услуг при проведении комплекса электроразведочных и комплекса сейсморазведочных работ для ООО «СПД»</t>
  </si>
  <si>
    <t>00654-21</t>
  </si>
  <si>
    <t>ГЕО-21/00000/00218</t>
  </si>
  <si>
    <t>Заключение Соглашения в области Производственной безопасности</t>
  </si>
  <si>
    <t>00654-22</t>
  </si>
  <si>
    <t>ГЕО-22/08000/00167</t>
  </si>
  <si>
    <t>СОГЛАШЕНИЕ О СОТРУДНИЧЕСТВЕ в сфере научно-исследовательской и инновационной деятельности</t>
  </si>
  <si>
    <t>Оценка психологических рисков в профессиональной деятельности специалистов экстремального профиля (в т.ч. в работе вахтового персонала нефтегазодобывающего комплекса).</t>
  </si>
  <si>
    <t>Федеральное Государственное Автономное Образовательное Учреждение Высшего Образования "Северный (Арктический) Федеральный университет им. М.В.Ломоносова"</t>
  </si>
  <si>
    <t>00654-23</t>
  </si>
  <si>
    <t>ДС 13 к № ГЕО-21/10208/00166/Р от 20.07.2021</t>
  </si>
  <si>
    <t>00655-21</t>
  </si>
  <si>
    <t>ГЕО-20/10919/00096/Р</t>
  </si>
  <si>
    <t>Дополнительное соглашение № 2 к договору на оказание услуг по разработке разрешительной природоохранной документации № ГЕО-20/10919/00096/Р от 22.06.2020 г.</t>
  </si>
  <si>
    <t xml:space="preserve">Внесение изменений в Раздел 3 «Порядок сдачи и приемки работ» </t>
  </si>
  <si>
    <t>00655-22</t>
  </si>
  <si>
    <t>3722</t>
  </si>
  <si>
    <t>Дополнительное соглашение к Договору банковского счета</t>
  </si>
  <si>
    <t xml:space="preserve">Изменение требований ГПБ (АО) к оформлению процедуры электронного документооборота (в т.ч. на основании изменения законодательства РФ) </t>
  </si>
  <si>
    <t>Договор с банками и иными кредитными организациями</t>
  </si>
  <si>
    <t>00655-23</t>
  </si>
  <si>
    <t>ГЕО-23/33200/00194</t>
  </si>
  <si>
    <t>Актуализация Соглашения об ЭДО во исполнение Приказа №123-П от 10.11.2023 г.</t>
  </si>
  <si>
    <t>00656-21</t>
  </si>
  <si>
    <t xml:space="preserve">ГЕО-20/10919/00097/Р </t>
  </si>
  <si>
    <t>Дополнительное соглашение № 2 к договору на оказание услуг по разработке разрешительной природоохранной документации № ГЕО-20/10919/00097/Р от 22.06.2020 г.</t>
  </si>
  <si>
    <t>00656-22</t>
  </si>
  <si>
    <t>00656-23</t>
  </si>
  <si>
    <t>ГЕО-23/33200/00195</t>
  </si>
  <si>
    <t>00657-21</t>
  </si>
  <si>
    <t>Дополнительное соглашение № 4 к договору на оказание услуг по разработке разрешительной природоохранной документации № ГЕО-20/10919/00072/Р от 12.05.2020 г.</t>
  </si>
  <si>
    <t>00657-22</t>
  </si>
  <si>
    <t>ДС №7 к Агентскому договору №ХНТ-19/20000/762/P/60 от 12.07.2019</t>
  </si>
  <si>
    <t>Заключение ДС №7 к Агентскому договору №ХНТ-19/20000/762/P/60 от 12.07.2019 на включение в Договор раздела 8 "Права на материалы и информацию. Результаты интеллектуальной деятельности (РИД)"</t>
  </si>
  <si>
    <t>00657-23</t>
  </si>
  <si>
    <t>Дополнительное соглашение № 4 к Договору № ГЕО-22/10986/00341/Р от 30.12.2022 г.</t>
  </si>
  <si>
    <t>Перенос негарантированного объёма 2023 года в гарантированный объем 2023 года и перенос негарантированного объёма 2024 года в гарантированный объем 2024 года.</t>
  </si>
  <si>
    <t>00658-21</t>
  </si>
  <si>
    <t>ГЕО-21/00000/00224</t>
  </si>
  <si>
    <t>ИСПОЛЬЗОВАНИЕ ЭЛЕКТРОННОГО ДОКУМЕНТООБОРОТА</t>
  </si>
  <si>
    <t>10986 Мастер-форма договора   по услугам "Супервайзинг ПЭБ и ОТ"</t>
  </si>
  <si>
    <t>00658-22</t>
  </si>
  <si>
    <t>00658-23</t>
  </si>
  <si>
    <t>ДС 12 к Договору №ОРН-18/10303/03693/Р от 20.12.2018 года (на основании Соглашения о перемене лиц в обязательстве  № ГЕО-21/10303/00204/Р от 08.09.2021</t>
  </si>
  <si>
    <t>10951 Мастер-форма договора   возмездного оказания услуг по профилактике и ликвидации аварийных разливов нефти (услуги аварийно-спасательного формирования) на объектах ООО «ГПН-ГЕО»</t>
  </si>
  <si>
    <t>00660-22</t>
  </si>
  <si>
    <t>Предупреждение и ликвидация разливов нефти и нефтепродуктов» (услуги аварийно-спасательного формирования) на участках выполнения работ по строительству скважин ООО «ГПН-ГЕО»</t>
  </si>
  <si>
    <t>00660-23</t>
  </si>
  <si>
    <t>ДС 6 к Договору № ГЕО-21/10306/00256/P от 26.10.2021 по актуализации методологии оценки эффективности деятельности контрагентов и мотивации в области ПБ в действующих договорах</t>
  </si>
  <si>
    <t>00661-21</t>
  </si>
  <si>
    <t>ГЕО-212500000136Р</t>
  </si>
  <si>
    <t>Дополнительное соглашение № 1 (СОР) к Договору оказания услуг с физическим лицом № ГЕО-21/25000/00136/Р от «21» июня 2021 г.</t>
  </si>
  <si>
    <t>00661-23</t>
  </si>
  <si>
    <t>Изменение №1 к Заявке № 3</t>
  </si>
  <si>
    <t>- Изменение №1 к Заявке №3 на привлечение руководителя группы по производственной безопасности для проекта «Южный Оренбург», скв. № 401, Западно-Рубежинский ЛУ Валетова А.В. и исключить Коста Мешкова Р.В.;
- применение квалификационных требований к руководителю группы по производственной безопасности, в соответствии с принятыми в рамках протокола совещания группы по экспертизе от 02.11.2023 г. №ПТ-9/0000224 критериями;
- корректировку объёмов и сроков оказания услуг по привлечению Валетова А.В. к факту и отражение объёмов и сроков услуг на период с 01.12.2023 г. по 15.01.2024 г.</t>
  </si>
  <si>
    <t>00662-21</t>
  </si>
  <si>
    <t>Заключение договора для ООО "ГПН-Технологические партнерства" Проект "Салым"</t>
  </si>
  <si>
    <t>00662-23</t>
  </si>
  <si>
    <t>Заказ-Наряд №27 к договору №ГЕО-19/11708/00133/Р от 25.06.2019</t>
  </si>
  <si>
    <t>Создание единой сейсмогеологической модели на основе объединенной полноазимутальной обработки материалов полевых сейсморазведочных работ сезонов 2018-2021гг. на Центрально-Ямбургской площади и 2021-2023гг. на Восточно-Ямбургском участке в объеме 3420 км.кв» часть 1</t>
  </si>
  <si>
    <t>00663-21</t>
  </si>
  <si>
    <t>Подготовка геологической основы для проведения технико-экономического обоснования эффективности разработки ачимовской толщи</t>
  </si>
  <si>
    <t>НТЦ-01760-21Д-ГЕО</t>
  </si>
  <si>
    <t>Проведение данной работы обусловлено необходимостью выполнения геологической основы для проведения технико-экономического обоснования эффективности разработки ачимовской толщи.</t>
  </si>
  <si>
    <t>00663-22</t>
  </si>
  <si>
    <t>ДС № 3 к Договору подряда № ГЕО-22/11000/00012/Р от 04.01.2022г.</t>
  </si>
  <si>
    <t>Перераспределения объёмов работ и перевода негарантированного объёма в гарантированный объем</t>
  </si>
  <si>
    <t>00663-23</t>
  </si>
  <si>
    <t>ДС №9 ВНИГНИ № ГЕО-21/08000/00296/Р от 28.12.2021</t>
  </si>
  <si>
    <t>Перераспределение объемов. Уменьшение стоимости Договора.</t>
  </si>
  <si>
    <t>09000 Договор на возмезное оказание услуг по управлению материальными активами для обеспечения административно- хозяйственной деятельности</t>
  </si>
  <si>
    <t>00664-21</t>
  </si>
  <si>
    <t xml:space="preserve">Повышение качества управления материальными активами благодаря формирования и обеспечения единой базы </t>
  </si>
  <si>
    <t>00664-23</t>
  </si>
  <si>
    <t>Заявка №15 ВНИГНИ №ГЕО-21/08000/00296/Р от 28.12.2021</t>
  </si>
  <si>
    <t>Заявка №15 к Договору № ГЕО-21/08000/00296/Р от 28.12.2021 с ФГБУ «ВНИГНИ» на оказание услуг по «Разработка проектной документации по геологическому изучению недр включая поиски и оценку месторождений (залежей) УВС в пределах Уранского и Ягодного лицензионных участков».</t>
  </si>
  <si>
    <t>00665-21</t>
  </si>
  <si>
    <t>ГЕО-21/11104/00235/Д</t>
  </si>
  <si>
    <t>Агентской договор на организацию вертолетных авиаперевозок с ООО «Энерго-Утилизационная Компания»</t>
  </si>
  <si>
    <t>11029  Мастер форма договора-подряда на выполнение строительно-монтажных работ (СМР) Объектов инженерной подготовки и дорог месторождений нефти и газа (примечание: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трубопроводов</t>
  </si>
  <si>
    <t>00665-22</t>
  </si>
  <si>
    <t>Оказание комплекса услуг по устройству и содержанию зимних проездов и площадок геологоразведочных скважин Оморинского лицензионного участка</t>
  </si>
  <si>
    <t>Бабаев Дмитрий Георгиевич</t>
  </si>
  <si>
    <t>ООО "СТС"</t>
  </si>
  <si>
    <t>00665-23</t>
  </si>
  <si>
    <t>Заявка №16 ВНИГНИ №ГЕО-21/08000/00296/Р от 28.12.2021</t>
  </si>
  <si>
    <t>Заявки №16 к Договору № ГЕО- 21/08000/00296/Р от 28.12.2021 с ФГБУ «ВНИГНИ» на оказание услуг по «Разработке проектной документации по геологическому изучению недр включая поиски и оценку месторождений (залежей) УВС в пределах Южно-Новопортовского и Салетинского лицензионных участков».</t>
  </si>
  <si>
    <t>00666-22</t>
  </si>
  <si>
    <t>ГЕО-19/11019/00140/Р</t>
  </si>
  <si>
    <t>Выполнение проекта санитарно-защитной зоны</t>
  </si>
  <si>
    <t>00666-23</t>
  </si>
  <si>
    <t>Изменение №1 к Наряд-заказу №2 по Договору №ГЕО-23/10000/00067/Р от "31" марта 2023г.</t>
  </si>
  <si>
    <t>Корректировка объема работ по Наряд-заказу №2</t>
  </si>
  <si>
    <t>00667-22</t>
  </si>
  <si>
    <t>Дополнительное соглашение №1 к договору субаренды земельного участка №ГЕО-21/04500/00211/Р от 15.09.2021</t>
  </si>
  <si>
    <t>00667-23</t>
  </si>
  <si>
    <t>ГЕО-23/26000/00196</t>
  </si>
  <si>
    <t>Необходимость заключения Соглашения о конфиденциальности между ООО «ГПН-ГЕО» и ГУП «Водоканал Санкт-Петербурга» обусловлена необходимостью передачи конфиденциальной информации в ходе совместных исследований по поиску оптимальных методов и технологических решений по переработке осадков сточных вод ГУП «Водоканал Санкт-Петербурга».</t>
  </si>
  <si>
    <t>Государственное унитарное предприятие «Водоканал Санкт-Петербурга»</t>
  </si>
  <si>
    <t>00668-21</t>
  </si>
  <si>
    <t>№ ГЕО-21/101108/00194/Р</t>
  </si>
  <si>
    <t>Заказ в рамках ДОГОВОРА НА ВЫПОЛНЕНИЕ РАБОТ ПО СПЕЦИАЛЬНЫМ ЛАБОРАТОРНЫМ Исследованиям</t>
  </si>
  <si>
    <t>Лабораторные исследования вытеснения нефти газом на модели тонкой трубки («slim tube») для определения минимального давления смесимости с использованием моделей рекомбинированной до пластовых условий нефти в пластовых термобарических условиях</t>
  </si>
  <si>
    <t>00668-22</t>
  </si>
  <si>
    <t>Оказание комплекса услуг по устройству и содержанию зимних проездов и площадок геологоразведочных скважин Салаирского лицензионного участка</t>
  </si>
  <si>
    <t>00669-21</t>
  </si>
  <si>
    <t xml:space="preserve"> ГЕО-21/101108/00193/Р</t>
  </si>
  <si>
    <t xml:space="preserve">Заказ в рамках Договора на изучение процессов образования АСПО в пластовых условиях </t>
  </si>
  <si>
    <t>Проведение комплекса лабораторных исследований проб пластовых флюидов, направленного на изучение процессов образования АСПО в пластовых условиях</t>
  </si>
  <si>
    <t>00669-22</t>
  </si>
  <si>
    <t>Дополнительное соглашение № 1 к договору субаренды земельного участка</t>
  </si>
  <si>
    <t>00669-23</t>
  </si>
  <si>
    <t>Дополнительное соглашение №1 к Договору № ГЕО-23/25000/00080/Р от 01.05.2023</t>
  </si>
  <si>
    <t xml:space="preserve">Изменение редакции Договора </t>
  </si>
  <si>
    <t>00670-22</t>
  </si>
  <si>
    <t>В целях обеспечения ПБ при выполнении СМР</t>
  </si>
  <si>
    <t xml:space="preserve">Бабаев Дмитрий Георгиевич </t>
  </si>
  <si>
    <t>00670-23</t>
  </si>
  <si>
    <t>ДС№2 к договору оказания услуг №ГЕО-23/09000/00036/Р от 13.02.2023</t>
  </si>
  <si>
    <t xml:space="preserve">Перераспределение объемов, предусмотренных договором, а также перевод негарантированных объемов в гарантированные.
(без изменения единичных расценок и общей стоимости по Договору)
</t>
  </si>
  <si>
    <t>229535224</t>
  </si>
  <si>
    <t>00671-21</t>
  </si>
  <si>
    <t>ДОПОЛНИТЕЛЬНОЕ СОГЛАШЕНИЕ № 3 к Договору № ХНТ-20/10110/967/Р/60/ГЕО-20/10110/00198/Р от 06.10.2020 г. на выполнение работ по теме: «Проведение полевых сейсморазведочных работ МОГТ 3D с применением технологии «Зеленая сейсмика ©»</t>
  </si>
  <si>
    <t>Включение требований СПД, включение новой ставки</t>
  </si>
  <si>
    <t>00671-23</t>
  </si>
  <si>
    <t>ДС№2 к ДД № ГЕО-23/10000/00093/Р от 01.06.2023г. Газпром газобезопасность, ООО</t>
  </si>
  <si>
    <t>ДС№2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 НГО в ГО.</t>
  </si>
  <si>
    <t>00672-21</t>
  </si>
  <si>
    <t>ГЕО-19/09000/00325/Р</t>
  </si>
  <si>
    <t>00673-22</t>
  </si>
  <si>
    <t>Ответственность за доставку технологической оснастки</t>
  </si>
  <si>
    <t>Определить Ответственность за доставку технологической оснастки</t>
  </si>
  <si>
    <t>00673-23</t>
  </si>
  <si>
    <t>ГЕО-23/24000/00217/Р</t>
  </si>
  <si>
    <t>00674-21</t>
  </si>
  <si>
    <t>Дополнительное соглашение № 1 к договору № ГЕО-21/09000/00198/Р от 06.09.2021 г.</t>
  </si>
  <si>
    <t>Перераспределение гарантированного объема услуг по КПП №2 в негарантированный объем в 2021-2022 гг.</t>
  </si>
  <si>
    <t>00674-22</t>
  </si>
  <si>
    <t>ГЕО-22/33100/00162</t>
  </si>
  <si>
    <t>00674-23</t>
  </si>
  <si>
    <t>Дополнительное соглашение №4 к Договору № ГЕО-22/10000/00312/Р от «01» декабря 2022 г.</t>
  </si>
  <si>
    <t>Перераспределение гарантированного объёма 2024 года в гарантированный объём 2023 года для
вывоза Азотной установки и персонала с пункта сбора на базу Исполнителя и перераспределение
невостребованного негарантированного объем услуг с 2023 года в 2024 год без увеличения
единичных расценок и общей цены договора</t>
  </si>
  <si>
    <t>31411716.2</t>
  </si>
  <si>
    <t>00675-21</t>
  </si>
  <si>
    <t>ГЕО-21/12100/00219/Р</t>
  </si>
  <si>
    <t xml:space="preserve">По рекомендациям Казначейства КЦ, ранее согласованный договор был разделен на три договора по 1млрд.р, в соотвеи с участками недр._x000D_
В связи с предстоящей подачей документов на право пользование участком недр Нижнепуринский 4_x000D_
расположенным в Таймырском Долгано-Ненецком районе Красноярского края (заявительный принцип)_x000D_
</t>
  </si>
  <si>
    <t>00675-22</t>
  </si>
  <si>
    <t>ГЕО-22/33200/00163</t>
  </si>
  <si>
    <t>соглашение по использованию ЭДО</t>
  </si>
  <si>
    <t>Морозов Анатолий Владимирович, Газпромнефть-ГЕО, ООО/Блок производственной безопасности/Отдел по промышленной и пожарной безопас</t>
  </si>
  <si>
    <t>00675-23</t>
  </si>
  <si>
    <t>ДС №9 к Договору №ГЕО-21/10308/00236/Р от 04.10.2021г.</t>
  </si>
  <si>
    <t xml:space="preserve">9 </t>
  </si>
  <si>
    <t>Актуализация методологии оценки эффективности деятельности контрагентов и мотивации в области ПБ на основании приказа №113-П от 20.10.2023</t>
  </si>
  <si>
    <t>00676-21</t>
  </si>
  <si>
    <t>на оказание услуг 10312 «Супервайзерские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t>
  </si>
  <si>
    <t>«Супервайзерские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на проекте Южный Оренбург в том числе (Солнечный, Корнаваринский, Надеждинский, Западно-Рубежинский ЛУ)» в период 2022 -2023гг.</t>
  </si>
  <si>
    <t>Ефремов А.С.</t>
  </si>
  <si>
    <t>00676-22</t>
  </si>
  <si>
    <t>00676-23</t>
  </si>
  <si>
    <t>НАРЯД-ЗАКАЗ № 15 к Договору № АНГ-191151300010Р от 18 февраля 2019</t>
  </si>
  <si>
    <t xml:space="preserve">1. БПО Южно-Новопортовского лицензионного участка 
    - Перевод земельного участка из одной категории в другую объекта «Карьер ОПИ Южно-Новопортовского лицензионного участка» на территории Ямальского района. 
2. Автозимник п. Новый Порт – Южно-Новопортовский лицензионный участок
     - Продление действующего договора земельного участка №6562/з на срок до 20.04.2027г.
</t>
  </si>
  <si>
    <t>00677-21</t>
  </si>
  <si>
    <t>ГЕО-21/12100/00231/Р</t>
  </si>
  <si>
    <t xml:space="preserve">По рекомендациям Казначейства КЦ, ранее согласованный договор (проект 00675-21) был разделен на три договора по 1млрд.р, в соответствии с участками недр._x000D_
В связи с предстоящей подачей документов на право пользование участком недр Нижнепуринский 5_x000D_
расположенным в Таймырском Долгано-Ненецком районе Красноярского края (заявительный принцип)_x000D_
</t>
  </si>
  <si>
    <t>00677-22</t>
  </si>
  <si>
    <t>ГЕО-22/26000/00164</t>
  </si>
  <si>
    <t>Морозов Анатолий Владимирович, Газпромнефть-ГЕО, ООО/Блок производственной безопасности/Отдел по промышленной и пожарной без.</t>
  </si>
  <si>
    <t>00677-23</t>
  </si>
  <si>
    <t>ГЕО-23/04500/00197/Р</t>
  </si>
  <si>
    <t>возмещение убытков сельскохозяйственного производства при временном занятии части земельного участка для проезда к скважине 341ПО Солнечного лицензионного участка</t>
  </si>
  <si>
    <t>00678-21</t>
  </si>
  <si>
    <t>ГЕО-21/12100/00232/Р</t>
  </si>
  <si>
    <t xml:space="preserve">По рекомендациям Казначейства КЦ, ранее согласованный договор (проект 00675-21) был разделен на три договора по 1млрд.р, в соответствии с участками недр._x000D_
В связи с предстоящей подачей документов на право пользование участком недр Нижнепуринский 6_x000D_
расположенным в Таймырском Долгано-Ненецком районе Красноярского края (заявительный принцип)_x000D_
</t>
  </si>
  <si>
    <t>00678-22</t>
  </si>
  <si>
    <t xml:space="preserve">Заказ-наряд к договору №ГЕО-21/09000/00289 от «22» декабря 2021 г. «Создание сейсмогеологической модели региона «Южный Таймыр»» </t>
  </si>
  <si>
    <t>00678-23</t>
  </si>
  <si>
    <t>00221</t>
  </si>
  <si>
    <t>Н-З №8 к  Договору №ГЕО-20/11014/00070/Р от 06.05. 2021 года</t>
  </si>
  <si>
    <t>Заключения Наряд-заказа №8 по договору № ГЕО-20/11014/00070/Р от 06.05.2020 г. с ООО «Техно-Сервис»</t>
  </si>
  <si>
    <t>00679-21</t>
  </si>
  <si>
    <t>Проведение сейсморазведочных работ МОГТ 3D в пределах Северо- Ямбургского лицензионного участка для нужд ООО "Газпромнефть-ГЕО" в 2021-23 гг.</t>
  </si>
  <si>
    <t>00679-22</t>
  </si>
  <si>
    <t>ГЕО-22/09000/00170/Р</t>
  </si>
  <si>
    <t>Исполнитель обязуется по заданию Заказчика осуществить кадастровые работы в отношении объекта недвижимого имущества: поисково - оценочной скважины 178 на Лескинском лицензионном участке, расположенном по адресу: РФ, Красноярский край, Таймырский Долгано-Ненецкий район</t>
  </si>
  <si>
    <t>00680-21</t>
  </si>
  <si>
    <t>ГЕО-21/00000/00229</t>
  </si>
  <si>
    <t>00680-22</t>
  </si>
  <si>
    <t>00680-23</t>
  </si>
  <si>
    <t>Заявка №1</t>
  </si>
  <si>
    <t xml:space="preserve">Заключение в рамках исполнения договора </t>
  </si>
  <si>
    <t>01200 Договор на поставку детских новогодних подарков для детей работников ООО "ГПН-ГЕО"</t>
  </si>
  <si>
    <t>00681-21</t>
  </si>
  <si>
    <t>ГЕО-21/01200/00230/Р</t>
  </si>
  <si>
    <t xml:space="preserve">Поставка дестких новогодних подарков для детей сотрудников </t>
  </si>
  <si>
    <t>0000085847</t>
  </si>
  <si>
    <t>ООО Кондитерский холдинг Королевс кий</t>
  </si>
  <si>
    <t>7708701831</t>
  </si>
  <si>
    <t>00681-22</t>
  </si>
  <si>
    <t>00682-21</t>
  </si>
  <si>
    <t xml:space="preserve"> ГЕО-20/10924/00051/Р</t>
  </si>
  <si>
    <t>Дополнительное соглашение № 5 к Договору на выполнение работ по экологическому мониторингу месторождений № ГЕО-20/10924/00051/Р от 05 марта 2020 г.</t>
  </si>
  <si>
    <t>Включение условий о начале обмена ЭДО</t>
  </si>
  <si>
    <t>00682-22</t>
  </si>
  <si>
    <t>00683-21</t>
  </si>
  <si>
    <t xml:space="preserve"> ГЕО-20/10924/00055/Р</t>
  </si>
  <si>
    <t>Дополнительное соглашение № 5 к Договору на выполнение работ по экологическому мониторингу месторождений № ГЕО-20/10924/00055/Р от 05 марта 2020 г.</t>
  </si>
  <si>
    <t>00683-22</t>
  </si>
  <si>
    <t>00684-21</t>
  </si>
  <si>
    <t>ГЕО-21/11708/00241</t>
  </si>
  <si>
    <t>Соглашение о намерениях</t>
  </si>
  <si>
    <t>Соглашение о намерениях для подготовки к реализации экологосберегающий сейсморазведки по технологии «Зеленая сейсмика 2.0.»</t>
  </si>
  <si>
    <t>00684-22</t>
  </si>
  <si>
    <t>№ ГЕО-19/09000/00320/Р от 20.12.2019 г.</t>
  </si>
  <si>
    <t>Соглашение к Договору № ГЕО-19/09000/00320/Р от 20.12.2019 г.</t>
  </si>
  <si>
    <t>Соглашение к Договору № ГЕО-19/09000/00320/Р от 20.12.2019 г. о компенсации в связи с досрочным расторжением Договора по инициативе Заказчика</t>
  </si>
  <si>
    <t>00684-23</t>
  </si>
  <si>
    <t>Дополнительное соглашение №8 к договору № ГЕО-21/10114/00257/Р от 22.11.2021 г.</t>
  </si>
  <si>
    <t>Перевод 254 суток работы супервайзеров из НГО в ГО в рамках 2024 года</t>
  </si>
  <si>
    <t>00685-21</t>
  </si>
  <si>
    <t>ГЕО-21/11513/00226/Р</t>
  </si>
  <si>
    <t xml:space="preserve">установление сервитута на часть земельного участка с кадастровым номером 89:04:000000:4591 площадью 351 467 кв. м для объекта «Площадка поисково-оценочной скважины №1 на Северо-Ямбургском ЛУ. Проезд до водозабора летний вариант» </t>
  </si>
  <si>
    <t>00685-22</t>
  </si>
  <si>
    <t>ДС №1 к ГЕО-22/20000/00027/Д с ООО "Дан Групп"</t>
  </si>
  <si>
    <t>00685-23</t>
  </si>
  <si>
    <t>Комплексная интерпретация сейсморазведочных данных МОГТ-3D и МОГТ-2D в пределах Северо-Самбургского и прилегающих участках, полученных в 1980-2018 гг</t>
  </si>
  <si>
    <t>Выполнение работ по комплексной интерпретации сейсморазведочных данных МОГТ-3D и МОГТ-2D в пределах Северо-Самбургского и прилегающих участках, полученных в 1980-2018 гг для исполнения обязательств перед Меретояханефтегаз</t>
  </si>
  <si>
    <t>00686-21</t>
  </si>
  <si>
    <t>ГЕО-21/11513/00227/Р</t>
  </si>
  <si>
    <t>Cоглашение об установлении сервитута</t>
  </si>
  <si>
    <t>установление сервитута на части земельных участков с кадастровыми номерами 89:04:000000:4591, 89:04:010903:351, 89:04:010902:43, на общую площадь 563 393 кв. м., для объекта «Автозимник на площадку скважины 1 ПО Северо-Ямбургского ЛУ. Проезд до водозабора зимний вариант»</t>
  </si>
  <si>
    <t>00686-22</t>
  </si>
  <si>
    <t>ГЕО-22/33100/00175</t>
  </si>
  <si>
    <t xml:space="preserve">СОГЛАШЕНИЕ В ОБЛАСТИ ПРОИЗВОДСТВЕННОЙ БЕЗОПАСНОСТИ_x000D_
_x000D_
</t>
  </si>
  <si>
    <t>00686-23</t>
  </si>
  <si>
    <t>Заявка №2</t>
  </si>
  <si>
    <t>00687-21</t>
  </si>
  <si>
    <t>ГЕО-21/00000/00228</t>
  </si>
  <si>
    <t>00687-22</t>
  </si>
  <si>
    <t xml:space="preserve">ГЕО-20/10919/00096/Р </t>
  </si>
  <si>
    <t>Заказ № 04 к Договору № ГЕО-20/10919/00096/Р от 22.06.2020 г.</t>
  </si>
  <si>
    <t>Оказание услуг по разработке и согласованию проекта предельно допустимых выбросов (ПДВ (ВСВ)) до 20 источников, в том числе для веществ I, II класса опасности – 2 документа в составе единого проекта ПДВ</t>
  </si>
  <si>
    <t>00687-23</t>
  </si>
  <si>
    <t>Заявка №3 к договору №ГЕО-23/10000/00173/Р от 01.11.2023 г.</t>
  </si>
  <si>
    <t>00688-22</t>
  </si>
  <si>
    <t xml:space="preserve">ГЕО-18/00000/00071/Р  </t>
  </si>
  <si>
    <t>Пролангация основного договора без увеличения его общей стоимости.</t>
  </si>
  <si>
    <t>00688-23</t>
  </si>
  <si>
    <t>Заявка №4</t>
  </si>
  <si>
    <t>00689-22</t>
  </si>
  <si>
    <t>ДС № 4 к Операторскому соглашению</t>
  </si>
  <si>
    <t xml:space="preserve">Операторское соглашение </t>
  </si>
  <si>
    <t>00689-23</t>
  </si>
  <si>
    <t>Заявка №5 к договору №ГЕО-23/10000/00173/Р от 01.11.2023 г.</t>
  </si>
  <si>
    <t>00690-21</t>
  </si>
  <si>
    <t>ГЕО-19/10363/00336/Р/ДРД-19-02/09000/1785 от 24.12.2019</t>
  </si>
  <si>
    <t>Уточнение некоторых условий Договора</t>
  </si>
  <si>
    <t>Сбор и передача данных, формирование отчётности, архивирование, визуализация, предоставление каналов связи.</t>
  </si>
  <si>
    <t>00690-22</t>
  </si>
  <si>
    <t>Организация и проведение ашурансов и КЭП по проекту АчMGI</t>
  </si>
  <si>
    <t>НТЦ-01997-22Д-ГЕО</t>
  </si>
  <si>
    <t>Цель – проведение мероприятий, лучших практик и методик повышения ценности проекта с привлечением независимой кросс-функциональной экспертизы</t>
  </si>
  <si>
    <t>00690-23</t>
  </si>
  <si>
    <t>Заявка №6 к договору №ГЕО-23/10000/00173/Р от 01.11.2023 г.</t>
  </si>
  <si>
    <t>00691-22</t>
  </si>
  <si>
    <t>ГЕО-22/09000/00184/Д</t>
  </si>
  <si>
    <t>Договор управлени</t>
  </si>
  <si>
    <t xml:space="preserve">В целях смены УК ООО «АСБ ГЕО» </t>
  </si>
  <si>
    <t>ООО "АСБ ГЕО"</t>
  </si>
  <si>
    <t>00691-23</t>
  </si>
  <si>
    <t xml:space="preserve">ГЕО-22/11000/00267/Р </t>
  </si>
  <si>
    <t>Дополнительное соглашение №3 к договору № ГЕО-22/11000/00267/Р от 10.10.2022 года</t>
  </si>
  <si>
    <t>Актуализация ОЭДК и мотивации Подрядчика</t>
  </si>
  <si>
    <t>00692-21</t>
  </si>
  <si>
    <t>ПЛАН РЕАЛИЗАЦИИ УЛУЧШЕНИЙ ИСПОЛНИТЕЛЯ К ОПЕРАТОРСКОМУ СОГЛАШЕНИЮ</t>
  </si>
  <si>
    <t>План реализации улучшений Исполнителя (в дополнение к первоначальному Плану реализации улучшений Исполнителя от 24.05.2021).</t>
  </si>
  <si>
    <t>00692-23</t>
  </si>
  <si>
    <t>Дополнительнон соглашение №3 к договору № ГЕО-22/11000/00274/Р от 14.10.2022г.</t>
  </si>
  <si>
    <t>Актуализация ОЭДК</t>
  </si>
  <si>
    <t>00693-21</t>
  </si>
  <si>
    <t>ГЕО-21/26000/00234/Р</t>
  </si>
  <si>
    <t>00693-22</t>
  </si>
  <si>
    <t>Оказание услуг по освоению скважин через сепарационную установку</t>
  </si>
  <si>
    <t>Бикташев Руслан Станиславович</t>
  </si>
  <si>
    <t>00693-23</t>
  </si>
  <si>
    <t>ГЕО-23/33200/00201</t>
  </si>
  <si>
    <t>00694-21</t>
  </si>
  <si>
    <t xml:space="preserve"> Оказание консультационных услуг (методическое сопровождение) в области гидрометеорологии и смежных с ней областях</t>
  </si>
  <si>
    <t>500 000,00</t>
  </si>
  <si>
    <t>00694-23</t>
  </si>
  <si>
    <t>00695-21</t>
  </si>
  <si>
    <t>ГЕО-21/09000/00044/Д</t>
  </si>
  <si>
    <t>Региональная стратегия ГРР и освоения Нерутинской зоны. Формирование геологического концепта и предпосылок по разработке Медвежьего кластера.</t>
  </si>
  <si>
    <t>Изменение сроков выполнения работ по первому этапу</t>
  </si>
  <si>
    <t>10408, 10411, 10412, 10413, 10430 Мастер-форма договора по услугам 10408 «Ликвидация аварий (прокат аварийного оборудования, инженерное сопровождение) по направлению ТКРС и сопутствующих услуг при ТКРС», 10411 «Разработка технологии, использование инженерного сопровождения и собственного оборудования для спуска не цементируемых хвостовиков и хвостовиков с прямым и ступенчатым цементированием (с фильтром) при проведении ТКРС», 10412 «Ликвидация аварий с применением химического трубореза (прокат оборудования, инженерное сопровождение) по направлению ТКРС и сопутствующих услуг при ТКРС», 10413 «Восстановление забоя с применением универсальных многоцикличных желонок (прокат оборудования, инженерное сопровождение) по направлению ТКРС и сопутствующих услуг при ТКРС», 10430 «Инженерное и технол..</t>
  </si>
  <si>
    <t>00696-21</t>
  </si>
  <si>
    <t>Заключение договора для проекта "Енисей"</t>
  </si>
  <si>
    <t>00696-22</t>
  </si>
  <si>
    <t>Оказание услуг по разработке АНП ПП</t>
  </si>
  <si>
    <t>Перевод негаррантированного объема работ в гарантированный, в соответствии с условиями договора</t>
  </si>
  <si>
    <t>00696-23</t>
  </si>
  <si>
    <t>ГЕО-23/33200/00199</t>
  </si>
  <si>
    <t>00697-21</t>
  </si>
  <si>
    <t>ГЕО-20/00000/00086/Д/ННГ-20/11708/00380/Р</t>
  </si>
  <si>
    <t>Изменение условий по ДД</t>
  </si>
  <si>
    <t>Шушаков А.А.</t>
  </si>
  <si>
    <t>00697-23</t>
  </si>
  <si>
    <t>00698-21</t>
  </si>
  <si>
    <t>ГЕО-21/09000/00270/Д</t>
  </si>
  <si>
    <t>Выполнение операторских работ и оказании операторских услуг</t>
  </si>
  <si>
    <t>00698-22</t>
  </si>
  <si>
    <t>ГЕО-22/26000/00180</t>
  </si>
  <si>
    <t>Предоставление друг другу и неразглашение информации, составляющей коммерческую тайну, и иной конфиденциальной информации</t>
  </si>
  <si>
    <t>00698-23</t>
  </si>
  <si>
    <t>ГЕО-23/33200/00200</t>
  </si>
  <si>
    <t>Соглашение об использовании электронного документа</t>
  </si>
  <si>
    <t>00699-21</t>
  </si>
  <si>
    <t>ГЕО-21/11104/00255/Д</t>
  </si>
  <si>
    <t>00699-22</t>
  </si>
  <si>
    <t>00699-23</t>
  </si>
  <si>
    <t>Заключение Заказа №11/23-057 по скважине №4 Камовской площади к Договору № ГЕО-19/10156/00057/Р от 07.03.2019 г.</t>
  </si>
  <si>
    <t>11/23-057</t>
  </si>
  <si>
    <t>Стандартные и специальные исследования керна по скважине 4 Камовского месторождения</t>
  </si>
  <si>
    <t>26000 Соглашение о конфиденциальности с зарубежным контрагентом</t>
  </si>
  <si>
    <t>00700-21</t>
  </si>
  <si>
    <t>ГЕО-21/26000/00238</t>
  </si>
  <si>
    <t>ТОО "Жаикмунай"</t>
  </si>
  <si>
    <t>00700-23</t>
  </si>
  <si>
    <t>Заказ 12/23-057 по скважине №3 Салаирской площади к договору № ГЕО-19/10156/00057/Р от 07.03.2019 г.</t>
  </si>
  <si>
    <t>12/23-057</t>
  </si>
  <si>
    <t>Стандартные и специальные исследования керна по скважине 3 Салаирского месторождения</t>
  </si>
  <si>
    <t>00701-21</t>
  </si>
  <si>
    <t>ГЕО-21/34000/00253/Р</t>
  </si>
  <si>
    <t>00701-22</t>
  </si>
  <si>
    <t>№ ГЕО-22/10000/00144/Р</t>
  </si>
  <si>
    <t>НАРЯД-ЗАКАЗ НА ОКАЗАНИЕ УСЛУГ № 2 к ДОГОВОРУ № ГЕО-22/10000/00144/Р от 27.06.2022г.на выполнение работ и оказание услуг в области пожарной безопасности</t>
  </si>
  <si>
    <t>Выполнение работ и оказание услуг в области пожарной безопасности на Лескино</t>
  </si>
  <si>
    <t>00701-23</t>
  </si>
  <si>
    <t>Новые параметры производственной безопасности</t>
  </si>
  <si>
    <t>00702-23</t>
  </si>
  <si>
    <t>ГЕО-23/33200/00198</t>
  </si>
  <si>
    <t>Обновление соглашения ЭДО</t>
  </si>
  <si>
    <t>00703-21</t>
  </si>
  <si>
    <t>Подбор оптимальной системы разработки и технологии проведения ГРП для одной из кустовых площадок Вынгаяхинского месторождения.</t>
  </si>
  <si>
    <t>00703-22</t>
  </si>
  <si>
    <t>НАРЯД-ЗАКАЗ НА ОКАЗАНИЕ УСЛУГ № 1</t>
  </si>
  <si>
    <t>00703-23</t>
  </si>
  <si>
    <t>ГЕО-21/20000/00293/Д</t>
  </si>
  <si>
    <t>Дополнительное соглашение №3 к Агентскому договору № МрНГ-21/10000/00135/Р//ГЕО-21/20000/00293/Д на выполнение обработки и интерпретации СРР на Северо-Самбургском ЛУ и прилегающей территории</t>
  </si>
  <si>
    <t>Заключение Дополнительного соглашения №3 к Агентскому договору № МрНГ-21/10000/00135/Р//ГЕО-21/20000/00293/Д на выполнение обработки и интерпретации СРР на Северо-Самбургском ЛУ и прилегающей территории в связи с изменением производственной потребности, увеличением объемов работ, увеличением стоимости Договора</t>
  </si>
  <si>
    <t>00704-21</t>
  </si>
  <si>
    <t>ГЕО-21/25000/00242/Р</t>
  </si>
  <si>
    <t>00704-22</t>
  </si>
  <si>
    <t>ГЕО-22/33100/00181</t>
  </si>
  <si>
    <t>В целях обеспечения ПБ при оказании услуг</t>
  </si>
  <si>
    <t>00704-23</t>
  </si>
  <si>
    <t>Изменение №2 к Наряд-заказу №1 к Договору № ГЕО-22/11000/00274/Р от 14.10.2022г.</t>
  </si>
  <si>
    <t>00705-21</t>
  </si>
  <si>
    <t>ГЕО-21/11518/00247/Р</t>
  </si>
  <si>
    <t>возместить Землепользователю убытки, в том числе упущенную выгоду (далее - убытки), в полном объеме, при занятии Предприятием земельных участков, для размещения объектов по проектам: «Автозимник на площадку скважины 1 ПО Северо-Ямбургского ЛУ. Проезд до водозабора зимний вариант»</t>
  </si>
  <si>
    <t xml:space="preserve">ЗАО Ныдинское </t>
  </si>
  <si>
    <t>00705-22</t>
  </si>
  <si>
    <t>ГЕО-22/33200/00188</t>
  </si>
  <si>
    <t>0000018753</t>
  </si>
  <si>
    <t xml:space="preserve">ПАО ВымпелКом </t>
  </si>
  <si>
    <t>7713076301</t>
  </si>
  <si>
    <t>00705-23</t>
  </si>
  <si>
    <t>ГЕО-23/33200/00203</t>
  </si>
  <si>
    <t>00706-21</t>
  </si>
  <si>
    <t>00706-23</t>
  </si>
  <si>
    <t>ГЕО-23/17000/00215/Р</t>
  </si>
  <si>
    <t>Договор негосударственного пенсионного обеспечения</t>
  </si>
  <si>
    <t>Осуществление негосударственного пенсионного обеспечения (далее – НПО) участника (участников) в порядке и на условиях, определенных законодательством Российской Федерации, нормативными актами Банка России, Пенсионными правилами Акционерного общества «Негосударственный пенсионный фонд ГАЗФОНД». Соглашение между Фондом и вкладчиком Фонда, в соответствии с которым вкладчик обязуется уплачивать пенсионные взносы в Фонд, а Фонд обязуется выплачивать участнику Фонда негосударственную пенсию в соответствии с Пенсионными правилами Фонда</t>
  </si>
  <si>
    <t>0000087439</t>
  </si>
  <si>
    <t xml:space="preserve">АО НПФ ГАЗФОНД </t>
  </si>
  <si>
    <t>7726445147</t>
  </si>
  <si>
    <t>00707-21</t>
  </si>
  <si>
    <t>ГЕО-21/11518/00246/Р</t>
  </si>
  <si>
    <t>возместить Землепользователю убытки, в том числе упущенную выгоду (далее - убытки), в полном объеме, при занятии Предприятием земельных участков, для размещения объектов  «Площадка поисково-оценочной скважины № 1 на Северо-Ямбургском ЛУ. Проезд до водозабора летний вариант»</t>
  </si>
  <si>
    <t>00707-22</t>
  </si>
  <si>
    <t>ГЕО-22/09000/00185/Р</t>
  </si>
  <si>
    <t>улучшение качества сотовой связи на площадке Северо-Ямбургского ЛУ (проект "Титан")</t>
  </si>
  <si>
    <t>0000047558</t>
  </si>
  <si>
    <t xml:space="preserve">Филиал ПАО МТС в ЯНАО </t>
  </si>
  <si>
    <t>10106 Типовая форма договора (Мастер-форма) на оказание услуг по полевым геохимическим работам</t>
  </si>
  <si>
    <t>00707-23</t>
  </si>
  <si>
    <t>ГЕО-23/10106/00209/Р</t>
  </si>
  <si>
    <t>Проведение скважинных сейсмических работ (ВСП, НВСП, МОГ, МПГС), сейсмический мониторинг и обработка и интерпретация данных (ВСП, НВСП, МОГ, МПГС)"</t>
  </si>
  <si>
    <t>Полевые геохимические работы</t>
  </si>
  <si>
    <t>00708-21</t>
  </si>
  <si>
    <t>№ АНГ-19/11513/00007/Р от 14 февраля 2019г.</t>
  </si>
  <si>
    <t xml:space="preserve">Наряд-заказ № 28 к Договору № АНГ-19/11513/00007/Р </t>
  </si>
  <si>
    <t>28</t>
  </si>
  <si>
    <t>Оформление землеустроительной документации для скв. Сал-3П, Км-4 Оморинского ЛУ</t>
  </si>
  <si>
    <t>00708-22</t>
  </si>
  <si>
    <t>ГЕО-22/33200/00301</t>
  </si>
  <si>
    <t>00708-23</t>
  </si>
  <si>
    <t>Продление договора без увеличение стоимости.</t>
  </si>
  <si>
    <t>00709-22</t>
  </si>
  <si>
    <t>ГЕО-22/09000/00209/Р</t>
  </si>
  <si>
    <t>Сопровождение апробации ПО REPOS</t>
  </si>
  <si>
    <t>Сопровождение апробации программного обеспечения REPOS в КОА ПАО ГПН</t>
  </si>
  <si>
    <t>0000073051</t>
  </si>
  <si>
    <t xml:space="preserve">ООО Центр технологий моделирования </t>
  </si>
  <si>
    <t>7725282718</t>
  </si>
  <si>
    <t>00709-23</t>
  </si>
  <si>
    <t>Изменение №1 к Заявке № 5 к договору № ГЕО-23/09000/00149/Р от 28.08.2023 г.</t>
  </si>
  <si>
    <t>- Изменение №1 к Заявке №5 на привлечение руководителя группы по производственной безопасности для проекта «Оморинский», Камовская площадь Теребихина Д.Н. и продолжить привлечение Чинчикеева А.Н.;
- применение квалификационных требований к руководителю группы по производственной безопасности, в соответствии с принятыми в рамках протокола совещания группы по экспертизе от 02.11.2023 г. №ПТ-9/0000224 критериями;
- корректировку объёмов и сроков оказания услуг по привлечению Чинчикеева А.Н. к факту и отражение объёмов и сроков услуг на период привлечения Чинчикеева А.Н. и Теребихина Д.Н. совместно для дальнейшей работы по сменам в рамках вахты.</t>
  </si>
  <si>
    <t>00710-21</t>
  </si>
  <si>
    <t>ГЕО-20/00000/00196/Д/ХНТ-20/29000/1254/Р/60</t>
  </si>
  <si>
    <t>Дополнительное соглашение №2 к Договору о выполнении операторских работ и об оказании операторских услуг № ХНТ-20/29000/1254/Р/60 от 17.12.2020 г.</t>
  </si>
  <si>
    <t>Перенос части этапов с 2022 на 2021 с уменьшением суммы договора</t>
  </si>
  <si>
    <t>00710-22</t>
  </si>
  <si>
    <t>Оказание услуг по обслуживанию и прокату погружных установок электроцентробежных насосов (УЭЦН)</t>
  </si>
  <si>
    <t>Жданов Александр Сергеевич</t>
  </si>
  <si>
    <t>25574278.67</t>
  </si>
  <si>
    <t>00710-23</t>
  </si>
  <si>
    <t xml:space="preserve">ГЕО-19/09000/00227/Р </t>
  </si>
  <si>
    <t>Заключение дополнительного соглашения без увеличения стоимости.</t>
  </si>
  <si>
    <t>00711-21</t>
  </si>
  <si>
    <t>Заказ № УстьЕнисей к договору №ГЕО-19/10124/00001/Р от 09.01.2019</t>
  </si>
  <si>
    <t>Переобработка и комплексная интерпретация данных сейсморазведочных работ МОГТ 2D с целью изучения геологического строения недр Енисейского залива Карского моря</t>
  </si>
  <si>
    <t>00711-22</t>
  </si>
  <si>
    <t xml:space="preserve">Приведение негарантированного объема работ в гарантированный на 2023г. в связи с производственной необходимостью. </t>
  </si>
  <si>
    <t>00711-23</t>
  </si>
  <si>
    <t>ДС №4 к К ДОГОВОРУ № 22-51908 /ГЕО-19/09000/00227/Р ОТ 02.09.2019</t>
  </si>
  <si>
    <t>Заключение дополнительного соглашения на продление договора без увеличения стоимости.</t>
  </si>
  <si>
    <t>00712-21</t>
  </si>
  <si>
    <t xml:space="preserve">Дополнительное соглашение №2 к Договору (Полису) страхования рисков при разведке и разработке месторождений № 20 DR 077 / ГЕО-20/17000/00171Р  </t>
  </si>
  <si>
    <t>Продление срока действия Договора (Полиса) до 18.03.2022</t>
  </si>
  <si>
    <t>00712-22</t>
  </si>
  <si>
    <t>00712-23</t>
  </si>
  <si>
    <t>ГЕО-23/33200/00206</t>
  </si>
  <si>
    <t>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t>
  </si>
  <si>
    <t>00713-21</t>
  </si>
  <si>
    <t xml:space="preserve">20 GL 0702 / ГЕО-20/17000/00172/Р </t>
  </si>
  <si>
    <t>Дополнительное соглашение №2 к Договору Страхования Общей Гражданской Ответственности и Ответственности Товаропроизводителя (ПОЛИСУ) № 20 GL 0702 / ГЕО-20/17000/00172/Р от 30.10.2020</t>
  </si>
  <si>
    <t>00713-22</t>
  </si>
  <si>
    <t>Включение условий применения УКЭП</t>
  </si>
  <si>
    <t>ООО "СибТрансСтрой"</t>
  </si>
  <si>
    <t>00713-23</t>
  </si>
  <si>
    <t>ГЕО-23/33200/00204</t>
  </si>
  <si>
    <t>00714-22</t>
  </si>
  <si>
    <t>ГЕО-20/11518/00067/Р</t>
  </si>
  <si>
    <t>Дополнительное соглашение к соглашению о компенсации убытков</t>
  </si>
  <si>
    <t>Заключение дополнительного соглашения</t>
  </si>
  <si>
    <t>0000093931</t>
  </si>
  <si>
    <t xml:space="preserve">СРОКМНС Мадра </t>
  </si>
  <si>
    <t>8802001878</t>
  </si>
  <si>
    <t>00714-23</t>
  </si>
  <si>
    <t>ГЕО-23/33200/00205</t>
  </si>
  <si>
    <t>0000087412</t>
  </si>
  <si>
    <t xml:space="preserve">ООО АСБ ГЕО </t>
  </si>
  <si>
    <t>7734354140</t>
  </si>
  <si>
    <t>00715-21</t>
  </si>
  <si>
    <t>ГЕО-21/26000/00243</t>
  </si>
  <si>
    <t>00715-22</t>
  </si>
  <si>
    <t>00715-23</t>
  </si>
  <si>
    <t xml:space="preserve">Заключение договора возмездного оказания услуг в отношении земельных участков, расположенных в границах Оренбургской области, необходимых для эксплуатации объектов Заказчика </t>
  </si>
  <si>
    <t>00716-21</t>
  </si>
  <si>
    <t>ГЕО-21/09100/00310/Р</t>
  </si>
  <si>
    <t>Договор об образовании на обучение по дополнительным образовательным программам (об оказании платных образовательных услуг)</t>
  </si>
  <si>
    <t>Образовательная услуга по предоставлению программы профессиональной переподготовки «Executive MBA for Eurasia», с ноября 2021 г по июль 2023г, Аксенов М.А.</t>
  </si>
  <si>
    <t>00716-22</t>
  </si>
  <si>
    <t>ГЕО-22/04500/00186/Д</t>
  </si>
  <si>
    <t>В целях регистрации УК ООО «АСБ ГЕО»  в г.Санкт-Петербург</t>
  </si>
  <si>
    <t>00717-21</t>
  </si>
  <si>
    <t>Изложение в новой редакции Приложения №1 "Соглашение в области производственной безопасности"</t>
  </si>
  <si>
    <t>00717-22</t>
  </si>
  <si>
    <t>ДС №4 к Договору №ГЕО-19/10126/00195/Р от 01.08.2019 г.</t>
  </si>
  <si>
    <t xml:space="preserve">Индексация единичных расценок, ввод дополнительных единичных расценок, продление срока действия договора, актуализация требований ПБ_x000D_
</t>
  </si>
  <si>
    <t>00717-23</t>
  </si>
  <si>
    <t xml:space="preserve">Наряд-заказ №8 на оказание услуг по Договору № ГЕО-21/10114/00257/Р от 22.11.2021г. </t>
  </si>
  <si>
    <t>Оказание услуг по супервайзерскому контролю технологии полевых сейсморазведочных работ на Южно-Новопортовском лицензионном участке.</t>
  </si>
  <si>
    <t>10402 Типовой договор (мастер-форма) на Капитальный ремонт и освоение скважин</t>
  </si>
  <si>
    <t>00718-22</t>
  </si>
  <si>
    <t>Выполнение работ по текущему, капитальному ремонту и освоению скважин</t>
  </si>
  <si>
    <t>Для загрузки в УИДО</t>
  </si>
  <si>
    <t>00718-23</t>
  </si>
  <si>
    <t>Договор подряда, переданный от ООО "Газпромнефть-Оренбург" в ГПН-ГЕО с ООО "ИСК "Петроинжиниринг" Для загрузки в УИДО</t>
  </si>
  <si>
    <t xml:space="preserve">Соглашение о передаче прав ГПН-ГЕО по Договору подряда по приготовлению и инженерному сопровождению буровых растворов № ОРН-18/10303/03693/Р от 20.12.2018г. </t>
  </si>
  <si>
    <t>00719-21</t>
  </si>
  <si>
    <t>Перевод из НГО в ГО объемов по Ягодному и Журавлевскому ЛУ для исполнения ДД с ГПН-Оренбург и ООО НТДН</t>
  </si>
  <si>
    <t>00719-23</t>
  </si>
  <si>
    <t>ГЕО-24/01200/00016/Р</t>
  </si>
  <si>
    <t>Предоставление сертификатов на техподдержку серверного оборудования Yadro</t>
  </si>
  <si>
    <t>0000081522</t>
  </si>
  <si>
    <t xml:space="preserve">ООО ТекФорс Инжиниринг </t>
  </si>
  <si>
    <t>7839483009</t>
  </si>
  <si>
    <t>00720-21</t>
  </si>
  <si>
    <t>Соглашение об ЭДО по форме контрагента</t>
  </si>
  <si>
    <t>электронный документооборот</t>
  </si>
  <si>
    <t>00720-22</t>
  </si>
  <si>
    <t>ГЕО-22/35000/00182</t>
  </si>
  <si>
    <t>Соглашение о безопасном использовании информационных систем с Коваленко М.В.</t>
  </si>
  <si>
    <t>0000103882</t>
  </si>
  <si>
    <t xml:space="preserve">Коваленко Марина Витальевна </t>
  </si>
  <si>
    <t>891302516762</t>
  </si>
  <si>
    <t>00720-23</t>
  </si>
  <si>
    <t>Актуализация соглашения о ПБ</t>
  </si>
  <si>
    <t>00721-21</t>
  </si>
  <si>
    <t>ГЕО-21/00000/00244</t>
  </si>
  <si>
    <t>00721-22</t>
  </si>
  <si>
    <t xml:space="preserve">НЗ №1 к договору ГЕО-22/11029/00172/Р от 25.07.2022     </t>
  </si>
  <si>
    <t>00721-23</t>
  </si>
  <si>
    <t xml:space="preserve">Заключение соглашения ПБ с Петроинжиниринг </t>
  </si>
  <si>
    <t>00722-21</t>
  </si>
  <si>
    <t>Цементирование скважин (Проект "Южный Оренбург"</t>
  </si>
  <si>
    <t>Филиал компании Халлибуртон Интерн эшнл ГмбХ</t>
  </si>
  <si>
    <t>00722-22</t>
  </si>
  <si>
    <t xml:space="preserve">НЗ №1 к договору ГЕО-22/11029/00171/Р от 25.07.2022  </t>
  </si>
  <si>
    <t>00723-21</t>
  </si>
  <si>
    <t>Дополнительное соглашение № 1 к Соглашению о возмещении убытков сельскохозяйственного производства, в т. ч. упущенной выгоды и затрат на биологическую рекультивацию при временном занятии земельного участка</t>
  </si>
  <si>
    <t>изменение условия оплаты по Соглашению № ГЕО-21/04300/00208/Р от 15.09.2021г</t>
  </si>
  <si>
    <t>00723-23</t>
  </si>
  <si>
    <t>ГЕО-22/33100/00254</t>
  </si>
  <si>
    <t xml:space="preserve">Для соблюдения производственной безопасности на объектах Заказчика при выполнении работ </t>
  </si>
  <si>
    <t>00724-21</t>
  </si>
  <si>
    <t>Обеспечение антитеррористической защиты, сохранение жизни, здоровья людей, охраны имущества, обеспечение пропускного и внутриобъектового режимов, правил охраны труда, промышленной, пожарной безопасности, охраны окружающей среды, гражданской защиты, оформление и выдача пропусков, а также иные мероприятия в соответствии со Стандартом Заказчика «Пропускной и внутриобъектовый режимы на лицензионных участках».</t>
  </si>
  <si>
    <t>Страдымов А.Г. -  Главный специалист по режиму и охране - Блок корпоративной защиты</t>
  </si>
  <si>
    <t>00724-22</t>
  </si>
  <si>
    <t>ГЕО-22/35000/00192</t>
  </si>
  <si>
    <t>В рамках проекта U190001428 “Цифровой партнёр ПБ” (раннее наименование «Цифровой двойник HSE»)</t>
  </si>
  <si>
    <t>00724-23</t>
  </si>
  <si>
    <t>00725-21</t>
  </si>
  <si>
    <t>Дополнение № 1 к заданию на оказание услуг № 6 к Договору № ГЕО-20/10986/00138/Р от 10.08.2020 г.</t>
  </si>
  <si>
    <t>Заключение Дополнения № 1 к Заданию № 6 к Договору № ГЕО-20/10986/00138/Р от 10.08.2020г. с компанией ООО «ОГК» на оказание супервайзерских услуг по контролю состояния производственной безопасности (далее – СП ПБ) в 2021 году для исполнения операторского договора с ООО «ГПН-Хантос» на Северо-Ингольском ЛУ для внесения изменений в сроки оплаты.</t>
  </si>
  <si>
    <t>00725-23</t>
  </si>
  <si>
    <t>НАРЯД-ЗАКАЗ №36 к Договору № АНГ-19/11513/00007/Р от 14.02.2019</t>
  </si>
  <si>
    <t>Выполнение комплекса землеустроительных и лесоустроительных работ (оформление прав на использование лесных участков Оморинского ЛУ без предоставления в аренду, без права рубки лесных насаждений в границах вырубленной трассы автозимника к разведочной скважине Км-4)</t>
  </si>
  <si>
    <t>00726-21</t>
  </si>
  <si>
    <t>ГЕО-21/26000/00245</t>
  </si>
  <si>
    <t>Заключение соглашения о конфиденциальности</t>
  </si>
  <si>
    <t>00726-22</t>
  </si>
  <si>
    <t xml:space="preserve">На оказание услуг почтовой связи, дополнительных и иных услуг Блока почтового бизнеса и социальных услуг </t>
  </si>
  <si>
    <t>оказание услуг почтовой связи (Бокс-сервис (с односторонним обменом корреспонденции)</t>
  </si>
  <si>
    <t>АО "Почта России"</t>
  </si>
  <si>
    <t>8 240,57</t>
  </si>
  <si>
    <t>00726-23</t>
  </si>
  <si>
    <t>ГЕО-22/10951/00003/Р</t>
  </si>
  <si>
    <t xml:space="preserve">ДОПОЛНИТЕЛЬНОЕ СОГЛАШЕНИЕ №1 к Договору № ГЕО-22/10951/00003/Р от 03.01.2022г </t>
  </si>
  <si>
    <t xml:space="preserve">Обновление ОЛ </t>
  </si>
  <si>
    <t>00727-22</t>
  </si>
  <si>
    <t xml:space="preserve">Дополнительное соглашение №3 к дог. №ГЕО-21/11104/00292/Р от 24.12.2021 г. </t>
  </si>
  <si>
    <t>Приведение требований пункта 8.8 ТЗ в соответствие с НМД ПАО ГПН (М-16.05.03-02)</t>
  </si>
  <si>
    <t>00728-21</t>
  </si>
  <si>
    <t>Дополнительное соглашение №12 к Договору о выполение операторских работ и оказании операторских услуг</t>
  </si>
  <si>
    <t>ДС  Хамбатейский ЛУ</t>
  </si>
  <si>
    <t>00728-22</t>
  </si>
  <si>
    <t>Заключение соглашения в области производственной безопасности для услуги 10402</t>
  </si>
  <si>
    <t>00728-23</t>
  </si>
  <si>
    <t>АНГ-17/04300/00167/Р</t>
  </si>
  <si>
    <t xml:space="preserve">ДС№6 к Д 01/КИ-ГПН-А/2017 </t>
  </si>
  <si>
    <t xml:space="preserve"> Индексация постоянной части арендной платы с 15.12.2023г. </t>
  </si>
  <si>
    <t>0000085139</t>
  </si>
  <si>
    <t xml:space="preserve">АО БизнесПроф </t>
  </si>
  <si>
    <t>7802651190</t>
  </si>
  <si>
    <t>00729-22</t>
  </si>
  <si>
    <t>ГЕО-22/26000/00191</t>
  </si>
  <si>
    <t>Заключение соглашения о конфиденциальности с российским контрагентом</t>
  </si>
  <si>
    <t>00729-23</t>
  </si>
  <si>
    <t>ГЕО-23/33200/00207</t>
  </si>
  <si>
    <t>109127 Договор на выполнение работ по услуге сохранения биологического разнообразия</t>
  </si>
  <si>
    <t>00730-21</t>
  </si>
  <si>
    <t>109127 Договор на выполнение работ по услуге сохранения биологического разнообразия (Оказание услуг по выращиванию, транспортировке и выпуску молоди водного биоло-гического ресурса (осетр сибирский) в водный объект Енисейского рыбохозяйственно-го бассейна)</t>
  </si>
  <si>
    <t>Оказание услуг по выращиванию, транспортировке и выпуску молоди водного биоло-гического ресурса (осетр сибирский) в водный объект Енисейского рыбохозяйственно-го бассейна) в 2021-2023 гг.</t>
  </si>
  <si>
    <t>Федеральное государственное бюджетное учреждение «Главное бассейновое управление по рыболовству и сохранению водных биологических ресурсов (ФГБУ «Главрыбвод») Енисейский филиал</t>
  </si>
  <si>
    <t>00730-22</t>
  </si>
  <si>
    <t>ГЕО-22/35000/00190</t>
  </si>
  <si>
    <t>00730-23</t>
  </si>
  <si>
    <t>00731-21</t>
  </si>
  <si>
    <t>Наряд-заказ №1 от 15.03.2020</t>
  </si>
  <si>
    <t>Изменение №3 к наряд-заказу №1</t>
  </si>
  <si>
    <t>Изменение 3</t>
  </si>
  <si>
    <t>Уточнение объема работ по объекту «Строительство поисково-оценочной скважины №341 Солнечного лицензионного участка», с увеличением стоимости работ по наряд-заказу и изменением сроков проектирования</t>
  </si>
  <si>
    <t>00731-22</t>
  </si>
  <si>
    <t>Изменение №1 к Заказу № 5</t>
  </si>
  <si>
    <t>00731-23</t>
  </si>
  <si>
    <t>ГЕО-23/33200/00210</t>
  </si>
  <si>
    <t xml:space="preserve">Актуализация типовой формы Соглашения об использовании электронного документооборота, </t>
  </si>
  <si>
    <t>00732-21</t>
  </si>
  <si>
    <t>Наряд-заказ №3 от 25.05.2021</t>
  </si>
  <si>
    <t>Изменение №1 к наряд-заказу №3</t>
  </si>
  <si>
    <t>00733-21</t>
  </si>
  <si>
    <t>Наряд-заказ №4 от 07.06.2021</t>
  </si>
  <si>
    <t>Изменение №1 к наряд-заказу №4</t>
  </si>
  <si>
    <t>Уменьшение объемов работ по объекту «Строительство поисково-оценочной скважины № 201-ПО Надеждинского лицензионного участка» с уменьшением стоимости работ по наряд-заказу</t>
  </si>
  <si>
    <t>00733-22</t>
  </si>
  <si>
    <t>ГЕО-191090000290Р</t>
  </si>
  <si>
    <t>Дополнительное соглашение №3 к Договору № ГЕО-191090000290Р от 25.11.2019</t>
  </si>
  <si>
    <t xml:space="preserve">Дополнительное соглашение №3 к Договору № ГЕО-19/10900/00290/Р ОТ 25.11.2019 г., предусматривает включение прейскуранта на углубленный медицинский осмотр работников ДО в объеме:_x000D_
1. Прием (осмотр, консультация) врача-кардиолога первичный;_x000D_
2. Ультразвуковая допплерография артерий \\Экстракраниальная допплерография;_x000D_
3. Эхокардиография\\Эхокардиография стандартный протокол (диагностическая)_x000D_
4. УЗИ брюшного отдела аорты;_x000D_
5. Цветное допплеровское картирование артерий нижних конечностей;_x000D_
6. Забор и подготовка биоматериала для направления на лабораторное исследование;_x000D_
7. Исследование уровня холестерина в крови \\ Холестерин общий._x000D_
</t>
  </si>
  <si>
    <t>00734-21</t>
  </si>
  <si>
    <t>Наряд-заказ №5 от 07.06.2021</t>
  </si>
  <si>
    <t>Изменение №1 к наряд-заказу №5</t>
  </si>
  <si>
    <t>Уменьшение объемов работ по объекту «Строительство поисково-оценочной скважины №501ПО Корнаваринского лицензионного участка» с уменьшением стоимости работ по наряд-заказу</t>
  </si>
  <si>
    <t>10968 Мастер форма по услуге   «Обращение с отходами производства и потребления»</t>
  </si>
  <si>
    <t>00734-22</t>
  </si>
  <si>
    <t>Оказание услуг по сбору, подготовке и утилизации отходов бурения, технологических жидкостей и загрязнённых земель, образующихся в процессе строительства разведочных скважин на Лескинском лицензионном участке в период 2022-2024 годов, с целью соблюдения природоохранного законодательства РФ.</t>
  </si>
  <si>
    <t>45662258.96</t>
  </si>
  <si>
    <t>00735-21</t>
  </si>
  <si>
    <t>Наряд-заказ №6 от 07.06.2021</t>
  </si>
  <si>
    <t>Изменение №1 к наряд-заказу №6</t>
  </si>
  <si>
    <t>Уменьшение объемов работ по объекту «Строительство поисково-оценочной скважины №502ПО Корнаваринского лицензионного участка» с уменьшением стоимости работ по наряд-заказу</t>
  </si>
  <si>
    <t>00735-22</t>
  </si>
  <si>
    <t>ГЕО-22/33100/00195</t>
  </si>
  <si>
    <t>00736-22</t>
  </si>
  <si>
    <t>ГЕО-22/26000/00189</t>
  </si>
  <si>
    <t>в целях обеспечения неразглашения информации, составляющей коммерческую тайну и иной конфиденциальной информации при оказании услуг по Договору</t>
  </si>
  <si>
    <t>00737-22</t>
  </si>
  <si>
    <t>Копылов Евгений Олегович</t>
  </si>
  <si>
    <t>00738-22</t>
  </si>
  <si>
    <t>Участие в конференции Актуальные вопросы исследований пластовых нефтегазовых систем 2022</t>
  </si>
  <si>
    <t>Участие и организация конференций и иных подобных мероприятий</t>
  </si>
  <si>
    <t>00739-21</t>
  </si>
  <si>
    <t>№ГЕО-21/11708/00165/Р//НТЦ-21/09000/00768/Д</t>
  </si>
  <si>
    <t>НТЦ-02573-21Д-ГЕО</t>
  </si>
  <si>
    <t>ООО «Газпромнефть НТЦ"</t>
  </si>
  <si>
    <t>Договор о совместной научной и научно-технической деятельности</t>
  </si>
  <si>
    <t>00739-22</t>
  </si>
  <si>
    <t>ГЕО-22/35000/00218</t>
  </si>
  <si>
    <t>ООО "ГПН-Гео" в связи с заключенным с ООО "Акбарыс" договором на выполнение работ (оказание услуг) обязуется обязуется в рамках ст. 718 Гражданского кодекса РФ предоставить доступ к автоматизированной информационной системе «СУДИР» (далее – «СУДИР») и к информационным ресурсам через СУДИР (далее – «ИР») сотрудникам подрядной организации без ограничений по количеству предоставляемых доступов к СУДИР.</t>
  </si>
  <si>
    <t>00740-21</t>
  </si>
  <si>
    <t xml:space="preserve">Договор подряда на отбор керна при бурении и реконструкции скважин </t>
  </si>
  <si>
    <t>Выполнение работ по отбору керна. Проект "Южный Оренбург"</t>
  </si>
  <si>
    <t>Дунаев Э.В. - Руководитель направления по бурению</t>
  </si>
  <si>
    <t>00741-21</t>
  </si>
  <si>
    <t>Задание № 10 к Договору № ГЕО-20/10986/00138/Р от 10.08.2020г. с компанией ООО «ОГК» на оказание супервайзерских услуг по контролю состояния производственной безопасности и безопасности дорожного движения в 2021-2022гг. для Проекта «Титан».</t>
  </si>
  <si>
    <t xml:space="preserve"> оказание супервайзерских услуг по контролю состояния производственной безопасности и безопасности дорожного движения в 2021-2022гг. для Проекта «Титан».</t>
  </si>
  <si>
    <t>00741-22</t>
  </si>
  <si>
    <t xml:space="preserve">№ГЕО-20/10986/00128/Р </t>
  </si>
  <si>
    <t xml:space="preserve">Наряд-заказ на оказание услуг № 8 к Договору №ГЕО-20/10986/00128/Р от 07.08.2020 г. </t>
  </si>
  <si>
    <t xml:space="preserve">Оказание услуг по обеспечению безопасных условий труда для работников и соблюдению требований промышленной безопасности на скважине № 178 Лескинского лицензионного участка. </t>
  </si>
  <si>
    <t>00741-23</t>
  </si>
  <si>
    <t>Дополнительное соглашение №10 к договору на выполнение работ по обработке и интерпретации данных СРР №ГЕО-19/10111/00120/P на перевод из НГО в ГО</t>
  </si>
  <si>
    <t>Перевод из НГО в ГО объемов по Краснореченскому и Ягодному ЛУ для исполнения ДД с ГПН-Оренбург</t>
  </si>
  <si>
    <t>00742-21</t>
  </si>
  <si>
    <t>Изменение реквизитов адреса контрагента ООО "Партнеры Ноябрьск"</t>
  </si>
  <si>
    <t>00742-22</t>
  </si>
  <si>
    <t>ГЕО-22/10000/00200</t>
  </si>
  <si>
    <t>Соглашение СУДИР</t>
  </si>
  <si>
    <t xml:space="preserve">В рамках исполнения Приказа 65-П от 25.07.2022_x000D_
</t>
  </si>
  <si>
    <t>00742-23</t>
  </si>
  <si>
    <t>ДС 2 к ГЕО-23/20000/00102/Д с ООО "Уралгеопроект"</t>
  </si>
  <si>
    <t>Продление срока действия</t>
  </si>
  <si>
    <t>00743-22</t>
  </si>
  <si>
    <t>ГЕО-22/09000/00202</t>
  </si>
  <si>
    <t>Для работы в Цифровом партнере</t>
  </si>
  <si>
    <t>00743-23</t>
  </si>
  <si>
    <t>ГЕО-23/26000/00213</t>
  </si>
  <si>
    <t>Заключение договора о конфиденциальности с физическим лицом</t>
  </si>
  <si>
    <t>00744-21</t>
  </si>
  <si>
    <t>Дополнительное соглашение № 111 к агентскому договору № ГПН-20/20000/04373/Д/ ГЕО-20/09000/00216/Р от 31.12.2020 г.</t>
  </si>
  <si>
    <t>111</t>
  </si>
  <si>
    <t>Уменьшение агентского вознаграждения</t>
  </si>
  <si>
    <t>00744-22</t>
  </si>
  <si>
    <t>ГЕО-22/10000/00196</t>
  </si>
  <si>
    <t>Соглашение СУДИР (ООО "Газпром бурение")</t>
  </si>
  <si>
    <t>00744-23</t>
  </si>
  <si>
    <t xml:space="preserve">ДС № 12 к Д № ГЕО-18/00000/00025Д </t>
  </si>
  <si>
    <t>Дополнительное соглашение № 12 к Операторскому Договору № ГЕО-18/00000/00025Д от 02  октября 2018 г.  об актуализации программы работ на 2024 год по Оморинскому ЛУ</t>
  </si>
  <si>
    <t>00745-21</t>
  </si>
  <si>
    <t>Дополнительное соглашение о переводе негарантированного объема в гарантированный</t>
  </si>
  <si>
    <t>Перевод негарантированного объема договора в гарантированный.</t>
  </si>
  <si>
    <t>Гаврилов А.Б. - Руководитель программы информационных технологий, связи и цифрового развития</t>
  </si>
  <si>
    <t>Аренда каналов связи</t>
  </si>
  <si>
    <t>00745-22</t>
  </si>
  <si>
    <t>ГЕО-22/10000/00199</t>
  </si>
  <si>
    <t>Соглашение СУДИР (ООО "НСХ АЗИЯ ДРИЛЛИНГ")</t>
  </si>
  <si>
    <t>00745-23</t>
  </si>
  <si>
    <t>№ ГЕО-20/1Ю14/00070/Р</t>
  </si>
  <si>
    <t>заключение ДС к действующим ДД (КС и ПИР) на замену ОЛ</t>
  </si>
  <si>
    <t>00746-21</t>
  </si>
  <si>
    <t>ДЗП-35-21/ГЕО-21/01000/00033/Р</t>
  </si>
  <si>
    <t>Приложение № 2 к Договору поставки № ДЗП-35-21/ГЕО-21/0100000033/Р от «12» марта 2021г.</t>
  </si>
  <si>
    <t xml:space="preserve">Поставка наборов реагентов для иммунохроматографического выявления антигена SARS-CoV-2 </t>
  </si>
  <si>
    <t xml:space="preserve">Долгов Д.Г. - Руководитель направления по логистике и сопутствующим сервисам </t>
  </si>
  <si>
    <t>00746-22</t>
  </si>
  <si>
    <t>ГЕО-22/09000/00204/Р</t>
  </si>
  <si>
    <t>Договор на передачу неисключительных прав использования базы данных</t>
  </si>
  <si>
    <t xml:space="preserve">Передача неисключительных прав использования базы данных (простая неисключительная лицензия) - справочная система «Охрана труда». </t>
  </si>
  <si>
    <t>ООО Система Северо-Запад</t>
  </si>
  <si>
    <t>00746-23</t>
  </si>
  <si>
    <t xml:space="preserve"> по региональным НИР в ООО "ГПН-ГЕО"</t>
  </si>
  <si>
    <t>Переслегин Михаил Викторович</t>
  </si>
  <si>
    <t>0000058553, 0000080990</t>
  </si>
  <si>
    <t xml:space="preserve">ООО Газпром нефть шельф ; 
АО ГЕОСЛУЖБА ГИН РАН </t>
  </si>
  <si>
    <t>7725610285, 7703783277</t>
  </si>
  <si>
    <t>00747-22</t>
  </si>
  <si>
    <t>ГЕО-22/24000/00242/Р</t>
  </si>
  <si>
    <t>закупка лицензий КонсультантПлюс</t>
  </si>
  <si>
    <t>На оказание услуг по поставке, адаптации, модификации и предоставлению доступа к экземплярам Систем КонсультантПлюс</t>
  </si>
  <si>
    <t>Отдел информационных технологий, автоматизации и телекоммуникаций</t>
  </si>
  <si>
    <t>ООО "Ваше Право"</t>
  </si>
  <si>
    <t>00747-23</t>
  </si>
  <si>
    <t>Изменение №1 от 11.12.2023г. к Наряд-заказу №4 к Договору № ГЕО-22/11000/00274/Р от 14.10.2022г.</t>
  </si>
  <si>
    <t>00748-22</t>
  </si>
  <si>
    <t>Договор на выполнение работ по шеф-монтажу и сервисному сопровождению устьевого оборудования на проекте «Енисей»</t>
  </si>
  <si>
    <t>Выполнение работ 10351 Шеф-монтаж и сервисное сопровождение устьевого оборудования</t>
  </si>
  <si>
    <t>00748-23</t>
  </si>
  <si>
    <t>ГЕО-22/20000/00334/Д</t>
  </si>
  <si>
    <t>ДС 1 к ГЕО-22/20000/00334/Д с ООО "АКБАРЫС"</t>
  </si>
  <si>
    <t>00749-23</t>
  </si>
  <si>
    <t>ГЕО-22/20000/00283/Д</t>
  </si>
  <si>
    <t>ДС 1 к ГЕО-22/20000/00283/Д с ООО "БРПО"</t>
  </si>
  <si>
    <t>00750-21</t>
  </si>
  <si>
    <t>Наряд-Заказ по оказанию услуг охраны</t>
  </si>
  <si>
    <t>Согласование Нарад-заказа № 1 на оказание услуг охраны  в период 15.11.2021 по 30.04.2023г</t>
  </si>
  <si>
    <t>00750-22</t>
  </si>
  <si>
    <t>ГЕО-22/09000/00213/Р</t>
  </si>
  <si>
    <t>Договор водопользования</t>
  </si>
  <si>
    <t>Забор (изъятие) водных ресурсов из водного объекта для водоснабжения объектов Северо-Ямбургского лицензионного участка</t>
  </si>
  <si>
    <t xml:space="preserve">Департамент природных ресурсов и экологии Ямало-Ненецкого автономного округа </t>
  </si>
  <si>
    <t>00750-23</t>
  </si>
  <si>
    <t>ГЕО-23/09100/00220/Р</t>
  </si>
  <si>
    <t>На оказание возмездных услуг</t>
  </si>
  <si>
    <t>«Дополнительное обучение водителей автотранспортных средств теоретической части программы «Защитное вождение, зимнее вождение, вождение в сложных условиях» с применением образовательных технологий»</t>
  </si>
  <si>
    <t>0000078156</t>
  </si>
  <si>
    <t xml:space="preserve">ООО Безопасный водитель </t>
  </si>
  <si>
    <t>7724921055</t>
  </si>
  <si>
    <t>00751-21</t>
  </si>
  <si>
    <t>Согласование Нарад-заказа № 1 на оказание услуг охраны  в период 15.10. 2021 по 16.07. 2022г</t>
  </si>
  <si>
    <t>00751-22</t>
  </si>
  <si>
    <t>Дополнительное соглашение № 4 к Договору № ГЕО-21/08000/00296/Р от «28» декабря 2021 г.</t>
  </si>
  <si>
    <t>00751-23</t>
  </si>
  <si>
    <t>Наряд-заказа № 2 к Договору №ГЕО-22/10968/00244/Р от 23.09.2022 г. с ООО «НИИ ЭиРИПР»</t>
  </si>
  <si>
    <t>Выполнение работ по утилизации</t>
  </si>
  <si>
    <t>00752-21</t>
  </si>
  <si>
    <t>ГЕО-21/26000/00252</t>
  </si>
  <si>
    <t>00752-22</t>
  </si>
  <si>
    <t>ГЕО-22/26000/00212</t>
  </si>
  <si>
    <t>00752-23</t>
  </si>
  <si>
    <t>ДС 2 к ГЕО-23/20000/00076/Д с ООО НППГА "ЛУЧ"</t>
  </si>
  <si>
    <t>00753-21</t>
  </si>
  <si>
    <t>ГЕО-21/25000/00260/Р</t>
  </si>
  <si>
    <t>Разработка «Программы практической подготовки волонтеров для участия в ликвидации разливов нефти и нефтепродуктов в зоне ответственности ООО «ГПН-ГЕО»</t>
  </si>
  <si>
    <t>Бухтеева Анна Андреевна</t>
  </si>
  <si>
    <t>00753-22</t>
  </si>
  <si>
    <t>Заключение соглашения в области производственной безопасности для услуги 10351</t>
  </si>
  <si>
    <t>00753-23</t>
  </si>
  <si>
    <t>ДС 1 к ГЕО-23/20000/00081/Д с ООО "БАРБУС"</t>
  </si>
  <si>
    <t>00754-21</t>
  </si>
  <si>
    <t>Заказ-Наряд №13 к договору №ГЕО-19/11708/00133/Р от 25.06.2019</t>
  </si>
  <si>
    <t>Изучение нижнеюрского и доюрского комплекса ХМАО</t>
  </si>
  <si>
    <t>00754-22</t>
  </si>
  <si>
    <t xml:space="preserve">Дополнительное соглашение №1 </t>
  </si>
  <si>
    <t xml:space="preserve">1. изменение сроков оплаты оказанных услуг_x000D_
2. добавление условий о применении коэффициента корректировки стоимости в связи с изменением обменного курса валют </t>
  </si>
  <si>
    <t>00755-21</t>
  </si>
  <si>
    <t>Заказ-Наряд №12 к договору №ГЕО-19/11708/00134/Р от 25.06.2019</t>
  </si>
  <si>
    <t>10120 Типовая форма (Мастер-форма) договора по услуге "Гидродинамические исследования"</t>
  </si>
  <si>
    <t>00755-22</t>
  </si>
  <si>
    <t xml:space="preserve">оказание услуг по проведению гидродинамических исследований скважин (ГДИС) в обсаженном стволе с помощью испытателя пластов на трубах </t>
  </si>
  <si>
    <t>ООО «НТЦ «Геомеханика»</t>
  </si>
  <si>
    <t>153381156</t>
  </si>
  <si>
    <t>00755-23</t>
  </si>
  <si>
    <t>Изменение №2 к Заявке № 4 к договору № ГЕО-23/09000/00149/Р от 28.08.2023 г.</t>
  </si>
  <si>
    <t>- Изменение №2 к Заявке №4 на привлечение руководителя группы по производственной безопасности на проект «Оморинский», Салаирская площадь, скважина СЛР-3 Москаленко Е.Н. и продолжить привлечение Жуланова М.А.;
- применение квалификационных требований к руководителю группы по производственной безопасности, в соответствии с принятыми в рамках протокола совещания группы по экспертизе от 02.11.2023 г. №ПТ-9/0000224 критериями;
- корректировку объёмов и сроков оказания услуг по привлечению Павлюка В.П. и Жуланова М.А. к факту и отражение объёмов и сроков услуг на период привлечения Жуланова М.А. и Москаленко Е.Н. совместно для дальнейшей работы по сменам в рамках вахты.</t>
  </si>
  <si>
    <t>00756-21</t>
  </si>
  <si>
    <t>ГЕО-21/00000/00254</t>
  </si>
  <si>
    <t>00757-21</t>
  </si>
  <si>
    <t>ГЕО-21/09000/00309/Р</t>
  </si>
  <si>
    <t xml:space="preserve">Об оказании услуг по предоставлению доступа к информационной системе «Личный кабинет – платформа Единой базы медицинских данных» </t>
  </si>
  <si>
    <t>Предоставление доступа к результатам предварительных/периодических медицинских осмотров, заключений об отнесении к группе риска по сердечно-сосудистым заболеваниям (включающее оценку суммарного сердечно-сосудистого риска по шкале SCORE), к группе диспансерного наблюдения, результатам предсменных/послесменных, предрейсовых/ послерейсовых осмотров, вакцинации. Предоставление доступа к результатам предварительных/периодических медицинских осмотров в формате годен/не годен, без доступа к медицинским данным.</t>
  </si>
  <si>
    <t xml:space="preserve"> АНО "Центр профессиональной патологии и лабораторной диагностики"</t>
  </si>
  <si>
    <t>00757-22</t>
  </si>
  <si>
    <t>ООО "НТЦ "ГЕОМЕХАНИКА"</t>
  </si>
  <si>
    <t>00758-21</t>
  </si>
  <si>
    <t>Изменение количества застархованных лиц и суммы страховой премии</t>
  </si>
  <si>
    <t>00758-22</t>
  </si>
  <si>
    <t>ГЕО-22/10000/00206</t>
  </si>
  <si>
    <t>Соглашение о безопасном использовании ингформационных систем</t>
  </si>
  <si>
    <t>Получение соответствующих ролей в Цифровом партнере ПБ</t>
  </si>
  <si>
    <t>00759-21</t>
  </si>
  <si>
    <t xml:space="preserve">АНГ-17/10403/00136/Р </t>
  </si>
  <si>
    <t>С об УП</t>
  </si>
  <si>
    <t>Урегулирование претензии с компанией "Шлюмберже Лоджелко Инк."</t>
  </si>
  <si>
    <t>0000040666</t>
  </si>
  <si>
    <t xml:space="preserve">Нефтеюганский Филиал Шлюмберже </t>
  </si>
  <si>
    <t>00759-22</t>
  </si>
  <si>
    <t>ДС №4 к Договору №№ГЕО-21/10308/00236/Р от 04.10.2021 г.</t>
  </si>
  <si>
    <t>Без изменения общей стоимости Договора:_x000D_
1. Перевод части негарантированного объема 2022 г. в гарантированный объем 2022 г._x000D_
2. Приведение Расчета стоимости Договора в соответствие к фактическому исполнению.</t>
  </si>
  <si>
    <t>00760-22</t>
  </si>
  <si>
    <t>ДС №2 к Договору № ВР-69-10110/20-23/ГЕО-22/10000/00076/Р от 30.09.2020.</t>
  </si>
  <si>
    <t>В целях адаптация договора с ООО «ТСГК», полученного в рамках переуступки от _x000D_
СН-МНГ, под НМД ГПН-ГЕО, а также для переноса графика выполнения работ в соответствии с операторским договором</t>
  </si>
  <si>
    <t>00761-22</t>
  </si>
  <si>
    <t xml:space="preserve">ГЕО-22/10000/00048/Р </t>
  </si>
  <si>
    <t xml:space="preserve">ДС №1 к договору ГЕО-22_10000_0004_Р от 28.02.2022 </t>
  </si>
  <si>
    <t xml:space="preserve">Об изменении сроков оплаты фактически выполненных работ </t>
  </si>
  <si>
    <t>00761-23</t>
  </si>
  <si>
    <t>ДС 2 к ГЕО-23/20000/00073/Д с ООО "СТС"</t>
  </si>
  <si>
    <t>00762-22</t>
  </si>
  <si>
    <t>00762-23</t>
  </si>
  <si>
    <t>Дополнительное соглашение №1  к Договору № ГЕО-22/25000/00146/Р от 01.07.2022 г.</t>
  </si>
  <si>
    <t>Изменение сроков выполнения</t>
  </si>
  <si>
    <t>00763-22</t>
  </si>
  <si>
    <t>ГЕО-22/09000/00220/Р</t>
  </si>
  <si>
    <t>Договор на организацию участия в мероприятиях Всероссийской недели охраны труда (27-30 сентября 2022 г.)</t>
  </si>
  <si>
    <t>Изучение и рассмотрение лучших мировых и отечественных практик в области системы управления охраной труда, производственной и экологической безопасности, превентивных мер, направленных на профилактику травматизма и профессиональной заболеваемости, обсуждения направлений государственной политики в области охраны труда и совершенствования нормативной правовой базы</t>
  </si>
  <si>
    <t>0000046049</t>
  </si>
  <si>
    <t xml:space="preserve">Фонд РОСКОНГРЕСС </t>
  </si>
  <si>
    <t>7706412930</t>
  </si>
  <si>
    <t>00763-23</t>
  </si>
  <si>
    <t>ГЕО-23/10000/00216</t>
  </si>
  <si>
    <t xml:space="preserve">Соглашение  об урегулировании взаимных претензионных требований и подведении итогового сальдо встречных предоставлений по Договору № ГЕО-19/10201/00155/Р от 11.07.2019г. </t>
  </si>
  <si>
    <t>00764-21</t>
  </si>
  <si>
    <t>Дополнительное соглашение № 4 к ДОГОВОРУ № ГЕО-20/10986/00128/Р от 07.08.2020 г.</t>
  </si>
  <si>
    <t>Оказание услуг по сероводороду. Перевод из негарантированного в гарантированный объем</t>
  </si>
  <si>
    <t>Сервис по защите от сероводорода</t>
  </si>
  <si>
    <t>00764-22</t>
  </si>
  <si>
    <t>ГЕО-22/09000/00205</t>
  </si>
  <si>
    <t>Соглашение о безопасном использовании информационных систем О «ЭнергоТехСервис»,</t>
  </si>
  <si>
    <t>00764-23</t>
  </si>
  <si>
    <t>НЗ №3 к Договору №ГЕО-22/10000/00271/Р от 10.10.2022 г. с ООО «ТНГ-Групп» на СРР проект ЮНП</t>
  </si>
  <si>
    <t>Проведение полевых сейсморазведочных работ МОГТ 3D по заказу ООО «ГПН-ГЕО» на проекте ЮНП</t>
  </si>
  <si>
    <t>10301 Договор на оказание услуги  «Технологическое сопровождение (прокат) буровых долот и забойных двигателей»</t>
  </si>
  <si>
    <t>00765-21</t>
  </si>
  <si>
    <t>10301 Договор на оказание услуги  «Технологическое сопровождение (прокат) буровых долот»</t>
  </si>
  <si>
    <t>Оказание услуг по сопровождению (прокату) буровых долот (секции 660мм - 295,3мм). Проект "Южный Оренбург".</t>
  </si>
  <si>
    <t>ООО "ТРАЕКТОРИЯ-СЕРВИС"</t>
  </si>
  <si>
    <t>00765-23</t>
  </si>
  <si>
    <t>ГЕО-22/25000/00335/Р</t>
  </si>
  <si>
    <t>ДС №1 к договору № ГЕО-22/25000/00335/Р от 24.11.2022 г.</t>
  </si>
  <si>
    <t xml:space="preserve">Изменение срока действия договора и срока оказания услуг по договору, без изменения объема услуг  </t>
  </si>
  <si>
    <t>0000107545</t>
  </si>
  <si>
    <t xml:space="preserve">Безруков Артем Алексеевич </t>
  </si>
  <si>
    <t>551401569793</t>
  </si>
  <si>
    <t>00766-21</t>
  </si>
  <si>
    <t xml:space="preserve">Наряд-заказ № 28 (корректировка) к Договору № АНГ-19/11513/00007/Р </t>
  </si>
  <si>
    <t>28 (корректировка)</t>
  </si>
  <si>
    <t>Оформление землеустроительной документации для скв. Сал-3П, Км-4 Оморинского ЛУ (внесение корректировки в связи с изменением трассы к скв. Км-4)</t>
  </si>
  <si>
    <t>00766-22</t>
  </si>
  <si>
    <t>Заключение НЗ-19 к Рамочному договору с "Петротрейс"</t>
  </si>
  <si>
    <t>Экспертиза петрофизической модели ачимовской толщи Харвутинской площади Ямбургского нефтегазоконденсатного месторождения</t>
  </si>
  <si>
    <t>Коняшкина К.</t>
  </si>
  <si>
    <t>00766-23</t>
  </si>
  <si>
    <t>ГЕО-23/33100/00214</t>
  </si>
  <si>
    <t>Соглашение в области ПЭБ</t>
  </si>
  <si>
    <t>00767-21</t>
  </si>
  <si>
    <t>Договор на оказание услуг по оценке</t>
  </si>
  <si>
    <t>Для формирования корректной цены реализации при продаже МТР категории НВИ, СВ и основных средств без остаточной стоимости</t>
  </si>
  <si>
    <t>00767-22</t>
  </si>
  <si>
    <t>20000 Агентский договор на организацию вертолетных авиаперевозок с ООО «ГеоЛад-СТ»</t>
  </si>
  <si>
    <t>00767-23</t>
  </si>
  <si>
    <t>ГЕО-23/24000/00221/Р</t>
  </si>
  <si>
    <t xml:space="preserve">Рамочный лицензионный договор на предоставление или приобретение прав использования программ для электронных вычислительных машин (ЭВМ) "Кибер Бэкап" </t>
  </si>
  <si>
    <t>Предоставление неисключительного права (простой лицензии) на использование программного обеспечения "Кибер Бэкап Расширенная редакция для платформы виртуализации" и технической поддержки для ООО "ГПН-ГЕО"</t>
  </si>
  <si>
    <t>00768-21</t>
  </si>
  <si>
    <t>АНГ-18/10926/00226/Р</t>
  </si>
  <si>
    <t>Дополнительное соглашение № 1 к Договору № АНГ-18/10926/00226/Р от 29.10.2018 г.</t>
  </si>
  <si>
    <t>Продление срока действия Договора</t>
  </si>
  <si>
    <t>00768-22</t>
  </si>
  <si>
    <t>НАРЯД-ЗАКАЗ № 12 к Договору № АНГ-191151300010Р от 18 февраля 2019</t>
  </si>
  <si>
    <t xml:space="preserve">Выполнение комплекса землеустроительных и лесоустроительных работ для объекта: "Обустройство поисково-оценочной скважины №72 Хамбатейского лицензионного участка", в том числе:_x000D_
1. Проезд до зимнего водозабора 1уч._x000D_
2. Площадки для устройства переправы 4 уч._x000D_
3. Дорожно-ремонтный пункт 1 уч._x000D_
</t>
  </si>
  <si>
    <t>00768-23</t>
  </si>
  <si>
    <t>ГЕО-24/09000/00015/Р</t>
  </si>
  <si>
    <t>0000040963</t>
  </si>
  <si>
    <t xml:space="preserve">ДПР ЯНАО </t>
  </si>
  <si>
    <t>8901017195</t>
  </si>
  <si>
    <t>00769-21</t>
  </si>
  <si>
    <t>ГПН-18/09000/02142/Р</t>
  </si>
  <si>
    <t>Дополнительное соглашение №13 к Договору о выполение операторских работ и оказании операторских услуг</t>
  </si>
  <si>
    <t>ДС Северо-Ямбургский ЛУ</t>
  </si>
  <si>
    <t>00769-22</t>
  </si>
  <si>
    <t>ГЕО-22/35000/00217</t>
  </si>
  <si>
    <t>В целях аудита с использованием удаленного доступа</t>
  </si>
  <si>
    <t>0000055732</t>
  </si>
  <si>
    <t xml:space="preserve">ООО Р.О.С.ЭКСПЕРТИЗА </t>
  </si>
  <si>
    <t>7708000473</t>
  </si>
  <si>
    <t>00769-23</t>
  </si>
  <si>
    <t>ДС 2 к договору НСиБ № 0623 LA 000079/ГЕО-22/17000/00343/Р от «30» декабря 2022 г.</t>
  </si>
  <si>
    <t>Пересмотр численности застрахованных лиц по договору, в связи с приемом новых сотрудников и увольнением сотрудников ООО «ГПН-ГЕО»,</t>
  </si>
  <si>
    <t>09000 Договор на оказание возмездных услуг по охране объектов (пропускного и внутриобъектового режима) (90303 по КТ-777)</t>
  </si>
  <si>
    <t>00770-22</t>
  </si>
  <si>
    <t xml:space="preserve">оказание услуг по охране </t>
  </si>
  <si>
    <t>21916688.85</t>
  </si>
  <si>
    <t>00770-23</t>
  </si>
  <si>
    <t>Изм№1 к НЗ№5 по ДД №ГЕО-22/11029/00171/Р  от 25.07.2022г.</t>
  </si>
  <si>
    <t>Изм№1 к НЗ№5 по ДД №ГЕО-22/11029/00171/Р  от 25.07.2022г. – «Оказание комплекса услуг по устройству и содержанию зимних проездов и площадок геологоразведочных скважин Салаирского лицензионного участка»</t>
  </si>
  <si>
    <t>10114 Мастер-форма договора по услуге «Супервайзерские услуги полевых работ площадными геофизическими методами»</t>
  </si>
  <si>
    <t>00771-21</t>
  </si>
  <si>
    <t>Заключение договора по услуге «Супервайзерские услуги полевых работ площадными геофизическими методами»</t>
  </si>
  <si>
    <t>00771-22</t>
  </si>
  <si>
    <t xml:space="preserve">О взаимодействии в рамках электронного документооборота </t>
  </si>
  <si>
    <t>Применение электронного документооборота (далее – ЭДО) при обмене следующими документами по договору: акта выполненных работ, счет-фактуры</t>
  </si>
  <si>
    <t>0000090808</t>
  </si>
  <si>
    <t>УФПС г. Санкт-Петербурга и Ленингра дской области</t>
  </si>
  <si>
    <t>00771-23</t>
  </si>
  <si>
    <t xml:space="preserve">Договор на выполнение работ по проведению полевых работ несейсмическими методами (электроразведочные работы) </t>
  </si>
  <si>
    <t xml:space="preserve">Проведение полевых и камеральных электроразведочных работ методом ЗСБ на ЛУ "Салым Петролеум Девелопмент Н.В." в ХМАО </t>
  </si>
  <si>
    <t>00772-21</t>
  </si>
  <si>
    <t>НТЦ-18/29000/01335/Д-ГЕО/ГЕО-19/10124/00001 от 09.01.2019</t>
  </si>
  <si>
    <t>Дополнительное Соглашение №8</t>
  </si>
  <si>
    <t>Выполнение НИР</t>
  </si>
  <si>
    <t>00772-22</t>
  </si>
  <si>
    <t>Заявка №3 к Договору № ГЕО-21/08000/00296/Р от «28» декабря 2021 г.</t>
  </si>
  <si>
    <t>Разработка проектной документации на геологическое изучение на Оморинском участке недр.</t>
  </si>
  <si>
    <t>00772-23</t>
  </si>
  <si>
    <t>Дополнительное соглашение №2 к соглашению о компенсации убытков</t>
  </si>
  <si>
    <t>00773-21</t>
  </si>
  <si>
    <t xml:space="preserve"> № ГЕО-20/10986/00128/Р от 07.08.2020 г.</t>
  </si>
  <si>
    <t>НАРЯД-ЗАКАЗ НА ОКАЗАНИЕ УСЛУГ №5</t>
  </si>
  <si>
    <t>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t>
  </si>
  <si>
    <t>00773-22</t>
  </si>
  <si>
    <t>Заявка №4 к Договору № ГЕО-21/08000/00296/Р от «28» декабря 2021 г.</t>
  </si>
  <si>
    <t>Региональное обобщение геолого-геофизической информации, создание сейсмогеологических моделей с целью выявления и локализации геологических объектов для строительства и эксплуатации подземных сооружений не связанных с добычей полезных ископаемых (размещение парниковых газов)</t>
  </si>
  <si>
    <t>00773-23</t>
  </si>
  <si>
    <t>Заявка № 6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</si>
  <si>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и супервайзера по ПБ на Проект «ЮНП».</t>
  </si>
  <si>
    <t>00774-21</t>
  </si>
  <si>
    <t>Услуги по исследованию состава и свойств пластовых флюидов скв.178 Лескинское месторождение</t>
  </si>
  <si>
    <t>01/2021</t>
  </si>
  <si>
    <t>Исследование пластового флюида</t>
  </si>
  <si>
    <t>Услуги по исследованию состава и свойств пластовых флюидов</t>
  </si>
  <si>
    <t>00774-23</t>
  </si>
  <si>
    <t>ГЕО-23/10000/00219/Р</t>
  </si>
  <si>
    <t>71488584.75</t>
  </si>
  <si>
    <t>00775-21</t>
  </si>
  <si>
    <t xml:space="preserve">Дополнительное соглашение №2 к Договору № ГЕО-21/11708/00165/Р//НТЦ-21/09000/00768/Д </t>
  </si>
  <si>
    <t>Акутализация перечня работ и единичных расценок НТЦ в связи утверждением бизнес-плана на 2022 год</t>
  </si>
  <si>
    <t>00775-22</t>
  </si>
  <si>
    <t>ГЕО-22/33100/00216</t>
  </si>
  <si>
    <t>00775-23</t>
  </si>
  <si>
    <t>00776-21</t>
  </si>
  <si>
    <t>ГЕО-20/17000/00213/Р</t>
  </si>
  <si>
    <t>00776-22</t>
  </si>
  <si>
    <t xml:space="preserve">Наряд-заказ на оказание услуг № 9 к Договору №ГЕО-20/10986/00128/Р от 01.09.2020 г. </t>
  </si>
  <si>
    <t xml:space="preserve">Оказание услуг по обеспечению безопасных условий труда для работников и соблюдению требований промышленной безопасности на скважине № 198 Лескинского лицензионного участка. </t>
  </si>
  <si>
    <t>00776-23</t>
  </si>
  <si>
    <t>Закупка услуги по управлению проектом разработки брендбука цифровых продуктов, а также создания уникальных медиапроектов, интервью с ключевыми спикерами и материалов на тему геологоразведочного бизнеса в корпоративные СМИ.</t>
  </si>
  <si>
    <t>00777-21</t>
  </si>
  <si>
    <t>Согласование Наряд-Заказа №1 на оказание услуг охраны в период с 15.10.2021г. по 16.07.2022г.</t>
  </si>
  <si>
    <t>Страдымов А.Г - ГС по режиму и охране</t>
  </si>
  <si>
    <t>00777-23</t>
  </si>
  <si>
    <t>ГЕО-23/26000/00225</t>
  </si>
  <si>
    <t>00778-21</t>
  </si>
  <si>
    <t>ГЕО-21/24000/00264/Р</t>
  </si>
  <si>
    <t>464 440,88</t>
  </si>
  <si>
    <t>00778-22</t>
  </si>
  <si>
    <t>Дополнительное соглашение №5 к договору № ГЕО-19/09000/00303/P от 15.11.2019</t>
  </si>
  <si>
    <t xml:space="preserve">Дополнительное соглашение №5 к Договору                     №ГЕО-19/09000/00303/Р от 15.11.2019г., предусматривает:_x000D_
1). Внесение изменений в Приложение № 1а к Техническому заданию Гарантированный объем работ Северо-Ямбургский лицензионный участок, _x000D_
Приложение № 1б к Техническому заданию Гарантированный объем работ Солнечный лицензионный участок,_x000D_
Приложение № 1в к Техническому заданию Гарантированный объем работ Оморинский лицензионный участок,_x000D_
Приложение № 1г к Техническому заданию Гарантированный объем работ Хамбатейский лицензионный участок._x000D_
2). включение в Приложении №1 «Расчёт стоимости» следующих ставок: _x000D_
- «Организация и проведение углубленного медицинского осмотра» в Уральском, Сибирском, Приволжском и Дальневосточном Федеральных округах;_x000D_
- «Психофизиологическое исследование» в Приволжском ФО;_x000D_
- «Организация ИФА диагностики (определение кортизола в слюне) в Приволжском ФО»;_x000D_
- «Организация диагностики ДГЭА» в Приволжском ФО._x000D_
3). Перераспределение негарантированных объемов в гарантированные, в связи с необходимостью оказания услуг в 2022-2023;_x000D_
</t>
  </si>
  <si>
    <t>00778-23</t>
  </si>
  <si>
    <t>Дополнительное соглашение №1 к Договору № ГЕО-23/25000/00039/Р от 15.02.2023 г.</t>
  </si>
  <si>
    <t>Гусина Е.М.</t>
  </si>
  <si>
    <t>Д-21</t>
  </si>
  <si>
    <t>00779-21</t>
  </si>
  <si>
    <t>ОРН-21/04300/00210/Р</t>
  </si>
  <si>
    <t>Дополнительное соглашение № 1 к договору аренды земельного участка</t>
  </si>
  <si>
    <t>Об увелечении срока аренды земельного участка и суммы по Договору</t>
  </si>
  <si>
    <t>00779-23</t>
  </si>
  <si>
    <t>Продление срока действия Договора №ГЕО-22/09000/00125/Р от 01.06.2022</t>
  </si>
  <si>
    <t>00780-21</t>
  </si>
  <si>
    <t xml:space="preserve">ГЕО-19/11019/00140/Р </t>
  </si>
  <si>
    <t>Изменение сроков по разработке проекта СЗЗ (этап 5.1 календарного плана)</t>
  </si>
  <si>
    <t>00780-22</t>
  </si>
  <si>
    <t>услуги по утилизации отходов бурения, утилизации отходов испытания/освоения/ГРП, рекультивации шламонакопителя, рекультивации нефтезагрязненных земель</t>
  </si>
  <si>
    <t>00780-23</t>
  </si>
  <si>
    <t>ГЕО-23/33200/00229</t>
  </si>
  <si>
    <t>Актуализация типовой формы Соглашения об использовании электронного документооборота</t>
  </si>
  <si>
    <t>00781-21</t>
  </si>
  <si>
    <t>Скрининг рычагов повышения эффективности и ускорения ОПР для пилотной закачки газа в пласт: потенциал технологии Huff'n'Puff</t>
  </si>
  <si>
    <t>НТЦ-03074-21Д-ГЕО</t>
  </si>
  <si>
    <t>Создание геологических и фильтрационных моделей пласта БП17 Вынгаяхинского месторождения для целей пилота MGI</t>
  </si>
  <si>
    <t>00781-23</t>
  </si>
  <si>
    <t>НЗ №5 Уралгеопроект, ООО  к договору ГЕО-22/11000/00267/Р от 10.10.2022</t>
  </si>
  <si>
    <t>НАРЯД-ЗАКАЗ №5 с ООО «Уралгеопроект». Выполнению инженерных изысканий для нужд ООО «ГПН-ГЕО».</t>
  </si>
  <si>
    <t>00782-21</t>
  </si>
  <si>
    <t>Оказание услуг по сопровождению (прокату) буровых долот (секция 215,9мм). Проект "Южный Оренбург".</t>
  </si>
  <si>
    <t>Компания "Шлюмберже Лоджелко, Инк."</t>
  </si>
  <si>
    <t>00782-22</t>
  </si>
  <si>
    <t>№ГЕО-20/11014/00070/Р</t>
  </si>
  <si>
    <t>Н-З №5 к  Договору №ГЕО-20/11014/00070/Р от 06.05. 2021 года</t>
  </si>
  <si>
    <t>Заключения Наряд-заказа №5 по договору № ГЕО-20/11014/00070/Р от 06.05.2020 г. с ООО «Техно-Сервис»</t>
  </si>
  <si>
    <t>00782-23</t>
  </si>
  <si>
    <t>НЗ №11. Защита Югры, ООО к ДД № ГЕО-22/10000/00144/Р от 27.06.2022г.</t>
  </si>
  <si>
    <t>Сибирском федеральном округе (Игнялинский ЛУ) во исполнение Агентского Договора № ГНЗ-22/20000/00007/Р/02/1/ГЕО- Д/9-1/ВГС от «30» декабря 2022г. Между ООО «Газпромнефть-Заполярье» и ООО «ГПН– ГЕО».</t>
  </si>
  <si>
    <t>00783-21</t>
  </si>
  <si>
    <t>НТЦ-18/290000/01335/Д-ГЕО/ГЕО-19/10124/00001</t>
  </si>
  <si>
    <t>Подготовка бизнес-заказа на технологии на Чонском проекте</t>
  </si>
  <si>
    <t>НТЦ-02564-21Д-ГЕО</t>
  </si>
  <si>
    <t>Подготовка бизнес-заказа на технологии на Чонском проекте с целью повышения эффективности разведки и добычи</t>
  </si>
  <si>
    <t>00783-23</t>
  </si>
  <si>
    <t>ДС 2 к ГЕО-23/20000/00065/Д с АО "ССК" Томский филиал</t>
  </si>
  <si>
    <t>00784-21</t>
  </si>
  <si>
    <t>ГЕО-21/33200/00273</t>
  </si>
  <si>
    <t>Реализация ЭДО по доходным договорам</t>
  </si>
  <si>
    <t>10204 Договор подряда на бурение эксплуатационных скважин по суточной ставке или фиксированной ставке (в т.ч. Мобильными установками)</t>
  </si>
  <si>
    <t>00784-22</t>
  </si>
  <si>
    <t>Бурение скважин на Оморинском ЛУ. Камовская площадь.</t>
  </si>
  <si>
    <t>864825924.66</t>
  </si>
  <si>
    <t>00784-23</t>
  </si>
  <si>
    <t>ДС 1 к ГЕО-23/20000/00048/Д с ООО "БурСервис"</t>
  </si>
  <si>
    <t xml:space="preserve">10308  Мастер-форма Договора по услуге «ГТИ при бурении» </t>
  </si>
  <si>
    <t>00785-21</t>
  </si>
  <si>
    <t>00785-22</t>
  </si>
  <si>
    <t>Бурение скважин на Оморинском ЛУ. Салаирская площадь.</t>
  </si>
  <si>
    <t>905355891.06</t>
  </si>
  <si>
    <t>00785-23</t>
  </si>
  <si>
    <t>Заявка № 7 к договору о предоставлении труда работников (персонала) № ГЕО-23/09000/00149/Р от 28.08.2023 г.</t>
  </si>
  <si>
    <t>00786-22</t>
  </si>
  <si>
    <t>ГЕО-22/33200/00221</t>
  </si>
  <si>
    <t>обмен электронными документами</t>
  </si>
  <si>
    <t>00786-23</t>
  </si>
  <si>
    <t>Заявка № 9 к договору о предоставлении труда работников (персонала) № ГЕО-23/09000/00149/Р от 28.08.2023 г.</t>
  </si>
  <si>
    <t>00787-23</t>
  </si>
  <si>
    <t>ДС№1 к договору ГЕО-23/25000/00033/Р от 01.02.2023 г.</t>
  </si>
  <si>
    <t>Изменение срока окончания договора и сроков оказания услуг, без изменения объема оказания услуг</t>
  </si>
  <si>
    <t>00788-23</t>
  </si>
  <si>
    <t>ДС 3 к ГЕО-21/20000/00286/Д с Компания "Шлюмберже Лоджелко, Инк."</t>
  </si>
  <si>
    <t>00789-22</t>
  </si>
  <si>
    <t>ГЕО-22/26000/00235</t>
  </si>
  <si>
    <t>Соглашение о конфидициальности с АО "ССК"</t>
  </si>
  <si>
    <t>00790-21</t>
  </si>
  <si>
    <t>Дополнительное соглашение №6 к Договору № АНГ-18/10985/00282/Р от 29.12.2018 г.</t>
  </si>
  <si>
    <t>Перераспределением объёмов работ из негарантированного в гарантированный объём:_x000D_
1. Демобилизация оборудования;_x000D_
2. Устройство и содержание зимнего проезда для демобилизации- 16,34 км ;_x000D_
3. Доставка / вывоз персонала посредством Агентской схемы авиаперевозок (с последующим перевыставлением затрат).</t>
  </si>
  <si>
    <t>Бабаев Д.Г.- Начальник отдела, Отдел строительного контроля и технического надзора</t>
  </si>
  <si>
    <t>00790-23</t>
  </si>
  <si>
    <t>ГЕО-24/20000/00045/Д</t>
  </si>
  <si>
    <t>20000 Агентский договор на организацию вертолетных авиаперевозок ООО "Инженерно-технологический сервис"</t>
  </si>
  <si>
    <t>00791-21</t>
  </si>
  <si>
    <t>ГЕО-20/10838/00020/Р от 01 февраля 2020 г.</t>
  </si>
  <si>
    <t xml:space="preserve">Приведение негарантированного объема работ в гарантированный в 2022г. в связи с производственной необходимостью. </t>
  </si>
  <si>
    <t>00791-22</t>
  </si>
  <si>
    <t>ГЕО-22/24000/00239/Р</t>
  </si>
  <si>
    <t>приобретение лицензий антивируса Касперский</t>
  </si>
  <si>
    <t>Для обеспечения Антивирусной защиты на ПК ДО ГПН-ГЕО</t>
  </si>
  <si>
    <t>00791-23</t>
  </si>
  <si>
    <t>ДС №8  к Договору № ГЕО-21/11031/00101/Р от 25.03.2021 года. по продлению срока действия Договора и срока выполнения работ</t>
  </si>
  <si>
    <t>Перенос выполнения завершающих этапов оказания услуг на более поздний период.</t>
  </si>
  <si>
    <t>00792-21</t>
  </si>
  <si>
    <t>Договор оказания технических услг</t>
  </si>
  <si>
    <t xml:space="preserve">Настоящий Договор является рамочным договором, определяющим общие условия обязательственных взаимоотношений Сторон, которые конкретизируются и уточняются путем подписания Заказ-нарядов на работы._x000D_
_x000D_
</t>
  </si>
  <si>
    <t>00792-22</t>
  </si>
  <si>
    <t>20000 Агентский договор на организацию вертолетных авиаперевозок с ООО «ПВО-Сервис»</t>
  </si>
  <si>
    <t>00792-23</t>
  </si>
  <si>
    <t>ГЕО-23/26000/00224</t>
  </si>
  <si>
    <t>00793-21</t>
  </si>
  <si>
    <t>дополнительное соглашение № 8 к Агентскому договору №ГЕО-18/18000/00046/Р (ГСН-18/18000/01164/Д/НС-03.3) от 06.12.2018 г.</t>
  </si>
  <si>
    <t xml:space="preserve">Включение в договор возможности доставки авиационным, ж/д и водным транспортом по схеме FCA </t>
  </si>
  <si>
    <t>00793-22</t>
  </si>
  <si>
    <t>Дополнительное соглашение №1 к договору по перераспределение между гарант. и негарант. объёмами работ</t>
  </si>
  <si>
    <t xml:space="preserve">Приведение негарантированного объема работ в гарантированный на 2022г. в связи с производственной необходимостью._x000D_
</t>
  </si>
  <si>
    <t>00793-23</t>
  </si>
  <si>
    <t>НЗ №12. Защита Югры, ООО к ДД № ГЕО-22/10000/00144/Р от 27.06.2022г. Салаир</t>
  </si>
  <si>
    <t>Сибирский федеральный округ, Оморинский лицензионный участок, скважина №3ПО Салаирской площади.</t>
  </si>
  <si>
    <t>00794-21</t>
  </si>
  <si>
    <t xml:space="preserve">Задание № 12 к Договору № ГЕО-20/10986/00138/Р от 10.08.2020г. с компанией ООО «ОГК» на оказание супервайзерских услуг по контролю состояния производственной безопасности в 2021-2022гг. для исполнения заключаемого операторского договора с ООО «ГПН-Хантос» </t>
  </si>
  <si>
    <t>оказание супервайзерских услуг по контролю состояния производственной безопасности в 2021-2022гг. для исполнения заключаемого операторского договора с ООО «ГПН-Хантос» на  участке Карабашский-84</t>
  </si>
  <si>
    <t>Руководитель региональных проектов по производственной безопасности кластера "Восточная Сибирь и Оренбург" – А.Н. Анисимов</t>
  </si>
  <si>
    <t>00794-22</t>
  </si>
  <si>
    <t>ГЕО-22/20000/00234/Д</t>
  </si>
  <si>
    <t>20000 Агентский договор на организацию вертолетных авиаперевозок с ООО «НИИ ЭиРИПР»</t>
  </si>
  <si>
    <t>00794-23</t>
  </si>
  <si>
    <t>НЗ №13. Защита Югры, ООО к ДД № ГЕО-22/10000/00144/Р от 27.06.2022г. Кама</t>
  </si>
  <si>
    <t>Сибирский федеральный округ, Оморинский лицензионный участок, скважины скважины Камовской площади.</t>
  </si>
  <si>
    <t>00795-21</t>
  </si>
  <si>
    <t>НТЦ-02603-21Д-ГЕО</t>
  </si>
  <si>
    <t>Инженерные расчеты альтернативных вариантов по крупному проекту ГРР «Толедо»</t>
  </si>
  <si>
    <t>00795-22</t>
  </si>
  <si>
    <t>ДС №6 к ГЕО-20/11104/00153/Д Geolog Surface Logging DMCC</t>
  </si>
  <si>
    <t>0000103898</t>
  </si>
  <si>
    <t xml:space="preserve">GEOLOG SURFACE LOGGING DMCC </t>
  </si>
  <si>
    <t>00796-21</t>
  </si>
  <si>
    <t xml:space="preserve">№НТЦ-20/29000/01101/Д-ГЕО </t>
  </si>
  <si>
    <t xml:space="preserve">Дополнительное соглашение №1 к Заказу №НТЦ-20/29000/01101/Д-ГЕО </t>
  </si>
  <si>
    <t>Дополнительное соглашение №1 к Заказу №НТЦ-20/29000/01101/Д-ГЕО</t>
  </si>
  <si>
    <t>Продление срока выполнения работ по Заказу № НТЦ-20/29000/01101/Д-ГЕО  от 04.12.2020 по теме: «Концепция обустройства программы проектов "ЗИМА"» до 31.12.2022г.</t>
  </si>
  <si>
    <t>00796-22</t>
  </si>
  <si>
    <t>Соглашение о передаче Агентского Договора № ГЕО-20/11104/00153/Д ГЕОЛОГ</t>
  </si>
  <si>
    <t xml:space="preserve">ООО «Геолог Интернешнл»; 
GEOLOG SURFACE LOGGING DMCC </t>
  </si>
  <si>
    <t>00796-23</t>
  </si>
  <si>
    <t>ГЕО-23/24000/00230/Р</t>
  </si>
  <si>
    <t>Приобретение программного обеспечения tNavigator с обновлением на 3 года</t>
  </si>
  <si>
    <t>Предоставления права использования на условиях простой (неисключительной) лицензии программного обеспечения tNavigator и его обновления на 3 года (2024-2026)</t>
  </si>
  <si>
    <t>0000050121</t>
  </si>
  <si>
    <t xml:space="preserve">ООО РфД </t>
  </si>
  <si>
    <t>7702364555</t>
  </si>
  <si>
    <t>00797-23</t>
  </si>
  <si>
    <t>Дополнительное соглашение № 6 к Договору на оказание услуг по освоению скважин через сепарационную установку № ГЕО-22/10000/00179/Р от 01.08.2022 года</t>
  </si>
  <si>
    <t>00798-21</t>
  </si>
  <si>
    <t xml:space="preserve">Хранение керна </t>
  </si>
  <si>
    <t>1/21-057</t>
  </si>
  <si>
    <t>Хранение кернового материала</t>
  </si>
  <si>
    <t>00798-22</t>
  </si>
  <si>
    <t>ГЕО-22/35000/00224</t>
  </si>
  <si>
    <t>В рамках проекта U190001428 "Цифровой патрнер ПБ" (ранее наименование "Цифровой двойник HSE")</t>
  </si>
  <si>
    <t>00798-23</t>
  </si>
  <si>
    <t>Изменение сроков ДД до 31.12.2023</t>
  </si>
  <si>
    <t>вовлечение 100% физических объемов по договору путем перевода невостребованного гарантированного объема 2022 года и негарантированного объёма услуг 2022 и 2023 годов (2 142 МШЧ) в гарантированный объем 2024 года с увеличением стоимости услуг по договору</t>
  </si>
  <si>
    <t>00799-22</t>
  </si>
  <si>
    <t>Дополнительное соглашение № 7 к Договору на выполнение работ по экологическому мониторингу месторождений № ГЕО-20/10924/00055/Р от 05 марта 2020 г.</t>
  </si>
  <si>
    <t xml:space="preserve"> 7 </t>
  </si>
  <si>
    <t>Перевод услуг из негарантированного объема в гарантированный</t>
  </si>
  <si>
    <t>00799-23</t>
  </si>
  <si>
    <t>ГЕО-23/09000/00222/Р</t>
  </si>
  <si>
    <t xml:space="preserve">Договор оказания охранных услуг </t>
  </si>
  <si>
    <t>оказание услуг Заказчику по физической охране имущества Заказчика, осуществлению пропускного и внутриобъектового режимов в арендуемых помещениях</t>
  </si>
  <si>
    <t>00800-21</t>
  </si>
  <si>
    <t>ГЕО-18/00000/00025Д</t>
  </si>
  <si>
    <t>Дополнительное соглашение №5 к Договору о выполнении операторских работ и оказании операторских услуг (Оморинский ЛУ)</t>
  </si>
  <si>
    <t>добавлена программа выполнения работ и оказания услуг ГРР по Оморинскому ЛУ на 2021-2022гг. в связи с передачей лицензии с ПАО "Газпром нефть" в "ООО "Энерком"</t>
  </si>
  <si>
    <t>00800-23</t>
  </si>
  <si>
    <t xml:space="preserve">ГЕО-20/09000/00123/Р </t>
  </si>
  <si>
    <t>продление срока действия договора и срока оказания услуг</t>
  </si>
  <si>
    <t>00801-21</t>
  </si>
  <si>
    <t>ГЕО-21/01200/00268/Р</t>
  </si>
  <si>
    <t>Поставка Наборов реагентов для иммунохроматографического выявления антигена SARS-CoV-2 (STANDARD Q COVID-19 Ag) в рамках протокола КЧС ООО «ГПН-ГЕО» №ПТ-200028501 от 27.08.2021</t>
  </si>
  <si>
    <t>ООО "МЕДИКАЛ ЛАЙФ СУППОРТ</t>
  </si>
  <si>
    <t>00801-23</t>
  </si>
  <si>
    <t>Заявка № 8 к договору о предоставлении труда работников (персонала) № ГЕО-23/09000/00149/Р от 28.08.2023 г.</t>
  </si>
  <si>
    <t>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Главного специалиста по промышленной безопасности</t>
  </si>
  <si>
    <t>00802-21</t>
  </si>
  <si>
    <t>ГЕО-21/00000/00266</t>
  </si>
  <si>
    <t xml:space="preserve">Соглашение подписывается в связи с заключением договора на выполнение проектных и изыскательских, строительно-монтажных работ и работ по _x000D_
пуско-наладке оборудования аудиовизуального комплекса и средствами ВКС в здании, _x000D_
расположенном по адресу: г. Санкт-Петербург, Синопская наб., д.22, лит. А </t>
  </si>
  <si>
    <t>00802-22</t>
  </si>
  <si>
    <t>Внесение арбитражной оговорки</t>
  </si>
  <si>
    <t xml:space="preserve">Включение новых арбитражных оговорок. </t>
  </si>
  <si>
    <t>00802-23</t>
  </si>
  <si>
    <t xml:space="preserve"> ДОГОВОР № 0624 LA 000079 страхования от несчастных случаев и болезней</t>
  </si>
  <si>
    <t>Страхование сотрудников ГПН ГЕО от несчастных случаев и болезней в 2024 году.</t>
  </si>
  <si>
    <t>00803-21</t>
  </si>
  <si>
    <t>ГЕО-21/26000/00269</t>
  </si>
  <si>
    <t>Наумов А.А. - Руководитель направления по геологии</t>
  </si>
  <si>
    <t>00803-22</t>
  </si>
  <si>
    <t xml:space="preserve"> обмен юридически значимыми документами в рамках электронного документооборота и универсальными передаточными документами</t>
  </si>
  <si>
    <t>00804-21</t>
  </si>
  <si>
    <t>ГЕО-18/10001/00082/Р-ГСН-19/10001/00244/Д/ТМН-13 от 29.12.2018г.</t>
  </si>
  <si>
    <t>ДС № 8 к Договору № ГЕО-18/10001/00082/Р-ГСН-19/10001/00244/Д/ТМН-13 от 29.12.2018г.</t>
  </si>
  <si>
    <t>В связи с необходимостью корректировки тарифа на хранение МТР (уменьшение на 76% тарифа по б. Лабытнанги)_x000D_
1 Приложение № 2.1 к Договору принять в редакции приложения № 1 к настоящему дополнительному соглашению «Смета по услугам складской логистики на 2019-2021 гг.» (Игнялинский ЛУ)._x000D_
2. Приложение № 2.2 к Договору принять в редакции приложения № 2 к настоящему дополнительному соглашению «Смета по услугам складской логистики на 2019-2021 гг.» (Южно-Новопортовский ЛУ).</t>
  </si>
  <si>
    <t>00804-22</t>
  </si>
  <si>
    <t>ДС-7 о пролонгации на 2023й год, ввод доп.тарифов, перераспределение объема услуг</t>
  </si>
  <si>
    <t xml:space="preserve">Пролонгация на 2023й год, ввод доп.тарифов, перераспределение объема услуг без увеличения стоимости ДД_x000D_
</t>
  </si>
  <si>
    <t>00804-23</t>
  </si>
  <si>
    <t>Дополнительное соглашение № 6 к договору на оказание услуг по испытанию геологоразведочных скважин № ГЕО-22/10000/00065/Р от 31.03.2022 г.</t>
  </si>
  <si>
    <t>Цель заключения данного ДС  - испытание геологоразведочных скважин</t>
  </si>
  <si>
    <t>53821782.14</t>
  </si>
  <si>
    <t>00805-22</t>
  </si>
  <si>
    <t>00805-23</t>
  </si>
  <si>
    <t>Дополнительное соглашение №9 к Договору ГЕО-21/10114/00257 от 22.11.2021</t>
  </si>
  <si>
    <t>Перевод 250 суток работ супервайзеров из НГО в ГО в рамках 2024г.</t>
  </si>
  <si>
    <t>00806-22</t>
  </si>
  <si>
    <t>ГЕО-22/26000/00223</t>
  </si>
  <si>
    <t>00806-23</t>
  </si>
  <si>
    <t>ДС №7 к к Операторскому соглашению  № ГЕО-20/09000/00182/Д / АБ-20/09000/00005/Р от 23.11.2020 г.</t>
  </si>
  <si>
    <t>Актуализация программы работ на 2024 год</t>
  </si>
  <si>
    <t>00807-22</t>
  </si>
  <si>
    <t>Соглашение об урегулировании взаимных претензионных требований</t>
  </si>
  <si>
    <t xml:space="preserve"> Соглашение об урегулировании взаимных претензионных требований в рамках исполнения договора №ГЕО-19/10201/00155/Р  от 11.07.2019г.  с АО "Инвестгеосервис" на выполнение комплекса работ по строительству поисково-оценочных скважин на Лескинском ЛУ</t>
  </si>
  <si>
    <t>Цветков Дмитрий Валентинович - Директор по правовым вопросам</t>
  </si>
  <si>
    <t>00807-23</t>
  </si>
  <si>
    <t>Дополнительное соглашение №1 к договору № ГЕО -23/09000/00104/Р от 30 июня 2023</t>
  </si>
  <si>
    <t xml:space="preserve">Изменение порядка приемки работ и сроков выполнения работ без изменения стоимости или объемов услуг. </t>
  </si>
  <si>
    <t>00808-22</t>
  </si>
  <si>
    <t>Заказ №6/22-057</t>
  </si>
  <si>
    <t>6/22-057</t>
  </si>
  <si>
    <t>Геомеханические исследования керна скважины 178 Лескинского ЛУ</t>
  </si>
  <si>
    <t>00808-23</t>
  </si>
  <si>
    <t>ДОПОЛНИТЕЛЬНОЕ СОГЛАШЕНИЕ 5 к Договору на оказание услуг № ГЕО-22/09000/00093/Р от 02.05.2022 г.</t>
  </si>
  <si>
    <t>00809-22</t>
  </si>
  <si>
    <t>Заказ №9/22-057</t>
  </si>
  <si>
    <t>9/22-057</t>
  </si>
  <si>
    <t>Тестирование технологических жидкостей для проведения ГРП на Ямбургском м/р</t>
  </si>
  <si>
    <t>00809-23</t>
  </si>
  <si>
    <t xml:space="preserve">Соблюдение требований ПБ на объектах ООО "ГПН-ГЕО" </t>
  </si>
  <si>
    <t>00810-21</t>
  </si>
  <si>
    <t>ГЕО-20/00000/00-183/Д</t>
  </si>
  <si>
    <t>ДС №1 на оказание услуг, связанных с реализацией задач в сфере управления проектом ЗИМА</t>
  </si>
  <si>
    <t xml:space="preserve">Дополнительное соглашение №1  на оказание услуг, связанных с реализацией задач в сфере управления проектом по поиску, разведке и разработке перспективных участков Программы проектов «ЗИМА» на 2020-2028 гг._x000D_
</t>
  </si>
  <si>
    <t>00810-22</t>
  </si>
  <si>
    <t>ГЕО-22/35000/00231</t>
  </si>
  <si>
    <t>Соглашение СУДИР (АО "ССК")</t>
  </si>
  <si>
    <t>В рамках исполнения Приказа 65-П от 25.07.2022</t>
  </si>
  <si>
    <t>00811-21</t>
  </si>
  <si>
    <t xml:space="preserve">Задание № 11 к Договору № ГЕО-20/10986/00138/Р от 10.08.2020г. с компанией ООО «ОГК» </t>
  </si>
  <si>
    <t>оказание супервайзерских услуг по контролю состояния производственной безопасности и безопасности дорожного движения в 2021-2022гг. для Проекта «Хамбатей»</t>
  </si>
  <si>
    <t>00811-22</t>
  </si>
  <si>
    <t>ГЕО-22/35000/00228</t>
  </si>
  <si>
    <t>Соглашение СУДИР (ООО "ГеоЛад-СТ")</t>
  </si>
  <si>
    <t>00811-23</t>
  </si>
  <si>
    <t>Заказ-Наряд №28 к договору №ГЕО-19/11708/00133/Р от 25.06.2019</t>
  </si>
  <si>
    <t>Обработка сейсморазведочных данных Еты-пуровского, Валынтойского, Новогоднего ЛУ и Западно-Етыпуровского фланга</t>
  </si>
  <si>
    <t>00812-21</t>
  </si>
  <si>
    <t>Н-З №1 и №2 к  Договору №ГЕО-20/11014/00070/Р от 06.05. 2021 года</t>
  </si>
  <si>
    <t>1 и 2</t>
  </si>
  <si>
    <t>Заключения Наряд-заказа №1 и №2 по договору № ГЕО-20/11014/00070/Р от 06.05.2020 г. с ООО «Техно-Сервис»</t>
  </si>
  <si>
    <t>00812-22</t>
  </si>
  <si>
    <t xml:space="preserve">Заказ №10/22-057 </t>
  </si>
  <si>
    <t>10/22-057</t>
  </si>
  <si>
    <t>Специальные исследования керна скважины 178 Лескинского ЛУ (влияние кислотных составов)</t>
  </si>
  <si>
    <t>00812-23</t>
  </si>
  <si>
    <t>Наряд-заказ №6 к договору ГЕО-23/09000/00041/Р</t>
  </si>
  <si>
    <t>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Западно-Рубежинском  лицензионном участке</t>
  </si>
  <si>
    <t>00813-21</t>
  </si>
  <si>
    <t>00642</t>
  </si>
  <si>
    <t xml:space="preserve">Изменение банковских реквизитов контрагента </t>
  </si>
  <si>
    <t>00813-23</t>
  </si>
  <si>
    <t>ГЕО-23/04300/00233/Р</t>
  </si>
  <si>
    <t>00814-21</t>
  </si>
  <si>
    <t>00814-23</t>
  </si>
  <si>
    <t>АНГ-18/10204/00243/Р</t>
  </si>
  <si>
    <t>Дополнительное соглашение №3 к Договору № АНГ-18/10204/00243/Р от 19 ноября 2018 г.</t>
  </si>
  <si>
    <t>00815-23</t>
  </si>
  <si>
    <t>Изм№1 к НЗ№5 ...172 СТС,ООО к ДД №ГЕО-22/11029/00172/Р от 25.07.2022 (Камовская площадка)</t>
  </si>
  <si>
    <t>изменения №1 к Наряд-заказу №5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t>
  </si>
  <si>
    <t>Судаков В.Е.</t>
  </si>
  <si>
    <t>00816-21</t>
  </si>
  <si>
    <t>Наряд-Заказ</t>
  </si>
  <si>
    <t>Лабораторные исследования вытеснения нефти газом на модели тонкой трубки («slim tube»)</t>
  </si>
  <si>
    <t>00816-22</t>
  </si>
  <si>
    <t>Дополнительное соглашение № 1 к Соглашению о предоставлении демо версии Кибер ГРП № ГЕО-22/24000/00085 / №ГТП-22/24000/00117 от 04.05.2022г.</t>
  </si>
  <si>
    <t>Продление пользованием бемо-версией на 2 месяца</t>
  </si>
  <si>
    <t>00816-23</t>
  </si>
  <si>
    <t>ДС №3. Конверс Авиа к договору №ГЕО-22/11104/00265/Р от 15.10.2022.</t>
  </si>
  <si>
    <t>ДС №3. из НГО в ГО 2024г.</t>
  </si>
  <si>
    <t>00817-22</t>
  </si>
  <si>
    <t>ГЕО-22/35000/00240</t>
  </si>
  <si>
    <t>00817-23</t>
  </si>
  <si>
    <t>Задание № 45 к Договору № ГЕО-20/10986/00138/Р от 10.08.2020 г.</t>
  </si>
  <si>
    <t>Услуги для ООО "СПД".
Место оказания Услуг: Уральский федеральный округ (ХМАО, Верхнесалымский ЛУ).</t>
  </si>
  <si>
    <t>00818-23</t>
  </si>
  <si>
    <t>Задание № 46 к Договору № ГЕО-20/10986/00138/Р от 10.08.2020 г.</t>
  </si>
  <si>
    <t>46</t>
  </si>
  <si>
    <t>Услуги для ПАО «СН-МНГ».
Место оказания Услуг: Уральский федеральный округ (Западно-Усть-Балыкская площадь).</t>
  </si>
  <si>
    <t>00819-21</t>
  </si>
  <si>
    <t>ГEO-21/11518/00246/P</t>
  </si>
  <si>
    <t xml:space="preserve"> изменение реквизитов контрагента (адрес, счет)</t>
  </si>
  <si>
    <t>00820-21</t>
  </si>
  <si>
    <t xml:space="preserve">ГЕО-19/09000/00045/Р </t>
  </si>
  <si>
    <t xml:space="preserve">Заказ № НТЦ-02915-21Д         </t>
  </si>
  <si>
    <t xml:space="preserve">НТЦ-02915-21Д         </t>
  </si>
  <si>
    <t xml:space="preserve">Информационно-консультационные услуги в формате вебинара по теме: _x000D_
«Обучение практическим навыкам работы в ПО Landmark (Compass, WellPlan)», Ефремов А.С., 06.12.2021-10.12.2021_x000D_
</t>
  </si>
  <si>
    <t>00820-22</t>
  </si>
  <si>
    <t>Дополнительное соглашение № 1 к соглашению о перемене лица в обязательстве от 15.05.2022г.</t>
  </si>
  <si>
    <t>Уточнение некоторых условий соглашения</t>
  </si>
  <si>
    <t>0000039514, 0000068695</t>
  </si>
  <si>
    <t xml:space="preserve">Филиал компании Халлибуртон Интерн эшнл ГмбХ; 
ООО Бурсервис </t>
  </si>
  <si>
    <t>9909004922, 1106013435</t>
  </si>
  <si>
    <t>00820-23</t>
  </si>
  <si>
    <t>ДС №10 ВНИГНИ № ГЕО-21/08000/00296/Р от 28.12.2021</t>
  </si>
  <si>
    <t>00821-21</t>
  </si>
  <si>
    <t>ГEO-21/11518/00247/P</t>
  </si>
  <si>
    <t>00821-22</t>
  </si>
  <si>
    <t>ДОПОЛНИТЕЛЬНОЕ СОГЛАШЕНИЕ № 1 к ДОГОВОРУ № ГЕО-22/10951/00165/Р от 29.07.2022г. на выполнение работ и оказание услуг в области ликвидации аварийных разливов нефти</t>
  </si>
  <si>
    <t>00821-23</t>
  </si>
  <si>
    <t>Заявка №17 ВНИГНИ №ГЕО-21/08000/00296/Р от 28.12.2021</t>
  </si>
  <si>
    <t>Разработка «Проектов на проведение работ по геологическому изучению и оценке пригодности участка недр для строительства и эксплуатации подземных сооружений, не связанных с добычей полезных ископаемых, в целях размещения в пластах горных пород диоксида углерода (CO2), образующегося в результате хозяйственной и иной деятельности, в пределах Центрального и Вологодского 1 лицензионных участков</t>
  </si>
  <si>
    <t>00822-21</t>
  </si>
  <si>
    <t>ГEO-21/11513/00226/P</t>
  </si>
  <si>
    <t>изменение реквизитов контрагента (адрес, счет)</t>
  </si>
  <si>
    <t>00822-22</t>
  </si>
  <si>
    <t>00822-23</t>
  </si>
  <si>
    <t>Наряд-заказ №9 от 27.12.2023 к Дополнительному соглашению №9 к Договору ГЕО-21/10114/00257 от 22.11.2021</t>
  </si>
  <si>
    <t>Выдача наряд-заказа для выполнения работ</t>
  </si>
  <si>
    <t>00823-21</t>
  </si>
  <si>
    <t>ГEO-21/11513/00227/P</t>
  </si>
  <si>
    <t>00823-22</t>
  </si>
  <si>
    <t>ГЕО-22/35000/00238</t>
  </si>
  <si>
    <t>В рамках проекта U190001428 "Цифровой партнер ПБ" (ранее наименование "Цифровой двойник HSE")</t>
  </si>
  <si>
    <t>00823-23</t>
  </si>
  <si>
    <t>Договор на оказание услуг по организации отправки/встречи авиарейсов (вертолеты) на п/п Богучаны (аэропорт)</t>
  </si>
  <si>
    <t>09000 Договор на выполнение работ/услуг «Оснащение помещений оборудованием аудиовизуального комплекса и средствами ВКС»</t>
  </si>
  <si>
    <t>00824-21</t>
  </si>
  <si>
    <t>Выполнение проектных и изыскательских, строительно-монтажных работ и работ по пуско-наладке оборудования аудиовизуального комплекса и средствами ВКС в здании, расположенном по адресу: г. Санкт-Петербург, Синопская наб., д.22, лит. А, с использованием оборудования, предоставляемого Заказчиком</t>
  </si>
  <si>
    <t>00824-22</t>
  </si>
  <si>
    <t>ГЕО-22/08000/00257/Р</t>
  </si>
  <si>
    <t>Полевой кросс-функциональный семинар глубоководных обломочных отложений Сербии - аналоги Ачимовских отложений Западной Сибири</t>
  </si>
  <si>
    <t>Оказание услуг по организации проведения полевого семинара и обмен опытом по изучению геологических обнажений на территории Сербии - аналогов Ачимовских отложений Западной Сибири</t>
  </si>
  <si>
    <t>0000069534</t>
  </si>
  <si>
    <t xml:space="preserve">NTC NIS-Naftagas LLC Novi Sad </t>
  </si>
  <si>
    <t>00824-23</t>
  </si>
  <si>
    <t>ДС 1 к ГЕО-23/20000/00020/Д с ООО "ИЦ ГазИнформПласт"</t>
  </si>
  <si>
    <t>00825-21</t>
  </si>
  <si>
    <t>Дополнительное соглашение №6 к Договору о выполнении операторских работ и оказании операторских услуг (Солнечный ЛУ)</t>
  </si>
  <si>
    <t>добавление условий: 1. о принадлежности Владельцу лицензии прав обладателя геологической информации о недрах, полученной в рамках выполнения работ по операторскому договору; 2. о прекращении действия программы работ по Солнечному ЛУ в рамках договора с Энерком в связи с передачей лицензии в ГПН.</t>
  </si>
  <si>
    <t>00825-23</t>
  </si>
  <si>
    <t>Изменение №1 от 26.12.2023г к Наряд-заказу №2 к Договору № ГЕО-22/11000/00274/Р от 14.10.2022</t>
  </si>
  <si>
    <t>00826-21</t>
  </si>
  <si>
    <t>Выполнении операторских работ и об оказании операторских услуг</t>
  </si>
  <si>
    <t>выполнении операторских работ и об оказании операторских услуг СРР</t>
  </si>
  <si>
    <t>Андреева Ирина Владимировна</t>
  </si>
  <si>
    <t>00826-23</t>
  </si>
  <si>
    <t xml:space="preserve">Дополнительное соглашение №6 к Договору № ГЕО-21/11104/00292/Р от 24.12.2021 г.  с АО «ЮТэйр – Вертолетные услуги» </t>
  </si>
  <si>
    <t>Раскрытие НГО на 2024 год</t>
  </si>
  <si>
    <t>00827-22</t>
  </si>
  <si>
    <t>Изменение срока оплпты за фактически выполненные работы</t>
  </si>
  <si>
    <t>Сокращение срока оплаты.</t>
  </si>
  <si>
    <t>00827-23</t>
  </si>
  <si>
    <t>Дополнительное соглашение №7 к Договору № ГЕО-22/10000/00036/Р от 14.02.2022г.</t>
  </si>
  <si>
    <t>Приведение к факту 2023г., раскрытие негарантированного объема работ на 2024г.</t>
  </si>
  <si>
    <t>00828-21</t>
  </si>
  <si>
    <t xml:space="preserve">исполнение поручения Приказа 122-П от 30.07.21 об актуализаци "Соглашения в области производственной безопасности" </t>
  </si>
  <si>
    <t>00828-22</t>
  </si>
  <si>
    <t>Дополнительное соглашение № 5 к Договору № ГЕО-21/08000/00296/Р от «28» декабря 2021 г.</t>
  </si>
  <si>
    <t>00828-23</t>
  </si>
  <si>
    <t>Дополнительное соглашение № 1 к Договору № ГЕО-23/10000/00171/Р от 18.10.2023г.</t>
  </si>
  <si>
    <t>Продление срока выполнения работ и срока действия договора по 30.04.2024г.</t>
  </si>
  <si>
    <t>00829-22</t>
  </si>
  <si>
    <t>№ ГЕО-21/101108/00193/Р от «16» августа 2021 г.</t>
  </si>
  <si>
    <t>ЗАКАЗ №2 к Договору № ГЕО-21/101108/00193/Р от «16» августа 2021 г.</t>
  </si>
  <si>
    <t>00829-23</t>
  </si>
  <si>
    <t>ГЕО-24/33200/00002</t>
  </si>
  <si>
    <t>00830-21</t>
  </si>
  <si>
    <t>Заказ № 4</t>
  </si>
  <si>
    <t>00830-22</t>
  </si>
  <si>
    <t>ГЕО-22/35000/00241</t>
  </si>
  <si>
    <t>Сторона-1 в связи с заключенным со Стороной-2 договором на выполнение работ (оказание услуг) ГЕО-22/09000/00093/Р от 02.05.2022 г. обязуется в рамках ст. 718 Гражданского кодекса РФ предоставить доступ к автоматизированной информационной системе «СУДИР» (далее – «СУДИР») и к информационным ресурсам через СУДИР (далее – «ИР») сотрудникам Стороны-2 без ограничений по количеству предоставляемых доступов к СУДИР</t>
  </si>
  <si>
    <t>00830-23</t>
  </si>
  <si>
    <t>ДОПОЛНИТЕЛЬНОЕ СОГЛАШЕНИЕ № 6 к Договору № ГЕО-21/10306/00256/P от 26.10.2021г.</t>
  </si>
  <si>
    <t>Смещение работ на 2024г.</t>
  </si>
  <si>
    <t>00831-21</t>
  </si>
  <si>
    <t xml:space="preserve">Актуализация "Соглашения в области производственной безопасности" _x000D_
</t>
  </si>
  <si>
    <t>00831-22</t>
  </si>
  <si>
    <t>ГЕО-22/26000/00237</t>
  </si>
  <si>
    <t>Стороны принимают на себя обязательства по предоставлению друг другу и неразглашению информации, составляющей коммерческую тайну, и иной конфиденциальной информации (далее – Конфиденциальная информация), в соответствии с условиями настоящего Соглашения</t>
  </si>
  <si>
    <t>00831-23</t>
  </si>
  <si>
    <t>Изменение №2 к Заявке № 3 к договору № ГЕО-23/09000/00149/Р от 28.08.2023 г.</t>
  </si>
  <si>
    <t>Признать целесообразным и согласовать заключение Изменение №2 к Заявке №3 на привлечение руководителя группы по производственной безопасности для проекта «Южный Оренбург», скв. № 401, Западно-Рубежинский ЛУ, предусматривающее корректировку объёмов и сроков оказания услуг по привлечению Валетова А.В. и привлечение Шаригина Э.Д. с 16.01.2024 по 29.02.2024.</t>
  </si>
  <si>
    <t>00832-21</t>
  </si>
  <si>
    <t>ГЕО-21/10114/00257</t>
  </si>
  <si>
    <t>оказание услуг по супервайзерскому контролю технологии полевых сейсморазведочных работ на Восточно-Шапшинском-1 лицензионном участке</t>
  </si>
  <si>
    <t>Гордиенко А.В.</t>
  </si>
  <si>
    <t>00832-22</t>
  </si>
  <si>
    <t>ГЕО-22/33300/00236</t>
  </si>
  <si>
    <t xml:space="preserve">Договор об обработке персональных данных </t>
  </si>
  <si>
    <t>00832-23</t>
  </si>
  <si>
    <t>Дополнительное соглашение №9 к договору ГЕО-19/09000/00303/Р от	15.11.2019</t>
  </si>
  <si>
    <t>Корректировка Приложения № 1 к Договору (Расчет стоимости) в Уральском, Сибирском, Дальневосточном, Приволжском федеральных округах по следующим наименованиям работ
Перераспределение негарантированных объемов в гарантированные, в связи с необходимостью оказания услуг в 2024 гг;</t>
  </si>
  <si>
    <t>00833-21</t>
  </si>
  <si>
    <t>ГЕО-21/26000/00275</t>
  </si>
  <si>
    <t>В рамках соблюдения режима комерческой тайны</t>
  </si>
  <si>
    <t>00833-22</t>
  </si>
  <si>
    <t>ГЕО-22/33200/00243</t>
  </si>
  <si>
    <t>00833-23</t>
  </si>
  <si>
    <t>Договор об оказании услуг физическим лицом (без выезда на Лицензионные участки Заказчика) с Васильевой А.И.</t>
  </si>
  <si>
    <t>00834-21</t>
  </si>
  <si>
    <t>ГЕО-21/18000/00277</t>
  </si>
  <si>
    <t>Договор об обработке персональтных данных</t>
  </si>
  <si>
    <t>00834-22</t>
  </si>
  <si>
    <t>Увеличение стоимости договора на сумму 9 995 000 рублей без НДС</t>
  </si>
  <si>
    <t>00834-23</t>
  </si>
  <si>
    <t>Перераспределение объемов между статьями в связи с изменением производственной программы</t>
  </si>
  <si>
    <t>30558751</t>
  </si>
  <si>
    <t>00835-21</t>
  </si>
  <si>
    <t>ГЕО-21/26000/00274</t>
  </si>
  <si>
    <t>00835-23</t>
  </si>
  <si>
    <t>ГЕО-24/26000/00006</t>
  </si>
  <si>
    <t>Договор о конфиденциальности к договору ГПХ с Васильевой А.И.</t>
  </si>
  <si>
    <t>Васильева Анастасия Ильинична</t>
  </si>
  <si>
    <t>00836-21</t>
  </si>
  <si>
    <t>ГЕО-21/18000/00278</t>
  </si>
  <si>
    <t>00836-22</t>
  </si>
  <si>
    <t>Изм №1 в Наряд-заказ №1</t>
  </si>
  <si>
    <t>Внесение изменений №1 к Наряд-заказу №1 к Договору №ГЕО-22/11029/00171/Р от 25.07.2022.</t>
  </si>
  <si>
    <t>00836-23</t>
  </si>
  <si>
    <t>ГЕО-24/35000/00005</t>
  </si>
  <si>
    <t>Соглашение о безопасном использовании информационных систем с Васильевой А.И.</t>
  </si>
  <si>
    <t>00837-22</t>
  </si>
  <si>
    <t>НАРЯД-ЗАКАЗ №32 к Договору № АНГ-19/11513/00007/Р от 14.02.2019</t>
  </si>
  <si>
    <t>Оформление земельных участков для объекта: «Площадка скважины №206-13 с автодорогой на Тымпучиканском ЛУ » (оформление разрешения и договора аренды лесного участка)</t>
  </si>
  <si>
    <t>00837-23</t>
  </si>
  <si>
    <t>УКЭП при подписании ДД</t>
  </si>
  <si>
    <t>00838-21</t>
  </si>
  <si>
    <t>ГЕО-19/00000/00162</t>
  </si>
  <si>
    <t>Соглашение о расторжении Соглашения ГЕО-19/00000/00162  об организации электронного документооборота и использовании электронных подписей для договоров от 19 июля 2019 года.</t>
  </si>
  <si>
    <t>1 (СОР)</t>
  </si>
  <si>
    <t>Необходимо подписать данное соглашение о расторжении, т.к. было заключено новое  Соглашения ГЕО -20/00000/00099 об организации электронного документооборота и использования электронных подписей для документов от 18.06.2020 г.</t>
  </si>
  <si>
    <t>00838-23</t>
  </si>
  <si>
    <t xml:space="preserve">Дополнительное соглашение № 2 к Договору №ГЕО-23/25000/00085/Р от 22.05.2023 г. на оказание авиационных услуг с использованием вертолетов </t>
  </si>
  <si>
    <t>00839-22</t>
  </si>
  <si>
    <t>ДС №5 к Договору №ГЕО-21/10308/00236/Р от 04.10.2021 г.</t>
  </si>
  <si>
    <t>Актуализация оценочного листа во исполнение Протокола заседания ЭС БРД № ПТ-100.0364/000068/02 от 14.07.2022</t>
  </si>
  <si>
    <t>00839-23</t>
  </si>
  <si>
    <t>00840-21</t>
  </si>
  <si>
    <t>ГЕО-19/26000/00068</t>
  </si>
  <si>
    <t>Дополнительное соглашение № 1 к Соглашению о конфиденциальности с ГПН-Хантос</t>
  </si>
  <si>
    <t>Продление срока действия СоК по 31.12.2028</t>
  </si>
  <si>
    <t>00840-22</t>
  </si>
  <si>
    <t>ДС №4 к Договору №ГЕО-22/10000/00055/Р от 17.03.2022 г. (ГТИ Титан)</t>
  </si>
  <si>
    <t>00840-23</t>
  </si>
  <si>
    <t>00841-21</t>
  </si>
  <si>
    <t>ГЕО-21/33100/00276</t>
  </si>
  <si>
    <t>Соглашение в области производственной безопасности в связи с заключением Договора №ГЕО-21/10430/00237/Р от 25.10.2021.</t>
  </si>
  <si>
    <t>00841-22</t>
  </si>
  <si>
    <t>ГЕО-19/11104/00235/Д</t>
  </si>
  <si>
    <t>ДС №2 к ГЕО-19/11104/00235/Д АО "Инвестгеосервис"</t>
  </si>
  <si>
    <t>С целью исполнения рекомендаций юридической службы, для уменьшения вероятности признания взаимозачетов (сальдирования) недействительными сделками, уточнение предмета договора.</t>
  </si>
  <si>
    <t>00841-23</t>
  </si>
  <si>
    <t>Дополнительное соглашение №1 к Договору №ГЕО-№ГЕО-23/10106/00209/Р от 05.12.2023</t>
  </si>
  <si>
    <t>В связи со смещением сроков завершения бурения скважины 401 Западно- Рубеженского лицензионного участка требуется перенос срока начала выполнения гарантированного объема работ с 2023 г. на 2024 год путем заключения ДС №1 к Договору с сохранение единичных расценок, предусмотренных договором. При этом расценки, предусмотренные на негарантированные объемы работ 2024 года, остаются без изменения, общая стоимость работ также остается без изменения.</t>
  </si>
  <si>
    <t>00842-21</t>
  </si>
  <si>
    <t xml:space="preserve">Заказ № НТЦ-03046-21Д         </t>
  </si>
  <si>
    <t xml:space="preserve">НТЦ-03046-21Д         </t>
  </si>
  <si>
    <t xml:space="preserve">Информационно-консультационные услуги в формате вебинара по теме: «Геомеханика», 06.12.2021-10.12.2021, Дыбов А.Р._x000D_
</t>
  </si>
  <si>
    <t>00842-22</t>
  </si>
  <si>
    <t>Частичный перевод негарантированного объема услуг в гарантированный в 2022 году по Сибирскому ФО (Лескинский ЛУ), по Приволжскому ФО (Солнечный ЛУ).</t>
  </si>
  <si>
    <t>00842-23</t>
  </si>
  <si>
    <t>00843-21</t>
  </si>
  <si>
    <t>Договор подряда на бурение геологоразведочных скважин по суточной ставке или фиксированной ставке (в т.ч. мобильными установками)</t>
  </si>
  <si>
    <t>Выполнение работ по бурению геологоразведочных скважин по суточной ставке или фиксированной ставке (в т.ч. мобильными установками)</t>
  </si>
  <si>
    <t>00843-23</t>
  </si>
  <si>
    <t>Дополнительное соглашение № 7 к договору № ГЕО-21/10318/00258/Р от 08.11.2021г.</t>
  </si>
  <si>
    <t>Смещение работ по скважине № 401 Западно-Рубежинского ЛУ на 2024г.</t>
  </si>
  <si>
    <t>00844-21</t>
  </si>
  <si>
    <t>ДОПОЛНИТЕЛЬНОЕ СОГЛАШЕНИЕ № 6 к Договору № ГЕО-19/10111/00141/Р от 29.04.2019 г. по «ОБРАБОТКЕ И ИНТЕРПРЕТАЦИИ ДАННЫХ СЕЙСМОРАЗВЕДОЧНЫХ РАБОТ»</t>
  </si>
  <si>
    <t>00846-21</t>
  </si>
  <si>
    <t>Агентский договор на организацию вертолетных авиаперевозок с Компания «Шлюмберже Лоджелко, Инк.»</t>
  </si>
  <si>
    <t>Авиаперевозка персонала КА</t>
  </si>
  <si>
    <t>00848-21</t>
  </si>
  <si>
    <t>ГЕО-21/33200/00280</t>
  </si>
  <si>
    <t>00849-21</t>
  </si>
  <si>
    <t xml:space="preserve">АНГ-17/09000/00156/Р-44843/ДАЗ </t>
  </si>
  <si>
    <t xml:space="preserve">Досрочное расторжение договора аренды пурифаеров, в связи с переводом аренды на "Комплекс Парадную" ООО </t>
  </si>
  <si>
    <t>00851-21</t>
  </si>
  <si>
    <t>Задание № 13 офис г. СПб, г. Иркутск</t>
  </si>
  <si>
    <t>Задания № 13 к Договору № ГЕО-20/10986/00138/Р от 10.08.2020г. с компанией ООО «ОГК» в рамках исполнения данного договора в 2022 году по экспертной поддержке БПБ ООО «ГПН-ГЕО» по вопросам производственной безопасности в офисе г. Санкт-Петербург и офис г. Иркутск.</t>
  </si>
  <si>
    <t>00852-21</t>
  </si>
  <si>
    <t>00853-21</t>
  </si>
  <si>
    <t>ГЕО-21/33100/00284</t>
  </si>
  <si>
    <t>Заключение соглашения в области производственной безопасности</t>
  </si>
  <si>
    <t>00853-22</t>
  </si>
  <si>
    <t>Заказ № 6</t>
  </si>
  <si>
    <t>00854-21</t>
  </si>
  <si>
    <t>00854-22</t>
  </si>
  <si>
    <t>Дополнительное соглашение №8 к Договору № ГЕО-19/10201/00155/Р от 11.07.2019г.</t>
  </si>
  <si>
    <t xml:space="preserve">Внесение условий по сальдированию._x000D_
</t>
  </si>
  <si>
    <t>00855-21</t>
  </si>
  <si>
    <t>3 (СОР)</t>
  </si>
  <si>
    <t>Стороны пришли к соглашению о расторжении Договора с даты подписания настоящего Соглашения</t>
  </si>
  <si>
    <t>00855-22</t>
  </si>
  <si>
    <t>ГЕО-22/35000/00249</t>
  </si>
  <si>
    <t>Реализация проекта "Цифровой партнер"</t>
  </si>
  <si>
    <t>00856-22</t>
  </si>
  <si>
    <t>ДОПОЛНИТЕЛЬНОЕ СОГЛАШЕНИЕ № 4</t>
  </si>
  <si>
    <t>Обязательства Подрядчика по выполнению ключевых показателей эффективности. Актуализация ОЭДК.</t>
  </si>
  <si>
    <t>00857-22</t>
  </si>
  <si>
    <t>00858-22</t>
  </si>
  <si>
    <t>11018, 11019, 11020, 11021, 11022  Договор (рамочный) на выполнение работ по услуге "Капитальное строительство и ПИР"</t>
  </si>
  <si>
    <t xml:space="preserve">выполнение проектных работ для нужд ООО «ГПН-ГЕО» </t>
  </si>
  <si>
    <t>13605363.8</t>
  </si>
  <si>
    <t>00859-22</t>
  </si>
  <si>
    <t>в целях обеспечения ПБ при выполнени работ</t>
  </si>
  <si>
    <t>00860-22</t>
  </si>
  <si>
    <t>ГЕО-22/33200/00281</t>
  </si>
  <si>
    <t>обмен элетронным документами</t>
  </si>
  <si>
    <t>00861-22</t>
  </si>
  <si>
    <t>ГЕО-22/26000/00280</t>
  </si>
  <si>
    <t>в целях обеспечения неразглашения информации, составляющей коммерческую тайну и иной конфиденциальной информации при оказании услуг/выполнении работ по Договору</t>
  </si>
  <si>
    <t>00862-21</t>
  </si>
  <si>
    <t>НТЦ-02917-21Р-ГПН</t>
  </si>
  <si>
    <t xml:space="preserve">Научно-техническое сопровождение проекта «Разработка когнитивных инструментов геологического анализа», включая формирование датасетов, базы знаний и базы аналогов,  апробацию прототипов, анализ результатов и выдачу рекомендаций. </t>
  </si>
  <si>
    <t>00862-22</t>
  </si>
  <si>
    <t>Выполнению инженерных изысканий для нужд ООО «ГПН-ГЕО».</t>
  </si>
  <si>
    <t>72459852.24</t>
  </si>
  <si>
    <t>00863-21</t>
  </si>
  <si>
    <t>00863-22</t>
  </si>
  <si>
    <t>33100 Соглашение в области производственной безопасности. Уралгеопроект, ООО</t>
  </si>
  <si>
    <t>Салахутдинов Рашид Сабирович</t>
  </si>
  <si>
    <t>00864-21</t>
  </si>
  <si>
    <t>ГЕО-21/26000/00285</t>
  </si>
  <si>
    <t>00864-22</t>
  </si>
  <si>
    <t>Дополнительное соглашение №8 к Договору о выполнении операторских работ и оказании операторских услуг (Оморинский ЛУ)</t>
  </si>
  <si>
    <t xml:space="preserve"> перевод негарантированного объема 2022г. в гарантированный в рамках программы выполнения работ и оказания услуг ГРР по Оморинскому ЛУ на 2021-2022гг. без увеличения стоимости программы ГРР</t>
  </si>
  <si>
    <t>00865-22</t>
  </si>
  <si>
    <t>Заявка №5 к Договору № ГЕО-21/08000/00296/Р от «28» декабря 2021 г.</t>
  </si>
  <si>
    <t>Разработка проектной документации на геологическое изучение на Первомайском участке недр.</t>
  </si>
  <si>
    <t>00866-22</t>
  </si>
  <si>
    <t>Заявка №6 к Договору № ГЕО-21/08000/00296/Р от «28» декабря 2021 г.</t>
  </si>
  <si>
    <t>Разработка проектной документации на геологическое изучение на Чонской группе месторождений</t>
  </si>
  <si>
    <t>00867-21</t>
  </si>
  <si>
    <t>Агентский договор на выполнение работ по обработке и интерпретации сейсмических материалов МОГТ-ЗД в пределах Северо-Самбургского участка</t>
  </si>
  <si>
    <t>Выполнение работ по обработке и интерпретации сейсмических материалов МОГТ-ЗД в пределах Северо-Самбургского участка</t>
  </si>
  <si>
    <t>00867-22</t>
  </si>
  <si>
    <t>Дополнительное соглашение №2 К ДОГОВОРУ № ГЕО-21/10120/00148/Р от 02 июля 2021</t>
  </si>
  <si>
    <t xml:space="preserve">Согласно Письма №НК-43/005843 от 22.04.2022г. «Кас. стоимости услуг сервисных предприятий на 2022 год», в связи с внешнеполитической ситуацией и во избежание убытков нефтесервисных дочерних обществ ПАО «Газпром нефть», обусловленных ростом расходов, в ПАО «Газпром нефть» принято решение об индексации с 01.04.2022 г. тарифов на услуги, оказываемые ООО «Газпромнефть-ННГГФ» _x000D_
Согласно Письма №НК-43/011502-01 от 02.08.2022 «Кас. стоимости услуг сервисных предприятий на 2022 год (2 итерация)» В связи с принятым по Группе Компаний Газпром решением о дополнительной индексации ФОТ сверх БП на 10% и во избежание убытков сервисных дочерних обществ ПАО «Газпром нефть» обусловленных ростом расходов на фонд оплаты труда сотрудников, принято решение об индексации с 01.08.2022 г. тарифов на услуги, оказываемые ООО «ГПН-Ноябрьскнефтегазгеофизика», в ПАО «Газпром нефть» принято решение об индексации с 01.08.2022 г. тарифов на услуги, оказываемые ООО «Газпромнефть-ННГГФ» _x000D_
Во исполнение указанного решения, а также на основании обращения ООО «Газпромнефть-ННГГФ» письмо №09/643 от 17.05.2022 «О заключении ДС к действующим Договорам ГИРС (Приложение № 7) в соответствии с письмом ПАО «Газпром нефть» №НК-43/005843 от 22.04.2022» и с письмом ПАО «Газпром нефть» №НК-43/011502-01 от 02.08.2022 , необходимо провести индексацию стоимости услуг в размере доведенного процента индексации, без изменения общей стоимости договора за счет уменьшения объемов работ с учетом производственной потребности. </t>
  </si>
  <si>
    <t>00868-21</t>
  </si>
  <si>
    <t>Дополнительное соглашение №6 к Договору № ГЕО-19/10201/00155/Р от 11.07.2019г.</t>
  </si>
  <si>
    <t>Включение физического объема на 2022 с целью пролонгировать аренду ПВО по схеме ОП 10 (H2S) на скважину 198 ПО с учетом приведения к факту затрат 2020 и 2021 года, а также внедрение дополнительной мотивации (КПЭ) без изменения стоимости Договора</t>
  </si>
  <si>
    <t>00868-22</t>
  </si>
  <si>
    <t>Заявка №7 к Договору № ГЕО-21/08000/00296/Р от «28» декабря 2021 г.</t>
  </si>
  <si>
    <t>Разработка проектной документации на геологическое изучение на Западно-Таймырских 1-12 ЛУ</t>
  </si>
  <si>
    <t>00869-21</t>
  </si>
  <si>
    <t>ГЕО-21/25000/00288/Р</t>
  </si>
  <si>
    <t>Исполнитель обязуется оказать Заказчику услуги по проведению фотосъемок сотрудников, созданию дизайна плаката формата А1, созданию инфографики именуемые в дальнейшем «Услуги», а Заказчик обязуется принять результат Услуг и оплатить его.</t>
  </si>
  <si>
    <t>Забелин Иван Игоревич</t>
  </si>
  <si>
    <t>00869-22</t>
  </si>
  <si>
    <t>ГЕО-22/33200/00269</t>
  </si>
  <si>
    <t>Электонный обмен документами ООО "Уралгеопроект".</t>
  </si>
  <si>
    <t>00870-21</t>
  </si>
  <si>
    <t>ГЕО-21/26000/00287</t>
  </si>
  <si>
    <t>В связи с заключением договора ГПХ</t>
  </si>
  <si>
    <t>00870-22</t>
  </si>
  <si>
    <t>ГЕО-22/09000/00262/Р</t>
  </si>
  <si>
    <t>Договор на оказание услуг  по проведению лабораторных исследований проб растительности Лескинского ЛУ</t>
  </si>
  <si>
    <t>Исполнитель по заданию Заказчика обязуется оказать услуги на проведение лабораторных исследований проб растительности, но не ограничиваясь этим. Перечень услуг в рамках договора включает в себя: проведение лабораторных исследований по определению содержания химических элементов и нефтепродуктов в пробах растительности; составление протоколов результатов лабораторных исследований; заключения об уровне содержания химических элементов и нефтепродуктов в пробах растительности по результатам лабораторных исследований, отчета о соответствии установленным нормативным значениям результатов лабораторных исследований, сравнения проб по уровню содержания исследованных химических веществ</t>
  </si>
  <si>
    <t>ООО «Мобильная экологическая лаборатория»</t>
  </si>
  <si>
    <t>00871-21</t>
  </si>
  <si>
    <t>Заказ-Наряд №14 к договору №ГЕО-19/11708/00133/Р от 25.06.2019</t>
  </si>
  <si>
    <t>Седиментологическое описание керна меловых и юрских пластов Хамбатейского месторождения и смежных территорий Южного Ямала</t>
  </si>
  <si>
    <t>00871-22</t>
  </si>
  <si>
    <t>Дополнительное соглашение о включении в договоры арбитражной оговорки</t>
  </si>
  <si>
    <t>Арбитражная оговорка</t>
  </si>
  <si>
    <t>00872-21</t>
  </si>
  <si>
    <t>ГЕО-211151300019Р</t>
  </si>
  <si>
    <t>00872-22</t>
  </si>
  <si>
    <t>Корректировка сроков оплаты</t>
  </si>
  <si>
    <t>00873-21</t>
  </si>
  <si>
    <t>00873-22</t>
  </si>
  <si>
    <t>ГЕО-22/35000/00268</t>
  </si>
  <si>
    <t>Соглашение СУДИР (ООО "Уралгеопроект")</t>
  </si>
  <si>
    <t>00874-22</t>
  </si>
  <si>
    <t>Заказ-Наряд №18 к договору №ГЕО-19/11708/00133/Р от 25.06.2019</t>
  </si>
  <si>
    <t>Научно-методическое сопровождение обработки и экспертиза комплексной интерпретации данных СРР 3D и ГИС в пределах Северо-Ямбургской площади, полученных в 2021-2022 гг.</t>
  </si>
  <si>
    <t>00875-21</t>
  </si>
  <si>
    <t>Добавление вида услуги и увеличение срока договора без изменения стоимости</t>
  </si>
  <si>
    <t>00875-22</t>
  </si>
  <si>
    <t>ГЕО-22/33200/00246</t>
  </si>
  <si>
    <t>00876-22</t>
  </si>
  <si>
    <t>00877-21</t>
  </si>
  <si>
    <t>ДС №5 к Агентскому договору №ХНТ-19/20000/762/P/60 от 12.07.2019</t>
  </si>
  <si>
    <t>Заключение ДС №5 к Агентскому договору №ХНТ-19/20000/762/P/60 от 12.07.2019 на перевод дополнительных объемов из НГО в ГО по Салымскому 5 и Северо-Ингольскому, Нежданному, Южному ЛУ</t>
  </si>
  <si>
    <t>00878-22</t>
  </si>
  <si>
    <t>ГЕО-22/25000/00248/Р</t>
  </si>
  <si>
    <t>Писарева Ирина Михайловна</t>
  </si>
  <si>
    <t>00879-21</t>
  </si>
  <si>
    <t>Дополнительное соглашение № 1 к Договору № ГЕО-21/10302/00225/Р от 11.10.2021г.</t>
  </si>
  <si>
    <t xml:space="preserve">Уменьшение гарантированного объема работ с одновременным увеличением негарантированного объема работ без изменния объема работ и стоимости договора </t>
  </si>
  <si>
    <t>00879-22</t>
  </si>
  <si>
    <t>00880-21</t>
  </si>
  <si>
    <t>ГЕО-21/09000/00294/Д</t>
  </si>
  <si>
    <t xml:space="preserve">Научно-методическое сопровождение обработки и комплексной интерпретации данных сейсморазведочных работ 3D, 2D и геофизических исследований скважин в пределах </t>
  </si>
  <si>
    <t>Осуществление научно-методического сопровождения обработки и комплексной интерпретации данных сейсморазведочных работ 3D, 2D и геофизических исследований скважин в пределах Северо-Самбургского лицензионного участка</t>
  </si>
  <si>
    <t>00880-22</t>
  </si>
  <si>
    <t>00881-21</t>
  </si>
  <si>
    <t>Дополнительное соглашение №1 к договору №ГЕО-21/10900/00249/Р от 08.11.2021 г.</t>
  </si>
  <si>
    <t>1. Внесение дополнений в предмет  договора_x000D_
2. Частичные перевод объема услуг из негарантированного в гарантированный</t>
  </si>
  <si>
    <t>Федеральное государственное бюджетное учреждение «Главное бассейновое управление по рыболовству и сохранению водных биологических ресурсов» Енисейский филиал</t>
  </si>
  <si>
    <t>00881-22</t>
  </si>
  <si>
    <t>включение условий об управлении эффективностью деятельности контрагента (УЭДК)</t>
  </si>
  <si>
    <t>0000062175</t>
  </si>
  <si>
    <t xml:space="preserve">ООО БГТ </t>
  </si>
  <si>
    <t>7728707528</t>
  </si>
  <si>
    <t>00882-21</t>
  </si>
  <si>
    <t>0000008536</t>
  </si>
  <si>
    <t xml:space="preserve">АО Газпромнефть - ОНПЗ </t>
  </si>
  <si>
    <t>5501041254</t>
  </si>
  <si>
    <t>00882-22</t>
  </si>
  <si>
    <t>ГЕО-22/26000/00250</t>
  </si>
  <si>
    <t>Неразглашение информации, составляющей коммерческую тайну и иной конфиденциальной информации</t>
  </si>
  <si>
    <t>00883-21</t>
  </si>
  <si>
    <t>Задание № 3</t>
  </si>
  <si>
    <t>ДП № 1 к Заданию № 3 к Договору № ГЕО-20/10986/00138/Р от 10.08.2020г. с компанией ООО «ОГК» в рамках исполнения данного договора в 2021 году по контролю состояния ПБ с целью исполнения агентского договора, заключенного м</t>
  </si>
  <si>
    <t>продление срока оказания услуг СП до 31.12.2021г.</t>
  </si>
  <si>
    <t>00883-22</t>
  </si>
  <si>
    <t xml:space="preserve">ГЕО-22/11000/00012/З </t>
  </si>
  <si>
    <t>с целью перераспределения объёмов работ (исключение отдельных позиций работ с одновременным увеличением других предусмотренных договором работ без увеличения единичных расценок), для возможности выполнения работ по Договору и строительству летнего проезда ББС – скв. 198. с уменьшением общей стоимости по Договору</t>
  </si>
  <si>
    <t xml:space="preserve">11104 Договор по услуге «Авиационное обслуживание (вертолеты)» </t>
  </si>
  <si>
    <t>00884-22</t>
  </si>
  <si>
    <t>Об оказании авиационных услуг с использованием вертолетов. Оморинское м-ие.</t>
  </si>
  <si>
    <t>45749510</t>
  </si>
  <si>
    <t>00885-22</t>
  </si>
  <si>
    <t>Дополнительное соглашение № 6 к Договору №ГЕО-211030800236Р</t>
  </si>
  <si>
    <t>1. Дополнить Договор Приложением № 16 «Временный регламент по обращению с металлической бочкотарой на объектах ДО БРД ПАО «Газпромнефть»</t>
  </si>
  <si>
    <t>00886-22</t>
  </si>
  <si>
    <t>актуализация условия управления эффективностью деятельности контрагнета (УЭДК)</t>
  </si>
  <si>
    <t>00887-21</t>
  </si>
  <si>
    <t xml:space="preserve">Н-З №2 к  Договору № ГЕО-21/11031/00101/Р  от 25.03.2021 </t>
  </si>
  <si>
    <t xml:space="preserve">Заключения Наряд-заказа №2 к  Договору № ГЕО-21/11031/00101/Р  от 25.03.2021 </t>
  </si>
  <si>
    <t>00887-22</t>
  </si>
  <si>
    <t xml:space="preserve">Заказ №5 к Договору № ГЕО-20/10919/00096/Р от 22.06.2020 г. </t>
  </si>
  <si>
    <t>Заказ №5</t>
  </si>
  <si>
    <t>1. Оказание услуг по разработке и согласованию проекта нормативов допустимых выбросов (НДВ (ВСВ)) до 20 источников, в том числе для веществ I, II класса опасности:_x000D_
1.1. Для Оморинского ЛУ (скв. Км-4, Км-4 бис, Сал-3П) - _x000D_
1 проектный документ;_x000D_
1.2. Для Лескинского ЛУ (скв. 178, 198) 1 проектный документ. _x000D_
2. Лабораторные исследования отходов производства и потребления:_x000D_
2.1. Для Оморинского ЛУ (скв. Км-4, Км-4 бис, Сал-3П) – 2 паспорта отходов.</t>
  </si>
  <si>
    <t>00888-22</t>
  </si>
  <si>
    <t>ДС-3 к Договору № ВР-69-10110/20-23/ГЕО-22/10000/00076/Р от 30.09.2020 на выплату материальной мотивации</t>
  </si>
  <si>
    <t>00889-22</t>
  </si>
  <si>
    <t>СОГЛАШЕНИЕ О ПЕРЕМЕНЕ ЛИЦ В ОБЯЗАТЕЛЬСТВЕ</t>
  </si>
  <si>
    <t>В связи принятием решения на Управляющем комитете БРД реализовать программу ОПР по проекту «Чона» силами ООО «Газпромнефть-Заполярье», принято решение о преуступки право по договору на оказание услуг по обслуживанию объектов социально-бытового назначения на Игнялинском, Вакунайском, Тымпучиканском лицензионных участках (Комплексов очистки воды, стоков, установок по сжиганию отходов) № ГЕО-20/10808/00203Р от 28.12.2020 г., заключенного ООО "ГПН-ГЕО" с ООО «ЭнергоТехСервис».</t>
  </si>
  <si>
    <t>0000040952, 0000064025</t>
  </si>
  <si>
    <t xml:space="preserve">ООО ЭнергоТехСервис ; 
ООО Газпромнефть - Заполярье </t>
  </si>
  <si>
    <t>7203126844, 7728720448</t>
  </si>
  <si>
    <t>00890-21</t>
  </si>
  <si>
    <t>Дополнительное соглашение №2  к  договору  № ГЕО-19/09000/00303/Р от 15.11.2019 г.</t>
  </si>
  <si>
    <t>1. Перераспределении объема услуг, между гарантированным и негарантированным объемом услуг._x000D_
-Гарантированный объем не более 190 865 321,18 руб ( без НДС)._x000D_
-Негарантированный объем не более 1 050 526 581,69 руб ( без НДС)._x000D_
2. Увеличени ставок фельдшера по ФО_x000D_
3.Уменьшение ставки врача по СибФО.</t>
  </si>
  <si>
    <t>00890-22</t>
  </si>
  <si>
    <t>ГЕО-22/33200/00251</t>
  </si>
  <si>
    <t>00891-22</t>
  </si>
  <si>
    <t>00892-21</t>
  </si>
  <si>
    <t xml:space="preserve">ГЕО-20/09000/00050/Р </t>
  </si>
  <si>
    <t>Дополнительное соглашение № 8 к договору № ГЕО-20/09000/00050/Р от 31.03.2020 г.</t>
  </si>
  <si>
    <t xml:space="preserve">Перевевод из негарантированных объемов 2022г. в гарантированные объемы 2022 г. </t>
  </si>
  <si>
    <t>00892-22</t>
  </si>
  <si>
    <t>00893-21</t>
  </si>
  <si>
    <t xml:space="preserve"> оказание услуг по супервайзерскому контролю технологии полевых сейсморазведочных работ на Северо-Ямбургском, Хамбатейском, Карабашском-84 лицензионных участках.</t>
  </si>
  <si>
    <t>00893-22</t>
  </si>
  <si>
    <t>00894-21</t>
  </si>
  <si>
    <t xml:space="preserve">Оказание авиационных услуг с использованием вертолетов Ми-8 АМТ/МТВ или аналоги Ми-171/171А2 (а/п (п/п) Новый Уренгой, п/п Тазовский)_x000D_
</t>
  </si>
  <si>
    <t>АО "ЮТэйр-Вертолетные услуги"</t>
  </si>
  <si>
    <t>00894-22</t>
  </si>
  <si>
    <t>00895-21</t>
  </si>
  <si>
    <t>ГЕО-21/10000/00295/Р</t>
  </si>
  <si>
    <t>Договор на оказание услуг складской и транспортной логистики (Проект Южный Оренбург)</t>
  </si>
  <si>
    <t>Оказание услуг СТЛ на проекте Южный Оренбург</t>
  </si>
  <si>
    <t>00895-22</t>
  </si>
  <si>
    <t>ГЕО-22/33100/00256</t>
  </si>
  <si>
    <t>00896-21</t>
  </si>
  <si>
    <t>ГЕО-21/20000/00300/Д</t>
  </si>
  <si>
    <t>Агентский договор на оказание супервайзерских услуг по контролю состояния производственной безопасности на объектах ООО «Газпромнефть-Восток»</t>
  </si>
  <si>
    <t>Сопровождение сейсморазведочных работ в области производственной безопасности</t>
  </si>
  <si>
    <t>00896-22</t>
  </si>
  <si>
    <t>Уменьшение единичных расценок</t>
  </si>
  <si>
    <t>20000 Договор на оказание агентских услуг на организацию размещения и обслуживания персонала в буферных (обсервационных) терминалах</t>
  </si>
  <si>
    <t>00897-21</t>
  </si>
  <si>
    <t>00897-22</t>
  </si>
  <si>
    <t>НАРЯД-ЗАКАЗ № 1 ООО «Уралгеопроект» к договору ГЕО-22/11000/00267/Р от 10.10.2022</t>
  </si>
  <si>
    <t>НАРЯД-ЗАКАЗ № 1 с ООО «Уралгеопроект». Выполнению инженерных изысканий для нужд ООО «ГПН-ГЕО».</t>
  </si>
  <si>
    <t>00898-21</t>
  </si>
  <si>
    <t>Договор на выполнение «Комплексного сопровождения по информационно-аналитическому и практическому ведению недропользования на участках недр в периметре лицензионного портфеля ООО «ГПН-ГЕО» (11708)</t>
  </si>
  <si>
    <t>Заключение договора на выполнение «Комплексного сопровождения по информационно-аналитическому и практическому ведению недропользования на участках недр в периметре лицензионного портфеля ООО «ГПН-ГЕО»</t>
  </si>
  <si>
    <t>00898-22</t>
  </si>
  <si>
    <t>НЗ №20 «Обновление петрофизической модели ачимовской толщи Харвутинской площади Ямбургского нефтегазоконденсатного месторождения»</t>
  </si>
  <si>
    <t>актуализировать петрофизическую основу методики интерпретации ГИС для последующего использования и обеспечения данными построения 3Д геологических моделей</t>
  </si>
  <si>
    <t>00899-21</t>
  </si>
  <si>
    <t>ГЕО-21/09100/00298/Р</t>
  </si>
  <si>
    <t>ЧОУ ДПО «УЦ «Ракурс+»</t>
  </si>
  <si>
    <t>00899-22</t>
  </si>
  <si>
    <t>ГЕО-22/33200/00266</t>
  </si>
  <si>
    <t>00900-21</t>
  </si>
  <si>
    <t>Соглашение о частичной передаче прав и обязанностей</t>
  </si>
  <si>
    <t>Передача работ по исследованию керна основному Исполнителю</t>
  </si>
  <si>
    <t>0000045789, 0000087378</t>
  </si>
  <si>
    <t xml:space="preserve">ООО Газпромнефть НТЦ ; 
ООО Нефтеком </t>
  </si>
  <si>
    <t>7838395487, 7204203139</t>
  </si>
  <si>
    <t>00901-21</t>
  </si>
  <si>
    <t>Оказание авиационных услуг с использованием вертолетов Ми-26</t>
  </si>
  <si>
    <t>00901-22</t>
  </si>
  <si>
    <t>ГЕО-22/33200/00255</t>
  </si>
  <si>
    <t>00902-22</t>
  </si>
  <si>
    <t>ГЕО-22/35000/00297</t>
  </si>
  <si>
    <t>Для работы в Цифровом двойнике</t>
  </si>
  <si>
    <t>00903-21</t>
  </si>
  <si>
    <t>Дополнительное соглашение №1 к Договору на выполнение работ по Инженерному и технологическому сопровождению работ при текущем и капитальном ремонте скважин (ТКРС) (Аренда клапана-отсекателя с инженерным сопровождением) № ГЕО-21/10430/00237/Р от 25.10.2021г</t>
  </si>
  <si>
    <t>Изменение производственной программы, частичное перераспределение гарантийного объема услуг из 2021 в 2022 г. без изменения стоимости ДД</t>
  </si>
  <si>
    <t>00903-22</t>
  </si>
  <si>
    <t>ГЕО-22/34000/00260</t>
  </si>
  <si>
    <t>Соглашение о о сотрудничестве между Комитетом по природопользованию, охране окружающей среды и обеспечению экологической безопасности и Обществом с ограниченной ответственностью «Газпромнефть-ГЕО»</t>
  </si>
  <si>
    <t>1. Сотрудничество в области практической подготовки специалистов-экологов и привлечения внимания общества к вопросам охраны окружающей среды и экологической безопасности_x000D_
2. Сотрудничество в области создания Движения экологических волонтёров – добровольческого движения по оказанию оперативной помощи в ликвидации последствий масштабных нефтеразливов</t>
  </si>
  <si>
    <t>Комитет по природопользованию, охране окружающей среды и обеспечению экологической безопасности</t>
  </si>
  <si>
    <t>00904-21</t>
  </si>
  <si>
    <t xml:space="preserve">ГЕО-20/10986/00138/Р </t>
  </si>
  <si>
    <t>Задание № 15</t>
  </si>
  <si>
    <t>Задания № 15 к Договору № ГЕО-20/10986/00138/Р от 10.08.2020г. с компанией ООО «ОГК» на оказание СП услуг по контролю состояния ПБ в 2021-2022 гг. на Тайлаковском ЛУ в рамках заключаемого операторского договора с АО «Славнефть-Мегионнефтегаз»</t>
  </si>
  <si>
    <t>00904-22</t>
  </si>
  <si>
    <t xml:space="preserve">Дополнение договора приложением - «Временный регламент по обращению с металлической бочкотарой на объектах ДО БРД ПАО «Газпром нефть» </t>
  </si>
  <si>
    <t>00905-21</t>
  </si>
  <si>
    <t>ГЕО-21/09000/00290/Р</t>
  </si>
  <si>
    <t>Договор об оказании Услуг по обеспечению сервиса защиты информации</t>
  </si>
  <si>
    <t>Выполнение требований ПК-12.02.01 «Политика информационной безопасности» по обеспечению сервиса защиты информации ООО «ГПН-ГЕО»</t>
  </si>
  <si>
    <t>00905-22</t>
  </si>
  <si>
    <t>Дополнительное соглашение № 1 к Договору № ГЕО-22/10402/00187/Р от 03.08.2022г., с ГеоЛад-СТ</t>
  </si>
  <si>
    <t xml:space="preserve">Изменение реквизитов и регламента по обращению с бочкотарой </t>
  </si>
  <si>
    <t>00906-21</t>
  </si>
  <si>
    <t>ДС №1 к Договору №ГЕО-21/10308/00236/Р от 04.10.2021 г. на проведение ГТИ при бурении (Южный Оренбург)</t>
  </si>
  <si>
    <t>Уменьшение гарантированного объема работ и актуализация требований ПБ</t>
  </si>
  <si>
    <t>00906-22</t>
  </si>
  <si>
    <t>Рамочный договор на выполнение сейсморазведочных работ</t>
  </si>
  <si>
    <t>00907-21</t>
  </si>
  <si>
    <t>Задание № 14 к Договору № ГЕО-20/10986/00138/Р от 10.08.2020г. с компанией ООО «ОГК» на оказание супервайзерских услуг по контролю состояния производственной безопасности (дале  - ПБ) в 2022 году на Лескинском ЛУ Проекта «Енисей»</t>
  </si>
  <si>
    <t>оказание супервайзерских услуг по контролю состояния производственной безопасности (дале  - ПБ) в 2022 году на Лескинском ЛУ Проекта «Енисей»</t>
  </si>
  <si>
    <t>00907-22</t>
  </si>
  <si>
    <t>00908-21</t>
  </si>
  <si>
    <t>ГЕО-18/11038/00080/Р</t>
  </si>
  <si>
    <t>Заказ на проведение экспертизы расчетов стоимости ПИР и осуществление поддержки по вопросам ценообразования ПИР</t>
  </si>
  <si>
    <t>НТЦ-03029-21Д-ГЕО</t>
  </si>
  <si>
    <t>Проведение экспертизы расчетов стоимости ПИР и осуществление поддержки по вопросам ценообразования ПИР</t>
  </si>
  <si>
    <t>00908-22</t>
  </si>
  <si>
    <t>ГЕО-22/33100/00261</t>
  </si>
  <si>
    <t>С целью обеспечения ПБ при оказании услуг. Авиакомпания Конверс АВИА</t>
  </si>
  <si>
    <t>00909-21</t>
  </si>
  <si>
    <t>Дополнительное соглашение №4 к Договору № ОРН-20/10204/00210/Р от 14.02.2020г.</t>
  </si>
  <si>
    <t>О заключении ДС №4 к договору № ОРН-20/10204/00210/Р от 14.02.2020г. между ООО «ГПН-ГЕО» и ООО «НСХ АЗИЯ ДРИЛЛИНГ», предусматривающего увеличение ставок в Договоре за счет увеличения ФОТ и перераспределения состава работ, без изменения общей стоимости и объема работ по Договору</t>
  </si>
  <si>
    <t>00909-22</t>
  </si>
  <si>
    <t>ГЕО-22/10000/00270/Р</t>
  </si>
  <si>
    <t>00910-21</t>
  </si>
  <si>
    <t>ГЕО-21/33100/00308</t>
  </si>
  <si>
    <t>Заключение соглашения в области ПБ</t>
  </si>
  <si>
    <t>00910-22</t>
  </si>
  <si>
    <t>00911-21</t>
  </si>
  <si>
    <t xml:space="preserve">НТЦ-19/09000/02245/Д-ГЕО </t>
  </si>
  <si>
    <t>Изменение наименования 10 Этапа Заказа с актуализацией выполняемых работ БЕЗ ИЗМЕНЕНИЯ СТОИМОСТИ РАБОТ И ОКОНЧАНИЯ РАБОТ.</t>
  </si>
  <si>
    <t>00911-22</t>
  </si>
  <si>
    <t>00912-22</t>
  </si>
  <si>
    <t>ДС №2 к Договору №ГЕО-22/10000/00057/Р от 18.03.2022 г. на проведение полевых сейсморазведочных работ 2Д, 3Д (10110)</t>
  </si>
  <si>
    <t>Актуализация реквизитов сторон</t>
  </si>
  <si>
    <t>00913-21</t>
  </si>
  <si>
    <t>ДС №3 к ГЕО-19/11104/00153/Д ООО "Газпром Бурение"</t>
  </si>
  <si>
    <t>00913-22</t>
  </si>
  <si>
    <t>включение условий арбитражной оговорки</t>
  </si>
  <si>
    <t>00914-22</t>
  </si>
  <si>
    <t>ГЕО-20/10919/00072/Р</t>
  </si>
  <si>
    <t xml:space="preserve">Заказ №1 к Договору № ГЕО-20/10919/00072/Р от 12.05.2020 г. </t>
  </si>
  <si>
    <t xml:space="preserve">1. Оказание услуг по разработке и согласованию проекта нормативов допустимых выбросов (НДВ (ВСВ)) до 20 источников, в том числе для веществ I, II класса опасности:_x000D_
1.1. Для Северо-Ямбургского ЛУ - 1 проектный документ._x000D_
</t>
  </si>
  <si>
    <t>00915-22</t>
  </si>
  <si>
    <t>ГЕО-22/33100/00263</t>
  </si>
  <si>
    <t xml:space="preserve">С целью обеспечения ПБ при оказании услуг по Приказу 95-П (Бочкотара включена). </t>
  </si>
  <si>
    <t>00916-22</t>
  </si>
  <si>
    <t>Сбор, погрузка и транспортировка отходов бурения и технологических жидкостей освоения скважин на утилизацию и/или обезвреживание силами Исполнителя с объектов Заказчика на лицензионных участках ПАО «Газпром нефть» в рамках Производственной программы ООО "ГПН-ГЕО"</t>
  </si>
  <si>
    <t>23824281.35</t>
  </si>
  <si>
    <t>00917-22</t>
  </si>
  <si>
    <t>С целью обеспечения ПБ при оказании услуг по Приказу 95-П (Бочкотара включена). ССК, АО</t>
  </si>
  <si>
    <t>00918-21</t>
  </si>
  <si>
    <t>Заказ №1</t>
  </si>
  <si>
    <t>Анализ бизнес-процессов полевой и камеральной составляющей WEB-системы ЦД СРР</t>
  </si>
  <si>
    <t>00918-22</t>
  </si>
  <si>
    <t>ГЕО-20/11104/00210/Р</t>
  </si>
  <si>
    <t>ДС №3 к ГЕО-20/11104/00210/Р с АО «ЮТэйр-Вертолетные услуги»</t>
  </si>
  <si>
    <t>Сокращение сроков оплаты, условия применения усиленной квалифицированной электронной подписи (УКЭП) при подписании ДД (ЭД в части ДД)</t>
  </si>
  <si>
    <t>00920-22</t>
  </si>
  <si>
    <t xml:space="preserve">№ ГЕО-22/11000/00012/З </t>
  </si>
  <si>
    <t>00921-21</t>
  </si>
  <si>
    <t>Заказ №2</t>
  </si>
  <si>
    <t>Адаптация WEB-системы ЦД СРР под бизнес-процессы ПАО «Газпром нефть». Разработка стандарта на процесс и НМД для WEB-системы ЦД СРР по направлению поле-вых работ</t>
  </si>
  <si>
    <t xml:space="preserve">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t>
  </si>
  <si>
    <t>00921-22</t>
  </si>
  <si>
    <t>Исполнение протокола ЗЗК по производственной безопасности БРД №ПТ-100.0170/000005/01</t>
  </si>
  <si>
    <t>00922-21</t>
  </si>
  <si>
    <t>Заявка на производство работ № 1</t>
  </si>
  <si>
    <t>ГТИ при бурении на Солнечном ЛУ</t>
  </si>
  <si>
    <t>00923-21</t>
  </si>
  <si>
    <t>ДС №1 к ГЕО-19/11104/00235/Д АО "Инвестгеосервис"</t>
  </si>
  <si>
    <t>Продление срока действия договора, увеличение суммы</t>
  </si>
  <si>
    <t>00924-21</t>
  </si>
  <si>
    <t>Дополнительное соглашение №6 к Договору №ГЕО-19/10823/00331/Р от 31.12.2019 г. на оказание услуг по выработке элетроэнергии сторонними производителями</t>
  </si>
  <si>
    <t>Перераспределение между НГО и ГО</t>
  </si>
  <si>
    <t>00924-22</t>
  </si>
  <si>
    <t>Наряд-заказ №2. ...171 СТС, ООО</t>
  </si>
  <si>
    <t>наряд-заказа №2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</si>
  <si>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00925-21</t>
  </si>
  <si>
    <t>ГЕО-20/11104/00127/Д</t>
  </si>
  <si>
    <t>ДС №1 к ГЕО-20/11104/00127/Д ООО "ЭкоСтройПереработка"</t>
  </si>
  <si>
    <t>Увеличение суммы, изменение реквизитов (место нахождения и почтовый адрес)</t>
  </si>
  <si>
    <t>00925-22</t>
  </si>
  <si>
    <t>Изм №1 в Наряд-заказ №1 ...172 СТС,ООО</t>
  </si>
  <si>
    <t>изменения №1 к Наряд-заказу №1 к Договору №ГЕО-22/11029/00172/Р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</si>
  <si>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00926-21</t>
  </si>
  <si>
    <t>ГЕО-21/09000/00305/Р</t>
  </si>
  <si>
    <t>Оказание услуги доступа в ЕТП/Интернет 3 Мбит/с на объекте на Игнялинском месторождении по адресу Иркутская обл., Игнялинский лицензионный участок N59°46'28,00", E109°16'28,30", АМС «ГПН-ГЕО».</t>
  </si>
  <si>
    <t xml:space="preserve">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t>
  </si>
  <si>
    <t>00926-22</t>
  </si>
  <si>
    <t>Включение в ДД «Временный регламент по обращению с металлической бочкотарой на объектах ДО БРД ПАО «Газпром нефть»</t>
  </si>
  <si>
    <t>00927-21</t>
  </si>
  <si>
    <t>Профилактика и ликвидация аварийных разливов нефти (услуги аварийно-спасательного формирования) на проекте Южный Оренбург</t>
  </si>
  <si>
    <t>АО "ЦАСЭО"</t>
  </si>
  <si>
    <t>00927-22</t>
  </si>
  <si>
    <t>Временный регламент по обращению с металлической бочкотарой на объектах ДО БРД ПАО «Газпром нефть»</t>
  </si>
  <si>
    <t>00929-22</t>
  </si>
  <si>
    <t>ГЕО-22/25000/00290/Р</t>
  </si>
  <si>
    <t>Исаева Ирина Сергеевна</t>
  </si>
  <si>
    <t>00930-21</t>
  </si>
  <si>
    <t xml:space="preserve">ГЕО-20/09000/00182/Д </t>
  </si>
  <si>
    <t>Положение об отчетности по операторскому соглашению</t>
  </si>
  <si>
    <t>Во исполнение положений статей 6.1 и 6.2, а также Приложения 9 к Операторскому соглашению от 23.11.2020 («ОС») согласование Положения об отчётности.</t>
  </si>
  <si>
    <t>00930-22</t>
  </si>
  <si>
    <t xml:space="preserve">О сроках перечисления </t>
  </si>
  <si>
    <t xml:space="preserve">Снижение сроков по выплатам </t>
  </si>
  <si>
    <t>00932-21</t>
  </si>
  <si>
    <t>Дополнительное соглашение №1 к Договору комплексного правового сопровождения № ГЕО-21/09000/00167/Р//ГЭР-21/09000/00125/Д от 01.08.2021г.</t>
  </si>
  <si>
    <t>1. Увеличение стоимости услуг на 604.683,03 рублей в 2022 году._x000D_
2. Включение услвоий по "иждивению Заказчика" для сохранения рабочего места Цветкова Д.В. в БП Синоп и доступов в ИС ГПН-ГЕО</t>
  </si>
  <si>
    <t>ООО Газпромнефть Экспертные решени я</t>
  </si>
  <si>
    <t>00932-22</t>
  </si>
  <si>
    <t>ДС№8 Бочкотара + УКЭП. НСХ Азия Дриллинг, ООО</t>
  </si>
  <si>
    <t>Временный регламент по обращению с металлической бочкотарой на объектах ДО БРД ПАО «Газпром нефть»_x000D_
Утвержден: протоколом ЗЗК по ПБ БРД_x000D_
№ ПТ-100.0170/000005/01 от 02.08.2022_x000D_
и, УКЭП</t>
  </si>
  <si>
    <t>00933-21</t>
  </si>
  <si>
    <t>ГЕО-21/09000/00303/Д</t>
  </si>
  <si>
    <t>Рамочный договор на выполнение работ по разработке и/или доработке программного обеспечения</t>
  </si>
  <si>
    <t>Выполнение работ по разработке и/или доработке программного обеспечения</t>
  </si>
  <si>
    <t>00933-22</t>
  </si>
  <si>
    <t>Возместить землепользователю убытки при временном занятии дополнительных земельных участков площадью 1,9109 га, для размещения объекта  «Обустройство поисково-оценочной скважины №72 Хамбатейского лицензионного участка»</t>
  </si>
  <si>
    <t>00934-21</t>
  </si>
  <si>
    <t>ГЕО-22/09000/00002/Р</t>
  </si>
  <si>
    <t>Развитие социально-бытовых условий Заказчика</t>
  </si>
  <si>
    <t>00934-22</t>
  </si>
  <si>
    <t>ГЕО-22/33000/00277</t>
  </si>
  <si>
    <t>Переход на факторинговое обслуживание</t>
  </si>
  <si>
    <t>0000045809, 0000067121</t>
  </si>
  <si>
    <t xml:space="preserve">ПАО Промсвязьбанк ; 
ООО ТСГК </t>
  </si>
  <si>
    <t>7744000912, 7202171361</t>
  </si>
  <si>
    <t>00935-21</t>
  </si>
  <si>
    <t>00000 Дополнительное соглашение на изменение Приложения 1 «Формат оценочного листа» к Приложению 4 «Процедура управления эффективностью деятельности Исполнителя» в ред. ДС1</t>
  </si>
  <si>
    <t xml:space="preserve">Актуализиация «Формата оценочного листа» ОЭДК </t>
  </si>
  <si>
    <t>00935-22</t>
  </si>
  <si>
    <t>Дополнительное соглашение № 5 к договору № ГЕО-21/09000/00198/Р от 06.09.2021 г.</t>
  </si>
  <si>
    <t xml:space="preserve">Перевод негарантированого объема 2022 года КПП и ССП 61 сут., в гарантированный объем 2022 г.  </t>
  </si>
  <si>
    <t>00936-21</t>
  </si>
  <si>
    <t>ГЕО-211150500115Р</t>
  </si>
  <si>
    <t>Соглашение о досрочном расторжении</t>
  </si>
  <si>
    <t>2 (СОР)</t>
  </si>
  <si>
    <t xml:space="preserve">Соглашение о досрочном расторжении Договора № ГЕО-21/11505/00115/Р от 26.04.2021 на выполнение цифровой аэрофотосъемки и воздушно-лазерного сканирования_x000D_
</t>
  </si>
  <si>
    <t>00937-21</t>
  </si>
  <si>
    <t>Приложение №6 к Договору поставки ГЕО-21/01200/00189/Р от 25.08.2021</t>
  </si>
  <si>
    <t>6 (Спецификация)</t>
  </si>
  <si>
    <t>Заключение Приложения 6 (спецификации) на поставку СИЗ для сотрудников ГЕО с взаимозависимым лицом ООО "ГПН-С " к ранее заключенному договору поставки ГЕО-21/01200/00189/Р._x000D_
Малостоимостная закупка менее 500 тыс. руб.</t>
  </si>
  <si>
    <t>00937-22</t>
  </si>
  <si>
    <t>ГЕО-22/09000/00284/Р</t>
  </si>
  <si>
    <t>По настоящему Договору Уполномоченный орган, действующий в соответствии с водным законодательством, предоставляет, а Водопользователь принимает в пользование поверхностный водный объект озеро без названия (Енисейский залив) (далее - водный объект)</t>
  </si>
  <si>
    <t>Министерство экологии и рационального природопользования Красноярского края</t>
  </si>
  <si>
    <t>00938-21</t>
  </si>
  <si>
    <t>СОГЛАШЕНИЕ О ПЕРЕМЕНЕ ЛИЦ В ОБЯЗАТЕЛЬСТВЕ по Договору № ХНТ-19/10110/898/Р/60 от 27.08.2019 г.</t>
  </si>
  <si>
    <t>ПЕРЕМЕНА ЛИЦ В ОБЯЗАТЕЛЬСТВЕ по Договору № ХНТ-19/10110/898/Р/60 от 27.08.2019 г.</t>
  </si>
  <si>
    <t>0000049141, 0000039295</t>
  </si>
  <si>
    <t xml:space="preserve">ПАО ГЕОТЕК Сейсморазведка ; 
ООО Газпромнефть-Хантос </t>
  </si>
  <si>
    <t>7203215460, 8618006063</t>
  </si>
  <si>
    <t>00938-22</t>
  </si>
  <si>
    <t>ГЕО-22/09000/00285/Р</t>
  </si>
  <si>
    <t>00939-21</t>
  </si>
  <si>
    <t>Оказание услуг по сбору и передаче данных, формированию отчетности, архивированию, визуализации, предоставлению каналов связи</t>
  </si>
  <si>
    <t>00939-22</t>
  </si>
  <si>
    <t xml:space="preserve">А34611Н9 </t>
  </si>
  <si>
    <t>соглашение о переуступке прав</t>
  </si>
  <si>
    <t xml:space="preserve">Изменение стороны исполнителя по договору </t>
  </si>
  <si>
    <t>0000007832</t>
  </si>
  <si>
    <t xml:space="preserve">АО "Информационное Агенство Интерфакс"; 
АО Интерфакс </t>
  </si>
  <si>
    <t>7710137066</t>
  </si>
  <si>
    <t>00940-21</t>
  </si>
  <si>
    <t>ГЕО-22/33100/00001</t>
  </si>
  <si>
    <t>00940-22</t>
  </si>
  <si>
    <t>Задание №1 под проект "Титан"</t>
  </si>
  <si>
    <t xml:space="preserve">Раскрытие ГО в Задании № 1 к Договору  № ГЕО-22/10951/00165/Р от 29 июля 2022 г. на выполнение работ и оказание услуг в области ликвидации аварийных разливов нефти_x000D_
</t>
  </si>
  <si>
    <t>00941-21</t>
  </si>
  <si>
    <t>Дополнительное соглашение 2</t>
  </si>
  <si>
    <t>О переводе  негарнтированного объема работ в гарантированныйй в 2021 г</t>
  </si>
  <si>
    <t>00941-22</t>
  </si>
  <si>
    <t xml:space="preserve">ГЕО-19/10308/00217/Р </t>
  </si>
  <si>
    <t>Дополнительное соглашение №2 о передаче Договора на проведение геолого-технологических исследований скважин при бурении № ГЕО-19/10308/00217/Р от 19 августа 2019г</t>
  </si>
  <si>
    <t>Переуступка в полном объёме всех прав и обязанностей по договору № ГЕО-19/10308/00217/Р от 09.08.2019 г. от стороны Частная компания с ограниченной ответственностью «ГЕОЛОГ ИНТЕРНЕШНЛ Б.В.» стороне ООО «Геолог Интернешнл»</t>
  </si>
  <si>
    <t>GeoloG International B.V. ; 
Общество с ограниченной ответственностью «Геолог Интернешнл» (ООО «Геолог Интернешнл»)</t>
  </si>
  <si>
    <t>00942-21</t>
  </si>
  <si>
    <t>Пользование зимними автодорогами и зимними проездами по проекту «Титан»</t>
  </si>
  <si>
    <t>Реализация производственной программы по проекту "Титан"</t>
  </si>
  <si>
    <t>00942-22</t>
  </si>
  <si>
    <t xml:space="preserve">ГЕО-21/10308/00248/Р </t>
  </si>
  <si>
    <t>Дополнительное соглашение №1 о передаче Договора на проведение геолого-технологических исследований скважин при бурении № ГЕО-19/10308/00248/Р от 11 октября 2021 г</t>
  </si>
  <si>
    <t>Переуступка в полном объёме всех прав и обязанностей по договору № ГЕО-19/10308/00248/Р от 11 октября 2021 г. от стороны Частная компания с ограниченной ответственностью «ГЕОЛОГ ИНТЕРНЕШНЛ Б.В.» стороне ООО «Геолог Интернешнл»</t>
  </si>
  <si>
    <t xml:space="preserve">Общество с ограниченной ответственностью «Геолог Интернешнл» (ООО «Геолог Интернешнл»); 
GeoloG International B.V. </t>
  </si>
  <si>
    <t>00943-21</t>
  </si>
  <si>
    <t>ГЕО-21/11000/00304/Р</t>
  </si>
  <si>
    <t>Выполнение проектно-изыскательских работ для строительства поисково-оценочной скважины № 72 ПО Хамбатейского месторождения, включая проведение необходимых экспертиз и получение необходимых согласований государственных служб согласно требований законодательства РФ</t>
  </si>
  <si>
    <t>00943-22</t>
  </si>
  <si>
    <t>оказание услуг по охране  (Проект "Оморинский")</t>
  </si>
  <si>
    <t>35759234.58</t>
  </si>
  <si>
    <t>00944-21</t>
  </si>
  <si>
    <t xml:space="preserve">Заказ № 3 к Договору № ГЕО-20/10919/00096/Р от 22.06.2020 г. </t>
  </si>
  <si>
    <t>1. Лабораторные исследования отходов производства и потребления (Игнялинский ЛУ) – 1 проба;_x000D_
2. Лабораторные исследования отходов производства и потребления (Лескинский ЛУ) – 2 пробы.</t>
  </si>
  <si>
    <t>00944-22</t>
  </si>
  <si>
    <t>ГЕО-22/33300/00289</t>
  </si>
  <si>
    <t>Договор на обработку ПД</t>
  </si>
  <si>
    <t>Приложение к агентскому договору с ПАО "Газпром нефть" на проведение внешней оценки знаний</t>
  </si>
  <si>
    <t>00946-22</t>
  </si>
  <si>
    <t>ГЕО-22/25000/00293/Р</t>
  </si>
  <si>
    <t>2.1 Исполнитель обязуется оказать Заказчику услуги по сопровождению управленческого учета, оценки экономической эффективности и мониторинга инвестиционных проектов, именуемые в дальнейшем «Услуги», а Заказчик обязуется принять результат Услуг и оплатить его</t>
  </si>
  <si>
    <t>Михайлова Наталья Александровна</t>
  </si>
  <si>
    <t>00947-22</t>
  </si>
  <si>
    <t>НАРЯД-ЗАКАЗ №33 к Договору № АНГ-19/11513/00007/Р от 14.02.2019</t>
  </si>
  <si>
    <t>Оформление земельных участков для объекта: «Обустройство поисково-оценочной скважины 198 Лескинского лицензионного участка»_x000D_
 (получение разрешения на расширение подъездного пути)</t>
  </si>
  <si>
    <t>00948-21</t>
  </si>
  <si>
    <t>Дополнительное соглашение № 5 к Договору № ГЕО-20/09000/00058/Р от 15.03.2020</t>
  </si>
  <si>
    <t>Перераспределение стоимости гарантированных объемов в размере 355 000,00 руб. без НДС, по статьям «Горячее питание», «Услуги по организации горячего питания» с 2021г.  на 2022г. на статью «Горячее питание» в связи с необходимостью продления периода-смарт паузы на площадке 6И Игнялинского лицензионного участка с 01.01.2022 по 31.12.2022.  Учитывая фактическое исполнение по договору за 2021г. и потребность на 2022г., уменьшение стоимости по договору на (-115 372,77) руб. без НДС, (-138 447,32) руб. с НДС.</t>
  </si>
  <si>
    <t>00948-22</t>
  </si>
  <si>
    <t>№ ГЕО-21/11031/00040/Р</t>
  </si>
  <si>
    <t xml:space="preserve">Внесении изменений в содержание Наряд-заказа №1 </t>
  </si>
  <si>
    <t>Уточнение условий по Наряд-заказу №1</t>
  </si>
  <si>
    <t>00949-21</t>
  </si>
  <si>
    <t>Заказ №17</t>
  </si>
  <si>
    <t>ДС №1 к Заказу №17 от 19.08.21г к Договору № ГЕО-19/10187/00123/Р от «30» мая 2019 г.</t>
  </si>
  <si>
    <t>Продление срока исполнения Заказа</t>
  </si>
  <si>
    <t>00949-22</t>
  </si>
  <si>
    <t>Задание на оказание услуг № 20</t>
  </si>
  <si>
    <t xml:space="preserve">Оказание супервайзерских услуг по контролю состояния _x000D_
производственной безопасности на объектах ООО «ГПН-ГЕО»_x000D_
</t>
  </si>
  <si>
    <t>00950-21</t>
  </si>
  <si>
    <t>ГЕО-22/29000/00031/Р</t>
  </si>
  <si>
    <t>Договор на Шеф-монтажные и Пусконаладочные работы</t>
  </si>
  <si>
    <t>Шеф-монтажные и Пусконаладочные работы метеостанции АМИС-РФ на проекте "Енисей"</t>
  </si>
  <si>
    <t>00950-22</t>
  </si>
  <si>
    <t xml:space="preserve">ДС №2 к договору ГЕО-22_10000_0004_Р от 28.02.2022 </t>
  </si>
  <si>
    <t>Индексация ставок на 22%</t>
  </si>
  <si>
    <t>00951-22</t>
  </si>
  <si>
    <t>Наряд-заказ</t>
  </si>
  <si>
    <t xml:space="preserve">по оказанию услуг охраны по Договору № ГЕО-21/09000/00198/Р от 06.09.2021 г._x000D_
</t>
  </si>
  <si>
    <t>00952-22</t>
  </si>
  <si>
    <t>20000 Агентский договор на организацию вертолетных авиаперевозок с ООО «БРПО»</t>
  </si>
  <si>
    <t>00953-22</t>
  </si>
  <si>
    <t>Обращение с металлической бочкотарой на объектах ДО БРД ПАО "Газпром нефть"</t>
  </si>
  <si>
    <t>00954-21</t>
  </si>
  <si>
    <t>ГЕО-21/20000/00312/Д</t>
  </si>
  <si>
    <t>Агентский договор на выполнение обработки и интерпретации сейсморазведочных данных МОГТ 3Д Уранской площади в 2022-23 гг.</t>
  </si>
  <si>
    <t>Выполнение обработки и интерпретации сейсморазведочных данных МОГТ 3Д Уранской площади в 2022-23 гг.</t>
  </si>
  <si>
    <t>00954-22</t>
  </si>
  <si>
    <t>ГЕО-22/33200/00288</t>
  </si>
  <si>
    <t>00955-22</t>
  </si>
  <si>
    <t>ГЕО-23/34000/00030/Р</t>
  </si>
  <si>
    <t>00956-21</t>
  </si>
  <si>
    <t>Смена реквизитов Исполнителя</t>
  </si>
  <si>
    <t>00957-21</t>
  </si>
  <si>
    <t>ДС №3 к ГЕО-20/11104/00153/Д ГЕОЛОГ ИНТЕРНЕШНЛ Б.В.</t>
  </si>
  <si>
    <t>00958-21</t>
  </si>
  <si>
    <t>Дополнительное Соглашение №3 К Договору № ГЕО-19/10156/00057/Р от 07.03.2019 г.</t>
  </si>
  <si>
    <t>на выполнение работ по теме: "Комплексные исследования керна скважин месторождений Заказчика"</t>
  </si>
  <si>
    <t>Дыбов А.</t>
  </si>
  <si>
    <t>00958-22</t>
  </si>
  <si>
    <t>ГЕО-22/35000/00295</t>
  </si>
  <si>
    <t>00959-21</t>
  </si>
  <si>
    <t>Договор о выплате вознаграждений за служебный результат интеллектуальной деятельности</t>
  </si>
  <si>
    <t>Выплата вознаграждений за служебный результат интеллектуальной деятельности</t>
  </si>
  <si>
    <t>00959-22</t>
  </si>
  <si>
    <t>ГЕО-22/33200/00292</t>
  </si>
  <si>
    <t>Ведение ЭДО с к/а</t>
  </si>
  <si>
    <t>00960-21</t>
  </si>
  <si>
    <t>ГЕО-21/09000/00306/Р</t>
  </si>
  <si>
    <t>закупка ИТ-сервисных услуг</t>
  </si>
  <si>
    <t>Обеспечение компании ГПН-ГЕО бесперебойным сервисом в части ИТ</t>
  </si>
  <si>
    <t>00960-22</t>
  </si>
  <si>
    <t>ГЕО-22/33200/00286</t>
  </si>
  <si>
    <t>Применение УКЭП с к/а</t>
  </si>
  <si>
    <t>00961-21</t>
  </si>
  <si>
    <t>Дополнительное соглашение №1 к Договору №ГЕО-21/10968/00164/Р от 20.07.2021 г. на оказание возмездных услуг по обращению с отходами производства и потребления</t>
  </si>
  <si>
    <t>1. Изменение срока действия договора (с момента подписания по 28.02.2022 г.)_x000D_
2. Изменение места проведения утилизации нефтесодержащих отходов</t>
  </si>
  <si>
    <t>00961-22</t>
  </si>
  <si>
    <t>ГЕО-22/09000/00333/Р</t>
  </si>
  <si>
    <t>00962-21</t>
  </si>
  <si>
    <t>№ ГЕО-19/10187/00123/Р</t>
  </si>
  <si>
    <t>ДС №8 к Договору № ГЕО-19/10187/00123/Р от «30» мая 2019 г.</t>
  </si>
  <si>
    <t>Продление действия договора № ГЕО-19/10187/00123/Р</t>
  </si>
  <si>
    <t xml:space="preserve">10206 Договор на оказание услуг авторского надзора </t>
  </si>
  <si>
    <t>00962-22</t>
  </si>
  <si>
    <t>ГЕО-22/11000/00300/Р</t>
  </si>
  <si>
    <t>Оказание услуг авторского надзора</t>
  </si>
  <si>
    <t>00963-21</t>
  </si>
  <si>
    <t>00963-22</t>
  </si>
  <si>
    <t>Заключение соглашения для ДД</t>
  </si>
  <si>
    <t>Копылов Е.О</t>
  </si>
  <si>
    <t>00964-21</t>
  </si>
  <si>
    <t>Договор на выполнение строительно-монтажных Услуг (СМР) объектов инженерной подготовки и дорог месторождений нефти и газа Лескинском ЛУ</t>
  </si>
  <si>
    <t xml:space="preserve">Выполнение в соответствии с условиями Договора , а также разработанной документацией обязуется выполнить Услуги в объеме и в сроки, определенные в соответствующем Графике выполнения Услуг и сдать их результат Заказчику, а Заказчик обязуется принять надлежаще выполненные Услуги и оплатить их в соответствии с условиями Договора._x000D_
В комплекс Услуг, выполняемых Подрядчиком, входят следующие Услуги (далее – Услуги):_x000D_
- строительно-монтажные Услуги; _x000D_
- иные Услуги и услуги, предусмотренные Техническим заданием, Приложением «Производственная программа», Приложением «Технические требования к Подрядчик Услуг и Технике (Техническое задание)» неразрывно связанные с приемкой готового Объекта.  , неразрывно связанные с приемкой готового Объекта. _x000D_
</t>
  </si>
  <si>
    <t>ООО "Дан Групп"</t>
  </si>
  <si>
    <t>00964-22</t>
  </si>
  <si>
    <t>ГЕО-22/26000/00291</t>
  </si>
  <si>
    <t>00965-21</t>
  </si>
  <si>
    <t xml:space="preserve">ГЕО-20/09000/00037/Р </t>
  </si>
  <si>
    <t>ДС №3 к договору № ГЕО-20/09000/00037/Р от 03.02.2020 г.</t>
  </si>
  <si>
    <t>Увеличение стоимости по Договору за счет увеличения расценки по услугам внедрения и развития процессов управления взаимоотношениями с подрядными организациями, технической оценкой и системой качества, а также сокращение срока оказания услуг по Договору</t>
  </si>
  <si>
    <t>00965-22</t>
  </si>
  <si>
    <t>ГЕО-22/26000/00294</t>
  </si>
  <si>
    <t>Соглашение о конфидициальности с ООО "Уралгеопроект"</t>
  </si>
  <si>
    <t>00966-21</t>
  </si>
  <si>
    <t>ГЕО-22/33100/00032</t>
  </si>
  <si>
    <t xml:space="preserve">_x000D_
Соглашение в области производственной безопасности (ПБ) к договору ШМР, ПНР на метеостанцию АМИС-РФ_x000D_
</t>
  </si>
  <si>
    <t>00966-22</t>
  </si>
  <si>
    <t>ГЕО-22/20000/00324/Р</t>
  </si>
  <si>
    <t>Договор РИД</t>
  </si>
  <si>
    <t>Оплата за результаты ИД на основании договора ГЕО-21/09000/00206/Д</t>
  </si>
  <si>
    <t>0000106498</t>
  </si>
  <si>
    <t xml:space="preserve">Гаврилов Антон Борисович </t>
  </si>
  <si>
    <t>510303221295</t>
  </si>
  <si>
    <t>00967-21</t>
  </si>
  <si>
    <t>ДС № 8.1 (продление до 31.12.2022г.) на хранение и ПРР на базе г. Лабытнанги</t>
  </si>
  <si>
    <t>8.1</t>
  </si>
  <si>
    <t>Внесение изменений в: сроки оказания услуг (продление до 31.12.2022г.), Приложение 2.1 «Смета по услугам складской логистики» (Игнялинский ЛУ) и Приложение 2.2 «Смета по услугам складской логистики» (Южно-Новопортовский ЛУ)</t>
  </si>
  <si>
    <t>00967-22</t>
  </si>
  <si>
    <t>ГЕО-22/20000/00325/Р</t>
  </si>
  <si>
    <t>0000106513</t>
  </si>
  <si>
    <t xml:space="preserve">Лачугин Денис Сергеевич </t>
  </si>
  <si>
    <t>634001687170</t>
  </si>
  <si>
    <t>00968-21</t>
  </si>
  <si>
    <t>Дополнительное соглашение № 2</t>
  </si>
  <si>
    <t>Перевод негарантированного объема услуг 2022 г. в гарантированный объем услуг 2022 г. по Сибирскому ФО (скв. 178 ПО Лескинского ЛУ).</t>
  </si>
  <si>
    <t>00968-22</t>
  </si>
  <si>
    <t>ГЕО-22/01200/00298/Р</t>
  </si>
  <si>
    <t xml:space="preserve">Поставка детских новогодних подарков для детей сотрудников </t>
  </si>
  <si>
    <t>00969-21</t>
  </si>
  <si>
    <t>Заказ № 5</t>
  </si>
  <si>
    <t>00969-22</t>
  </si>
  <si>
    <t>ДС-1 к Договору № ГЕО-22/10000/00271/Р от 10.10.2022 на проведение полевых сейсморазведочных работ МОГТ 3D по заказу ООО "ГПН-ГЕО" на 2022-2026 гг. на включение условий банковского сопровождения</t>
  </si>
  <si>
    <t>включение условий банковского сопровождения</t>
  </si>
  <si>
    <t>00970-21</t>
  </si>
  <si>
    <t>Договор на оказание услуг складской и транспортной логистики (Проект Титан)</t>
  </si>
  <si>
    <t>Оказание услуг СТЛ на проекте Титан</t>
  </si>
  <si>
    <t>00970-22</t>
  </si>
  <si>
    <t xml:space="preserve">ГЕО-21/101108/00193/Р </t>
  </si>
  <si>
    <t>00971-21</t>
  </si>
  <si>
    <t>оказание услуг по обращению с отходами производства и потребления по проекту "Южный Оренбург"</t>
  </si>
  <si>
    <t>Общество с ограниченной ответственностью "Эмульсионные технологии"</t>
  </si>
  <si>
    <t>19165787.25</t>
  </si>
  <si>
    <t>00971-22</t>
  </si>
  <si>
    <t xml:space="preserve">на исполнение требований  «Временного регламента по обращению с металлической бочкотарой на объектах ДО БРД  ПАО «Газпром нефть». </t>
  </si>
  <si>
    <t>00972-21</t>
  </si>
  <si>
    <t>ГЕО-22/33100/00007</t>
  </si>
  <si>
    <t>согласно требований Приказа № 122-П от 30.07.2021г.</t>
  </si>
  <si>
    <t>Бабаев Дмитрий Георгиевич -начальник отдела строительного контроля и технического надзора инженерных изысканий</t>
  </si>
  <si>
    <t>00972-22</t>
  </si>
  <si>
    <t>00973-21</t>
  </si>
  <si>
    <t>СМР объектов инженерной подготовки и дорог месторождений нефти и газа по проекту «Титан»</t>
  </si>
  <si>
    <t>ООО «Грант+»</t>
  </si>
  <si>
    <t>00973-22</t>
  </si>
  <si>
    <t xml:space="preserve">ГЕО-21/11031/00040/Р </t>
  </si>
  <si>
    <t xml:space="preserve"> Дополнительное соглашение №7 о включении в договор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t>
  </si>
  <si>
    <t>Дополнить Договор «Временным регламентом по обращению с металлической бочкотарой на объектах ДО БРД ПАО «Газпром нефть»</t>
  </si>
  <si>
    <t>00974-21</t>
  </si>
  <si>
    <t>ГЕО-22/09000/00010/Р</t>
  </si>
  <si>
    <t>Договор об оказании кончультационных услуг с ООО «ГПН-Нефтесервис»</t>
  </si>
  <si>
    <t>Развитие авиационного обеспечения и безопасности полетов</t>
  </si>
  <si>
    <t>00974-22</t>
  </si>
  <si>
    <t>00000 ДС№8 на изменение реквизитов контрагента (адрес, счет)</t>
  </si>
  <si>
    <t>00975-21</t>
  </si>
  <si>
    <t xml:space="preserve">№ ГЕО-20/11014/00070/Р </t>
  </si>
  <si>
    <t>ДОПОЛНИТЕЛЬНОЕ СОГЛАШЕНИЕ №1</t>
  </si>
  <si>
    <t xml:space="preserve">Перераспределением объёмов работ из негарантированного в гарантированный объём:_x000D_
1. Продление срока действия Договора до 31.12.2025 г; _x000D_
2. Перераспределение объема работ из гарантированного объёма в негарантированный объём, в том числе между годами; _x000D_
3. Замена приложения «Перечень нарушений и штрафных санкций в области ПБ»; _x000D_
4. Замена приложения «Соглашение в области ПБ»; </t>
  </si>
  <si>
    <t>00975-22</t>
  </si>
  <si>
    <t xml:space="preserve">ГЕО-21/11031/00101/Р </t>
  </si>
  <si>
    <t xml:space="preserve"> Дополнительное соглашение №5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t>
  </si>
  <si>
    <t>00976-22</t>
  </si>
  <si>
    <t>Дополнительное соглашение №4  к Договору №ГЕО-21/10924/00124/Р от 12.05.2021 г. на оказание услуг Экологического мониторинга месторождений</t>
  </si>
  <si>
    <t>1. Частичный первод негарантированного объема услуг в гарантированный по Уральскому ФО_x000D_
2. Включение В ДД условий применения усиленной квалифицированной электронной подписи на основании приказа ООО "ГПН-ГЕО" от 05.04.2022 № 22-П</t>
  </si>
  <si>
    <t>00977-22</t>
  </si>
  <si>
    <t xml:space="preserve">Наряд-Заказ №3 к ДОГОВОРУ № ГЕО-21/10924/00124/Р от 12.05.2021 г. на выполнение работ по экологическому мониторингу месторождений </t>
  </si>
  <si>
    <t>Наряд-Заказ №3</t>
  </si>
  <si>
    <t xml:space="preserve">Выполнение работ по экологическому мониторингу месторождений </t>
  </si>
  <si>
    <t>00978-22</t>
  </si>
  <si>
    <t xml:space="preserve">Временный регламент по обращению с металлической бочкотарой на объектах ДО БРД ПАО «Газпром нефть»_x000D_
Утвержден: протоколом ЗЗК по ПБ БРД_x000D_
№ ПТ-100.0170/000005/01 от 02.08.2022_x000D_
</t>
  </si>
  <si>
    <t>00979-22</t>
  </si>
  <si>
    <t>Н-З №6 к  Договору №ГЕО-20/11014/00070/Р от 06.05. 2021 года</t>
  </si>
  <si>
    <t>Заключения Наряд-заказа №6 по договору № ГЕО-20/11014/00070/Р от 06.05.2020 г. с ООО «Техно-Сервис»</t>
  </si>
  <si>
    <t>00980-22</t>
  </si>
  <si>
    <t>Н-З №7 к  Договору №ГЕО-20/11014/00070/Р от 06.05. 2021 года</t>
  </si>
  <si>
    <t>Заключения Наряд-заказа №7 по договору № ГЕО-20/11014/00070/Р от 06.05.2020 г. с ООО «Техно-Сервис»</t>
  </si>
  <si>
    <t>00981-22</t>
  </si>
  <si>
    <t>ДС №1 к Договору №ГЕО-22/10120/00208/Р от 18.08.2022 г. с ООО «НТЦ «ГЕОМЕХАНИКА»</t>
  </si>
  <si>
    <t>Изменение условий договора без увеличения стоимости договора</t>
  </si>
  <si>
    <t>00983-22</t>
  </si>
  <si>
    <t>ГЕО-22/33100/00299</t>
  </si>
  <si>
    <t>00984-22</t>
  </si>
  <si>
    <t>ГЕО-22/26000/00332</t>
  </si>
  <si>
    <t>Предметом настоящего Договора являются обязательства Исполнителя, оказывающего Обществу услуги на основании договора ГЕО-22/25000/00293/Р от 01.11.2022, по неразглашению информации, составляющей коммерческую тайну и иной конфиденциальной информации (далее – Конфиденциальная информация) Общества и его контрагентов.</t>
  </si>
  <si>
    <t>00985-22</t>
  </si>
  <si>
    <t>ГЕО-22/40000/00309/Р</t>
  </si>
  <si>
    <t>установление сервитута на часть земельного участка скадастровыми номерами: 89:03:020715:139, 89:03:020715:140, 89:03:020715:141, 89:03:020715:142, 89:03:020804:367 на общую площадь 19 109 кв.м., для объекта «Обустройство поисково-оценочной скважины №72 Хамбатейского лицензионного участка»</t>
  </si>
  <si>
    <t>97735</t>
  </si>
  <si>
    <t>8901039921</t>
  </si>
  <si>
    <t>00987-22</t>
  </si>
  <si>
    <t>ГЕО-22/33000/00303/Р</t>
  </si>
  <si>
    <t>Соглашение о компенсации убытков</t>
  </si>
  <si>
    <t>Компенсировать землепользователю СРОКМНС «Кунноир» (Взывающий) убытки понесенные в результате строительства и эксплуатации объекта: "Строительство поисково-оценочной скважины Сал-3П и подъездной дороги к ней"</t>
  </si>
  <si>
    <t>0000094457</t>
  </si>
  <si>
    <t xml:space="preserve">НО СТХП Союз общин КМНС Эвенкии </t>
  </si>
  <si>
    <t>2470000362</t>
  </si>
  <si>
    <t>00988-22</t>
  </si>
  <si>
    <t>ДС№3 ВПТ (Труба)</t>
  </si>
  <si>
    <t>На основании п.2.22 КТ-530 «Изменение, дополнение, расторжение договора, заключенного по результатам закупки»._x000D_
Внесение изменений в Приложение 28.7 «Прейскурант цен МТР и оборудования» в части поставки Заказчика</t>
  </si>
  <si>
    <t>00989-22</t>
  </si>
  <si>
    <t>На оказание услуг по техническому обслуживанию инженерно-технических средств охраны</t>
  </si>
  <si>
    <t xml:space="preserve">Техническое обслуживание ИТСО по Договору </t>
  </si>
  <si>
    <t>00990-22</t>
  </si>
  <si>
    <t>14357729</t>
  </si>
  <si>
    <t>00991-22</t>
  </si>
  <si>
    <t>замена приложения №21 и добавление приложения №33</t>
  </si>
  <si>
    <t>Актуализация приложений к договору</t>
  </si>
  <si>
    <t>00992-22</t>
  </si>
  <si>
    <t xml:space="preserve">Стороны обмениваются электронными документами через Оператора ЭДО. Каждая из Сторон самостоятельно осуществляет выбор Оператора ЭДО и оплату услуг привлеченного ей Оператора ЭДО. </t>
  </si>
  <si>
    <t>00993-22</t>
  </si>
  <si>
    <t>Договор на аренду азотной установки</t>
  </si>
  <si>
    <t>оказание услуг по аренде азотной установки</t>
  </si>
  <si>
    <t>00994-22</t>
  </si>
  <si>
    <t xml:space="preserve">закрепить приложение №23 «Временный регламент по обращению с металлической бочкотарой на объектах ДО БРД ПАО «Газпром нефть» </t>
  </si>
  <si>
    <t>00995-22</t>
  </si>
  <si>
    <t>В целях обеспечения процесса по администрированию действующих договоров на охранные услуги на проектах ООО «ГПН-ГЕО», договоров на техническое обслуживание инженерно-технических средств охраны, оказания консультационных услуг по направлению информационной безопасности</t>
  </si>
  <si>
    <t>Аршинина Мария Николаевна</t>
  </si>
  <si>
    <t>00996-22</t>
  </si>
  <si>
    <t xml:space="preserve">по предоставлению оборудования и инженерному сопровождению при спуске и креплении скважин хвостовиками для проведения многостадийного </t>
  </si>
  <si>
    <t>9550000</t>
  </si>
  <si>
    <t>00997-22</t>
  </si>
  <si>
    <t>ДС № 2 к Д № ГЕО-22/10120/00208/Р</t>
  </si>
  <si>
    <t>00998-22</t>
  </si>
  <si>
    <t>Включение в Договор временного регламента по обращению с металлической бочкотарой на объектах ДО БРД ПАО «Газпром нефть»</t>
  </si>
  <si>
    <t>00999-22</t>
  </si>
  <si>
    <t>25000 Договор об оказании услуг физическим лицом (без выезда на Лицензионные участки Заказчика) с Безруковым А.А.</t>
  </si>
  <si>
    <t>Договор об оказании услуг физическим лицом (без выезда на Лицензионные участки Заказчика) с Безруковым А.А.</t>
  </si>
  <si>
    <t>01000-22</t>
  </si>
  <si>
    <t>ГЕО-22/26000/00304</t>
  </si>
  <si>
    <t>Договор о конфиденциальности к договору ГПХ с Безруковым А.А.</t>
  </si>
  <si>
    <t>01001-22</t>
  </si>
  <si>
    <t>ГЕО-22/35000/00336</t>
  </si>
  <si>
    <t>Соглашение о безопасном использовании информационных систем с Безруковым А.А.</t>
  </si>
  <si>
    <t>01002-22</t>
  </si>
  <si>
    <t>Наряд-заказ №3. ...171 СТС, ООО (ключена ВПТ)</t>
  </si>
  <si>
    <t>наряд-заказа №3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</si>
  <si>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01003-22</t>
  </si>
  <si>
    <t>20/11501/00184</t>
  </si>
  <si>
    <t>Оптимизация документооборота</t>
  </si>
  <si>
    <t>01005-22</t>
  </si>
  <si>
    <t>Расторжение Договора № ГЕО-22/25000/00248/Р от 07.10.2022 г. с Писаревой Ириной Михайловной на оказание услуг по ведению воинского учета</t>
  </si>
  <si>
    <t>01006-22</t>
  </si>
  <si>
    <t>ГЕО-23/09000/00001/Р</t>
  </si>
  <si>
    <t>Договор возмездного оказания услуг по операционной поддержке бизнеса направления «Каркас безопасности» Заказчика</t>
  </si>
  <si>
    <t>Методологическая поддержка и сопровождение внедрения и развития программы «Каркас безопасности» в ООО «ГПН-ГЕО». Разработка Учебно-методических комплексов (презентационных материалов, практических кейсов, тестовых вопросов) по барьерам КБ, с проведением мастерских по передаче УМК внутренним тренерам ООО «ГПН-ГЕО». Формирование критериев / показателей по КБ для включения в Производственные контракты ДО, УПЦ функций ПБ с учетом специфики деятельности ООО «ГПН-ГЕО». Мониторинг их исполнения в течении года. Формирование критериев в рамках КОВ по КБ с проведением коммуникации в целях разъяснения. Сопровождение внедрения IT-продуктов в рамках программы КБ (дашборды, АРМ, ЭПДС, 1С-ПБ) с учетом специфики деятельности ООО «ГПН-ГЕО».</t>
  </si>
  <si>
    <t>01007-22</t>
  </si>
  <si>
    <t>Дополнительное соглашение № 3 к договору возмездного оказания услуг № ГЕО-20/11118/00069/Р от «12» мая 2020 года</t>
  </si>
  <si>
    <t>Продление срока договора без увеличения стоимости</t>
  </si>
  <si>
    <t>01008-22</t>
  </si>
  <si>
    <t>Продление сроков действия договора, смена реквизитов КА, введение регламента по обращению с металлической бочкотарой.</t>
  </si>
  <si>
    <t>01009-22</t>
  </si>
  <si>
    <t xml:space="preserve">№ГЕО-19/10541/00314/Р </t>
  </si>
  <si>
    <t>продление сроков действия договора и оказания услуг, перевод ГО и НГО за 2019-2022 г. в НГО 2023 г.</t>
  </si>
  <si>
    <t>0000070388</t>
  </si>
  <si>
    <t xml:space="preserve">АО МНГИ </t>
  </si>
  <si>
    <t>0278206011</t>
  </si>
  <si>
    <t>01010-22</t>
  </si>
  <si>
    <t>ГЕО-22/26000/00305</t>
  </si>
  <si>
    <t>01011-22</t>
  </si>
  <si>
    <t>Изменение реквизитов ООО «БурCервис» и ООО "ГПН-ГЕО"</t>
  </si>
  <si>
    <t>01013-22</t>
  </si>
  <si>
    <t>ДС-8 к договору  ГЕО-20/11112/00108/Р о переводе из НГО в ГО в 2022г. 374МШЧ, 260 тыс.руб</t>
  </si>
  <si>
    <t xml:space="preserve">Перевод 374МШЧ из негарантированного объема услуг в Гарантированный в 2022 году, без увеличения стоимости ДД_x000D_
</t>
  </si>
  <si>
    <t>01014-22</t>
  </si>
  <si>
    <t>Введение временного регламента по обращению с металлической бочкотарой на объектах ДО БРД ПАО «Газпром нефть»</t>
  </si>
  <si>
    <t>01015-22</t>
  </si>
  <si>
    <t>Дополнительное соглашение № 1 к Соглашению № ГЕО-22/11518/00107/Р от 20.05.2022 г. о возмещении убытков при временном занятии земельных участков</t>
  </si>
  <si>
    <t>01016-22</t>
  </si>
  <si>
    <t>01017-22</t>
  </si>
  <si>
    <t>Задание на оказание услуг № 16</t>
  </si>
  <si>
    <t>Оказание супервайзерских услуг по контролю состояния _x000D_
производственной безопасности на объектах ООО «ГПН-ГЕО»</t>
  </si>
  <si>
    <t>01018-22</t>
  </si>
  <si>
    <t>ГЕО-22/33200/00315</t>
  </si>
  <si>
    <t>с целью обмена электронными документами</t>
  </si>
  <si>
    <t>01019-22</t>
  </si>
  <si>
    <t>ГЕО-22/33100/00311</t>
  </si>
  <si>
    <t>в целях обеспечения ПБ при оказании услуг</t>
  </si>
  <si>
    <t>01020-22</t>
  </si>
  <si>
    <t>ГЕО-22/33100/00306</t>
  </si>
  <si>
    <t>0000074608</t>
  </si>
  <si>
    <t xml:space="preserve">ООО УТТ Восток </t>
  </si>
  <si>
    <t>8603100867</t>
  </si>
  <si>
    <t>11100 Единая мастер-форма по услугам 11101 «Обслуживание специализированной техникой», 11102 «Обслуживание пассажироперевозящей техникой», 11103 «Обслуживание грузоперевозящей техникой», 11112 «Обслуживание оперативным транспортом»</t>
  </si>
  <si>
    <t>01021-22</t>
  </si>
  <si>
    <t>ГЕО-22/10000/00308/Р</t>
  </si>
  <si>
    <t>Оказание транспортных услуг для ОПР проекта «ЧОНА» в 2022-2024 гг.</t>
  </si>
  <si>
    <t>01022-22</t>
  </si>
  <si>
    <t>ДС№9. Индексация 4,5%. НСХ Азия Дриллинг, ООО</t>
  </si>
  <si>
    <t>Индексация ставок на 4,5% в соответствии с Протоколом_x000D_
ЭС БРД ПТ-НС-09/0000881 от 28.11.2022 без изменения объема работ и стоимости Договора.</t>
  </si>
  <si>
    <t>01023-22</t>
  </si>
  <si>
    <t>Заключение Заказ-Наряда №21</t>
  </si>
  <si>
    <t>Формирование базы данных для реализации стратегии неорганического роста в районе проекта Оморинский</t>
  </si>
  <si>
    <t>01024-22</t>
  </si>
  <si>
    <t xml:space="preserve"> оказание услуг по супервайзерскому контролю технологии полевых сейсморазведочных работ на Воргенском ЛУ (Северо-Воргенская площадь)</t>
  </si>
  <si>
    <t xml:space="preserve"> оказание услуг по супервайзерскому контролю технологии полевых сейсморазведочных работ на Воргенском ЛУ (Северо-Воргенская площадь), в рамках операторского договора между ГПН-ННГ и ГПН-ГЕО.</t>
  </si>
  <si>
    <t>01027-22</t>
  </si>
  <si>
    <t>Задание на оказание услуг № 22</t>
  </si>
  <si>
    <t>01028-22</t>
  </si>
  <si>
    <t>№ АНГ-18/09000/00186/Р</t>
  </si>
  <si>
    <t>Дополнительное соглашение №10 к Договору о выполнении операторских работ и оказании операторских услуг (проект Чона)</t>
  </si>
  <si>
    <t>Перевод негарантированного объема работ в гарантированный (после получения инвест. решения) без изменения общей стоимости работ/услуг по производственной программе проектов ГРР на 2022г. Чона (Игнялинский ЛУ, Вакунайский ЛУ, Тымпучиканский ЛУ).</t>
  </si>
  <si>
    <t>01029-22</t>
  </si>
  <si>
    <t>01031-22</t>
  </si>
  <si>
    <t>№ ГЕО-20/101109/00144/Р</t>
  </si>
  <si>
    <t>Дополнительное соглашение №2 к договору № ГЕО-20/101109/00144/Р от 11.09.2020 г.</t>
  </si>
  <si>
    <t>Продление сроков действия договора. Перераспределение объемов без увеличения стоимости договора. Включение условий УКЭП</t>
  </si>
  <si>
    <t>01032-22</t>
  </si>
  <si>
    <t>ГЕО-22/25000/00322/Р</t>
  </si>
  <si>
    <t>Оказание комплекса услуг в области бухгалтерского (финансового) учета</t>
  </si>
  <si>
    <t>Бурмистрова Жанна Анатольевна</t>
  </si>
  <si>
    <t>01033-22</t>
  </si>
  <si>
    <t>Заключение Заказ-Наряда№ 11/22-057 по Проекту Ю.Оренбург скв 341</t>
  </si>
  <si>
    <t>11/22-057</t>
  </si>
  <si>
    <t>Первичные исследования керна и шлама скважины 341ПО Солнечного ЛУ</t>
  </si>
  <si>
    <t>01034-22</t>
  </si>
  <si>
    <t>ГЕО-22/33100/00310</t>
  </si>
  <si>
    <t>Соблюдение требований Заказчика в области ПБ указанных в настоящем Соглашении.</t>
  </si>
  <si>
    <t>01035-22</t>
  </si>
  <si>
    <t>33100 Соглашение в области производственной безопасности. ООО "БАРБУС"</t>
  </si>
  <si>
    <t>С целью обеспечения ПБ при оказании услуг. Бочкотара включена.</t>
  </si>
  <si>
    <t>01037-22</t>
  </si>
  <si>
    <t>Наряд-заказ № 1 к Договору № ГЕО-22/10000/001271/Р от 10.10.2022 г.</t>
  </si>
  <si>
    <t>Выполнение СРР на Краснореченском ЛУ для ООО "ГПН-Оренбург"</t>
  </si>
  <si>
    <t>01038-22</t>
  </si>
  <si>
    <t>Задание на оказание услуг № 21</t>
  </si>
  <si>
    <t>01039-22</t>
  </si>
  <si>
    <t>Актуализация Соглашения в области ПБ утвержденным Приказом №95-П от 30.09.2022г.</t>
  </si>
  <si>
    <t>01040-22</t>
  </si>
  <si>
    <t>Дополнительное соглашение №9 к Договору о выполнении операторских работ и оказании операторских услуг (Оморинский ЛУ)</t>
  </si>
  <si>
    <t>Согласование программы выполнения работ и оказания услуг ГРР на 2023г. в рамках выделенного лимита по пректу Оморинский</t>
  </si>
  <si>
    <t>01041-22</t>
  </si>
  <si>
    <t xml:space="preserve"> Включение в договоры Приложения «Временный регламент по обращению с металлической бочкотарой на объектах ДО БРД ПАО «Газпром нефть»</t>
  </si>
  <si>
    <t>01042-22</t>
  </si>
  <si>
    <t>Соглашение о расторжении Договора</t>
  </si>
  <si>
    <t>Расторжение Договорас Коваленко Мариной Витальевной №ГЕО-22/25000/00117/Р от 01.06.2022 г.  на оказание услуг в области закупок работ/услуг и управления исполнением договоров</t>
  </si>
  <si>
    <t>01044-22</t>
  </si>
  <si>
    <t xml:space="preserve"> Дополнительное соглашение о продление срока действия и срока выполнения работ по Договору до 31.03.2023г.,</t>
  </si>
  <si>
    <t>Продление срока действия и срока выполнения работ по Договору до 31.03.2023г., а также приведение под факт выполнения за 2020, 2021 и 2022 года с переводом неизрасходоавнных объёмов работ из гарантированной части в негарантированную в 2023г. с перераспределение объёмов работ между статьями затрат и между годами с уменьшением общей стоимости Договора на 1,41 руб. (один рубль сорок одна копейка) без НДС, без изменения единичных расценок по Договору.</t>
  </si>
  <si>
    <t>01045-22</t>
  </si>
  <si>
    <t>ГЕО-22/09000/00002/P</t>
  </si>
  <si>
    <t>ДС 1 к договору возмездного оказания услуг № ГЕО-22/09000/00002/P//ГПН-НС/22/001/Д</t>
  </si>
  <si>
    <t>Продление на 2023 год срока оказания услуг по развитию социально-бытовых условий Заказчика, изменение стоимости услуг, изменение реквизитов банковских счетов "ГПН-Нефтесервис"</t>
  </si>
  <si>
    <t>01047-22</t>
  </si>
  <si>
    <t>Включение в договоры Приложения «Временный регламент по обращению с металлической бочкотарой на объектах ДО БРД ПАО «Газпром нефть»</t>
  </si>
  <si>
    <t>01048-22</t>
  </si>
  <si>
    <t xml:space="preserve">ГЕО-20/09000/00058/Р </t>
  </si>
  <si>
    <t xml:space="preserve">ДС №6 к договору № ГЕО-20/09000/00058/Р от «15» марта 2020 г. на оказание услуг по содержанию Вахтового жилого комплекса (в т.ч. питание, клининг, химчистка) на Лицензионных участках ООО «ГПН-ГЕО»  </t>
  </si>
  <si>
    <t xml:space="preserve">Продление на 2023 год услуг по содержанию Вахтового жилого комплекса (в т.ч. питание, клининг, химчистка) на Лицензионных участках ООО «ГПН-ГЕО» </t>
  </si>
  <si>
    <t>01049-22</t>
  </si>
  <si>
    <t>01050-22</t>
  </si>
  <si>
    <t>Наряд-Задание № 1</t>
  </si>
  <si>
    <t>Заключение Наряд-Заказа № 1 с ООО "Велес"</t>
  </si>
  <si>
    <t>01051-22</t>
  </si>
  <si>
    <t>ГЕО-22/33400/00314</t>
  </si>
  <si>
    <t>01052-22</t>
  </si>
  <si>
    <t>Заключение доп.соглашения к договору №ГЕО-22/09000/00010/Р от 01.01.2022г. с ООО «Газпромнефть-Нефтесервис», с целью продолжения работы по обеспечению безопасности полетов в периметре Компании.</t>
  </si>
  <si>
    <t>01053-22</t>
  </si>
  <si>
    <t>Договор аренды</t>
  </si>
  <si>
    <t>В целях обеспечения закупки услуг аренды помещений площадью 1546 м2, расположенных в здании по адресу г. Санкт-Петербург, ул. Синопская набережная 22 (8 этаж), для их использования в целях организации офиса и аренды 9 парковочных мест</t>
  </si>
  <si>
    <t>01054-22</t>
  </si>
  <si>
    <t>01055-22</t>
  </si>
  <si>
    <t>01056-22</t>
  </si>
  <si>
    <t>О включении в договоры Приложения «Временный регламент по обращению с металлической бочкотарой на объектах ДО БРД ПАО «Газпром нефть»</t>
  </si>
  <si>
    <t>01057-22</t>
  </si>
  <si>
    <t>01058-22</t>
  </si>
  <si>
    <t>01061-22</t>
  </si>
  <si>
    <t>ГЕО-22/33400/00317</t>
  </si>
  <si>
    <t>01063-22</t>
  </si>
  <si>
    <t>ГЕО-22/04300/00316/Р</t>
  </si>
  <si>
    <t>01064-22</t>
  </si>
  <si>
    <t>01066-22</t>
  </si>
  <si>
    <t>для размещения подъездного пути к скважине № 341ПО Солнечного лицензионного участка</t>
  </si>
  <si>
    <t>01068-22</t>
  </si>
  <si>
    <t>Временный регламент по обращению с металлической бочкотарой на объектах ДО БРД ПАО «Газпром нефть»_x000D_
Утвержден: протоколом ЗЗК по ПБ БРД_x000D_
№ ПТ-100.0170/000005/01 от 02.08.2022</t>
  </si>
  <si>
    <t>01069-22</t>
  </si>
  <si>
    <t xml:space="preserve">Дополнительное соглашение №4 к договору ГЕО-20/09000/00037/Р </t>
  </si>
  <si>
    <t>01070-22</t>
  </si>
  <si>
    <t>изменение условия оплаты по Соглашению ГЕО-22/04500/00154/Р</t>
  </si>
  <si>
    <t>01071-22</t>
  </si>
  <si>
    <t>Дополнительное соглашение №5 Операторскому соглашению</t>
  </si>
  <si>
    <t>Дополнительное соглашение №5 Операторскому соглашению об изменении программы работ и оказания Услуг по программе проектов ГРР: Лескинский ЛУ, Пухуцяяский ЛУ</t>
  </si>
  <si>
    <t>01072-22</t>
  </si>
  <si>
    <t>Изм №2 в Наряд-заказ №1 ...171 СТС,ООО</t>
  </si>
  <si>
    <t>изменения №2 к Наряд-заказу №1 к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</si>
  <si>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01073-22</t>
  </si>
  <si>
    <t>Соглашение о переуступке ДД ГЕО-22/10000/00308/Р от 29.11.22</t>
  </si>
  <si>
    <t>Переуступка ДД ГЕО-22/10000/00308/Р от 29.11.2022 года в ГПН-Заполярье с 01.12.2022</t>
  </si>
  <si>
    <t>0000064025, 0000074608</t>
  </si>
  <si>
    <t xml:space="preserve">ООО Газпромнефть - Заполярье ; 
ООО УТТ Восток </t>
  </si>
  <si>
    <t>7728720448, 8603100867</t>
  </si>
  <si>
    <t>01074-22</t>
  </si>
  <si>
    <t xml:space="preserve">ХНТ-20/10110/967/Р/60/ГЕО-20/10110/00198/Р </t>
  </si>
  <si>
    <t>ДС №7 к Договору № ХНТ-20/10110/967/Р/60/ГЕО-20/10110/00198/Р от 06.10.2020 г. с ООО «ТСГК»</t>
  </si>
  <si>
    <t>Выплата мотивации по этапу работ №4</t>
  </si>
  <si>
    <t>01075-22</t>
  </si>
  <si>
    <t>ГЕО-18/00000/00071/Р</t>
  </si>
  <si>
    <t>Дополнительное соглашение №9 к ДОГОВОРУ № ГЕО-18/00000/00071/Р на оказание охранных услуг</t>
  </si>
  <si>
    <t xml:space="preserve">Перевод негарантированного объема в гарантированный без увеличения общей стоимости договора. </t>
  </si>
  <si>
    <t>01078-22</t>
  </si>
  <si>
    <t xml:space="preserve">№ АНГ-18/09000/00186/Р </t>
  </si>
  <si>
    <t>Дополнительное соглашение №11 к Договору о выполнении операторских работ и оказании операторских услуг (проект Чона)</t>
  </si>
  <si>
    <t>Согласование программы выполнения работ и оказания услуг на 2023г. в рамках программы проектов ГРР: Чона (Игнялинский ЛУ, Вакунайский ЛУ, Тымпучиканский ЛУ).</t>
  </si>
  <si>
    <t>01079-22</t>
  </si>
  <si>
    <t>Дополнительное Соглашение №2 к Договору № ГЕО-21/101108/00193/Р от 16.08.2021 г.</t>
  </si>
  <si>
    <t>1. Продление срока действия договора до 31.12.2024_x000D_
2. Перевод гарантированного и негарантированного объема в негарантированный объем без увеличения стоимости договора.</t>
  </si>
  <si>
    <t>01080-22</t>
  </si>
  <si>
    <t>Заказ №3 к договору № ГЕО-21/101108/00193/Р</t>
  </si>
  <si>
    <t>01081-22</t>
  </si>
  <si>
    <t>01082-22</t>
  </si>
  <si>
    <t>№ 4 к Договору № ГЕО-20/11104/00201/Р от 31.12.2020 г. с АО «Авиакомпания «Ангара» на оказание авиационных услуг с использованием вертолетов (Далее-Договор), предусматривающего перевод части гарантированного объема 2021 г. в негарантированный и   негаранти</t>
  </si>
  <si>
    <t>Раскрытие ГО в 22 и 23 г. и корректировка ГО в 21 году_x000D_
- по 2021 году перевод ГО в НГО в объеме 285 лет. часов;_x000D_
- по 2022 году перевод НГО в ГО в объеме 50 лет. часов;_x000D_
- по 2023 году перевод НГО в ГО в объеме 50 лет. часов.</t>
  </si>
  <si>
    <t>17853911.25</t>
  </si>
  <si>
    <t>01083-22</t>
  </si>
  <si>
    <t>Задание на оказание услуг № 23</t>
  </si>
  <si>
    <t>01084-22</t>
  </si>
  <si>
    <t>ГЕО-22/01200/00327/Д</t>
  </si>
  <si>
    <t>Договор поставки Д_64025_67942_53066 со спецификацией №1, ДС№1 и ДС№2</t>
  </si>
  <si>
    <t>Продажа невостребованного имущества ООО "ГПН-ГЕО" Арматура фонтанная АФКЭ6-65х35 К1</t>
  </si>
  <si>
    <t>01085-22</t>
  </si>
  <si>
    <t>16324613</t>
  </si>
  <si>
    <t>01086-22</t>
  </si>
  <si>
    <t>01087-22</t>
  </si>
  <si>
    <t>ГЕО-19/10541/00314/Р</t>
  </si>
  <si>
    <t>Соглашение о переуступке ДД №ГЕО-19/10541/00314/Р от 25.12.2019</t>
  </si>
  <si>
    <t xml:space="preserve">Переуступка ДД  №ГЕО-19/10541/00314/Р от 25.12.2019 г. в ГПН-Заполярье </t>
  </si>
  <si>
    <t>0000064025, 0000070388</t>
  </si>
  <si>
    <t xml:space="preserve">ООО Газпромнефть - Заполярье ; 
АО МНГИ </t>
  </si>
  <si>
    <t>7728720448, 0278206011</t>
  </si>
  <si>
    <t>01088-22</t>
  </si>
  <si>
    <t>В связи принятием решения на Управляющем комитете БРД реализовать программу ОПР по проекту «Чона» силами ООО «Газпромнефть-Заполярье», принято решение о преуступки право по договору наоказание услуг по выработке электроэнергии сторонними производителями_x000D_
№ ГЕО-19/10823/00331/Р от 31.12.2019, заключенного ООО "ГПН-ГЕО" с ООО «ЭнергоТехСервис».</t>
  </si>
  <si>
    <t>01089-22</t>
  </si>
  <si>
    <t>ГЕО-22/24000/00340/Р</t>
  </si>
  <si>
    <t>Приобретение программного обеспечения tNavigator с лицензиями на 1 год</t>
  </si>
  <si>
    <t>Предоставления права использования на условиях простой (неисключительной) лицензии программного обеспечения tNavigator и его обновления</t>
  </si>
  <si>
    <t>01091-22</t>
  </si>
  <si>
    <t>Изменение 1 к НЗ №7 от 08.07.2022 к ДОГОВОРУ № ГЕО-20/11019/00045/Р от 15.03.2020 г.</t>
  </si>
  <si>
    <t>Корректировка объемов проектно-изыскательских работ, перенос сроков выполнения работ</t>
  </si>
  <si>
    <t>01092-22</t>
  </si>
  <si>
    <t>ИЗМЕНЕНИЕ № 1 к НАРЯД-ЗАКАЗУ № 8 от 08.07.2022 г. к ДОГОВОРУ № ГЕО-20/11019/00045/Р от 15.03.2020 г.</t>
  </si>
  <si>
    <t>Уменьшение объема работ, перенос сроков выполнения работ</t>
  </si>
  <si>
    <t>01093-22</t>
  </si>
  <si>
    <t>Наряд-заказ на производство работ №1 к Договору №ГЕО-22/10120/00208/Р от «18» августа 2022г.</t>
  </si>
  <si>
    <t>Для выполнения ГДИ на Северо-Ямбургском ЛУ</t>
  </si>
  <si>
    <t>01094-22</t>
  </si>
  <si>
    <t>Задание на оказание услуг № 25</t>
  </si>
  <si>
    <t>01095-22</t>
  </si>
  <si>
    <t>ГЕО-22/33200/00326</t>
  </si>
  <si>
    <t>01097-22</t>
  </si>
  <si>
    <t>ЕО-19/09000/00312/Д</t>
  </si>
  <si>
    <t>Дополнителное соглашение №2 к Договору № ГЕО-19/09000/00312/Д</t>
  </si>
  <si>
    <t>Продление сроков действия договора</t>
  </si>
  <si>
    <t>01098-22</t>
  </si>
  <si>
    <t>ГЕО-19/11019/00145/Р</t>
  </si>
  <si>
    <t>ИЗМЕНЕНИЕ №1 к НАРЯД-ЗАКАЗУ №8 от 21.06.2022г. к ДОГОВОРУ № ГЕО-19/11019/00145/Р от 19.06.2019г.</t>
  </si>
  <si>
    <t>Выполнение дополнительныъ объемов работ</t>
  </si>
  <si>
    <t>01099-22</t>
  </si>
  <si>
    <t>ГЕЩ-19/11019/00145/Р</t>
  </si>
  <si>
    <t>ИЗМЕНЕНИЕ №1 К НАРЯД-ЗАКАЗУ №9 от 23.06.2022г. к ДОГОВОРУ № ГЕО-19/11019/00145/Р от 19.06.2019г.</t>
  </si>
  <si>
    <t>Выполнение дополнительных работ</t>
  </si>
  <si>
    <t>01100-22</t>
  </si>
  <si>
    <t>Выкуп Ит техники из Гыдан в ГЕО на основании решения ПДК</t>
  </si>
  <si>
    <t>01101-22</t>
  </si>
  <si>
    <t>Дополнительное соглашение №2 к Договору ГЕО-22/10402/00187/Р от 03.08.2022 с Геолад-СТ на включение Методические указания по проведению супервайзинговых работ при ВСР</t>
  </si>
  <si>
    <t xml:space="preserve">Внесение НМД по супервайзингу в Договор </t>
  </si>
  <si>
    <t>01102-22</t>
  </si>
  <si>
    <t>ГЕО-22/09000/00331/Д</t>
  </si>
  <si>
    <t>Договор передачи полномочий единоличного исполнительного органа управляющей организации</t>
  </si>
  <si>
    <t>Управляющая организация принимает на себя полномочия единоличного исполнительного органа Общества с ограниченной ответственностью «ГЫДАН ЭНЕРДЖИ».</t>
  </si>
  <si>
    <t>01103-22</t>
  </si>
  <si>
    <t>№ ХНТ-19/10110/898/Р/60 от 27.08.2019 г.</t>
  </si>
  <si>
    <t>ДС №6 к Договору № ХНТ-19/10110/898/Р/60 от 27.08.2019 г.</t>
  </si>
  <si>
    <t>Перенос демобилизации с 2022 г. на 2023 г. и продление срока действия договора</t>
  </si>
  <si>
    <t>01104-22</t>
  </si>
  <si>
    <t>Специальные фильтрационные исследования для определения минимального дав-ления смесимости на модели тонкой трубки</t>
  </si>
  <si>
    <t>Изменение срока действия договора</t>
  </si>
  <si>
    <t>Яковенко Артём Витальевич</t>
  </si>
  <si>
    <t>01105-22</t>
  </si>
  <si>
    <t>0000064025, 0000045671</t>
  </si>
  <si>
    <t xml:space="preserve">ООО Газпромнефть - Заполярье ; 
ООО Партнеры Ноябрьск </t>
  </si>
  <si>
    <t>7728720448, 8905039143</t>
  </si>
  <si>
    <t>01107-22</t>
  </si>
  <si>
    <t xml:space="preserve"> оказание услуг по супервайзерскому контролю технологии полевых сейсморазведочных работ на Краснореченском ЛУ, в рамках операторского договора между ГПН-Оренбург и ГПН-ГЕО.</t>
  </si>
  <si>
    <t>01108-22</t>
  </si>
  <si>
    <t>01109-22</t>
  </si>
  <si>
    <t>Дополнительное соглашение №5 к Договору №ГЕО-21/10924/00124/Р от 12.05.2021 г. на оказание услуг Экологического мониторинга месторождений</t>
  </si>
  <si>
    <t>Частичный перевод негарантированного объема услуг в гарантированный в 2022 - 2024 годах в Сибирском федеральном округе на Лескинском ЛУ без изменения единичных расценок и общей суммы договора</t>
  </si>
  <si>
    <t>01110-22</t>
  </si>
  <si>
    <t xml:space="preserve">НАРЯД-ЗАКАЗ № 4 к Договору №ГЕО-21/10924/00124/Р от 12.05.2021 г. на выполнение работ по экологическому мониторингу месторождений </t>
  </si>
  <si>
    <t xml:space="preserve">Оказание услуг в 2022 - 2024 годах в Сибирском федеральном округе на Лескинском ЛУ </t>
  </si>
  <si>
    <t>01111-22</t>
  </si>
  <si>
    <t>ГЕО-23/33400/00022</t>
  </si>
  <si>
    <t>01112-22</t>
  </si>
  <si>
    <t>ГЕО-22/26000/00329</t>
  </si>
  <si>
    <t>26000 Соглашение о конфиденциальности с российским контрагентом (ООО "БАРБУС")</t>
  </si>
  <si>
    <t>Соглашение о конфидициальности с ООО "БАРБУС"</t>
  </si>
  <si>
    <t>01113-22</t>
  </si>
  <si>
    <t>Оказание супервайзерских услуг при осуществлении природовосстановительных работ, с целью соблюдения природоохранного законодательства РФ</t>
  </si>
  <si>
    <t>4852960</t>
  </si>
  <si>
    <t>01114-22</t>
  </si>
  <si>
    <t>Изм.№1 к наряд-заказу №3 . ...171 СТС, ООО</t>
  </si>
  <si>
    <t>Изм.№1 к наряд-заказу №3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</si>
  <si>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01115-22</t>
  </si>
  <si>
    <t>Наряд-заказ №2 к Договору №ГЕО-22/11029/00172/Р от 25.07.2022</t>
  </si>
  <si>
    <t>Наряд-заказ №2 к Договору №ГЕО-22/11029/00172/Р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t>
  </si>
  <si>
    <t>01116-22</t>
  </si>
  <si>
    <t>ДОПОЛНИТЕЛЬНОЕ СОГЛАШЕНИЕ № 6 К ДОГОВОРУ № ГЕО-21/09000/00198/Р от 06.09.2021 г.  возмездного оказания услуг по охране объектов</t>
  </si>
  <si>
    <t>Продление срока действия Договора и срока оказания услуг , а также перераспределение объемов услуг с уменьшением общей стоимости</t>
  </si>
  <si>
    <t>01117-22</t>
  </si>
  <si>
    <t>ДОПОЛНИТЕЛЬНОЕ СОГЛАШЕНИЕ № 4 к ДОГОВОРУ № ГЕО-21/09000/00250/Р от 08.11.2021 г. на оказание охранных услуг</t>
  </si>
  <si>
    <t>Перераспределение объема услуг специалиста по организации пропускного режима между годами с уменьшением общей стоимости договора</t>
  </si>
  <si>
    <t>01118-22</t>
  </si>
  <si>
    <t xml:space="preserve">ГЕО-22/09000/00287/Р </t>
  </si>
  <si>
    <t>ДОПОЛНИТЕЛЬНОЕ СОГЛАШЕНИЕ № 1 к ДОГОВОРУ № ГЕО-22/09000/00287/Р от 03.11.2022 г. на оказание охранных услуг</t>
  </si>
  <si>
    <t>Перераспределение объема услуг 2023-2024 гг. без изменения общей стоимости договора</t>
  </si>
  <si>
    <t>01119-22</t>
  </si>
  <si>
    <t>СОГЛАШЕНИЕ О РАСТОРЖЕНИИ Договора №ГЕО-22/10000/00061/Р от 28.03.2022г.</t>
  </si>
  <si>
    <t>Расторжение Договора , в связи с отсутствием потребности у ООО "ГПН-ГЕО" в работах по Договору</t>
  </si>
  <si>
    <t>01120-22</t>
  </si>
  <si>
    <t>ДОПОЛНИТЕЛЬНОЕ СОГЛАШЕНИЕ №2 К СОГЛАШЕНИЮ ОБ ОКАЗАНИИ ЮРИДИЧЕСКОЙ ПОМОЩИ №ГЕО-21/09000/00120/Р от 30.04.2021г.</t>
  </si>
  <si>
    <t>01122-22</t>
  </si>
  <si>
    <t>20000 Агентский договор на организацию вертолетных авиаперевозок ООО "АКБАРЫС"</t>
  </si>
  <si>
    <t>01123-22</t>
  </si>
  <si>
    <t>№ГЕО-21/11104/00292/Р от 24.12.2021 г</t>
  </si>
  <si>
    <t>ДС № 4 к Договору №ГЕО-21/11104/00292/Р от 24.12.2021 г. на оказание авиационных услуг с использованием вертолетов с Ютэйр-ВУ</t>
  </si>
  <si>
    <t>Раскрытие ГО из НГО на 2023 год</t>
  </si>
  <si>
    <t>01124-22</t>
  </si>
  <si>
    <t xml:space="preserve">выполнение Работ по отбору изолированного керна </t>
  </si>
  <si>
    <t>01125-22</t>
  </si>
  <si>
    <t xml:space="preserve">Наряд-Заказ № 4 </t>
  </si>
  <si>
    <t>по оказанию услуг охраны по Договору № ГЕО-21/09000/00198/Р от 06.09.2021 г.</t>
  </si>
  <si>
    <t>01126-22</t>
  </si>
  <si>
    <t>Наряд-Заказ № 3 к Договору № ГЕО-21/09000/00250/Р от 08.11.2021 г.</t>
  </si>
  <si>
    <t>по оказанию услуг охраны</t>
  </si>
  <si>
    <t>01127-22</t>
  </si>
  <si>
    <t>20000 Агентский договор на организацию вертолетных авиаперевозок ООО «НТЦ «Геомеханика»</t>
  </si>
  <si>
    <t>01128-22</t>
  </si>
  <si>
    <t>Раскрытие негарантированного объема работ</t>
  </si>
  <si>
    <t>01129-22</t>
  </si>
  <si>
    <t>ДС №8 к Договору № ХНТ-20/10110/967/Р/60/ГЕО-20/10110/00198/Р от 06.10.2020 г с ООО "ТСГК"</t>
  </si>
  <si>
    <t>Перераспределение объемов путем уменьшения одной номенклатуры и одновременного увеличения другой, увеличение срока оплаты, а также продление срока действия договора, без изменения единичных расценок и без изменения общей стоимости договора</t>
  </si>
  <si>
    <t>01130-22</t>
  </si>
  <si>
    <t>ДС 1 к ГЕО-22/20000/00103/Д ООО «Везерфорд»</t>
  </si>
  <si>
    <t>Продление срока действия договора, включение стандартной  оговорки УКЭП, актуализация реквизитов</t>
  </si>
  <si>
    <t>01131-22</t>
  </si>
  <si>
    <t>Дополнительное соглашение № 3 с Геологинг, к Договору №ГЕО-19/10308/00217/Р от 19.08.2019 на проведение геолого-технологических исследований скважин при бурении</t>
  </si>
  <si>
    <t>Раскрытие всего НГО и включение условий УКЭП</t>
  </si>
  <si>
    <t>Мухамадиев Р.В.</t>
  </si>
  <si>
    <t>01132-22</t>
  </si>
  <si>
    <t>ГЕО-22/09000/00339/Р</t>
  </si>
  <si>
    <t>Договор возмездного оказания услуг по внедрению и развитию процессов управления взаимоотношениями с подрядными организациями, технической оценкой и системой качества Заказчика</t>
  </si>
  <si>
    <t xml:space="preserve">Оказание услуг по внедрению и развитию процессов управления взаимоотношениями с подрядными организациями ООО «ГПН-ГЕО», технической оценке и системе качества </t>
  </si>
  <si>
    <t>01133-22</t>
  </si>
  <si>
    <t xml:space="preserve">Наряд-заказ на оказание услуг № 10 к Договору №ГЕО-20/10986/00128/Р от 01.09.2020 г. </t>
  </si>
  <si>
    <t xml:space="preserve">Оказание услуг по обеспечению безопасных условий труда для работников и соблюдению требований промышленной безопасности на скважинах № 198 Лескинского лицензионного участка. </t>
  </si>
  <si>
    <t>01135-22</t>
  </si>
  <si>
    <t>ДС 8 кГЕО-20/11104/00153/Д ООО "Геологгинг"</t>
  </si>
  <si>
    <t>Продление срока действия и увеличение стоимости договора, увеличение срока оплаты, включение стандартной оговорки УКЭП, актуализация реквизитов</t>
  </si>
  <si>
    <t>01136-22</t>
  </si>
  <si>
    <t>ГЕО-23/25000/00005/Р</t>
  </si>
  <si>
    <t>Заключение договора возмездного оказания услуг по подготовке геопространственых данных к внесению в базу ГИС БРД</t>
  </si>
  <si>
    <t>01137-22</t>
  </si>
  <si>
    <t>ГЕО-22/26000/00338</t>
  </si>
  <si>
    <t>СОблюдение режима коммерческой тайны</t>
  </si>
  <si>
    <t>01138-22</t>
  </si>
  <si>
    <t>ГЕО-23/26000/00006</t>
  </si>
  <si>
    <t>Заключение договора о конфиденциальности, в связи с заключением договора возмездного оказания услуг по подготовке геопространственых данных к внесению в базу ГИС БРД</t>
  </si>
  <si>
    <t>01139-22</t>
  </si>
  <si>
    <t>Продление срока действия Договора №22/09000/00125/Р от 01.06.2022; изменение стоимости питания одного работника в сутки</t>
  </si>
  <si>
    <t>01140-22</t>
  </si>
  <si>
    <t xml:space="preserve">Изменение срокоа действия Договра </t>
  </si>
  <si>
    <t>01141-22</t>
  </si>
  <si>
    <t>01142-22</t>
  </si>
  <si>
    <t>Оказание услуг по обеспечению проивопожарной безопасности, в т.ч. содержание пожарной охраны на проекте Енисей</t>
  </si>
  <si>
    <t>01143-22</t>
  </si>
  <si>
    <t>Оказание услуг по отбору керна при бурении и реконструкции скважин</t>
  </si>
  <si>
    <t>01144-22</t>
  </si>
  <si>
    <t>ГЕО-23/25000/00002/Р</t>
  </si>
  <si>
    <t>Исполнитель обязуется выполнить Заказчику PR-услуги по управлению проектом формирования зонтичного бренда цифровых продуктов, подготовки и реализации специальных проектов со СМИ по ключевым темам геологоразведочного бизнеса, менеджмента проектов международной конференции по геологоразведке «ПроГРРесс-2023», а также созданию и актуализации базы данных СМИ, а Заказчик обязуется принять результат Услуг и оплатить его.</t>
  </si>
  <si>
    <t>Анчина Кристина Геннадьевна</t>
  </si>
  <si>
    <t>01145-22</t>
  </si>
  <si>
    <t>ГЕО-23/10000/00044/Р</t>
  </si>
  <si>
    <t>СОГЛАШЕНИЕ о передаче Договора № RUS-22-HSSE-001 на оказание услуг по проведению локального экологического мониторинга в границах лицензионного участка АО «Евротек-Югра» Карабашского 10 л.у. в 2023-2025 годах</t>
  </si>
  <si>
    <t>АО «Евротэк-Югра» передает, а ООО "ГПН-ГЕО" принимает в полном объеме все права и обязанности АО «Евротэк-Югра» по договору № RUS-22-HSSE-001 на оказание услуг по проведению локального экологического мониторинга в границах лицензионного участка АО «Евротек-Югра» Карабашского 10 л.у. в 2023-2025 годах</t>
  </si>
  <si>
    <t>АО «Евротэк-Югра»; 
ООО Югра-Экосервис</t>
  </si>
  <si>
    <t>01146-22</t>
  </si>
  <si>
    <t>с целью завершения СМР на площадке скв. 198 заключить дополнительное соглашение №7 с подрядной организацией для выполнении СМР при испытании скв.198 с продлением срока действия Договора без изменения стоиомости работ</t>
  </si>
  <si>
    <t>01147-22</t>
  </si>
  <si>
    <t>ГЕО-20/09000/00170/Р</t>
  </si>
  <si>
    <t>Дополнительное соглашение 4 к Договору на оказание услуг № ГЕО-20/09000/00170/Р  от 30.10.2020 г.</t>
  </si>
  <si>
    <t>Перевод негарантированного объема, запланированного на 2020 г. в гарантированный объем 2023 г. – без изменения общей стоимости по договору и без изменения единичных расценок по договору</t>
  </si>
  <si>
    <t>01148-22</t>
  </si>
  <si>
    <t>ГЕО-23/09000/00016/Р</t>
  </si>
  <si>
    <t>доступ к ИС СПАРК</t>
  </si>
  <si>
    <t>0000101037</t>
  </si>
  <si>
    <t>АО Информационное агентство Интерф акс</t>
  </si>
  <si>
    <t>7710374010</t>
  </si>
  <si>
    <t>01149-22</t>
  </si>
  <si>
    <t>Задание № 26</t>
  </si>
  <si>
    <t xml:space="preserve">Заключении Задания № 26 к Договору № ГЕО-20/10986/00138/Р от 10.08.2020г. с компанией ООО «ОГК» на оказание супервайзерских услуг по контролю состояния производственной безопасности, безопасности дорожного движения, услуг водителя и автомобиль в 2023г. в Уральском федеральном округе (проект «Титан»), </t>
  </si>
  <si>
    <t>01150-22</t>
  </si>
  <si>
    <t>Задание № 27</t>
  </si>
  <si>
    <t xml:space="preserve">Заключение Задания № 27 к Договору № ГЕО-20/10986/00138/Р от 10.08.2020г. с компанией ООО «ОГК» на оказание супервайзерских услуг по контролю состояния производственной безопасности в 2023г. в Сибирском федеральном округе (проект «Енисей»), </t>
  </si>
  <si>
    <t>01151-22</t>
  </si>
  <si>
    <t>Задание № 28</t>
  </si>
  <si>
    <t>Заключение Задания № 28 к Договору № ГЕО-20/10986/00138/Р от 10.08.2020г. с компанией ООО «ОГК» на оказание супервайзерских услуг по контролю состояния производственной безопасности в 2023г. в Приволжском федеральном округе (проект «Южный Оренбург»</t>
  </si>
  <si>
    <t>01152-22</t>
  </si>
  <si>
    <t>Задание № 29</t>
  </si>
  <si>
    <t xml:space="preserve">Заключение Задания № 29 к Договору № ГЕО-20/10986/00138/Р от 10.08.2020г. с компанией ООО «ОГК» на оказание супервайзерских услуг по контролю состояния производственной безопасности, безопасности дорожного движения, услуг водителя и автомобиль в 2023г. в Сибирском федеральном округе (проект «Оморинский») </t>
  </si>
  <si>
    <t>01153-22</t>
  </si>
  <si>
    <t>01154-22</t>
  </si>
  <si>
    <t xml:space="preserve">Дополнительное соглашение №3 к Договору № ГЕО-19/10900/00266/Р от 01.10.2019 г. </t>
  </si>
  <si>
    <t>В целях оказание услуг по противофонтанной безопасности на объектах Лескинского ЛУ у январе-феврале 2023 года</t>
  </si>
  <si>
    <t>24905155</t>
  </si>
  <si>
    <t>01155-22</t>
  </si>
  <si>
    <t>Задание № 30</t>
  </si>
  <si>
    <t>Заключение Задания № 30 к Договору № ГЕО-20/10986/00138/Р от 10.08.2020г. с компанией ООО «ОГК» на оказание супервайзерских услуг по контролю состояния производственной безопасности и безопасности дорожного движения в 2023г. Два супервайзера (офисные сотрудники).</t>
  </si>
  <si>
    <t>01156-22</t>
  </si>
  <si>
    <t>Задание № 31</t>
  </si>
  <si>
    <t>Заключение Задания № 31 к Договору № ГЕО-20/10986/00138/Р от 10.08.2020г. с компанией ООО «ОГК» на оказание супервайзерских услуг по контролю состояния производственной безопасности в 2023г. в Приволжском федеральном округе (Краснореченский ЛУ).</t>
  </si>
  <si>
    <t>01157-22</t>
  </si>
  <si>
    <t>ГЕО-23/26000/00003</t>
  </si>
  <si>
    <t>01158-22</t>
  </si>
  <si>
    <t>ГЕО-22/33200/00342</t>
  </si>
  <si>
    <t>01159-22</t>
  </si>
  <si>
    <t>ГЕО-23/09000/00060/Р</t>
  </si>
  <si>
    <t>заключение договора на ПО ПИКЕЗА</t>
  </si>
  <si>
    <t>0000040426</t>
  </si>
  <si>
    <t xml:space="preserve">ЗАО ГСК </t>
  </si>
  <si>
    <t>7702204865</t>
  </si>
  <si>
    <t>01160-22</t>
  </si>
  <si>
    <t>ДОПОЛНИТЕЛЬНОЕ СОГЛАШЕНИЕ № 10 к ДОГОВОРУ № ГЕО-20/10986/00138/Р от 10.08.2020г. на оказание супервайзерских услуг по контролю состояния производственной безопасности на объектах ООО «ГПН-ГЕО»</t>
  </si>
  <si>
    <t xml:space="preserve">Перераспределение негарантированного объема услуг 2022г. в негарантированный объем 2023г. и 2024г. для покрытия ориентировочной планируемой потребности на 2023-2024гг. по проектам СРР и ПРБ, в том числе по планируемым доходным операторским договорам. </t>
  </si>
  <si>
    <t>01161-22</t>
  </si>
  <si>
    <t xml:space="preserve">Продление срока действия договора до 31.12.2023 г. и увеличение стоимости Договора_x000D_
</t>
  </si>
  <si>
    <t>01162-22</t>
  </si>
  <si>
    <t>Дополнительное соглашение №6</t>
  </si>
  <si>
    <t>- Перераспределение негарантированных объемов 2022 - 2028гг. в гарантированный объем в 2023г. для покрытия потребности в медицинских услугах проектов ГПН-ГЕО._x000D_
- Устранение технических ошибок в ставках Приложения № 1 к Договору (Расчет стоимости) в Уральском, Сибирском, Дальневосточном, Приволжском федеральных округах.</t>
  </si>
  <si>
    <t>01163-22</t>
  </si>
  <si>
    <t xml:space="preserve">Наряд-задание № 1 </t>
  </si>
  <si>
    <t>Организации работы здравпунктов и оказанию медицинских услуг с компанией ООО «ММЦ Профмедицина» в Сибирском федеральном округе (проект «ЧОНА»),</t>
  </si>
  <si>
    <t>В00326-24</t>
  </si>
  <si>
    <t>ДС №2 к Договору ГПН-21/09000/01736/Р/ГЕО-21/00000/00144/Д от «16» апреля 2021г.</t>
  </si>
  <si>
    <t>Продление сроков действия рамочного договора ГПН-21/09000/01736/Р/ГЕО-21/00000/00144/Д от «16» апреля 2021г.</t>
  </si>
  <si>
    <t>Внутригрупповой договорный документ</t>
  </si>
  <si>
    <t>В00334-24</t>
  </si>
  <si>
    <t>НТЦ-21/08000/00390/Р</t>
  </si>
  <si>
    <t xml:space="preserve">Заказ к Договору №НТЦ-21/08000/00390/Р//ГЕО-21/00000/00123/Д от 17.05.2021г. Научно-техническое сопровождение проекта I18PRD0694 </t>
  </si>
  <si>
    <t>НТЦ-В00334-24Р-ГПН</t>
  </si>
  <si>
    <t>Основной целью заказа является научно-техническое сопровождение работ, выполняемых в рамках проекта «Разработка когнитивных инструментов геологического анализа»:</t>
  </si>
  <si>
    <t>В00494-24</t>
  </si>
  <si>
    <t>ОРН-23/09000/00002/Р/15/02/ГЕО-Д/7/ВГС</t>
  </si>
  <si>
    <t>Изменение №1 к ЗК № 2 к Д № ОРН-23/09000/00002/Р/15/02/ГЕО-Д/7/ВГС</t>
  </si>
  <si>
    <t>Изменение сроков исполнения ЗК № 2 к Д № ОРН-23/09000/00002/Р/15/02/ГЕО-Д/7/ВГС</t>
  </si>
  <si>
    <t>В00551-24</t>
  </si>
  <si>
    <t>Изменение №1 к ЗК № 3 к Д № ОРН-23/09000/00002/Р/15/02/ГЕО-Д/7/ВГС</t>
  </si>
  <si>
    <t>Изменение сроков исполнения ЗК № 3 к Д № ОРН-23/09000/00002/Р/15/02/ГЕО-Д/7/ВГС</t>
  </si>
  <si>
    <t>В01204-24</t>
  </si>
  <si>
    <t>ДС № 7 к Договору №ГЕО-19/00000/00317/Д / ННГ-19/10124/01839/Р от 24.12.2019</t>
  </si>
  <si>
    <t>Актуализация программы работ</t>
  </si>
  <si>
    <t>В0148-23</t>
  </si>
  <si>
    <t>МрНГ-22/08000/00008/Р/13/4/ГЕО-Д/5-1/ВГС</t>
  </si>
  <si>
    <t>ДС №1 к ДД №МрНГ-22/08000/00008/Р/13/4/ГЕО-Д/5-1/ВГС</t>
  </si>
  <si>
    <t>ДС на изменение реквизитов КА</t>
  </si>
  <si>
    <t>Мустафин А.Р.</t>
  </si>
  <si>
    <t>В0219-23</t>
  </si>
  <si>
    <t>ГНЗ-22/20000/00007/Р/02/1/ГЕО-Д/9-1/ВГС</t>
  </si>
  <si>
    <t>Изменение реквизитов "ГПН-Заполярье"</t>
  </si>
  <si>
    <t>Горлач А.А.</t>
  </si>
  <si>
    <t>В02913-24</t>
  </si>
  <si>
    <t xml:space="preserve">Коллеги, добрый день!
К нам обратились Газпромнефть-Снабжение по вопросу приобретения ДТ на проекте «Оморинский», в объеме 10 тн, для заправки техники своего подрядчика - СТО2000. 
Расчет стоимости сформирован, предварительно согласован с  отделом эффективности контрактования.
</t>
  </si>
  <si>
    <t>В02955-24</t>
  </si>
  <si>
    <t>ГПН-23/09000/01265/Р/ГЕО-Д/ВГС</t>
  </si>
  <si>
    <t>Заказ на выполнение научно-исследовательских работ к договору ГПН-23/09000/01265/Р/ГЕО-Д/ВГС​ от 15.12.2023</t>
  </si>
  <si>
    <t xml:space="preserve">Заказ на выполнение научно-исследовательских работ </t>
  </si>
  <si>
    <t xml:space="preserve">ООО ГПН-ГЕО </t>
  </si>
  <si>
    <t>В03152-24</t>
  </si>
  <si>
    <t>ГТП-24/09000/00433/Р/ГЕО-Д/ВГС</t>
  </si>
  <si>
    <t>Договор на оказание услуг по "Формированию бизнес-кейса проекта ГРР Салымский 3,5" № ГТП-24/09000/00433/Р/ГЕО-Д/ВГС от 01.04.2024</t>
  </si>
  <si>
    <t>Услуги по формированию бизнес-кейса проекта ГРР Салымский 3,5</t>
  </si>
  <si>
    <t>Тарасов С.Л.</t>
  </si>
  <si>
    <t>В03657-24</t>
  </si>
  <si>
    <t>ГГФ-23/20000/00001/Р/08-02/ГЕО-Д/3/ВГС</t>
  </si>
  <si>
    <t>ДС 4 к ГГФ-23/20000/00001/Р/08-02/ГЕО-Д/3/ВГС ООО "ГПН-ГЕО" - ООО "Газпромнефть-ННГГФ"</t>
  </si>
  <si>
    <t>В03790-24</t>
  </si>
  <si>
    <t>Изменение №1 к Заказу №2 к  ДД ГПН-23/09000/01265/Р/ГЕО-Д/ВГС от 15.12.2023г</t>
  </si>
  <si>
    <t>Изменение сроков исполнения и уменьшение суммы Заказа №2 к  ДД ГПН-23/09000/01265/Р/ГЕО-Д/ВГС от 15.12.2023г</t>
  </si>
  <si>
    <t>В04103-24</t>
  </si>
  <si>
    <t xml:space="preserve">ГЕО-20/00000/00183/Д </t>
  </si>
  <si>
    <t>Актуализация программы работ на 2024-2030гг</t>
  </si>
  <si>
    <t>С.Л. Тарасов</t>
  </si>
  <si>
    <t>В04772-24</t>
  </si>
  <si>
    <t>ДС №8 к операторскому договору № ГЕО-19/00000/00317/Д / ННГ-19/10124/01839/Р от 24.12.2019</t>
  </si>
  <si>
    <t>В05118-24</t>
  </si>
  <si>
    <t xml:space="preserve">Дополнительное соглашение № 29 к Операторскому Договору № ГПН-18/09000/02142/Р от 07 сентября 2018 г. </t>
  </si>
  <si>
    <t>В05336-24</t>
  </si>
  <si>
    <t>АНГ-18/09000/00186/Р</t>
  </si>
  <si>
    <t xml:space="preserve">Дополнительное соглашение № 14 к Договору № АНГ-18/09000/00186/Р от 24.09.2018г. </t>
  </si>
  <si>
    <t>Дополнительное соглашение № 14 к Договору № АНГ-18/09000/00186/Р от 24.09.2018г. по изменению программы 2024-2026</t>
  </si>
  <si>
    <t>В05750-24</t>
  </si>
  <si>
    <t>ПЛН-24/09000/00676/Р/ГЕО-Д/ВГС</t>
  </si>
  <si>
    <t>Договор по оказанию услуг экспертно-методического сопровождения работ по отбору проб пластовых флюидов под давлением</t>
  </si>
  <si>
    <t>0000089487</t>
  </si>
  <si>
    <t xml:space="preserve">ООО Газпромнефть-Пальян </t>
  </si>
  <si>
    <t>8601068463</t>
  </si>
  <si>
    <t>В05928-24</t>
  </si>
  <si>
    <t>ЗК № 1 к Д № ГЕО-21/20000/00293/Д / Д № МрНГ-21/10000/00135/Р</t>
  </si>
  <si>
    <t>Изменение №1 к Агентскому поручению № 1 от 01.09.2023 г. к Агентскому договору № МрНГ-21/10000/00135/Р//ГЕО-21/20000/00293/Д от 23.12.2021.</t>
  </si>
  <si>
    <t>Согласование агентского поручения к агентскому договору с Меретояханефтегаз с целью выполнения обработки и интерпретации СРР на С-Самбургской площади.</t>
  </si>
  <si>
    <t>В06107-24</t>
  </si>
  <si>
    <t>Изменение №1 к Заказу №3 к договору ГПН-23/09000/01265/Р/ГЕО-Д/ВГС​ от 15.12.2023</t>
  </si>
  <si>
    <t>В целях корректировки сроков исполнения заказа №3 по НИР 2</t>
  </si>
  <si>
    <t>В0638-23</t>
  </si>
  <si>
    <t>АГЕНТСКОЕ ПОРУЧЕНИЕ № 2 к Агентскому договору №ГНЗ-22/20000/00007/Р/02/1/ГЕО-Д/9-1/ВГС от 30.12.2022г.</t>
  </si>
  <si>
    <t>Организации работ в области производственной безопасности на Лицензионных участках Чонской группы месторождений</t>
  </si>
  <si>
    <t>В06633-24</t>
  </si>
  <si>
    <t>Дополнительное соглашение № 3 к договору № ГПН-21/09000/01736/Р/ГЕО-21/00000/00144/Д от «16» апреля 2021 г.</t>
  </si>
  <si>
    <t>Когнитивная геология
UFSB-4913
Актуализация Ставок Специалистов Исполнителя в Приложении № 4 к Договору № ГПН-21/09000/01736/Р/ГЕО-21/00000/00144/Д от «16» апреля 2021 г.</t>
  </si>
  <si>
    <t>В06794-24</t>
  </si>
  <si>
    <t>ОРН-24/09000/00742/Р/ГЕО-Д/ВГС</t>
  </si>
  <si>
    <t>Договор   возмездного оказания услуг</t>
  </si>
  <si>
    <t xml:space="preserve">Оказание услуг по выполнению цифровой аэрофотосъемки и воздушно-лазерного сканирования с пилотируемых воздушных средств
</t>
  </si>
  <si>
    <t>В06906-23</t>
  </si>
  <si>
    <t>ДС №2 к Договору № ГНЗ-22/08000/00620/Р//ГЕО-22/09000/00137/Д от 16.06.2022</t>
  </si>
  <si>
    <t xml:space="preserve">ДС 2 к Договору на выполнение научно-исследовательской работы для последующей реализации экономически эффективной добычи и первичной подготовки нефти, природного газа, газоконденсата посредством комплекса технико-технологических решений строительства и эксплуатации скважин на Харвутинской площади Ямбургского НГКМ в 2022-2023 г._x000D_
№ ГНЗ-22/08000/00620/Р//ГЕО-22/09000/00137/Д от 16.06.2022_x000D_
</t>
  </si>
  <si>
    <t>Тюгаева Е.С.</t>
  </si>
  <si>
    <t>В06944-23</t>
  </si>
  <si>
    <t xml:space="preserve">ДС №3 к договору №ОРН-22/10000/00003/Р/15/02/ГЕО-Д/3/ВГС от «13» октября 2022 года </t>
  </si>
  <si>
    <t xml:space="preserve">Включение в договор условий во исполнение Письма ПАО "Газпром нефть" НК-26/003111 от 22.02.2023 </t>
  </si>
  <si>
    <t>В06975-24</t>
  </si>
  <si>
    <t>Заказ (ProБА) № НТЦ-В06975-24Р-ГПН к Договору № НТЦ-21/08000/00390/Р//ГЕО-21/00000/00123/Д от «17» мая 2021 г.</t>
  </si>
  <si>
    <t>НТЦ-В06975-24Р-ГПН</t>
  </si>
  <si>
    <t>В07064-23</t>
  </si>
  <si>
    <t>Агентское поручение №2 к договору ГНЗ-22/20000/00429/Р/ГЕО-22/20000/00094/Д  от 26.04.2022г.</t>
  </si>
  <si>
    <t>Выполнения работ по аэрофотосъемке, воздушному лазерному сканированию на территории Тас-Юряхского, Верхневилючанского лицензионных участков для нужд ООО «Газпромнефть-Заполярье» в 2023 году</t>
  </si>
  <si>
    <t>В07101-24</t>
  </si>
  <si>
    <t>Изменение №2 к Заказу №2 к  ДД ГПН-23/09000/01265/Р/ГЕО-Д/ВГС от 15.12.2023г</t>
  </si>
  <si>
    <t>В07252-24</t>
  </si>
  <si>
    <t>Заказ №5 к Договору № ГПН-21/09000/01736/Р // ГЕО-21/00000/00144/Д от «16» апреля 2021г с ООО «ГПН-ГЕО»</t>
  </si>
  <si>
    <t>Когнитивная геология
UFSB-4947
Цифровой проект U190001390 - Цифровой двойник СРР, этап развитие и тиражирование.
Экспертная поддержка тиражирования web-системы ЦД СРР по направлению полевых работ.
Экспертная поддержка тиражирования web-системы ЦД СРР по направлению камеральных работ.
Инициатор: Ермоленко М.В.</t>
  </si>
  <si>
    <t>Ермоленко М.В.</t>
  </si>
  <si>
    <t>В07355-24</t>
  </si>
  <si>
    <t>В07728-23</t>
  </si>
  <si>
    <t>ГСН-23/33300/00376/ГЕО/ВГС</t>
  </si>
  <si>
    <t>Ведение и актуализация антропометрических данных работников Заказчика, наборов СО и СИЗ, планирование и расчет потребности в СО и СИЗ</t>
  </si>
  <si>
    <t>В07761-23</t>
  </si>
  <si>
    <t>МНГ-22/10000/00006/Р/54/ГЕО-Д/3/ВГС</t>
  </si>
  <si>
    <t xml:space="preserve">ДС №1 к Договору №МНГ-22/10000/00006/Р/54/ГЕО-Д/3/ВГС от «16» декабря 2022 года </t>
  </si>
  <si>
    <t>В08219-23</t>
  </si>
  <si>
    <t>Приложение № 1.2  к договору №ГЕО-22/01200/00330/Д от "23" декабря 2022 года</t>
  </si>
  <si>
    <t>В08267-23</t>
  </si>
  <si>
    <t>Дополнительное соглашение № 1 к Договору № ОРН-23/09000/00002/Р/15/02/ГЕО-Д/7/ВГС от 19.04.2023</t>
  </si>
  <si>
    <t xml:space="preserve">Дополнительное соглашение № 1 изменение гарантированного и негарантированного объема. </t>
  </si>
  <si>
    <t>В08324-23</t>
  </si>
  <si>
    <t>В08350-24</t>
  </si>
  <si>
    <t>ГТП-24/09000/00923/Р/ГЕО-Д/ВГС</t>
  </si>
  <si>
    <t>Рамочный договор с ООО "Газпромнефть-Технологические партнерства" по подготовке и комплексному сопровождению проектов на геологическое изучение недр на участках недр в периметре лицензионного портфеля</t>
  </si>
  <si>
    <t>Оказание услуг по подготовке и комплексному сопровождению проектов на геологическое изучение недр на участках недр в периметре лицензионного портфеля ООО «Газпромнефть – Технологические Партнерства»</t>
  </si>
  <si>
    <t>3116954.5</t>
  </si>
  <si>
    <t>В08356-24</t>
  </si>
  <si>
    <t>В08383-24</t>
  </si>
  <si>
    <t xml:space="preserve">НАРЯД-ЗАКАЗ № 1 к Договору № ГТП-24/09000/00923/Р/ГЕО-Д/ВГС от «01» августа 2024 г. </t>
  </si>
  <si>
    <t>НАРЯД-ЗАКАЗ № 1
к Договору - № ГТП-24/09000/00923/Р/ГЕО-Д/ВГС от 01.08.2024</t>
  </si>
  <si>
    <t>В0869-23</t>
  </si>
  <si>
    <t>Дополнительное соглашение №17</t>
  </si>
  <si>
    <t>Актуализация программы работ на 2023 год</t>
  </si>
  <si>
    <t>В0882-23</t>
  </si>
  <si>
    <t>Дополнительное соглашение №18 к Договору о выполнении операторских работ и оказании операторских услуг, проект Хамбатей</t>
  </si>
  <si>
    <t>1. Уточнение программы выполнения работ и оказания услуг ГРР на 2023г. в рамках выделенного лимита по пректу Хамбатей._x000D_
2. Изменение % рентабельности с 01.01.2023г._x000D_
3. Дополнение условиями, касательно возможности приобретения товаров в рамках Договора.</t>
  </si>
  <si>
    <t>В09036-23</t>
  </si>
  <si>
    <t>Агентское поручение №1 к агентскому договору №МрНГ-21/10000/00135/Р от 23.12.2021</t>
  </si>
  <si>
    <t>В09062-23</t>
  </si>
  <si>
    <t>ГЕО-Д/5-1/ВГС</t>
  </si>
  <si>
    <t>Дополнительное соглашение о мобилизации</t>
  </si>
  <si>
    <t>В09088-23</t>
  </si>
  <si>
    <t>ГЕО-Д/12/ВГС</t>
  </si>
  <si>
    <t>В09263-23</t>
  </si>
  <si>
    <t>Дополнительное соглашение №2 Агентскому договору № МрНГ-21/10000/00135/Р//ГЕО-21/20000/00293/Д на выполнение обработки и интерпретации СРР на Северо-Самбургском ЛУ и прилегающей территории</t>
  </si>
  <si>
    <t>Заключение Дополнительного соглашения №2 к Агентскому договору № МрНГ-21/10000/00135/Р//ГЕО-21/20000/00293/Д на выполнение обработки и интерпретации СРР на Северо-Самбургском ЛУ и прилегающей территории в связи с внесением дополнения, предусматривающего взаимное заверение сторон в оказании услуг/выполнении работ, в случае введения на всей территории Российской Федерации или отдельных субъектах Российской Федерации военного положения или фактического начала военных действий, без изменения сроков и стоимости</t>
  </si>
  <si>
    <t>В09280-23</t>
  </si>
  <si>
    <t>НАРЯД-ЗАКАЗ № 2</t>
  </si>
  <si>
    <t>НАРЯД-ЗАКАЗ № 2 к Договору № ОРН-23/09000/00002/Р/15/02/ГЕО-Д/7/ВГС от «20» апреля 2023 г</t>
  </si>
  <si>
    <t>В09284-23</t>
  </si>
  <si>
    <t>НАРЯД-ЗАКАЗ № 3</t>
  </si>
  <si>
    <t>НАРЯД-ЗАКАЗ № 3 к Договору № ОРН-23/09000/00002/Р/15/02/ГЕО-Д/7/ВГС от «20» апреля 2023 г</t>
  </si>
  <si>
    <t>В09585-24</t>
  </si>
  <si>
    <t>ННГ-24/10000/01040/Р/ГЕО-Д/ВГС</t>
  </si>
  <si>
    <t>Рамочный Договор с АО "Газпромнефть-ННГ" на оказание услуг и проведение геологоразведочных работ</t>
  </si>
  <si>
    <t xml:space="preserve">Оказание услуг и проведение геологоразведочных работ по отбору керна, отбору проб пластовых флюидов, гидродинамических исследований скважин, геолого-технологического контроля и исследований скважин, геологическому супервайзингу.
</t>
  </si>
  <si>
    <t>В09666-23</t>
  </si>
  <si>
    <t>ДС 1 к ГГФ-23/20000/00001/Р/08-02/ГЕО-Д/3/ВГС ООО "ГПН-ГЕО" - ООО "Газпромнефть-ННГГФ"</t>
  </si>
  <si>
    <t>В09679-24</t>
  </si>
  <si>
    <t>В09740-23</t>
  </si>
  <si>
    <t>Дополнительное соглашение №19 к Договору о выполнении операторских работ и оказании операторских услуг, проект Ю.Ямал</t>
  </si>
  <si>
    <t>Уточнение программы выполнения работ и оказания услуг ГРР на 2023г. в рамках выделенного лимита по проекту  Ю.Ямал.</t>
  </si>
  <si>
    <t>В09803-24</t>
  </si>
  <si>
    <t>ДС №1 к Заказу № НТЦ-В06975-24Р-ГПН к ДД № НТЦ-21/08000/00390/Р//ГЕО-21/00000/00123/Д от «17» мая 2021 г.</t>
  </si>
  <si>
    <t>Изменение сроков выполнения работ без изменения суммы Заказа № НТЦ-В06975-24Р-ГПН к ДД № НТЦ-21/08000/00390/Р//ГЕО-21/00000/00123/Д от «17» мая 2021 г.</t>
  </si>
  <si>
    <t>В09805-23</t>
  </si>
  <si>
    <t>ГПН-23/33000/00546/Р/ГЕО-Д/ВГС</t>
  </si>
  <si>
    <t>Соглашение О компенсации расходов на освоение природных ресурсов</t>
  </si>
  <si>
    <t>В связи с переходом к ПАО «Газпром нефть» от ООО «ГПН-ГЕО» в соответствии с абзацем седьмым части первой статьи 17.1 Закона Российской Федерации от 21.02.1992 № 2395-1 «О недрах» права пользования недрами Лицензионных участков, ПАО «Газпром нефть» обязуется в порядке и сроки, предусмотренные настоящим Соглашением, компенсировать ООО «ГПН-ГЕО» Расходы на освоение природных ресурсов</t>
  </si>
  <si>
    <t>Гимаев Р.Р.</t>
  </si>
  <si>
    <t>В09874-24</t>
  </si>
  <si>
    <t>В09933-24</t>
  </si>
  <si>
    <t>ОРН-24/09000/01123/Р/ГЕО-Д/ВГС</t>
  </si>
  <si>
    <t xml:space="preserve">Рамочный договор на оказание услуг </t>
  </si>
  <si>
    <t xml:space="preserve">Рамочный договор  на оказание услуг:
Анализ, обоснование и сопровождение геологоразведочных работ (в том числе ведение архива сейсмических и несейсмических данных, исследований керна и флюидов, ПРБ), в том числе:
- экспертно-методическое сопровождение работ по отбору проб пластовых флюидов под давлением.
и пр. </t>
  </si>
  <si>
    <t>В10059-24</t>
  </si>
  <si>
    <t>Заказ на выполнение научно-исследовательских работ НИР 2</t>
  </si>
  <si>
    <t>В10210-23</t>
  </si>
  <si>
    <t>ГСН-23/01200/00580/Р/ГЕО-Д/ВГС</t>
  </si>
  <si>
    <t>ДОГОВОР ПОСТАВКИ1 № Д_27645_67942_57068</t>
  </si>
  <si>
    <t>Реализация в адрес ООО "Газпромнефть-Снабжение" "Комплекта материалов ограждения"  из СЗ ООО "ГПН-ГЕО"  проект "Енисей*</t>
  </si>
  <si>
    <t>В10225-23</t>
  </si>
  <si>
    <t xml:space="preserve">Дополнительное соглашение № 21 к Операторскому Договору № ГПН-18/09000/02142/Р от 07 сентября 2018 г. </t>
  </si>
  <si>
    <t>Дополнительное соглашение № 21 к Договору № ГПН-18/09000/02142/Р от 07 сентября 2018 г. об изменении формата отчетных документов</t>
  </si>
  <si>
    <t>В10288-23</t>
  </si>
  <si>
    <t>ДС № 2 к Д № ОРН-23/09000/00002/Р/15/02/ГЕО-Д/7/ВГС</t>
  </si>
  <si>
    <t>Дополнительное соглашение № 2 изменение гарантированного объема 2023 и 2024 года</t>
  </si>
  <si>
    <t>В10348-23</t>
  </si>
  <si>
    <t>ГПН-18-09000-02142/Р</t>
  </si>
  <si>
    <t>Дополнительное соглашение №20 Западный Таймыр</t>
  </si>
  <si>
    <t>Оказание операторских услуг на проекте Западный Таймыр.</t>
  </si>
  <si>
    <t>В10420-23</t>
  </si>
  <si>
    <t xml:space="preserve">Дополнительное соглашение № 12 к Договору № АНГ-18/09000/00186/Р от 24.09.2018г. </t>
  </si>
  <si>
    <t>Дополнительное соглашение № 12 к Договору № АНГ-18/09000/00186/Р от 24.09.2018г. об изменении формата отчетных документов</t>
  </si>
  <si>
    <t>В10424-23</t>
  </si>
  <si>
    <t xml:space="preserve">НТЦ-21/08000/00390/Р//ГЕО-21/00000/00123/Д </t>
  </si>
  <si>
    <t>Научно-техническое сопровождение проекта «Разработка когнитивных инструментов геологического анализа», включая сопровождение разработки алгоритмов и апробацию прототипов, анализ результатов и выдачу рекомендаций. Поддержка при формировании пользовательских</t>
  </si>
  <si>
    <t>НТЦ- В10424-23Р</t>
  </si>
  <si>
    <t>В10808-24</t>
  </si>
  <si>
    <t>Изменение №3 к Заказу №2 к  ДД ГПН-23/09000/01265/Р/ГЕО-Д/ВГС от 15.12.2023г</t>
  </si>
  <si>
    <t>Изменение сроков исполнения Заказа №2 к ДД ГПН-23/09000/01265/Р/ГЕО-Д/ВГС от 15.12.2023г</t>
  </si>
  <si>
    <t>В10928-24</t>
  </si>
  <si>
    <t>Изменение №1 к Заказу №5 к  ДД ГПН-23/09000/01265/Р/ГЕО-Д/ВГС от 15.12.2023г</t>
  </si>
  <si>
    <t>Изменение суммы Заказа №5 к ДД ГПН-23/09000/01265/Р/ГЕО-Д/ВГС от 15.12.2023г</t>
  </si>
  <si>
    <t>В1102-22</t>
  </si>
  <si>
    <t>ДОПОЛНИТЕЛЬНОЕ СОГЛАШЕНИЕ №1 к Договору поставки АНГ-22/01200/00002/Д от 05.05.2022 г.</t>
  </si>
  <si>
    <t xml:space="preserve">Корретировка спецификации без изменения общей стоимости реализации (приведение в соответствие наименований и номеров бухгалтерскому учету)_x000D_
</t>
  </si>
  <si>
    <t>В11094-24</t>
  </si>
  <si>
    <t>Заказ (ПГИН) к Договору № НТЦ-21/08000/00390/Р//ГЕО-21/00000/00123/Д от «17» мая 2021 г.</t>
  </si>
  <si>
    <t>НТЦ-В11094-24Р-ГПН</t>
  </si>
  <si>
    <t>Разработка проектной документации на геологическое изучение недр на Вологодский 1 и Центральный лицензионные участки</t>
  </si>
  <si>
    <t>В11314-23</t>
  </si>
  <si>
    <t>Заказ (ProБА)</t>
  </si>
  <si>
    <t>НТЦ-В11314-23Р-ГПН</t>
  </si>
  <si>
    <t>В11430-23</t>
  </si>
  <si>
    <t>Дополнительное соглашение №5 к Договору №ГЕО-19/00000/00317/Д / ННГ-19/10124/01839/Р от 24.12.2019</t>
  </si>
  <si>
    <t>О применении универсального передаточного документа.</t>
  </si>
  <si>
    <t>В11471-24</t>
  </si>
  <si>
    <t>ННГ-24/26000/01205/ГЕО/ВГС</t>
  </si>
  <si>
    <t>В11817-23</t>
  </si>
  <si>
    <t xml:space="preserve">Дополнительное соглашение № 22 к Операторскому Договору № ГПН-18/09000/02142/Р от 07 сентября 2018 г. </t>
  </si>
  <si>
    <t>Дополнительное соглашение для проведения инвентаризации Оператором</t>
  </si>
  <si>
    <t>В12568-24</t>
  </si>
  <si>
    <t>Наряд-Заказ №1 к договору ОРН-24/09000/01123/Р/ГЕО-Д/ВГС</t>
  </si>
  <si>
    <t>Экспертно-методическое сопровождение работ по отбору проб пластовых флюидов под давлением со скважины №341 месторождения им. В.П. Орлова с выездом специалиста ГПН-ГЕО.</t>
  </si>
  <si>
    <t>В12683-23</t>
  </si>
  <si>
    <t xml:space="preserve"> АНГ-18/09000/00186/Р</t>
  </si>
  <si>
    <t xml:space="preserve">Дополнительное соглашение № 13 к Договору № АНГ-18/09000/00186/Р от 24.09.2018г. </t>
  </si>
  <si>
    <t>Дополнительное соглашение № 13 к Договору № АНГ-18/09000/00186/Р от 24.09.2018г. по изменению программы 2024-2026</t>
  </si>
  <si>
    <t>В1271-22</t>
  </si>
  <si>
    <t>Заключение Соглашения об ЭДО к договору на организацию ВОЗ между ПАО "Газпром нефть" и ООО "ГПН-ГЕО"</t>
  </si>
  <si>
    <t>В1290-22</t>
  </si>
  <si>
    <t>ДС-1 к договору ВР-49-10110/22-23/ГЕО-21/07000/00311/Д на проведение полевых сейсморазведочных работ МОГТ ЗД с применением технологии «Зеленая сейсмика ©» на ЛУ работ ПАО «СН-МНГ», а также, в пределах примыкающего нераспределенного фонда в 2021-2023 гг</t>
  </si>
  <si>
    <t>В12912-24</t>
  </si>
  <si>
    <t>Договор на оказание услуг по экспертно-методическому сопровождению отбора проб пластовых флюидов под давлением</t>
  </si>
  <si>
    <t>Оказание услуг по экспертно-методическому сопровождению услуг по отбору проб пластовых флюидов под давлением, ГДИС/ПГИ на скважинах Ямбургского нефтегазоконденсатного месторождения</t>
  </si>
  <si>
    <t>В12988-23</t>
  </si>
  <si>
    <t>ГПН-23/09000/00946/Р/ГЕО-Д/ВГС</t>
  </si>
  <si>
    <t>Договор на оказание консалтинговых услуг</t>
  </si>
  <si>
    <t>Договор на оказание консалтинговых услуг в целях выполнения геолого-экономической оценки и сопровождения функциональной экспертизы ИК БРД проектов «6К» и «10»</t>
  </si>
  <si>
    <t>В13032-24</t>
  </si>
  <si>
    <t>Реализация в адрес ООО "Газпромнефть-Снабжение" - Топливо дизельное ЕВРО, зимнее, класс 2: ДТ-З-К5 (770000796580) в количестве 10,204 тн для оказания услуг АО "ССК" в период мобилизации БУ со скв. 4 на скв. 5 Камовской площади</t>
  </si>
  <si>
    <t>В13035-24</t>
  </si>
  <si>
    <t>ГНШ-24/09000/01252/Р/ГЕО-Д/ВГС</t>
  </si>
  <si>
    <t>Подготовка и проектирование геологической нагрузки на скважинах поисково-разведочного бурения</t>
  </si>
  <si>
    <t xml:space="preserve">Договор на оказания услуги: «Подготовка и проектирование геологической нагрузки на скважинах поисково-разведочного бурения» </t>
  </si>
  <si>
    <t>0000058553</t>
  </si>
  <si>
    <t xml:space="preserve">ООО Газпром нефть шельф </t>
  </si>
  <si>
    <t>7725610285</t>
  </si>
  <si>
    <t>В13181-24</t>
  </si>
  <si>
    <t>Изменение №1 к Заказу №4 к  ДД ГПН-23/09000/01265/Р/ГЕО-Д/ВГС от 15.12.2023г</t>
  </si>
  <si>
    <t xml:space="preserve">Изменение суммы и сроков исполнения Заказа №4  к  ДД ГПН-23/09000/01265/Р/ГЕО-Д/ВГС от 15.12.2023г. за счет расширения состава услуг </t>
  </si>
  <si>
    <t>В13208-24</t>
  </si>
  <si>
    <t>ДС №1 к Заказу №НТЦ-В11094-24Р-ГПН к ДД № НТЦ-21/08000/00390/Р//ГЕО-21/00000/00123/Д от «17» мая 2021 г.</t>
  </si>
  <si>
    <t>Изменение сроков выполнения работ без изменения суммы Заказа №НТЦ-В11094-24Р-ГПН к ДД № НТЦ-21/08000/00390/Р//ГЕО-21/00000/00123/Д от «17» мая 2021 г.</t>
  </si>
  <si>
    <t>В13306-23</t>
  </si>
  <si>
    <t>Спецификация № 2 к ДОГОВОРУ ПОСТАВКИ1 № Д_27645_67942_57068</t>
  </si>
  <si>
    <t>Реализация в адрес ООО "Газпромнефть-Снабжение" "Материала слоистого противофильтрационного Теплонит GEONOR TMP 450, ширина 2,4 м, длина 50 м СТО 52306731-011-2015"  из СЗ ООО "ГПН-ГЕО" проекта Хамбатей на основе ранее согласованного КП.</t>
  </si>
  <si>
    <t>В13331-24</t>
  </si>
  <si>
    <t>Договор купли-продажи движимого имущества</t>
  </si>
  <si>
    <t>Реализация в адрес ООО "Газпромнефть-Снабжение" - Лодка надувная Пилот 330 (основное средство) в количестве 1 шт. в связи с окончанием работ по бурению и освоению скважин на Лескинском ЛУ. Решение принято на ПДК по вопросам МТР и реализации НВИ/НЛИ (протокол № ПТ-7/0000193 от 11.07.2024)</t>
  </si>
  <si>
    <t>В13477-23</t>
  </si>
  <si>
    <t>Анализ, обоснование и сопровождение программы Региональных Научно-исследовательских работ 2023-2026гг</t>
  </si>
  <si>
    <t>Анализ, обоснование и сопровождение программы Региональных Научно-исследовательских работ 2023-2026гг (Негарантированные объемы)</t>
  </si>
  <si>
    <t>В13760-23</t>
  </si>
  <si>
    <t>В14347-23</t>
  </si>
  <si>
    <t>ГНР-23/33200/01252/ГЕО/ВГС</t>
  </si>
  <si>
    <t>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t>
  </si>
  <si>
    <t>В14352-23</t>
  </si>
  <si>
    <t>ГНС-23/33200/01206/ГЕО/ВГС</t>
  </si>
  <si>
    <t xml:space="preserve">ООО Нефтесервисные решения </t>
  </si>
  <si>
    <t>В14355-23</t>
  </si>
  <si>
    <t>ННГ-23/33200/01175/ГЕО/ВГС</t>
  </si>
  <si>
    <t>В14356-23</t>
  </si>
  <si>
    <t>ГНЗ-23/33200/01240/ГЕО/ВГС</t>
  </si>
  <si>
    <t>В14357-23</t>
  </si>
  <si>
    <t>ОРН-24/33200/00227/ГЕО/ВГС</t>
  </si>
  <si>
    <t>В14394-23</t>
  </si>
  <si>
    <t>Дополнительное соглашение № 23 к Договору № ГПН-18/09000/02142/Р от 07 сентября 2018 г. о выполнении операторских работ и оказании операторских услуг</t>
  </si>
  <si>
    <t xml:space="preserve">Актуализация программы работ на 2023 год по проекту Южный Ямал </t>
  </si>
  <si>
    <t>В14549-23</t>
  </si>
  <si>
    <t xml:space="preserve">ДС № 3 к ГСН-22/20000/00604/Р / ГЕО-22/20000/00088/Д </t>
  </si>
  <si>
    <t>В14550-23</t>
  </si>
  <si>
    <t>ГСН-22/20000/00002/Р/НС-11.1/ГЕО-Д/3/ВГС</t>
  </si>
  <si>
    <t>ДС № 2 к ГСН-22/20000/00002/Р/НС-11.1/ГЕО-Д/3/ВГС</t>
  </si>
  <si>
    <t>В14924-23</t>
  </si>
  <si>
    <t>АНГ-24/33200/00118/ГЕО/ВГС</t>
  </si>
  <si>
    <t>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t>
  </si>
  <si>
    <t>В14950-23</t>
  </si>
  <si>
    <t>ДС 2 к ГГФ-23/20000/00001/Р/08-02/ГЕО-Д/3/ВГС ООО "ГПН-ГЕО" - ООО "Газпромнефть-ННГГФ"</t>
  </si>
  <si>
    <t>В15008-23</t>
  </si>
  <si>
    <t>ГБС-23/33200/01337/ГЕО/ВГС</t>
  </si>
  <si>
    <t>В15096-23</t>
  </si>
  <si>
    <t>ХНТ-23/33200/01251/ГЕО/ВГС</t>
  </si>
  <si>
    <t>В15100-23</t>
  </si>
  <si>
    <t>ГПН-23/33200/01327/ГЕО/ВГС</t>
  </si>
  <si>
    <t>Соглашение об электронном документообороте между ГПН и ГПН-ГЕО</t>
  </si>
  <si>
    <t>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между ГПН и ГПН-ГЕО</t>
  </si>
  <si>
    <t>В15410-23</t>
  </si>
  <si>
    <t>ДС №6 к Договору №ГЕО-19/00000/00317/Д / ННГ-19/10124/01839/Р от 24.12.2019</t>
  </si>
  <si>
    <t>Дополнительное соглашение №6 к операторскому договору №ГЕО-19/00000/00317/Д / ННГ-19/10124/01839/Р от 24.12.2019</t>
  </si>
  <si>
    <t>В15429-23</t>
  </si>
  <si>
    <t>Дополнительное соглашение №24 к Договору № ГПН-18/09000/02142/Р от 07 сентября 2018 г. о выполнении операторских работ и оказании операторских услуг</t>
  </si>
  <si>
    <t>№24</t>
  </si>
  <si>
    <t xml:space="preserve">Актуализация программы работ на 2024 год по проекту Южный Ямал </t>
  </si>
  <si>
    <t>В15433-23</t>
  </si>
  <si>
    <t>Дополнительное соглашение №25 к Договору № ГПН-18/09000/02142/Р от 07 сентября 2018 г. о выполнении операторских работ и оказании операторских услуг</t>
  </si>
  <si>
    <t>Актуализация программы работ на 2024 год по проекту Таймыр</t>
  </si>
  <si>
    <t>В15448-23</t>
  </si>
  <si>
    <t>В1547-22</t>
  </si>
  <si>
    <t>Агентский договор на организацию вертолетных авиаперевозок ООО "Газпромнефть-Снабжение" - ООО "ГПН-ГЕО"</t>
  </si>
  <si>
    <t>Авиаперевозка персонала и грузов Принципала</t>
  </si>
  <si>
    <t>В15873-23</t>
  </si>
  <si>
    <t xml:space="preserve">Дополнительное соглашение № 26 к Договору № ГПН-18/09000/02142/Р от 07 сентября 2018 г. </t>
  </si>
  <si>
    <t xml:space="preserve">Актуализация программы работ на 2024 год по Хамбатейскому ЛУ
</t>
  </si>
  <si>
    <t>В16131-23</t>
  </si>
  <si>
    <t xml:space="preserve">Дополнительное соглашение № 27 к Договору № ГПН-18/09000/02142/Р от 07 сентября 2018 г. </t>
  </si>
  <si>
    <t>Актуализация программы работ на 2024 год по Северо-Ямбургскому ЛУ</t>
  </si>
  <si>
    <t>В16202-23</t>
  </si>
  <si>
    <t xml:space="preserve">Дополнительное соглашение № 28 к Договору № ГПН-18/09000/02142/Р от 07 сентября 2018 г. </t>
  </si>
  <si>
    <t>Актуализация программы работ на 2024 год по Южному Оренбургу</t>
  </si>
  <si>
    <t>В16886-23</t>
  </si>
  <si>
    <t>МНГ-23/10000/01681/Р/ГЕО-Д/ВГС</t>
  </si>
  <si>
    <t>Договор на услуги по сопровождению и организации сейсморазведочных работ, супервайзинга, обработки сейсмических данных с применением технологии «Зеленая сейсмика ©» на лицензионных участках работ ПАО «СН-МНГ»</t>
  </si>
  <si>
    <t xml:space="preserve">Оказание услуг по сопровождению и организации сейсморазведочных работ, супервайзинга, обработки сейсмических данных с применением технологии «Зеленая сейсмика ©» на лицензионных участках работ ПАО «СН-МНГ»
</t>
  </si>
  <si>
    <t>В17318-23</t>
  </si>
  <si>
    <t>Дополнительное соглашение №3 к агентскому договору № ГНЗ-22/20000/00007/Р/02/1/ГЕО-Д/9-1/ВГС от 30 декабря 2022 года</t>
  </si>
  <si>
    <t xml:space="preserve">В связи внесением изменений в наименование и стоимости единичных расценок </t>
  </si>
  <si>
    <t>В17384-23</t>
  </si>
  <si>
    <t>Спецификация № 3 к договору №ГЕО-22/01200/00330/Д</t>
  </si>
  <si>
    <t>Реализация ОС из ГПН-ГЕО в ГПН-Ангара в связи с тем, что ОС вовлечены на проекте "ЧОНА"</t>
  </si>
  <si>
    <t>В17386-23</t>
  </si>
  <si>
    <t>ГЕО-21/00000/0023/Д</t>
  </si>
  <si>
    <t>ДС №2 к Договору № НТЦ-21/08000/00390/Р//ГЕО-21/00000/00123/Д от «17» мая 2021 г.</t>
  </si>
  <si>
    <t xml:space="preserve">ДС №2 по изменению срока договора и единичных ставок </t>
  </si>
  <si>
    <t>В1786-22</t>
  </si>
  <si>
    <t>МНГ-22/26000/00001/54/ГЕО/3/ВГС</t>
  </si>
  <si>
    <t>В17926-23</t>
  </si>
  <si>
    <t>ДС 3 к ГГФ-23/20000/00001/Р/08-02/ГЕО-Д/3/ВГС ООО "ГПН-ГЕО" - ООО "Газпромнефть-ННГГФ"</t>
  </si>
  <si>
    <t>В18118-23</t>
  </si>
  <si>
    <t>В1872-23</t>
  </si>
  <si>
    <t xml:space="preserve">Внесение изменений в Техническое задание. </t>
  </si>
  <si>
    <t>В1915-23</t>
  </si>
  <si>
    <t>ДС № 1 к ГСН-22/20000/00002/Р/НС-11.1/ГЕО-Д/3/ВГС</t>
  </si>
  <si>
    <t>В1964-23</t>
  </si>
  <si>
    <t>Дополнительное согашение №1</t>
  </si>
  <si>
    <t>В2266-23</t>
  </si>
  <si>
    <t xml:space="preserve">Проведение научно-исследовательских работ по теме </t>
  </si>
  <si>
    <t>НТЦ-В2266-23Р-ГПН</t>
  </si>
  <si>
    <t xml:space="preserve">Проведение научно-исследовательских работ по теме _x000D_
«Высокоразрешающая электроразведка»_x000D_
</t>
  </si>
  <si>
    <t>В2333-22</t>
  </si>
  <si>
    <t>Заключение Заказа по теме: «Научно-техническое сопровождение этапа «Определение» по проекту «Разработка когнитивных инструментов геологического анализа» I18PRD0791, включая формирование датасетов, базы знаний и базы аналогов, апробацию прототипов, анализ р</t>
  </si>
  <si>
    <t>НТЦ-В2333-22Р-ГПН</t>
  </si>
  <si>
    <t>Наполнение геологической базы знаний MVP</t>
  </si>
  <si>
    <t>В2479-23</t>
  </si>
  <si>
    <t>ДОПОЛНИТЕЛЬНОЕ СОГЛАШЕНИЕ №1 к Договору ГЕО-22/09000/00137/Д//ГНЗ-22/08000/00620/Р</t>
  </si>
  <si>
    <t>Продление сроков выполнения работ и срока действия Договора без изменения единичных расценок , общей стоимости и объема по Договору</t>
  </si>
  <si>
    <t>В2736-22</t>
  </si>
  <si>
    <t xml:space="preserve">ГЕО-21/09000/00043/Д </t>
  </si>
  <si>
    <t>Доплнительное соглашение №3</t>
  </si>
  <si>
    <t>В2791-22</t>
  </si>
  <si>
    <t>ГЕО-20/00000/00086/Д (ННГ-20/11708/00380/Р)</t>
  </si>
  <si>
    <t>Дополнительное соглашение №4 к договору ГЕО-20/00000/00086/Д (ННГ-20/11708/00380/Р) от 10.03.2020 г.</t>
  </si>
  <si>
    <t>Корректировка производственной программы работ по проекту «Ачимовка-ННГ» на период 2020-2022 гг., уменьшением стоимости Договора, без изменения срока оказания Услуг</t>
  </si>
  <si>
    <t>В2851-23</t>
  </si>
  <si>
    <t>Агентское поручение № 3 к Агентскому договору №ГНЗ-22/20000/00007/Р/02/1/ГЕО-Д/9-1/ВГС от 30.12.2022г.</t>
  </si>
  <si>
    <t>В3078-22</t>
  </si>
  <si>
    <t>ГЕО-20/00000/00183/Д</t>
  </si>
  <si>
    <t>к Договору № ХНТ-20/10185/1080/Р/60 от 05.11.2020г._x000D_
на оказание услуг, связанных с реализацией задач в сфере управления проектом по поиску, разведке и разработке перспективных участков Программы проектов «ЗИМА» на 2020-2029 гг.</t>
  </si>
  <si>
    <t>В3219-22</t>
  </si>
  <si>
    <t>МрНГ-22/08000/00004/Р/13/4/ГЕО-Д/12/ВГС</t>
  </si>
  <si>
    <t>По настоящему Договору Исполнитель обязуется оказать услуги, связанные с реализацией задач по проработке технологического рычага АchMGI для Тазовского ЛУ на 2022-2024 гг. в пределах, составе, объеме и на иных условиях, установленных в Техническом задании (Приложение № 1 к настоящему Договору), в порядке и на условиях, предусмотренных настоящим Договором, а Заказчик обязуется оплатить услуги.</t>
  </si>
  <si>
    <t>Удовиченко Д.А.</t>
  </si>
  <si>
    <t>В3315-22</t>
  </si>
  <si>
    <t>Дополнительное соглашение № 5</t>
  </si>
  <si>
    <t>Продление срока действия договора без увеличения стоимости договора</t>
  </si>
  <si>
    <t>Белкин М.Ю</t>
  </si>
  <si>
    <t>В3646-22</t>
  </si>
  <si>
    <t>Договор на оказание операторских услуг по выполнению СРР на ЛУ ООО "Газпромнефть-Оренбург"</t>
  </si>
  <si>
    <t>В3734-22</t>
  </si>
  <si>
    <t>Заказ к Договору № НТЦ-21/08000/00390/Р//ГЕО-21/00000/00123/Д от «17» мая 2021 г.</t>
  </si>
  <si>
    <t>НТЦ-В3734-22Р-ГПН</t>
  </si>
  <si>
    <t>Методическое сопровождение технологического проекта «Экспертная система по подбору типовых технологических решений для разработки и изучения АТ (ProБА)» в рамках выполнения работ этапа «Определение» технологического проекта I18PRD0695 «Экспертная система по подбору типовых технологических решений для разработки и изучения АТ (ProБА)»</t>
  </si>
  <si>
    <t>В3836-22</t>
  </si>
  <si>
    <t xml:space="preserve">Заказ к Договору № НТЦ-21/08000/00390/Р//ГЕО-21/00000/00123/Д от «17» мая 2021 г. </t>
  </si>
  <si>
    <t>НТЦ- В3836-22Р-ГПН</t>
  </si>
  <si>
    <t>Методическое и экспертное сопровождение этапа «ПОИСК» технологического проекта I22PRD0410 «Новый технологический уровень сейсморазведки»</t>
  </si>
  <si>
    <t>В4088-23</t>
  </si>
  <si>
    <t>Рамочный договор с ООО "Газпромнефть-Оренбург на информационно-аналитическое сопровождение и практическое ведение недропользования на участках недр в периметре лицензионного портфеля</t>
  </si>
  <si>
    <t>Оказание услуг комплексного сопровождения по информационно-аналитическому и практическому ведению недропользования на участках недр в периметре лицензионного портфеля ООО "Газпромнефть-Оренбург</t>
  </si>
  <si>
    <t>В4726-22</t>
  </si>
  <si>
    <t>ВСТ-22/20000/00005/Р/ГЕО-Д/9-1/ВГС</t>
  </si>
  <si>
    <t>Оказание супервайзерских услуг по контролю состояния производственной безопасности.</t>
  </si>
  <si>
    <t xml:space="preserve">Оказание супервайзерских услуг по контролю состояния производственной безопасности на объектах ООО «Газпромнефть-Восток»_x000D_
</t>
  </si>
  <si>
    <t>В4875-22</t>
  </si>
  <si>
    <t xml:space="preserve">ГЕО-21/09000/00048/Д </t>
  </si>
  <si>
    <t>Изменение № 2 к Заказу №2 от 01.12.2021 г. к Договору № ННГ-21/11708/00982/Р / ГЕО-21/09000/00048/Д от 19.07.2021г.</t>
  </si>
  <si>
    <t>Изменения в производственной программе</t>
  </si>
  <si>
    <t>Райденко Е.В.</t>
  </si>
  <si>
    <t>В4878-22</t>
  </si>
  <si>
    <t xml:space="preserve">Изменение №2 к заказу №1 от 21.08.2021 к Договору №ННГ-21/11708/00982/Р / ГЕО-21/09000/00048/Д </t>
  </si>
  <si>
    <t>Изменение №2 к заказу №1 от 21.08.2021 г. с целью уменьшения стоимости заказа №1 от 21.08.2021г. на сумму 50 503 819,40 руб. без НДС в связи с возникшей экономией при выполнении следующих задач:  отказ от дополнительной переобработки и переинтерпретации СРР 2Д;  сокращение времени и объемов закачки азота в связи с техническими ограничениями в скважине 2238. Без изменения стоимости рамочного договора.</t>
  </si>
  <si>
    <t>Коняшкина К.В</t>
  </si>
  <si>
    <t>В5134-22</t>
  </si>
  <si>
    <t>Дополнительное соглашение №1  к Договору ГЕО-22/09000/00051/Д</t>
  </si>
  <si>
    <t>Дополнительное соглашение №1 к Договору ГЕО-22/09000/00051/Д</t>
  </si>
  <si>
    <t>Коротков А.Б.</t>
  </si>
  <si>
    <t>В5301-22</t>
  </si>
  <si>
    <t xml:space="preserve">ДС № 1 к ГСН-22/20000/00604/Р / ГЕО-22/20000/00088/Д </t>
  </si>
  <si>
    <t>В5344-23</t>
  </si>
  <si>
    <t>НАРЯД-ЗАКАЗ № 1</t>
  </si>
  <si>
    <t>НАРЯД-ЗАКАЗ № 1_x000D_
к Договору № ОРН-23/09000/00002/Р/15/02/ГЕО-Д/7/ВГС от «20» апреля 2023 г</t>
  </si>
  <si>
    <t>В5361-23</t>
  </si>
  <si>
    <t xml:space="preserve">ДС № 2 к ГСН-22/20000/00604/Р / ГЕО-22/20000/00088/Д </t>
  </si>
  <si>
    <t>В5576-23</t>
  </si>
  <si>
    <t xml:space="preserve">ДС №2 к Договору №ОРН-22/10000/00003/Р/15/02/ГЕО-Д/3/ВГС от «13» октября 2022 года </t>
  </si>
  <si>
    <t xml:space="preserve">Раскрытие негарантированного объема работ для выполнения СРР на Ягодному ЛУ </t>
  </si>
  <si>
    <t>В5688-22</t>
  </si>
  <si>
    <t>Проведение научно-исследовательских работ по теме «Высокоразрешающая электроразведка»</t>
  </si>
  <si>
    <t>НТЦ-В5688-22Р-ГПН</t>
  </si>
  <si>
    <t>В5928-22</t>
  </si>
  <si>
    <t>Дополнительное соглашение №16 к Договору о выполнении операторских работ и оказании операторских услуг, проект Ю. Оренбург (КНЗР, Первомайский)</t>
  </si>
  <si>
    <t>Согласование программы выполнения работ и оказания услуг ГРР на 2023г. в рамках выделенного лимита по пректу Южный Оренбург</t>
  </si>
  <si>
    <t>В5942-23</t>
  </si>
  <si>
    <t>Дополнительное соглашение №2 к агентскому договору № ГНЗ-22/20000/00007/Р/02/1/ГЕО-Д/9-1/ВГС от 30 декабря 2022 года</t>
  </si>
  <si>
    <t xml:space="preserve">доп.услуга по пожарной безопасности </t>
  </si>
  <si>
    <t>В5996-23</t>
  </si>
  <si>
    <t>ХНТ-23/09000/00181/Р/ХС/ГЕО-Д/7/ВГС</t>
  </si>
  <si>
    <t>Договор на оказание услуг :«Экспертно-методическое сопровождение работ по отбору проб пластовых флюидов под давлением»</t>
  </si>
  <si>
    <t xml:space="preserve">Заключение рамочного договора на оказание услуг :«Экспертно-методическое сопровождение работ по отбору проб пластовых флюидов под давлением»_x000D_
</t>
  </si>
  <si>
    <t>В6033-22</t>
  </si>
  <si>
    <t xml:space="preserve">Договор на проведение полевых сейсморазведочных работ МОГТ 3Д с применением технологии «Зеленая сейсмика ©» на лицензионных участках работ ПАО «СН-МНГ» в 2022-2024гг. </t>
  </si>
  <si>
    <t>Проведение полевых сейсморазведочных работ МОГТ 3Д с применением техно-логии «Зеленая сейсмика ©» на лицензионных участках работ ПАО «СН-МНГ» в 2022-2024гг.</t>
  </si>
  <si>
    <t>Воцалевский В.З.</t>
  </si>
  <si>
    <t>В6070-22</t>
  </si>
  <si>
    <t>В6084-23</t>
  </si>
  <si>
    <t>ДС на изменение формы Заказа к Договору № ГПН-21/09000/04810/Р//ГЕО-21/09000/00303/Д от «17» декабря 2021 г.</t>
  </si>
  <si>
    <t>В6148-22</t>
  </si>
  <si>
    <t>Заключить Дополнительное соглашение №2 к Операторскому договору для переноса этапа «Демобилизация» из 2022г. в 2023г. для демобилизации ресурсов сейсморазведочной партии в соответствии с Планом демобилизации ПАО «ГЕОТЕК Сейсморазведка»._x000D_
Общая стоимость договора не изменяется.</t>
  </si>
  <si>
    <t>В6222-22</t>
  </si>
  <si>
    <t>АГЕНТСКОЕ ПОРУЧЕНИЕ № 1 к Агентскому договору № ВСТ-22/20000/00005/Р/ГЕО-Д/9-1/ВГС  от «30» ноября 2022 г.</t>
  </si>
  <si>
    <t xml:space="preserve">Экспертная поддержка по вопросам производственной безопасности на всех жизненных циклах проекта. Обеспечение выявления, накопления и соблюдения новых знаний и лучших практик по улучшению культуры безопасности и усовершенствованию системы управления производственной безопасности на всех стадиях проектной деятельности. Обеспечение успешного функционирования СУПБ по предотвращению или уменьшению вредных воздействий на персонал, окружающую природную среду, имущество и производственную среду._x000D_
</t>
  </si>
  <si>
    <t>В6307-23</t>
  </si>
  <si>
    <t xml:space="preserve">Соглашение о расторжении договора №ВР-49-10110/22-23/ГЕО-21/07000/00311/Д от 30.12.2021г. </t>
  </si>
  <si>
    <t>Расторжение договора по согласию сторон в связи с полным исполнением обязательств по договору</t>
  </si>
  <si>
    <t>В6338-22</t>
  </si>
  <si>
    <t>Изменение банковских реквизитов ГПН-ГЕО</t>
  </si>
  <si>
    <t>В6346-22</t>
  </si>
  <si>
    <t>"Реализация программы повышения эффективности "Ach-Well" на ачимовской толще Тазовского месторождения"</t>
  </si>
  <si>
    <t>По настоящему Договору Исполнитель обязуется оказать услугу «Реализация программы повышения эффективности "Ach-Well" на ачимовской толще Тазовского месторождения»</t>
  </si>
  <si>
    <t>Мустафин Альберт Рустэмович</t>
  </si>
  <si>
    <t>В6405-23</t>
  </si>
  <si>
    <t>Дополнительное соглашение №1 Агентскому договору № МрНГ-21/10000/00135/Р//ГЕО-21/20000/00293/Д на выполнение обработки и интерпретации СРР на Северо-Самбургском ЛУ и прилегающей территории</t>
  </si>
  <si>
    <t>Заключение Дополнительного соглашения №1 к Агентскому договору № МрНГ-21/10000/00135/Р//ГЕО-21/20000/00293/Д на выполнение обработки и интерпретации СРР на Северо-Самбургском ЛУ и прилегающей территории в связи с изменением ТЗ и КП</t>
  </si>
  <si>
    <t>В6461-22</t>
  </si>
  <si>
    <t>2014/1772/004</t>
  </si>
  <si>
    <t>ДС б/н к к Договору займа между ООО «ГПН-ГЕО» и ПАО «Газпром нефть» № ГПН-14/12100/03171 от 19.11.2014г.</t>
  </si>
  <si>
    <t>На возвратной основе</t>
  </si>
  <si>
    <t>В6583-22</t>
  </si>
  <si>
    <t>Соглашение о переуступке ДД</t>
  </si>
  <si>
    <t>В6750-22</t>
  </si>
  <si>
    <t>Дополнительное соглашение №4 к ГЕО-19/00000/00317/Д / ННГ-19/10124/01839/Р</t>
  </si>
  <si>
    <t xml:space="preserve">Увеличение суммы договора на оказание операторских услуг в области научно- исследовательских работ, геологии, разработке и сейсморазведочных работ. </t>
  </si>
  <si>
    <t>Титиевский Е.Н. Гуляев А.Е.</t>
  </si>
  <si>
    <t>В6833-22</t>
  </si>
  <si>
    <t>Заказ №4 к Договору № ГПН-21/09000/01736/Р // ГЕО-21/00000/00144/Д от «16» апреля 2021г с ООО «ГПН-ГЕО»</t>
  </si>
  <si>
    <t>Цифровой проект U190001390 Цифровой двойник СРР, этап Развитие и тиражирование._x000D_
_x000D_
Согласование стандарта на процесс и НМД для WEB-системы ЦД СРР по направлению камеральных работ_x000D_
_x000D_
Экспертная оценка разработанной НМД по направлению камеральных работ СРР и НСМ с учетом стандартов ПАО «Газпром нефть»_x000D_
Рекомендации по дальнейшему применению НМД при сопровождении камеральных работ СРР и НСМ._x000D_
 _x000D_
Программа: Когнитивная геология</t>
  </si>
  <si>
    <t>В7230-22</t>
  </si>
  <si>
    <t xml:space="preserve">ГЕО-20/00000/00086/Д </t>
  </si>
  <si>
    <t xml:space="preserve">ДОПОЛНИТЕЛЬНОЕ СОГЛАШЕНИЕ № 5 к Договору от 10.03.2020 г. № ННГ-20/11708/00380/P//ГЕО-20/00000/00086/Д </t>
  </si>
  <si>
    <t>Увеличение срока оказания услуг и действия договора до 31.12.2023г., а также увеличение объема выполняемых услуг (Этап 7) и суммы договора.</t>
  </si>
  <si>
    <t>В7685-22</t>
  </si>
  <si>
    <t>ДС-1 к Договору на оказание операторских услуг по выполнению СРР на ЛУ ООО "Газпромнефть-Оренбург"</t>
  </si>
  <si>
    <t>Уменьшение стоимости договора в связи с актуализацией расценок</t>
  </si>
  <si>
    <t>В7727-22</t>
  </si>
  <si>
    <t>Дополнительное соглашение №2 к договору №ГЕО-21/09000/00048/Д / ННГ-21/11708/00982/Р</t>
  </si>
  <si>
    <t>Корректировка сроков действия договора и перенос объемов с 2023 года на 2022 год без изменения стоимости договора.</t>
  </si>
  <si>
    <t>В7767-22</t>
  </si>
  <si>
    <t>20000 Агентский договор на организацию вертолетных авиаперевозок ООО "ГПН-ГЕО" - ООО "Газпромнефть-ННГГФ"</t>
  </si>
  <si>
    <t>В7848-22</t>
  </si>
  <si>
    <t>Оказание услуг: с пожарной охраной, с экологическим контролем и мониторингом, со скорой, доврачебной и врачебной медицинской помощью.</t>
  </si>
  <si>
    <t>В8464-22</t>
  </si>
  <si>
    <t>Агентское поручение</t>
  </si>
  <si>
    <t>Осуществление оплаты по договору на медицинские услуги с третьим лицом.</t>
  </si>
  <si>
    <t>Гарантированный объем. без НДС в рублях</t>
  </si>
  <si>
    <t>Газпромнефть-ГЕО. ООО</t>
  </si>
  <si>
    <t>129 266 447.00</t>
  </si>
  <si>
    <t>25 853 289.40</t>
  </si>
  <si>
    <t>4 458 090.96</t>
  </si>
  <si>
    <t>3 715 075.80</t>
  </si>
  <si>
    <t>743 015.16</t>
  </si>
  <si>
    <t>707 660.00</t>
  </si>
  <si>
    <t>221 931 599.16</t>
  </si>
  <si>
    <t>184 942 999.30</t>
  </si>
  <si>
    <t>36 988 599.86</t>
  </si>
  <si>
    <t>4 288.68</t>
  </si>
  <si>
    <t>251 088 619.72</t>
  </si>
  <si>
    <t>209 240 516.43</t>
  </si>
  <si>
    <t>41 848 103.29</t>
  </si>
  <si>
    <t>377 916 437.28</t>
  </si>
  <si>
    <t>314 930 364.40</t>
  </si>
  <si>
    <t>62 986 072.88</t>
  </si>
  <si>
    <t>217 500.00</t>
  </si>
  <si>
    <t>189 225.00</t>
  </si>
  <si>
    <t>28 275.00</t>
  </si>
  <si>
    <t>74 418 522.44</t>
  </si>
  <si>
    <t>62 015 435.37</t>
  </si>
  <si>
    <t>12 403 087.07</t>
  </si>
  <si>
    <t>53 646 758.40</t>
  </si>
  <si>
    <t>44 705 632.00</t>
  </si>
  <si>
    <t>8 941 126.40</t>
  </si>
  <si>
    <t>2 746 800 000.00</t>
  </si>
  <si>
    <t>2 289 000 000.00</t>
  </si>
  <si>
    <t>457 800 000.00</t>
  </si>
  <si>
    <t>3 833.83</t>
  </si>
  <si>
    <t>7 850 739.19</t>
  </si>
  <si>
    <t>6 542 282.66</t>
  </si>
  <si>
    <t>1 308 456.53</t>
  </si>
  <si>
    <t>4 789 367.33</t>
  </si>
  <si>
    <t>3 991 139.44</t>
  </si>
  <si>
    <t>798 227.89</t>
  </si>
  <si>
    <t>1 437 650.00</t>
  </si>
  <si>
    <t>216 667.10</t>
  </si>
  <si>
    <t>180 555.92</t>
  </si>
  <si>
    <t>36 111.18</t>
  </si>
  <si>
    <t>183 952 481.86</t>
  </si>
  <si>
    <t>153 293 734.88</t>
  </si>
  <si>
    <t>30 658 746.98</t>
  </si>
  <si>
    <t>869 615.71</t>
  </si>
  <si>
    <t>724 679.76</t>
  </si>
  <si>
    <t>144 935.95</t>
  </si>
  <si>
    <t>6 371 736.00</t>
  </si>
  <si>
    <t>5 309 780.00</t>
  </si>
  <si>
    <t>1 061 956.00</t>
  </si>
  <si>
    <t>54 230 274.20</t>
  </si>
  <si>
    <t>45 191 895.17</t>
  </si>
  <si>
    <t>9 038 379.03</t>
  </si>
  <si>
    <t>14 098 140.34</t>
  </si>
  <si>
    <t>11 748 450.28</t>
  </si>
  <si>
    <t>2 349 690.06</t>
  </si>
  <si>
    <t>8 000 000.00</t>
  </si>
  <si>
    <t>6 666 666.67</t>
  </si>
  <si>
    <t>1 333 333.33</t>
  </si>
  <si>
    <t>1 488 000.00</t>
  </si>
  <si>
    <t>1 294 560.00</t>
  </si>
  <si>
    <t>193 440.00</t>
  </si>
  <si>
    <t>4 755 289.01</t>
  </si>
  <si>
    <t>3 962 740.84</t>
  </si>
  <si>
    <t>792 548.17</t>
  </si>
  <si>
    <t>15 207 883.20</t>
  </si>
  <si>
    <t>12 673 236.00</t>
  </si>
  <si>
    <t>2 534 647.20</t>
  </si>
  <si>
    <t>136 073.00</t>
  </si>
  <si>
    <t>113 394.17</t>
  </si>
  <si>
    <t>22 678.83</t>
  </si>
  <si>
    <t>159 961 448.40</t>
  </si>
  <si>
    <t>133 301 207.00</t>
  </si>
  <si>
    <t>26 660 241.40</t>
  </si>
  <si>
    <t>42 500.00</t>
  </si>
  <si>
    <t>133 647 355.20</t>
  </si>
  <si>
    <t>111 372 796.00</t>
  </si>
  <si>
    <t>22 274 559.20</t>
  </si>
  <si>
    <t>697 059 158.56</t>
  </si>
  <si>
    <t>580 882 632.13</t>
  </si>
  <si>
    <t>116 176 526.43</t>
  </si>
  <si>
    <t>1 230 330.78</t>
  </si>
  <si>
    <t>1 025 275.65</t>
  </si>
  <si>
    <t>205 055.13</t>
  </si>
  <si>
    <t>80 247 102.00</t>
  </si>
  <si>
    <t>66 872 585.00</t>
  </si>
  <si>
    <t>13 374 517.00</t>
  </si>
  <si>
    <t>2 342 929.63</t>
  </si>
  <si>
    <t>1 952 441.36</t>
  </si>
  <si>
    <t>390 488.27</t>
  </si>
  <si>
    <t>31 852 796.40</t>
  </si>
  <si>
    <t>26 543 997.00</t>
  </si>
  <si>
    <t>5 308 799.40</t>
  </si>
  <si>
    <t>676 222 988.09</t>
  </si>
  <si>
    <t>563 519 156.74</t>
  </si>
  <si>
    <t>112 703 831.35</t>
  </si>
  <si>
    <t>5 479 428.36</t>
  </si>
  <si>
    <t>4 566 190.30</t>
  </si>
  <si>
    <t>913 238.06</t>
  </si>
  <si>
    <t>60 138 449.78</t>
  </si>
  <si>
    <t>50 115 374.82</t>
  </si>
  <si>
    <t>10 023 074.96</t>
  </si>
  <si>
    <t>2 267 376.00</t>
  </si>
  <si>
    <t>1 889 480.00</t>
  </si>
  <si>
    <t>377 896.00</t>
  </si>
  <si>
    <t>1 276 865 522.93</t>
  </si>
  <si>
    <t>1 064 054 602.44</t>
  </si>
  <si>
    <t>212 810 920.49</t>
  </si>
  <si>
    <t>1 099 681 522.12</t>
  </si>
  <si>
    <t>916 401 268.43</t>
  </si>
  <si>
    <t>183 280 253.69</t>
  </si>
  <si>
    <t>2 160 600.00</t>
  </si>
  <si>
    <t>1 800 500.00</t>
  </si>
  <si>
    <t>360 100.00</t>
  </si>
  <si>
    <t>25 635 398.40</t>
  </si>
  <si>
    <t>21 362 832.00</t>
  </si>
  <si>
    <t>4 272 566.40</t>
  </si>
  <si>
    <t>86 207.50</t>
  </si>
  <si>
    <t>75 000.52</t>
  </si>
  <si>
    <t>11 206.98</t>
  </si>
  <si>
    <t>674 040.00</t>
  </si>
  <si>
    <t>8 057 940.00</t>
  </si>
  <si>
    <t>6 714 950.00</t>
  </si>
  <si>
    <t>1 342 990.00</t>
  </si>
  <si>
    <t>6 926 360.47</t>
  </si>
  <si>
    <t>5 771 967.06</t>
  </si>
  <si>
    <t>1 154 393.41</t>
  </si>
  <si>
    <t>4 471 426.30</t>
  </si>
  <si>
    <t>3 726 188.58</t>
  </si>
  <si>
    <t>745 237.72</t>
  </si>
  <si>
    <t>1 921 478.98</t>
  </si>
  <si>
    <t>1 601 232.48</t>
  </si>
  <si>
    <t>320 246.50</t>
  </si>
  <si>
    <t>275 653 494.00</t>
  </si>
  <si>
    <t>229 711 245.00</t>
  </si>
  <si>
    <t>45 942 249.00</t>
  </si>
  <si>
    <t>72 725 775.60</t>
  </si>
  <si>
    <t>60 604 813.00</t>
  </si>
  <si>
    <t>12 120 962.60</t>
  </si>
  <si>
    <t>6 700 702.80</t>
  </si>
  <si>
    <t>5 583 919.00</t>
  </si>
  <si>
    <t>1 116 783.80</t>
  </si>
  <si>
    <t>1 874 280.60</t>
  </si>
  <si>
    <t>1 561 900.50</t>
  </si>
  <si>
    <t>312 380.10</t>
  </si>
  <si>
    <t>420 399 563.52</t>
  </si>
  <si>
    <t>350 332 969.60</t>
  </si>
  <si>
    <t>70 066 593.92</t>
  </si>
  <si>
    <t>375 072.22</t>
  </si>
  <si>
    <t>312 560.18</t>
  </si>
  <si>
    <t>62 512.04</t>
  </si>
  <si>
    <t>5 552 292.36</t>
  </si>
  <si>
    <t>4 626 910.30</t>
  </si>
  <si>
    <t>925 382.06</t>
  </si>
  <si>
    <t>4 111 745.06</t>
  </si>
  <si>
    <t>3 426 454.22</t>
  </si>
  <si>
    <t>685 290.84</t>
  </si>
  <si>
    <t>2 871 302.00</t>
  </si>
  <si>
    <t>33 842 180.74</t>
  </si>
  <si>
    <t>28 201 817.28</t>
  </si>
  <si>
    <t>5 640 363.46</t>
  </si>
  <si>
    <t>13 419 936.00</t>
  </si>
  <si>
    <t>11 183 280.00</t>
  </si>
  <si>
    <t>2 236 656.00</t>
  </si>
  <si>
    <t>1 812 607.31</t>
  </si>
  <si>
    <t>8 019 000.00</t>
  </si>
  <si>
    <t>7 189 624.00</t>
  </si>
  <si>
    <t>165 875.18</t>
  </si>
  <si>
    <t>19 568 784.00</t>
  </si>
  <si>
    <t>16 307 320.00</t>
  </si>
  <si>
    <t>3 261 464.00</t>
  </si>
  <si>
    <t>823 474 576.98</t>
  </si>
  <si>
    <t>686 228 814.15</t>
  </si>
  <si>
    <t>137 245 762.83</t>
  </si>
  <si>
    <t>124 047.77</t>
  </si>
  <si>
    <t>12 000 000.00</t>
  </si>
  <si>
    <t>10 000 000.00</t>
  </si>
  <si>
    <t>2 000 000.00</t>
  </si>
  <si>
    <t>3 948 630.58</t>
  </si>
  <si>
    <t>3 290 525.48</t>
  </si>
  <si>
    <t>658 105.10</t>
  </si>
  <si>
    <t>28 920 000.00</t>
  </si>
  <si>
    <t>24 100 000.00</t>
  </si>
  <si>
    <t>4 820 000.00</t>
  </si>
  <si>
    <t>3 128 319.85</t>
  </si>
  <si>
    <t>2 606 933.21</t>
  </si>
  <si>
    <t>521 386.64</t>
  </si>
  <si>
    <t>2 209 312.80</t>
  </si>
  <si>
    <t>1 841 094.00</t>
  </si>
  <si>
    <t>368 218.80</t>
  </si>
  <si>
    <t>9 079 144.20</t>
  </si>
  <si>
    <t>7 565 953.50</t>
  </si>
  <si>
    <t>1 513 190.70</t>
  </si>
  <si>
    <t>13 561 562.40</t>
  </si>
  <si>
    <t>11 301 302.00</t>
  </si>
  <si>
    <t>2 260 260.40</t>
  </si>
  <si>
    <t>1 678 081.09</t>
  </si>
  <si>
    <t>1 398 400.91</t>
  </si>
  <si>
    <t>279 680.18</t>
  </si>
  <si>
    <t>356 584 320.00</t>
  </si>
  <si>
    <t>297 153 600.00</t>
  </si>
  <si>
    <t>59 430 720.00</t>
  </si>
  <si>
    <t>205 241 290.90</t>
  </si>
  <si>
    <t>171 034 409.08</t>
  </si>
  <si>
    <t>34 206 881.82</t>
  </si>
  <si>
    <t>492 600.00</t>
  </si>
  <si>
    <t>410 500.00</t>
  </si>
  <si>
    <t>82 100.00</t>
  </si>
  <si>
    <t>1 745 589.05</t>
  </si>
  <si>
    <t>1 454 657.54</t>
  </si>
  <si>
    <t>290 931.51</t>
  </si>
  <si>
    <t>194 280 994.10</t>
  </si>
  <si>
    <t>161 900 828.42</t>
  </si>
  <si>
    <t>32 380 165.68</t>
  </si>
  <si>
    <t>2 387 485.49</t>
  </si>
  <si>
    <t>1 989 571.24</t>
  </si>
  <si>
    <t>397 914.25</t>
  </si>
  <si>
    <t>3 697 363.08</t>
  </si>
  <si>
    <t>3 081 135.90</t>
  </si>
  <si>
    <t>616 227.18</t>
  </si>
  <si>
    <t>322 485 828.90</t>
  </si>
  <si>
    <t>268 738 190.75</t>
  </si>
  <si>
    <t>53 747 638.15</t>
  </si>
  <si>
    <t>660 000.00</t>
  </si>
  <si>
    <t>574 200.00</t>
  </si>
  <si>
    <t>85 800.00</t>
  </si>
  <si>
    <t>248 157 795.98</t>
  </si>
  <si>
    <t>206 798 163.32</t>
  </si>
  <si>
    <t>41 359 632.66</t>
  </si>
  <si>
    <t>711 228.77</t>
  </si>
  <si>
    <t>592 690.64</t>
  </si>
  <si>
    <t>118 538.13</t>
  </si>
  <si>
    <t>39 397 172.26</t>
  </si>
  <si>
    <t>432 501 320.88</t>
  </si>
  <si>
    <t>360 417 767.40</t>
  </si>
  <si>
    <t>72 083 553.48</t>
  </si>
  <si>
    <t>1 124 261 380.80</t>
  </si>
  <si>
    <t>936 884 484.00</t>
  </si>
  <si>
    <t>187 376 896.80</t>
  </si>
  <si>
    <t>1 981 219.20</t>
  </si>
  <si>
    <t>1 651 016.00</t>
  </si>
  <si>
    <t>330 203.20</t>
  </si>
  <si>
    <t>65 000.00</t>
  </si>
  <si>
    <t>5 920 606.80</t>
  </si>
  <si>
    <t>4 933 839.00</t>
  </si>
  <si>
    <t>986 767.80</t>
  </si>
  <si>
    <t>164 857 943.21</t>
  </si>
  <si>
    <t>137 381 619.34</t>
  </si>
  <si>
    <t>27 476 323.87</t>
  </si>
  <si>
    <t>390 558.92</t>
  </si>
  <si>
    <t>325 465.77</t>
  </si>
  <si>
    <t>65 093.15</t>
  </si>
  <si>
    <t>97 000.00</t>
  </si>
  <si>
    <t>1 448 275.86</t>
  </si>
  <si>
    <t>1 259 999.86</t>
  </si>
  <si>
    <t>188 276.00</t>
  </si>
  <si>
    <t>440 000.00</t>
  </si>
  <si>
    <t>382 800.00</t>
  </si>
  <si>
    <t>57 200.00</t>
  </si>
  <si>
    <t>2 086 158.99</t>
  </si>
  <si>
    <t>1 738 465.83</t>
  </si>
  <si>
    <t>347 693.16</t>
  </si>
  <si>
    <t>4 773 839.76</t>
  </si>
  <si>
    <t>3 978 199.80</t>
  </si>
  <si>
    <t>795 639.96</t>
  </si>
  <si>
    <t>5 472 979.42</t>
  </si>
  <si>
    <t>4 560 816.18</t>
  </si>
  <si>
    <t>912 163.24</t>
  </si>
  <si>
    <t>3 493 401.60</t>
  </si>
  <si>
    <t>2 911 168.00</t>
  </si>
  <si>
    <t>582 233.60</t>
  </si>
  <si>
    <t>233 999 988.49</t>
  </si>
  <si>
    <t>194 999 990.41</t>
  </si>
  <si>
    <t>38 999 998.08</t>
  </si>
  <si>
    <t>119 883 036.00</t>
  </si>
  <si>
    <t>99 902 530.00</t>
  </si>
  <si>
    <t>19 980 506.00</t>
  </si>
  <si>
    <t>7 414 632.00</t>
  </si>
  <si>
    <t>6 178 860.00</t>
  </si>
  <si>
    <t>1 235 772.00</t>
  </si>
  <si>
    <t>57 059 885.93</t>
  </si>
  <si>
    <t>47 549 904.94</t>
  </si>
  <si>
    <t>9 509 980.99</t>
  </si>
  <si>
    <t>301 620 799.20</t>
  </si>
  <si>
    <t>251 350 666.00</t>
  </si>
  <si>
    <t>50 270 133.20</t>
  </si>
  <si>
    <t>518 904 894.42</t>
  </si>
  <si>
    <t>432 420 745.35</t>
  </si>
  <si>
    <t>86 484 149.07</t>
  </si>
  <si>
    <t>1 408 577.20</t>
  </si>
  <si>
    <t>19 218 628.50</t>
  </si>
  <si>
    <t>16 015 523.75</t>
  </si>
  <si>
    <t>3 203 104.75</t>
  </si>
  <si>
    <t>9 695 120.00</t>
  </si>
  <si>
    <t>145 311 289.07</t>
  </si>
  <si>
    <t>18 787.20</t>
  </si>
  <si>
    <t>15 656.00</t>
  </si>
  <si>
    <t>3 131.20</t>
  </si>
  <si>
    <t>18 942 240.00</t>
  </si>
  <si>
    <t>15 785 200.00</t>
  </si>
  <si>
    <t>3 157 040.00</t>
  </si>
  <si>
    <t>153 914 670.00</t>
  </si>
  <si>
    <t>128 262 225.00</t>
  </si>
  <si>
    <t>25 652 445.00</t>
  </si>
  <si>
    <t>1 251 566 277.14</t>
  </si>
  <si>
    <t>1 042 971 897.62</t>
  </si>
  <si>
    <t>208 594 379.52</t>
  </si>
  <si>
    <t>519 255 467.46</t>
  </si>
  <si>
    <t>432 712 889.55</t>
  </si>
  <si>
    <t>86 542 577.91</t>
  </si>
  <si>
    <t>19 685 226.00</t>
  </si>
  <si>
    <t>16 404 355.00</t>
  </si>
  <si>
    <t>3 280 871.00</t>
  </si>
  <si>
    <t>77 686 254.95</t>
  </si>
  <si>
    <t>64 738 545.79</t>
  </si>
  <si>
    <t>12 947 709.16</t>
  </si>
  <si>
    <t>58 520 751.32</t>
  </si>
  <si>
    <t>48 767 292.77</t>
  </si>
  <si>
    <t>9 753 458.55</t>
  </si>
  <si>
    <t>2 100 247.84</t>
  </si>
  <si>
    <t>1 020 000.00</t>
  </si>
  <si>
    <t>887 400.00</t>
  </si>
  <si>
    <t>132 600.00</t>
  </si>
  <si>
    <t>1 098 903 693.38</t>
  </si>
  <si>
    <t>915 753 077.82</t>
  </si>
  <si>
    <t>183 150 615.56</t>
  </si>
  <si>
    <t>1 270 461.58</t>
  </si>
  <si>
    <t>1 058 717.98</t>
  </si>
  <si>
    <t>211 743.60</t>
  </si>
  <si>
    <t>406 615.56</t>
  </si>
  <si>
    <t>3 386 222.40</t>
  </si>
  <si>
    <t>2 821 852.00</t>
  </si>
  <si>
    <t>564 370.40</t>
  </si>
  <si>
    <t>390 579 034.03</t>
  </si>
  <si>
    <t>325 482 528.36</t>
  </si>
  <si>
    <t>65 096 505.67</t>
  </si>
  <si>
    <t>66 018 781.10</t>
  </si>
  <si>
    <t>55 015 650.92</t>
  </si>
  <si>
    <t>11 003 130.18</t>
  </si>
  <si>
    <t>348 033 669.60</t>
  </si>
  <si>
    <t>290 028 058.00</t>
  </si>
  <si>
    <t>58 005 611.60</t>
  </si>
  <si>
    <t>323 999 280.00</t>
  </si>
  <si>
    <t>269 999 400.00</t>
  </si>
  <si>
    <t>53 999 880.00</t>
  </si>
  <si>
    <t>484 000.00</t>
  </si>
  <si>
    <t>421 080.00</t>
  </si>
  <si>
    <t>62 920.00</t>
  </si>
  <si>
    <t>2 041 946.64</t>
  </si>
  <si>
    <t>1 701 622.20</t>
  </si>
  <si>
    <t>340 324.44</t>
  </si>
  <si>
    <t>49 680.00</t>
  </si>
  <si>
    <t>41 400.00</t>
  </si>
  <si>
    <t>8 280.00</t>
  </si>
  <si>
    <t>14 396 560.09</t>
  </si>
  <si>
    <t>65 040 000.00</t>
  </si>
  <si>
    <t>54 200 000.00</t>
  </si>
  <si>
    <t>10 840 000.00</t>
  </si>
  <si>
    <t>9 929 385 796.94</t>
  </si>
  <si>
    <t>8 274 488 164.12</t>
  </si>
  <si>
    <t>1 654 897 632.82</t>
  </si>
  <si>
    <t>2 909 104.34</t>
  </si>
  <si>
    <t>2 424 253.62</t>
  </si>
  <si>
    <t>484 850.72</t>
  </si>
  <si>
    <t>1 556 252.52</t>
  </si>
  <si>
    <t>1 296 877.10</t>
  </si>
  <si>
    <t>259 375.42</t>
  </si>
  <si>
    <t>260 972 690.61</t>
  </si>
  <si>
    <t>217 477 242.17</t>
  </si>
  <si>
    <t>43 495 448.44</t>
  </si>
  <si>
    <t>22 156 916.40</t>
  </si>
  <si>
    <t>18 464 097.00</t>
  </si>
  <si>
    <t>3 692 819.40</t>
  </si>
  <si>
    <t>47 587.21</t>
  </si>
  <si>
    <t>288 093 026.40</t>
  </si>
  <si>
    <t>240 077 522.00</t>
  </si>
  <si>
    <t>48 015 504.40</t>
  </si>
  <si>
    <t>402 109.46</t>
  </si>
  <si>
    <t>231 750.00</t>
  </si>
  <si>
    <t>1 139 473 437.16</t>
  </si>
  <si>
    <t>949 561 197.63</t>
  </si>
  <si>
    <t>189 912 239.53</t>
  </si>
  <si>
    <t>121 448 744.40</t>
  </si>
  <si>
    <t>101 207 287.00</t>
  </si>
  <si>
    <t>20 241 457.40</t>
  </si>
  <si>
    <t>5 460 346.67</t>
  </si>
  <si>
    <t>4 550 288.89</t>
  </si>
  <si>
    <t>910 057.78</t>
  </si>
  <si>
    <t>11 812 828.80</t>
  </si>
  <si>
    <t>9 844 024.00</t>
  </si>
  <si>
    <t>1 968 804.80</t>
  </si>
  <si>
    <t>32 809 596.02</t>
  </si>
  <si>
    <t>27 341 330.02</t>
  </si>
  <si>
    <t>5 468 266.00</t>
  </si>
  <si>
    <t>163 423 415.16</t>
  </si>
  <si>
    <t>136 186 179.30</t>
  </si>
  <si>
    <t>27 237 235.86</t>
  </si>
  <si>
    <t>947 675 593.75</t>
  </si>
  <si>
    <t>789 729 661.46</t>
  </si>
  <si>
    <t>157 945 932.29</t>
  </si>
  <si>
    <t>519 475.32</t>
  </si>
  <si>
    <t>432 896.10</t>
  </si>
  <si>
    <t>86 579.22</t>
  </si>
  <si>
    <t>107 000.00</t>
  </si>
  <si>
    <t>1 580 449 985.47</t>
  </si>
  <si>
    <t>1 317 041 654.56</t>
  </si>
  <si>
    <t>263 408 330.91</t>
  </si>
  <si>
    <t>484 372 930.04</t>
  </si>
  <si>
    <t>7 478 456.40</t>
  </si>
  <si>
    <t>6 232 047.00</t>
  </si>
  <si>
    <t>1 246 409.40</t>
  </si>
  <si>
    <t>1 897 498.24</t>
  </si>
  <si>
    <t>62 583 161.65</t>
  </si>
  <si>
    <t>52 152 634.71</t>
  </si>
  <si>
    <t>10 430 526.94</t>
  </si>
  <si>
    <t>1 497 260.00</t>
  </si>
  <si>
    <t>1 420 155.00</t>
  </si>
  <si>
    <t>77 105.00</t>
  </si>
  <si>
    <t>11 477 320.28</t>
  </si>
  <si>
    <t>24 596 102.35</t>
  </si>
  <si>
    <t>20 496 751.96</t>
  </si>
  <si>
    <t>4 099 350.39</t>
  </si>
  <si>
    <t>12 005 400.00</t>
  </si>
  <si>
    <t>10 004 500.00</t>
  </si>
  <si>
    <t>2 000 900.00</t>
  </si>
  <si>
    <t>50 419 552.04</t>
  </si>
  <si>
    <t>42 016 293.37</t>
  </si>
  <si>
    <t>8 403 258.67</t>
  </si>
  <si>
    <t>1 124 277.64</t>
  </si>
  <si>
    <t>8 024 640.00</t>
  </si>
  <si>
    <t>6 687 200.00</t>
  </si>
  <si>
    <t>1 337 440.00</t>
  </si>
  <si>
    <t>37 199 665.20</t>
  </si>
  <si>
    <t>30 999 721.00</t>
  </si>
  <si>
    <t>6 199 944.20</t>
  </si>
  <si>
    <t>2 320 221.60</t>
  </si>
  <si>
    <t>1 933 518.00</t>
  </si>
  <si>
    <t>386 703.60</t>
  </si>
  <si>
    <t>20 772 355.37</t>
  </si>
  <si>
    <t>17 310 296.14</t>
  </si>
  <si>
    <t>3 462 059.23</t>
  </si>
  <si>
    <t>1 345 387 069.94</t>
  </si>
  <si>
    <t>1 121 155 891.62</t>
  </si>
  <si>
    <t>224 231 178.32</t>
  </si>
  <si>
    <t>11 273 400.00</t>
  </si>
  <si>
    <t>9 394 500.00</t>
  </si>
  <si>
    <t>1 878 900.00</t>
  </si>
  <si>
    <t>460 626 420.00</t>
  </si>
  <si>
    <t>383 855 350.00</t>
  </si>
  <si>
    <t>76 771 070.00</t>
  </si>
  <si>
    <t>21 734 400.00</t>
  </si>
  <si>
    <t>18 112 000.00</t>
  </si>
  <si>
    <t>3 622 400.00</t>
  </si>
  <si>
    <t>38 678 545.20</t>
  </si>
  <si>
    <t>32 232 121.00</t>
  </si>
  <si>
    <t>6 446 424.20</t>
  </si>
  <si>
    <t>264 291 218.88</t>
  </si>
  <si>
    <t>220 242 682.40</t>
  </si>
  <si>
    <t>44 048 536.48</t>
  </si>
  <si>
    <t>297 600.00</t>
  </si>
  <si>
    <t>258 912.00</t>
  </si>
  <si>
    <t>38 688.00</t>
  </si>
  <si>
    <t>20 394 144.00</t>
  </si>
  <si>
    <t>16 995 120.00</t>
  </si>
  <si>
    <t>3 399 024.00</t>
  </si>
  <si>
    <t>6 854 400.00</t>
  </si>
  <si>
    <t>5 712 000.00</t>
  </si>
  <si>
    <t>1 142 400.00</t>
  </si>
  <si>
    <t>387 564.63</t>
  </si>
  <si>
    <t>322 970.52</t>
  </si>
  <si>
    <t>64 594.11</t>
  </si>
  <si>
    <t>757 648.00</t>
  </si>
  <si>
    <t>631 373.33</t>
  </si>
  <si>
    <t>126 274.67</t>
  </si>
  <si>
    <t>297 993 768.00</t>
  </si>
  <si>
    <t>248 328 140.00</t>
  </si>
  <si>
    <t>49 665 628.00</t>
  </si>
  <si>
    <t>11 999 936.40</t>
  </si>
  <si>
    <t>9 999 947.00</t>
  </si>
  <si>
    <t>1 999 989.40</t>
  </si>
  <si>
    <t>3 182 634.00</t>
  </si>
  <si>
    <t>2 652 195.00</t>
  </si>
  <si>
    <t>530 439.00</t>
  </si>
  <si>
    <t>1 203 199.39</t>
  </si>
  <si>
    <t>1 002 666.16</t>
  </si>
  <si>
    <t>200 533.23</t>
  </si>
  <si>
    <t>361 600.00</t>
  </si>
  <si>
    <t>314 592.00</t>
  </si>
  <si>
    <t>47 008.00</t>
  </si>
  <si>
    <t>32 268 145.54</t>
  </si>
  <si>
    <t>26 890 121.28</t>
  </si>
  <si>
    <t>5 378 024.26</t>
  </si>
  <si>
    <t>470 029.44</t>
  </si>
  <si>
    <t>391 691.20</t>
  </si>
  <si>
    <t>78 338.24</t>
  </si>
  <si>
    <t>546 333.26</t>
  </si>
  <si>
    <t>475 310.26</t>
  </si>
  <si>
    <t>71 023.00</t>
  </si>
  <si>
    <t>15 126 480.00</t>
  </si>
  <si>
    <t>40 358 860.80</t>
  </si>
  <si>
    <t>33 632 384.00</t>
  </si>
  <si>
    <t>6 726 476.80</t>
  </si>
  <si>
    <t>121 313.63</t>
  </si>
  <si>
    <t>101 094.69</t>
  </si>
  <si>
    <t>20 218.94</t>
  </si>
  <si>
    <t>5 772 934.45</t>
  </si>
  <si>
    <t>4 810 778.71</t>
  </si>
  <si>
    <t>962 155.74</t>
  </si>
  <si>
    <t>31 072 800.00</t>
  </si>
  <si>
    <t>25 894 000.00</t>
  </si>
  <si>
    <t>5 178 800.00</t>
  </si>
  <si>
    <t>25 676 464.80</t>
  </si>
  <si>
    <t>21 397 054.00</t>
  </si>
  <si>
    <t>4 279 410.80</t>
  </si>
  <si>
    <t>7 324 004.15</t>
  </si>
  <si>
    <t>6 103 336.79</t>
  </si>
  <si>
    <t>1 220 667.36</t>
  </si>
  <si>
    <t>22 947 175.36</t>
  </si>
  <si>
    <t>19 122 646.13</t>
  </si>
  <si>
    <t>3 824 529.23</t>
  </si>
  <si>
    <t>11 238 132.10</t>
  </si>
  <si>
    <t>9 365 110.08</t>
  </si>
  <si>
    <t>1 873 022.02</t>
  </si>
  <si>
    <t>1 457 284.30</t>
  </si>
  <si>
    <t>1 214 403.58</t>
  </si>
  <si>
    <t>242 880.72</t>
  </si>
  <si>
    <t>164 814 039.79</t>
  </si>
  <si>
    <t>137 345 033.16</t>
  </si>
  <si>
    <t>27 469 006.63</t>
  </si>
  <si>
    <t>39 405 186.00</t>
  </si>
  <si>
    <t>32 837 655.00</t>
  </si>
  <si>
    <t>6 567 531.00</t>
  </si>
  <si>
    <t>11 691 133.45</t>
  </si>
  <si>
    <t>2 732 916.60</t>
  </si>
  <si>
    <t>2 277 430.50</t>
  </si>
  <si>
    <t>455 486.10</t>
  </si>
  <si>
    <t>9 678 974.18</t>
  </si>
  <si>
    <t>8 065 811.82</t>
  </si>
  <si>
    <t>1 613 162.36</t>
  </si>
  <si>
    <t>97 704 469.33</t>
  </si>
  <si>
    <t>81 420 391.11</t>
  </si>
  <si>
    <t>16 284 078.22</t>
  </si>
  <si>
    <t>2 604 257.60</t>
  </si>
  <si>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</si>
  <si>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</si>
  <si>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</si>
  <si>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</si>
  <si>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</si>
  <si>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</si>
  <si>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</si>
  <si>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</si>
  <si>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</si>
  <si>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</si>
  <si>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</si>
  <si>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</si>
  <si>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</si>
  <si>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</si>
  <si>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</si>
  <si>
    <t>240 000.00</t>
  </si>
  <si>
    <t>208 800.00</t>
  </si>
  <si>
    <t>31 200.00</t>
  </si>
  <si>
    <t>319 634.64</t>
  </si>
  <si>
    <t>266 362.20</t>
  </si>
  <si>
    <t>53 272.44</t>
  </si>
  <si>
    <t>415 000.00</t>
  </si>
  <si>
    <t>981 278 700.00</t>
  </si>
  <si>
    <t>817 732 250.00</t>
  </si>
  <si>
    <t>163 546 450.00</t>
  </si>
  <si>
    <t>20 553 579.17</t>
  </si>
  <si>
    <t>17 127 982.64</t>
  </si>
  <si>
    <t>3 425 596.53</t>
  </si>
  <si>
    <t>5 976 000.00</t>
  </si>
  <si>
    <t>4 980 000.00</t>
  </si>
  <si>
    <t>996 000.00</t>
  </si>
  <si>
    <t>11 834 544.00</t>
  </si>
  <si>
    <t>9 862 120.00</t>
  </si>
  <si>
    <t>1 972 424.00</t>
  </si>
  <si>
    <t>31 248 694.75</t>
  </si>
  <si>
    <t>26 040 578.96</t>
  </si>
  <si>
    <t>5 208 115.79</t>
  </si>
  <si>
    <t>55 179 932.72</t>
  </si>
  <si>
    <t>45 983 277.27</t>
  </si>
  <si>
    <t>9 196 655.45</t>
  </si>
  <si>
    <t>35 964 864.00</t>
  </si>
  <si>
    <t>29 970 720.00</t>
  </si>
  <si>
    <t>5 994 144.00</t>
  </si>
  <si>
    <t>11 272 663.68</t>
  </si>
  <si>
    <t>209 363 580.00</t>
  </si>
  <si>
    <t>174 469 650.00</t>
  </si>
  <si>
    <t>34 893 930.00</t>
  </si>
  <si>
    <t>1 499 994.00</t>
  </si>
  <si>
    <t>3 526 548.00</t>
  </si>
  <si>
    <t>2 938 790.00</t>
  </si>
  <si>
    <t>587 758.00</t>
  </si>
  <si>
    <t>876 120.00</t>
  </si>
  <si>
    <t>730 100.00</t>
  </si>
  <si>
    <t>146 020.00</t>
  </si>
  <si>
    <t>14 183 967.14</t>
  </si>
  <si>
    <t>11 819 972.62</t>
  </si>
  <si>
    <t>2 363 994.52</t>
  </si>
  <si>
    <t>1 155 339.07</t>
  </si>
  <si>
    <t>962 782.56</t>
  </si>
  <si>
    <t>192 556.51</t>
  </si>
  <si>
    <t>5 440 440.00</t>
  </si>
  <si>
    <t>4 533 700.00</t>
  </si>
  <si>
    <t>906 740.00</t>
  </si>
  <si>
    <t>2 703 360 437.35</t>
  </si>
  <si>
    <t>2 252 800 364.46</t>
  </si>
  <si>
    <t>450 560 072.89</t>
  </si>
  <si>
    <t>36 269 115.10</t>
  </si>
  <si>
    <t>30 224 262.58</t>
  </si>
  <si>
    <t>6 044 852.52</t>
  </si>
  <si>
    <t>713 839.31</t>
  </si>
  <si>
    <t>594 866.09</t>
  </si>
  <si>
    <t>118 973.22</t>
  </si>
  <si>
    <t>1 257 950 483.78</t>
  </si>
  <si>
    <t>1 048 292 069.82</t>
  </si>
  <si>
    <t>209 658 413.96</t>
  </si>
  <si>
    <t>1 776 346.20</t>
  </si>
  <si>
    <t>1 480 288.50</t>
  </si>
  <si>
    <t>296 057.70</t>
  </si>
  <si>
    <t>3 652 000.00</t>
  </si>
  <si>
    <t>3 177 240.00</t>
  </si>
  <si>
    <t>474 760.00</t>
  </si>
  <si>
    <t>280 882.80</t>
  </si>
  <si>
    <t>234 069.00</t>
  </si>
  <si>
    <t>46 813.80</t>
  </si>
  <si>
    <t>13 762 417.92</t>
  </si>
  <si>
    <t>374 422 158.17</t>
  </si>
  <si>
    <t>312 018 465.14</t>
  </si>
  <si>
    <t>62 403 693.03</t>
  </si>
  <si>
    <t>13 731 060.00</t>
  </si>
  <si>
    <t>11 442 550.00</t>
  </si>
  <si>
    <t>2 288 510.00</t>
  </si>
  <si>
    <t>241 920 000.00</t>
  </si>
  <si>
    <t>201 600 000.00</t>
  </si>
  <si>
    <t>40 320 000.00</t>
  </si>
  <si>
    <t>18 846 334.00</t>
  </si>
  <si>
    <t>214 415.00</t>
  </si>
  <si>
    <t>8 145 642.00</t>
  </si>
  <si>
    <t>6 788 035.00</t>
  </si>
  <si>
    <t>1 357 607.00</t>
  </si>
  <si>
    <t>2 493 451.08</t>
  </si>
  <si>
    <t>2 077 875.90</t>
  </si>
  <si>
    <t>415 575.18</t>
  </si>
  <si>
    <t>301 860 364.69</t>
  </si>
  <si>
    <t>251 550 303.91</t>
  </si>
  <si>
    <t>50 310 060.78</t>
  </si>
  <si>
    <t>39 764 338.76</t>
  </si>
  <si>
    <t>16 800 000.00</t>
  </si>
  <si>
    <t>14 000 000.00</t>
  </si>
  <si>
    <t>2 800 000.00</t>
  </si>
  <si>
    <t>4 729 078.48</t>
  </si>
  <si>
    <t>3 940 898.73</t>
  </si>
  <si>
    <t>788 179.75</t>
  </si>
  <si>
    <t>1 064 377.18</t>
  </si>
  <si>
    <t>886 980.98</t>
  </si>
  <si>
    <t>177 396.20</t>
  </si>
  <si>
    <t>40 772 000.81</t>
  </si>
  <si>
    <t>33 976 667.34</t>
  </si>
  <si>
    <t>6 795 333.47</t>
  </si>
  <si>
    <t>1 182 062.25</t>
  </si>
  <si>
    <t>327 986.78</t>
  </si>
  <si>
    <t>273 322.28</t>
  </si>
  <si>
    <t>54 664.50</t>
  </si>
  <si>
    <t>1 850 332.90</t>
  </si>
  <si>
    <t>1 541 944.08</t>
  </si>
  <si>
    <t>308 388.82</t>
  </si>
  <si>
    <t>239 271 746.03</t>
  </si>
  <si>
    <t>199 393 121.69</t>
  </si>
  <si>
    <t>39 878 624.34</t>
  </si>
  <si>
    <t>7 860 691.20</t>
  </si>
  <si>
    <t>6 550 576.00</t>
  </si>
  <si>
    <t>1 310 115.20</t>
  </si>
  <si>
    <t>51 200 100.00</t>
  </si>
  <si>
    <t>42 666 750.00</t>
  </si>
  <si>
    <t>8 533 350.00</t>
  </si>
  <si>
    <t>41 455 324.36</t>
  </si>
  <si>
    <t>34 546 103.63</t>
  </si>
  <si>
    <t>6 909 220.73</t>
  </si>
  <si>
    <t>185 675 852.56</t>
  </si>
  <si>
    <t>154 729 877.13</t>
  </si>
  <si>
    <t>30 945 975.43</t>
  </si>
  <si>
    <t>1 008 792.00</t>
  </si>
  <si>
    <t>840 660.00</t>
  </si>
  <si>
    <t>168 132.00</t>
  </si>
  <si>
    <t>39 600 000.00</t>
  </si>
  <si>
    <t>33 000 000.00</t>
  </si>
  <si>
    <t>6 600 000.00</t>
  </si>
  <si>
    <t>3 588 600 000.00</t>
  </si>
  <si>
    <t>2 990 500 000.00</t>
  </si>
  <si>
    <t>598 100 000.00</t>
  </si>
  <si>
    <t>166 765 967.82</t>
  </si>
  <si>
    <t>138 971 639.85</t>
  </si>
  <si>
    <t>27 794 327.97</t>
  </si>
  <si>
    <t>2 542 047.18</t>
  </si>
  <si>
    <t>528 510 672.99</t>
  </si>
  <si>
    <t>22 740 000.00</t>
  </si>
  <si>
    <t>18 950 000.00</t>
  </si>
  <si>
    <t>3 790 000.00</t>
  </si>
  <si>
    <t>1 721 635.00</t>
  </si>
  <si>
    <t>1 434 695.83</t>
  </si>
  <si>
    <t>286 939.17</t>
  </si>
  <si>
    <t>97 719 048.13</t>
  </si>
  <si>
    <t>81 432 540.11</t>
  </si>
  <si>
    <t>16 286 508.02</t>
  </si>
  <si>
    <t>211 152.00</t>
  </si>
  <si>
    <t>175 960.00</t>
  </si>
  <si>
    <t>35 192.00</t>
  </si>
  <si>
    <t>853 114 680.00</t>
  </si>
  <si>
    <t>710 928 900.00</t>
  </si>
  <si>
    <t>142 185 780.00</t>
  </si>
  <si>
    <t>508 508 340.00</t>
  </si>
  <si>
    <t>423 756 950.00</t>
  </si>
  <si>
    <t>84 751 390.00</t>
  </si>
  <si>
    <t>15 301 238.40</t>
  </si>
  <si>
    <t>12 751 032.00</t>
  </si>
  <si>
    <t>2 550 206.40</t>
  </si>
  <si>
    <t>3 222 328.00</t>
  </si>
  <si>
    <t>312 759.30</t>
  </si>
  <si>
    <t>10 608 546.00</t>
  </si>
  <si>
    <t>8 840 455.00</t>
  </si>
  <si>
    <t>1 768 091.00</t>
  </si>
  <si>
    <t>495 588.12</t>
  </si>
  <si>
    <t>412 990.10</t>
  </si>
  <si>
    <t>82 598.02</t>
  </si>
  <si>
    <t>26 380 154.40</t>
  </si>
  <si>
    <t>21 983 462.00</t>
  </si>
  <si>
    <t>4 396 692.40</t>
  </si>
  <si>
    <t>215 999 971.20</t>
  </si>
  <si>
    <t>179 999 976.00</t>
  </si>
  <si>
    <t>35 999 995.20</t>
  </si>
  <si>
    <t>4 761 548.04</t>
  </si>
  <si>
    <t>3 967 956.70</t>
  </si>
  <si>
    <t>793 591.34</t>
  </si>
  <si>
    <t>35 633 151.06</t>
  </si>
  <si>
    <t>7 126 630.21</t>
  </si>
  <si>
    <t>734 486.90</t>
  </si>
  <si>
    <t>15 497 332.09</t>
  </si>
  <si>
    <t>12 914 443.41</t>
  </si>
  <si>
    <t>2 582 888.68</t>
  </si>
  <si>
    <t>12 146 402.35</t>
  </si>
  <si>
    <t>10 122 001.96</t>
  </si>
  <si>
    <t>2 024 400.39</t>
  </si>
  <si>
    <t>4 468.01</t>
  </si>
  <si>
    <t>3 723.34</t>
  </si>
  <si>
    <t>176 830 080.00</t>
  </si>
  <si>
    <t>147 358 400.00</t>
  </si>
  <si>
    <t>29 471 680.00</t>
  </si>
  <si>
    <t>302 858 322.45</t>
  </si>
  <si>
    <t>252 381 935.37</t>
  </si>
  <si>
    <t>50 476 387.08</t>
  </si>
  <si>
    <t>2 000 000 000.00</t>
  </si>
  <si>
    <t>324 463.01</t>
  </si>
  <si>
    <t>270 385.84</t>
  </si>
  <si>
    <t>54 077.17</t>
  </si>
  <si>
    <t>490 000.00</t>
  </si>
  <si>
    <t>408 333.33</t>
  </si>
  <si>
    <t>81 666.67</t>
  </si>
  <si>
    <t>4 581 215.60</t>
  </si>
  <si>
    <t>3 817 679.67</t>
  </si>
  <si>
    <t>763 535.93</t>
  </si>
  <si>
    <t>417 448 585.34</t>
  </si>
  <si>
    <t>347 873 821.12</t>
  </si>
  <si>
    <t>69 574 764.22</t>
  </si>
  <si>
    <t>652 500.00</t>
  </si>
  <si>
    <t>567 675.00</t>
  </si>
  <si>
    <t>84 825.00</t>
  </si>
  <si>
    <t>23 495 075.00</t>
  </si>
  <si>
    <t>2 633 309.04</t>
  </si>
  <si>
    <t>2 194 424.20</t>
  </si>
  <si>
    <t>438 884.84</t>
  </si>
  <si>
    <t>518 883 850.95</t>
  </si>
  <si>
    <t>432 403 209.12</t>
  </si>
  <si>
    <t>86 480 641.83</t>
  </si>
  <si>
    <t>2 925 450.00</t>
  </si>
  <si>
    <t>2 437 875.00</t>
  </si>
  <si>
    <t>487 575.00</t>
  </si>
  <si>
    <t>35 806.94</t>
  </si>
  <si>
    <t>29 839.12</t>
  </si>
  <si>
    <t>5 967.82</t>
  </si>
  <si>
    <t>625 552 753.44</t>
  </si>
  <si>
    <t>521 293 961.20</t>
  </si>
  <si>
    <t>104 258 792.24</t>
  </si>
  <si>
    <t>1 407 828.00</t>
  </si>
  <si>
    <t>1 173 190.00</t>
  </si>
  <si>
    <t>234 638.00</t>
  </si>
  <si>
    <t>17 485 653.76</t>
  </si>
  <si>
    <t>14 571 378.13</t>
  </si>
  <si>
    <t>2 914 275.63</t>
  </si>
  <si>
    <t>969 633.52</t>
  </si>
  <si>
    <t>635 195.00</t>
  </si>
  <si>
    <t>34 147 200.00</t>
  </si>
  <si>
    <t>28 456 000.00</t>
  </si>
  <si>
    <t>5 691 200.00</t>
  </si>
  <si>
    <t>21 090 930.00</t>
  </si>
  <si>
    <t>58 447 943.94</t>
  </si>
  <si>
    <t>48 706 619.95</t>
  </si>
  <si>
    <t>9 741 323.99</t>
  </si>
  <si>
    <t>1 435 939.48</t>
  </si>
  <si>
    <t>1 196 616.23</t>
  </si>
  <si>
    <t>239 323.25</t>
  </si>
  <si>
    <t>3 598 203.65</t>
  </si>
  <si>
    <t>2 998 503.04</t>
  </si>
  <si>
    <t>599 700.61</t>
  </si>
  <si>
    <t>3 140 722.80</t>
  </si>
  <si>
    <t>2 617 269.00</t>
  </si>
  <si>
    <t>523 453.80</t>
  </si>
  <si>
    <t>2 058 960.00</t>
  </si>
  <si>
    <t>1 715 800.00</t>
  </si>
  <si>
    <t>343 160.00</t>
  </si>
  <si>
    <t>7 175 760.00</t>
  </si>
  <si>
    <t>5 979 800.00</t>
  </si>
  <si>
    <t>1 195 960.00</t>
  </si>
  <si>
    <t>6 192 509.76</t>
  </si>
  <si>
    <t>5 160 424.80</t>
  </si>
  <si>
    <t>1 032 084.96</t>
  </si>
  <si>
    <t>5 611 377.92</t>
  </si>
  <si>
    <t>4 676 148.27</t>
  </si>
  <si>
    <t>935 229.65</t>
  </si>
  <si>
    <t>418 965 520.32</t>
  </si>
  <si>
    <t>349 137 933.60</t>
  </si>
  <si>
    <t>69 827 586.72</t>
  </si>
  <si>
    <t>10 042 740.77</t>
  </si>
  <si>
    <t>8 368 950.64</t>
  </si>
  <si>
    <t>1 673 790.13</t>
  </si>
  <si>
    <t>177 531 261.48</t>
  </si>
  <si>
    <t>147 942 717.90</t>
  </si>
  <si>
    <t>29 588 543.58</t>
  </si>
  <si>
    <t>2 277 561.64</t>
  </si>
  <si>
    <t>1 897 968.03</t>
  </si>
  <si>
    <t>379 593.61</t>
  </si>
  <si>
    <t>29 486 471.21</t>
  </si>
  <si>
    <t>24 572 059.34</t>
  </si>
  <si>
    <t>4 914 411.87</t>
  </si>
  <si>
    <t>21 153 097.37</t>
  </si>
  <si>
    <t>17 627 581.14</t>
  </si>
  <si>
    <t>3 525 516.23</t>
  </si>
  <si>
    <t>6 006 468.00</t>
  </si>
  <si>
    <t>5 005 390.00</t>
  </si>
  <si>
    <t>1 001 078.00</t>
  </si>
  <si>
    <t>1 171 372.91</t>
  </si>
  <si>
    <t>976 144.09</t>
  </si>
  <si>
    <t>195 228.82</t>
  </si>
  <si>
    <t>3 035 104.80</t>
  </si>
  <si>
    <t>2 529 254.00</t>
  </si>
  <si>
    <t>505 850.80</t>
  </si>
  <si>
    <t>7 725 643.20</t>
  </si>
  <si>
    <t>6 438 036.00</t>
  </si>
  <si>
    <t>1 287 607.20</t>
  </si>
  <si>
    <t>98 956.80</t>
  </si>
  <si>
    <t>82 464.00</t>
  </si>
  <si>
    <t>16 492.80</t>
  </si>
  <si>
    <t>1 378 217.76</t>
  </si>
  <si>
    <t>1 148 514.80</t>
  </si>
  <si>
    <t>229 702.96</t>
  </si>
  <si>
    <t>79 898 822.56</t>
  </si>
  <si>
    <t>66 582 352.13</t>
  </si>
  <si>
    <t>13 316 470.43</t>
  </si>
  <si>
    <t>2 611 408.80</t>
  </si>
  <si>
    <t>2 176 174.00</t>
  </si>
  <si>
    <t>435 234.80</t>
  </si>
  <si>
    <t>6 952 939.99</t>
  </si>
  <si>
    <t>5 794 116.66</t>
  </si>
  <si>
    <t>1 158 823.33</t>
  </si>
  <si>
    <t>60 687.60</t>
  </si>
  <si>
    <t>50 573.00</t>
  </si>
  <si>
    <t>10 114.60</t>
  </si>
  <si>
    <t>13 814 760.00</t>
  </si>
  <si>
    <t>11 512 300.00</t>
  </si>
  <si>
    <t>2 302 460.00</t>
  </si>
  <si>
    <t>19 992 098.97</t>
  </si>
  <si>
    <t>16 660 082.48</t>
  </si>
  <si>
    <t>3 332 016.49</t>
  </si>
  <si>
    <t>4 482 938.90</t>
  </si>
  <si>
    <t>3 735 782.42</t>
  </si>
  <si>
    <t>747 156.48</t>
  </si>
  <si>
    <t>173 839 866.00</t>
  </si>
  <si>
    <t>144 866 555.00</t>
  </si>
  <si>
    <t>28 973 311.00</t>
  </si>
  <si>
    <t>13 522 046.05</t>
  </si>
  <si>
    <t>11 268 371.71</t>
  </si>
  <si>
    <t>2 253 674.34</t>
  </si>
  <si>
    <t>205 824 374.40</t>
  </si>
  <si>
    <t>171 520 312.00</t>
  </si>
  <si>
    <t>34 304 062.40</t>
  </si>
  <si>
    <t>159 411.28</t>
  </si>
  <si>
    <t>132 842.73</t>
  </si>
  <si>
    <t>26 568.55</t>
  </si>
  <si>
    <t>85 200 145.20</t>
  </si>
  <si>
    <t>71 000 121.00</t>
  </si>
  <si>
    <t>14 200 024.20</t>
  </si>
  <si>
    <t>11 482 145.94</t>
  </si>
  <si>
    <t>9 568 454.95</t>
  </si>
  <si>
    <t>1 913 690.99</t>
  </si>
  <si>
    <t>122 056 741.56</t>
  </si>
  <si>
    <t>101 713 951.30</t>
  </si>
  <si>
    <t>20 342 790.26</t>
  </si>
  <si>
    <t>34 161 120.00</t>
  </si>
  <si>
    <t>28 467 600.00</t>
  </si>
  <si>
    <t>5 693 520.00</t>
  </si>
  <si>
    <t>895 907.95</t>
  </si>
  <si>
    <t>746 589.96</t>
  </si>
  <si>
    <t>149 317.99</t>
  </si>
  <si>
    <t>445 002.00</t>
  </si>
  <si>
    <t>430 835.00</t>
  </si>
  <si>
    <t>14 167.00</t>
  </si>
  <si>
    <t>19 936 828.00</t>
  </si>
  <si>
    <t>16 614 023.33</t>
  </si>
  <si>
    <t>3 322 804.67</t>
  </si>
  <si>
    <t>54 421.20</t>
  </si>
  <si>
    <t>45 351.00</t>
  </si>
  <si>
    <t>9 070.20</t>
  </si>
  <si>
    <t>17 982 126.00</t>
  </si>
  <si>
    <t>14 985 105.00</t>
  </si>
  <si>
    <t>2 997 021.00</t>
  </si>
  <si>
    <t>192 894.63</t>
  </si>
  <si>
    <t>160 745.52</t>
  </si>
  <si>
    <t>32 149.11</t>
  </si>
  <si>
    <t>27 904.33</t>
  </si>
  <si>
    <t>8 624 239.01</t>
  </si>
  <si>
    <t>7 186 865.84</t>
  </si>
  <si>
    <t>1 437 373.17</t>
  </si>
  <si>
    <t>65 909 928.32</t>
  </si>
  <si>
    <t>54 924 940.27</t>
  </si>
  <si>
    <t>10 984 988.05</t>
  </si>
  <si>
    <t>140 267.52</t>
  </si>
  <si>
    <t>116 889.60</t>
  </si>
  <si>
    <t>23 377.92</t>
  </si>
  <si>
    <t>656 406.00</t>
  </si>
  <si>
    <t>547 005.00</t>
  </si>
  <si>
    <t>109 401.00</t>
  </si>
  <si>
    <t>3 832 154.70</t>
  </si>
  <si>
    <t>3 193 462.25</t>
  </si>
  <si>
    <t>638 692.45</t>
  </si>
  <si>
    <t>1 061 375.63</t>
  </si>
  <si>
    <t>884 479.69</t>
  </si>
  <si>
    <t>176 895.94</t>
  </si>
  <si>
    <t>41 025 133.88</t>
  </si>
  <si>
    <t>155 360.00</t>
  </si>
  <si>
    <t>129 466.67</t>
  </si>
  <si>
    <t>25 893.33</t>
  </si>
  <si>
    <t>12 512 086.27</t>
  </si>
  <si>
    <t>10 426 738.56</t>
  </si>
  <si>
    <t>2 085 347.71</t>
  </si>
  <si>
    <t>172 629.51</t>
  </si>
  <si>
    <t>143 857.92</t>
  </si>
  <si>
    <t>28 771.59</t>
  </si>
  <si>
    <t>13 065 835.94</t>
  </si>
  <si>
    <t>10 888 196.62</t>
  </si>
  <si>
    <t>2 177 639.32</t>
  </si>
  <si>
    <t>16 521 300.00</t>
  </si>
  <si>
    <t>1 719 210.24</t>
  </si>
  <si>
    <t>1 432 675.20</t>
  </si>
  <si>
    <t>286 535.04</t>
  </si>
  <si>
    <t>161 892 688.80</t>
  </si>
  <si>
    <t>134 910 574.00</t>
  </si>
  <si>
    <t>26 982 114.80</t>
  </si>
  <si>
    <t>38 427 348.00</t>
  </si>
  <si>
    <t>32 022 790.00</t>
  </si>
  <si>
    <t>6 404 558.00</t>
  </si>
  <si>
    <t>4 160 646.00</t>
  </si>
  <si>
    <t>3 467 205.00</t>
  </si>
  <si>
    <t>693 441.00</t>
  </si>
  <si>
    <t>1 194 229.51</t>
  </si>
  <si>
    <t>13 594 440.00</t>
  </si>
  <si>
    <t>11 328 700.00</t>
  </si>
  <si>
    <t>2 265 740.00</t>
  </si>
  <si>
    <t>78 930 824.87</t>
  </si>
  <si>
    <t>65 775 687.39</t>
  </si>
  <si>
    <t>13 155 137.48</t>
  </si>
  <si>
    <t>2 687 465.48</t>
  </si>
  <si>
    <t>2 239 554.57</t>
  </si>
  <si>
    <t>447 910.91</t>
  </si>
  <si>
    <t>5 289 765.06</t>
  </si>
  <si>
    <t>2 041 806.42</t>
  </si>
  <si>
    <t>1 701 505.35</t>
  </si>
  <si>
    <t>340 301.07</t>
  </si>
  <si>
    <t>13 686 394.80</t>
  </si>
  <si>
    <t>11 405 329.00</t>
  </si>
  <si>
    <t>2 281 065.80</t>
  </si>
  <si>
    <t>158 375 767.98</t>
  </si>
  <si>
    <t>131 979 806.65</t>
  </si>
  <si>
    <t>26 395 961.33</t>
  </si>
  <si>
    <t>140 000.00</t>
  </si>
  <si>
    <t>121 800.00</t>
  </si>
  <si>
    <t>18 200.00</t>
  </si>
  <si>
    <t>48 762 000.00</t>
  </si>
  <si>
    <t>40 635 000.00</t>
  </si>
  <si>
    <t>8 127 000.00</t>
  </si>
  <si>
    <t>2 693 460.00</t>
  </si>
  <si>
    <t>2 244 550.00</t>
  </si>
  <si>
    <t>448 910.00</t>
  </si>
  <si>
    <t>16 581 823.61</t>
  </si>
  <si>
    <t>13 818 186.34</t>
  </si>
  <si>
    <t>2 763 637.27</t>
  </si>
  <si>
    <t>11 324 172.22</t>
  </si>
  <si>
    <t>9 436 810.18</t>
  </si>
  <si>
    <t>1 887 362.04</t>
  </si>
  <si>
    <t>9 556 608.61</t>
  </si>
  <si>
    <t>7 963 840.51</t>
  </si>
  <si>
    <t>1 592 768.10</t>
  </si>
  <si>
    <t>987 161 465.26</t>
  </si>
  <si>
    <t>822 634 554.38</t>
  </si>
  <si>
    <t>164 526 910.88</t>
  </si>
  <si>
    <t>55 995 876.00</t>
  </si>
  <si>
    <t>46 663 230.00</t>
  </si>
  <si>
    <t>9 332 646.00</t>
  </si>
  <si>
    <t>56 234 816.40</t>
  </si>
  <si>
    <t>46 862 347.00</t>
  </si>
  <si>
    <t>9 372 469.40</t>
  </si>
  <si>
    <t>16 326 436.63</t>
  </si>
  <si>
    <t>13 605 363.86</t>
  </si>
  <si>
    <t>2 721 072.77</t>
  </si>
  <si>
    <t>322 799.76</t>
  </si>
  <si>
    <t>268 999.80</t>
  </si>
  <si>
    <t>53 799.96</t>
  </si>
  <si>
    <t>43 307 510.40</t>
  </si>
  <si>
    <t>36 089 592.00</t>
  </si>
  <si>
    <t>7 217 918.40</t>
  </si>
  <si>
    <t>31 074 286.26</t>
  </si>
  <si>
    <t>25 895 238.55</t>
  </si>
  <si>
    <t>5 179 047.71</t>
  </si>
  <si>
    <t>14 147.90</t>
  </si>
  <si>
    <t>11 789.92</t>
  </si>
  <si>
    <t>2 357.98</t>
  </si>
  <si>
    <t>4 734 974.33</t>
  </si>
  <si>
    <t>17 999 100.00</t>
  </si>
  <si>
    <t>14 999 250.00</t>
  </si>
  <si>
    <t>2 999 850.00</t>
  </si>
  <si>
    <t>94 515 036.62</t>
  </si>
  <si>
    <t>78 762 530.52</t>
  </si>
  <si>
    <t>15 752 506.10</t>
  </si>
  <si>
    <t>6 346 800.00</t>
  </si>
  <si>
    <t>5 289 000.00</t>
  </si>
  <si>
    <t>1 057 800.00</t>
  </si>
  <si>
    <t>10 964 921.72</t>
  </si>
  <si>
    <t>9 137 434.77</t>
  </si>
  <si>
    <t>1 827 486.95</t>
  </si>
  <si>
    <t>13 182 693.60</t>
  </si>
  <si>
    <t>10 985 578.00</t>
  </si>
  <si>
    <t>2 197 115.60</t>
  </si>
  <si>
    <t>3 911 400.00</t>
  </si>
  <si>
    <t>3 259 500.00</t>
  </si>
  <si>
    <t>651 900.00</t>
  </si>
  <si>
    <t>8 431 253.00</t>
  </si>
  <si>
    <t>701 951 860.80</t>
  </si>
  <si>
    <t>584 959 884.00</t>
  </si>
  <si>
    <t>116 991 976.80</t>
  </si>
  <si>
    <t>5 065 314.38</t>
  </si>
  <si>
    <t>4 221 095.32</t>
  </si>
  <si>
    <t>844 219.06</t>
  </si>
  <si>
    <t>4 944 600.00</t>
  </si>
  <si>
    <t>4 120 500.00</t>
  </si>
  <si>
    <t>824 100.00</t>
  </si>
  <si>
    <t>833 000.00</t>
  </si>
  <si>
    <t>724 710.00</t>
  </si>
  <si>
    <t>108 290.00</t>
  </si>
  <si>
    <t>93 512.45</t>
  </si>
  <si>
    <t>77 927.04</t>
  </si>
  <si>
    <t>15 585.41</t>
  </si>
  <si>
    <t>1 685 376.00</t>
  </si>
  <si>
    <t>1 404 480.00</t>
  </si>
  <si>
    <t>280 896.00</t>
  </si>
  <si>
    <t>662 680 969.20</t>
  </si>
  <si>
    <t>552 234 141.00</t>
  </si>
  <si>
    <t>110 446 828.20</t>
  </si>
  <si>
    <t>97 697 383.33</t>
  </si>
  <si>
    <t>81 414 486.11</t>
  </si>
  <si>
    <t>16 282 897.22</t>
  </si>
  <si>
    <t>9 981 972.00</t>
  </si>
  <si>
    <t>8 318 310.00</t>
  </si>
  <si>
    <t>1 663 662.00</t>
  </si>
  <si>
    <t>183 076.99</t>
  </si>
  <si>
    <t>152 564.16</t>
  </si>
  <si>
    <t>30 512.83</t>
  </si>
  <si>
    <t>188 755 279.39</t>
  </si>
  <si>
    <t>157 296 066.16</t>
  </si>
  <si>
    <t>31 459 213.23</t>
  </si>
  <si>
    <t>136 235.00</t>
  </si>
  <si>
    <t>118 524.00</t>
  </si>
  <si>
    <t>17 711.00</t>
  </si>
  <si>
    <t>5 958 406.85</t>
  </si>
  <si>
    <t>4 965 339.04</t>
  </si>
  <si>
    <t>993 067.81</t>
  </si>
  <si>
    <t>31 635 436.80</t>
  </si>
  <si>
    <t>26 362 864.00</t>
  </si>
  <si>
    <t>5 272 572.80</t>
  </si>
  <si>
    <t>497 105.84</t>
  </si>
  <si>
    <t>432 481.84</t>
  </si>
  <si>
    <t>64 624.00</t>
  </si>
  <si>
    <t>97 715 088.13</t>
  </si>
  <si>
    <t>81 429 240.11</t>
  </si>
  <si>
    <t>16 285 848.02</t>
  </si>
  <si>
    <t>117 564 364.72</t>
  </si>
  <si>
    <t>97 970 303.93</t>
  </si>
  <si>
    <t>19 594 060.79</t>
  </si>
  <si>
    <t>16 000.00</t>
  </si>
  <si>
    <t>64 743.74</t>
  </si>
  <si>
    <t>53 953.12</t>
  </si>
  <si>
    <t>10 790.62</t>
  </si>
  <si>
    <t>9 369 477.74</t>
  </si>
  <si>
    <t>7 807 898.12</t>
  </si>
  <si>
    <t>1 561 579.62</t>
  </si>
  <si>
    <t>79 994 977.67</t>
  </si>
  <si>
    <t>66 662 481.39</t>
  </si>
  <si>
    <t>13 332 496.28</t>
  </si>
  <si>
    <t>35 049 349.68</t>
  </si>
  <si>
    <t>29 207 791.40</t>
  </si>
  <si>
    <t>5 841 558.28</t>
  </si>
  <si>
    <t>9 679 994.14</t>
  </si>
  <si>
    <t>7 331 251.83</t>
  </si>
  <si>
    <t>1 466 250.37</t>
  </si>
  <si>
    <t>18 825 974.00</t>
  </si>
  <si>
    <t>1 767 541.20</t>
  </si>
  <si>
    <t>1 472 951.00</t>
  </si>
  <si>
    <t>294 590.20</t>
  </si>
  <si>
    <t>158 400.00</t>
  </si>
  <si>
    <t>132 000.00</t>
  </si>
  <si>
    <t>26 400.00</t>
  </si>
  <si>
    <t>917 618.28</t>
  </si>
  <si>
    <t>764 681.90</t>
  </si>
  <si>
    <t>152 936.38</t>
  </si>
  <si>
    <t>58 970 798.02</t>
  </si>
  <si>
    <t>49 142 331.68</t>
  </si>
  <si>
    <t>9 828 466.34</t>
  </si>
  <si>
    <t>3 027 271.00</t>
  </si>
  <si>
    <t>1 497 600.00</t>
  </si>
  <si>
    <t>1 248 000.00</t>
  </si>
  <si>
    <t>249 600.00</t>
  </si>
  <si>
    <t>97 715 088.00</t>
  </si>
  <si>
    <t>81 429 240.00</t>
  </si>
  <si>
    <t>16 285 848.00</t>
  </si>
  <si>
    <t>49 165 764.00</t>
  </si>
  <si>
    <t>40 971 470.00</t>
  </si>
  <si>
    <t>8 194 294.00</t>
  </si>
  <si>
    <t>26 987 515.20</t>
  </si>
  <si>
    <t>22 489 596.00</t>
  </si>
  <si>
    <t>4 497 919.20</t>
  </si>
  <si>
    <t>1 171 374 160.56</t>
  </si>
  <si>
    <t>976 145 133.80</t>
  </si>
  <si>
    <t>195 229 026.76</t>
  </si>
  <si>
    <t>3 287 265.60</t>
  </si>
  <si>
    <t>2 739 388.00</t>
  </si>
  <si>
    <t>547 877.60</t>
  </si>
  <si>
    <t>1 765 920.00</t>
  </si>
  <si>
    <t>1 471 600.00</t>
  </si>
  <si>
    <t>294 320.00</t>
  </si>
  <si>
    <t>302 857 816.40</t>
  </si>
  <si>
    <t>252 381 513.67</t>
  </si>
  <si>
    <t>50 476 302.73</t>
  </si>
  <si>
    <t>27 022 619.96</t>
  </si>
  <si>
    <t>22 518 849.97</t>
  </si>
  <si>
    <t>4 503 769.99</t>
  </si>
  <si>
    <t>13 104 000.00</t>
  </si>
  <si>
    <t>10 920 000.00</t>
  </si>
  <si>
    <t>2 184 000.00</t>
  </si>
  <si>
    <t>85 527 720.00</t>
  </si>
  <si>
    <t>71 273 100.00</t>
  </si>
  <si>
    <t>14 254 620.00</t>
  </si>
  <si>
    <t>73 787 703.60</t>
  </si>
  <si>
    <t>61 489 753.00</t>
  </si>
  <si>
    <t>12 297 950.60</t>
  </si>
  <si>
    <t>998 874.00</t>
  </si>
  <si>
    <t>832 395.00</t>
  </si>
  <si>
    <t>166 479.00</t>
  </si>
  <si>
    <t>2 402 785.20</t>
  </si>
  <si>
    <t>2 002 321.00</t>
  </si>
  <si>
    <t>400 464.20</t>
  </si>
  <si>
    <t>7 061 690.96</t>
  </si>
  <si>
    <t>5 884 742.47</t>
  </si>
  <si>
    <t>1 176 948.49</t>
  </si>
  <si>
    <t>130 154 436.00</t>
  </si>
  <si>
    <t>108 462 030.00</t>
  </si>
  <si>
    <t>21 692 406.00</t>
  </si>
  <si>
    <t>65 577.56</t>
  </si>
  <si>
    <t>54 647.97</t>
  </si>
  <si>
    <t>10 929.59</t>
  </si>
  <si>
    <t>6 144 557.12</t>
  </si>
  <si>
    <t>5 120 464.27</t>
  </si>
  <si>
    <t>1 024 092.85</t>
  </si>
  <si>
    <t>2 970 000.00</t>
  </si>
  <si>
    <t>2 475 000.00</t>
  </si>
  <si>
    <t>495 000.00</t>
  </si>
  <si>
    <t>40 518 282.00</t>
  </si>
  <si>
    <t>33 765 235.00</t>
  </si>
  <si>
    <t>6 753 047.00</t>
  </si>
  <si>
    <t>7 402 266.58</t>
  </si>
  <si>
    <t>6 168 555.48</t>
  </si>
  <si>
    <t>1 233 711.10</t>
  </si>
  <si>
    <t>185 220 000.00</t>
  </si>
  <si>
    <t>154 350 000.00</t>
  </si>
  <si>
    <t>30 870 000.00</t>
  </si>
  <si>
    <t>39 393 810.52</t>
  </si>
  <si>
    <t>9 034 048.27</t>
  </si>
  <si>
    <t>7 528 373.56</t>
  </si>
  <si>
    <t>1 505 674.71</t>
  </si>
  <si>
    <t>545 586.26</t>
  </si>
  <si>
    <t>454 655.22</t>
  </si>
  <si>
    <t>90 931.04</t>
  </si>
  <si>
    <t>85 711 023.85</t>
  </si>
  <si>
    <t>71 425 853.21</t>
  </si>
  <si>
    <t>14 285 170.64</t>
  </si>
  <si>
    <t>101 962 524.00</t>
  </si>
  <si>
    <t>84 968 770.00</t>
  </si>
  <si>
    <t>16 993 754.00</t>
  </si>
  <si>
    <t>3 900.00</t>
  </si>
  <si>
    <t>3 250.00</t>
  </si>
  <si>
    <t>24 060 579.12</t>
  </si>
  <si>
    <t>20 050 482.60</t>
  </si>
  <si>
    <t>4 010 096.52</t>
  </si>
  <si>
    <t>8 290 132.80</t>
  </si>
  <si>
    <t>6 908 444.00</t>
  </si>
  <si>
    <t>1 381 688.80</t>
  </si>
  <si>
    <t>1 398.04</t>
  </si>
  <si>
    <t>62 448 000.00</t>
  </si>
  <si>
    <t>52 040 000.00</t>
  </si>
  <si>
    <t>10 408 000.00</t>
  </si>
  <si>
    <t>257 845 090.80</t>
  </si>
  <si>
    <t>214 870 909.00</t>
  </si>
  <si>
    <t>42 974 181.80</t>
  </si>
  <si>
    <t>17 722 650.00</t>
  </si>
  <si>
    <t>16 111 500.00</t>
  </si>
  <si>
    <t>1 611 150.00</t>
  </si>
  <si>
    <t>36 600 000.00</t>
  </si>
  <si>
    <t>30 500 000.00</t>
  </si>
  <si>
    <t>6 100 000.00</t>
  </si>
  <si>
    <t>2 172 043.08</t>
  </si>
  <si>
    <t>1 810 035.90</t>
  </si>
  <si>
    <t>362 007.18</t>
  </si>
  <si>
    <t>15 270 198.40</t>
  </si>
  <si>
    <t>12 725 165.33</t>
  </si>
  <si>
    <t>2 545 033.07</t>
  </si>
  <si>
    <t>1 955 542.15</t>
  </si>
  <si>
    <t>1 629 618.46</t>
  </si>
  <si>
    <t>325 923.69</t>
  </si>
  <si>
    <t>14 642 472.01</t>
  </si>
  <si>
    <t>12 202 060.01</t>
  </si>
  <si>
    <t>2 440 412.00</t>
  </si>
  <si>
    <t>29 981 400.00</t>
  </si>
  <si>
    <t>24 984 500.00</t>
  </si>
  <si>
    <t>4 996 900.00</t>
  </si>
  <si>
    <t>14 928 000.00</t>
  </si>
  <si>
    <t>12 440 000.00</t>
  </si>
  <si>
    <t>2 488 000.00</t>
  </si>
  <si>
    <t>2 127 882.68</t>
  </si>
  <si>
    <t>61 920 000.00</t>
  </si>
  <si>
    <t>51 600 000.00</t>
  </si>
  <si>
    <t>10 320 000.00</t>
  </si>
  <si>
    <t>485 682.24</t>
  </si>
  <si>
    <t>404 735.20</t>
  </si>
  <si>
    <t>80 947.04</t>
  </si>
  <si>
    <t>7 980 000.00</t>
  </si>
  <si>
    <t>6 650 000.00</t>
  </si>
  <si>
    <t>1 330 000.00</t>
  </si>
  <si>
    <t>32 814.84</t>
  </si>
  <si>
    <t>27 345.70</t>
  </si>
  <si>
    <t>5 469.14</t>
  </si>
  <si>
    <t>3 196 540.96</t>
  </si>
  <si>
    <t>2 663 784.13</t>
  </si>
  <si>
    <t>532 756.83</t>
  </si>
  <si>
    <t>174 276 597.60</t>
  </si>
  <si>
    <t>145 230 498.00</t>
  </si>
  <si>
    <t>29 046 099.60</t>
  </si>
  <si>
    <t>339 444.00</t>
  </si>
  <si>
    <t>282 870.00</t>
  </si>
  <si>
    <t>56 574.00</t>
  </si>
  <si>
    <t>200 000.00</t>
  </si>
  <si>
    <t>40 000.00</t>
  </si>
  <si>
    <t>5 649 600.00</t>
  </si>
  <si>
    <t>4 708 000.00</t>
  </si>
  <si>
    <t>941 600.00</t>
  </si>
  <si>
    <t>199 000.00</t>
  </si>
  <si>
    <t>165 833.33</t>
  </si>
  <si>
    <t>33 166.67</t>
  </si>
  <si>
    <t>75 370 800.00</t>
  </si>
  <si>
    <t>62 809 000.00</t>
  </si>
  <si>
    <t>12 561 800.00</t>
  </si>
  <si>
    <t>18 468 744.79</t>
  </si>
  <si>
    <t>15 390 620.66</t>
  </si>
  <si>
    <t>3 078 124.13</t>
  </si>
  <si>
    <t>1 981.60</t>
  </si>
  <si>
    <t>1 723.60</t>
  </si>
  <si>
    <t>130 900.00</t>
  </si>
  <si>
    <t>82 382.40</t>
  </si>
  <si>
    <t>68 652.00</t>
  </si>
  <si>
    <t>13 730.40</t>
  </si>
  <si>
    <t>297 902.76</t>
  </si>
  <si>
    <t>248 252.30</t>
  </si>
  <si>
    <t>49 650.46</t>
  </si>
  <si>
    <t>5 472 000.00</t>
  </si>
  <si>
    <t>4 560 000.00</t>
  </si>
  <si>
    <t>912 000.00</t>
  </si>
  <si>
    <t>25 558 451.57</t>
  </si>
  <si>
    <t>21 298 709.64</t>
  </si>
  <si>
    <t>4 259 741.93</t>
  </si>
  <si>
    <t>918 657 218.36</t>
  </si>
  <si>
    <t>765 547 681.97</t>
  </si>
  <si>
    <t>153 109 536.39</t>
  </si>
  <si>
    <t>48 502 384.97</t>
  </si>
  <si>
    <t>40 418 654.14</t>
  </si>
  <si>
    <t>8 083 730.83</t>
  </si>
  <si>
    <t>16 805 038.56</t>
  </si>
  <si>
    <t>14 004 198.80</t>
  </si>
  <si>
    <t>2 800 839.76</t>
  </si>
  <si>
    <t>2 280 000.00</t>
  </si>
  <si>
    <t>1 900 000.00</t>
  </si>
  <si>
    <t>380 000.00</t>
  </si>
  <si>
    <t>603 884 383.90</t>
  </si>
  <si>
    <t>503 236 986.58</t>
  </si>
  <si>
    <t>100 647 397.32</t>
  </si>
  <si>
    <t>10 407 948.89</t>
  </si>
  <si>
    <t>8 673 290.74</t>
  </si>
  <si>
    <t>1 734 658.15</t>
  </si>
  <si>
    <t>861 538.94</t>
  </si>
  <si>
    <t>717 949.12</t>
  </si>
  <si>
    <t>143 589.82</t>
  </si>
  <si>
    <t>354 000.00</t>
  </si>
  <si>
    <t>146 269 742.00</t>
  </si>
  <si>
    <t>121 891 451.67</t>
  </si>
  <si>
    <t>24 378 290.33</t>
  </si>
  <si>
    <t>6 655 999.68</t>
  </si>
  <si>
    <t>5 546 666.40</t>
  </si>
  <si>
    <t>1 109 333.28</t>
  </si>
  <si>
    <t>605 407.91</t>
  </si>
  <si>
    <t>504 506.59</t>
  </si>
  <si>
    <t>100 901.32</t>
  </si>
  <si>
    <t>209 576 725.20</t>
  </si>
  <si>
    <t>174 647 271.00</t>
  </si>
  <si>
    <t>34 929 454.20</t>
  </si>
  <si>
    <t>134 774 520.60</t>
  </si>
  <si>
    <t>112 312 100.50</t>
  </si>
  <si>
    <t>22 462 420.10</t>
  </si>
  <si>
    <t>30 333.31</t>
  </si>
  <si>
    <t>25 277.76</t>
  </si>
  <si>
    <t>5 055.55</t>
  </si>
  <si>
    <t>2 160 000.00</t>
  </si>
  <si>
    <t>1 800 000.00</t>
  </si>
  <si>
    <t>360 000.00</t>
  </si>
  <si>
    <t>2 351 634.07</t>
  </si>
  <si>
    <t>1 959 695.06</t>
  </si>
  <si>
    <t>391 939.01</t>
  </si>
  <si>
    <t>17 040 000.00</t>
  </si>
  <si>
    <t>14 200 000.00</t>
  </si>
  <si>
    <t>2 840 000.00</t>
  </si>
  <si>
    <t>1 649 904.12</t>
  </si>
  <si>
    <t>1 374 920.10</t>
  </si>
  <si>
    <t>274 984.02</t>
  </si>
  <si>
    <t>53 204.00</t>
  </si>
  <si>
    <t>323 135.03</t>
  </si>
  <si>
    <t>269 279.19</t>
  </si>
  <si>
    <t>53 855.84</t>
  </si>
  <si>
    <t>23 042 042.00</t>
  </si>
  <si>
    <t>694 623 010.80</t>
  </si>
  <si>
    <t>578 852 509.00</t>
  </si>
  <si>
    <t>115 770 501.80</t>
  </si>
  <si>
    <t>1 154 168.00</t>
  </si>
  <si>
    <t>961 806.67</t>
  </si>
  <si>
    <t>192 361.33</t>
  </si>
  <si>
    <t>5 047 315.78</t>
  </si>
  <si>
    <t>4 206 096.48</t>
  </si>
  <si>
    <t>841 219.30</t>
  </si>
  <si>
    <t>974 250.00</t>
  </si>
  <si>
    <t>811 875.00</t>
  </si>
  <si>
    <t>162 375.00</t>
  </si>
  <si>
    <t>290 922 988.80</t>
  </si>
  <si>
    <t>242 435 824.00</t>
  </si>
  <si>
    <t>48 487 164.80</t>
  </si>
  <si>
    <t>135 196 152.00</t>
  </si>
  <si>
    <t>112 663 460.00</t>
  </si>
  <si>
    <t>22 532 692.00</t>
  </si>
  <si>
    <t>2 268 000.00</t>
  </si>
  <si>
    <t>1 890 000.00</t>
  </si>
  <si>
    <t>378 000.00</t>
  </si>
  <si>
    <t>58 653 633.60</t>
  </si>
  <si>
    <t>48 878 028.00</t>
  </si>
  <si>
    <t>9 775 605.60</t>
  </si>
  <si>
    <t>20 000.00</t>
  </si>
  <si>
    <t>175 044.86</t>
  </si>
  <si>
    <t>145 870.72</t>
  </si>
  <si>
    <t>29 174.14</t>
  </si>
  <si>
    <t>6 946 487.64</t>
  </si>
  <si>
    <t>5 788 739.70</t>
  </si>
  <si>
    <t>1 157 747.94</t>
  </si>
  <si>
    <t>530 638 128.80</t>
  </si>
  <si>
    <t>442 198 440.67</t>
  </si>
  <si>
    <t>88 439 688.13</t>
  </si>
  <si>
    <t>11 470 533.97</t>
  </si>
  <si>
    <t>9 558 778.31</t>
  </si>
  <si>
    <t>1 911 755.66</t>
  </si>
  <si>
    <t>3 511 788.48</t>
  </si>
  <si>
    <t>2 926 490.40</t>
  </si>
  <si>
    <t>585 298.08</t>
  </si>
  <si>
    <t>19 034 977.00</t>
  </si>
  <si>
    <t>594 000.00</t>
  </si>
  <si>
    <t>99 000.00</t>
  </si>
  <si>
    <t>2 395 440.00</t>
  </si>
  <si>
    <t>1 996 200.00</t>
  </si>
  <si>
    <t>399 240.00</t>
  </si>
  <si>
    <t>234 630.00</t>
  </si>
  <si>
    <t>195 525.00</t>
  </si>
  <si>
    <t>39 105.00</t>
  </si>
  <si>
    <t>94 500.00</t>
  </si>
  <si>
    <t>78 750.00</t>
  </si>
  <si>
    <t>15 750.00</t>
  </si>
  <si>
    <t>5 480 534.00</t>
  </si>
  <si>
    <t>11 300.00</t>
  </si>
  <si>
    <t>9 831.00</t>
  </si>
  <si>
    <t>1 469.00</t>
  </si>
  <si>
    <t>478 500.00</t>
  </si>
  <si>
    <t>416 295.00</t>
  </si>
  <si>
    <t>62 205.00</t>
  </si>
  <si>
    <t>4 580 472.00</t>
  </si>
  <si>
    <t>3 817 060.00</t>
  </si>
  <si>
    <t>763 412.00</t>
  </si>
  <si>
    <t>5 459 596.80</t>
  </si>
  <si>
    <t>4 549 664.00</t>
  </si>
  <si>
    <t>909 932.80</t>
  </si>
  <si>
    <t>21 756 000.00</t>
  </si>
  <si>
    <t>18 130 000.00</t>
  </si>
  <si>
    <t>3 626 000.00</t>
  </si>
  <si>
    <t>889 600.80</t>
  </si>
  <si>
    <t>741 334.00</t>
  </si>
  <si>
    <t>148 266.80</t>
  </si>
  <si>
    <t>7 862 400.00</t>
  </si>
  <si>
    <t>6 552 000.00</t>
  </si>
  <si>
    <t>1 310 400.00</t>
  </si>
  <si>
    <t>68 894.00</t>
  </si>
  <si>
    <t>28 835 136.00</t>
  </si>
  <si>
    <t>24 029 280.00</t>
  </si>
  <si>
    <t>4 805 856.00</t>
  </si>
  <si>
    <t>3 000.00</t>
  </si>
  <si>
    <t>2 610.00</t>
  </si>
  <si>
    <t>348 081 825.60</t>
  </si>
  <si>
    <t>290 068 188.00</t>
  </si>
  <si>
    <t>58 013 637.60</t>
  </si>
  <si>
    <t>305 444.93</t>
  </si>
  <si>
    <t>265 736.93</t>
  </si>
  <si>
    <t>39 708.00</t>
  </si>
  <si>
    <t>417 348 093.93</t>
  </si>
  <si>
    <t>347 790 078.27</t>
  </si>
  <si>
    <t>69 558 015.66</t>
  </si>
  <si>
    <t>2 496 419 749.95</t>
  </si>
  <si>
    <t>2 080 349 791.62</t>
  </si>
  <si>
    <t>416 069 958.33</t>
  </si>
  <si>
    <t>33 283 377.60</t>
  </si>
  <si>
    <t>27 736 148.00</t>
  </si>
  <si>
    <t>5 547 229.60</t>
  </si>
  <si>
    <t>535 200 000.14</t>
  </si>
  <si>
    <t>446 000 000.12</t>
  </si>
  <si>
    <t>89 200 000.02</t>
  </si>
  <si>
    <t>1 939 666.63</t>
  </si>
  <si>
    <t>1 687 509.63</t>
  </si>
  <si>
    <t>252 157.00</t>
  </si>
  <si>
    <t>989 392.67</t>
  </si>
  <si>
    <t>824 493.89</t>
  </si>
  <si>
    <t>164 898.78</t>
  </si>
  <si>
    <t>63 879 000.00</t>
  </si>
  <si>
    <t>53 232 500.00</t>
  </si>
  <si>
    <t>10 646 500.00</t>
  </si>
  <si>
    <t>15 696 963.76</t>
  </si>
  <si>
    <t>13 080 803.13</t>
  </si>
  <si>
    <t>2 616 160.63</t>
  </si>
  <si>
    <t>1 936 886.78</t>
  </si>
  <si>
    <t>1 685 091.78</t>
  </si>
  <si>
    <t>251 795.00</t>
  </si>
  <si>
    <t>415 480.00</t>
  </si>
  <si>
    <t>4 296 000.00</t>
  </si>
  <si>
    <t>3 580 000.00</t>
  </si>
  <si>
    <t>716 000.00</t>
  </si>
  <si>
    <t>1 580 840.11</t>
  </si>
  <si>
    <t>1 317 366.76</t>
  </si>
  <si>
    <t>263 473.35</t>
  </si>
  <si>
    <t>11 999 740.80</t>
  </si>
  <si>
    <t>9 999 784.00</t>
  </si>
  <si>
    <t>1 999 956.80</t>
  </si>
  <si>
    <t>36 573 124.80</t>
  </si>
  <si>
    <t>30 477 604.00</t>
  </si>
  <si>
    <t>6 095 520.80</t>
  </si>
  <si>
    <t>140 116 694.80</t>
  </si>
  <si>
    <t>116 763 912.33</t>
  </si>
  <si>
    <t>23 352 782.47</t>
  </si>
  <si>
    <t>153 590.00</t>
  </si>
  <si>
    <t>127 991.67</t>
  </si>
  <si>
    <t>25 598.33</t>
  </si>
  <si>
    <t>94 908.00</t>
  </si>
  <si>
    <t>79 090.00</t>
  </si>
  <si>
    <t>15 818.00</t>
  </si>
  <si>
    <t>133 427 276.76</t>
  </si>
  <si>
    <t>111 189 397.30</t>
  </si>
  <si>
    <t>22 237 879.46</t>
  </si>
  <si>
    <t>9 202 452.00</t>
  </si>
  <si>
    <t>7 668 710.00</t>
  </si>
  <si>
    <t>1 533 742.00</t>
  </si>
  <si>
    <t>39 291 814.10</t>
  </si>
  <si>
    <t>32 743 178.42</t>
  </si>
  <si>
    <t>6 548 635.68</t>
  </si>
  <si>
    <t>1 687 509.97</t>
  </si>
  <si>
    <t>252 156.66</t>
  </si>
  <si>
    <t>85 116.00</t>
  </si>
  <si>
    <t>70 930.00</t>
  </si>
  <si>
    <t>14 186.00</t>
  </si>
  <si>
    <t>417 565 434.94</t>
  </si>
  <si>
    <t>347 971 195.78</t>
  </si>
  <si>
    <t>69 594 239.16</t>
  </si>
  <si>
    <t>30 347 560.80</t>
  </si>
  <si>
    <t>25 289 634.00</t>
  </si>
  <si>
    <t>5 057 926.80</t>
  </si>
  <si>
    <t>6 226 368.00</t>
  </si>
  <si>
    <t>5 188 640.00</t>
  </si>
  <si>
    <t>1 037 728.00</t>
  </si>
  <si>
    <t>61 891 200.00</t>
  </si>
  <si>
    <t>51 576 000.00</t>
  </si>
  <si>
    <t>10 315 200.00</t>
  </si>
  <si>
    <t>51 029 313.02</t>
  </si>
  <si>
    <t>42 524 427.52</t>
  </si>
  <si>
    <t>8 504 885.50</t>
  </si>
  <si>
    <t>6 550 834 033.42</t>
  </si>
  <si>
    <t>5 459 028 361.18</t>
  </si>
  <si>
    <t>1 091 805 672.24</t>
  </si>
  <si>
    <t>26 193 753.02</t>
  </si>
  <si>
    <t>21 828 127.52</t>
  </si>
  <si>
    <t>4 365 625.50</t>
  </si>
  <si>
    <t>21 717 379.49</t>
  </si>
  <si>
    <t>18 097 816.24</t>
  </si>
  <si>
    <t>3 619 563.25</t>
  </si>
  <si>
    <t>107 713 008.00</t>
  </si>
  <si>
    <t>89 760 840.00</t>
  </si>
  <si>
    <t>17 952 168.00</t>
  </si>
  <si>
    <t>6 277 392.00</t>
  </si>
  <si>
    <t>5 231 160.00</t>
  </si>
  <si>
    <t>1 046 232.00</t>
  </si>
  <si>
    <t>146 965 336.62</t>
  </si>
  <si>
    <t>122 471 113.85</t>
  </si>
  <si>
    <t>24 494 222.77</t>
  </si>
  <si>
    <t>111 509.32</t>
  </si>
  <si>
    <t>92 924.43</t>
  </si>
  <si>
    <t>18 584.89</t>
  </si>
  <si>
    <t>12 547 734.12</t>
  </si>
  <si>
    <t>10 456 445.10</t>
  </si>
  <si>
    <t>2 091 289.02</t>
  </si>
  <si>
    <t>6 217 379.47</t>
  </si>
  <si>
    <t>5 181 149.56</t>
  </si>
  <si>
    <t>1 036 229.91</t>
  </si>
  <si>
    <t>24 246 555.38</t>
  </si>
  <si>
    <t>20 205 462.82</t>
  </si>
  <si>
    <t>4 041 092.56</t>
  </si>
  <si>
    <t>2 746 159.72</t>
  </si>
  <si>
    <t>2 288 466.43</t>
  </si>
  <si>
    <t>457 693.29</t>
  </si>
  <si>
    <t>422 722.18</t>
  </si>
  <si>
    <t>352 268.48</t>
  </si>
  <si>
    <t>70 453.70</t>
  </si>
  <si>
    <t>371 506.46</t>
  </si>
  <si>
    <t>309 588.72</t>
  </si>
  <si>
    <t>61 917.74</t>
  </si>
  <si>
    <t>6 240 000.00</t>
  </si>
  <si>
    <t>5 200 000.00</t>
  </si>
  <si>
    <t>1 040 000.00</t>
  </si>
  <si>
    <t>216 589.82</t>
  </si>
  <si>
    <t>180 491.52</t>
  </si>
  <si>
    <t>36 098.30</t>
  </si>
  <si>
    <t>4 008 397.44</t>
  </si>
  <si>
    <t>3 340 331.20</t>
  </si>
  <si>
    <t>668 066.24</t>
  </si>
  <si>
    <t>1 110 000.00</t>
  </si>
  <si>
    <t>965 700.00</t>
  </si>
  <si>
    <t>144 300.00</t>
  </si>
  <si>
    <t>1 725 142.10</t>
  </si>
  <si>
    <t>1 437 618.42</t>
  </si>
  <si>
    <t>287 523.68</t>
  </si>
  <si>
    <t>5 000 000.00</t>
  </si>
  <si>
    <t>45 071 776.21</t>
  </si>
  <si>
    <t>37 559 813.51</t>
  </si>
  <si>
    <t>7 511 962.70</t>
  </si>
  <si>
    <t>79 762 334.16</t>
  </si>
  <si>
    <t>66 468 611.80</t>
  </si>
  <si>
    <t>13 293 722.36</t>
  </si>
  <si>
    <t>254 365 718.76</t>
  </si>
  <si>
    <t>211 971 432.30</t>
  </si>
  <si>
    <t>42 394 286.46</t>
  </si>
  <si>
    <t>16 779 130.40</t>
  </si>
  <si>
    <t>13 982 608.67</t>
  </si>
  <si>
    <t>2 796 521.73</t>
  </si>
  <si>
    <t>5 879 166.98</t>
  </si>
  <si>
    <t>4 899 305.82</t>
  </si>
  <si>
    <t>979 861.16</t>
  </si>
  <si>
    <t>405 000.00</t>
  </si>
  <si>
    <t>352 350.00</t>
  </si>
  <si>
    <t>52 650.00</t>
  </si>
  <si>
    <t>370 314.71</t>
  </si>
  <si>
    <t>308 595.59</t>
  </si>
  <si>
    <t>61 719.12</t>
  </si>
  <si>
    <t>2 029 020.00</t>
  </si>
  <si>
    <t>1 690 850.00</t>
  </si>
  <si>
    <t>338 170.00</t>
  </si>
  <si>
    <t>4 354 174.80</t>
  </si>
  <si>
    <t>3 628 479.00</t>
  </si>
  <si>
    <t>725 695.80</t>
  </si>
  <si>
    <t>1 984 656.00</t>
  </si>
  <si>
    <t>1 653 880.00</t>
  </si>
  <si>
    <t>330 776.00</t>
  </si>
  <si>
    <t>5 960.00</t>
  </si>
  <si>
    <t>5 185.00</t>
  </si>
  <si>
    <t>5 956 636.80</t>
  </si>
  <si>
    <t>4 963 864.00</t>
  </si>
  <si>
    <t>992 772.80</t>
  </si>
  <si>
    <t>276 179.60</t>
  </si>
  <si>
    <t>230 149.67</t>
  </si>
  <si>
    <t>46 029.93</t>
  </si>
  <si>
    <t>15 150 825.24</t>
  </si>
  <si>
    <t>12 625 687.70</t>
  </si>
  <si>
    <t>2 525 137.54</t>
  </si>
  <si>
    <t>563 419.90</t>
  </si>
  <si>
    <t>469 516.58</t>
  </si>
  <si>
    <t>93 903.32</t>
  </si>
  <si>
    <t>1 126 334.40</t>
  </si>
  <si>
    <t>938 612.00</t>
  </si>
  <si>
    <t>187 722.40</t>
  </si>
  <si>
    <t>958 320.00</t>
  </si>
  <si>
    <t>798 600.00</t>
  </si>
  <si>
    <t>159 720.00</t>
  </si>
  <si>
    <t>2 527 510 878.06</t>
  </si>
  <si>
    <t>2 106 259 065.05</t>
  </si>
  <si>
    <t>421 251 813.01</t>
  </si>
  <si>
    <t>47 372 006.40</t>
  </si>
  <si>
    <t>39 476 672.00</t>
  </si>
  <si>
    <t>7 895 334.40</t>
  </si>
  <si>
    <t>6 128 230.94</t>
  </si>
  <si>
    <t>3 249 361.93</t>
  </si>
  <si>
    <t>2 707 801.61</t>
  </si>
  <si>
    <t>541 560.32</t>
  </si>
  <si>
    <t>3 151 074.46</t>
  </si>
  <si>
    <t>2 625 895.38</t>
  </si>
  <si>
    <t>525 179.08</t>
  </si>
  <si>
    <t>10 847 291.69</t>
  </si>
  <si>
    <t>9 039 409.74</t>
  </si>
  <si>
    <t>1 807 881.95</t>
  </si>
  <si>
    <t>2 542 660.30</t>
  </si>
  <si>
    <t>2 118 883.58</t>
  </si>
  <si>
    <t>423 776.72</t>
  </si>
  <si>
    <t>24 271 670.96</t>
  </si>
  <si>
    <t>20 226 392.47</t>
  </si>
  <si>
    <t>4 045 278.49</t>
  </si>
  <si>
    <t>24 321 528.00</t>
  </si>
  <si>
    <t>20 267 940.00</t>
  </si>
  <si>
    <t>4 053 588.00</t>
  </si>
  <si>
    <t>1 486 948.72</t>
  </si>
  <si>
    <t>1 239 123.93</t>
  </si>
  <si>
    <t>247 824.79</t>
  </si>
  <si>
    <t>111 720.00</t>
  </si>
  <si>
    <t>93 100.00</t>
  </si>
  <si>
    <t>18 620.00</t>
  </si>
  <si>
    <t>188 445 970.02</t>
  </si>
  <si>
    <t>157 038 308.35</t>
  </si>
  <si>
    <t>31 407 661.67</t>
  </si>
  <si>
    <t>173 017 685.36</t>
  </si>
  <si>
    <t>144 181 404.47</t>
  </si>
  <si>
    <t>28 836 280.89</t>
  </si>
  <si>
    <t>7 264 013 052.00</t>
  </si>
  <si>
    <t>6 053 344 210.00</t>
  </si>
  <si>
    <t>1 210 668 842.00</t>
  </si>
  <si>
    <t>19 242 312.96</t>
  </si>
  <si>
    <t>16 035 260.80</t>
  </si>
  <si>
    <t>3 207 052.16</t>
  </si>
  <si>
    <t>89 920 749.92</t>
  </si>
  <si>
    <t>74 933 958.27</t>
  </si>
  <si>
    <t>14 986 791.65</t>
  </si>
  <si>
    <t>1 114 828.40</t>
  </si>
  <si>
    <t>302 856 315.61</t>
  </si>
  <si>
    <t>252 380 263.01</t>
  </si>
  <si>
    <t>50 476 052.60</t>
  </si>
  <si>
    <t>108 178 496.26</t>
  </si>
  <si>
    <t>90 148 746.88</t>
  </si>
  <si>
    <t>18 029 749.38</t>
  </si>
  <si>
    <t>1 363 965.66</t>
  </si>
  <si>
    <t>1 136 638.05</t>
  </si>
  <si>
    <t>227 327.61</t>
  </si>
  <si>
    <t>43 307 392.06</t>
  </si>
  <si>
    <t>36 089 493.38</t>
  </si>
  <si>
    <t>7 217 898.68</t>
  </si>
  <si>
    <t>169 543 874.00</t>
  </si>
  <si>
    <t>141 286 561.67</t>
  </si>
  <si>
    <t>28 257 312.33</t>
  </si>
  <si>
    <t>278 217 409.94</t>
  </si>
  <si>
    <t>231 847 841.62</t>
  </si>
  <si>
    <t>46 369 568.32</t>
  </si>
  <si>
    <t>255 935 451.60</t>
  </si>
  <si>
    <t>213 279 543.00</t>
  </si>
  <si>
    <t>42 655 908.60</t>
  </si>
  <si>
    <t>47 021 502.00</t>
  </si>
  <si>
    <t>39 184 585.00</t>
  </si>
  <si>
    <t>7 836 917.00</t>
  </si>
  <si>
    <t>1 378 000.00</t>
  </si>
  <si>
    <t>199 910.41</t>
  </si>
  <si>
    <t>166 592.01</t>
  </si>
  <si>
    <t>33 318.40</t>
  </si>
  <si>
    <t>121 847 457.60</t>
  </si>
  <si>
    <t>101 539 548.00</t>
  </si>
  <si>
    <t>20 307 909.60</t>
  </si>
  <si>
    <t>51 346.12</t>
  </si>
  <si>
    <t>42 788.43</t>
  </si>
  <si>
    <t>8 557.69</t>
  </si>
  <si>
    <t>22 408 941.82</t>
  </si>
  <si>
    <t>18 674 118.18</t>
  </si>
  <si>
    <t>3 734 823.64</t>
  </si>
  <si>
    <t>154 720 760.40</t>
  </si>
  <si>
    <t>128 933 967.00</t>
  </si>
  <si>
    <t>25 786 793.40</t>
  </si>
  <si>
    <t>225 000.00</t>
  </si>
  <si>
    <t>187 500.00</t>
  </si>
  <si>
    <t>37 500.00</t>
  </si>
  <si>
    <t>3 761 482.54</t>
  </si>
  <si>
    <t>3 134 568.78</t>
  </si>
  <si>
    <t>626 913.76</t>
  </si>
  <si>
    <t>29 171 012.00</t>
  </si>
  <si>
    <t>742 100.00</t>
  </si>
  <si>
    <t>728 750.00</t>
  </si>
  <si>
    <t>13 350.00</t>
  </si>
  <si>
    <t>21 173 402.40</t>
  </si>
  <si>
    <t>17 644 502.00</t>
  </si>
  <si>
    <t>3 528 900.40</t>
  </si>
  <si>
    <t>1 068 715.20</t>
  </si>
  <si>
    <t>890 596.00</t>
  </si>
  <si>
    <t>178 119.20</t>
  </si>
  <si>
    <t>11 036 791.20</t>
  </si>
  <si>
    <t>9 197 326.00</t>
  </si>
  <si>
    <t>1 839 465.20</t>
  </si>
  <si>
    <t>173 370 489.60</t>
  </si>
  <si>
    <t>144 475 408.00</t>
  </si>
  <si>
    <t>28 895 081.60</t>
  </si>
  <si>
    <t>4 746 237 999.90</t>
  </si>
  <si>
    <t>3 955 198 333.25</t>
  </si>
  <si>
    <t>791 039 666.65</t>
  </si>
  <si>
    <t>216 549 729.76</t>
  </si>
  <si>
    <t>180 458 108.13</t>
  </si>
  <si>
    <t>36 091 621.63</t>
  </si>
  <si>
    <t>93 577 569.60</t>
  </si>
  <si>
    <t>77 981 308.00</t>
  </si>
  <si>
    <t>15 596 261.60</t>
  </si>
  <si>
    <t>5 683 658.88</t>
  </si>
  <si>
    <t>4 736 382.40</t>
  </si>
  <si>
    <t>947 276.48</t>
  </si>
  <si>
    <t>121 150 992.00</t>
  </si>
  <si>
    <t>100 959 160.00</t>
  </si>
  <si>
    <t>20 191 832.00</t>
  </si>
  <si>
    <t>145 178 557.10</t>
  </si>
  <si>
    <t>120 982 130.92</t>
  </si>
  <si>
    <t>24 196 426.18</t>
  </si>
  <si>
    <t>5 271 864.00</t>
  </si>
  <si>
    <t>4 393 220.00</t>
  </si>
  <si>
    <t>878 644.00</t>
  </si>
  <si>
    <t>24 717 709.16</t>
  </si>
  <si>
    <t>20 598 090.97</t>
  </si>
  <si>
    <t>4 119 618.19</t>
  </si>
  <si>
    <t>790 593.77</t>
  </si>
  <si>
    <t>658 828.14</t>
  </si>
  <si>
    <t>131 765.63</t>
  </si>
  <si>
    <t>515 402.63</t>
  </si>
  <si>
    <t>429 502.19</t>
  </si>
  <si>
    <t>85 900.44</t>
  </si>
  <si>
    <t>1 818 261.36</t>
  </si>
  <si>
    <t>1 515 217.80</t>
  </si>
  <si>
    <t>303 043.56</t>
  </si>
  <si>
    <t>100 933 849.64</t>
  </si>
  <si>
    <t>84 111 541.37</t>
  </si>
  <si>
    <t>16 822 308.27</t>
  </si>
  <si>
    <t>332 871.57</t>
  </si>
  <si>
    <t>277 392.97</t>
  </si>
  <si>
    <t>55 478.60</t>
  </si>
  <si>
    <t>493 995.41</t>
  </si>
  <si>
    <t>411 662.84</t>
  </si>
  <si>
    <t>82 332.57</t>
  </si>
  <si>
    <t>345 970.73</t>
  </si>
  <si>
    <t>288 308.94</t>
  </si>
  <si>
    <t>57 661.79</t>
  </si>
  <si>
    <t>161 957 348.40</t>
  </si>
  <si>
    <t>134 964 457.00</t>
  </si>
  <si>
    <t>26 992 891.40</t>
  </si>
  <si>
    <t>10 772 229.79</t>
  </si>
  <si>
    <t>8 976 858.16</t>
  </si>
  <si>
    <t>1 795 371.63</t>
  </si>
  <si>
    <t>9 762 632.39</t>
  </si>
  <si>
    <t>8 135 526.99</t>
  </si>
  <si>
    <t>1 627 105.40</t>
  </si>
  <si>
    <t>16 418 727.00</t>
  </si>
  <si>
    <t>13 682 272.50</t>
  </si>
  <si>
    <t>2 736 454.50</t>
  </si>
  <si>
    <t>33 393 791.33</t>
  </si>
  <si>
    <t>40 725 711.17</t>
  </si>
  <si>
    <t>33 938 092.64</t>
  </si>
  <si>
    <t>6 787 618.53</t>
  </si>
  <si>
    <t>3 895 906.27</t>
  </si>
  <si>
    <t>3 246 588.56</t>
  </si>
  <si>
    <t>649 317.71</t>
  </si>
  <si>
    <t>154 100 623.78</t>
  </si>
  <si>
    <t>128 417 186.48</t>
  </si>
  <si>
    <t>25 683 437.30</t>
  </si>
  <si>
    <t>251 491.33</t>
  </si>
  <si>
    <t>218 797.33</t>
  </si>
  <si>
    <t>32 694.00</t>
  </si>
  <si>
    <t>4 261 090.30</t>
  </si>
  <si>
    <t>3 550 908.58</t>
  </si>
  <si>
    <t>710 181.72</t>
  </si>
  <si>
    <t>11 681 770.33</t>
  </si>
  <si>
    <t>9 734 808.61</t>
  </si>
  <si>
    <t>1 946 961.72</t>
  </si>
  <si>
    <t>149 040.00</t>
  </si>
  <si>
    <t>124 200.00</t>
  </si>
  <si>
    <t>24 840.00</t>
  </si>
  <si>
    <t>8 445 063.90</t>
  </si>
  <si>
    <t>7 037 553.25</t>
  </si>
  <si>
    <t>1 407 510.65</t>
  </si>
  <si>
    <t>972 705 866.89</t>
  </si>
  <si>
    <t>810 588 222.41</t>
  </si>
  <si>
    <t>162 117 644.48</t>
  </si>
  <si>
    <t>2 556 544.80</t>
  </si>
  <si>
    <t>2 130 454.00</t>
  </si>
  <si>
    <t>426 090.80</t>
  </si>
  <si>
    <t>595 232.00</t>
  </si>
  <si>
    <t>21 898 936.80</t>
  </si>
  <si>
    <t>18 249 114.00</t>
  </si>
  <si>
    <t>3 649 822.80</t>
  </si>
  <si>
    <t>13 457 543.58</t>
  </si>
  <si>
    <t>11 214 619.65</t>
  </si>
  <si>
    <t>2 242 923.93</t>
  </si>
  <si>
    <t>253 302 766.99</t>
  </si>
  <si>
    <t>211 085 639.16</t>
  </si>
  <si>
    <t>42 217 127.83</t>
  </si>
  <si>
    <t>11 962 800.00</t>
  </si>
  <si>
    <t>9 969 000.00</t>
  </si>
  <si>
    <t>1 993 800.00</t>
  </si>
  <si>
    <t>15 096 599.92</t>
  </si>
  <si>
    <t>12 580 499.93</t>
  </si>
  <si>
    <t>2 516 099.99</t>
  </si>
  <si>
    <t>33 593 017.59</t>
  </si>
  <si>
    <t>27 994 181.32</t>
  </si>
  <si>
    <t>5 598 836.27</t>
  </si>
  <si>
    <t>15 189 621.00</t>
  </si>
  <si>
    <t>12 658 017.50</t>
  </si>
  <si>
    <t>2 531 603.50</t>
  </si>
  <si>
    <t>10 000.00</t>
  </si>
  <si>
    <t>8 700.00</t>
  </si>
  <si>
    <t>1 300.00</t>
  </si>
  <si>
    <t>185 965.64</t>
  </si>
  <si>
    <t>154 971.37</t>
  </si>
  <si>
    <t>30 994.27</t>
  </si>
  <si>
    <t>57 963 159.26</t>
  </si>
  <si>
    <t>48 302 632.72</t>
  </si>
  <si>
    <t>9 660 526.54</t>
  </si>
  <si>
    <t>231 600.00</t>
  </si>
  <si>
    <t>193 000.00</t>
  </si>
  <si>
    <t>38 600.00</t>
  </si>
  <si>
    <t>281 600.00</t>
  </si>
  <si>
    <t>6 660 269.04</t>
  </si>
  <si>
    <t>5 550 224.20</t>
  </si>
  <si>
    <t>1 110 044.84</t>
  </si>
  <si>
    <t>54 921 720.00</t>
  </si>
  <si>
    <t>45 768 100.00</t>
  </si>
  <si>
    <t>9 153 620.00</t>
  </si>
  <si>
    <t>33 193.52</t>
  </si>
  <si>
    <t>27 661.27</t>
  </si>
  <si>
    <t>5 532.25</t>
  </si>
  <si>
    <t>11 145 311.90</t>
  </si>
  <si>
    <t>1 484 693 952.31</t>
  </si>
  <si>
    <t>1 237 244 960.26</t>
  </si>
  <si>
    <t>247 448 992.05</t>
  </si>
  <si>
    <t>400 000.00</t>
  </si>
  <si>
    <t>348 000.00</t>
  </si>
  <si>
    <t>52 000.00</t>
  </si>
  <si>
    <t>355 085.54</t>
  </si>
  <si>
    <t>295 904.62</t>
  </si>
  <si>
    <t>59 180.92</t>
  </si>
  <si>
    <t>96 411 079.20</t>
  </si>
  <si>
    <t>80 342 566.00</t>
  </si>
  <si>
    <t>16 068 513.20</t>
  </si>
  <si>
    <t>1 721 021.51</t>
  </si>
  <si>
    <t>1 434 184.59</t>
  </si>
  <si>
    <t>286 836.92</t>
  </si>
  <si>
    <t>1 861 097.47</t>
  </si>
  <si>
    <t>1 550 914.56</t>
  </si>
  <si>
    <t>310 182.91</t>
  </si>
  <si>
    <t>189 932 663.93</t>
  </si>
  <si>
    <t>158 277 219.94</t>
  </si>
  <si>
    <t>31 655 443.99</t>
  </si>
  <si>
    <t>159 613.34</t>
  </si>
  <si>
    <t>133 011.12</t>
  </si>
  <si>
    <t>26 602.22</t>
  </si>
  <si>
    <t>5 383 511.99</t>
  </si>
  <si>
    <t>70 207 437.26</t>
  </si>
  <si>
    <t>58 506 197.72</t>
  </si>
  <si>
    <t>11 701 239.54</t>
  </si>
  <si>
    <t>66 240.00</t>
  </si>
  <si>
    <t>55 200.00</t>
  </si>
  <si>
    <t>11 040.00</t>
  </si>
  <si>
    <t>593 751.69</t>
  </si>
  <si>
    <t>189 448 428.97</t>
  </si>
  <si>
    <t>157 873 690.81</t>
  </si>
  <si>
    <t>31 574 738.16</t>
  </si>
  <si>
    <t>12 342 732.05</t>
  </si>
  <si>
    <t>10 285 610.04</t>
  </si>
  <si>
    <t>2 057 122.01</t>
  </si>
  <si>
    <t>656 523.42</t>
  </si>
  <si>
    <t>547 102.85</t>
  </si>
  <si>
    <t>109 420.57</t>
  </si>
  <si>
    <t>85 317.59</t>
  </si>
  <si>
    <t>71 097.99</t>
  </si>
  <si>
    <t>14 219.60</t>
  </si>
  <si>
    <t>68 773 440.00</t>
  </si>
  <si>
    <t>57 311 200.00</t>
  </si>
  <si>
    <t>11 462 240.00</t>
  </si>
  <si>
    <t>785 777 681.14</t>
  </si>
  <si>
    <t>654 814 734.28</t>
  </si>
  <si>
    <t>130 962 946.86</t>
  </si>
  <si>
    <t>2 988 796.97</t>
  </si>
  <si>
    <t>1 000 000 000.00</t>
  </si>
  <si>
    <t>833 333 333.33</t>
  </si>
  <si>
    <t>166 666 666.67</t>
  </si>
  <si>
    <t>3 774 960.00</t>
  </si>
  <si>
    <t>3 145 800.00</t>
  </si>
  <si>
    <t>629 160.00</t>
  </si>
  <si>
    <t>47 497 200.05</t>
  </si>
  <si>
    <t>39 581 000.04</t>
  </si>
  <si>
    <t>7 916 200.01</t>
  </si>
  <si>
    <t>21 227 342.40</t>
  </si>
  <si>
    <t>17 689 452.00</t>
  </si>
  <si>
    <t>3 537 890.40</t>
  </si>
  <si>
    <t>203 660.93</t>
  </si>
  <si>
    <t>169 717.44</t>
  </si>
  <si>
    <t>33 943.49</t>
  </si>
  <si>
    <t>99 360.00</t>
  </si>
  <si>
    <t>82 800.00</t>
  </si>
  <si>
    <t>16 560.00</t>
  </si>
  <si>
    <t>350 089.73</t>
  </si>
  <si>
    <t>291 741.44</t>
  </si>
  <si>
    <t>58 348.29</t>
  </si>
  <si>
    <t>248 400.00</t>
  </si>
  <si>
    <t>207 000.00</t>
  </si>
  <si>
    <t>1 743 651.27</t>
  </si>
  <si>
    <t>1 740 900.27</t>
  </si>
  <si>
    <t>2 751.00</t>
  </si>
  <si>
    <t>280 042 617.00</t>
  </si>
  <si>
    <t>233 368 847.50</t>
  </si>
  <si>
    <t>46 673 769.50</t>
  </si>
  <si>
    <t>347 413 114.80</t>
  </si>
  <si>
    <t>289 510 929.00</t>
  </si>
  <si>
    <t>57 902 185.80</t>
  </si>
  <si>
    <t>129 600.00</t>
  </si>
  <si>
    <t>108 000.00</t>
  </si>
  <si>
    <t>21 600.00</t>
  </si>
  <si>
    <t>54 046 567.46</t>
  </si>
  <si>
    <t>45 038 806.22</t>
  </si>
  <si>
    <t>9 007 761.24</t>
  </si>
  <si>
    <t>46 440 000.00</t>
  </si>
  <si>
    <t>38 700 000.00</t>
  </si>
  <si>
    <t>7 740 000.00</t>
  </si>
  <si>
    <t>13 026 062.16</t>
  </si>
  <si>
    <t>10 855 051.80</t>
  </si>
  <si>
    <t>2 171 010.36</t>
  </si>
  <si>
    <t>16 401 118.98</t>
  </si>
  <si>
    <t>13 667 599.15</t>
  </si>
  <si>
    <t>2 733 519.83</t>
  </si>
  <si>
    <t>77 092 078.80</t>
  </si>
  <si>
    <t>73 578 526.57</t>
  </si>
  <si>
    <t>3 513 552.23</t>
  </si>
  <si>
    <t>6 880 705.20</t>
  </si>
  <si>
    <t>5 733 921.00</t>
  </si>
  <si>
    <t>1 146 784.20</t>
  </si>
  <si>
    <t>107 563 927.20</t>
  </si>
  <si>
    <t>89 636 606.00</t>
  </si>
  <si>
    <t>17 927 321.20</t>
  </si>
  <si>
    <t>40 741 920.00</t>
  </si>
  <si>
    <t>33 951 600.00</t>
  </si>
  <si>
    <t>6 790 320.00</t>
  </si>
  <si>
    <t>6 243 456.41</t>
  </si>
  <si>
    <t>5 202 880.34</t>
  </si>
  <si>
    <t>1 040 576.07</t>
  </si>
  <si>
    <t>314 500.00</t>
  </si>
  <si>
    <t>68 989 800.00</t>
  </si>
  <si>
    <t>57 491 500.00</t>
  </si>
  <si>
    <t>11 498 300.00</t>
  </si>
  <si>
    <t>1 279 504.51</t>
  </si>
  <si>
    <t>1 066 253.76</t>
  </si>
  <si>
    <t>213 250.75</t>
  </si>
  <si>
    <t>15 343 178.51</t>
  </si>
  <si>
    <t>12 785 982.09</t>
  </si>
  <si>
    <t>2 557 196.42</t>
  </si>
  <si>
    <t>5 490 918.00</t>
  </si>
  <si>
    <t>4 575 765.00</t>
  </si>
  <si>
    <t>915 153.00</t>
  </si>
  <si>
    <t>20 127.07</t>
  </si>
  <si>
    <t>22 706 007.26</t>
  </si>
  <si>
    <t>18 921 672.72</t>
  </si>
  <si>
    <t>3 784 334.54</t>
  </si>
  <si>
    <t>875 252.40</t>
  </si>
  <si>
    <t>729 377.00</t>
  </si>
  <si>
    <t>145 875.40</t>
  </si>
  <si>
    <t>7 673 410.80</t>
  </si>
  <si>
    <t>6 394 509.00</t>
  </si>
  <si>
    <t>1 278 901.80</t>
  </si>
  <si>
    <t>135 360.00</t>
  </si>
  <si>
    <t>112 800.00</t>
  </si>
  <si>
    <t>22 560.00</t>
  </si>
  <si>
    <t>9 107 370.92</t>
  </si>
  <si>
    <t>14 266 260.00</t>
  </si>
  <si>
    <t>29 107.39</t>
  </si>
  <si>
    <t>25 148 830.07</t>
  </si>
  <si>
    <t>20 957 358.39</t>
  </si>
  <si>
    <t>4 191 471.68</t>
  </si>
  <si>
    <t>1 097 408 923.39</t>
  </si>
  <si>
    <t>914 507 436.16</t>
  </si>
  <si>
    <t>182 901 487.23</t>
  </si>
  <si>
    <t>862 156.80</t>
  </si>
  <si>
    <t>718 464.00</t>
  </si>
  <si>
    <t>143 692.80</t>
  </si>
  <si>
    <t>5 529 508.42</t>
  </si>
  <si>
    <t>4 607 923.68</t>
  </si>
  <si>
    <t>921 584.74</t>
  </si>
  <si>
    <t>39 399 587.93</t>
  </si>
  <si>
    <t>9 239 728.15</t>
  </si>
  <si>
    <t>7 699 773.46</t>
  </si>
  <si>
    <t>1 539 954.69</t>
  </si>
  <si>
    <t>199 680.00</t>
  </si>
  <si>
    <t>166 400.00</t>
  </si>
  <si>
    <t>33 280.00</t>
  </si>
  <si>
    <t>1 810 793 594.08</t>
  </si>
  <si>
    <t>1 508 994 661.73</t>
  </si>
  <si>
    <t>301 798 932.35</t>
  </si>
  <si>
    <t>77 910 000.00</t>
  </si>
  <si>
    <t>64 925 000.00</t>
  </si>
  <si>
    <t>12 985 000.00</t>
  </si>
  <si>
    <t>232 846 370.86</t>
  </si>
  <si>
    <t>194 038 642.38</t>
  </si>
  <si>
    <t>38 807 728.48</t>
  </si>
  <si>
    <t>1 161 710.71</t>
  </si>
  <si>
    <t>968 092.26</t>
  </si>
  <si>
    <t>193 618.45</t>
  </si>
  <si>
    <t>15 418 520.00</t>
  </si>
  <si>
    <t>12 576 677.30</t>
  </si>
  <si>
    <t>10 480 564.42</t>
  </si>
  <si>
    <t>2 096 112.88</t>
  </si>
  <si>
    <t>41 136 276.00</t>
  </si>
  <si>
    <t>34 280 230.00</t>
  </si>
  <si>
    <t>6 856 046.00</t>
  </si>
  <si>
    <t>121 734 577.46</t>
  </si>
  <si>
    <t>101 445 481.22</t>
  </si>
  <si>
    <t>20 289 096.24</t>
  </si>
  <si>
    <t>4 200 495.68</t>
  </si>
  <si>
    <t>32 814 845.63</t>
  </si>
  <si>
    <t>27 345 704.69</t>
  </si>
  <si>
    <t>5 469 140.94</t>
  </si>
  <si>
    <t>1 121 011.85</t>
  </si>
  <si>
    <t>934 176.54</t>
  </si>
  <si>
    <t>186 835.31</t>
  </si>
  <si>
    <t>2 194 800 000.00</t>
  </si>
  <si>
    <t>1 829 000 000.00</t>
  </si>
  <si>
    <t>365 800 000.00</t>
  </si>
  <si>
    <t>163 982 400.00</t>
  </si>
  <si>
    <t>136 652 000.00</t>
  </si>
  <si>
    <t>27 330 400.00</t>
  </si>
  <si>
    <t>1 117 063.14</t>
  </si>
  <si>
    <t>5 325 821.69</t>
  </si>
  <si>
    <t>4 438 184.74</t>
  </si>
  <si>
    <t>887 636.95</t>
  </si>
  <si>
    <t>5 098 822.66</t>
  </si>
  <si>
    <t>4 249 018.88</t>
  </si>
  <si>
    <t>849 803.78</t>
  </si>
  <si>
    <t>21 892 147.50</t>
  </si>
  <si>
    <t>18 243 456.25</t>
  </si>
  <si>
    <t>3 648 691.25</t>
  </si>
  <si>
    <t>17 401 746.38</t>
  </si>
  <si>
    <t>145 000.00</t>
  </si>
  <si>
    <t>14 166 474.00</t>
  </si>
  <si>
    <t>11 805 395.00</t>
  </si>
  <si>
    <t>2 361 079.00</t>
  </si>
  <si>
    <t>1 688 400.00</t>
  </si>
  <si>
    <t>1 407 000.00</t>
  </si>
  <si>
    <t>281 400.00</t>
  </si>
  <si>
    <t>52 947 771.97</t>
  </si>
  <si>
    <t>44 123 143.31</t>
  </si>
  <si>
    <t>8 824 628.66</t>
  </si>
  <si>
    <t>29 542.90</t>
  </si>
  <si>
    <t>24 619.08</t>
  </si>
  <si>
    <t>4 923.82</t>
  </si>
  <si>
    <t>2 258 326 272.60</t>
  </si>
  <si>
    <t>1 881 938 560.50</t>
  </si>
  <si>
    <t>376 387 712.10</t>
  </si>
  <si>
    <t>9 664 644.83</t>
  </si>
  <si>
    <t>8 053 870.69</t>
  </si>
  <si>
    <t>1 610 774.14</t>
  </si>
  <si>
    <t>76 283 557.74</t>
  </si>
  <si>
    <t>63 569 631.45</t>
  </si>
  <si>
    <t>12 713 926.29</t>
  </si>
  <si>
    <t>16 091 569.69</t>
  </si>
  <si>
    <t>13 409 641.41</t>
  </si>
  <si>
    <t>2 681 928.28</t>
  </si>
  <si>
    <t>8 333 333.33</t>
  </si>
  <si>
    <t>1 666 666.67</t>
  </si>
  <si>
    <t>7 951 008.00</t>
  </si>
  <si>
    <t>6 625 840.00</t>
  </si>
  <si>
    <t>1 325 168.00</t>
  </si>
  <si>
    <t>488 088.00</t>
  </si>
  <si>
    <t>406 740.00</t>
  </si>
  <si>
    <t>81 348.00</t>
  </si>
  <si>
    <t>5 078 238.61</t>
  </si>
  <si>
    <t>4 231 865.51</t>
  </si>
  <si>
    <t>846 373.10</t>
  </si>
  <si>
    <t>2 178 000.00</t>
  </si>
  <si>
    <t>1 815 000.00</t>
  </si>
  <si>
    <t>363 000.00</t>
  </si>
  <si>
    <t>860 310.00</t>
  </si>
  <si>
    <t>716 925.00</t>
  </si>
  <si>
    <t>143 385.00</t>
  </si>
  <si>
    <t>4 320 105.79</t>
  </si>
  <si>
    <t>3 600 088.16</t>
  </si>
  <si>
    <t>720 017.63</t>
  </si>
  <si>
    <t>56 150.00</t>
  </si>
  <si>
    <t>300 000.00</t>
  </si>
  <si>
    <t>250 000.00</t>
  </si>
  <si>
    <t>50 000.00</t>
  </si>
  <si>
    <t>346 500.00</t>
  </si>
  <si>
    <t>288 750.00</t>
  </si>
  <si>
    <t>57 750.00</t>
  </si>
  <si>
    <t>2 749 877.29</t>
  </si>
  <si>
    <t>2 291 564.41</t>
  </si>
  <si>
    <t>458 312.88</t>
  </si>
  <si>
    <t>650 000.00</t>
  </si>
  <si>
    <t>541 666.67</t>
  </si>
  <si>
    <t>108 333.33</t>
  </si>
  <si>
    <t>606 990.00</t>
  </si>
  <si>
    <t>249 105.20</t>
  </si>
  <si>
    <t>207 587.66</t>
  </si>
  <si>
    <t>41 517.54</t>
  </si>
  <si>
    <t>6 125 400.15</t>
  </si>
  <si>
    <t>5 104 500.12</t>
  </si>
  <si>
    <t>1 020 900.03</t>
  </si>
  <si>
    <t>79 898 822.57</t>
  </si>
  <si>
    <t>66 582 352.14</t>
  </si>
  <si>
    <t>1 904 495.63</t>
  </si>
  <si>
    <t>1 587 079.69</t>
  </si>
  <si>
    <t>317 415.94</t>
  </si>
  <si>
    <t>349 600.00</t>
  </si>
  <si>
    <t>536 976.00</t>
  </si>
  <si>
    <t>447 480.00</t>
  </si>
  <si>
    <t>89 496.00</t>
  </si>
  <si>
    <t>269 640.00</t>
  </si>
  <si>
    <t>224 700.00</t>
  </si>
  <si>
    <t>44 940.00</t>
  </si>
  <si>
    <t>409 246 540.07</t>
  </si>
  <si>
    <t>341 038 783.39</t>
  </si>
  <si>
    <t>68 207 756.68</t>
  </si>
  <si>
    <t>342 400.00</t>
  </si>
  <si>
    <t>285 333.33</t>
  </si>
  <si>
    <t>57 066.67</t>
  </si>
  <si>
    <t>39 391 063.24</t>
  </si>
  <si>
    <t>118 372.72</t>
  </si>
  <si>
    <t>98 643.93</t>
  </si>
  <si>
    <t>19 728.79</t>
  </si>
  <si>
    <t>7 306 133.16</t>
  </si>
  <si>
    <t>14 398 380.00</t>
  </si>
  <si>
    <t>11 998 650.00</t>
  </si>
  <si>
    <t>2 399 730.00</t>
  </si>
  <si>
    <t>3 019 779.26</t>
  </si>
  <si>
    <t>2 516 482.72</t>
  </si>
  <si>
    <t>503 296.54</t>
  </si>
  <si>
    <t>1 240 945.58</t>
  </si>
  <si>
    <t>1 034 121.32</t>
  </si>
  <si>
    <t>206 824.26</t>
  </si>
  <si>
    <t>752 892.22</t>
  </si>
  <si>
    <t>627 410.18</t>
  </si>
  <si>
    <t>125 482.04</t>
  </si>
  <si>
    <t>33 120.00</t>
  </si>
  <si>
    <t>27 600.00</t>
  </si>
  <si>
    <t>5 520.00</t>
  </si>
  <si>
    <t>630 227.24</t>
  </si>
  <si>
    <t>525 189.37</t>
  </si>
  <si>
    <t>105 037.87</t>
  </si>
  <si>
    <t>128 772 000.00</t>
  </si>
  <si>
    <t>107 310 000.00</t>
  </si>
  <si>
    <t>21 462 000.00</t>
  </si>
  <si>
    <t>1 269 494.44</t>
  </si>
  <si>
    <t>1 057 912.03</t>
  </si>
  <si>
    <t>211 582.41</t>
  </si>
  <si>
    <t>105 233 600.40</t>
  </si>
  <si>
    <t>87 694 667.00</t>
  </si>
  <si>
    <t>17 538 933.40</t>
  </si>
  <si>
    <t>1 460 612.07</t>
  </si>
  <si>
    <t>791 300 998.03</t>
  </si>
  <si>
    <t>158 260 199.60</t>
  </si>
  <si>
    <t>4 420 399.98</t>
  </si>
  <si>
    <t>4 410 399.98</t>
  </si>
  <si>
    <t>434 000.00</t>
  </si>
  <si>
    <t>361 666.67</t>
  </si>
  <si>
    <t>72 333.33</t>
  </si>
  <si>
    <t>29 637 548.86</t>
  </si>
  <si>
    <t>24 697 957.38</t>
  </si>
  <si>
    <t>4 939 591.48</t>
  </si>
  <si>
    <t>11 337 214.04</t>
  </si>
  <si>
    <t>9 447 678.37</t>
  </si>
  <si>
    <t>1 889 535.67</t>
  </si>
  <si>
    <t>29 086 800.00</t>
  </si>
  <si>
    <t>24 239 000.00</t>
  </si>
  <si>
    <t>4 847 800.00</t>
  </si>
  <si>
    <t>6 485 595.07</t>
  </si>
  <si>
    <t>5 404 662.56</t>
  </si>
  <si>
    <t>1 080 932.51</t>
  </si>
  <si>
    <t>2 928 370.00</t>
  </si>
  <si>
    <t>2 440 308.33</t>
  </si>
  <si>
    <t>488 061.67</t>
  </si>
  <si>
    <t>219 939.66</t>
  </si>
  <si>
    <t>183 283.05</t>
  </si>
  <si>
    <t>36 656.61</t>
  </si>
  <si>
    <t>1 500 000.00</t>
  </si>
  <si>
    <t>6 365 400.00</t>
  </si>
  <si>
    <t>5 304 500.00</t>
  </si>
  <si>
    <t>1 060 900.00</t>
  </si>
  <si>
    <t>850 542 557.85</t>
  </si>
  <si>
    <t>708 785 464.87</t>
  </si>
  <si>
    <t>141 757 092.98</t>
  </si>
  <si>
    <t>24 560 245.20</t>
  </si>
  <si>
    <t>20 466 871.00</t>
  </si>
  <si>
    <t>4 093 374.20</t>
  </si>
  <si>
    <t>13 951 656.00</t>
  </si>
  <si>
    <t>11 626 380.00</t>
  </si>
  <si>
    <t>2 325 276.00</t>
  </si>
  <si>
    <t>376 789.08</t>
  </si>
  <si>
    <t>313 990.90</t>
  </si>
  <si>
    <t>62 798.18</t>
  </si>
  <si>
    <t>3 786 796.91</t>
  </si>
  <si>
    <t>3 155 664.09</t>
  </si>
  <si>
    <t>631 132.82</t>
  </si>
  <si>
    <t>36 179 076.00</t>
  </si>
  <si>
    <t>30 149 230.00</t>
  </si>
  <si>
    <t>6 029 846.00</t>
  </si>
  <si>
    <t>6 546 618.00</t>
  </si>
  <si>
    <t>5 455 515.00</t>
  </si>
  <si>
    <t>1 091 103.00</t>
  </si>
  <si>
    <t>1 191 600.00</t>
  </si>
  <si>
    <t>993 000.00</t>
  </si>
  <si>
    <t>198 600.00</t>
  </si>
  <si>
    <t>328 967.10</t>
  </si>
  <si>
    <t>286 201.10</t>
  </si>
  <si>
    <t>42 766.00</t>
  </si>
  <si>
    <t>248 289 881.17</t>
  </si>
  <si>
    <t>206 908 234.31</t>
  </si>
  <si>
    <t>41 381 646.86</t>
  </si>
  <si>
    <t>2 258 326 278.77</t>
  </si>
  <si>
    <t>1 881 938 565.64</t>
  </si>
  <si>
    <t>376 387 713.13</t>
  </si>
  <si>
    <t>2 583 912.00</t>
  </si>
  <si>
    <t>2 153 260.00</t>
  </si>
  <si>
    <t>430 652.00</t>
  </si>
  <si>
    <t>461 969 100.00</t>
  </si>
  <si>
    <t>1 502 626 604.84</t>
  </si>
  <si>
    <t>1 252 188 837.37</t>
  </si>
  <si>
    <t>250 437 767.47</t>
  </si>
  <si>
    <t>1 047 613.39</t>
  </si>
  <si>
    <t>873 011.16</t>
  </si>
  <si>
    <t>174 602.23</t>
  </si>
  <si>
    <t>349 000.00</t>
  </si>
  <si>
    <t>290 833.33</t>
  </si>
  <si>
    <t>58 166.67</t>
  </si>
  <si>
    <t>26 141 002.48</t>
  </si>
  <si>
    <t>21 784 168.73</t>
  </si>
  <si>
    <t>4 356 833.75</t>
  </si>
  <si>
    <t>20 630 102.16</t>
  </si>
  <si>
    <t>17 191 751.80</t>
  </si>
  <si>
    <t>3 438 350.36</t>
  </si>
  <si>
    <t>1 596 399.73</t>
  </si>
  <si>
    <t>1 330 333.11</t>
  </si>
  <si>
    <t>266 066.62</t>
  </si>
  <si>
    <t>1 179 472.16</t>
  </si>
  <si>
    <t>95 462.59</t>
  </si>
  <si>
    <t>79 552.16</t>
  </si>
  <si>
    <t>15 910.43</t>
  </si>
  <si>
    <t>409 302 534.42</t>
  </si>
  <si>
    <t>341 085 445.35</t>
  </si>
  <si>
    <t>68 217 089.07</t>
  </si>
  <si>
    <t>1 118 776 035.51</t>
  </si>
  <si>
    <t>932 313 362.92</t>
  </si>
  <si>
    <t>186 462 672.59</t>
  </si>
  <si>
    <t>8 442 342.60</t>
  </si>
  <si>
    <t>7 035 285.50</t>
  </si>
  <si>
    <t>1 407 057.10</t>
  </si>
  <si>
    <t>81 032 520.00</t>
  </si>
  <si>
    <t>67 527 100.00</t>
  </si>
  <si>
    <t>13 505 420.00</t>
  </si>
  <si>
    <t>1 015 511 895.17</t>
  </si>
  <si>
    <t>846 259 912.64</t>
  </si>
  <si>
    <t>169 251 982.53</t>
  </si>
  <si>
    <t>14 891 011.20</t>
  </si>
  <si>
    <t>12 409 176.00</t>
  </si>
  <si>
    <t>2 481 835.20</t>
  </si>
  <si>
    <t>348 033 668.51</t>
  </si>
  <si>
    <t>290 028 057.09</t>
  </si>
  <si>
    <t>58 005 611.42</t>
  </si>
  <si>
    <t>225 814.09</t>
  </si>
  <si>
    <t>188 178.41</t>
  </si>
  <si>
    <t>37 635.68</t>
  </si>
  <si>
    <t>4 188 000.00</t>
  </si>
  <si>
    <t>3 490 000.00</t>
  </si>
  <si>
    <t>698 000.00</t>
  </si>
  <si>
    <t>95 875 200.00</t>
  </si>
  <si>
    <t>79 896 000.00</t>
  </si>
  <si>
    <t>15 979 200.00</t>
  </si>
  <si>
    <t>1 014 180 387.78</t>
  </si>
  <si>
    <t>845 150 323.15</t>
  </si>
  <si>
    <t>169 030 064.63</t>
  </si>
  <si>
    <t>6 648 233.23</t>
  </si>
  <si>
    <t>5 540 194.36</t>
  </si>
  <si>
    <t>1 108 038.87</t>
  </si>
  <si>
    <t>1 685 539.91</t>
  </si>
  <si>
    <t>1 404 616.59</t>
  </si>
  <si>
    <t>280 923.32</t>
  </si>
  <si>
    <t>7 495 313.87</t>
  </si>
  <si>
    <t>6 246 094.89</t>
  </si>
  <si>
    <t>1 249 218.98</t>
  </si>
  <si>
    <t>603 900.00</t>
  </si>
  <si>
    <t>503 250.00</t>
  </si>
  <si>
    <t>100 650.00</t>
  </si>
  <si>
    <t>1 250 000.00</t>
  </si>
  <si>
    <t>90 000.00</t>
  </si>
  <si>
    <t>1 646 700.00</t>
  </si>
  <si>
    <t>1 372 250.00</t>
  </si>
  <si>
    <t>274 450.00</t>
  </si>
  <si>
    <t>3 823 117.97</t>
  </si>
  <si>
    <t>3 185 931.64</t>
  </si>
  <si>
    <t>637 186.33</t>
  </si>
  <si>
    <t>935 383 632.25</t>
  </si>
  <si>
    <t>779 486 360.21</t>
  </si>
  <si>
    <t>155 897 272.04</t>
  </si>
  <si>
    <t>646 269.00</t>
  </si>
  <si>
    <t>352 000.00</t>
  </si>
  <si>
    <t>306 240.00</t>
  </si>
  <si>
    <t>45 760.00</t>
  </si>
  <si>
    <t>5 382 000.00</t>
  </si>
  <si>
    <t>4 485 000.00</t>
  </si>
  <si>
    <t>897 000.00</t>
  </si>
  <si>
    <t>1 017 191.68</t>
  </si>
  <si>
    <t>847 659.73</t>
  </si>
  <si>
    <t>169 531.95</t>
  </si>
  <si>
    <t>6 251 345 724.00</t>
  </si>
  <si>
    <t>5 209 454 770.00</t>
  </si>
  <si>
    <t>1 041 890 954.00</t>
  </si>
  <si>
    <t>2 119 139.64</t>
  </si>
  <si>
    <t>1 765 949.70</t>
  </si>
  <si>
    <t>353 189.94</t>
  </si>
  <si>
    <t>26 179 250.00</t>
  </si>
  <si>
    <t>21 816 041.67</t>
  </si>
  <si>
    <t>4 363 208.33</t>
  </si>
  <si>
    <t>462 000.00</t>
  </si>
  <si>
    <t>385 000.00</t>
  </si>
  <si>
    <t>77 000.00</t>
  </si>
  <si>
    <t>24 777 024.00</t>
  </si>
  <si>
    <t>20 647 520.00</t>
  </si>
  <si>
    <t>4 129 504.00</t>
  </si>
  <si>
    <t>772 250.00</t>
  </si>
  <si>
    <t>671 857.00</t>
  </si>
  <si>
    <t>100 393.00</t>
  </si>
  <si>
    <t>12 716 046.24</t>
  </si>
  <si>
    <t>38 759 836.20</t>
  </si>
  <si>
    <t>32 299 863.50</t>
  </si>
  <si>
    <t>6 459 972.70</t>
  </si>
  <si>
    <t>1 290 000.00</t>
  </si>
  <si>
    <t>1 122 300.00</t>
  </si>
  <si>
    <t>167 700.00</t>
  </si>
  <si>
    <t>60 498 251.93</t>
  </si>
  <si>
    <t>50 415 209.94</t>
  </si>
  <si>
    <t>10 083 041.99</t>
  </si>
  <si>
    <t>39 413 590.96</t>
  </si>
  <si>
    <t>174 835 280.23</t>
  </si>
  <si>
    <t>145 696 066.86</t>
  </si>
  <si>
    <t>29 139 213.37</t>
  </si>
  <si>
    <t>146 030 672.99</t>
  </si>
  <si>
    <t>2 870 804.08</t>
  </si>
  <si>
    <t>158 166 033.60</t>
  </si>
  <si>
    <t>131 805 028.00</t>
  </si>
  <si>
    <t>26 361 005.60</t>
  </si>
  <si>
    <t>210 081.50</t>
  </si>
  <si>
    <t>175 067.92</t>
  </si>
  <si>
    <t>35 013.58</t>
  </si>
  <si>
    <t>166 000.00</t>
  </si>
  <si>
    <t>144 420.00</t>
  </si>
  <si>
    <t>21 580.00</t>
  </si>
  <si>
    <t>1 975 352 158.80</t>
  </si>
  <si>
    <t>1 646 126 799.00</t>
  </si>
  <si>
    <t>329 225 359.80</t>
  </si>
  <si>
    <t>3 328 752.72</t>
  </si>
  <si>
    <t>2 773 960.60</t>
  </si>
  <si>
    <t>554 792.12</t>
  </si>
  <si>
    <t>5 074.61</t>
  </si>
  <si>
    <t>1 833.68</t>
  </si>
  <si>
    <t>1 528.07</t>
  </si>
  <si>
    <t>60 262 105.40</t>
  </si>
  <si>
    <t>50 218 421.17</t>
  </si>
  <si>
    <t>10 043 684.23</t>
  </si>
  <si>
    <t>110 195 202.00</t>
  </si>
  <si>
    <t>91 829 335.00</t>
  </si>
  <si>
    <t>18 365 867.00</t>
  </si>
  <si>
    <t>63 922 511.38</t>
  </si>
  <si>
    <t>53 268 759.48</t>
  </si>
  <si>
    <t>10 653 751.90</t>
  </si>
  <si>
    <t>66 975 058.80</t>
  </si>
  <si>
    <t>55 812 549.00</t>
  </si>
  <si>
    <t>11 162 509.80</t>
  </si>
  <si>
    <t>31 828 596.00</t>
  </si>
  <si>
    <t>26 523 830.00</t>
  </si>
  <si>
    <t>5 304 766.00</t>
  </si>
  <si>
    <t>21 124 280.02</t>
  </si>
  <si>
    <t>17 603 566.68</t>
  </si>
  <si>
    <t>3 520 713.34</t>
  </si>
  <si>
    <t>13 502 844.67</t>
  </si>
  <si>
    <t>11 252 370.56</t>
  </si>
  <si>
    <t>2 250 474.11</t>
  </si>
  <si>
    <t>1 170 000.00</t>
  </si>
  <si>
    <t>1 017 900.00</t>
  </si>
  <si>
    <t>152 100.00</t>
  </si>
  <si>
    <t>1 490 001.00</t>
  </si>
  <si>
    <t>5 000.00</t>
  </si>
  <si>
    <t>287 184.48</t>
  </si>
  <si>
    <t>7 149 542.75</t>
  </si>
  <si>
    <t>5 957 952.29</t>
  </si>
  <si>
    <t>1 191 590.46</t>
  </si>
  <si>
    <t>105 320.16</t>
  </si>
  <si>
    <t>4 889 219.81</t>
  </si>
  <si>
    <t>4 074 349.84</t>
  </si>
  <si>
    <t>814 869.97</t>
  </si>
  <si>
    <t>5 644.80</t>
  </si>
  <si>
    <t>5 160.96</t>
  </si>
  <si>
    <t>4 489.96</t>
  </si>
  <si>
    <t>14 198 902.94</t>
  </si>
  <si>
    <t>1 400 020.76</t>
  </si>
  <si>
    <t>1 166 683.97</t>
  </si>
  <si>
    <t>233 336.79</t>
  </si>
  <si>
    <t>24 288 000.00</t>
  </si>
  <si>
    <t>244 902.70</t>
  </si>
  <si>
    <t>589 025.86</t>
  </si>
  <si>
    <t>490 854.88</t>
  </si>
  <si>
    <t>98 170.98</t>
  </si>
  <si>
    <t>602 820 690.43</t>
  </si>
  <si>
    <t>502 350 575.36</t>
  </si>
  <si>
    <t>100 470 115.07</t>
  </si>
  <si>
    <t>2 071 560.00</t>
  </si>
  <si>
    <t>1 726 300.00</t>
  </si>
  <si>
    <t>345 260.00</t>
  </si>
  <si>
    <t>4 054 784.53</t>
  </si>
  <si>
    <t>3 378 987.11</t>
  </si>
  <si>
    <t>675 797.42</t>
  </si>
  <si>
    <t>3 598 571.14</t>
  </si>
  <si>
    <t>2 998 809.28</t>
  </si>
  <si>
    <t>599 761.86</t>
  </si>
  <si>
    <t>221 236 398.28</t>
  </si>
  <si>
    <t>184 363 665.23</t>
  </si>
  <si>
    <t>36 872 733.05</t>
  </si>
  <si>
    <t>782 100.00</t>
  </si>
  <si>
    <t>651 750.00</t>
  </si>
  <si>
    <t>130 350.00</t>
  </si>
  <si>
    <t>53 719 376.40</t>
  </si>
  <si>
    <t>44 766 147.00</t>
  </si>
  <si>
    <t>8 953 229.40</t>
  </si>
  <si>
    <t>62 576 046.96</t>
  </si>
  <si>
    <t>52 146 705.80</t>
  </si>
  <si>
    <t>10 429 341.16</t>
  </si>
  <si>
    <t>240 029 447.10</t>
  </si>
  <si>
    <t>200 024 539.25</t>
  </si>
  <si>
    <t>40 004 907.85</t>
  </si>
  <si>
    <t>49 731 241.58</t>
  </si>
  <si>
    <t>41 442 701.32</t>
  </si>
  <si>
    <t>8 288 540.26</t>
  </si>
  <si>
    <t>22 945 287.30</t>
  </si>
  <si>
    <t>19 121 072.75</t>
  </si>
  <si>
    <t>3 824 214.55</t>
  </si>
  <si>
    <t>245 000.00</t>
  </si>
  <si>
    <t>213 150.00</t>
  </si>
  <si>
    <t>31 850.00</t>
  </si>
  <si>
    <t>72 590.26</t>
  </si>
  <si>
    <t>406 780.21</t>
  </si>
  <si>
    <t>338 983.51</t>
  </si>
  <si>
    <t>67 796.70</t>
  </si>
  <si>
    <t>6 550 834 033.45</t>
  </si>
  <si>
    <t>5 459 028 361.21</t>
  </si>
  <si>
    <t>93 561 801.40</t>
  </si>
  <si>
    <t>77 968 167.83</t>
  </si>
  <si>
    <t>15 593 633.57</t>
  </si>
  <si>
    <t>190 815 432.00</t>
  </si>
  <si>
    <t>159 012 860.00</t>
  </si>
  <si>
    <t>31 802 572.00</t>
  </si>
  <si>
    <t>1 440 000.00</t>
  </si>
  <si>
    <t>1 252 800.00</t>
  </si>
  <si>
    <t>187 200.00</t>
  </si>
  <si>
    <t>5 795 446.24</t>
  </si>
  <si>
    <t>416 000.00</t>
  </si>
  <si>
    <t>361 920.00</t>
  </si>
  <si>
    <t>54 080.00</t>
  </si>
  <si>
    <t>8 137 591.20</t>
  </si>
  <si>
    <t>6 781 326.00</t>
  </si>
  <si>
    <t>1 356 265.20</t>
  </si>
  <si>
    <t>51 356 823.12</t>
  </si>
  <si>
    <t>42 797 352.60</t>
  </si>
  <si>
    <t>8 559 470.52</t>
  </si>
  <si>
    <t>417 344 770.56</t>
  </si>
  <si>
    <t>347 787 308.80</t>
  </si>
  <si>
    <t>69 557 461.76</t>
  </si>
  <si>
    <t>14 880 000.00</t>
  </si>
  <si>
    <t>12 400 000.00</t>
  </si>
  <si>
    <t>2 480 000.00</t>
  </si>
  <si>
    <t>120 000.00</t>
  </si>
  <si>
    <t>104 400.00</t>
  </si>
  <si>
    <t>15 600.00</t>
  </si>
  <si>
    <t>5 449 023.85</t>
  </si>
  <si>
    <t>4 540 853.21</t>
  </si>
  <si>
    <t>908 170.64</t>
  </si>
  <si>
    <t>229 770.00</t>
  </si>
  <si>
    <t>862 028.59</t>
  </si>
  <si>
    <t>718 357.16</t>
  </si>
  <si>
    <t>143 671.43</t>
  </si>
  <si>
    <t>2 066 169.60</t>
  </si>
  <si>
    <t>1 721 808.00</t>
  </si>
  <si>
    <t>344 361.60</t>
  </si>
  <si>
    <t>1 102 609 800.00</t>
  </si>
  <si>
    <t>918 841 500.00</t>
  </si>
  <si>
    <t>183 768 300.00</t>
  </si>
  <si>
    <t>816 000.00</t>
  </si>
  <si>
    <t>680 000.00</t>
  </si>
  <si>
    <t>136 000.00</t>
  </si>
  <si>
    <t>4 819 744.80</t>
  </si>
  <si>
    <t>4 016 454.00</t>
  </si>
  <si>
    <t>803 290.80</t>
  </si>
  <si>
    <t>364 533.15</t>
  </si>
  <si>
    <t>363 628.35</t>
  </si>
  <si>
    <t>3 543 665.28</t>
  </si>
  <si>
    <t>2 953 054.40</t>
  </si>
  <si>
    <t>590 610.88</t>
  </si>
  <si>
    <t>60 000.00</t>
  </si>
  <si>
    <t>2 081 266.20</t>
  </si>
  <si>
    <t>125 128.61</t>
  </si>
  <si>
    <t>104 273.84</t>
  </si>
  <si>
    <t>20 854.77</t>
  </si>
  <si>
    <t>280 000.00</t>
  </si>
  <si>
    <t>1 492 800.00</t>
  </si>
  <si>
    <t>1 244 000.00</t>
  </si>
  <si>
    <t>248 800.00</t>
  </si>
  <si>
    <t>32 160.24</t>
  </si>
  <si>
    <t>13 727 973.60</t>
  </si>
  <si>
    <t>11 439 978.00</t>
  </si>
  <si>
    <t>2 287 995.60</t>
  </si>
  <si>
    <t>172 721 114.46</t>
  </si>
  <si>
    <t>143 934 262.05</t>
  </si>
  <si>
    <t>28 786 852.41</t>
  </si>
  <si>
    <t>937 682.57</t>
  </si>
  <si>
    <t>1 497 392.00</t>
  </si>
  <si>
    <t>135 615 162.29</t>
  </si>
  <si>
    <t>113 012 635.24</t>
  </si>
  <si>
    <t>22 602 527.05</t>
  </si>
  <si>
    <t>67 076 206.14</t>
  </si>
  <si>
    <t>55 896 838.45</t>
  </si>
  <si>
    <t>11 179 367.69</t>
  </si>
  <si>
    <t>1 464 724.80</t>
  </si>
  <si>
    <t>1 220 604.00</t>
  </si>
  <si>
    <t>244 120.80</t>
  </si>
  <si>
    <t>1 504.33</t>
  </si>
  <si>
    <t>1 253.61</t>
  </si>
  <si>
    <t>79 453 176.00</t>
  </si>
  <si>
    <t>66 210 980.00</t>
  </si>
  <si>
    <t>13 242 196.00</t>
  </si>
  <si>
    <t>12 413 771.57</t>
  </si>
  <si>
    <t>10 344 809.64</t>
  </si>
  <si>
    <t>2 068 961.93</t>
  </si>
  <si>
    <t>560 409.60</t>
  </si>
  <si>
    <t>93 605 417.17</t>
  </si>
  <si>
    <t>78 004 514.31</t>
  </si>
  <si>
    <t>15 600 902.86</t>
  </si>
  <si>
    <t>577 669.54</t>
  </si>
  <si>
    <t>481 391.28</t>
  </si>
  <si>
    <t>96 278.26</t>
  </si>
  <si>
    <t>10 909 372.44</t>
  </si>
  <si>
    <t>9 091 143.70</t>
  </si>
  <si>
    <t>1 818 228.74</t>
  </si>
  <si>
    <t>1 825 594.15</t>
  </si>
  <si>
    <t>1 521 328.46</t>
  </si>
  <si>
    <t>304 265.69</t>
  </si>
  <si>
    <t>1 471 825.00</t>
  </si>
  <si>
    <t>1 280 487.75</t>
  </si>
  <si>
    <t>191 337.25</t>
  </si>
  <si>
    <t>49 565 841.80</t>
  </si>
  <si>
    <t>41 304 868.17</t>
  </si>
  <si>
    <t>8 260 973.63</t>
  </si>
  <si>
    <t>990 000.00</t>
  </si>
  <si>
    <t>825 000.00</t>
  </si>
  <si>
    <t>165 000.00</t>
  </si>
  <si>
    <t>337 715.35</t>
  </si>
  <si>
    <t>281 429.46</t>
  </si>
  <si>
    <t>56 285.89</t>
  </si>
  <si>
    <t>4 000 000 000.00</t>
  </si>
  <si>
    <t>97 705 968.13</t>
  </si>
  <si>
    <t>81 421 640.11</t>
  </si>
  <si>
    <t>16 284 328.02</t>
  </si>
  <si>
    <t>948 041 632.06</t>
  </si>
  <si>
    <t>790 034 693.38</t>
  </si>
  <si>
    <t>158 006 938.68</t>
  </si>
  <si>
    <t>431 195 493.03</t>
  </si>
  <si>
    <t>359 329 577.52</t>
  </si>
  <si>
    <t>71 865 915.51</t>
  </si>
  <si>
    <t>1 072 941 323.50</t>
  </si>
  <si>
    <t>894 117 769.58</t>
  </si>
  <si>
    <t>178 823 553.92</t>
  </si>
  <si>
    <t>1 438 952.81</t>
  </si>
  <si>
    <t>1 199 127.34</t>
  </si>
  <si>
    <t>239 825.47</t>
  </si>
  <si>
    <t>279 324 000.00</t>
  </si>
  <si>
    <t>232 770 000.00</t>
  </si>
  <si>
    <t>46 554 000.00</t>
  </si>
  <si>
    <t>87 736 015.20</t>
  </si>
  <si>
    <t>73 113 346.00</t>
  </si>
  <si>
    <t>14 622 669.20</t>
  </si>
  <si>
    <t>7 799 865.60</t>
  </si>
  <si>
    <t>6 499 888.00</t>
  </si>
  <si>
    <t>1 299 977.60</t>
  </si>
  <si>
    <t>176 789 059.08</t>
  </si>
  <si>
    <t>147 324 215.90</t>
  </si>
  <si>
    <t>29 464 843.18</t>
  </si>
  <si>
    <t>3 002 514.05</t>
  </si>
  <si>
    <t>2 502 095.04</t>
  </si>
  <si>
    <t>500 419.01</t>
  </si>
  <si>
    <t>6 128 774.92</t>
  </si>
  <si>
    <t>5 107 312.43</t>
  </si>
  <si>
    <t>1 021 462.49</t>
  </si>
  <si>
    <t>72 445.79</t>
  </si>
  <si>
    <t>60 371.49</t>
  </si>
  <si>
    <t>12 074.30</t>
  </si>
  <si>
    <t>789 045 998.40</t>
  </si>
  <si>
    <t>657 538 332.00</t>
  </si>
  <si>
    <t>131 507 666.40</t>
  </si>
  <si>
    <t>5 729 019.06</t>
  </si>
  <si>
    <t>4 774 182.55</t>
  </si>
  <si>
    <t>954 836.51</t>
  </si>
  <si>
    <t>734 160.00</t>
  </si>
  <si>
    <t>611 800.00</t>
  </si>
  <si>
    <t>122 360.00</t>
  </si>
  <si>
    <t>7 354 560.00</t>
  </si>
  <si>
    <t>6 128 800.00</t>
  </si>
  <si>
    <t>1 225 760.00</t>
  </si>
  <si>
    <t>126 000.00</t>
  </si>
  <si>
    <t>105 000.00</t>
  </si>
  <si>
    <t>21 000.00</t>
  </si>
  <si>
    <t>3 630 694.79</t>
  </si>
  <si>
    <t>726 138.96</t>
  </si>
  <si>
    <t>630 989 715.60</t>
  </si>
  <si>
    <t>525 824 763.00</t>
  </si>
  <si>
    <t>105 164 952.60</t>
  </si>
  <si>
    <t>4 929 665.88</t>
  </si>
  <si>
    <t>4 108 054.90</t>
  </si>
  <si>
    <t>821 610.98</t>
  </si>
  <si>
    <t>312 840.00</t>
  </si>
  <si>
    <t>260 700.00</t>
  </si>
  <si>
    <t>52 140.00</t>
  </si>
  <si>
    <t>220 000.00</t>
  </si>
  <si>
    <t>191 400.00</t>
  </si>
  <si>
    <t>28 600.00</t>
  </si>
  <si>
    <t>155 242 482.30</t>
  </si>
  <si>
    <t>129 368 735.25</t>
  </si>
  <si>
    <t>25 873 747.05</t>
  </si>
  <si>
    <t>13 754 545.62</t>
  </si>
  <si>
    <t>11 462 121.35</t>
  </si>
  <si>
    <t>2 292 424.27</t>
  </si>
  <si>
    <t>646 168.51</t>
  </si>
  <si>
    <t>44 574.00</t>
  </si>
  <si>
    <t>12 479 730.43</t>
  </si>
  <si>
    <t>10 399 775.36</t>
  </si>
  <si>
    <t>2 079 955.07</t>
  </si>
  <si>
    <t>4 980 427.25</t>
  </si>
  <si>
    <t>4 150 356.04</t>
  </si>
  <si>
    <t>830 071.21</t>
  </si>
  <si>
    <t>5 405 399 859.16</t>
  </si>
  <si>
    <t>4 504 499 882.63</t>
  </si>
  <si>
    <t>900 899 976.53</t>
  </si>
  <si>
    <t>629 856.00</t>
  </si>
  <si>
    <t>524 880.00</t>
  </si>
  <si>
    <t>104 976.00</t>
  </si>
  <si>
    <t>192 473.59</t>
  </si>
  <si>
    <t>160 394.66</t>
  </si>
  <si>
    <t>32 078.93</t>
  </si>
  <si>
    <t>53 992 200.00</t>
  </si>
  <si>
    <t>44 993 500.00</t>
  </si>
  <si>
    <t>8 998 700.00</t>
  </si>
  <si>
    <t>1 173.74</t>
  </si>
  <si>
    <t>11 989 968.55</t>
  </si>
  <si>
    <t>9 991 640.46</t>
  </si>
  <si>
    <t>1 998 328.09</t>
  </si>
  <si>
    <t>3 942 418 682.98</t>
  </si>
  <si>
    <t>3 285 348 902.48</t>
  </si>
  <si>
    <t>657 069 780.50</t>
  </si>
  <si>
    <t>2 781 176.00</t>
  </si>
  <si>
    <t>2 317 646.67</t>
  </si>
  <si>
    <t>463 529.33</t>
  </si>
  <si>
    <t>5 084 610.00</t>
  </si>
  <si>
    <t>4 237 175.00</t>
  </si>
  <si>
    <t>847 435.00</t>
  </si>
  <si>
    <t>1 200 000.00</t>
  </si>
  <si>
    <t>335 991 156.00</t>
  </si>
  <si>
    <t>279 992 630.00</t>
  </si>
  <si>
    <t>55 998 526.00</t>
  </si>
  <si>
    <t>500 000.00</t>
  </si>
  <si>
    <t>416 666.67</t>
  </si>
  <si>
    <t>83 333.33</t>
  </si>
  <si>
    <t>276 320.52</t>
  </si>
  <si>
    <t>230 267.10</t>
  </si>
  <si>
    <t>46 053.42</t>
  </si>
  <si>
    <t>89 199 021.60</t>
  </si>
  <si>
    <t>74 332 518.00</t>
  </si>
  <si>
    <t>14 866 503.60</t>
  </si>
  <si>
    <t>74 377 801.64</t>
  </si>
  <si>
    <t>61 981 501.37</t>
  </si>
  <si>
    <t>12 396 300.27</t>
  </si>
  <si>
    <t>451 882 638.13</t>
  </si>
  <si>
    <t>376 568 865.11</t>
  </si>
  <si>
    <t>75 313 773.02</t>
  </si>
  <si>
    <t>16 489 415.11</t>
  </si>
  <si>
    <t>13 741 179.26</t>
  </si>
  <si>
    <t>2 748 235.85</t>
  </si>
  <si>
    <t>6 074 114.59</t>
  </si>
  <si>
    <t>5 061 762.16</t>
  </si>
  <si>
    <t>1 012 352.43</t>
  </si>
  <si>
    <t>3 878 386.72</t>
  </si>
  <si>
    <t>3 231 988.93</t>
  </si>
  <si>
    <t>646 397.79</t>
  </si>
  <si>
    <t>9 492 444.17</t>
  </si>
  <si>
    <t>7 910 370.14</t>
  </si>
  <si>
    <t>1 582 074.03</t>
  </si>
  <si>
    <t>17 307 692.40</t>
  </si>
  <si>
    <t>14 423 077.00</t>
  </si>
  <si>
    <t>2 884 615.40</t>
  </si>
  <si>
    <t>8 703 129.60</t>
  </si>
  <si>
    <t>7 252 608.00</t>
  </si>
  <si>
    <t>1 450 521.60</t>
  </si>
  <si>
    <t>104 204 816.64</t>
  </si>
  <si>
    <t>86 837 347.20</t>
  </si>
  <si>
    <t>17 367 469.44</t>
  </si>
  <si>
    <t>392 000.00</t>
  </si>
  <si>
    <t>341 040.00</t>
  </si>
  <si>
    <t>50 960.00</t>
  </si>
  <si>
    <t>17 551 926.26</t>
  </si>
  <si>
    <t>14 626 605.22</t>
  </si>
  <si>
    <t>2 925 321.04</t>
  </si>
  <si>
    <t>10 358 181.00</t>
  </si>
  <si>
    <t>2 388 400.00</t>
  </si>
  <si>
    <t>6 524 752.00</t>
  </si>
  <si>
    <t>600 000.00</t>
  </si>
  <si>
    <t>100 000.00</t>
  </si>
  <si>
    <t>187 023 735.80</t>
  </si>
  <si>
    <t>155 853 113.17</t>
  </si>
  <si>
    <t>31 170 622.63</t>
  </si>
  <si>
    <t>3 833 296.16</t>
  </si>
  <si>
    <t>3 194 413.47</t>
  </si>
  <si>
    <t>638 882.69</t>
  </si>
  <si>
    <t>1 433 200.00</t>
  </si>
  <si>
    <t>11 840 498.75</t>
  </si>
  <si>
    <t>9 867 082.29</t>
  </si>
  <si>
    <t>1 973 416.46</t>
  </si>
  <si>
    <t>9 746 471.33</t>
  </si>
  <si>
    <t>8 122 059.44</t>
  </si>
  <si>
    <t>1 624 411.89</t>
  </si>
  <si>
    <t>38 878 508.80</t>
  </si>
  <si>
    <t>32 398 757.33</t>
  </si>
  <si>
    <t>6 479 751.47</t>
  </si>
  <si>
    <t>23 965 686.00</t>
  </si>
  <si>
    <t>19 971 405.00</t>
  </si>
  <si>
    <t>3 994 281.00</t>
  </si>
  <si>
    <t>6 686 208.00</t>
  </si>
  <si>
    <t>1 425 000.00</t>
  </si>
  <si>
    <t>1 239 750.00</t>
  </si>
  <si>
    <t>185 250.00</t>
  </si>
  <si>
    <t>9 694 258.02</t>
  </si>
  <si>
    <t>8 078 548.35</t>
  </si>
  <si>
    <t>1 615 709.67</t>
  </si>
  <si>
    <t>113 555.84</t>
  </si>
  <si>
    <t>94 629.87</t>
  </si>
  <si>
    <t>18 925.97</t>
  </si>
  <si>
    <t>69 963 896.99</t>
  </si>
  <si>
    <t>58 303 247.49</t>
  </si>
  <si>
    <t>11 660 649.50</t>
  </si>
  <si>
    <t>27 680 499.60</t>
  </si>
  <si>
    <t>23 067 083.00</t>
  </si>
  <si>
    <t>4 613 416.60</t>
  </si>
  <si>
    <t>872 650.00</t>
  </si>
  <si>
    <t>727 208.33</t>
  </si>
  <si>
    <t>145 441.67</t>
  </si>
  <si>
    <t>320 016 272.40</t>
  </si>
  <si>
    <t>266 680 227.00</t>
  </si>
  <si>
    <t>53 336 045.40</t>
  </si>
  <si>
    <t>264 675 103.26</t>
  </si>
  <si>
    <t>220 562 586.05</t>
  </si>
  <si>
    <t>44 112 517.21</t>
  </si>
  <si>
    <t>463 953 960.00</t>
  </si>
  <si>
    <t>386 628 300.00</t>
  </si>
  <si>
    <t>77 325 660.00</t>
  </si>
  <si>
    <t>70 848 760.24</t>
  </si>
  <si>
    <t>59 040 633.53</t>
  </si>
  <si>
    <t>11 808 126.71</t>
  </si>
  <si>
    <t>1 865 292.00</t>
  </si>
  <si>
    <t>1 554 410.00</t>
  </si>
  <si>
    <t>310 882.00</t>
  </si>
  <si>
    <t>354 961.02</t>
  </si>
  <si>
    <t>295 800.85</t>
  </si>
  <si>
    <t>59 160.17</t>
  </si>
  <si>
    <t>140 089.70</t>
  </si>
  <si>
    <t>116 741.42</t>
  </si>
  <si>
    <t>23 348.28</t>
  </si>
  <si>
    <t>8 106 240 220.51</t>
  </si>
  <si>
    <t>6 755 200 183.76</t>
  </si>
  <si>
    <t>1 351 040 036.75</t>
  </si>
  <si>
    <t>3 156 154.18</t>
  </si>
  <si>
    <t>2 630 128.48</t>
  </si>
  <si>
    <t>526 025.70</t>
  </si>
  <si>
    <t>2 383 261.14</t>
  </si>
  <si>
    <t>1 986 050.95</t>
  </si>
  <si>
    <t>397 210.19</t>
  </si>
  <si>
    <t>127 239 466.45</t>
  </si>
  <si>
    <t>106 032 888.71</t>
  </si>
  <si>
    <t>21 206 577.74</t>
  </si>
  <si>
    <t>5 923 059.60</t>
  </si>
  <si>
    <t>4 935 883.00</t>
  </si>
  <si>
    <t>987 176.60</t>
  </si>
  <si>
    <t>57 729 344.52</t>
  </si>
  <si>
    <t>48 107 787.10</t>
  </si>
  <si>
    <t>9 621 557.42</t>
  </si>
  <si>
    <t>17 856 777.60</t>
  </si>
  <si>
    <t>14 880 648.00</t>
  </si>
  <si>
    <t>2 976 129.60</t>
  </si>
  <si>
    <t>11 076 651.12</t>
  </si>
  <si>
    <t>9 230 542.60</t>
  </si>
  <si>
    <t>1 846 108.52</t>
  </si>
  <si>
    <t>37 608 382.92</t>
  </si>
  <si>
    <t>31 340 319.10</t>
  </si>
  <si>
    <t>6 268 063.82</t>
  </si>
  <si>
    <t>6 779 389 986.00</t>
  </si>
  <si>
    <t>5 649 491 655.00</t>
  </si>
  <si>
    <t>1 129 898 331.00</t>
  </si>
  <si>
    <t>1 468 922.40</t>
  </si>
  <si>
    <t>1 335 384.00</t>
  </si>
  <si>
    <t>133 538.40</t>
  </si>
  <si>
    <t>69 634.00</t>
  </si>
  <si>
    <t>129 000 000.00</t>
  </si>
  <si>
    <t>1 479 994.16</t>
  </si>
  <si>
    <t>1 233 328.47</t>
  </si>
  <si>
    <t>246 665.69</t>
  </si>
  <si>
    <t>10 793 919.14</t>
  </si>
  <si>
    <t>8 994 932.62</t>
  </si>
  <si>
    <t>1 798 986.52</t>
  </si>
  <si>
    <t>154 424 339.60</t>
  </si>
  <si>
    <t>128 686 949.67</t>
  </si>
  <si>
    <t>25 737 389.93</t>
  </si>
  <si>
    <t>40 420 486.70</t>
  </si>
  <si>
    <t>33 683 738.92</t>
  </si>
  <si>
    <t>6 736 747.78</t>
  </si>
  <si>
    <t>23 064.16</t>
  </si>
  <si>
    <t>1 204 200.00</t>
  </si>
  <si>
    <t>1 003 500.00</t>
  </si>
  <si>
    <t>200 700.00</t>
  </si>
  <si>
    <t>6 701 153.03</t>
  </si>
  <si>
    <t>4 806 245.30</t>
  </si>
  <si>
    <t>4 005 204.42</t>
  </si>
  <si>
    <t>801 040.88</t>
  </si>
  <si>
    <t>321 745.25</t>
  </si>
  <si>
    <t>268 121.04</t>
  </si>
  <si>
    <t>53 624.21</t>
  </si>
  <si>
    <t>22 035.00</t>
  </si>
  <si>
    <t>19 170.45</t>
  </si>
  <si>
    <t>2 864.55</t>
  </si>
  <si>
    <t>37 033.34</t>
  </si>
  <si>
    <t>30 861.12</t>
  </si>
  <si>
    <t>6 172.22</t>
  </si>
  <si>
    <t>14 056 881.60</t>
  </si>
  <si>
    <t>11 714 068.00</t>
  </si>
  <si>
    <t>2 342 813.60</t>
  </si>
  <si>
    <t>15 793 200.00</t>
  </si>
  <si>
    <t>13 161 000.00</t>
  </si>
  <si>
    <t>2 632 200.00</t>
  </si>
  <si>
    <t>8 771 983.64</t>
  </si>
  <si>
    <t>7 309 986.37</t>
  </si>
  <si>
    <t>1 461 997.27</t>
  </si>
  <si>
    <t>122 598.00</t>
  </si>
  <si>
    <t>102 165.00</t>
  </si>
  <si>
    <t>20 433.00</t>
  </si>
  <si>
    <t>20 748.91</t>
  </si>
  <si>
    <t>4 010 507.15</t>
  </si>
  <si>
    <t>752 644.22</t>
  </si>
  <si>
    <t>627 203.52</t>
  </si>
  <si>
    <t>125 440.70</t>
  </si>
  <si>
    <t>119 700.00</t>
  </si>
  <si>
    <t>99 750.00</t>
  </si>
  <si>
    <t>19 950.00</t>
  </si>
  <si>
    <t>240 029 630.03</t>
  </si>
  <si>
    <t>200 024 691.69</t>
  </si>
  <si>
    <t>40 004 938.34</t>
  </si>
  <si>
    <t>1 601 999 928.00</t>
  </si>
  <si>
    <t>1 334 999 940.00</t>
  </si>
  <si>
    <t>266 999 988.00</t>
  </si>
  <si>
    <t>111 960 000.00</t>
  </si>
  <si>
    <t>93 300 000.00</t>
  </si>
  <si>
    <t>18 660 000.00</t>
  </si>
  <si>
    <t>2 666 940.00</t>
  </si>
  <si>
    <t>2 222 450.00</t>
  </si>
  <si>
    <t>444 490.00</t>
  </si>
  <si>
    <t>1 090 508.77</t>
  </si>
  <si>
    <t>908 757.31</t>
  </si>
  <si>
    <t>181 751.46</t>
  </si>
  <si>
    <t>3 258 008.00</t>
  </si>
  <si>
    <t>3 232 340.00</t>
  </si>
  <si>
    <t>25 668.00</t>
  </si>
  <si>
    <t>1 218 205.92</t>
  </si>
  <si>
    <t>4 832.74</t>
  </si>
  <si>
    <t>10 381 696 916.16</t>
  </si>
  <si>
    <t>8 651 414 096.80</t>
  </si>
  <si>
    <t>1 730 282 819.36</t>
  </si>
  <si>
    <t>1 857.90</t>
  </si>
  <si>
    <t>31 127 757.67</t>
  </si>
  <si>
    <t>25 939 798.06</t>
  </si>
  <si>
    <t>5 187 959.61</t>
  </si>
  <si>
    <t>171 494 166.00</t>
  </si>
  <si>
    <t>142 911 805.00</t>
  </si>
  <si>
    <t>28 582 361.00</t>
  </si>
  <si>
    <t>155 119 736.40</t>
  </si>
  <si>
    <t>110 315 634.35</t>
  </si>
  <si>
    <t>91 929 695.29</t>
  </si>
  <si>
    <t>18 385 939.06</t>
  </si>
  <si>
    <t>3 825 765 980.74</t>
  </si>
  <si>
    <t>3 188 138 317.28</t>
  </si>
  <si>
    <t>637 627 663.46</t>
  </si>
  <si>
    <t>5 128 381.44</t>
  </si>
  <si>
    <t>4 273 651.20</t>
  </si>
  <si>
    <t>854 730.24</t>
  </si>
  <si>
    <t>1 549 608.64</t>
  </si>
  <si>
    <t>16 200 000.00</t>
  </si>
  <si>
    <t>13 500 000.00</t>
  </si>
  <si>
    <t>2 700 000.00</t>
  </si>
  <si>
    <t>6 212 736.59</t>
  </si>
  <si>
    <t>5 177 280.49</t>
  </si>
  <si>
    <t>1 035 456.10</t>
  </si>
  <si>
    <t>39 659.40</t>
  </si>
  <si>
    <t>33 049.50</t>
  </si>
  <si>
    <t>6 609.90</t>
  </si>
  <si>
    <t>3 930 653 910.95</t>
  </si>
  <si>
    <t>3 275 544 925.79</t>
  </si>
  <si>
    <t>655 108 985.16</t>
  </si>
  <si>
    <t>155 620.00</t>
  </si>
  <si>
    <t>27 842 633.68</t>
  </si>
  <si>
    <t>23 202 194.73</t>
  </si>
  <si>
    <t>4 640 438.95</t>
  </si>
  <si>
    <t>1 299 000.00</t>
  </si>
  <si>
    <t>1 130 130.00</t>
  </si>
  <si>
    <t>168 870.00</t>
  </si>
  <si>
    <t>6 701 113.03</t>
  </si>
  <si>
    <t>464 440.88</t>
  </si>
  <si>
    <t>3 518 040.00</t>
  </si>
  <si>
    <t>2 931 700.00</t>
  </si>
  <si>
    <t>586 340.00</t>
  </si>
  <si>
    <t>64 990 464.00</t>
  </si>
  <si>
    <t>54 158 720.00</t>
  </si>
  <si>
    <t>10 831 744.00</t>
  </si>
  <si>
    <t>6 761 223.35</t>
  </si>
  <si>
    <t>5 634 352.79</t>
  </si>
  <si>
    <t>1 126 870.56</t>
  </si>
  <si>
    <t>4 437 370.01</t>
  </si>
  <si>
    <t>3 697 808.34</t>
  </si>
  <si>
    <t>739 561.67</t>
  </si>
  <si>
    <t>17 999 880.00</t>
  </si>
  <si>
    <t>14 999 900.00</t>
  </si>
  <si>
    <t>2 999 980.00</t>
  </si>
  <si>
    <t>7 019 242.27</t>
  </si>
  <si>
    <t>5 849 368.56</t>
  </si>
  <si>
    <t>1 169 873.71</t>
  </si>
  <si>
    <t>1 705 931 379.00</t>
  </si>
  <si>
    <t>1 421 609 482.50</t>
  </si>
  <si>
    <t>284 321 896.50</t>
  </si>
  <si>
    <t>2 310 750 488.54</t>
  </si>
  <si>
    <t>1 925 625 407.12</t>
  </si>
  <si>
    <t>385 125 081.42</t>
  </si>
  <si>
    <t>1 643 485.88</t>
  </si>
  <si>
    <t>1 369 571.57</t>
  </si>
  <si>
    <t>273 914.31</t>
  </si>
  <si>
    <t>1 785 243.74</t>
  </si>
  <si>
    <t>1 487 703.12</t>
  </si>
  <si>
    <t>297 540.62</t>
  </si>
  <si>
    <t>1 013 636.00</t>
  </si>
  <si>
    <t>215 109.50</t>
  </si>
  <si>
    <t>179 257.92</t>
  </si>
  <si>
    <t>35 851.58</t>
  </si>
  <si>
    <t>4 667 221.10</t>
  </si>
  <si>
    <t>3 889 350.92</t>
  </si>
  <si>
    <t>777 870.18</t>
  </si>
  <si>
    <t>8 824 266.00</t>
  </si>
  <si>
    <t>7 353 555.00</t>
  </si>
  <si>
    <t>1 470 711.00</t>
  </si>
  <si>
    <t>282 711.63</t>
  </si>
  <si>
    <t>235 593.02</t>
  </si>
  <si>
    <t>47 118.61</t>
  </si>
  <si>
    <t>9 385 730.35</t>
  </si>
  <si>
    <t>7 821 441.96</t>
  </si>
  <si>
    <t>1 564 288.39</t>
  </si>
  <si>
    <t>3 450 000.00</t>
  </si>
  <si>
    <t>2 875 000.00</t>
  </si>
  <si>
    <t>575 000.00</t>
  </si>
  <si>
    <t>45 497 724.00</t>
  </si>
  <si>
    <t>16 732 746.00</t>
  </si>
  <si>
    <t>13 943 955.00</t>
  </si>
  <si>
    <t>2 788 791.00</t>
  </si>
  <si>
    <t>823 121.03</t>
  </si>
  <si>
    <t>685 934.19</t>
  </si>
  <si>
    <t>137 186.84</t>
  </si>
  <si>
    <t>1 094 781.84</t>
  </si>
  <si>
    <t>912 318.20</t>
  </si>
  <si>
    <t>182 463.64</t>
  </si>
  <si>
    <t>59 180 559.41</t>
  </si>
  <si>
    <t>49 317 132.84</t>
  </si>
  <si>
    <t>9 863 426.57</t>
  </si>
  <si>
    <t>1 102 500.00</t>
  </si>
  <si>
    <t>3 531 396.97</t>
  </si>
  <si>
    <t>2 942 830.81</t>
  </si>
  <si>
    <t>588 566.16</t>
  </si>
  <si>
    <t>738 820.00</t>
  </si>
  <si>
    <t>333 872 187.90</t>
  </si>
  <si>
    <t>278 226 823.25</t>
  </si>
  <si>
    <t>55 645 364.65</t>
  </si>
  <si>
    <t>1 367 431.89</t>
  </si>
  <si>
    <t>2 680 716.00</t>
  </si>
  <si>
    <t>2 233 930.00</t>
  </si>
  <si>
    <t>446 786.00</t>
  </si>
  <si>
    <t>2 285 438 611.18</t>
  </si>
  <si>
    <t>1 904 532 175.98</t>
  </si>
  <si>
    <t>380 906 435.20</t>
  </si>
  <si>
    <t>2 395 813.12</t>
  </si>
  <si>
    <t>1 996 510.93</t>
  </si>
  <si>
    <t>399 302.19</t>
  </si>
  <si>
    <t>24 400 000.00</t>
  </si>
  <si>
    <t>3 119 525.14</t>
  </si>
  <si>
    <t>2 599 604.28</t>
  </si>
  <si>
    <t>519 920.86</t>
  </si>
  <si>
    <t>1 732 440 237.71</t>
  </si>
  <si>
    <t>1 443 700 198.09</t>
  </si>
  <si>
    <t>288 740 039.62</t>
  </si>
  <si>
    <t>6 787 234.80</t>
  </si>
  <si>
    <t>5 656 029.00</t>
  </si>
  <si>
    <t>1 131 205.80</t>
  </si>
  <si>
    <t>75 077 454.00</t>
  </si>
  <si>
    <t>62 564 545.00</t>
  </si>
  <si>
    <t>12 512 909.00</t>
  </si>
  <si>
    <t>6 392 490.62</t>
  </si>
  <si>
    <t>5 327 075.52</t>
  </si>
  <si>
    <t>1 065 415.10</t>
  </si>
  <si>
    <t>759 938.75</t>
  </si>
  <si>
    <t>633 282.29</t>
  </si>
  <si>
    <t>126 656.46</t>
  </si>
  <si>
    <t>42 112 190.40</t>
  </si>
  <si>
    <t>35 093 492.00</t>
  </si>
  <si>
    <t>7 018 698.40</t>
  </si>
  <si>
    <t>160 612 915.82</t>
  </si>
  <si>
    <t>133 844 096.52</t>
  </si>
  <si>
    <t>26 768 819.30</t>
  </si>
  <si>
    <t>116 151 369.60</t>
  </si>
  <si>
    <t>96 792 808.00</t>
  </si>
  <si>
    <t>19 358 561.60</t>
  </si>
  <si>
    <t>2 396 182.80</t>
  </si>
  <si>
    <t>1 996 819.00</t>
  </si>
  <si>
    <t>399 363.80</t>
  </si>
  <si>
    <t>5 854 147.20</t>
  </si>
  <si>
    <t>4 878 456.00</t>
  </si>
  <si>
    <t>975 691.20</t>
  </si>
  <si>
    <t>69 000.00</t>
  </si>
  <si>
    <t>13 800.00</t>
  </si>
  <si>
    <t>4 536 000.00</t>
  </si>
  <si>
    <t>3 780 000.00</t>
  </si>
  <si>
    <t>756 000.00</t>
  </si>
  <si>
    <t>2 256 420.00</t>
  </si>
  <si>
    <t>1 880 350.00</t>
  </si>
  <si>
    <t>376 070.00</t>
  </si>
  <si>
    <t>1 019 798.01</t>
  </si>
  <si>
    <t>887 224.01</t>
  </si>
  <si>
    <t>132 574.00</t>
  </si>
  <si>
    <t>23 387 493.49</t>
  </si>
  <si>
    <t>19 489 577.91</t>
  </si>
  <si>
    <t>3 897 915.58</t>
  </si>
  <si>
    <t>3 430 318.75</t>
  </si>
  <si>
    <t>2 858 598.96</t>
  </si>
  <si>
    <t>571 719.79</t>
  </si>
  <si>
    <t>16 342 400.90</t>
  </si>
  <si>
    <t>13 618 667.42</t>
  </si>
  <si>
    <t>2 723 733.48</t>
  </si>
  <si>
    <t>9 930 259 629.07</t>
  </si>
  <si>
    <t>8 275 216 357.56</t>
  </si>
  <si>
    <t>1 655 043 271.51</t>
  </si>
  <si>
    <t>78 665 862.00</t>
  </si>
  <si>
    <t>65 554 885.00</t>
  </si>
  <si>
    <t>13 110 977.00</t>
  </si>
  <si>
    <t>295 577.08</t>
  </si>
  <si>
    <t>2 471 351.72</t>
  </si>
  <si>
    <t>2 059 459.77</t>
  </si>
  <si>
    <t>411 891.95</t>
  </si>
  <si>
    <t>3 338 374.80</t>
  </si>
  <si>
    <t>2 781 979.00</t>
  </si>
  <si>
    <t>556 395.80</t>
  </si>
  <si>
    <t>715 000.00</t>
  </si>
  <si>
    <t>622 050.00</t>
  </si>
  <si>
    <t>92 950.00</t>
  </si>
  <si>
    <t>11 994 000.00</t>
  </si>
  <si>
    <t>9 995 000.00</t>
  </si>
  <si>
    <t>1 999 000.00</t>
  </si>
  <si>
    <t>244 409 031.60</t>
  </si>
  <si>
    <t>203 674 193.00</t>
  </si>
  <si>
    <t>40 734 838.60</t>
  </si>
  <si>
    <t>785 681.18</t>
  </si>
  <si>
    <t>654 734.32</t>
  </si>
  <si>
    <t>130 946.86</t>
  </si>
  <si>
    <t>2 498 826 450.14</t>
  </si>
  <si>
    <t>2 082 355 375.12</t>
  </si>
  <si>
    <t>416 471 075.02</t>
  </si>
  <si>
    <t>16 538.71</t>
  </si>
  <si>
    <t>13 782.26</t>
  </si>
  <si>
    <t>2 756.45</t>
  </si>
  <si>
    <t>8 855 068.80</t>
  </si>
  <si>
    <t>7 379 224.00</t>
  </si>
  <si>
    <t>1 475 844.80</t>
  </si>
  <si>
    <t>2 049 015.46</t>
  </si>
  <si>
    <t>273 465 256.80</t>
  </si>
  <si>
    <t>227 887 714.00</t>
  </si>
  <si>
    <t>45 577 542.80</t>
  </si>
  <si>
    <t>4 263 006.00</t>
  </si>
  <si>
    <t>3 552 505.00</t>
  </si>
  <si>
    <t>710 501.00</t>
  </si>
  <si>
    <t>933 900 787.13</t>
  </si>
  <si>
    <t>778 250 655.94</t>
  </si>
  <si>
    <t>155 650 131.19</t>
  </si>
  <si>
    <t>1 034 852 959.99</t>
  </si>
  <si>
    <t>862 377 466.66</t>
  </si>
  <si>
    <t>172 475 493.33</t>
  </si>
  <si>
    <t>1 162 339.20</t>
  </si>
  <si>
    <t>968 616.00</t>
  </si>
  <si>
    <t>193 723.20</t>
  </si>
  <si>
    <t>5 256 590.62</t>
  </si>
  <si>
    <t>4 380 492.18</t>
  </si>
  <si>
    <t>876 098.44</t>
  </si>
  <si>
    <t>37 272 413.70</t>
  </si>
  <si>
    <t>31 060 344.75</t>
  </si>
  <si>
    <t>6 212 068.95</t>
  </si>
  <si>
    <t>4 931 136.00</t>
  </si>
  <si>
    <t>4 109 280.00</t>
  </si>
  <si>
    <t>821 856.00</t>
  </si>
  <si>
    <t>499 770.11</t>
  </si>
  <si>
    <t>434 800.00</t>
  </si>
  <si>
    <t>64 900.11</t>
  </si>
  <si>
    <t>767 050.00</t>
  </si>
  <si>
    <t>4 167 206.40</t>
  </si>
  <si>
    <t>3 472 672.00</t>
  </si>
  <si>
    <t>694 534.40</t>
  </si>
  <si>
    <t>2 411 020 625.71</t>
  </si>
  <si>
    <t>2 009 183 854.76</t>
  </si>
  <si>
    <t>401 836 770.95</t>
  </si>
  <si>
    <t>6 313 800.00</t>
  </si>
  <si>
    <t>5 261 500.00</t>
  </si>
  <si>
    <t>1 052 300.00</t>
  </si>
  <si>
    <t>313 200.00</t>
  </si>
  <si>
    <t>46 800.00</t>
  </si>
  <si>
    <t>5 981 201.77</t>
  </si>
  <si>
    <t>4 984 334.81</t>
  </si>
  <si>
    <t>996 866.96</t>
  </si>
  <si>
    <t>1 666 666 666.67</t>
  </si>
  <si>
    <t>333 333 333.33</t>
  </si>
  <si>
    <t>3 154 476.00</t>
  </si>
  <si>
    <t>2 628 730.00</t>
  </si>
  <si>
    <t>525 746.00</t>
  </si>
  <si>
    <t>4 380.22</t>
  </si>
  <si>
    <t>3 650.18</t>
  </si>
  <si>
    <t>253 541 840.40</t>
  </si>
  <si>
    <t>211 284 867.00</t>
  </si>
  <si>
    <t>42 256 973.40</t>
  </si>
  <si>
    <t>5 324 059.78</t>
  </si>
  <si>
    <t>4 436 716.48</t>
  </si>
  <si>
    <t>887 343.30</t>
  </si>
  <si>
    <t>9 748 380.00</t>
  </si>
  <si>
    <t>8 123 650.00</t>
  </si>
  <si>
    <t>1 624 730.00</t>
  </si>
  <si>
    <t>2 465 275 200.00</t>
  </si>
  <si>
    <t>2 054 396 000.00</t>
  </si>
  <si>
    <t>410 879 200.00</t>
  </si>
  <si>
    <t>21 409 019.17</t>
  </si>
  <si>
    <t>17 840 849.31</t>
  </si>
  <si>
    <t>3 568 169.86</t>
  </si>
  <si>
    <t>2 203 812.00</t>
  </si>
  <si>
    <t>1 836 510.00</t>
  </si>
  <si>
    <t>367 302.00</t>
  </si>
  <si>
    <t>121 446 265.27</t>
  </si>
  <si>
    <t>101 205 221.06</t>
  </si>
  <si>
    <t>20 241 044.21</t>
  </si>
  <si>
    <t>72 459 852.24</t>
  </si>
  <si>
    <t>60 383 210.20</t>
  </si>
  <si>
    <t>12 076 642.04</t>
  </si>
  <si>
    <t>900 077 742.86</t>
  </si>
  <si>
    <t>750 064 785.72</t>
  </si>
  <si>
    <t>150 012 957.14</t>
  </si>
  <si>
    <t>1 920 196.80</t>
  </si>
  <si>
    <t>1 600 164.00</t>
  </si>
  <si>
    <t>320 032.80</t>
  </si>
  <si>
    <t>30 000.00</t>
  </si>
  <si>
    <t>54 041 096.32</t>
  </si>
  <si>
    <t>45 034 246.93</t>
  </si>
  <si>
    <t>9 006 849.39</t>
  </si>
  <si>
    <t>1 320 052.80</t>
  </si>
  <si>
    <t>1 100 044.00</t>
  </si>
  <si>
    <t>220 008.80</t>
  </si>
  <si>
    <t>1 298 022.91</t>
  </si>
  <si>
    <t>1 081 685.76</t>
  </si>
  <si>
    <t>216 337.15</t>
  </si>
  <si>
    <t>68 121 823 471.06</t>
  </si>
  <si>
    <t>56 768 186 225.88</t>
  </si>
  <si>
    <t>11 353 637 245.18</t>
  </si>
  <si>
    <t>1 188 330.00</t>
  </si>
  <si>
    <t>990 275.00</t>
  </si>
  <si>
    <t>198 055.00</t>
  </si>
  <si>
    <t>42 368 241 627.37</t>
  </si>
  <si>
    <t>35 306 868 022.81</t>
  </si>
  <si>
    <t>7 061 373 604.56</t>
  </si>
  <si>
    <t>598 575.00</t>
  </si>
  <si>
    <t>498 812.50</t>
  </si>
  <si>
    <t>99 762.50</t>
  </si>
  <si>
    <t>56 628 551 231.05</t>
  </si>
  <si>
    <t>47 190 459 359.21</t>
  </si>
  <si>
    <t>9 438 091 871.84</t>
  </si>
  <si>
    <t>49 485 719 540.88</t>
  </si>
  <si>
    <t>41 238 099 617.40</t>
  </si>
  <si>
    <t>8 247 619 923.48</t>
  </si>
  <si>
    <t>87 517 892 640.83</t>
  </si>
  <si>
    <t>72 931 577 200.69</t>
  </si>
  <si>
    <t>14 586 315 440.14</t>
  </si>
  <si>
    <t>469 562 063.54</t>
  </si>
  <si>
    <t>391 301 719.62</t>
  </si>
  <si>
    <t>78 260 343.92</t>
  </si>
  <si>
    <t>1 474 032.00</t>
  </si>
  <si>
    <t>1 228 360.00</t>
  </si>
  <si>
    <t>245 672.00</t>
  </si>
  <si>
    <t>4 314 240.00</t>
  </si>
  <si>
    <t>3 595 200.00</t>
  </si>
  <si>
    <t>719 040.00</t>
  </si>
  <si>
    <t>7 680 565.26</t>
  </si>
  <si>
    <t>6 400 471.05</t>
  </si>
  <si>
    <t>1 280 094.21</t>
  </si>
  <si>
    <t>89 777 133.60</t>
  </si>
  <si>
    <t>74 814 278.00</t>
  </si>
  <si>
    <t>14 962 855.60</t>
  </si>
  <si>
    <t>71 620.61</t>
  </si>
  <si>
    <t>59 683.84</t>
  </si>
  <si>
    <t>11 936.77</t>
  </si>
  <si>
    <t>319 226 547.60</t>
  </si>
  <si>
    <t>266 022 123.00</t>
  </si>
  <si>
    <t>53 204 424.60</t>
  </si>
  <si>
    <t>35 287 980.66</t>
  </si>
  <si>
    <t>29 406 650.55</t>
  </si>
  <si>
    <t>5 881 330.11</t>
  </si>
  <si>
    <t>31 891 170.02</t>
  </si>
  <si>
    <t>26 575 975.02</t>
  </si>
  <si>
    <t>5 315 195.00</t>
  </si>
  <si>
    <t>126 150.00</t>
  </si>
  <si>
    <t>18 850.00</t>
  </si>
  <si>
    <t>725 619.64</t>
  </si>
  <si>
    <t>604 683.03</t>
  </si>
  <si>
    <t>120 936.61</t>
  </si>
  <si>
    <t>467 700 000.00</t>
  </si>
  <si>
    <t>389 750 000.00</t>
  </si>
  <si>
    <t>77 950 000.00</t>
  </si>
  <si>
    <t>343 703.39</t>
  </si>
  <si>
    <t>1 122 550.56</t>
  </si>
  <si>
    <t>935 458.80</t>
  </si>
  <si>
    <t>187 091.76</t>
  </si>
  <si>
    <t>1 368 276.15</t>
  </si>
  <si>
    <t>196 159.40</t>
  </si>
  <si>
    <t>163 466.17</t>
  </si>
  <si>
    <t>32 693.23</t>
  </si>
  <si>
    <t>15 953.97</t>
  </si>
  <si>
    <t>3 237 865 266.46</t>
  </si>
  <si>
    <t>2 698 221 055.38</t>
  </si>
  <si>
    <t>539 644 211.08</t>
  </si>
  <si>
    <t>2 697.21</t>
  </si>
  <si>
    <t>9 494 812.80</t>
  </si>
  <si>
    <t>7 912 344.00</t>
  </si>
  <si>
    <t>1 582 468.80</t>
  </si>
  <si>
    <t>12 395 535.52</t>
  </si>
  <si>
    <t>10 329 612.93</t>
  </si>
  <si>
    <t>2 065 922.59</t>
  </si>
  <si>
    <t>101 817 876.00</t>
  </si>
  <si>
    <t>84 848 230.00</t>
  </si>
  <si>
    <t>16 969 646.00</t>
  </si>
  <si>
    <t>38 825 606.44</t>
  </si>
  <si>
    <t>32 354 672.03</t>
  </si>
  <si>
    <t>6 470 934.41</t>
  </si>
  <si>
    <t>174 377 829.54</t>
  </si>
  <si>
    <t>145 314 857.95</t>
  </si>
  <si>
    <t>29 062 971.59</t>
  </si>
  <si>
    <t>44 100.00</t>
  </si>
  <si>
    <t>36 750.00</t>
  </si>
  <si>
    <t>7 350.00</t>
  </si>
  <si>
    <t>160 000.00</t>
  </si>
  <si>
    <t>139 200.00</t>
  </si>
  <si>
    <t>20 800.00</t>
  </si>
  <si>
    <t>426 000.00</t>
  </si>
  <si>
    <t>355 000.00</t>
  </si>
  <si>
    <t>71 000.00</t>
  </si>
  <si>
    <t>9 972 138.00</t>
  </si>
  <si>
    <t>8 310 115.00</t>
  </si>
  <si>
    <t>1 662 023.00</t>
  </si>
  <si>
    <t>1 048 800.00</t>
  </si>
  <si>
    <t>874 000.00</t>
  </si>
  <si>
    <t>174 800.00</t>
  </si>
  <si>
    <t>989 432.65</t>
  </si>
  <si>
    <t>824 527.21</t>
  </si>
  <si>
    <t>164 905.44</t>
  </si>
  <si>
    <t>1 636 626.95</t>
  </si>
  <si>
    <t>90 958.79</t>
  </si>
  <si>
    <t>75 798.99</t>
  </si>
  <si>
    <t>15 159.80</t>
  </si>
  <si>
    <t>28 746 876.24</t>
  </si>
  <si>
    <t>23 955 730.20</t>
  </si>
  <si>
    <t>4 791 146.04</t>
  </si>
  <si>
    <t>3 000 000.00</t>
  </si>
  <si>
    <t>309 049.45</t>
  </si>
  <si>
    <t>257 541.21</t>
  </si>
  <si>
    <t>51 508.24</t>
  </si>
  <si>
    <t>80 064.68</t>
  </si>
  <si>
    <t>43 200 000.00</t>
  </si>
  <si>
    <t>36 000 000.00</t>
  </si>
  <si>
    <t>7 200 000.00</t>
  </si>
  <si>
    <t>613 286.30</t>
  </si>
  <si>
    <t>5 008 800.00</t>
  </si>
  <si>
    <t>4 174 000.00</t>
  </si>
  <si>
    <t>834 800.00</t>
  </si>
  <si>
    <t>177 770 392.37</t>
  </si>
  <si>
    <t>148 141 993.64</t>
  </si>
  <si>
    <t>29 628 398.73</t>
  </si>
  <si>
    <t>4 433 040.10</t>
  </si>
  <si>
    <t>3 694 200.08</t>
  </si>
  <si>
    <t>738 840.02</t>
  </si>
  <si>
    <t>40 032.34</t>
  </si>
  <si>
    <t>34 828.14</t>
  </si>
  <si>
    <t>5 204.20</t>
  </si>
  <si>
    <t>641 520.00</t>
  </si>
  <si>
    <t>534 600.00</t>
  </si>
  <si>
    <t>106 920.00</t>
  </si>
  <si>
    <t>588 380.33</t>
  </si>
  <si>
    <t>322 401 735.00</t>
  </si>
  <si>
    <t>268 668 112.50</t>
  </si>
  <si>
    <t>53 733 622.50</t>
  </si>
  <si>
    <t>2 269 179.43</t>
  </si>
  <si>
    <t>1 890 982.86</t>
  </si>
  <si>
    <t>378 196.57</t>
  </si>
  <si>
    <t>462 310 921.79</t>
  </si>
  <si>
    <t>385 259 101.49</t>
  </si>
  <si>
    <t>77 051 820.30</t>
  </si>
  <si>
    <t>502 005 415.20</t>
  </si>
  <si>
    <t>418 337 846.00</t>
  </si>
  <si>
    <t>83 667 569.20</t>
  </si>
  <si>
    <t>3 081 834.00</t>
  </si>
  <si>
    <t>2 568 195.00</t>
  </si>
  <si>
    <t>513 639.00</t>
  </si>
  <si>
    <t>61 357 768.80</t>
  </si>
  <si>
    <t>51 131 474.00</t>
  </si>
  <si>
    <t>10 226 294.80</t>
  </si>
  <si>
    <t>171 210.37</t>
  </si>
  <si>
    <t>5 788 430.69</t>
  </si>
  <si>
    <t>4 823 692.24</t>
  </si>
  <si>
    <t>964 738.45</t>
  </si>
  <si>
    <t>3 061 139.32</t>
  </si>
  <si>
    <t>2 550 949.43</t>
  </si>
  <si>
    <t>510 189.89</t>
  </si>
  <si>
    <t>68 466.06</t>
  </si>
  <si>
    <t>1 230 195.00</t>
  </si>
  <si>
    <t>79 338 374.93</t>
  </si>
  <si>
    <t>66 115 312.44</t>
  </si>
  <si>
    <t>13 223 062.49</t>
  </si>
  <si>
    <t>1 462 500.00</t>
  </si>
  <si>
    <t>1 272 375.00</t>
  </si>
  <si>
    <t>190 125.00</t>
  </si>
  <si>
    <t>700 000.00</t>
  </si>
  <si>
    <t>609 000.00</t>
  </si>
  <si>
    <t>91 000.00</t>
  </si>
  <si>
    <t>185 518 292.40</t>
  </si>
  <si>
    <t>154 598 577.00</t>
  </si>
  <si>
    <t>30 919 715.40</t>
  </si>
  <si>
    <t>147 692.30</t>
  </si>
  <si>
    <t>128 492.30</t>
  </si>
  <si>
    <t>19 200.00</t>
  </si>
  <si>
    <t>5 853 627.50</t>
  </si>
  <si>
    <t>4 878 022.92</t>
  </si>
  <si>
    <t>975 604.58</t>
  </si>
  <si>
    <t>310 918.08</t>
  </si>
  <si>
    <t>259 098.40</t>
  </si>
  <si>
    <t>51 819.68</t>
  </si>
  <si>
    <t>391 325 941.86</t>
  </si>
  <si>
    <t>326 104 951.55</t>
  </si>
  <si>
    <t>65 220 990.31</t>
  </si>
  <si>
    <t>15 628 431.48</t>
  </si>
  <si>
    <t>13 023 692.90</t>
  </si>
  <si>
    <t>2 604 738.58</t>
  </si>
  <si>
    <t>2 734 692.00</t>
  </si>
  <si>
    <t>2 278 910.00</t>
  </si>
  <si>
    <t>455 782.00</t>
  </si>
  <si>
    <t>556 735.20</t>
  </si>
  <si>
    <t>463 946.00</t>
  </si>
  <si>
    <t>92 789.20</t>
  </si>
  <si>
    <t>210 000.00</t>
  </si>
  <si>
    <t>182 700.00</t>
  </si>
  <si>
    <t>27 300.00</t>
  </si>
  <si>
    <t>1 605 910.39</t>
  </si>
  <si>
    <t>1 338 258.66</t>
  </si>
  <si>
    <t>267 651.73</t>
  </si>
  <si>
    <t>552 060 724.34</t>
  </si>
  <si>
    <t>460 050 603.62</t>
  </si>
  <si>
    <t>92 010 120.72</t>
  </si>
  <si>
    <t>2 074 176.00</t>
  </si>
  <si>
    <t>1 728 480.00</t>
  </si>
  <si>
    <t>345 696.00</t>
  </si>
  <si>
    <t>5 477 460 698.29</t>
  </si>
  <si>
    <t>4 564 550 581.91</t>
  </si>
  <si>
    <t>912 910 116.38</t>
  </si>
  <si>
    <t>2 412 830.88</t>
  </si>
  <si>
    <t>2 010 692.40</t>
  </si>
  <si>
    <t>402 138.48</t>
  </si>
  <si>
    <t>116 242 041.77</t>
  </si>
  <si>
    <t>96 868 368.14</t>
  </si>
  <si>
    <t>19 373 673.63</t>
  </si>
  <si>
    <t>596 697.55</t>
  </si>
  <si>
    <t>3 771 838.66</t>
  </si>
  <si>
    <t>3 143 198.88</t>
  </si>
  <si>
    <t>628 639.78</t>
  </si>
  <si>
    <t>372 113 220.92</t>
  </si>
  <si>
    <t>310 094 350.77</t>
  </si>
  <si>
    <t>62 018 870.15</t>
  </si>
  <si>
    <t>1 188 000.00</t>
  </si>
  <si>
    <t>198 000.00</t>
  </si>
  <si>
    <t>469 260.00</t>
  </si>
  <si>
    <t>391 050.00</t>
  </si>
  <si>
    <t>78 210.00</t>
  </si>
  <si>
    <t>189 000.00</t>
  </si>
  <si>
    <t>157 500.00</t>
  </si>
  <si>
    <t>31 500.00</t>
  </si>
  <si>
    <t>357 573.15</t>
  </si>
  <si>
    <t>3 925 895 731.16</t>
  </si>
  <si>
    <t>3 271 579 775.97</t>
  </si>
  <si>
    <t>654 315 955.19</t>
  </si>
  <si>
    <t>185 223 806.40</t>
  </si>
  <si>
    <t>154 353 172.00</t>
  </si>
  <si>
    <t>30 870 634.40</t>
  </si>
  <si>
    <t>10 328 864.11</t>
  </si>
  <si>
    <t>8 607 386.76</t>
  </si>
  <si>
    <t>1 721 477.35</t>
  </si>
  <si>
    <t>636 300 000.00</t>
  </si>
  <si>
    <t>530 250 000.00</t>
  </si>
  <si>
    <t>106 050 000.00</t>
  </si>
  <si>
    <t>544 953.05</t>
  </si>
  <si>
    <t>454 127.54</t>
  </si>
  <si>
    <t>90 825.51</t>
  </si>
  <si>
    <t>206 092.59</t>
  </si>
  <si>
    <t>171 743.82</t>
  </si>
  <si>
    <t>34 348.77</t>
  </si>
  <si>
    <t>21 424 693.50</t>
  </si>
  <si>
    <t>17 853 911.25</t>
  </si>
  <si>
    <t>3 570 782.25</t>
  </si>
  <si>
    <t>1 348 749.60</t>
  </si>
  <si>
    <t>1 123 958.00</t>
  </si>
  <si>
    <t>224 791.60</t>
  </si>
  <si>
    <t>2 421 255.56</t>
  </si>
  <si>
    <t>2 017 712.97</t>
  </si>
  <si>
    <t>403 542.59</t>
  </si>
  <si>
    <t>67 040 001.31</t>
  </si>
  <si>
    <t>55 866 667.76</t>
  </si>
  <si>
    <t>11 173 333.55</t>
  </si>
  <si>
    <t>57 979 021.00</t>
  </si>
  <si>
    <t>4 322 254.54</t>
  </si>
  <si>
    <t>3 601 878.78</t>
  </si>
  <si>
    <t>720 375.76</t>
  </si>
  <si>
    <t>1 793 298.00</t>
  </si>
  <si>
    <t>1 494 415.00</t>
  </si>
  <si>
    <t>298 883.00</t>
  </si>
  <si>
    <t>509 019.30</t>
  </si>
  <si>
    <t>424 182.75</t>
  </si>
  <si>
    <t>84 836.55</t>
  </si>
  <si>
    <t>3 795 991.15</t>
  </si>
  <si>
    <t>3 163 325.96</t>
  </si>
  <si>
    <t>632 665.19</t>
  </si>
  <si>
    <t>11 242 892.88</t>
  </si>
  <si>
    <t>9 369 077.40</t>
  </si>
  <si>
    <t>1 873 815.48</t>
  </si>
  <si>
    <t>2 360 260.80</t>
  </si>
  <si>
    <t>1 966 884.00</t>
  </si>
  <si>
    <t>393 376.80</t>
  </si>
  <si>
    <t>342 420.74</t>
  </si>
  <si>
    <t>199 238 178.00</t>
  </si>
  <si>
    <t>166 031 815.00</t>
  </si>
  <si>
    <t>33 206 363.00</t>
  </si>
  <si>
    <t>130 839 573.60</t>
  </si>
  <si>
    <t>109 032 978.00</t>
  </si>
  <si>
    <t>21 806 595.60</t>
  </si>
  <si>
    <t>39 410 090.68</t>
  </si>
  <si>
    <t>70 842 621.46</t>
  </si>
  <si>
    <t>59 035 517.88</t>
  </si>
  <si>
    <t>11 807 103.58</t>
  </si>
  <si>
    <t>1 623 045.39</t>
  </si>
  <si>
    <t>1 352 537.82</t>
  </si>
  <si>
    <t>270 507.57</t>
  </si>
  <si>
    <t>367 024 800.00</t>
  </si>
  <si>
    <t>305 854 000.00</t>
  </si>
  <si>
    <t>61 170 800.00</t>
  </si>
  <si>
    <t>7 544 311.32</t>
  </si>
  <si>
    <t>1 789 267.68</t>
  </si>
  <si>
    <t>1 491 056.40</t>
  </si>
  <si>
    <t>298 211.28</t>
  </si>
  <si>
    <t>41 584.06</t>
  </si>
  <si>
    <t>34 653.38</t>
  </si>
  <si>
    <t>6 930.68</t>
  </si>
  <si>
    <t>182 291 868.00</t>
  </si>
  <si>
    <t>151 909 890.00</t>
  </si>
  <si>
    <t>30 381 978.00</t>
  </si>
  <si>
    <t>14 463 912.00</t>
  </si>
  <si>
    <t>12 053 260.00</t>
  </si>
  <si>
    <t>2 410 652.00</t>
  </si>
  <si>
    <t>11 112 590.00</t>
  </si>
  <si>
    <t>9 260 491.67</t>
  </si>
  <si>
    <t>1 852 098.33</t>
  </si>
  <si>
    <t>930 282.13</t>
  </si>
  <si>
    <t>775 235.11</t>
  </si>
  <si>
    <t>155 047.02</t>
  </si>
  <si>
    <t>68 000.00</t>
  </si>
  <si>
    <t>59 160.00</t>
  </si>
  <si>
    <t>8 840.00</t>
  </si>
  <si>
    <t>1 361 918.00</t>
  </si>
  <si>
    <t>1 134 931.67</t>
  </si>
  <si>
    <t>226 986.33</t>
  </si>
  <si>
    <t>20 238 136.38</t>
  </si>
  <si>
    <t>16 865 113.65</t>
  </si>
  <si>
    <t>3 373 022.73</t>
  </si>
  <si>
    <t>592 569 436.45</t>
  </si>
  <si>
    <t>493 807 863.71</t>
  </si>
  <si>
    <t>98 761 572.74</t>
  </si>
  <si>
    <t>1 070 894.00</t>
  </si>
  <si>
    <t>931 678.00</t>
  </si>
  <si>
    <t>139 216.00</t>
  </si>
  <si>
    <t>957 080.80</t>
  </si>
  <si>
    <t>797 567.33</t>
  </si>
  <si>
    <t>159 513.47</t>
  </si>
  <si>
    <t>48 197 221.93</t>
  </si>
  <si>
    <t>630 000.00</t>
  </si>
  <si>
    <t>8 147 962.80</t>
  </si>
  <si>
    <t>6 789 969.00</t>
  </si>
  <si>
    <t>1 357 993.80</t>
  </si>
  <si>
    <t>11 753 664.00</t>
  </si>
  <si>
    <t>9 794 720.00</t>
  </si>
  <si>
    <t>1 958 944.00</t>
  </si>
  <si>
    <t>4 902 861.60</t>
  </si>
  <si>
    <t>4 085 718.00</t>
  </si>
  <si>
    <t>817 143.60</t>
  </si>
  <si>
    <t>17 756 337.60</t>
  </si>
  <si>
    <t>14 796 948.00</t>
  </si>
  <si>
    <t>2 959 389.60</t>
  </si>
  <si>
    <t>6 654 772.80</t>
  </si>
  <si>
    <t>5 545 644.00</t>
  </si>
  <si>
    <t>1 109 128.80</t>
  </si>
  <si>
    <t>5 999 824.80</t>
  </si>
  <si>
    <t>4 999 854.00</t>
  </si>
  <si>
    <t>999 970.80</t>
  </si>
  <si>
    <t>1 480 000.00</t>
  </si>
  <si>
    <t>1 433 233.08</t>
  </si>
  <si>
    <t>1 194 360.90</t>
  </si>
  <si>
    <t>238 872.18</t>
  </si>
  <si>
    <t>296 010 346.45</t>
  </si>
  <si>
    <t>246 675 288.71</t>
  </si>
  <si>
    <t>49 335 057.74</t>
  </si>
  <si>
    <t>30 194 255.28</t>
  </si>
  <si>
    <t>25 161 879.40</t>
  </si>
  <si>
    <t>5 032 375.88</t>
  </si>
  <si>
    <t>1 738 665.72</t>
  </si>
  <si>
    <t>1 448 888.10</t>
  </si>
  <si>
    <t>289 777.62</t>
  </si>
  <si>
    <t>1 132 000 505.06</t>
  </si>
  <si>
    <t>943 333 754.22</t>
  </si>
  <si>
    <t>188 666 750.84</t>
  </si>
  <si>
    <t>58 178 415.01</t>
  </si>
  <si>
    <t>48 482 012.51</t>
  </si>
  <si>
    <t>9 696 402.50</t>
  </si>
  <si>
    <t>906 484.56</t>
  </si>
  <si>
    <t>755 403.80</t>
  </si>
  <si>
    <t>151 080.76</t>
  </si>
  <si>
    <t>31 656 720.00</t>
  </si>
  <si>
    <t>26 380 600.00</t>
  </si>
  <si>
    <t>5 276 120.00</t>
  </si>
  <si>
    <t>51 360 000.00</t>
  </si>
  <si>
    <t>42 800 000.00</t>
  </si>
  <si>
    <t>8 560 000.00</t>
  </si>
  <si>
    <t>506 358 617.88</t>
  </si>
  <si>
    <t>421 965 514.90</t>
  </si>
  <si>
    <t>84 393 102.98</t>
  </si>
  <si>
    <t>120 000 000.00</t>
  </si>
  <si>
    <t>100 000 000.00</t>
  </si>
  <si>
    <t>20 000 000.00</t>
  </si>
  <si>
    <t>3 579 809 781.71</t>
  </si>
  <si>
    <t>2 983 174 818.09</t>
  </si>
  <si>
    <t>596 634 963.62</t>
  </si>
  <si>
    <t>6 636 753 001.91</t>
  </si>
  <si>
    <t>5 530 627 501.59</t>
  </si>
  <si>
    <t>1 106 125 500.32</t>
  </si>
  <si>
    <t>102 161 584.94</t>
  </si>
  <si>
    <t>85 134 654.12</t>
  </si>
  <si>
    <t>17 026 930.82</t>
  </si>
  <si>
    <t>22 947 175.37</t>
  </si>
  <si>
    <t>19 122 646.14</t>
  </si>
  <si>
    <t>14 243 708.61</t>
  </si>
  <si>
    <t>11 869 757.18</t>
  </si>
  <si>
    <t>2 373 951.43</t>
  </si>
  <si>
    <t>6 638 541.84</t>
  </si>
  <si>
    <t>5 532 118.20</t>
  </si>
  <si>
    <t>1 106 423.64</t>
  </si>
  <si>
    <t>36 405 422.98</t>
  </si>
  <si>
    <t>30 337 852.48</t>
  </si>
  <si>
    <t>6 067 570.50</t>
  </si>
  <si>
    <t>481 531 308.04</t>
  </si>
  <si>
    <t>401 276 090.03</t>
  </si>
  <si>
    <t>80 255 218.01</t>
  </si>
  <si>
    <t>5 953 612.92</t>
  </si>
  <si>
    <t>4 961 344.10</t>
  </si>
  <si>
    <t>992 268.82</t>
  </si>
  <si>
    <t>91 419 312.00</t>
  </si>
  <si>
    <t>76 182 760.00</t>
  </si>
  <si>
    <t>15 236 552.00</t>
  </si>
  <si>
    <t>629 470 494.50</t>
  </si>
  <si>
    <t>524 558 745.42</t>
  </si>
  <si>
    <t>104 911 749.08</t>
  </si>
  <si>
    <t>22 166 323.50</t>
  </si>
  <si>
    <t>18 471 936.25</t>
  </si>
  <si>
    <t>3 694 387.25</t>
  </si>
  <si>
    <t>3 740 345.40</t>
  </si>
  <si>
    <t>3 116 954.50</t>
  </si>
  <si>
    <t>623 390.90</t>
  </si>
  <si>
    <t>2 783 749 500.00</t>
  </si>
  <si>
    <t>2 319 791 250.00</t>
  </si>
  <si>
    <t>463 958 250.00</t>
  </si>
  <si>
    <t>3 610 244 847.18</t>
  </si>
  <si>
    <t>3 008 537 372.65</t>
  </si>
  <si>
    <t>601 707 474.53</t>
  </si>
  <si>
    <t>80 782 984.94</t>
  </si>
  <si>
    <t>67 319 154.12</t>
  </si>
  <si>
    <t>13 463 830.82</t>
  </si>
  <si>
    <t>4 658 167.01</t>
  </si>
  <si>
    <t>3 881 805.84</t>
  </si>
  <si>
    <t>776 361.17</t>
  </si>
  <si>
    <t>2 803 905 088.16</t>
  </si>
  <si>
    <t>2 336 587 573.47</t>
  </si>
  <si>
    <t>467 317 514.69</t>
  </si>
  <si>
    <t>2 664 181.39</t>
  </si>
  <si>
    <t>2 220 151.16</t>
  </si>
  <si>
    <t>444 030.23</t>
  </si>
  <si>
    <t>90 720 000.00</t>
  </si>
  <si>
    <t>75 600 000.00</t>
  </si>
  <si>
    <t>15 120 000.00</t>
  </si>
  <si>
    <t>22 500.00</t>
  </si>
  <si>
    <t>96 081 893.22</t>
  </si>
  <si>
    <t>80 068 244.35</t>
  </si>
  <si>
    <t>16 013 648.87</t>
  </si>
  <si>
    <t>22 458 708.72</t>
  </si>
  <si>
    <t>18 715 590.60</t>
  </si>
  <si>
    <t>3 743 118.12</t>
  </si>
  <si>
    <t>11 370 071.45</t>
  </si>
  <si>
    <t>9 475 059.54</t>
  </si>
  <si>
    <t>1 895 011.91</t>
  </si>
  <si>
    <t>117 100 620.00</t>
  </si>
  <si>
    <t>97 583 850.00</t>
  </si>
  <si>
    <t>19 516 770.00</t>
  </si>
  <si>
    <t>2 324 125.00</t>
  </si>
  <si>
    <t>1 936 770.83</t>
  </si>
  <si>
    <t>387 354.17</t>
  </si>
  <si>
    <t>215 661 773.22</t>
  </si>
  <si>
    <t>179 718 144.35</t>
  </si>
  <si>
    <t>35 943 628.87</t>
  </si>
  <si>
    <t>1 186 465.36</t>
  </si>
  <si>
    <t>988 721.13</t>
  </si>
  <si>
    <t>197 744.23</t>
  </si>
  <si>
    <t>5 745 483.62</t>
  </si>
  <si>
    <t>4 787 903.02</t>
  </si>
  <si>
    <t>957 580.60</t>
  </si>
  <si>
    <t>7 367 970.73</t>
  </si>
  <si>
    <t>6 139 975.61</t>
  </si>
  <si>
    <t>1 227 995.12</t>
  </si>
  <si>
    <t>972 155.17</t>
  </si>
  <si>
    <t>810 129.31</t>
  </si>
  <si>
    <t>162 025.86</t>
  </si>
  <si>
    <t>7 964 103 602.29</t>
  </si>
  <si>
    <t>1 327 350 600.38</t>
  </si>
  <si>
    <t>19 205 977.25</t>
  </si>
  <si>
    <t>16 004 981.04</t>
  </si>
  <si>
    <t>3 200 996.21</t>
  </si>
  <si>
    <t>17 340 000.00</t>
  </si>
  <si>
    <t>14 450 000.00</t>
  </si>
  <si>
    <t>2 890 000.00</t>
  </si>
  <si>
    <t>924 976.85</t>
  </si>
  <si>
    <t>770 814.04</t>
  </si>
  <si>
    <t>154 162.81</t>
  </si>
  <si>
    <t>16 650 759.60</t>
  </si>
  <si>
    <t>13 875 633.00</t>
  </si>
  <si>
    <t>2 775 126.60</t>
  </si>
  <si>
    <t>118 350 197.54</t>
  </si>
  <si>
    <t>98 625 164.62</t>
  </si>
  <si>
    <t>19 725 032.92</t>
  </si>
  <si>
    <t>714 216.96</t>
  </si>
  <si>
    <t>595 180.80</t>
  </si>
  <si>
    <t>119 036.16</t>
  </si>
  <si>
    <t>25 916.40</t>
  </si>
  <si>
    <t>21 597.00</t>
  </si>
  <si>
    <t>4 319.40</t>
  </si>
  <si>
    <t>2 538 515 573.60</t>
  </si>
  <si>
    <t>2 115 429 644.67</t>
  </si>
  <si>
    <t>423 085 928.93</t>
  </si>
  <si>
    <t>414 000 000.00</t>
  </si>
  <si>
    <t>345 000 000.00</t>
  </si>
  <si>
    <t>69 000 000.00</t>
  </si>
  <si>
    <t>264 796 619.18</t>
  </si>
  <si>
    <t>220 663 849.32</t>
  </si>
  <si>
    <t>44 132 769.86</t>
  </si>
  <si>
    <t>3 257 219.37</t>
  </si>
  <si>
    <t>2 714 349.47</t>
  </si>
  <si>
    <t>542 869.90</t>
  </si>
  <si>
    <t>664 916 253.95</t>
  </si>
  <si>
    <t>554 096 878.29</t>
  </si>
  <si>
    <t>110 819 375.66</t>
  </si>
  <si>
    <t>2 210 098 310.84</t>
  </si>
  <si>
    <t>1 841 748 592.37</t>
  </si>
  <si>
    <t>368 349 718.47</t>
  </si>
  <si>
    <t>108 630 000.00</t>
  </si>
  <si>
    <t>90 525 000.00</t>
  </si>
  <si>
    <t>18 105 000.00</t>
  </si>
  <si>
    <t>43 444 171.90</t>
  </si>
  <si>
    <t>36 203 476.58</t>
  </si>
  <si>
    <t>7 240 695.32</t>
  </si>
  <si>
    <t>194 146 344.38</t>
  </si>
  <si>
    <t>161 788 620.32</t>
  </si>
  <si>
    <t>32 357 724.06</t>
  </si>
  <si>
    <t>1 191 732 159.50</t>
  </si>
  <si>
    <t>993 110 132.92</t>
  </si>
  <si>
    <t>198 622 026.58</t>
  </si>
  <si>
    <t>3 976 128 180.33</t>
  </si>
  <si>
    <t>3 313 440 150.28</t>
  </si>
  <si>
    <t>662 688 030.05</t>
  </si>
  <si>
    <t>76 387 544.63</t>
  </si>
  <si>
    <t>63 656 287.19</t>
  </si>
  <si>
    <t>12 731 257.44</t>
  </si>
  <si>
    <t>71 093 657.66</t>
  </si>
  <si>
    <t>59 244 714.72</t>
  </si>
  <si>
    <t>11 848 942.94</t>
  </si>
  <si>
    <t>4 327 079.90</t>
  </si>
  <si>
    <t>3 605 899.92</t>
  </si>
  <si>
    <t>721 179.98</t>
  </si>
  <si>
    <t>511 447 097.87</t>
  </si>
  <si>
    <t>426 205 914.89</t>
  </si>
  <si>
    <t>85 241 182.98</t>
  </si>
  <si>
    <t>432 501 320.40</t>
  </si>
  <si>
    <t>360 417 767.00</t>
  </si>
  <si>
    <t>72 083 553.40</t>
  </si>
  <si>
    <t>1 236 236.70</t>
  </si>
  <si>
    <t>1 030 197.25</t>
  </si>
  <si>
    <t>206 039.45</t>
  </si>
  <si>
    <t>2 712 822.00</t>
  </si>
  <si>
    <t>2 260 685.00</t>
  </si>
  <si>
    <t>452 137.00</t>
  </si>
  <si>
    <t>202 913 834.87</t>
  </si>
  <si>
    <t>169 094 862.39</t>
  </si>
  <si>
    <t>33 818 972.48</t>
  </si>
  <si>
    <t>94 380 352.40</t>
  </si>
  <si>
    <t>78 650 293.67</t>
  </si>
  <si>
    <t>15 730 058.73</t>
  </si>
  <si>
    <t>2 776 373.64</t>
  </si>
  <si>
    <t>2 313 644.70</t>
  </si>
  <si>
    <t>462 728.94</t>
  </si>
  <si>
    <t>304 426 492.30</t>
  </si>
  <si>
    <t>253 688 743.58</t>
  </si>
  <si>
    <t>50 737 748.72</t>
  </si>
  <si>
    <t>709 920 119.35</t>
  </si>
  <si>
    <t>591 600 099.46</t>
  </si>
  <si>
    <t>118 320 019.89</t>
  </si>
  <si>
    <t>967 308 985.58</t>
  </si>
  <si>
    <t>806 090 821.32</t>
  </si>
  <si>
    <t>161 218 164.26</t>
  </si>
  <si>
    <t>5 038 098.00</t>
  </si>
  <si>
    <t>4 198 415.00</t>
  </si>
  <si>
    <t>839 683.00</t>
  </si>
  <si>
    <t>2 364 030.60</t>
  </si>
  <si>
    <t>1 970 025.50</t>
  </si>
  <si>
    <t>394 005.10</t>
  </si>
  <si>
    <t>1 829 163.96</t>
  </si>
  <si>
    <t>1 524 303.30</t>
  </si>
  <si>
    <t>304 860.66</t>
  </si>
  <si>
    <t>277 154 313.04</t>
  </si>
  <si>
    <t>230 961 927.53</t>
  </si>
  <si>
    <t>46 192 385.51</t>
  </si>
  <si>
    <t>22 895 064.78</t>
  </si>
  <si>
    <t>19 079 220.65</t>
  </si>
  <si>
    <t>3 815 844.13</t>
  </si>
  <si>
    <t>2 944 836.82</t>
  </si>
  <si>
    <t>2 454 030.68</t>
  </si>
  <si>
    <t>490 806.14</t>
  </si>
  <si>
    <t>825 606 161.60</t>
  </si>
  <si>
    <t>688 005 134.67</t>
  </si>
  <si>
    <t>137 601 026.93</t>
  </si>
  <si>
    <t>1 150 995.40</t>
  </si>
  <si>
    <t>959 162.83</t>
  </si>
  <si>
    <t>191 832.57</t>
  </si>
  <si>
    <t>13 751 482.79</t>
  </si>
  <si>
    <t>11 459 568.99</t>
  </si>
  <si>
    <t>2 291 913.80</t>
  </si>
  <si>
    <t>18 967 822.28</t>
  </si>
  <si>
    <t>15 806 518.57</t>
  </si>
  <si>
    <t>3 161 303.71</t>
  </si>
  <si>
    <t>888 846 302.41</t>
  </si>
  <si>
    <t>740 705 252.01</t>
  </si>
  <si>
    <t>148 141 050.40</t>
  </si>
  <si>
    <t>427 982 454.86</t>
  </si>
  <si>
    <t>356 652 045.72</t>
  </si>
  <si>
    <t>71 330 409.14</t>
  </si>
  <si>
    <t>82 491 166.80</t>
  </si>
  <si>
    <t>68 742 639.00</t>
  </si>
  <si>
    <t>13 748 527.80</t>
  </si>
  <si>
    <t>6 000 000 000.00</t>
  </si>
  <si>
    <t>2 584 206 496.73</t>
  </si>
  <si>
    <t>2 153 505 413.94</t>
  </si>
  <si>
    <t>430 701 082.79</t>
  </si>
  <si>
    <t>4 206 384.00</t>
  </si>
  <si>
    <t>3 505 320.00</t>
  </si>
  <si>
    <t>701 064.00</t>
  </si>
  <si>
    <t>1 049 255 367.59</t>
  </si>
  <si>
    <t>874 379 472.99</t>
  </si>
  <si>
    <t>174 875 894.60</t>
  </si>
  <si>
    <t>882 877 570.96</t>
  </si>
  <si>
    <t>735 731 309.13</t>
  </si>
  <si>
    <t>147 146 261.83</t>
  </si>
  <si>
    <t>773 644 446.47</t>
  </si>
  <si>
    <t>644 703 705.39</t>
  </si>
  <si>
    <t>128 940 741.08</t>
  </si>
  <si>
    <t>1 129 494.38</t>
  </si>
  <si>
    <t>941 245.32</t>
  </si>
  <si>
    <t>188 249.06</t>
  </si>
  <si>
    <t>Названия строк</t>
  </si>
  <si>
    <t>Общий итог</t>
  </si>
  <si>
    <t>Количество по полю Рег. Номер договора/соглашения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</si>
</sst>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 #,##0.00\ &quot;₽&quot;_-;\-* #,##0.00\ &quot;₽&quot;_-;_-* &quot;-&quot;??\ &quot;₽&quot;_-;_-@_-"/>
  </numFmts>
  <fonts count="3" x14ac:knownFonts="1">
    <font>
      <sz val="12"/>
      <color theme="1"/>
      <name val="Calibri"/>
      <family val="2"/>
      <scheme val="minor"/>
    </font>
    <font>
      <sz val="12"/>
      <color theme="1"/>
      <name val="Calibri"/>
      <family val="2"/>
      <scheme val="minor"/>
    </font>
    <font>
      <sz val="12"/>
      <color theme="1"/>
      <name val="Arial Narrow"/>
      <family val="2"/>
      <charset val="204"/>
    </font>
  </fonts>
  <fills count="3">
    <fill>
      <patternFill patternType="none"/>
    </fill>
    <fill>
      <patternFill patternType="gray125"/>
    </fill>
    <fill>
      <patternFill patternType="solid">
        <fgColor theme="0" tint="-0.14996795556505021"/>
        <bgColor indexed="64"/>
      </patternFill>
    </fill>
  </fills>
  <borders count="10">
    <border>
      <left/>
      <right/>
      <top/>
      <bottom/>
      <diagonal/>
    </border>
    <border>
      <left style="medium">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s>
  <cellStyleXfs count="2">
    <xf numFmtId="0" fontId="0" fillId="0" borderId="0"/>
    <xf numFmtId="44" fontId="1" fillId="0" borderId="0" applyFont="0" applyFill="0" applyBorder="0" applyAlignment="0" applyProtection="0"/>
  </cellStyleXfs>
  <cellXfs count="21">
    <xf numFmtId="0" fontId="0" fillId="0" borderId="0" xfId="0" applyNumberFormat="1"/>
    <xf numFmtId="44" fontId="0" fillId="0" borderId="0" xfId="1" applyFont="1"/>
    <xf numFmtId="0" fontId="2" fillId="0" borderId="1" xfId="0" applyNumberFormat="1" applyFont="1" applyBorder="1"/>
    <xf numFmtId="0" fontId="2" fillId="0" borderId="2" xfId="0" applyNumberFormat="1" applyFont="1" applyBorder="1"/>
    <xf numFmtId="44" fontId="2" fillId="0" borderId="2" xfId="1" applyFont="1" applyBorder="1"/>
    <xf numFmtId="0" fontId="2" fillId="0" borderId="3" xfId="0" applyNumberFormat="1" applyFont="1" applyBorder="1"/>
    <xf numFmtId="0" fontId="2" fillId="0" borderId="4" xfId="0" applyNumberFormat="1" applyFont="1" applyBorder="1"/>
    <xf numFmtId="0" fontId="2" fillId="0" borderId="5" xfId="0" applyNumberFormat="1" applyFont="1" applyBorder="1"/>
    <xf numFmtId="14" fontId="2" fillId="0" borderId="5" xfId="0" applyNumberFormat="1" applyFont="1" applyBorder="1"/>
    <xf numFmtId="44" fontId="2" fillId="0" borderId="5" xfId="1" applyFont="1" applyBorder="1"/>
    <xf numFmtId="0" fontId="2" fillId="0" borderId="6" xfId="0" applyNumberFormat="1" applyFont="1" applyBorder="1"/>
    <xf numFmtId="0" fontId="2" fillId="0" borderId="7" xfId="0" applyNumberFormat="1" applyFont="1" applyBorder="1"/>
    <xf numFmtId="0" fontId="2" fillId="0" borderId="8" xfId="0" applyNumberFormat="1" applyFont="1" applyBorder="1"/>
    <xf numFmtId="44" fontId="2" fillId="0" borderId="8" xfId="1" applyFont="1" applyBorder="1"/>
    <xf numFmtId="0" fontId="2" fillId="0" borderId="9" xfId="0" applyNumberFormat="1" applyFont="1" applyBorder="1"/>
    <xf numFmtId="0" fontId="2" fillId="2" borderId="2" xfId="0" applyNumberFormat="1" applyFont="1" applyFill="1" applyBorder="1"/>
    <xf numFmtId="0" fontId="2" fillId="2" borderId="5" xfId="0" applyNumberFormat="1" applyFont="1" applyFill="1" applyBorder="1"/>
    <xf numFmtId="0" fontId="2" fillId="2" borderId="8" xfId="0" applyNumberFormat="1" applyFont="1" applyFill="1" applyBorder="1"/>
    <xf numFmtId="0" fontId="0" fillId="2" borderId="0" xfId="0" applyNumberFormat="1" applyFill="1"/>
    <xf numFmtId="0" fontId="0" fillId="0" borderId="0" xfId="0" pivotButton="1" applyNumberFormat="1"/>
    <xf numFmtId="0" fontId="0" fillId="0" borderId="0" xfId="0" applyNumberFormat="1" applyAlignment="1">
      <alignment horizontal="left"/>
    </xf>
  </cellXfs>
  <cellStyles count="2">
    <cellStyle name="Денежный" xfId="1" builtinId="4"/>
    <cellStyle name="Обычный"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Бурков Артем Константинович" refreshedDate="45597.601123379631" createdVersion="6" refreshedVersion="6" minRefreshableVersion="3" recordCount="2952">
  <cacheSource type="worksheet">
    <worksheetSource ref="A1:AQ1048576" sheet="Газпромнефть-ГЕО, ООО"/>
  </cacheSource>
  <cacheFields count="43">
    <cacheField name="Организация ГК" numFmtId="0">
      <sharedItems containsBlank="1"/>
    </cacheField>
    <cacheField name="Код в ЕСК" numFmtId="0">
      <sharedItems containsBlank="1"/>
    </cacheField>
    <cacheField name="Состояние" numFmtId="0">
      <sharedItems containsBlank="1"/>
    </cacheField>
    <cacheField name="Дата регистрации" numFmtId="0">
      <sharedItems containsDate="1" containsBlank="1" containsMixedTypes="1" minDate="2019-03-28T00:00:00" maxDate="2024-11-17T00:00:00"/>
    </cacheField>
    <cacheField name="Дата подписания" numFmtId="0">
      <sharedItems containsDate="1" containsBlank="1" containsMixedTypes="1" minDate="2023-08-01T00:00:00" maxDate="2026-01-01T00:00:00"/>
    </cacheField>
    <cacheField name="Контрагент" numFmtId="0">
      <sharedItems containsBlank="1" count="503">
        <s v="АО Инфосистемы Джет "/>
        <s v="АО ЦГЭ "/>
        <s v="ООО &quot;Газбиопром инновации&quot;"/>
        <s v="Общество с ограниченной ответственностью Газпромнефть-Нефтесервис "/>
        <s v="АО СОГАЗ "/>
        <s v="ООО НСХ АЗИЯ ДРИЛЛИНГ "/>
        <s v=" Енисейское территориальном управлении Федерального агентства по рыболовству"/>
        <s v="Адвокатское Бюро ЕПАМ "/>
        <s v="АО Университет Управления Проектам и"/>
        <s v="ООО АКБАРЫС "/>
        <s v="ООО РИМЕРА-Сервис "/>
        <s v="Исаева Ирина Сергеевна "/>
        <s v="ООО ПФ Сокол "/>
        <s v="ООО НОВ Комплишн Тулз "/>
        <s v="ООО ДАН Групп "/>
        <s v="ООО СИГМА-ГЕО "/>
        <s v="ООО Газпромнефть НТЦ "/>
        <s v="ООО Геохим "/>
        <s v="ООО ИСК ПетроИнжиниринг "/>
        <s v="ООО Гыдан Энерджи "/>
        <s v="АО Технологии ОФС "/>
        <s v="ООО Газпромнефть-Оренбург "/>
        <s v="ООО Проф Лингва "/>
        <s v="ООО ЧОО СТАФ "/>
        <s v="ООО СОГАЗ ПРОФМЕДИЦИНА "/>
        <s v="ООО НТЦ Геомеханика "/>
        <s v="ООО Газпромнефть ИТО "/>
        <s v="ООО Энерго-Утилизационная Компания "/>
        <s v="ООО Уралгеопроект "/>
        <s v="ООО ТНГ-Групп "/>
        <s v="ООО Газпромнефть Бизнес-сервис "/>
        <s v="Банк ГПБ (АО) "/>
        <s v="ПАО Газпром нефть "/>
        <s v="ПАО ГАЗПРОМ"/>
        <s v="ООО Инженерно-технологический серв ис"/>
        <s v="Писарева Ирина Михайловна "/>
        <s v="ЗАО Ханты-Мансийский нефтегазовый союз"/>
        <s v="Михайлова Наталья Александровна "/>
        <s v="АО ПГО Тюменьпромгеофизика "/>
        <s v="ООО Газпромнефть-Ангара "/>
        <s v="ООО Комплекс Парадная "/>
        <s v="ООО Нестле Россия "/>
        <s v="ООО ПетроТрейс "/>
        <s v="ООО ПЕНТАКОН "/>
        <s v="ИП Задорожный Виталий Викторович "/>
        <s v="ООО Геологинг "/>
        <s v="ИП Титов Михаил Федорович "/>
        <s v="ООО ИЦ ГазИнформПласт "/>
        <s v="ООО Газпром морские проекты "/>
        <s v="ООО СЕРВИСТА "/>
        <s v="ООО НьюТек Сервисез "/>
        <s v="ООО НППГА Луч "/>
        <s v="ООО ПИТЦ Геофизика "/>
        <s v="ООО Геологгинг "/>
        <s v="ООО ОГК "/>
        <s v="ООО Стратек групп "/>
        <s v="Шестакова Мария Андреевна "/>
        <s v="ООО ТРАЕКТОРИЯ - СЕРВИС "/>
        <s v=""/>
        <s v="ООО Газпром ВНИИГАЗ "/>
        <s v="ПАО ГЕОТЕК Сейсморазведка "/>
        <s v="ООО Свифт Текникал "/>
        <s v="ООО ТСГК "/>
        <s v="Компания Шлюмберже Лоджелко Инк. "/>
        <s v="ООО УГМ "/>
        <s v="ООО Управление технологического тр анспорта - Югра"/>
        <s v="ООО Газпромнефть-ННГГФ "/>
        <s v="ПАО СН-МНГ "/>
        <s v="ФГБУ ВНИГНИ "/>
        <s v="ООО ЭКОДАР-СПБ "/>
        <s v="АО Почта России "/>
        <s v="ООО Партнеры Ноябрьск "/>
        <s v="АКЦИОНЕРНАЯ КОМПАНИЯ &quot;АЛРОСА&quot; (ПУБЛИЧНОЕ АКЦИОНЕРНОЕ ОБЩЕСТВО)"/>
        <s v="ООО Выход "/>
        <s v="ООО Магеллан "/>
        <s v="ООО ВЕТЕРАН "/>
        <s v="Московская школа управления СКОЛКО ВО"/>
        <s v="ООО Бурсервис "/>
        <s v="АО ФРЕЙТ ЛИНК "/>
        <s v="АО Евротэк-Югра "/>
        <s v="ООО Газпромнефть - Снабжение "/>
        <s v="ООО ЧОП СОБР "/>
        <s v="Федеральное государственное бюджетное образовательное учреждение высшего образования &quot;Российский государственный педагогический университет им. А.И. Герцена&quot;"/>
        <s v="АО ЦАСЭО "/>
        <s v="ООО СТЭК.КОМ "/>
        <s v="ООО ММЦ Профмедицина "/>
        <s v="Федеральное государственное бюджетное образовательное учреждение высшего образования «Санкт-Петербургский государственный экономический университет» (СПбГЭУ)"/>
        <s v="Рога и копыта ООО"/>
        <s v="АНО Экотерра "/>
        <s v="Кунова Светлана Сергеевна "/>
        <s v="ООО Газпромнефть-Хантос "/>
        <s v="ООО «Дан Групп»"/>
        <s v="ООО ОО Пигас "/>
        <s v="БУ Музей геологии, нефти и газа "/>
        <s v="ООО Велес "/>
        <s v="АО СКИК "/>
        <s v="СПбГЭУ "/>
        <s v="ООО Нефтеком "/>
        <s v="ООО НПП Ресурс Сервис "/>
        <s v="Бертунов Алексей Александрович "/>
        <s v="ЗАО Авиакомпания Конверс Авиа "/>
        <s v="ЗАО им. Калинина "/>
        <s v="ООО БАРБУС "/>
        <s v="ООО «Уралгеопроект»"/>
        <s v="ООО СТС "/>
        <s v="ООО &quot;Уралгеопроект&quot;"/>
        <s v="ООО РН-БашНИПИнефть "/>
        <s v="ООО РКЦ "/>
        <s v="ФБУ ТФГИ по Уральскому федеральном у округу"/>
        <s v="ООО Газпром газобезопасность "/>
        <s v="Федеральное государственное бюджетное образовательное учреждение высшего  образования «Российский государственный педагогический университет им. А. И. Герцена"/>
        <s v="ООО Газпром бурение "/>
        <s v="Гавронская Ирина Сергеевна "/>
        <s v="ООО Энерком "/>
        <s v="ООО ИнтерТайм "/>
        <s v="ООО СерчИнформ "/>
        <s v="ООО Сбербанк Факторинг ; _x000a_ООО ТСГК "/>
        <s v="АО ГЦБиТ "/>
        <s v="ООО Газпромнефть-Салым "/>
        <s v="ООО &quot;ЭМТ&quot;"/>
        <s v="ООО ГеоЛад - СТ "/>
        <s v="ООО МПЦ "/>
        <s v="АО Инвестгеосервис "/>
        <s v="ООО КЦ Ямал-Недвижимость "/>
        <s v="GeoloG International B.V. "/>
        <s v="ООО Грант+ "/>
        <s v="ООО ФК Санкт-Петербург "/>
        <s v="ООО УК Юграгидрострой "/>
        <s v="ООО ТОЦОТ "/>
        <s v="ООО Алатау-7 "/>
        <s v="Общество с ограниченной ответственностью &quot;Решения Для Бизнеса&quot;"/>
        <s v="АО Газпромнефть-ННГ "/>
        <s v="ООО БРПО "/>
        <s v="ООО СПД "/>
        <s v="ООО Газпромнефть - Заполярье "/>
        <s v="Администрация Тазовского района "/>
        <s v="ООО Горный аудит "/>
        <s v="АО Софтлайн "/>
        <s v="ООО Газпромнефть - Снабжение ; _x000a_ООО Газпромнефть - Ямал "/>
        <s v="АО НПП Бурсервис "/>
        <s v="ООО ОКТАН СЕРВИС "/>
        <s v="ООО ГИДРОТЕХНОЛОГИИ СИБИРИ "/>
        <s v="ООО НИИ ЭиРИПР "/>
        <s v="Федеральное государственное образовательное бюджетное учреждение высшего образования «Финансовый университет при Правительстве Российской Федерации»"/>
        <s v="Общество с ограниченной ответственностью «Научно-Производственное Предприятие «Сибгеокарта»"/>
        <s v="ООО Техно-Сервис "/>
        <s v="Табуева Мария Анатольевна"/>
        <s v="ООО Меретояханефтегаз "/>
        <s v="Кондрашов Николай Александрович "/>
        <s v="ООО ГЕОТЭК "/>
        <s v="ООО Везерфорд "/>
        <s v="ООО Комус "/>
        <s v="ООО Защита Югры "/>
        <s v="ООО НЕФТЕГАЗПРОЕКТ "/>
        <s v="ООО ТЕРМИКА-ПЛЮС "/>
        <s v="ООО ТТ "/>
        <s v="ЧОУ ДПО Научно-образовательный Инс титут ММЦ"/>
        <s v="Акционерное общество «Салехардский речной порт» "/>
        <s v="ООО Технологическая Компания Шлюмб ерже"/>
        <s v="ИП Лебедева Екатерина Николаевна "/>
        <s v="Белов Леонид Константинович "/>
        <s v="Филиал компании Шлюмберже Лоджелко , Инк. г. Новый Уренгой"/>
        <s v="Санкт-Петербургское Адвокатское бюро &quot;Егоров, Пугинский, Афанасьев и Партнеры&quot;"/>
        <s v="ФГБУ Рослесинфорг "/>
        <s v="ООО ЭкоСтройПереработка "/>
        <s v="ООО Ваше Право Консультант Плюс "/>
        <s v="ООО ГПБ - факторинг ; _x000a_ПАО ГЕОТЕК Сейсморазведка "/>
        <s v="АО Башнефтегеофизика "/>
        <s v="Енисейский филиал ФГБУ Главрыбвод "/>
        <s v="ООО ПЭБ "/>
        <s v="Гарифулин Юрий Анатольевич "/>
        <s v="Компания Салым Петролеум Девелопмент Н.В."/>
        <s v="ООО Газпромнефть-Автоматизация "/>
        <s v="ЧОУ ДПО УЦ Ракурс+ "/>
        <s v="АО ЮТэйр-Вертолетные услуги "/>
        <s v="ООО Лэнд Эксперт "/>
        <s v="АО Стандарт безопасности "/>
        <s v="ООО Газпромнефть-Восток "/>
        <s v="МОП Ярсалинское "/>
        <s v="ООО Корпоративный альянс Турне-Тр анс"/>
        <s v="Волго-Уральский Филиал Компании Шл юмберже Лоджелко Инк."/>
        <s v="АО ГЕОТЕК "/>
        <s v="Томский филиал акционерного обществ а Сибирская Сервисная Компания"/>
        <s v="МБУ ПМАСФ г. Шелехова "/>
        <s v="ООО &quot;ТехГеоБур&quot;"/>
        <s v="ООО «ИнтерТайм»"/>
        <s v="ООО ТехГеоБур "/>
        <s v="Акционерное общество «Бейкер Хьюз» (АО «Бейкер Хьюз»)"/>
        <s v="ООО Академика "/>
        <s v="АО БЕЙКЕР ХЬЮЗ "/>
        <s v="ООО Газпромнефть-ЦР "/>
        <s v="ООО СТУ "/>
        <s v="ООО Газпром добыча Ямбург "/>
        <s v="Шевченко Анастасия Сергеевна "/>
        <s v="ООО РБ Факторинг "/>
        <s v="АО ГЕОСЛУЖБА ГИН РАН "/>
        <s v="Филиал АО ФРЕЙТ ЛИНК Фрейт Линк- Санкт-Петербург"/>
        <s v="ООО ПК АНЕКО "/>
        <s v="Руденко Александр Борисович "/>
        <s v="ООО Продакшен Сервис "/>
        <s v="ООО ПФ Уралтрубопроводстройпроект "/>
        <s v="ООО Газпром телеком "/>
        <s v="ООО КГИ "/>
        <s v="ООО Гыдан Энерджи ; _x000a_ООО НПФ ПОЛИТЕХНИКА "/>
        <s v="ООО Проперти менеджмент груп "/>
        <s v="ООО Газпромнефть-Технологические п артнерства"/>
        <s v="ООО ИнТех "/>
        <s v="ООО ЭнергоТехСервис "/>
        <s v="ООО ЭкоНефтеГазКонсалтинг "/>
        <s v="АО Авиакомпания Ангара "/>
        <s v="ООО ИГП "/>
        <s v="ФГБУ Росгеолфонд "/>
        <s v="ООО Терра "/>
        <s v="ООО Газпромнефть-Оренбург ; _x000a_ПАО Газпром нефть "/>
        <s v="ООО УЦ ГИС "/>
        <s v="ООО НПП Сибгеокарта "/>
        <s v="ООО НПЦ Геостра "/>
        <s v="ООО ПВО-СЕРВИС "/>
        <s v="ПАО Газпром нефть ; _x000a_ООО Газпромнефть-Оренбург "/>
        <s v="ООО ДАН Групп ; _x000a_ООО Сбербанк Факторинг "/>
        <s v="ООО &quot;Бейсип-ГеоТехнологии&quot;"/>
        <s v="ООО Сбербанк Факторинг "/>
        <s v="ООО ГПН-Нефтесервис "/>
        <s v="ООО Газпромнефть - ЦР "/>
        <s v="Общество с ограниченной ответственностью «Специализированное Тампонажное Управление»"/>
        <s v="АО АЛЬФА-БАНК "/>
        <s v="ООО ГПН-Развитие "/>
        <s v="АО НижневартовскНИПИнефть "/>
        <s v="АО Ныдинское "/>
        <s v="ЧОУ ДПО ИПБОТСП "/>
        <s v="Котова Анна Максимовна "/>
        <s v="ООО ТСГК ; _x000a_ПАО СН-МНГ "/>
        <s v="Утегужин Рустам Мажитович "/>
        <s v="Хорошавина Галина Геннадьевна"/>
        <s v="ПАО Газпром нефть"/>
        <s v="ООО Геодезические приборы "/>
        <s v="ООО Корэтест сервис "/>
        <s v="АО Лаборатория ППШ "/>
        <s v="ПАО МТС "/>
        <s v="АО СофтЛайн Трейд "/>
        <s v="СПГУ, Горный университет "/>
        <s v="ООО «Газпром инвест»"/>
        <s v="ФГБУ &quot;Рослесинфорг&quot;"/>
        <s v="ООО ИнтерТайм"/>
        <s v="ООО &quot;Оператор Газпром ИД&quot;"/>
        <s v="АО Авиакомпания Конверс Авиа "/>
        <s v="ООО &quot;Газпромнефть-Пальян&quot;"/>
        <s v="Аршинина Мария Николаевна "/>
        <s v="ООО АВТОДЕЛЮКС "/>
        <s v="АО ЦРЭ "/>
        <s v="Петушкова Виктория Евгеньевна "/>
        <s v="АО ТЭК-Торг "/>
        <s v="ООО ГРАНД-Смета СПб "/>
        <s v="МКООО «ГАЗПРОМ ИНТЕРНЭШНЛ ЛИМИТЕД»"/>
        <s v="ООО СТОК-АЭРО "/>
        <s v="ООО ЭМТ "/>
        <s v="ООО ЭКОСТАНДАРТ Технические решен ия"/>
        <s v="АК АЛРОСА (ПАО) "/>
        <s v="ООО «ТехГеоБур»"/>
        <s v="ФАУ ЗапСибНИИГГ "/>
        <s v="ФГБОУ &quot;Тюменский индустриальный университет&quot;"/>
        <s v="ООО АРБАЙТ "/>
        <s v="ИП Хромова Инга Юрьевна "/>
        <s v="ООО ГПБ - факторинг "/>
        <s v="ФГАОУ ВО &quot;Санкт-Петербургский политехнический университет Петра Великого&quot; "/>
        <s v="ЗАО СТЕПНОЕ "/>
        <s v="Гилязетдинова Камила Ринатовна"/>
        <s v="ООО Пургеофизика "/>
        <s v="Надыршин Ренат Жамильевич "/>
        <s v="ООО ВТБ Факторинг "/>
        <s v="Усов Денис Олегович "/>
        <s v="Санкт-Петербургский горный универси тет"/>
        <s v="ООО ЭКОМАСТЕР "/>
        <s v="ООО ФинЭкспертиза "/>
        <s v="ООО «Стеклодел»"/>
        <s v="ООО БТС "/>
        <s v="ООО ЧОП СОБР"/>
        <s v="ООО &quot;Корпоративный альянс &quot;Турне-Транс&quot;"/>
        <s v="ООО Газпромнефть-Снабжение"/>
        <s v="АО КрасАвиаПорт "/>
        <s v="Рога и копыта"/>
        <s v="Анчина Кристина Геннадьевна "/>
        <s v="ООО &quot;Лаявожнефтегаз&quot;"/>
        <s v="GeoloG International B.V. ; _x000a_Geolog Surface Logging DMCC"/>
        <s v="АО ГНПП АЭРОГЕОФИЗИКА "/>
        <s v="Лапина Софья Александровна"/>
        <s v="Администрация Таймырского Долгано-Н енецкого муниципального района"/>
        <s v="ООО БТ-Арсенал "/>
        <s v="АО ССК "/>
        <s v="Федоров Александр Геннадьевич"/>
        <s v="ООО &quot;Кроу Экспертиза&quot;"/>
        <s v="ООО Мелдана "/>
        <s v="ООО &quot;ТМК Нефтегазсервис -Бузулук&quot;"/>
        <s v="Администрация МО Володарский сельсо вет Первомайского района"/>
        <s v="Гоголева Александра Дмитриевна"/>
        <s v="ООО «Симпл Чардж»"/>
        <s v="ООО &quot;БурСервис&quot;; _x000a_Филиал компании Халлибуртон Интерн эшнл ГмбХ"/>
        <s v="ООО Карабашские-6 "/>
        <s v="ЗАО ПУРГАЗ"/>
        <s v="ЗАО СП МеКаМинефть "/>
        <s v="ЗАО &quot;СП &quot;МеКаМинефть&quot;"/>
        <s v="АО &quot;НК &quot;Нефтиса&quot;"/>
        <s v="ООО РАИФ "/>
        <s v="АО ВНИИнефть "/>
        <s v="ООО &quot;Бейсип-ГеоТех&quot;"/>
        <s v="ООО Астрон "/>
        <s v="ООО АСТ "/>
        <s v="Андреев Илья"/>
        <s v="ООО &quot;Тюменская Геодезическая Компания&quot;"/>
        <s v="Федеральное государственное унитарное предприятие &quot;Научно-производственое предприятие &quot;Гамма&quot;"/>
        <s v="Общество с ограниченной ответственность &quot;Учебный Информационно-Консультационный Комбинат Охраны Труда&quot;"/>
        <s v="ООО «Газпром добыча Тамбей»"/>
        <s v="«Моделирование и мониторинг геологических объектов им. В.А. Двуреченского» (ЗАО «МиМГО»)"/>
        <s v="Коваленко Марина Витальевна"/>
        <s v="ООО Газпромнефть-Геошельф "/>
        <s v="ООО «СТОК-АЭРО»"/>
        <s v="ООО &quot;Энерго-Утилизационная Компания&quot;"/>
        <s v="Администрация Степного сельсовета "/>
        <s v="ПАО СН-МНГ ; _x000a_ООО ТСГК "/>
        <s v="ООО &quot;Свифт Текникал&quot;"/>
        <s v="ИП Скибинская Валентина Вячеславовн а"/>
        <s v="АО НПП ВНИИГИС "/>
        <s v="Филиал Компании Шлюмберже Лоджелко , Инк. в ЯНАО"/>
        <s v="Северо-Западный филиал ФГБУ Рослес инфорг Севзаплеспроект"/>
        <s v="ООО Глобал Мониторинг "/>
        <s v="Кузнецов Владислав Александрович"/>
        <s v="ООО «Газпромнефть-Экспертные решения»"/>
        <s v="ООО &quot;Газпромнефть-Геошельф&quot;"/>
        <s v="ЧОУ ДПО «УЦ «Промэнергобезопасность»"/>
        <s v="АО Мессояханефтегаз "/>
        <s v="ООО ПРОММАШ ТЕСТ "/>
        <s v="МК ООО &quot;Газпром Интернэшнл Лимитед&quot;"/>
        <s v="ООО ОйлГИС "/>
        <s v="ФГБУ Обь-Иртышское УГМС "/>
        <s v="Администрация Первомайского района Оренбургской области"/>
        <s v="АО Инжиниринговый центр Кронштадт "/>
        <s v="ООО МВ Продакшн "/>
        <s v="ООО &quot;Алатау-7&quot;"/>
        <s v="ООО РусТЭК "/>
        <s v="АО НПФ Геофизика "/>
        <s v="ООО Газпромнефть-Аэро Брянск "/>
        <s v="СПбГУ, &quot;Высшая школа журналистики и массовых коммуникаций&quot;"/>
        <s v="ООО &quot;НОБЕЛЬ-АУДИТ&quot;"/>
        <s v="ООО Центр правового обеспечения пр иродопользования"/>
        <s v="ООО &quot;СИГМА-ГЕО&quot;"/>
        <s v="Васильева Анастасия Ильинична "/>
        <s v="ООО ГАЗИНФОРМСЕРВИС "/>
        <s v="ООО Газпромнефть-Экспертные решени я"/>
        <s v="Хорошавина Галина Геннадьевна "/>
        <s v="Общество с ограниченной ответственностью «Нижневартовсктранспродукт» (ООО «НТП»)"/>
        <s v="Общество с ограниченной ответственностью «Комбинат общественного питания» ( ООО &quot;КОП&quot;)"/>
        <s v="ООО Газпромнефть ИТО ; _x000a_ПАО Газпром нефть "/>
        <s v="ООО Ассоциация АЛКО "/>
        <s v="ООО Медиатехнологии "/>
        <s v="ПАО Софтлайн "/>
        <s v="Публичная компания с ограниченной ответственностью «Салым Петролеум Девелопмент Н.В.»"/>
        <s v="Табуева Мария Анатольевна "/>
        <s v="ООО &quot;МУБР&quot;"/>
        <s v="ООО “МУБР”"/>
        <s v="ООО &quot;Газпромнефть-Снабжение&quot;"/>
        <s v="ООО &quot;РН-БашНИПИнефть&quot;"/>
        <s v="ООО Открытие Факторинг ; _x000a_ООО Пургеофизика "/>
        <s v="ООО &quot;НСХ Азия Дриллинг&quot;"/>
        <s v="ООО &quot;СТОК-АЭРО&quot;"/>
        <s v="Тиракьян Андрей Игоревич"/>
        <s v="ООО «НСХ Азия Дриллинг»"/>
        <s v="ПАО Газпром "/>
        <s v="АО ЭТС "/>
        <s v="ООО “НГ-Бурение”"/>
        <s v="АО &quot;ВНИИнефть&quot;"/>
        <s v="Прокопенко Мария Олеговна"/>
        <s v="ООО Новатех "/>
        <s v="АО &quot;Газпром Добыча Томск&quot;"/>
        <s v="ООО ТюменьГеоКом "/>
        <s v="ИП Глава К(Ф)Х Урдабаев Булат Никол аевич"/>
        <s v="ООО ЭТАЛОН Конгресс "/>
        <s v="Северо-Западный филиал Публичного а кционерного общества Мегафон"/>
        <s v="ООО Лоялти Сервис "/>
        <s v="Зотов Константин Юрьевич "/>
        <s v="ООО «НГ-Бурение»"/>
        <s v="ПАО &quot;Гипротюменнефтегазпроект&quot;"/>
        <s v="ООО ИнновА "/>
        <s v="Федоров Александр Геннадьевич "/>
        <s v="Осипенко Сергей Владимирович "/>
        <s v="Зубков Александр Михайлович "/>
        <s v="Немцов Владислав Сергеевич "/>
        <s v="Павленко Софья Викторовна "/>
        <s v="ООО Газпромнефть - ЦР ; _x000a_ООО Газпромнефть - Снабжение "/>
        <s v="ООО &quot;Ветеран&quot;"/>
        <s v="Сазонова Анна Сергеевна "/>
        <s v="ООО Аудиторская компания. Городско й центр экспертиз"/>
        <s v="ООО Ямбургтранссервис "/>
        <s v="АНО Центр профессиональной патолог ии и лабораторной диагностики"/>
        <s v="ООО Газпромнефть - Ямал "/>
        <s v="ООО &quot;ЭКОСТАНДАРТ &quot;Технические решения&quot;"/>
        <s v="ООО ЭКО-34 "/>
        <s v="ПАО АК БАРС БАНК "/>
        <s v="АО &quot;НГ Кемикалз&quot;"/>
        <s v="Михайлец Игорь Евгеньевич"/>
        <s v="ООО «ИСК «ПетроИнжиниринг»"/>
        <s v="АО «ВНИИнефть»"/>
        <s v="Куропятник Дмитрий Александрович"/>
        <s v="ООО «РН-БашНИПИнефть»"/>
        <s v="Лучина Дарья Сергеевна"/>
        <s v="Черноморов Илья Александрович"/>
        <s v="ООО СГП "/>
        <s v="ООО КОП "/>
        <s v="ООО «Ямнаска»"/>
        <s v="ИП Чекмазов Никита Александрович "/>
        <s v="Куропятник Дмитрий Александрович "/>
        <s v="ООО &quot;ПФ Сокол&quot;"/>
        <s v="Забелин Иван Игоревич "/>
        <s v="ООО Открытие Факторинг ; _x000a_АО ГЕОТЕК "/>
        <s v="АО «ПГО «Тюменьпромгеофизика»"/>
        <s v="Федеральное Государственное Автономное Образовательное Учреждение Высшего Образования &quot;Северный (Арктический) Федеральный университет им. М.В.Ломоносова&quot;"/>
        <s v="ООО &quot;СТС&quot;"/>
        <s v="Государственное унитарное предприятие «Водоканал Санкт-Петербурга»"/>
        <s v="ООО Кондитерский холдинг Королевс кий"/>
        <s v="ООО &quot;АСБ ГЕО&quot;"/>
        <s v="ТОО &quot;Жаикмунай&quot;"/>
        <s v="ЗАО Ныдинское "/>
        <s v="ПАО ВымпелКом "/>
        <s v="АО НПФ ГАЗФОНД "/>
        <s v="Филиал ПАО МТС в ЯНАО "/>
        <s v="ООО Центр технологий моделирования "/>
        <s v="ООО &quot;СибТрансСтрой&quot;"/>
        <s v="СРОКМНС Мадра "/>
        <s v="ООО АСБ ГЕО "/>
        <s v="ООО ТекФорс Инжиниринг "/>
        <s v="Коваленко Марина Витальевна "/>
        <s v="Филиал компании Халлибуртон Интерн эшнл ГмбХ"/>
        <s v="АО &quot;Почта России&quot;"/>
        <s v="АО БизнесПроф "/>
        <s v="Федеральное государственное бюджетное учреждение «Главное бассейновое управление по рыболовству и сохранению водных биологических ресурсов (ФГБУ «Главрыбвод») Енисейский филиал"/>
        <s v="ООО «Газпромнефть НТЦ&quot;"/>
        <s v="ООО Система Северо-Запад"/>
        <s v="ООО Газпром нефть шельф ; _x000a_АО ГЕОСЛУЖБА ГИН РАН "/>
        <s v="ООО &quot;Ваше Право&quot;"/>
        <s v="Департамент природных ресурсов и экологии Ямало-Ненецкого автономного округа "/>
        <s v="ООО Безопасный водитель "/>
        <s v="Бухтеева Анна Андреевна"/>
        <s v="ООО «НТЦ «Геомеханика»"/>
        <s v=" АНО &quot;Центр профессиональной патологии и лабораторной диагностики&quot;"/>
        <s v="ООО &quot;НТЦ &quot;ГЕОМЕХАНИКА&quot;"/>
        <s v="Нефтеюганский Филиал Шлюмберже "/>
        <s v="Фонд РОСКОНГРЕСС "/>
        <s v="ООО &quot;ТРАЕКТОРИЯ-СЕРВИС&quot;"/>
        <s v="Безруков Артем Алексеевич "/>
        <s v="ДПР ЯНАО "/>
        <s v="ООО Р.О.С.ЭКСПЕРТИЗА "/>
        <s v="УФПС г. Санкт-Петербурга и Ленингра дской области"/>
        <s v="Компания &quot;Шлюмберже Лоджелко, Инк.&quot;"/>
        <s v="GEOLOG SURFACE LOGGING DMCC "/>
        <s v="ООО «Геолог Интернешнл»; _x000a_GEOLOG SURFACE LOGGING DMCC "/>
        <s v="ООО РфД "/>
        <s v="ООО &quot;МЕДИКАЛ ЛАЙФ СУППОРТ"/>
        <s v="Филиал компании Халлибуртон Интерн эшнл ГмбХ; _x000a_ООО Бурсервис "/>
        <s v="NTC NIS-Naftagas LLC Novi Sad "/>
        <s v="Васильева Анастасия Ильинична"/>
        <s v="Забелин Иван Игоревич"/>
        <s v="ООО «Мобильная экологическая лаборатория»"/>
        <s v="Писарева Ирина Михайловна"/>
        <s v="Федеральное государственное бюджетное учреждение «Главное бассейновое управление по рыболовству и сохранению водных биологических ресурсов» Енисейский филиал"/>
        <s v="ООО БГТ "/>
        <s v="АО Газпромнефть - ОНПЗ "/>
        <s v="ООО ЭнергоТехСервис ; _x000a_ООО Газпромнефть - Заполярье "/>
        <s v="АО &quot;ЮТэйр-Вертолетные услуги&quot;"/>
        <s v="ЧОУ ДПО «УЦ «Ракурс+»"/>
        <s v="ООО Газпромнефть НТЦ ; _x000a_ООО Нефтеком "/>
        <s v="Комитет по природопользованию, охране окружающей среды и обеспечению экологической безопасности"/>
        <s v="АО &quot;ЦАСЭО&quot;"/>
        <s v="Исаева Ирина Сергеевна"/>
        <s v="ООО Газпромнефть Экспертные решени я"/>
        <s v="ПАО Промсвязьбанк ; _x000a_ООО ТСГК "/>
        <s v="Министерство экологии и рационального природопользования Красноярского края"/>
        <s v="ПАО ГЕОТЕК Сейсморазведка ; _x000a_ООО Газпромнефть-Хантос "/>
        <s v="АО &quot;Информационное Агенство Интерфакс&quot;; _x000a_АО Интерфакс "/>
        <s v="GeoloG International B.V. ; _x000a_Общество с ограниченной ответственностью «Геолог Интернешнл» (ООО «Геолог Интернешнл»)"/>
        <s v="Общество с ограниченной ответственностью «Геолог Интернешнл» (ООО «Геолог Интернешнл»); _x000a_GeoloG International B.V. "/>
        <s v="Михайлова Наталья Александровна"/>
        <s v="ООО &quot;Дан Групп&quot;"/>
        <s v="Гаврилов Антон Борисович "/>
        <s v="Лачугин Денис Сергеевич "/>
        <s v="Общество с ограниченной ответственностью &quot;Эмульсионные технологии&quot;"/>
        <s v="ООО «Грант+»"/>
        <s v="ДИО"/>
        <s v="НО СТХП Союз общин КМНС Эвенкии "/>
        <s v="Аршинина Мария Николаевна"/>
        <s v="Безруков А.А."/>
        <s v="АО МНГИ "/>
        <s v="ООО УТТ Восток "/>
        <s v="Бурмистрова Жанна Анатольевна"/>
        <s v="ООО Газпромнефть - Заполярье ; _x000a_ООО УТТ Восток "/>
        <s v="ООО Газпромнефть - Заполярье ; _x000a_АО МНГИ "/>
        <s v="ООО Газпромнефть - Заполярье ; _x000a_ООО Партнеры Ноябрьск "/>
        <s v="Анчина Кристина Геннадьевна"/>
        <s v="АО «Евротэк-Югра»; _x000a_ООО Югра-Экосервис"/>
        <s v="АО Информационное агентство Интерф акс"/>
        <s v="ЗАО ГСК "/>
        <s v="ООО Газпромнефть-Пальян "/>
        <s v="ООО Газпром нефть шельф "/>
        <s v="ООО Нефтесервисные решения "/>
        <m/>
      </sharedItems>
    </cacheField>
    <cacheField name="ИНН" numFmtId="0">
      <sharedItems containsBlank="1"/>
    </cacheField>
    <cacheField name="Основной ДД" numFmtId="0">
      <sharedItems containsBlank="1"/>
    </cacheField>
    <cacheField name="Рег. Номер договора/соглашения" numFmtId="0">
      <sharedItems containsBlank="1"/>
    </cacheField>
    <cacheField name="Номер ДД" numFmtId="0">
      <sharedItems containsBlank="1"/>
    </cacheField>
    <cacheField name="Тип ДД" numFmtId="0">
      <sharedItems containsBlank="1"/>
    </cacheField>
    <cacheField name="Вид ДД" numFmtId="0">
      <sharedItems containsBlank="1" count="14">
        <s v="Дополнительное соглашение"/>
        <s v="Соглашение"/>
        <s v="Договор"/>
        <s v="Заказ"/>
        <s v="Изменение"/>
        <s v="Спецификация"/>
        <s v=""/>
        <s v="Заявка"/>
        <s v="Задание"/>
        <s v="Дополнение"/>
        <s v="Соглашение о расторжении"/>
        <s v="Протокол разногласий"/>
        <s v="Приложение"/>
        <m/>
      </sharedItems>
    </cacheField>
    <cacheField name="Типовая форма по КТ-021" numFmtId="0">
      <sharedItems containsBlank="1" longText="1"/>
    </cacheField>
    <cacheField name="Номер проекта" numFmtId="0">
      <sharedItems containsBlank="1"/>
    </cacheField>
    <cacheField name="Вышестоящий ДД" numFmtId="0">
      <sharedItems containsBlank="1"/>
    </cacheField>
    <cacheField name="Наименование ДД" numFmtId="0">
      <sharedItems containsBlank="1" longText="1"/>
    </cacheField>
    <cacheField name="Цель/Предмет заключения ДД" numFmtId="0">
      <sharedItems containsBlank="1" longText="1"/>
    </cacheField>
    <cacheField name="Автор в СЭД" numFmtId="0">
      <sharedItems containsBlank="1"/>
    </cacheField>
    <cacheField name="Исполнитель" numFmtId="0">
      <sharedItems containsBlank="1"/>
    </cacheField>
    <cacheField name="Вид документа" numFmtId="0">
      <sharedItems containsBlank="1"/>
    </cacheField>
    <cacheField name="Подразделение-владелец ДД" numFmtId="0">
      <sharedItems containsBlank="1"/>
    </cacheField>
    <cacheField name="Подписант" numFmtId="0">
      <sharedItems containsBlank="1"/>
    </cacheField>
    <cacheField name="Способ подписания" numFmtId="0">
      <sharedItems containsBlank="1"/>
    </cacheField>
    <cacheField name="Тип срока действия ДД" numFmtId="0">
      <sharedItems containsBlank="1"/>
    </cacheField>
    <cacheField name="Срок действия с" numFmtId="0">
      <sharedItems containsDate="1" containsBlank="1" containsMixedTypes="1" minDate="2013-12-05T00:00:00" maxDate="2026-09-30T00:00:00"/>
    </cacheField>
    <cacheField name="Срок действия по" numFmtId="0">
      <sharedItems containsDate="1" containsBlank="1" containsMixedTypes="1" minDate="2020-12-31T00:00:00" maxDate="2045-02-17T00:00:00"/>
    </cacheField>
    <cacheField name="Доверенность" numFmtId="0">
      <sharedItems containsBlank="1"/>
    </cacheField>
    <cacheField name="Код по КТ-020" numFmtId="0">
      <sharedItems containsBlank="1" longText="1"/>
    </cacheField>
    <cacheField name="Вид взаиморасчётов" numFmtId="0">
      <sharedItems containsBlank="1"/>
    </cacheField>
    <cacheField name="Категория" numFmtId="0">
      <sharedItems containsBlank="1"/>
    </cacheField>
    <cacheField name="Налоговая ставка" numFmtId="0">
      <sharedItems containsBlank="1"/>
    </cacheField>
    <cacheField name="Иная налоговая ставка" numFmtId="0">
      <sharedItems containsBlank="1"/>
    </cacheField>
    <cacheField name="Гарантированный объем. без НДС в рублях" numFmtId="0">
      <sharedItems containsBlank="1"/>
    </cacheField>
    <cacheField name="Сумма с НДС/НДФЛ в рублях" numFmtId="44">
      <sharedItems containsBlank="1" containsMixedTypes="1" containsNumber="1" minValue="0" maxValue="155119736.40000001"/>
    </cacheField>
    <cacheField name="Сумма без учета налога" numFmtId="44">
      <sharedItems containsBlank="1" containsMixedTypes="1" containsNumber="1" minValue="0" maxValue="732.22"/>
    </cacheField>
    <cacheField name="Сумма налога" numFmtId="44">
      <sharedItems containsBlank="1" containsMixedTypes="1" containsNumber="1" minValue="0" maxValue="904.8"/>
    </cacheField>
    <cacheField name="Указать гарантированный объем" numFmtId="0">
      <sharedItems containsBlank="1"/>
    </cacheField>
    <cacheField name="Авансирование" numFmtId="0">
      <sharedItems containsBlank="1"/>
    </cacheField>
    <cacheField name="Процент авансового платежа" numFmtId="0">
      <sharedItems containsBlank="1"/>
    </cacheField>
    <cacheField name="Сумма авансового платежа в рублях" numFmtId="0">
      <sharedItems containsBlank="1"/>
    </cacheField>
    <cacheField name="Категория товаров/работ/услуг" numFmtId="0">
      <sharedItems containsBlank="1"/>
    </cacheField>
    <cacheField name="Получатель платежа" numFmtId="0">
      <sharedItems containsBlank="1"/>
    </cacheField>
    <cacheField name="Банковское сопровождение"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52">
  <r>
    <s v="Газпромнефть-ГЕО. ООО"/>
    <s v="0000049191"/>
    <s v="Закрыт"/>
    <d v="2021-12-30T00:00:00"/>
    <s v=""/>
    <x v="0"/>
    <s v="7729058675"/>
    <s v="ГЕО-21/09000/00271/Р"/>
    <s v=""/>
    <s v="1"/>
    <s v="Нетиповой ДД"/>
    <x v="0"/>
    <s v=""/>
    <s v="00001-22"/>
    <s v=""/>
    <s v="Дополнительное соглашение №1"/>
    <s v="Продление срока действия договора ГЕО-21/09000/00271/Р от 06.12.2021г."/>
    <s v="Сорокин И.М."/>
    <s v="Сорокин И.М."/>
    <s v="Договорный документ"/>
    <s v="Блок геологии и разработки"/>
    <s v="Аксенов М.А."/>
    <s v="На бумажном носителе"/>
    <s v="До исполнения обязательств"/>
    <d v="2021-12-30T00:00:00"/>
    <s v=""/>
    <s v="Д-54"/>
    <s v="Договор возмездного оказания услуг"/>
    <s v="Не предполагает взаиморасчетов"/>
    <s v=""/>
    <s v=""/>
    <s v=""/>
    <s v=""/>
    <s v=""/>
    <s v=""/>
    <s v=""/>
    <s v="нет"/>
    <s v="нет"/>
    <s v=""/>
    <s v=""/>
    <s v=""/>
    <s v=""/>
    <s v="нет"/>
  </r>
  <r>
    <s v="Газпромнефть-ГЕО, ООО"/>
    <s v="0000039714"/>
    <s v="Зарегистрирован"/>
    <d v="2023-01-01T00:00:00"/>
    <s v=""/>
    <x v="1"/>
    <s v="7734033757"/>
    <s v="ГЕО-21/10114/00257/Р"/>
    <s v=""/>
    <s v="6"/>
    <s v="Нетиповой ДД"/>
    <x v="0"/>
    <s v=""/>
    <s v="00001-23"/>
    <s v=""/>
    <s v="10114 - Супервайзерские услуги полевых работ площадными геофизическими методами;"/>
    <s v="Перевод части негарантированного объёма в гарантированный. "/>
    <s v="Дакиров В.С."/>
    <s v=""/>
    <s v="Договорный документ"/>
    <s v="Управление сейсморазведочных работ"/>
    <s v="Аксенов М.А."/>
    <s v="ЭП"/>
    <s v="До исполнения обязательств"/>
    <d v="2023-01-01T00:00:00"/>
    <s v=""/>
    <s v="Д-54"/>
    <s v="Супервайзерские услуги полевых работ площадными геофизическими методами"/>
    <s v="Расходная часть"/>
    <s v="Стоимостной"/>
    <s v="20%"/>
    <s v=""/>
    <s v=""/>
    <n v="155119736.40000001"/>
    <s v="129 266 447.00"/>
    <s v="25 853 289.40"/>
    <s v="нет"/>
    <s v="нет"/>
    <s v=""/>
    <s v=""/>
    <s v=""/>
    <s v=""/>
    <s v="нет"/>
  </r>
  <r>
    <s v="Газпромнефть-ГЕО, ООО"/>
    <s v=""/>
    <s v="Зарегистрирован"/>
    <d v="2023-11-17T00:00:00"/>
    <s v=""/>
    <x v="2"/>
    <s v=""/>
    <s v=""/>
    <s v="ГЕО-23/26000/00232"/>
    <s v="ГЕО-23/26000/00232"/>
    <s v="Типовой ДД"/>
    <x v="1"/>
    <s v="26000 Соглашение о конфиденциальности с российским контрагентом"/>
    <s v="00001-24"/>
    <s v=""/>
    <s v="26000 Соглашение о конфиденциальности с российским контрагентом"/>
    <s v="заключение СоК c ООО «Газбиопром инновации» в связи с проведением совместным исследований по поиску оптимальных методов и технологических решений по переработке осадков сточных вод ГУП «Водоканал Санкт-Петербурга». Работы подразумевают привлечение сотрудников «Газбиопром инновации» в качестве экспертов в связи с уникальными компетенциями в направлении работ"/>
    <s v="Волохов Р.Д."/>
    <s v="Волохов Р.Д."/>
    <s v="Договорный документ"/>
    <s v="Блок коммерческой деятельности"/>
    <s v="Созинов С.А."/>
    <s v="На бумажном носителе"/>
    <s v="До исполнения обязательств"/>
    <d v="2023-11-17T00:00:00"/>
    <s v=""/>
    <s v="Д-60"/>
    <s v="Соглашение о конфиденциальности"/>
    <s v="Не предполагает взаиморасчетов"/>
    <s v=""/>
    <s v=""/>
    <s v=""/>
    <s v=""/>
    <s v=""/>
    <s v=""/>
    <s v=""/>
    <s v="нет"/>
    <s v="нет"/>
    <s v=""/>
    <s v=""/>
    <s v=""/>
    <s v=""/>
    <s v="нет"/>
  </r>
  <r>
    <s v="Газпромнефть-ГЕО, ООО"/>
    <s v=""/>
    <s v="Закрыт"/>
    <d v="2022-01-01T00:00:00"/>
    <s v=""/>
    <x v="3"/>
    <s v=""/>
    <s v=""/>
    <s v="ГЕО-22/09000/00019/Р"/>
    <s v="ГЕО-22/09000/00019/Р"/>
    <s v="Нетиповой ДД"/>
    <x v="2"/>
    <s v=""/>
    <s v="00002-22"/>
    <s v=""/>
    <s v="Договор возмездного оказания услуг по операционной поддержке бизнеса направления «Каркас безопасности»"/>
    <s v="Предоставдение услуг по операционной поддержке бизнеса направления «Каркас безопасности» _x000d__x000a_"/>
    <s v="Якобчак Р.И."/>
    <s v="Якобчак Р.И."/>
    <s v="Договорный документ"/>
    <s v="Управление производственной безопасности"/>
    <s v="Власов М.М."/>
    <s v="На бумажном носителе"/>
    <s v="С ограничением по срокам "/>
    <d v="2022-01-01T00:00:00"/>
    <d v="2022-12-31T00:00:00"/>
    <s v="Д-59"/>
    <s v="Договор возмездного оказания услуг"/>
    <s v="Расходная часть"/>
    <s v="Стоимостной"/>
    <s v="20%"/>
    <s v=""/>
    <s v=""/>
    <s v="4 458 090.96"/>
    <s v="3 715 075.80"/>
    <s v="743 015.16"/>
    <s v="нет"/>
    <s v="нет"/>
    <s v=""/>
    <s v=""/>
    <s v=""/>
    <s v=""/>
    <s v="нет"/>
  </r>
  <r>
    <s v="Газпромнефть-ГЕО, ООО"/>
    <s v="0000040642"/>
    <s v="Зарегистрирован"/>
    <d v="2022-12-30T00:00:00"/>
    <s v=""/>
    <x v="4"/>
    <s v="7736035485"/>
    <s v=""/>
    <s v="ГЕО-22/17000/00343/Р"/>
    <s v="ГЕО-22/17000/00343/Р"/>
    <s v="Нетиповой ДД"/>
    <x v="2"/>
    <s v=""/>
    <s v="00002-23"/>
    <s v=""/>
    <s v="Договор страхования от несчастных случаев и болезней"/>
    <s v="Страхование сотрудников ООО ГПН-ГЕО от несчастных случаев и болезней на 2023 г"/>
    <s v="Курашко М.В."/>
    <s v="Курашко М.В."/>
    <s v="Договорный документ"/>
    <s v="Управление по работе с персоналом"/>
    <s v="Игнатова Ю.В."/>
    <s v="На бумажном носителе"/>
    <s v="С ограничением по срокам "/>
    <d v="2023-01-01T00:00:00"/>
    <d v="2023-12-31T00:00:00"/>
    <s v="Д-66"/>
    <s v="Договор страхования"/>
    <s v="Расходная часть"/>
    <s v="Стоимостной"/>
    <s v="без НДС"/>
    <s v=""/>
    <s v=""/>
    <s v="707 660.00"/>
    <s v="707 660.00"/>
    <n v="0"/>
    <s v="нет"/>
    <s v="нет"/>
    <s v=""/>
    <s v=""/>
    <s v=""/>
    <s v=""/>
    <s v="нет"/>
  </r>
  <r>
    <s v="Газпромнефть-ГЕО, ООО"/>
    <s v="0000058703"/>
    <s v="Зарегистрирован"/>
    <d v="2023-12-28T00:00:00"/>
    <s v=""/>
    <x v="5"/>
    <s v="5914024719"/>
    <s v=""/>
    <s v=""/>
    <s v="14"/>
    <s v="Нетиповой ДД"/>
    <x v="0"/>
    <s v=""/>
    <s v="00002-24"/>
    <s v=""/>
    <s v="ДС 14 к № ГЕО-21/10208/00166/Р от 20.07.2021"/>
    <s v="ДС по перераспределению части не гарантированного объема 2023 года в гарантированный объем 2024 и не гарантированный объем 2024 "/>
    <s v="Покатов О.Н."/>
    <s v=""/>
    <s v="Договорный документ"/>
    <s v="Блок главного инженера"/>
    <s v="Трифонов А.В."/>
    <s v="ЭП"/>
    <s v="До исполнения обязательств"/>
    <d v="2023-12-28T00:00:00"/>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21 931 599.16"/>
    <s v="184 942 999.30"/>
    <s v="36 988 599.86"/>
    <s v="нет"/>
    <s v="нет"/>
    <s v=""/>
    <s v=""/>
    <s v=""/>
    <s v=""/>
    <s v="нет"/>
  </r>
  <r>
    <s v="Газпромнефть-ГЕО, ООО"/>
    <s v=""/>
    <s v="Зарегистрирован"/>
    <d v="2021-12-24T00:00:00"/>
    <s v=""/>
    <x v="6"/>
    <s v=""/>
    <s v=""/>
    <s v="ГЕО-21/35000/00307"/>
    <s v="ГЕО-21/35000/00307"/>
    <s v="Нетиповой ДД"/>
    <x v="1"/>
    <s v=""/>
    <s v="00003-22"/>
    <s v=""/>
    <s v="Договор на выполнение работ по искусственному воспроизводству водных биологических ресурсов в целях компенсации ущерба, причиненного водным биоресурсам и среде их обитания "/>
    <s v="ООО &quot;ГПН-ГЕО&quot; обязуется за свой счет выполнить работы по искусственному воспроизводству водных биологических ресурсов (далее - мероприятия) на основании утвержденного плана искусственного воспроизводства водных биоресурсов в целях компенсации ущерба, причиненного водным биоресурсам и среде их обитания без предоставления водных биоресурсов в пользование и сдать их результат Заказчику в соответствии с Договором путем осуществления выпуска водных биологических ресурсов в водные объекты рыбохозяйственного значения в качестве восстановительного мероприятия для полного возмещения ущерба, нанесенного водным биоресурсам и среде их обитания"/>
    <s v="Липатова О.И."/>
    <s v="Липатова О.И."/>
    <s v="Договорный документ"/>
    <s v="Отдел экологической безопасности"/>
    <s v="Масалкин Ю.В."/>
    <s v="На бумажном носителе"/>
    <s v="С ограничением по срокам "/>
    <d v="2021-12-24T00:00:00"/>
    <d v="2022-12-31T00:00:00"/>
    <s v=""/>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40642"/>
    <s v="Закрыт"/>
    <d v="2022-12-30T00:00:00"/>
    <s v=""/>
    <x v="4"/>
    <s v="7736035485"/>
    <s v="ГЕО-22/17000/00018/Р"/>
    <s v=""/>
    <s v="1"/>
    <s v="Нетиповой ДД"/>
    <x v="0"/>
    <s v=""/>
    <s v="00003-23"/>
    <s v=""/>
    <s v="Дополнительное соглашение №1 к договору страхования от несчастных случаев и болезней №0622 LA 000079/ГЕО-22/17000/00018/Р от «01» января 2022 г."/>
    <s v="Изменение списка застраованных"/>
    <s v="Курашко М.В."/>
    <s v=""/>
    <s v="Договорный документ"/>
    <s v="Управление по работе с персоналом"/>
    <s v="Игнатова Ю.В."/>
    <s v="На бумажном носителе"/>
    <s v="До исполнения обязательств"/>
    <d v="2022-12-30T00:00:00"/>
    <s v=""/>
    <s v="Д-66"/>
    <s v="Договор страхования"/>
    <s v="Расходная часть"/>
    <s v="Рамочный"/>
    <s v="без НДС"/>
    <s v=""/>
    <s v=""/>
    <s v="4 288.68"/>
    <s v="4 288.68"/>
    <n v="0"/>
    <s v="нет"/>
    <s v="нет"/>
    <s v=""/>
    <s v=""/>
    <s v=""/>
    <s v=""/>
    <s v="нет"/>
  </r>
  <r>
    <s v="Газпромнефть-ГЕО, ООО"/>
    <s v="0000057812"/>
    <s v="Зарегистрирован"/>
    <d v="2021-12-30T00:00:00"/>
    <s v=""/>
    <x v="7"/>
    <s v="7841006500"/>
    <s v="ГЕО-21/09000/00120/Р"/>
    <s v=""/>
    <s v="1"/>
    <s v="Нетиповой ДД"/>
    <x v="0"/>
    <s v=""/>
    <s v="00004-22"/>
    <s v=""/>
    <s v="ДОПОЛНИТЕЛЬНОЕ СОГЛАШЕНИЕ №1 К СОГЛАШЕНИЮ ОБ ОКАЗАНИИ ЮРИДИЧЕСКОЙ ПОМОЩИ №ГЕО-21/09000/00120/Р от 30.04.2021г."/>
    <s v="Продление срока оказания услуг"/>
    <s v="Цветков Д.В."/>
    <s v="Цветков Д.В."/>
    <s v="Договорный документ"/>
    <s v="Газпромнефть-ГЕО, ООО"/>
    <s v="Масалкин Ю.В."/>
    <s v="На бумажном носителе"/>
    <s v="С ограничением по срокам "/>
    <d v="2022-01-01T00:00:00"/>
    <d v="2022-12-31T00:00:00"/>
    <s v=""/>
    <s v="Договор возмездного оказания услуг"/>
    <s v="Не предполагает взаиморасчетов"/>
    <s v=""/>
    <s v=""/>
    <s v=""/>
    <s v=""/>
    <s v=""/>
    <s v=""/>
    <s v=""/>
    <s v="нет"/>
    <s v="нет"/>
    <s v=""/>
    <s v=""/>
    <s v=""/>
    <s v=""/>
    <s v="нет"/>
  </r>
  <r>
    <s v="Газпромнефть-ГЕО, ООО"/>
    <s v="0000047431"/>
    <s v="Зарегистрирован"/>
    <d v="2021-12-30T00:00:00"/>
    <s v=""/>
    <x v="8"/>
    <s v="7706623585"/>
    <s v=" ГЕО-19/09000/00325/Р"/>
    <s v=""/>
    <s v="3"/>
    <s v="Нетиповой ДД"/>
    <x v="0"/>
    <s v=""/>
    <s v="00005-22"/>
    <s v=""/>
    <s v="ДС № 3 к Д № ГЕО-19/09000/00325/Р"/>
    <s v="Перенос сроков оказания услуг, предусмотренных договором № ГЕО-19/09000/00325/Р от 30 декабря 2019 года"/>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1-12-30T00:00:00"/>
    <s v=""/>
    <s v=""/>
    <s v="Договор на обучение (тренинги, семинары и проч.)"/>
    <s v="Не предполагает взаиморасчетов"/>
    <s v=""/>
    <s v=""/>
    <s v=""/>
    <s v=""/>
    <s v=""/>
    <s v=""/>
    <s v=""/>
    <s v="нет"/>
    <s v="нет"/>
    <s v=""/>
    <s v=""/>
    <s v=""/>
    <s v=""/>
    <s v="нет"/>
  </r>
  <r>
    <s v="Газпромнефть-ГЕО, ООО"/>
    <s v="0000093917"/>
    <s v="Зарегистрирован"/>
    <d v="2022-12-30T00:00:00"/>
    <s v=""/>
    <x v="9"/>
    <s v="5609193118"/>
    <s v="ГЕО-20/10986/00128/Р"/>
    <s v=""/>
    <s v="6"/>
    <s v="Нетиповой ДД"/>
    <x v="0"/>
    <s v=""/>
    <s v="00005-23"/>
    <s v=""/>
    <s v="Дополнительное соглашение № 6 к Договору № ГЕО-20/10986/00128/Р от 07.08.2020 г. "/>
    <s v="ДС заключается с целью увеличения стоимости договора на 9 224 875,38 руб. без НДС, перераспределения объёмов по годам и между статьями затрат, и продления оказания услуг до середины февраля 2023 г.  "/>
    <s v="Хабибуллин Т.Ф."/>
    <s v="Хабибуллин Т.Ф."/>
    <s v="Договорный документ"/>
    <s v="Отдел по промышленной и пожарной безопасности"/>
    <s v="Ядрышников П.Н."/>
    <s v="На бумажном носителе"/>
    <s v="С ограничением по срокам "/>
    <d v="2022-12-30T00:00:00"/>
    <d v="2023-12-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51 088 619.72"/>
    <s v="209 240 516.43"/>
    <s v="41 848 103.29"/>
    <s v="нет"/>
    <s v="нет"/>
    <s v=""/>
    <s v=""/>
    <s v=""/>
    <s v=""/>
    <s v="нет"/>
  </r>
  <r>
    <s v="Газпромнефть-ГЕО, ООО"/>
    <s v="0000061428"/>
    <s v="Зарегистрирован"/>
    <d v="2024-01-15T00:00:00"/>
    <s v=""/>
    <x v="10"/>
    <s v="7705907626"/>
    <s v=""/>
    <s v="ГЕО-24/10000/00003/Р"/>
    <s v="ГЕО-24/10000/00003/Р"/>
    <s v="Нетиповой ДД"/>
    <x v="2"/>
    <s v=""/>
    <s v="00005-24"/>
    <s v=""/>
    <s v="ДОГОВОР на оказание услуг по обслуживанию и прокату погружных установок электроцентробежных насосов"/>
    <s v="Заключение договора для нужд ООО &quot;ГПН-ГЕО&quot;"/>
    <s v="Лопарев В.В."/>
    <s v="Николаев Ю.М."/>
    <s v="Договорный документ"/>
    <s v="Блок главного инженера"/>
    <s v="Трифонов А.В."/>
    <s v="На бумажном носителе"/>
    <s v="С ограничением по срокам "/>
    <d v="2024-01-15T00:00:00"/>
    <d v="2026-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0"/>
    <s v="377 916 437.28"/>
    <s v="314 930 364.40"/>
    <s v="62 986 072.88"/>
    <s v="да"/>
    <s v="нет"/>
    <s v=""/>
    <s v=""/>
    <s v=""/>
    <s v=""/>
    <s v="нет"/>
  </r>
  <r>
    <s v="Газпромнефть-ГЕО, ООО"/>
    <s v="0000107378"/>
    <s v="Зарегистрирован"/>
    <d v="2023-01-10T00:00:00"/>
    <s v=""/>
    <x v="11"/>
    <s v="471200460370"/>
    <s v=""/>
    <s v="ГЕО-23/25000/00007/Р"/>
    <s v="ГЕО-23/25000/00007/Р"/>
    <s v="Типовой ДД"/>
    <x v="2"/>
    <s v="25000 Договор об оказании услуг физическим лицом (без выезда на Лицензионные участки Заказчика)"/>
    <s v="00006-23"/>
    <s v=""/>
    <s v="25000 Договор об оказании услуг физическим лицом (без выезда на Лицензионные участки Заказчика)"/>
    <s v="Договор гражданско-правового характера"/>
    <s v="Буракова О.В."/>
    <s v="Буракова О.В."/>
    <s v="Договорный документ"/>
    <s v="Отдел административной поддержки бизнеса"/>
    <s v="Масалкин Ю.В."/>
    <s v="На бумажном носителе"/>
    <s v="С ограничением по срокам "/>
    <d v="2023-01-10T00:00:00"/>
    <d v="2023-03-31T00:00:00"/>
    <s v=""/>
    <s v="Договор оказания услуг с физическим лицом"/>
    <s v="Расходная часть"/>
    <s v="Стоимостной"/>
    <s v="13%"/>
    <s v=""/>
    <s v=""/>
    <s v="217 500.00"/>
    <s v="189 225.00"/>
    <s v="28 275.00"/>
    <s v="нет"/>
    <s v="нет"/>
    <s v=""/>
    <s v=""/>
    <s v=""/>
    <s v=""/>
    <s v="нет"/>
  </r>
  <r>
    <s v="Газпромнефть-ГЕО, ООО"/>
    <s v="0000062524"/>
    <s v="Зарегистрирован"/>
    <d v="2023-12-29T00:00:00"/>
    <s v=""/>
    <x v="12"/>
    <s v="5908034187"/>
    <s v="ГЕО-21/10302/00225/Р"/>
    <s v=""/>
    <s v="6"/>
    <s v="Нетиповой ДД"/>
    <x v="0"/>
    <s v=""/>
    <s v="00006-24"/>
    <s v=""/>
    <s v="ДОПОЛНИТЕЛЬНОЕ СОГЛАШЕНИЕ № 6 к Договору № ГЕО-21/10302/00225/Р от 11.10.2021г.  "/>
    <s v="Смещение окончания работ на скважине № 401 Западно-Рубежинского ЛУ на 2024г."/>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3-12-29T00:00:00"/>
    <s v=""/>
    <s v="Д-82"/>
    <s v="Технологическое сопровождение (прокат) забойных двигателей     "/>
    <s v="Не предполагает взаиморасчетов"/>
    <s v=""/>
    <s v=""/>
    <s v=""/>
    <s v=""/>
    <s v=""/>
    <s v=""/>
    <s v=""/>
    <s v="нет"/>
    <s v="нет"/>
    <s v=""/>
    <s v=""/>
    <s v=""/>
    <s v=""/>
    <s v="нет"/>
  </r>
  <r>
    <s v="Газпромнефть-ГЕО, ООО"/>
    <s v="0000071739"/>
    <s v="Зарегистрирован"/>
    <d v="2022-01-07T00:00:00"/>
    <s v=""/>
    <x v="13"/>
    <s v="7710497816"/>
    <s v=""/>
    <s v="ГЕО-22/09000/00014/Р"/>
    <s v="ГЕО-22/09000/00014/Р"/>
    <s v="Типовой ДД"/>
    <x v="2"/>
    <s v="10307 Договор на оказание услуг по предоставлению оборудования и инженерному сопровождению при спуске и креплению скважин хвостовиками "/>
    <s v="00007-22"/>
    <s v=""/>
    <s v="10307 Договор на оказание услуг по предоставлению оборудования и инженерному сопровождению при спуске и креплению скважин хвостовиками "/>
    <s v="Заключение договора по услуге 10307 Предоставление оборудования и инженерное сопровождение при спуске и креплении скважин хвостовиками"/>
    <s v="Лопарев В.В."/>
    <s v="Дунаев Э.В."/>
    <s v="Договорный документ"/>
    <s v="Блок бурения и ВСР"/>
    <s v="Гаврилов С.В."/>
    <s v="На бумажном носителе"/>
    <s v="С ограничением по срокам "/>
    <d v="2022-01-06T00:00:00"/>
    <d v="2024-12-31T00:00:00"/>
    <s v="Д-58"/>
    <s v="Договор возмездного оказания услуг"/>
    <s v="Расходная часть"/>
    <s v="Стоимостной"/>
    <s v="20%"/>
    <s v=""/>
    <s v=""/>
    <s v="74 418 522.44"/>
    <s v="62 015 435.37"/>
    <s v="12 403 087.07"/>
    <s v="нет"/>
    <s v="нет"/>
    <s v=""/>
    <s v=""/>
    <s v=""/>
    <s v=""/>
    <s v="нет"/>
  </r>
  <r>
    <s v="Газпромнефть-ГЕО, ООО"/>
    <s v="0000102205"/>
    <s v="Проект"/>
    <s v=""/>
    <s v=""/>
    <x v="14"/>
    <s v="9715287189"/>
    <s v=""/>
    <s v=""/>
    <s v=""/>
    <s v="Типовой ДД"/>
    <x v="1"/>
    <s v="33100 Соглашение в области производственной безопасности"/>
    <s v="00007-23"/>
    <s v=""/>
    <s v="33100 Соглашение в области производственной безопасности"/>
    <s v="на исполнение требований и обязательства Подрядчика в области ПБ  ПАО «Газпром нефть». "/>
    <s v="Калугина С.Б."/>
    <s v="Галлямов Р.Ю."/>
    <s v="Договорный документ"/>
    <s v="Департамент капитального строительства"/>
    <s v="Трифонов А.В."/>
    <s v="ЭП"/>
    <s v="Без сроков "/>
    <d v="2023-01-01T00:00:00"/>
    <s v=""/>
    <s v="Д-33"/>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5689"/>
    <s v="Зарегистрирован"/>
    <d v="2024-01-10T00:00:00"/>
    <s v=""/>
    <x v="15"/>
    <s v="3808219470"/>
    <s v=""/>
    <s v="ГЕО-24/33400/00007"/>
    <s v="ГЕО-24/33400/00007"/>
    <s v="Нетиповой ДД"/>
    <x v="1"/>
    <s v=""/>
    <s v="00007-24"/>
    <s v=""/>
    <s v="Соглашение о  безопасном использовании информационных систем"/>
    <s v="Соглашение о безопасном использовании информационных систем_x000a_"/>
    <s v="Гулин В.Д."/>
    <s v="Гулин В.Д."/>
    <s v="Договорный документ"/>
    <s v="Блок геологии и разработки"/>
    <s v="Аксенов М.А."/>
    <s v="ЭП"/>
    <s v="С ограничением по срокам "/>
    <d v="2024-01-10T00:00:00"/>
    <d v="2025-12-31T00:00:00"/>
    <s v="Д-54"/>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45789"/>
    <s v="Зарегистрирован"/>
    <d v="2021-03-23T00:00:00"/>
    <s v=""/>
    <x v="16"/>
    <s v="7838395487"/>
    <s v="НТЦ-18/29000/01335/Д-ГЕО/ГЕО-19/10124/00001 "/>
    <s v=""/>
    <s v="ЗАКАЗ № НТЦ-21/09000/00055/Д-ГЕО к №НТЦ-18/29000/01335/Д-ГЕО/ГЕО-19/10124/00001 от 09.01.2019 г."/>
    <s v="Нетиповой ДД"/>
    <x v="3"/>
    <s v=""/>
    <s v="00008-21"/>
    <s v=""/>
    <s v="Выделение перспективных объектов в пластах Б-VIII-1, Вн-1 и рифея с построением сейсмогеологических моделей и расчетом технологических показателей разработки в рамках проекта Оморинский"/>
    <s v="Подготовка бизнес кейса для выхода на ИК с целью запроса финансирования на программу ГРР этапа «Оценка»"/>
    <s v="Ябиров Р.З."/>
    <s v="Ябиров Р.З."/>
    <s v="Договорный документ"/>
    <s v="Блок геологии и разработки"/>
    <s v="Аксенов М.А."/>
    <s v="На бумажном носителе"/>
    <s v="С ограничением по срокам "/>
    <d v="2021-03-23T00:00:00"/>
    <d v="2021-12-31T00:00:00"/>
    <s v=""/>
    <s v="НИОКР, НИР в области геологии и разработки месторождений"/>
    <s v="Расходная часть"/>
    <s v="Рамочный"/>
    <s v="20%"/>
    <s v=""/>
    <s v=""/>
    <s v="53 646 758.40"/>
    <s v="44 705 632.00"/>
    <s v="8 941 126.40"/>
    <s v="нет"/>
    <s v="нет"/>
    <s v=""/>
    <s v=""/>
    <s v=""/>
    <s v=""/>
    <s v="нет"/>
  </r>
  <r>
    <s v="Газпромнефть-ГЕО, ООО"/>
    <s v="0000082130"/>
    <s v="Зарегистрирован"/>
    <d v="2022-01-13T00:00:00"/>
    <s v=""/>
    <x v="17"/>
    <s v="7203027949"/>
    <s v="ГЕО-20/101109/00144/Р"/>
    <s v=""/>
    <s v="1"/>
    <s v="Нетиповой ДД"/>
    <x v="0"/>
    <s v=""/>
    <s v="00008-22"/>
    <s v=""/>
    <s v="Дополнительное соглашение в связи со смменой реквизитов"/>
    <s v="Изменение реквизитов Подрядчика"/>
    <s v="Ябиров Р.З."/>
    <s v="Ябиров Р.З."/>
    <s v="Договорный документ"/>
    <s v="Блок геологии и разработки"/>
    <s v="Аксенов М.А."/>
    <s v="На бумажном носителе"/>
    <s v="С ограничением по срокам "/>
    <d v="2022-01-13T00:00:00"/>
    <d v="2022-12-31T00:00:00"/>
    <s v="Д-54"/>
    <s v="Договор на выполнение НИР, ОКР и технологических работ"/>
    <s v="Не предполагает взаиморасчетов"/>
    <s v=""/>
    <s v=""/>
    <s v=""/>
    <s v=""/>
    <s v=""/>
    <s v=""/>
    <s v=""/>
    <s v="нет"/>
    <s v="нет"/>
    <s v=""/>
    <s v=""/>
    <s v=""/>
    <s v=""/>
    <s v="нет"/>
  </r>
  <r>
    <s v="Газпромнефть-ГЕО, ООО"/>
    <s v="0000085689"/>
    <s v="Зарегистрирован"/>
    <d v="2023-01-16T00:00:00"/>
    <s v=""/>
    <x v="15"/>
    <s v="3808219470"/>
    <s v=""/>
    <s v="ГЕО-23/33100/00004"/>
    <s v="ГЕО-23/33100/00004"/>
    <s v="Типовой ДД"/>
    <x v="1"/>
    <s v="33100 Соглашение в области производственной безопасности"/>
    <s v="00008-23"/>
    <s v=""/>
    <s v="33100 Соглашение в области производственной безопасности"/>
    <s v="Соглашение в области производственной безопасности (ПБ)"/>
    <s v="Гулин В.Д."/>
    <s v="Гулин В.Д."/>
    <s v="Договорный документ"/>
    <s v="Блок геологии и разработки"/>
    <s v="Аксенов М.А."/>
    <s v="На бумажном носителе"/>
    <s v="С ограничением по срокам "/>
    <d v="2023-01-16T00:00:00"/>
    <d v="2023-07-28T00:00:00"/>
    <s v="Д-54"/>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0716"/>
    <s v="Зарегистрирован"/>
    <d v="2023-12-29T00:00:00"/>
    <s v=""/>
    <x v="18"/>
    <s v="7728803870"/>
    <s v="ГЕО-21/10303/00204/Р"/>
    <s v=""/>
    <s v="13"/>
    <s v="Нетиповой ДД"/>
    <x v="0"/>
    <s v=""/>
    <s v="00008-24"/>
    <s v=""/>
    <s v="ДОПОЛНИТЕЛЬНОЕ СОГЛАШЕНИЕ № 13 к Договору № ОРН-18/10303/03693/Р от 20.12.2018г."/>
    <s v="Смещение окончания работ на скв. 401 Западно-Рубежинского ЛУ на 2024г. "/>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3-12-29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7108"/>
    <s v="Зарегистрирован"/>
    <d v="2021-12-01T00:00:00"/>
    <s v=""/>
    <x v="19"/>
    <s v="3245502148"/>
    <s v="ГЕО-20/09000/00182/Д/АБ-20/09000/00005/Р "/>
    <s v=""/>
    <s v="2"/>
    <s v="Нетиповой ДД"/>
    <x v="0"/>
    <s v=""/>
    <s v="00009-22"/>
    <s v=""/>
    <s v="Дополнительное соглашение № 2 к операторскому соглашению"/>
    <s v="Оказание операторских услуг"/>
    <s v="Кошелева Ю.В."/>
    <s v="Кошелева Ю.В."/>
    <s v="Договорный документ"/>
    <s v="Управление экономического планирования и анализа"/>
    <s v="Масалкин Ю.В."/>
    <s v="На бумажном носителе"/>
    <s v="С ограничением по срокам "/>
    <d v="2022-01-01T00:00:00"/>
    <d v="2022-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2 746 800 000.00"/>
    <s v="2 289 000 000.00"/>
    <s v="457 800 000.00"/>
    <s v="нет"/>
    <s v="нет"/>
    <s v=""/>
    <s v=""/>
    <s v=""/>
    <s v=""/>
    <s v="нет"/>
  </r>
  <r>
    <s v="Газпромнефть-ГЕО, ООО"/>
    <s v="0000037860"/>
    <s v="Зарегистрирован"/>
    <d v="2023-01-10T00:00:00"/>
    <s v=""/>
    <x v="20"/>
    <s v="7714024384"/>
    <s v=""/>
    <s v="ГЕО-23/33100/00008"/>
    <s v="ГЕО-23/33100/00008"/>
    <s v="Типовой ДД"/>
    <x v="1"/>
    <s v="33100 Соглашение в области производственной безопасности"/>
    <s v="00009-23"/>
    <s v=""/>
    <s v="33100 Соглашение в области производственной безопасности"/>
    <s v="Для выполнения работ подрядной организацией АО «БЕЙКЕР ХЬЮЗ»"/>
    <s v="Ушакова М.А."/>
    <s v=""/>
    <s v="Договорный документ"/>
    <s v="Блок производственной безопасности"/>
    <s v="Аксенов М.А."/>
    <s v="На бумажном носителе"/>
    <s v="С ограничением по срокам "/>
    <d v="2023-01-10T00:00:00"/>
    <d v="2027-12-31T00:00:00"/>
    <s v="Д-54"/>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1739"/>
    <s v="Зарегистрирован"/>
    <d v="2023-12-29T00:00:00"/>
    <s v=""/>
    <x v="13"/>
    <s v="7710497816"/>
    <s v="ГЕО-22/09000/00014/Р"/>
    <s v=""/>
    <s v="6"/>
    <s v="Нетиповой ДД"/>
    <x v="0"/>
    <s v=""/>
    <s v="00009-24"/>
    <s v=""/>
    <s v="Дополнительное соглашение № 6 к Договору № ГЕО-22/09000/00014/Р от 07.01.2022г."/>
    <s v="Смещение окончания работ на скважине № 401 Западно-Рубежинского ЛУ на 2024г."/>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3-12-29T00:00:00"/>
    <s v=""/>
    <s v="Д-82"/>
    <s v="Договор возмездного оказания услуг"/>
    <s v="Не предполагает взаиморасчетов"/>
    <s v=""/>
    <s v=""/>
    <s v=""/>
    <s v=""/>
    <s v=""/>
    <s v=""/>
    <s v=""/>
    <s v="нет"/>
    <s v="нет"/>
    <s v=""/>
    <s v=""/>
    <s v=""/>
    <s v=""/>
    <s v="нет"/>
  </r>
  <r>
    <s v="Газпромнефть-ГЕО, ООО"/>
    <s v="0000073273"/>
    <s v="Зарегистрирован"/>
    <d v="2022-01-18T00:00:00"/>
    <s v=""/>
    <x v="21"/>
    <s v="5610218014"/>
    <s v=""/>
    <s v="ГЕО-22/33200/00009"/>
    <s v="ГЕО-22/33200/00009"/>
    <s v="Типовой ДД"/>
    <x v="1"/>
    <s v="33200 Соглашение об электронном документообороте"/>
    <s v="00010-22"/>
    <s v=""/>
    <s v="33200 Соглашение об электронном документообороте"/>
    <s v="В связи с реализацией МТР ОТ ГПН-Оренбург необходимо заключение соглашения об ЭДО"/>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Без сроков "/>
    <d v="2022-01-18T00:00:00"/>
    <s v=""/>
    <s v="Д-56"/>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37860"/>
    <s v="Зарегистрирован"/>
    <d v="2023-01-10T00:00:00"/>
    <s v=""/>
    <x v="20"/>
    <s v="7714024384"/>
    <s v=""/>
    <s v="ГЕО-23/26000/00009"/>
    <s v="ГЕО-23/26000/00009"/>
    <s v="Типовой ДД"/>
    <x v="1"/>
    <s v="26000 Соглашение о конфиденциальности с российским контрагентом"/>
    <s v="00010-23"/>
    <s v=""/>
    <s v="26000 Соглашение о конфиденциальности с российским контрагентом"/>
    <s v="Для выполнения работ подрядной организацией АО «БЕЙКЕР ХЬЮЗ»"/>
    <s v="Ушакова М.А."/>
    <s v=""/>
    <s v="Договорный документ"/>
    <s v="Блок корпоративной защиты"/>
    <s v="Созинов С.А."/>
    <s v="На бумажном носителе"/>
    <s v="С ограничением по срокам "/>
    <d v="2023-01-09T00:00:00"/>
    <d v="2027-12-31T00:00:00"/>
    <s v="Д-60"/>
    <s v="Соглашение о конфиденциальности"/>
    <s v="Не предполагает взаиморасчетов"/>
    <s v=""/>
    <s v=""/>
    <s v=""/>
    <s v=""/>
    <s v=""/>
    <s v=""/>
    <s v=""/>
    <s v="нет"/>
    <s v="нет"/>
    <s v=""/>
    <s v=""/>
    <s v=""/>
    <s v=""/>
    <s v="нет"/>
  </r>
  <r>
    <s v="Газпромнефть-ГЕО, ООО"/>
    <s v="0000061428"/>
    <s v="Зарегистрирован"/>
    <d v="2024-01-15T00:00:00"/>
    <s v=""/>
    <x v="10"/>
    <s v="7705907626"/>
    <s v=""/>
    <s v="ГЕО-24/33100/00009"/>
    <s v="ГЕО-24/33100/00009"/>
    <s v="Типовой ДД"/>
    <x v="1"/>
    <s v="33100 Соглашение в области производственной безопасности"/>
    <s v="00010-24"/>
    <s v=""/>
    <s v="33100 Соглашение в области производственной безопасности"/>
    <s v="Соглашение ПБ"/>
    <s v="Николаев Ю.М."/>
    <s v="Николаев Ю.М."/>
    <s v="Договорный документ"/>
    <s v="Производственно-технологический департамент"/>
    <s v="Михайлов Ю.А."/>
    <s v="ЭП"/>
    <s v="До исполнения обязательств"/>
    <d v="2024-01-15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0642"/>
    <s v="Зарегистрирован"/>
    <d v="2021-12-30T00:00:00"/>
    <s v=""/>
    <x v="4"/>
    <s v="7736035485"/>
    <s v="ГЕО-20/17000/00212/Р"/>
    <s v=""/>
    <s v="2"/>
    <s v="Нетиповой ДД"/>
    <x v="0"/>
    <s v=""/>
    <s v="00011-22"/>
    <s v=""/>
    <s v="Дополнительное соглашение №2"/>
    <s v="Изменение количесва застрахованных лиц"/>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1-12-30T00:00:00"/>
    <s v=""/>
    <s v=""/>
    <s v="Договор страхования"/>
    <s v="Расходная часть"/>
    <s v="Стоимостной"/>
    <s v="без НДС"/>
    <s v=""/>
    <s v=""/>
    <s v="3 833.83"/>
    <s v="3 833.83"/>
    <n v="0"/>
    <s v="нет"/>
    <s v="нет"/>
    <s v=""/>
    <s v=""/>
    <s v=""/>
    <s v=""/>
    <s v="нет"/>
  </r>
  <r>
    <s v="Газпромнефть-ГЕО, ООО"/>
    <s v="0000093917"/>
    <s v="Зарегистрирован"/>
    <d v="2022-12-31T00:00:00"/>
    <s v=""/>
    <x v="9"/>
    <s v="5609193118"/>
    <s v="ГЕО-20/10986/00128/Р"/>
    <s v=""/>
    <s v="11"/>
    <s v="Нетиповой ДД"/>
    <x v="3"/>
    <s v=""/>
    <s v="00011-23"/>
    <s v=""/>
    <s v="Наряд-заказ на оказание услуг № 11 к Договору №ГЕО-20/10986/00128/Р от 01.09.2020 г. "/>
    <s v="Оказание услуг по обеспечению безопасных условий труда для работников и соблюдению требований промышленной безопасности на скважинах № 178 Лескинского лицензионного участка. "/>
    <s v="Хабибуллин Т.Ф."/>
    <s v="Хабибуллин Т.Ф."/>
    <s v="Договорный документ"/>
    <s v="Отдел по промышленной и пожарной безопасности"/>
    <s v="Ядрышников П.Н."/>
    <s v="На бумажном носителе"/>
    <s v="С ограничением по срокам "/>
    <d v="2023-01-01T00:00:00"/>
    <d v="2023-02-15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7 850 739.19"/>
    <s v="6 542 282.66"/>
    <s v="1 308 456.53"/>
    <s v="нет"/>
    <s v="нет"/>
    <s v=""/>
    <s v=""/>
    <s v=""/>
    <s v=""/>
    <s v="нет"/>
  </r>
  <r>
    <s v="Газпромнефть-ГЕО, ООО"/>
    <s v="0000061428"/>
    <s v="Зарегистрирован"/>
    <d v="2024-01-15T00:00:00"/>
    <s v=""/>
    <x v="10"/>
    <s v="7705907626"/>
    <s v=""/>
    <s v="ГЕО-24/33200/00011"/>
    <s v="ГЕО-24/33200/00011"/>
    <s v="Типовой ДД"/>
    <x v="1"/>
    <s v="33200 Соглашение об электронном документообороте"/>
    <s v="00011-24"/>
    <s v=""/>
    <s v="33200 Соглашение об электронном документообороте"/>
    <s v="обмен ЭД"/>
    <s v="Николаев Ю.М."/>
    <s v=""/>
    <s v="Договорный документ"/>
    <s v="Производственно-технологический департамент"/>
    <s v="Трифонов А.В."/>
    <s v="ЭП"/>
    <s v="До исполнения обязательств"/>
    <d v="2024-01-11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1355"/>
    <s v="Зарегистрирован"/>
    <d v="2021-04-01T00:00:00"/>
    <s v=""/>
    <x v="22"/>
    <s v="7721690184"/>
    <s v=""/>
    <s v="ГЕО-21/00000/00103"/>
    <s v="ГЕО-21/00000/00103"/>
    <s v="Нетиповой ДД"/>
    <x v="1"/>
    <s v=""/>
    <s v="00012-21"/>
    <s v=""/>
    <s v="Соглашение об использовании электронного документооборота"/>
    <s v="Установление документооборота с использованием электронной подписи."/>
    <s v="Савельева И.И."/>
    <s v=""/>
    <s v="Договорный документ"/>
    <s v="Отдел административной поддержки бизнеса"/>
    <s v="Масалкин Ю.В."/>
    <s v="На бумажном носителе"/>
    <s v="Без сроков "/>
    <d v="2021-04-01T00:00:00"/>
    <s v=""/>
    <s v=""/>
    <s v="ПРОЧИЕ ДОГОВОРЫ"/>
    <s v="Не предполагает взаиморасчетов"/>
    <s v=""/>
    <s v=""/>
    <s v=""/>
    <s v=""/>
    <s v=""/>
    <s v=""/>
    <s v=""/>
    <s v="нет"/>
    <s v="нет"/>
    <s v=""/>
    <s v=""/>
    <s v=""/>
    <s v=""/>
    <s v="нет"/>
  </r>
  <r>
    <s v="Газпромнефть-ГЕО, ООО"/>
    <s v="0000093917"/>
    <s v="Зарегистрирован"/>
    <d v="2022-12-30T00:00:00"/>
    <s v=""/>
    <x v="9"/>
    <s v="5609193118"/>
    <s v="ГЕО-20/10986/00128/Р"/>
    <s v=""/>
    <s v="12"/>
    <s v="Нетиповой ДД"/>
    <x v="3"/>
    <s v=""/>
    <s v="00012-23"/>
    <s v=""/>
    <s v="Наряд-заказ на оказание услуг № 12 к Договору №ГЕО-20/10986/00128/Р от 01.09.2020 г. "/>
    <s v="Оказание услуг по обеспечению безопасных условий труда для работников и соблюдению требований промышленной безопасности на скважинах № 341 Солнечного лицензионного участка. "/>
    <s v="Хабибуллин Т.Ф."/>
    <s v="Хабибуллин Т.Ф."/>
    <s v="Договорный документ"/>
    <s v="Отдел по промышленной и пожарной безопасности"/>
    <s v="Ядрышников П.Н."/>
    <s v="На бумажном носителе"/>
    <s v="С ограничением по срокам "/>
    <d v="2023-01-01T00:00:00"/>
    <d v="2023-01-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4 789 367.33"/>
    <s v="3 991 139.44"/>
    <s v="798 227.89"/>
    <s v="нет"/>
    <s v="нет"/>
    <s v=""/>
    <s v=""/>
    <s v=""/>
    <s v=""/>
    <s v="нет"/>
  </r>
  <r>
    <s v="Газпромнефть-ГЕО, ООО"/>
    <s v="0000061428"/>
    <s v="Зарегистрирован"/>
    <d v="2024-01-15T00:00:00"/>
    <s v=""/>
    <x v="10"/>
    <s v="7705907626"/>
    <s v=""/>
    <s v="ГЕО-24/26000/00010"/>
    <s v="ГЕО-24/26000/00010"/>
    <s v="Типовой ДД"/>
    <x v="1"/>
    <s v="26000 Соглашение о конфиденциальности с российским контрагентом"/>
    <s v="00012-24"/>
    <s v=""/>
    <s v="26000 Соглашение о конфиденциальности с российским контрагентом"/>
    <s v="Соглашение о конфиденциальности"/>
    <s v="Николаев Ю.М."/>
    <s v="Николаев Ю.М."/>
    <s v="Договорный документ"/>
    <s v="Производственно-технологический департамент"/>
    <s v="Созинов С.А."/>
    <s v="ЭП"/>
    <s v="С ограничением по срокам "/>
    <d v="2024-01-15T00:00:00"/>
    <d v="2031-12-31T00:00:00"/>
    <s v="Д-60"/>
    <s v="Соглашение о конфиденциальности"/>
    <s v="Не предполагает взаиморасчетов"/>
    <s v=""/>
    <s v=""/>
    <s v=""/>
    <s v=""/>
    <s v=""/>
    <s v=""/>
    <s v=""/>
    <s v="нет"/>
    <s v="нет"/>
    <s v=""/>
    <s v=""/>
    <s v=""/>
    <s v=""/>
    <s v="нет"/>
  </r>
  <r>
    <s v="Газпромнефть-ГЕО, ООО"/>
    <s v="0000056254"/>
    <s v="Зарегистрирован"/>
    <d v="2024-01-16T00:00:00"/>
    <s v=""/>
    <x v="23"/>
    <s v="7839415866"/>
    <s v=""/>
    <s v="ГЕО-24/33200/00008"/>
    <s v="ГЕО-24/33200/00008"/>
    <s v="Типовой ДД"/>
    <x v="1"/>
    <s v="33200 Соглашение об электронном документообороте"/>
    <s v="00013-24"/>
    <s v=""/>
    <s v="33200 Соглашение об электронном документообороте"/>
    <s v="подписание документов посредством электронного документооборота "/>
    <s v="Коваленко М.В."/>
    <s v="Страдымов А.Г."/>
    <s v="Договорный документ"/>
    <s v="Блок корпоративной защиты"/>
    <s v="Ковтун М.А."/>
    <s v="ЭП"/>
    <s v="Без сроков "/>
    <d v="2024-01-16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7067"/>
    <s v="Зарегистрирован"/>
    <d v="2021-12-20T00:00:00"/>
    <s v=""/>
    <x v="24"/>
    <s v="7816483740"/>
    <s v="ГЕО-19_10900_00290_Р "/>
    <s v=""/>
    <s v="1"/>
    <s v="Нетиповой ДД"/>
    <x v="0"/>
    <s v=""/>
    <s v="00014-22"/>
    <s v=""/>
    <s v="Дополнительное соглашение №1 к ДОГОВОРУ № ГЕО-19/10900/00290/Р 25.11.2019"/>
    <s v="Проведение медицинских осмотров в 2022-2024 гг в соответствии с приказом 29 Н от 28.01.2021"/>
    <s v="Евстигнеев В.А."/>
    <s v="Евстигнеев В.А."/>
    <s v="Договорный документ"/>
    <s v="Управление производственной безопасности"/>
    <s v="Власов М.М."/>
    <s v="На бумажном носителе"/>
    <s v="С ограничением по срокам "/>
    <d v="2021-12-20T00:00:00"/>
    <d v="2024-12-31T00:00:00"/>
    <s v="Д-59"/>
    <s v="Договор возмездного оказания услуг"/>
    <s v="Расходная часть"/>
    <s v="Стоимостной"/>
    <s v="без НДС"/>
    <s v=""/>
    <s v=""/>
    <s v="1 437 650.00"/>
    <s v="1 437 650.00"/>
    <n v="0"/>
    <s v="нет"/>
    <s v="нет"/>
    <s v=""/>
    <s v=""/>
    <s v=""/>
    <s v=""/>
    <s v="нет"/>
  </r>
  <r>
    <s v="Газпромнефть-ГЕО, ООО"/>
    <s v="0000071739"/>
    <s v="Зарегистрирован"/>
    <d v="2023-01-18T00:00:00"/>
    <s v=""/>
    <x v="13"/>
    <s v="7710497816"/>
    <s v="ГЕО-22/09000/00014/Р"/>
    <s v=""/>
    <s v="4"/>
    <s v="Нетиповой ДД"/>
    <x v="0"/>
    <s v=""/>
    <s v="00014-23"/>
    <s v=""/>
    <s v="Дополнительное соглашение № 4 к Договору № ГЕО-22/09000/00014/Р от 07.01.2022г."/>
    <s v="Перераспределение объема работ внутри договора без изменения объема и стоимости работ по договору"/>
    <s v="Мячина М.В."/>
    <s v="Мячина М.В."/>
    <s v="Договорный документ"/>
    <s v="Отдел подготовительных работ и экономического анализа"/>
    <s v="Трифонов А.В."/>
    <s v="На бумажном носителе"/>
    <s v="До исполнения обязательств"/>
    <d v="2023-01-18T00:00:00"/>
    <s v=""/>
    <s v="Д-33"/>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105643"/>
    <s v="Зарегистрирован"/>
    <d v="2024-01-17T00:00:00"/>
    <s v=""/>
    <x v="25"/>
    <s v="7717693190"/>
    <s v="ГЕО-22/20000/00337/Д"/>
    <s v=""/>
    <s v="3"/>
    <s v="Нетиповой ДД"/>
    <x v="0"/>
    <s v=""/>
    <s v="00014-24"/>
    <s v=""/>
    <s v="ДС 3 к ГЕО-22/20000/00337/Д ООО &quot;НТЦ &quot;Геомеханика&quot;"/>
    <s v="Увеличение стоимости договора"/>
    <s v="Титова Е.В."/>
    <s v="Титова Е.В."/>
    <s v="Договорный документ"/>
    <s v="Блок снабжения и закупок"/>
    <s v="Титов А.В."/>
    <s v="ЭП"/>
    <s v="С ограничением по срокам "/>
    <d v="2024-01-17T00:00:00"/>
    <d v="2024-04-30T00:00:00"/>
    <s v="Д-56"/>
    <s v="Агентский договор"/>
    <s v="Доходная часть"/>
    <s v="Агентский"/>
    <s v="20%"/>
    <s v=""/>
    <s v=""/>
    <s v="216 667.10"/>
    <s v="180 555.92"/>
    <s v="36 111.18"/>
    <s v="нет"/>
    <s v="нет"/>
    <s v=""/>
    <s v=""/>
    <s v=""/>
    <s v=""/>
    <s v="нет"/>
  </r>
  <r>
    <s v="Газпромнефть-ГЕО, ООО"/>
    <s v="0000037846"/>
    <s v="Зарегистрирован"/>
    <d v="2021-04-01T00:00:00"/>
    <s v=""/>
    <x v="26"/>
    <s v="8905032518"/>
    <s v="№ ГЕО-20/09000/00169/Р/20-02/364 от 26.10.2020"/>
    <s v=""/>
    <s v="ДС №1 к № ГЕО-20/09000/00169/Р/20-02/364 от 26.10.2020"/>
    <s v="Нетиповой ДД"/>
    <x v="0"/>
    <s v=""/>
    <s v="00015-21"/>
    <s v=""/>
    <s v="СДополнительное соглашение об использовании электронного документооборота"/>
    <s v="Переход на электронный документооборот"/>
    <s v="Буракова О.В."/>
    <s v="Буракова О.В."/>
    <s v="Договорный документ"/>
    <s v="Отдел административной поддержки бизнеса"/>
    <s v="Буракова О.В."/>
    <s v="На бумажном носителе"/>
    <s v="До исполнения обязательств"/>
    <d v="2021-04-01T00:00:00"/>
    <s v=""/>
    <s v="Д-1"/>
    <s v="Договор возмездного оказания услуг"/>
    <s v="Не предполагает взаиморасчетов"/>
    <s v=""/>
    <s v=""/>
    <s v=""/>
    <s v=""/>
    <s v=""/>
    <s v=""/>
    <s v=""/>
    <s v="нет"/>
    <s v="нет"/>
    <s v=""/>
    <s v=""/>
    <s v=""/>
    <s v=""/>
    <s v="нет"/>
  </r>
  <r>
    <s v="Газпромнефть-ГЕО, ООО"/>
    <s v="0000072857"/>
    <s v="Зарегистрирован"/>
    <d v="2022-06-30T00:00:00"/>
    <s v=""/>
    <x v="27"/>
    <s v="6679052232"/>
    <s v="ГЕО-21/10985/00168/Р"/>
    <s v=""/>
    <s v="3"/>
    <s v="Нетиповой ДД"/>
    <x v="0"/>
    <s v=""/>
    <s v="00015-22"/>
    <s v=""/>
    <s v="ДОПОЛНИТЕЛЬНОЕ СОГЛАШЕНИЕ №3"/>
    <s v="Перераспределением объёмов работ из негарантированного в гарантированный объём:_x000d__x000a_1. Раскрытие негарантированного объема на 2022 год на выполнение работ по утилизации отходов бурения. _x000d__x000a_2.Раскрытие негарантированного объема на закуп и доставку компонентов для утилизации отходов бурения (потребность согласно применяемой технологии) ._x000d__x000a_"/>
    <s v="Калугина С.Б."/>
    <s v="Кукленков М.А."/>
    <s v="Договорный документ"/>
    <s v="Департамент капитального строительства"/>
    <s v="Перфильев Д.А."/>
    <s v="ЭП"/>
    <s v="До исполнения обязательств"/>
    <d v="2021-06-30T00:00:00"/>
    <s v=""/>
    <s v="Д-61"/>
    <s v="Капитальное строительство и ПИР"/>
    <s v="Расходная часть"/>
    <s v="Стоимостной"/>
    <s v="20%"/>
    <s v=""/>
    <s v=""/>
    <n v="0"/>
    <n v="0"/>
    <n v="0"/>
    <s v="нет"/>
    <s v="нет"/>
    <s v=""/>
    <s v=""/>
    <s v=""/>
    <s v=""/>
    <s v="нет"/>
  </r>
  <r>
    <s v="Газпромнефть-ГЕО, ООО"/>
    <s v="0000076283"/>
    <s v="Зарегистрирован"/>
    <d v="2023-01-23T00:00:00"/>
    <s v=""/>
    <x v="28"/>
    <s v="4501174492"/>
    <s v="ГЕО-22/11000/00267/Р"/>
    <s v=""/>
    <s v="1"/>
    <s v="Нетиповой ДД"/>
    <x v="4"/>
    <s v=""/>
    <s v="00015-23"/>
    <s v="1"/>
    <s v="Изм.№1 к наряд-заказу №1 ГЕО-22/11000/00267/Р УГП"/>
    <s v="Изм.№1 к наряд-заказу №1 по договору №ГЕО-22/11000/00267/Р от 10.10.2022 – «на выполнение инженерных изысканий»"/>
    <s v="Мормышев А.А."/>
    <s v="Салахутдинов Р.С."/>
    <s v="Договорный документ"/>
    <s v="Департамент капитального строительства"/>
    <s v="Трифонов А.В."/>
    <s v="ЭП"/>
    <s v="С ограничением по срокам "/>
    <d v="2023-01-23T00:00:00"/>
    <d v="2023-11-30T00:00:00"/>
    <s v="Д-33"/>
    <s v="Капитальное строительство и ПИР"/>
    <s v="Расходная часть"/>
    <s v="Стоимостной"/>
    <s v="20%"/>
    <s v=""/>
    <s v=""/>
    <s v="183 952 481.86"/>
    <s v="153 293 734.88"/>
    <s v="30 658 746.98"/>
    <s v="нет"/>
    <s v="нет"/>
    <s v=""/>
    <s v=""/>
    <s v=""/>
    <s v=""/>
    <s v="нет"/>
  </r>
  <r>
    <s v="Газпромнефть-ГЕО, ООО"/>
    <s v="0000048878"/>
    <s v="Зарегистрирован"/>
    <d v="2024-01-19T00:00:00"/>
    <s v=""/>
    <x v="29"/>
    <s v="1645019164"/>
    <s v=""/>
    <s v="ГЕО-24/20000/00014/Д"/>
    <s v="ГЕО-24/20000/00014/Д"/>
    <s v="Типовой ДД"/>
    <x v="2"/>
    <s v="20000 Агентский договор на организацию вертолетных авиаперевозок"/>
    <s v="00015-24"/>
    <s v=""/>
    <s v="20000 Агентский договор на организацию вертолетных авиаперевозок ООО &quot;ТНГ-Групп&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4-01-19T00:00:00"/>
    <d v="2024-12-31T00:00:00"/>
    <s v="Д-56"/>
    <s v="Агентский договор"/>
    <s v="Доходная часть"/>
    <s v="Агентский"/>
    <s v="20%"/>
    <s v=""/>
    <s v=""/>
    <s v="869 615.71"/>
    <s v="724 679.76"/>
    <s v="144 935.95"/>
    <s v="нет"/>
    <s v="нет"/>
    <s v=""/>
    <s v=""/>
    <s v=""/>
    <s v=""/>
    <s v="нет"/>
  </r>
  <r>
    <s v="Газпромнефть-ГЕО, ООО"/>
    <s v="0000047806"/>
    <s v="Зарегистрирован"/>
    <d v="2022-01-01T00:00:00"/>
    <s v=""/>
    <x v="30"/>
    <s v="8905044954"/>
    <s v="ГЕО-21/09000/00003/Р "/>
    <s v=""/>
    <s v="1"/>
    <s v="Нетиповой ДД"/>
    <x v="0"/>
    <s v=""/>
    <s v="00016-22"/>
    <s v=""/>
    <s v="Дополнительное соглашение № 1"/>
    <s v="Изменений условий договора"/>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2-01-01T00:00:00"/>
    <s v=""/>
    <s v="Д-66"/>
    <s v="Договор на обучение (тренинги, семинары и проч.)"/>
    <s v="Расходная часть"/>
    <s v="Рамочный"/>
    <s v="20%"/>
    <s v=""/>
    <s v=""/>
    <s v="6 371 736.00"/>
    <s v="5 309 780.00"/>
    <s v="1 061 956.00"/>
    <s v="нет"/>
    <s v="нет"/>
    <s v=""/>
    <s v=""/>
    <s v=""/>
    <s v=""/>
    <s v="нет"/>
  </r>
  <r>
    <s v="Газпромнефть-ГЕО, ООО"/>
    <s v="0000085689"/>
    <s v="Зарегистрирован"/>
    <d v="2023-01-13T00:00:00"/>
    <s v=""/>
    <x v="15"/>
    <s v="3808219470"/>
    <s v=""/>
    <s v="ГЕО-23/10000/00021/Р"/>
    <s v="ГЕО-23/10000/00021/Р"/>
    <s v="Типовой ДД"/>
    <x v="2"/>
    <s v="10000 Договор по услуге «Полевые сейсморазведочные работы 2Д, 3Д» (услуга № 10110 согласно КТ-777) "/>
    <s v="00016-23"/>
    <s v=""/>
    <s v="Договор на выполнение работ по проведению полевых электроразведочных работ методом мЗСБ в пределах Оморинского ЛУ для нужд ООО «ГПН-ГЕО» в 2023г."/>
    <s v="Выполнение работ по проведению полевых электроразведочных работ методом мЗСБ в пределах Оморинского ЛУ"/>
    <s v="Гулин В.Д."/>
    <s v=""/>
    <s v="Договорный документ"/>
    <s v="Блок геологии и разработки"/>
    <s v="Аксенов М.А."/>
    <s v="На бумажном носителе"/>
    <s v="С ограничением по срокам "/>
    <d v="2023-01-13T00:00:00"/>
    <d v="2023-06-30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4 230 274.20"/>
    <s v="45 191 895.17"/>
    <s v="9 038 379.03"/>
    <s v="нет"/>
    <s v="нет"/>
    <s v=""/>
    <s v=""/>
    <s v=""/>
    <s v=""/>
    <s v="нет"/>
  </r>
  <r>
    <s v="Газпромнефть-ГЕО, ООО"/>
    <s v="0000037860"/>
    <s v="Зарегистрирован"/>
    <d v="2023-12-27T00:00:00"/>
    <s v=""/>
    <x v="20"/>
    <s v="7714024384"/>
    <s v="ГЕО-23/10318/00010/Р+ ПР + ПУР"/>
    <s v=""/>
    <s v="1"/>
    <s v="Нетиповой ДД"/>
    <x v="4"/>
    <s v=""/>
    <s v="00016-24"/>
    <s v="1"/>
    <s v="Изменение № 1 к НАРЯД-ЗАКАЗУ №1. к Договору №ГЕО-23/10318/00010/Р от «10» января 2023 г. "/>
    <s v="Продление срока действия Наряд-заказа "/>
    <s v="Ларионов Е.А."/>
    <s v=""/>
    <s v="Договорный документ"/>
    <s v="Блок снабжения и закупок"/>
    <s v="Аксенов М.А."/>
    <s v="ЭП"/>
    <s v="С ограничением по срокам "/>
    <d v="2023-12-27T00:00:00"/>
    <d v="2024-05-31T00:00:00"/>
    <s v=""/>
    <s v="Отбор керна при бурении и реконструкции скважин"/>
    <s v="Расходная часть"/>
    <s v="Рамочный"/>
    <s v="20%"/>
    <s v=""/>
    <s v=""/>
    <s v="14 098 140.34"/>
    <s v="11 748 450.28"/>
    <s v="2 349 690.06"/>
    <s v="нет"/>
    <s v="нет"/>
    <s v=""/>
    <s v=""/>
    <s v=""/>
    <s v=""/>
    <s v="нет"/>
  </r>
  <r>
    <s v="Газпромнефть-ГЕО, ООО"/>
    <s v="0000040340"/>
    <s v="Зарегистрирован"/>
    <d v="2021-03-29T00:00:00"/>
    <s v=""/>
    <x v="31"/>
    <s v="7744001497"/>
    <s v=""/>
    <s v="ГЕО-21/00000/00100"/>
    <s v="ГЕО-21/00000/00100"/>
    <s v="Нетиповой ДД"/>
    <x v="1"/>
    <s v=""/>
    <s v="00017-21"/>
    <s v=""/>
    <s v="Соглашение об использовании электронного документооборота"/>
    <s v="Переход на ЭДО"/>
    <s v="Малова Д.П."/>
    <s v="Малова Д.П."/>
    <s v="Договорный документ"/>
    <s v="Финансовое управление"/>
    <s v="Ковтун М.А."/>
    <s v="На бумажном носителе"/>
    <s v="С ограничением по срокам "/>
    <d v="2021-04-08T00:00:00"/>
    <d v="2026-04-01T00:00:00"/>
    <s v=""/>
    <s v="ПРОЧИЕ ДОГОВОРЫ"/>
    <s v="Не предполагает взаиморасчетов"/>
    <s v=""/>
    <s v=""/>
    <s v=""/>
    <s v=""/>
    <s v=""/>
    <s v=""/>
    <s v=""/>
    <s v="нет"/>
    <s v="нет"/>
    <s v=""/>
    <s v=""/>
    <s v=""/>
    <s v=""/>
    <s v="нет"/>
  </r>
  <r>
    <s v="Газпромнефть-ГЕО, ООО"/>
    <s v="0000008602"/>
    <s v="Зарегистрирован"/>
    <d v="2022-01-01T00:00:00"/>
    <s v=""/>
    <x v="32"/>
    <s v="5504036333"/>
    <s v=""/>
    <s v="ГЕО-22/35100/00011"/>
    <s v="ГЕО-22/35100/00011"/>
    <s v="Нетиповой ДД"/>
    <x v="2"/>
    <s v=""/>
    <s v="00017-22"/>
    <s v=""/>
    <s v="Договор об обработке персональных данных"/>
    <s v="безопасная передача персональных данных , в рамках заключения агентского договора на на организацию обучения сотрудников ГПН-ГЕО"/>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2-01-01T00:00:00"/>
    <s v=""/>
    <s v="Д-66"/>
    <s v="Договор поручительства"/>
    <s v="Не предполагает взаиморасчетов"/>
    <s v=""/>
    <s v=""/>
    <s v=""/>
    <s v=""/>
    <s v=""/>
    <s v=""/>
    <s v=""/>
    <s v="нет"/>
    <s v="нет"/>
    <s v=""/>
    <s v=""/>
    <s v=""/>
    <s v=""/>
    <s v="нет"/>
  </r>
  <r>
    <s v="Газпромнефть-ГЕО, ООО"/>
    <s v=""/>
    <s v="Зарегистрирован"/>
    <d v="2023-01-31T00:00:00"/>
    <s v=""/>
    <x v="33"/>
    <s v=""/>
    <s v=""/>
    <s v="ГЕО-23/26000/00014"/>
    <s v="ГЕО-23/26000/00014"/>
    <s v="Типовой ДД"/>
    <x v="1"/>
    <s v="26000 Соглашение о конфиденциальности с дочерним обществом ПАО «Газпром»"/>
    <s v="00017-23"/>
    <s v=""/>
    <s v="26000 Соглашение о конфиденциальности с дочерним обществом ПАО «Газпром»"/>
    <s v="Соблюдение конфиденциальности при создании единой программы воспроизводства минерально-сырьевой базы Нерутинской зоны"/>
    <s v="Ибрагимов А.М."/>
    <s v="Ибрагимов А.М."/>
    <s v="Договорный документ"/>
    <s v="Блок ЗИД по геологии"/>
    <s v="Масалкин Ю.В."/>
    <s v="На бумажном носителе"/>
    <s v="До исполнения обязательств"/>
    <d v="2023-01-18T00:00:00"/>
    <s v=""/>
    <s v=""/>
    <s v="Соглашение о конфиденциальности"/>
    <s v="Не предполагает взаиморасчетов"/>
    <s v="Рамочный"/>
    <s v=""/>
    <s v=""/>
    <s v=""/>
    <s v=""/>
    <s v=""/>
    <s v=""/>
    <s v="нет"/>
    <s v="нет"/>
    <s v=""/>
    <s v=""/>
    <s v=""/>
    <s v=""/>
    <s v="нет"/>
  </r>
  <r>
    <s v="Газпромнефть-ГЕО, ООО"/>
    <s v="0000087384"/>
    <s v="Зарегистрирован"/>
    <d v="2024-01-16T00:00:00"/>
    <s v=""/>
    <x v="34"/>
    <s v="7204183725"/>
    <s v=""/>
    <s v="ГЕО-24/33200/00012"/>
    <s v="ГЕО-24/33200/00012"/>
    <s v="Типовой ДД"/>
    <x v="1"/>
    <s v="33200 Соглашение об электронном документообороте"/>
    <s v="00017-24"/>
    <s v=""/>
    <s v="33200 Соглашение об электронном документообороте"/>
    <s v="Приказ 123-П от 10.11.2023"/>
    <s v="Ларионов Е.А."/>
    <s v=""/>
    <s v="Договорный документ"/>
    <s v="Блок снабжения и закупок"/>
    <s v="Аксенов М.А."/>
    <s v="ЭП"/>
    <s v="Без сроков "/>
    <d v="2023-01-16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08602"/>
    <s v="Закрыт"/>
    <d v="2022-01-01T00:00:00"/>
    <s v=""/>
    <x v="32"/>
    <s v="5504036333"/>
    <s v=""/>
    <s v="ГЕО-22/09100/00028/Р"/>
    <s v="ГЕО-22/09100/00028/Р"/>
    <s v="Нетиповой ДД"/>
    <x v="2"/>
    <s v=""/>
    <s v="00018-22"/>
    <s v=""/>
    <s v="Агентский договор"/>
    <s v=" организация обучения, повышения квалификации, профессиональной переподготовки, стажировок работников,оказание услуг по организации и проведению выездных семинаров, конференций, иных корпоративных мероприятий,консультационных услуг "/>
    <s v="Курашко М.В."/>
    <s v=""/>
    <s v="Договорный документ"/>
    <s v="Управление по работе с персоналом"/>
    <s v="Игнатова Ю.В."/>
    <s v="На бумажном носителе"/>
    <s v="До исполнения обязательств"/>
    <d v="2022-01-01T00:00:00"/>
    <s v=""/>
    <s v="Д-66"/>
    <s v="Договор на обучение (тренинги, семинары и проч.)"/>
    <s v="Расходная часть"/>
    <s v="Агентский"/>
    <s v="20%"/>
    <s v=""/>
    <s v=""/>
    <s v="8 000 000.00"/>
    <s v="6 666 666.67"/>
    <s v="1 333 333.33"/>
    <s v="нет"/>
    <s v="нет"/>
    <s v=""/>
    <s v=""/>
    <s v=""/>
    <s v=""/>
    <s v="нет"/>
  </r>
  <r>
    <s v="Газпромнефть-ГЕО, ООО"/>
    <s v="0000106509"/>
    <s v="Зарегистрирован"/>
    <d v="2024-01-19T00:00:00"/>
    <s v=""/>
    <x v="35"/>
    <s v="470600737240"/>
    <s v=""/>
    <s v="ГЕО-24/25000/00013/Р"/>
    <s v="ГЕО-24/25000/00013/Р"/>
    <s v="Типовой ДД"/>
    <x v="2"/>
    <s v="25000 Договор об оказании услуг физическим лицом (без выезда на Лицензионные участки Заказчика)"/>
    <s v="00018-24"/>
    <s v=""/>
    <s v="25000 Договор об оказании услуг физическим лицом (без выезда на Лицензионные участки Заказчика)"/>
    <s v="В связи с исполнением  требований Федеральных законов от 26.02.1997 № 31-ФЗ «О мобилизационной подготовке и мобилизации в Российской Федерации», от 28.03.1998 № 53-ФЗ «О воинской обязанности и военной службе», Постановлениями Правительства Российской Федерации от 27.11.2006 № 719 «Об утверждении Положения о воинском учете», от 17.03.2010 № 156 «Об утверждении Правил бронирования», Приказа Министра обороны Российской Федерации от 22.11.2021 № 700 «Об утверждении Инструкции об организации работы по обеспечению функционирования системы воинского учета», Методическими рекомендациями Генерального штаба Вооруженных Сил Российской Федерации от 11.07.2017 по ведению воинского учета в организациях"/>
    <s v="Хужина В.А."/>
    <s v="Хужина В.А."/>
    <s v="Договорный документ"/>
    <s v="Управление по работе с персоналом"/>
    <s v="Масалкин Ю.В."/>
    <s v="На бумажном носителе"/>
    <s v="С ограничением по срокам "/>
    <d v="2024-01-19T00:00:00"/>
    <d v="2024-10-31T00:00:00"/>
    <s v=""/>
    <s v="Договор оказания услуг с физическим лицом"/>
    <s v="Расходная часть"/>
    <s v="Стоимостной"/>
    <s v="13%"/>
    <s v=""/>
    <s v=""/>
    <s v="1 488 000.00"/>
    <s v="1 294 560.00"/>
    <s v="193 440.00"/>
    <s v="нет"/>
    <s v="нет"/>
    <s v=""/>
    <s v=""/>
    <s v=""/>
    <s v=""/>
    <s v="нет"/>
  </r>
  <r>
    <s v="Газпромнефть-ГЕО, ООО"/>
    <s v="0000066014"/>
    <s v="Зарегистрирован"/>
    <d v="2021-12-21T00:00:00"/>
    <s v=""/>
    <x v="36"/>
    <s v="7838491381"/>
    <s v="Р0151"/>
    <s v=""/>
    <s v="3"/>
    <s v="Нетиповой ДД"/>
    <x v="0"/>
    <s v=""/>
    <s v="00019-22"/>
    <s v=""/>
    <s v="Дополнительное соглашение №3 к договору оказания услуг б/н от 10.04.2015г. (рамочный)  с ЗАО &quot;ХМНС&quot;"/>
    <s v="Продление рамочного договора между ООО &quot;ГПН-ГЕО&quot; и ЗАО &quot;ХМНС&quot;"/>
    <s v="Хакимов Д.К."/>
    <s v="Хакимов Д.К."/>
    <s v="Договорный документ"/>
    <s v="Кластер «Интеграция, совместные предприятия, зарубежные активы»"/>
    <s v="Масалкин Ю.В."/>
    <s v="На бумажном носителе"/>
    <s v="С ограничением по срокам "/>
    <d v="2021-12-21T00:00:00"/>
    <d v="2022-07-01T00:00:00"/>
    <s v=""/>
    <s v="Договор возмездного оказания услуг"/>
    <s v="Доходная часть"/>
    <s v="Рамочный"/>
    <s v="иное"/>
    <s v="0,00"/>
    <s v=""/>
    <n v="0"/>
    <n v="0"/>
    <n v="0"/>
    <s v="нет"/>
    <s v="нет"/>
    <s v=""/>
    <s v=""/>
    <s v=""/>
    <s v=""/>
    <s v="нет"/>
  </r>
  <r>
    <s v="Газпромнефть-ГЕО, ООО"/>
    <s v="0000107661"/>
    <s v="Закрыт"/>
    <d v="2022-12-26T00:00:00"/>
    <s v=""/>
    <x v="37"/>
    <s v="611300073999"/>
    <s v=""/>
    <s v="СОР к ГЕО-22/25000/00293/Р от 01.11.2022"/>
    <s v="СОР к ГЕО-22/25000/00293/Р от 01.11.2022"/>
    <s v="Типовой ДД"/>
    <x v="2"/>
    <s v="25000 Договор об оказании услуг физическим лицом (без выезда на Лицензионные участки Заказчика)"/>
    <s v="00019-23"/>
    <s v=""/>
    <s v="ДС к заключенному ДД №ГЕО-22/25000/00293/Р от 01.11.2022"/>
    <s v="1. На основании п. 15.1 Договора Стороны пришли к соглашению о расторжении Договора (далее – Соглашение) с 01.01.2023 г. Последним днем действия Договора считать 31.12.2022 г. "/>
    <s v="Кайгородцева Е.В."/>
    <s v="Кайгородцева Е.В."/>
    <s v="Договорный документ"/>
    <s v="Управление инвестиционного планирования"/>
    <s v="Масалкин Ю.В."/>
    <s v="На бумажном носителе"/>
    <s v="Без сроков "/>
    <d v="2022-12-31T00:00:00"/>
    <s v=""/>
    <s v=""/>
    <s v="Договор оказания услуг с физическим лицом"/>
    <s v="Не предполагает взаиморасчетов"/>
    <s v=""/>
    <s v=""/>
    <s v=""/>
    <s v=""/>
    <s v=""/>
    <s v=""/>
    <s v=""/>
    <s v="нет"/>
    <s v="нет"/>
    <s v=""/>
    <s v=""/>
    <s v=""/>
    <s v=""/>
    <s v="нет"/>
  </r>
  <r>
    <s v="Газпромнефть-ГЕО, ООО"/>
    <s v="0000008602"/>
    <s v="Проект"/>
    <s v=""/>
    <s v=""/>
    <x v="32"/>
    <s v="5504036333"/>
    <s v="ГЕО-21/00000/00144/Д"/>
    <s v=""/>
    <s v=""/>
    <s v="Нетиповой ДД"/>
    <x v="0"/>
    <s v=""/>
    <s v="00019-24"/>
    <s v=""/>
    <s v=""/>
    <s v=""/>
    <s v="Блинова Д.М."/>
    <s v=""/>
    <s v="Договорный документ"/>
    <s v="Управление экономического планирования и анализа"/>
    <s v=""/>
    <s v=""/>
    <s v=""/>
    <s v=""/>
    <s v=""/>
    <s v=""/>
    <s v="ПРОЧИЕ ДОГОВОРЫ"/>
    <s v=""/>
    <s v=""/>
    <s v=""/>
    <s v=""/>
    <s v=""/>
    <s v=""/>
    <s v=""/>
    <s v=""/>
    <s v="нет"/>
    <s v="нет"/>
    <s v=""/>
    <s v=""/>
    <s v=""/>
    <s v=""/>
    <s v="нет"/>
  </r>
  <r>
    <s v="Газпромнефть-ГЕО, ООО"/>
    <s v="0000048216"/>
    <s v="Закрыт"/>
    <d v="2022-01-18T00:00:00"/>
    <s v=""/>
    <x v="38"/>
    <s v="8605013881"/>
    <s v=""/>
    <s v="ГЕО-22/33200/00013"/>
    <s v="ГЕО-22/33200/00013"/>
    <s v="Типовой ДД"/>
    <x v="1"/>
    <s v="33200 Соглашение об электронном документообороте"/>
    <s v="00020-22"/>
    <s v=""/>
    <s v="33200 Соглашение об электронном документообороте"/>
    <s v="Для обмена электронными документами"/>
    <s v="Ушакова М.А."/>
    <s v="Ушакова М.А."/>
    <s v="Договорный документ"/>
    <s v="Блок геологии и разработки"/>
    <s v="Аксенов М.А."/>
    <s v="На бумажном носителе"/>
    <s v="Без сроков "/>
    <d v="2022-01-18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39463"/>
    <s v="Обработка результатов согласования"/>
    <d v="2022-12-23T00:00:00"/>
    <s v=""/>
    <x v="39"/>
    <s v="8905034804"/>
    <s v="ГЕО-22/01200/00330/Д"/>
    <s v=""/>
    <s v="ГЕО-22/01200/00330/Д"/>
    <s v="Нетиповой ДД"/>
    <x v="5"/>
    <s v=""/>
    <s v="00020-23"/>
    <s v=""/>
    <s v="Спецификация № 2 к ГЕО-22/01200/00330/Д"/>
    <s v="Реализация МТР проекта ЧОНА с ГПН-ГЕО в ГПН-АНГАРА"/>
    <s v="Долгов Д.Г."/>
    <s v="Долгов Д.Г."/>
    <s v="Договорный документ"/>
    <s v="Блок снабжения и закупок"/>
    <s v="Титов А.В."/>
    <s v="На бумажном носителе"/>
    <s v="До исполнения обязательств"/>
    <d v="2023-01-16T00:00:00"/>
    <s v=""/>
    <s v="Д-56"/>
    <s v="Договор поставки/купли продажи движимого имущества"/>
    <s v="Доходная часть"/>
    <s v="Стоимостной"/>
    <s v="20%"/>
    <s v=""/>
    <s v=""/>
    <s v="4 755 289.01"/>
    <s v="3 962 740.84"/>
    <s v="792 548.17"/>
    <s v="нет"/>
    <s v="нет"/>
    <s v=""/>
    <s v=""/>
    <s v=""/>
    <s v=""/>
    <s v="нет"/>
  </r>
  <r>
    <s v="Газпромнефть-ГЕО, ООО"/>
    <s v="0000105643"/>
    <s v="Зарегистрирован"/>
    <d v="2023-12-27T00:00:00"/>
    <s v=""/>
    <x v="25"/>
    <s v="7717693190"/>
    <s v="ГЕО-22/10120/00208/Р"/>
    <s v=""/>
    <s v="4"/>
    <s v="Нетиповой ДД"/>
    <x v="0"/>
    <s v=""/>
    <s v="00020-24"/>
    <s v=""/>
    <s v="ДС №4 к Договору ГЕО-22/10120/00208/Р от 18.08.2022"/>
    <s v="Перевод имеющиеся в Договоре ставки демобилизации и технологического дежурства оборудования из негарантированного объема 2024 г. в гарантированный объем 2024 г."/>
    <s v="Яшкина К.Л."/>
    <s v="Николаев В.А."/>
    <s v="Договорный документ"/>
    <s v="Блок геологии и разработки"/>
    <s v="Аксенов М.А."/>
    <s v="ЭП"/>
    <s v="До исполнения обязательств"/>
    <d v="2023-12-27T00:00:00"/>
    <s v=""/>
    <s v=""/>
    <s v="Гидродинамические исследования"/>
    <s v="Расходная часть"/>
    <s v="Стоимостной"/>
    <s v="20%"/>
    <s v=""/>
    <s v=""/>
    <s v="15 207 883.20"/>
    <s v="12 673 236.00"/>
    <s v="2 534 647.20"/>
    <s v="нет"/>
    <s v="нет"/>
    <s v=""/>
    <s v=""/>
    <s v=""/>
    <s v=""/>
    <s v="нет"/>
  </r>
  <r>
    <s v="Газпромнефть-ГЕО, ООО"/>
    <s v="0000056254"/>
    <s v="Зарегистрирован"/>
    <d v="2021-03-23T00:00:00"/>
    <s v=""/>
    <x v="23"/>
    <s v="7839415866"/>
    <s v="ГЕО-18/00000/00071/Р от 25.12.2018гНа о"/>
    <s v=""/>
    <s v="ДС№4 к Договру ГЕО-18/00000/00071/Р от 25.12.2018г"/>
    <s v="Нетиповой ДД"/>
    <x v="0"/>
    <s v=""/>
    <s v="00021-21"/>
    <s v=""/>
    <s v="Дополнительное согласшение на оказание охранных услуг "/>
    <s v="Увеличение ставки сотрудника бюро пропусков, уменьшение негарантированного объема услуг, снижение стоимости договора"/>
    <s v="Глухарева Ю.Б."/>
    <s v="Глухарева Ю.Б."/>
    <s v="Договорный документ"/>
    <s v="Блок корпоративной защиты"/>
    <s v="Созинов С.А."/>
    <s v="На бумажном носителе"/>
    <s v="С ограничением по срокам "/>
    <d v="2021-03-23T00:00:00"/>
    <d v="2021-12-31T00:00:00"/>
    <s v=""/>
    <s v="ПРОЧИЕ ДОГОВОРЫ"/>
    <s v="Расходная часть"/>
    <s v="Тарифный"/>
    <s v="20%"/>
    <s v=""/>
    <s v=""/>
    <s v="136 073.00"/>
    <s v="113 394.17"/>
    <s v="22 678.83"/>
    <s v="нет"/>
    <s v="нет"/>
    <s v=""/>
    <s v=""/>
    <s v=""/>
    <s v=""/>
    <s v="нет"/>
  </r>
  <r>
    <s v="Газпромнефть-ГЕО, ООО"/>
    <s v="0000040878"/>
    <s v="Зарегистрирован"/>
    <d v="2021-12-30T00:00:00"/>
    <s v=""/>
    <x v="40"/>
    <s v="7826711272"/>
    <s v="ГЕО-20/09000/00057/Р"/>
    <s v=""/>
    <s v="2"/>
    <s v="Нетиповой ДД"/>
    <x v="0"/>
    <s v=""/>
    <s v="00021-22"/>
    <s v=""/>
    <s v="ДС-2 пролонгация на 2022й taxi Комплекс Парадная"/>
    <s v="Продление до 31.12.2022 срока действия договора ГЕО-20/09000/00057/Р на услуги по перевозке (taxi) сотрудников  офиса в г.Санкт-петербург по агенсткой схеме"/>
    <s v="Гусаков В.В."/>
    <s v="Гусаков В.В."/>
    <s v="Договорный документ"/>
    <s v="Блок снабжения и закупок"/>
    <s v="Титов А.В."/>
    <s v="На бумажном носителе"/>
    <s v="С ограничением по срокам "/>
    <d v="2021-12-30T00:00:00"/>
    <d v="2022-12-31T00:00:00"/>
    <s v="Д-56"/>
    <s v="Договор возмездного оказания услуг"/>
    <s v="Не предполагает взаиморасчетов"/>
    <s v="Агентский"/>
    <s v=""/>
    <s v=""/>
    <s v=""/>
    <s v=""/>
    <s v=""/>
    <s v=""/>
    <s v="нет"/>
    <s v="нет"/>
    <s v=""/>
    <s v=""/>
    <s v=""/>
    <s v=""/>
    <s v="нет"/>
  </r>
  <r>
    <s v="Газпромнефть-ГЕО, ООО"/>
    <s v="0000107378"/>
    <s v="Зарегистрирован"/>
    <d v="2023-01-10T00:00:00"/>
    <s v=""/>
    <x v="11"/>
    <s v="471200460370"/>
    <s v=""/>
    <s v="ГЕО-23/26000/00011"/>
    <s v="ГЕО-23/26000/00011"/>
    <s v="Типовой ДД"/>
    <x v="1"/>
    <s v="26000 Договор о конфиденциальности с физическим лицом"/>
    <s v="00021-23"/>
    <s v=""/>
    <s v="26000 Договор о конфиденциальности с физическим лицом"/>
    <s v="Заключение договора о конфиденциальности с физ.лицом, оказывающего Обществу услуги на основании договора ГПХ, по неразглашению информации, составляющей коммерческую тайну и иной конфиденциальной информации Общества и его контрагентов."/>
    <s v="Буракова О.В."/>
    <s v="Буракова О.В."/>
    <s v="Договорный документ"/>
    <s v="Отдел административной поддержки бизнеса"/>
    <s v="Созинов С.А."/>
    <s v="На бумажном носителе"/>
    <s v="С ограничением по срокам "/>
    <d v="2023-01-10T00:00:00"/>
    <d v="2023-03-31T00:00:00"/>
    <s v="Д-60"/>
    <s v="Соглашение о конфиденциальности"/>
    <s v="Не предполагает взаиморасчетов"/>
    <s v=""/>
    <s v=""/>
    <s v=""/>
    <s v=""/>
    <s v=""/>
    <s v=""/>
    <s v=""/>
    <s v="нет"/>
    <s v="нет"/>
    <s v=""/>
    <s v=""/>
    <s v=""/>
    <s v=""/>
    <s v="нет"/>
  </r>
  <r>
    <s v="Газпромнефть-ГЕО, ООО"/>
    <s v="0000106509"/>
    <s v="Зарегистрирован"/>
    <d v="2024-01-19T00:00:00"/>
    <s v=""/>
    <x v="35"/>
    <s v="470600737240"/>
    <s v=""/>
    <s v="ГЕО-24/26000/00017"/>
    <s v="ГЕО-24/26000/00017"/>
    <s v="Типовой ДД"/>
    <x v="1"/>
    <s v="26000 Договор о конфиденциальности с физическим лицом"/>
    <s v="00021-24"/>
    <s v=""/>
    <s v="26000 Договор о конфиденциальности с физическим лицом"/>
    <s v="По неразглашению информации, составляющей коммерческую тайну и иной конфиденциальной информации "/>
    <s v="Хужина В.А."/>
    <s v="Хужина В.А."/>
    <s v="Договорный документ"/>
    <s v="Управление по работе с персоналом"/>
    <s v="Масалкин Ю.В."/>
    <s v="На бумажном носителе"/>
    <s v="С ограничением по срокам "/>
    <d v="2024-01-19T00:00:00"/>
    <d v="2024-10-31T00:00:00"/>
    <s v=""/>
    <s v="Соглашение о конфиденциальности"/>
    <s v="Не предполагает взаиморасчетов"/>
    <s v=""/>
    <s v=""/>
    <s v=""/>
    <s v=""/>
    <s v=""/>
    <s v=""/>
    <s v=""/>
    <s v="нет"/>
    <s v="нет"/>
    <s v=""/>
    <s v=""/>
    <s v=""/>
    <s v=""/>
    <s v="нет"/>
  </r>
  <r>
    <s v="Газпромнефть-ГЕО, ООО"/>
    <s v="0000042477"/>
    <s v="Зарегистрирован"/>
    <d v="2021-04-01T00:00:00"/>
    <s v=""/>
    <x v="41"/>
    <s v="7705739450"/>
    <s v=""/>
    <s v="ГЕО-21/00000/00106"/>
    <s v="ГЕО-21/00000/00106"/>
    <s v="Нетиповой ДД"/>
    <x v="1"/>
    <s v=""/>
    <s v="00022-21"/>
    <s v=""/>
    <s v="Соглашение об использовании электронного документооборота"/>
    <s v="Установление документооборота с использованием электронной подписи."/>
    <s v="Савельева И.И."/>
    <s v=""/>
    <s v="Договорный документ"/>
    <s v="Отдел административной поддержки бизнеса"/>
    <s v="Масалкин Ю.В."/>
    <s v="На бумажном носителе"/>
    <s v="Без сроков "/>
    <d v="2021-04-01T00:00:00"/>
    <s v=""/>
    <s v=""/>
    <s v="ПРОЧИЕ ДОГОВОРЫ"/>
    <s v="Не предполагает взаиморасчетов"/>
    <s v=""/>
    <s v=""/>
    <s v=""/>
    <s v=""/>
    <s v=""/>
    <s v=""/>
    <s v=""/>
    <s v="нет"/>
    <s v="нет"/>
    <s v=""/>
    <s v=""/>
    <s v=""/>
    <s v=""/>
    <s v="нет"/>
  </r>
  <r>
    <s v="Газпромнефть-ГЕО, ООО"/>
    <s v="0000058271"/>
    <s v="Зарегистрирован"/>
    <d v="2022-01-26T00:00:00"/>
    <s v=""/>
    <x v="42"/>
    <s v="7725696878"/>
    <s v="ГЕО-19/11708/00133/Р от 25.06.2019"/>
    <s v=""/>
    <s v="15"/>
    <s v="Нетиповой ДД"/>
    <x v="3"/>
    <s v=""/>
    <s v="00022-22"/>
    <s v=""/>
    <s v="Заказ-Наряд №15 к договору №ГЕО-19/11708/00133/Р от 25.06.2019"/>
    <s v="Научно исследовательские работы по оценке перспективности действующих участков с целью доизучения в периметре территории деятельности АО «Газпромнефть ННГ»"/>
    <s v="Коротков С.П."/>
    <s v=""/>
    <s v="Договорный документ"/>
    <s v="Управление по разработке"/>
    <s v="Аксенов М.А."/>
    <s v="На бумажном носителе"/>
    <s v="С ограничением по срокам "/>
    <d v="2022-01-26T00:00:00"/>
    <d v="2023-12-25T00:00:00"/>
    <s v="Д-54"/>
    <s v="НИОКР, НИР прочие"/>
    <s v="Расходная часть"/>
    <s v="Рамочный"/>
    <s v="20%"/>
    <s v=""/>
    <s v=""/>
    <s v="159 961 448.40"/>
    <s v="133 301 207.00"/>
    <s v="26 660 241.40"/>
    <s v="нет"/>
    <s v="нет"/>
    <s v=""/>
    <s v=""/>
    <s v=""/>
    <s v=""/>
    <s v="нет"/>
  </r>
  <r>
    <s v="Газпромнефть-ГЕО, ООО"/>
    <s v="0000085381"/>
    <s v="Зарегистрирован"/>
    <d v="2023-01-16T00:00:00"/>
    <s v=""/>
    <x v="43"/>
    <s v="7813216425"/>
    <s v=""/>
    <s v="ГЕО-23/26000/00012"/>
    <s v="ГЕО-23/26000/00012"/>
    <s v="Типовой ДД"/>
    <x v="1"/>
    <s v="26000 Соглашение о конфиденциальности с российским контрагентом"/>
    <s v="00022-23"/>
    <s v=""/>
    <s v="26000 Соглашение о конфиденциальности с российским контрагентом"/>
    <s v="Неразглашение информации, составляющей коммерческую тайну"/>
    <s v="Аршинина М.Н."/>
    <s v="Аршинина М.Н."/>
    <s v="Договорный документ"/>
    <s v="Блок корпоративной защиты"/>
    <s v="Созинов С.А."/>
    <s v="ЭП"/>
    <s v="С ограничением по срокам "/>
    <d v="2023-01-16T00:00:00"/>
    <d v="2025-12-31T00:00:00"/>
    <s v="Д-60"/>
    <s v="Соглашение о конфиденциальности"/>
    <s v="Не предполагает взаиморасчетов"/>
    <s v=""/>
    <s v=""/>
    <s v=""/>
    <s v=""/>
    <s v=""/>
    <s v=""/>
    <s v=""/>
    <s v="нет"/>
    <s v="нет"/>
    <s v=""/>
    <s v=""/>
    <s v=""/>
    <s v=""/>
    <s v="нет"/>
  </r>
  <r>
    <s v="Газпромнефть-ГЕО, ООО"/>
    <s v="0000101164"/>
    <s v="Закрыт"/>
    <d v="2022-02-09T00:00:00"/>
    <s v=""/>
    <x v="44"/>
    <s v="564800724210"/>
    <s v=""/>
    <s v="ЭН-22/012100/00002/Д"/>
    <s v="ЭН-22/012100/00002/Д"/>
    <s v="Нетиповой ДД"/>
    <x v="2"/>
    <s v=""/>
    <s v="00023-22"/>
    <s v=""/>
    <s v="Договор купли-продажи"/>
    <s v="Продажа невостребованного имущества ООО &quot;Энерком&quot; в рамках передачи лицензии на право пользования недрами Солнечного ЛУ с ООО «Энерком» на ПАО «Газпром нефть» (Протокол ЦК по недропользованию и управлению движением лицензий ПАО «Газпром нефть»"/>
    <s v="Долгов Д.Г."/>
    <s v="Долгов Д.Г."/>
    <s v="Договорный документ"/>
    <s v="Управление материально-технического обеспечения, транспортного обеспечения и сопутствующих сервисов"/>
    <s v="Ковтун М.А."/>
    <s v="На бумажном носителе"/>
    <s v="До исполнения обязательств"/>
    <d v="2022-02-09T00:00:00"/>
    <s v=""/>
    <s v="Д-62"/>
    <s v="Договор купли-продажи НВИ/НЛИ"/>
    <s v="Доходная часть"/>
    <s v="Стоимостной"/>
    <s v="без НДС"/>
    <s v=""/>
    <s v=""/>
    <s v="42 500.00"/>
    <s v="42 500.00"/>
    <n v="0"/>
    <s v="нет"/>
    <s v="нет"/>
    <s v=""/>
    <s v=""/>
    <s v=""/>
    <s v=""/>
    <s v="нет"/>
  </r>
  <r>
    <s v="Газпромнефть-ГЕО, ООО"/>
    <s v="0000104871"/>
    <s v="Зарегистрирован"/>
    <d v="2023-01-13T00:00:00"/>
    <s v=""/>
    <x v="45"/>
    <s v="7705848410"/>
    <s v="ГЕО-19/10308/00217/Р"/>
    <s v=""/>
    <s v="4"/>
    <s v="Нетиповой ДД"/>
    <x v="0"/>
    <s v=""/>
    <s v="00023-23"/>
    <s v=""/>
    <s v="Дополнительное соглашение № 4 с Геологинг, на включение ОЭДК,к Договору №ГЕО-19/10308/00217/Р от 19.08.2019 на проведение геолого-технологических исследований скважин при бурении"/>
    <s v="Внесение новых оценочных листов "/>
    <s v="Яшкина К.Л."/>
    <s v="Яшкина К.Л."/>
    <s v="Договорный документ"/>
    <s v="Блок геологии и разработки"/>
    <s v="Аксенов М.А."/>
    <s v="ЭП"/>
    <s v="С ограничением по срокам "/>
    <d v="2023-01-13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8489"/>
    <s v="Зарегистрирован"/>
    <d v="2021-04-01T00:00:00"/>
    <s v=""/>
    <x v="46"/>
    <s v="781432213030"/>
    <s v=""/>
    <s v="ГЕО-21/00000/00105"/>
    <s v="ГЕО-21/00000/00105"/>
    <s v="Нетиповой ДД"/>
    <x v="1"/>
    <s v=""/>
    <s v="00024-21"/>
    <s v=""/>
    <s v="Соглашение об использовании электронного документооборота"/>
    <s v="Установление документооборота с использованием электронной подписи."/>
    <s v="Савельева И.И."/>
    <s v=""/>
    <s v="Договорный документ"/>
    <s v="Отдел административной поддержки бизнеса"/>
    <s v="Масалкин Ю.В."/>
    <s v="На бумажном носителе"/>
    <s v="Без сроков "/>
    <d v="2021-04-01T00:00:00"/>
    <s v=""/>
    <s v=""/>
    <s v="ПРОЧИЕ ДОГОВОРЫ"/>
    <s v="Не предполагает взаиморасчетов"/>
    <s v=""/>
    <s v=""/>
    <s v=""/>
    <s v=""/>
    <s v=""/>
    <s v=""/>
    <s v=""/>
    <s v="нет"/>
    <s v="нет"/>
    <s v=""/>
    <s v=""/>
    <s v=""/>
    <s v=""/>
    <s v="нет"/>
  </r>
  <r>
    <s v="Газпромнефть-ГЕО, ООО"/>
    <s v="0000045789"/>
    <s v="Зарегистрирован"/>
    <d v="2022-01-20T00:00:00"/>
    <s v=""/>
    <x v="16"/>
    <s v="7838395487"/>
    <s v="ГЕО-21/11708/00165/Р"/>
    <s v=""/>
    <s v="НТЦ-03114-21Д-ГЕО"/>
    <s v="Нетиповой ДД"/>
    <x v="3"/>
    <s v=""/>
    <s v="00024-22"/>
    <s v=""/>
    <s v="Запад ННГ к договору ГЕО-21/11708/00165/Р//НТЦ-21/09000/00768/Д от 12.07.2021"/>
    <s v="Научно исследовательские работы для формирования предварительной базовой интегрированной концепции разработки в периметре Западных участков территории деятельности АО «Газпромнефть-ННГ»"/>
    <s v="Коротков С.П."/>
    <s v=""/>
    <s v="Договорный документ"/>
    <s v="Управление по разработке"/>
    <s v="Аксенов М.А."/>
    <s v="На бумажном носителе"/>
    <s v="С ограничением по срокам "/>
    <d v="2022-01-20T00:00:00"/>
    <d v="2023-06-25T00:00:00"/>
    <s v="Д-54"/>
    <s v="Договор на выполнение НИР, ОКР и технологических работ"/>
    <s v="Расходная часть"/>
    <s v="Рамочный"/>
    <s v="20%"/>
    <s v=""/>
    <s v=""/>
    <s v="133 647 355.20"/>
    <s v="111 372 796.00"/>
    <s v="22 274 559.20"/>
    <s v="нет"/>
    <s v="нет"/>
    <s v=""/>
    <s v=""/>
    <s v=""/>
    <s v=""/>
    <s v="нет"/>
  </r>
  <r>
    <s v="Газпромнефть-ГЕО, ООО"/>
    <s v="0000062894"/>
    <s v="Зарегистрирован"/>
    <d v="2023-01-10T00:00:00"/>
    <s v=""/>
    <x v="47"/>
    <s v="7017253595"/>
    <s v=""/>
    <s v="ГЕО-23/10150/00017/Р"/>
    <s v="ГЕО-23/10150/00017/Р"/>
    <s v="Типовой ДД"/>
    <x v="2"/>
    <s v="10150 Договор (Мастер-форма) на оказание услуг по газодинамическим исследованиям"/>
    <s v="00024-23"/>
    <s v=""/>
    <s v="10150 Договор (Мастер-форма) на оказание услуг по газодинамическим исследованиям"/>
    <s v="Проведение газодинамических/газоконденсатных/гидродинамических исследований скважин на Северо-Ямбургском и Хамбатейском ЛУ"/>
    <s v="Ушакова М.А."/>
    <s v=""/>
    <s v="Договорный документ"/>
    <s v="Блок геологии и разработки"/>
    <s v="Аксенов М.А."/>
    <s v="ЭП"/>
    <s v="С ограничением по срокам "/>
    <d v="2023-01-10T00:00:00"/>
    <d v="2025-12-31T00:00:00"/>
    <s v=""/>
    <s v="Газодинамические исследования"/>
    <s v="Расходная часть"/>
    <s v="Рамочный"/>
    <s v="20%"/>
    <s v=""/>
    <s v=""/>
    <s v="697 059 158.56"/>
    <s v="580 882 632.13"/>
    <s v="116 176 526.43"/>
    <s v="нет"/>
    <s v="нет"/>
    <s v=""/>
    <s v=""/>
    <s v=""/>
    <s v=""/>
    <s v="нет"/>
  </r>
  <r>
    <s v="Газпромнефть-ГЕО, ООО"/>
    <s v="0000076851"/>
    <s v="Зарегистрирован"/>
    <d v="2024-01-16T00:00:00"/>
    <s v=""/>
    <x v="48"/>
    <s v="2466091092"/>
    <s v="№ ГЕО-22/11000/00274/Р"/>
    <s v=""/>
    <s v="6"/>
    <s v="Нетиповой ДД"/>
    <x v="3"/>
    <s v=""/>
    <s v="00024-24"/>
    <s v=""/>
    <s v="Наряд-заказ №6 от 16.01.2024 г к Договору № ГЕО-22/11000/00274/Р от 14.10.2022г."/>
    <s v="На проведение авторского надзора за строительством"/>
    <s v="Шолохова И.А."/>
    <s v="Салахутдинов Р.С."/>
    <s v="Договорный документ"/>
    <s v="Управление проектно-изыскательских работ"/>
    <s v="Трифонов А.В."/>
    <s v="ЭП"/>
    <s v="До исполнения обязательств"/>
    <d v="2024-01-16T00:00:00"/>
    <s v=""/>
    <s v="Д-33"/>
    <s v="Капитальное строительство и ПИР"/>
    <s v="Расходная часть"/>
    <s v="Рамочный"/>
    <s v="20%"/>
    <s v=""/>
    <s v=""/>
    <s v="1 230 330.78"/>
    <s v="1 025 275.65"/>
    <s v="205 055.13"/>
    <s v="нет"/>
    <s v="нет"/>
    <s v=""/>
    <s v=""/>
    <s v=""/>
    <s v=""/>
    <s v="нет"/>
  </r>
  <r>
    <s v="Газпромнефть-ГЕО, ООО"/>
    <s v="0000045789"/>
    <s v="Зарегистрирован"/>
    <d v="2022-01-20T00:00:00"/>
    <s v=""/>
    <x v="16"/>
    <s v="7838395487"/>
    <s v="ГЕО-21/11708/00165/Р"/>
    <s v=""/>
    <s v="НТЦ-03134-21Д-ГЕО"/>
    <s v="Нетиповой ДД"/>
    <x v="3"/>
    <s v=""/>
    <s v="00025-22"/>
    <s v=""/>
    <s v="Зима к договору ГЕО-21/11708/00165/Р//НТЦ-21/09000/00768/Д от 12.07.2021"/>
    <s v="Программа Проектов «Зима». Концепт геологии и разработки с обоснованием оптимальных программ исследований, дизайном ГРР и ОПР"/>
    <s v="Коротков С.П."/>
    <s v=""/>
    <s v="Договорный документ"/>
    <s v="Управление по разработке"/>
    <s v="Аксенов М.А."/>
    <s v="На бумажном носителе"/>
    <s v="С ограничением по срокам "/>
    <d v="2022-01-20T00:00:00"/>
    <d v="2022-12-30T00:00:00"/>
    <s v="Д-54"/>
    <s v="Договор на выполнение НИР, ОКР и технологических работ"/>
    <s v="Расходная часть"/>
    <s v="Рамочный"/>
    <s v="20%"/>
    <s v=""/>
    <s v=""/>
    <s v="80 247 102.00"/>
    <s v="66 872 585.00"/>
    <s v="13 374 517.00"/>
    <s v="нет"/>
    <s v="нет"/>
    <s v=""/>
    <s v=""/>
    <s v=""/>
    <s v=""/>
    <s v="нет"/>
  </r>
  <r>
    <s v="Газпромнефть-ГЕО, ООО"/>
    <s v="0000060723"/>
    <s v="Зарегистрирован"/>
    <d v="2023-01-20T00:00:00"/>
    <s v=""/>
    <x v="49"/>
    <s v="3811088474"/>
    <s v="АНГ-19/11513/00007/Р"/>
    <s v=""/>
    <s v="35"/>
    <s v="Нетиповой ДД"/>
    <x v="3"/>
    <s v=""/>
    <s v="00025-23"/>
    <s v=""/>
    <s v="Наряд-заказ № 35 к Договору № АНГ-19/11513/00007/Р "/>
    <s v="Переоформление краткосрочных договоров аренды лесных участков по проекту &quot;Оморинский&quot; на новый срок"/>
    <s v="Титаева И.А."/>
    <s v="Титаева И.А."/>
    <s v="Договорный документ"/>
    <s v="Управление маркшейдерско-землеустроительных работ"/>
    <s v="Трифонов А.В."/>
    <s v="ЭП"/>
    <s v="С ограничением по срокам "/>
    <d v="2023-01-20T00:00:00"/>
    <d v="2024-03-0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 342 929.63"/>
    <s v="1 952 441.36"/>
    <s v="390 488.27"/>
    <s v="нет"/>
    <s v="нет"/>
    <s v=""/>
    <s v=""/>
    <s v=""/>
    <s v=""/>
    <s v="нет"/>
  </r>
  <r>
    <s v="Газпромнефть-ГЕО, ООО"/>
    <s v="0000071739"/>
    <s v="Зарегистрирован"/>
    <d v="2023-12-28T00:00:00"/>
    <s v=""/>
    <x v="13"/>
    <s v="7710497816"/>
    <s v="ГЕО-22/09000/00014/Р"/>
    <s v=""/>
    <s v="1"/>
    <s v="Нетиповой ДД"/>
    <x v="4"/>
    <s v=""/>
    <s v="00025-24"/>
    <s v="4"/>
    <s v="Изменение № 1 к Наряд-Заказу № 1 к Договору № ГЕО-22/09000/00014/Р от 07.01.2022г."/>
    <s v="Внесение изменений в НЗ в связи с изменением производственной программы"/>
    <s v="Мячина М.В."/>
    <s v="Мячина М.В."/>
    <s v="Договорный документ"/>
    <s v="Отдел подготовительных работ и экономического анализа"/>
    <s v="Трифонов А.В."/>
    <s v="ЭП"/>
    <s v="С ограничением по срокам "/>
    <d v="2023-12-28T00:00:00"/>
    <d v="2024-12-31T00:00:00"/>
    <s v="Д-82"/>
    <s v="Договор возмездного оказания услуг"/>
    <s v="Не предполагает взаиморасчетов"/>
    <s v=""/>
    <s v=""/>
    <s v=""/>
    <s v=""/>
    <s v=""/>
    <s v=""/>
    <s v=""/>
    <s v="нет"/>
    <s v="нет"/>
    <s v=""/>
    <s v=""/>
    <s v=""/>
    <s v=""/>
    <s v="нет"/>
  </r>
  <r>
    <s v="Газпромнефть-ГЕО, ООО"/>
    <s v="0000045789"/>
    <s v="Зарегистрирован"/>
    <d v="2022-01-20T00:00:00"/>
    <s v=""/>
    <x v="16"/>
    <s v="7838395487"/>
    <s v="ГЕО-21/11708/00165/Р"/>
    <s v=""/>
    <s v="НТЦ-03231-21Д-ГЕО"/>
    <s v="Нетиповой ДД"/>
    <x v="3"/>
    <s v=""/>
    <s v="00026-22"/>
    <s v=""/>
    <s v="БМ Енисей к договору ГЕО-21/11708/00165/Р//НТЦ-21/09000/00768/Д от 12.07.2021"/>
    <s v="Построение региональной модели формирования углеводородных систем палеозойского возраста и оценка перспектив их нефтегазаносности в пределах территории Гыданского полуострова и Акватории Енисейского залива"/>
    <s v="Коротков С.П."/>
    <s v=""/>
    <s v="Договорный документ"/>
    <s v="Управление по разработке"/>
    <s v="Аксенов М.А."/>
    <s v="На бумажном носителе"/>
    <s v="С ограничением по срокам "/>
    <d v="2022-01-20T00:00:00"/>
    <d v="2022-11-25T00:00:00"/>
    <s v="Д-54"/>
    <s v="Договор на выполнение НИР, ОКР и технологических работ"/>
    <s v="Расходная часть"/>
    <s v="Рамочный"/>
    <s v="20%"/>
    <s v=""/>
    <s v=""/>
    <s v="31 852 796.40"/>
    <s v="26 543 997.00"/>
    <s v="5 308 799.40"/>
    <s v="нет"/>
    <s v="нет"/>
    <s v=""/>
    <s v=""/>
    <s v=""/>
    <s v=""/>
    <s v="нет"/>
  </r>
  <r>
    <s v="Газпромнефть-ГЕО, ООО"/>
    <s v="0000051935"/>
    <s v="Зарегистрирован"/>
    <d v="2023-01-30T00:00:00"/>
    <s v=""/>
    <x v="50"/>
    <s v="7709832820"/>
    <s v=""/>
    <s v="ГЕО-23/10000/00023/Р"/>
    <s v="ГЕО-23/10000/00023/Р"/>
    <s v="Типовой ДД"/>
    <x v="2"/>
    <s v="10319 Договор на оказание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
    <s v="00026-23"/>
    <s v=""/>
    <s v="10319 Договор на оказание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
    <s v="оказания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
    <s v="Мормышев А.А."/>
    <s v="Дунаев Э.В."/>
    <s v="Договорный документ"/>
    <s v="Блок бурения и ВСР"/>
    <s v="Трифонов А.В."/>
    <s v="На бумажном носителе"/>
    <s v="С ограничением по срокам "/>
    <d v="2023-01-30T00:00:00"/>
    <d v="2025-03-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311324824.26"/>
    <s v="676 222 988.09"/>
    <s v="563 519 156.74"/>
    <s v="112 703 831.35"/>
    <s v="да"/>
    <s v="нет"/>
    <s v=""/>
    <s v=""/>
    <s v=""/>
    <s v=""/>
    <s v="нет"/>
  </r>
  <r>
    <s v="Газпромнефть-ГЕО, ООО"/>
    <s v="0000062894"/>
    <s v="Зарегистрирован"/>
    <d v="2023-12-27T00:00:00"/>
    <s v=""/>
    <x v="47"/>
    <s v="7017253595"/>
    <s v="ГЕО-23/10150/00017/Р"/>
    <s v=""/>
    <s v="3"/>
    <s v="Нетиповой ДД"/>
    <x v="0"/>
    <s v=""/>
    <s v="00026-24"/>
    <s v=""/>
    <s v="Дополнительное соглашение №3 к Договору №ГЕО-23/10150/00017/Р от «10» января 2023 г."/>
    <s v="Раскрытие негарантированного объема 2024 г._x000a_Применение ставок консервации оборудования "/>
    <s v="Яшкина К.Л."/>
    <s v="Николаев В.А."/>
    <s v="Договорный документ"/>
    <s v="Блок геологии и разработки"/>
    <s v="Аксенов М.А."/>
    <s v="ЭП"/>
    <s v="До исполнения обязательств"/>
    <d v="2023-12-27T00:00:00"/>
    <s v=""/>
    <s v=""/>
    <s v="Газодинамические исследования"/>
    <s v="Расходная часть"/>
    <s v="Рамочный"/>
    <s v="20%"/>
    <s v=""/>
    <s v=""/>
    <s v="5 479 428.36"/>
    <s v="4 566 190.30"/>
    <s v="913 238.06"/>
    <s v="нет"/>
    <s v="нет"/>
    <s v=""/>
    <s v=""/>
    <s v=""/>
    <s v=""/>
    <s v="нет"/>
  </r>
  <r>
    <s v="Газпромнефть-ГЕО, ООО"/>
    <s v="0000045789"/>
    <s v="Зарегистрирован"/>
    <d v="2022-01-20T00:00:00"/>
    <s v=""/>
    <x v="16"/>
    <s v="7838395487"/>
    <s v="ГЕО-21/11708/00165/Р"/>
    <s v=""/>
    <s v="НТЦ-03019-21Д-ГЕО"/>
    <s v="Нетиповой ДД"/>
    <x v="3"/>
    <s v=""/>
    <s v="00027-22"/>
    <s v=""/>
    <s v="ОиИ Хамбатей к договору ГЕО-21/11708/00165/Р//НТЦ-21/09000/00768/Д от 12.07.2021"/>
    <s v="Обработка и комплексная интерпретация геолого-геофизических данных сейсморазведочных работ МОГТ 2D и 3D в пределах Хамбатейского лицензионного участка и сопредельной территории в 2022-2023 гг.»"/>
    <s v="Коротков С.П."/>
    <s v=""/>
    <s v="Договорный документ"/>
    <s v="Управление по разработке"/>
    <s v="Аксенов М.А."/>
    <s v="На бумажном носителе"/>
    <s v="С ограничением по срокам "/>
    <d v="2022-01-20T00:00:00"/>
    <d v="2023-05-25T00:00:00"/>
    <s v="Д-54"/>
    <s v="Договор на выполнение НИР, ОКР и технологических работ"/>
    <s v="Расходная часть"/>
    <s v="Рамочный"/>
    <s v="20%"/>
    <s v=""/>
    <s v=""/>
    <s v="60 138 449.78"/>
    <s v="50 115 374.82"/>
    <s v="10 023 074.96"/>
    <s v="нет"/>
    <s v="нет"/>
    <s v=""/>
    <s v=""/>
    <s v=""/>
    <s v=""/>
    <s v="нет"/>
  </r>
  <r>
    <s v="Газпромнефть-ГЕО, ООО"/>
    <s v="0000039714"/>
    <s v="Зарегистрирован"/>
    <d v="2023-01-09T00:00:00"/>
    <s v=""/>
    <x v="1"/>
    <s v="7734033757"/>
    <s v="ГЕО-21/10114/00257/Р"/>
    <s v=""/>
    <s v="6"/>
    <s v="Нетиповой ДД"/>
    <x v="3"/>
    <s v=""/>
    <s v="00027-23"/>
    <s v=""/>
    <s v=" оказание услуг по супервайзерскому контролю технологии полевых сейсморазведочных работ на Луговом ЛУ"/>
    <s v=" оказание услуг по супервайзерскому контролю технологии полевых сейсморазведочных работ на Луговом ЛУ, в рамках операторского договора между СН-МНГ и ГПН-ГЕО."/>
    <s v="Дакиров В.С."/>
    <s v=""/>
    <s v="Договорный документ"/>
    <s v="Управление сейсморазведочных работ"/>
    <s v="Аксенов М.А."/>
    <s v="ЭП"/>
    <s v="До исполнения обязательств"/>
    <d v="2023-01-09T00:00:00"/>
    <s v=""/>
    <s v="Д-54"/>
    <s v="Супервайзерские услуги полевых работ площадными геофизическими методами"/>
    <s v="Расходная часть"/>
    <s v="Стоимостной"/>
    <s v="20%"/>
    <s v=""/>
    <s v=""/>
    <s v="2 267 376.00"/>
    <s v="1 889 480.00"/>
    <s v="377 896.00"/>
    <s v="нет"/>
    <s v="нет"/>
    <s v=""/>
    <s v=""/>
    <s v=""/>
    <s v=""/>
    <s v="нет"/>
  </r>
  <r>
    <s v="Газпромнефть-ГЕО, ООО"/>
    <s v="0000071220"/>
    <s v="Зарегистрирован"/>
    <d v="2024-01-31T00:00:00"/>
    <s v=""/>
    <x v="51"/>
    <s v="5401950707"/>
    <s v=""/>
    <s v="ГЕО-24/10000/00022/Р"/>
    <s v="ГЕО-24/10000/00022/Р"/>
    <s v="Типовой ДД"/>
    <x v="2"/>
    <s v="10308 Договор на проведение геолого-технологических исследований скважин при бурении"/>
    <s v="00027-24"/>
    <s v=""/>
    <s v="10308 Договор на проведение геолого-технологических исследований скважин при бурении"/>
    <s v="на проведение геолого-технологических исследований скважин  в процессе бурения услуга 10308"/>
    <s v="Ларионов Е.А."/>
    <s v=""/>
    <s v="Договорный документ"/>
    <s v="Блок снабжения и закупок"/>
    <s v="Трифонов А.В."/>
    <s v="ЭП"/>
    <s v="С ограничением по срокам "/>
    <d v="2024-01-31T00:00:00"/>
    <d v="2028-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 276 865 522.93"/>
    <s v="1 064 054 602.44"/>
    <s v="212 810 920.49"/>
    <s v="нет"/>
    <s v="нет"/>
    <s v=""/>
    <s v=""/>
    <s v=""/>
    <s v=""/>
    <s v="нет"/>
  </r>
  <r>
    <s v="Газпромнефть-ГЕО, ООО"/>
    <s v="0000054112"/>
    <s v="Зарегистрирован"/>
    <d v="2023-02-01T00:00:00"/>
    <s v=""/>
    <x v="52"/>
    <s v="5914022670"/>
    <s v="ГЕО-22/10000/00278/Р"/>
    <s v=""/>
    <s v="1"/>
    <s v="Нетиповой ДД"/>
    <x v="0"/>
    <s v=""/>
    <s v="00028-23"/>
    <s v=""/>
    <s v="ДС1 к договору № ГЕО-22/10000/00278/Р"/>
    <s v="Включение условий по банковскому сопровождению"/>
    <s v="Безруков А.А."/>
    <s v=""/>
    <s v="Договорный документ"/>
    <s v="Блок снабжения и закупок"/>
    <s v="Аксенов М.А."/>
    <s v="ЭП"/>
    <s v="С ограничением по срокам "/>
    <d v="2023-02-01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104871"/>
    <s v="Зарегистрирован"/>
    <d v="2024-01-31T00:00:00"/>
    <s v=""/>
    <x v="53"/>
    <s v="7705848410"/>
    <s v=""/>
    <s v="ГЕО-24/10000/00021/Р"/>
    <s v="ГЕО-24/10000/00021/Р"/>
    <s v="Типовой ДД"/>
    <x v="2"/>
    <s v="10308 Договор на проведение геолого-технологических исследований скважин при бурении"/>
    <s v="00028-24"/>
    <s v=""/>
    <s v="10308 Договор на проведение геолого-технологических исследований скважин при бурении"/>
    <s v="проведение геолого-технологических исследований скважин при бурении"/>
    <s v="Ларионов Е.А."/>
    <s v=""/>
    <s v="Договорный документ"/>
    <s v="Блок снабжения и закупок"/>
    <s v="Трифонов А.В."/>
    <s v="ЭП"/>
    <s v="С ограничением по срокам "/>
    <d v="2023-01-31T00:00:00"/>
    <d v="2028-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 099 681 522.12"/>
    <s v="916 401 268.43"/>
    <s v="183 280 253.69"/>
    <s v="нет"/>
    <s v="нет"/>
    <s v=""/>
    <s v=""/>
    <s v=""/>
    <s v=""/>
    <s v="нет"/>
  </r>
  <r>
    <s v="Газпромнефть-ГЕО, ООО"/>
    <s v="0000063179"/>
    <s v="Зарегистрирован"/>
    <d v="2022-01-21T00:00:00"/>
    <s v=""/>
    <x v="54"/>
    <s v="7727747172"/>
    <s v="№ ГЕО-20/10986/00138/Р от 10.08.2020 г."/>
    <s v=""/>
    <s v="16"/>
    <s v="Нетиповой ДД"/>
    <x v="3"/>
    <s v=""/>
    <s v="00029-22"/>
    <s v=""/>
    <s v="Задание № 16 к Договору № ГЕО-20/10986/00138/Р от 10.08.2020г. с компанией ООО «ОГК» в рамках исполнения данного договора в 2022 году по контролю состояния производственной безопасности с целью исполнения агентского договора, заключенного между ООО «ГПН-ГЕ"/>
    <s v="заключение Задания № 16 к Договору № ГЕО-20/10986/00138/Р от 10.08.2020г. с компанией ООО «ОГК» в рамках исполнения данного договора в 2022 году по контролю состояния производственной безопасности с целью исполнения агентского договора, заключенного между ООО «ГПН-ГЕО» и ООО «ГПН-Восток»"/>
    <s v="Рябикина М.А."/>
    <s v="Подколзин А.С."/>
    <s v="Договорный документ"/>
    <s v="Блок производственной безопасности"/>
    <s v="Власов М.М."/>
    <s v="На бумажном носителе"/>
    <s v="С ограничением по срокам "/>
    <d v="2022-01-21T00:00:00"/>
    <d v="2022-04-10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2 160 600.00"/>
    <s v="1 800 500.00"/>
    <s v="360 100.00"/>
    <s v="нет"/>
    <s v="нет"/>
    <s v=""/>
    <s v=""/>
    <s v=""/>
    <s v=""/>
    <s v="нет"/>
  </r>
  <r>
    <s v="Газпромнефть-ГЕО, ООО"/>
    <s v="0000062524"/>
    <s v="Зарегистрирован"/>
    <d v="2023-01-17T00:00:00"/>
    <s v=""/>
    <x v="12"/>
    <s v="5908034187"/>
    <s v="ГЕО-21/10302/00225/Р"/>
    <s v=""/>
    <s v="4"/>
    <s v="Нетиповой ДД"/>
    <x v="0"/>
    <s v=""/>
    <s v="00029-23"/>
    <s v=""/>
    <s v="Дополнительное соглашение № 4 к Договору № ГЕО-21/10302/00225/Р от 11.10.2021г."/>
    <s v="Перерарспределние работ по годам"/>
    <s v="Мячина М.В."/>
    <s v=""/>
    <s v="Договорный документ"/>
    <s v="Отдел подготовительных работ и экономического анализа"/>
    <s v="Трифонов А.В."/>
    <s v="ЭП"/>
    <s v="До исполнения обязательств"/>
    <d v="2023-01-17T00:00:00"/>
    <s v=""/>
    <s v="Д-33"/>
    <s v="Технологическое сопровождение (прокат) забойных двигателей     "/>
    <s v="Не предполагает взаиморасчетов"/>
    <s v="Стоимостной"/>
    <s v=""/>
    <s v=""/>
    <s v=""/>
    <s v=""/>
    <s v=""/>
    <s v=""/>
    <s v="нет"/>
    <s v="нет"/>
    <s v=""/>
    <s v=""/>
    <s v=""/>
    <s v=""/>
    <s v="нет"/>
  </r>
  <r>
    <s v="Газпромнефть-ГЕО, ООО"/>
    <s v="0000104605"/>
    <s v="Зарегистрирован"/>
    <d v="2024-01-19T00:00:00"/>
    <s v=""/>
    <x v="55"/>
    <s v="9705112341"/>
    <s v="ГЕО-23/10000/00067/Р"/>
    <s v=""/>
    <s v="1"/>
    <s v="Нетиповой ДД"/>
    <x v="4"/>
    <s v=""/>
    <s v="00029-24"/>
    <s v="1"/>
    <s v="Изменение №1 к Наряд-заказу №1  от 14.04.23 г. к Договору №ГЕО-23/10000/00067/Р от 31.03.23 г."/>
    <s v="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Кузьмин Е.А."/>
    <s v="Кузьмин Е.А."/>
    <s v="Договорный документ"/>
    <s v="Управление инжиниринга бурения"/>
    <s v="Трифонов А.В."/>
    <s v="ЭП"/>
    <s v="С ограничением по срокам "/>
    <d v="2024-01-19T00:00:00"/>
    <d v="2024-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5 635 398.40"/>
    <s v="21 362 832.00"/>
    <s v="4 272 566.40"/>
    <s v="нет"/>
    <s v="нет"/>
    <s v=""/>
    <s v=""/>
    <s v=""/>
    <s v=""/>
    <s v="нет"/>
  </r>
  <r>
    <s v="Газпромнефть-ГЕО, ООО"/>
    <s v="0000090055"/>
    <s v="Закрыт"/>
    <d v="2022-01-21T00:00:00"/>
    <s v=""/>
    <x v="56"/>
    <s v="381806333704"/>
    <s v=""/>
    <s v="ГЕО-22/25000/00015/Р"/>
    <s v="ГЕО-22/25000/00015/Р"/>
    <s v="Типовой ДД"/>
    <x v="2"/>
    <s v="25000 Договор об оказании услуг физическим лицом (без выезда на Лицензионные участки Заказчика)"/>
    <s v="00030-22"/>
    <s v=""/>
    <s v="25000 Договор об оказании услуг физическим лицом (без выезда на Лицензионные участки Заказчика)"/>
    <s v="Оказание услуг по организации отправки/встречи авиарейсов (вертолеты)"/>
    <s v="Леденев Ю.А."/>
    <s v="Леденев Ю.А."/>
    <s v="Договорный документ"/>
    <s v="Блок снабжения и закупок"/>
    <s v="Масалкин Ю.В."/>
    <s v="На бумажном носителе"/>
    <s v="С ограничением по срокам "/>
    <d v="2022-01-21T00:00:00"/>
    <d v="2022-12-31T00:00:00"/>
    <s v=""/>
    <s v="Договор оказания услуг с физическим лицом"/>
    <s v="Расходная часть"/>
    <s v="Тарифный"/>
    <s v="13%"/>
    <s v=""/>
    <s v=""/>
    <s v="86 207.50"/>
    <s v="75 000.52"/>
    <s v="11 206.98"/>
    <s v="нет"/>
    <s v="нет"/>
    <s v=""/>
    <s v=""/>
    <s v=""/>
    <s v=""/>
    <s v="нет"/>
  </r>
  <r>
    <s v="Газпромнефть-ГЕО, ООО"/>
    <s v="0000061621"/>
    <s v="Зарегистрирован"/>
    <d v="2023-01-18T00:00:00"/>
    <s v=""/>
    <x v="57"/>
    <s v="6381010888"/>
    <s v="ГЕО-21/10301/00259/Р"/>
    <s v=""/>
    <s v="4"/>
    <s v="Нетиповой ДД"/>
    <x v="0"/>
    <s v=""/>
    <s v="00030-23"/>
    <s v=""/>
    <s v="Дополнительное соглашение № 4"/>
    <s v="Перераспределение работ по годам"/>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3-01-18T00:00:00"/>
    <s v=""/>
    <s v="Д-33"/>
    <s v="Технологическое сопровождение (прокат) буровых долот"/>
    <s v="Не предполагает взаиморасчетов"/>
    <s v="Стоимостной"/>
    <s v=""/>
    <s v=""/>
    <s v=""/>
    <s v=""/>
    <s v=""/>
    <s v=""/>
    <s v="нет"/>
    <s v="нет"/>
    <s v=""/>
    <s v=""/>
    <s v=""/>
    <s v=""/>
    <s v="нет"/>
  </r>
  <r>
    <s v="Газпромнефть-ГЕО, ООО"/>
    <s v=""/>
    <s v="Проект"/>
    <s v=""/>
    <s v=""/>
    <x v="58"/>
    <s v=""/>
    <s v=""/>
    <s v=""/>
    <s v=""/>
    <s v=""/>
    <x v="6"/>
    <s v=""/>
    <s v="00030-24"/>
    <s v=""/>
    <s v=""/>
    <s v=""/>
    <s v="Кузьмин Е.А."/>
    <s v=""/>
    <s v="Договорный документ"/>
    <s v="Управление инжиниринга бурения"/>
    <s v=""/>
    <s v=""/>
    <s v=""/>
    <s v=""/>
    <s v=""/>
    <s v=""/>
    <s v=""/>
    <s v=""/>
    <s v=""/>
    <s v=""/>
    <s v=""/>
    <s v=""/>
    <s v=""/>
    <s v=""/>
    <s v=""/>
    <s v="нет"/>
    <s v="нет"/>
    <s v=""/>
    <s v=""/>
    <s v=""/>
    <s v=""/>
    <s v="нет"/>
  </r>
  <r>
    <s v="Газпромнефть-ГЕО, ООО"/>
    <s v="0000040642"/>
    <s v="Закрыт"/>
    <d v="2022-01-01T00:00:00"/>
    <s v=""/>
    <x v="4"/>
    <s v="7736035485"/>
    <s v=""/>
    <s v="ГЕО-22/17000/00018/Р"/>
    <s v="ГЕО-22/17000/00018/Р"/>
    <s v="Нетиповой ДД"/>
    <x v="2"/>
    <s v=""/>
    <s v="00031-22"/>
    <s v=""/>
    <s v="Договор страхования от несчастных случаев и болезней"/>
    <s v="Страхование сотрудников ООО &quot;ГПН-ГЕО&quot; от несчастных случаев и болезней на 2022 г"/>
    <s v="Курашко М.В."/>
    <s v="Курашко М.В."/>
    <s v="Договорный документ"/>
    <s v="Управление по работе с персоналом"/>
    <s v="Масалкин Ю.В."/>
    <s v="На бумажном носителе"/>
    <s v="До исполнения обязательств"/>
    <d v="2022-01-01T00:00:00"/>
    <s v=""/>
    <s v=""/>
    <s v="Договор страхования"/>
    <s v="Расходная часть"/>
    <s v="Рамочный"/>
    <s v="без НДС"/>
    <s v=""/>
    <s v=""/>
    <s v="674 040.00"/>
    <s v="674 040.00"/>
    <n v="0"/>
    <s v="нет"/>
    <s v="нет"/>
    <s v=""/>
    <s v=""/>
    <s v=""/>
    <s v=""/>
    <s v="нет"/>
  </r>
  <r>
    <s v="Газпромнефть-ГЕО, ООО"/>
    <s v="0000041228"/>
    <s v="Зарегистрирован"/>
    <d v="2023-01-18T00:00:00"/>
    <s v=""/>
    <x v="59"/>
    <s v="5003028155"/>
    <s v=""/>
    <s v="ГЕО-23/26000/00015"/>
    <s v="ГЕО-23/26000/00015"/>
    <s v="Типовой ДД"/>
    <x v="1"/>
    <s v="26000 Соглашение о конфиденциальности с дочерним обществом ПАО «Газпром»"/>
    <s v="00031-23"/>
    <s v=""/>
    <s v="26000 Соглашение о конфиденциальности с дочерним обществом ПАО «Газпром»"/>
    <s v="Для обмена конфиденциальными данными "/>
    <s v="Ибрагимов А.М."/>
    <s v="Ибрагимов А.М."/>
    <s v="Договорный документ"/>
    <s v="Блок ЗИД по геологии"/>
    <s v="Масалкин Ю.В."/>
    <s v="На бумажном носителе"/>
    <s v="До исполнения обязательств"/>
    <d v="2023-01-18T00:00:00"/>
    <s v=""/>
    <s v=""/>
    <s v="Соглашение о конфиденциальности"/>
    <s v="Не предполагает взаиморасчетов"/>
    <s v=""/>
    <s v=""/>
    <s v=""/>
    <s v=""/>
    <s v=""/>
    <s v=""/>
    <s v=""/>
    <s v="нет"/>
    <s v="нет"/>
    <s v=""/>
    <s v=""/>
    <s v=""/>
    <s v=""/>
    <s v="нет"/>
  </r>
  <r>
    <s v="Газпромнефть-ГЕО, ООО"/>
    <s v="0000104605"/>
    <s v="Зарегистрирован"/>
    <d v="2024-01-19T00:00:00"/>
    <s v=""/>
    <x v="55"/>
    <s v="9705112341"/>
    <s v="ГЕО-23/10000/00067/Р"/>
    <s v=""/>
    <s v="2"/>
    <s v="Нетиповой ДД"/>
    <x v="4"/>
    <s v=""/>
    <s v="00031-24"/>
    <s v="2"/>
    <s v="Изменение №2 к наряд-заказу №2 от 28.11.23 г. к Договору №ГЕО-23/10000/00067/Р от 31.03.23 г."/>
    <s v="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Кузьмин Е.А."/>
    <s v="Кузьмин Е.А."/>
    <s v="Договорный документ"/>
    <s v="Управление инжиниринга бурения"/>
    <s v="Трифонов А.В."/>
    <s v="ЭП"/>
    <s v="С ограничением по срокам "/>
    <d v="2024-01-19T00:00:00"/>
    <d v="2024-03-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8 057 940.00"/>
    <s v="6 714 950.00"/>
    <s v="1 342 990.00"/>
    <s v="нет"/>
    <s v="нет"/>
    <s v=""/>
    <s v=""/>
    <s v=""/>
    <s v=""/>
    <s v="нет"/>
  </r>
  <r>
    <s v="Газпромнефть-ГЕО, ООО"/>
    <s v="0000049141"/>
    <s v="Зарегистрирован"/>
    <d v="2023-02-01T00:00:00"/>
    <s v=""/>
    <x v="60"/>
    <s v="7203215460"/>
    <s v="ГЕО-22/10000/00273/Р"/>
    <s v=""/>
    <s v="1"/>
    <s v="Нетиповой ДД"/>
    <x v="0"/>
    <s v=""/>
    <s v="00032-23"/>
    <s v=""/>
    <s v="ДС1 к договору № ГЕО-22/10000/00273/Р от 10.10.2022"/>
    <s v="Включение условий по банковскому сопровождению"/>
    <s v="Безруков А.А."/>
    <s v=""/>
    <s v="Договорный документ"/>
    <s v="Блок снабжения и закупок"/>
    <s v="Аксенов М.А."/>
    <s v="ЭП"/>
    <s v="С ограничением по срокам "/>
    <d v="2023-02-01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84590"/>
    <s v="Зарегистрирован"/>
    <d v="2024-01-29T00:00:00"/>
    <s v=""/>
    <x v="61"/>
    <s v="7708277130"/>
    <s v="ГЕО-23/09000/00149/Р"/>
    <s v=""/>
    <s v="10"/>
    <s v="Нетиповой ДД"/>
    <x v="7"/>
    <s v=""/>
    <s v="00032-24"/>
    <s v=""/>
    <s v="Заявка № 10 к договору о предоставлении труда работников (персонала) № ГЕО-23/09000/00149/Р от 28.08.2023 г."/>
    <s v="Привлечение персонала по направлению «Производственная безопасность», Супервайзер по производственной безопасности на проект «Оморинский», Камовская площадь, скважина КМ-4 и КМ-4бис, в рамках и на условиях действующего договора № ГЕО-23/09000/00149/Р от «28» августа 2023 г."/>
    <s v="Фокин Е.В."/>
    <s v="Фокин Е.В."/>
    <s v="Договорный документ"/>
    <s v="Управление производственной безопасности"/>
    <s v="Ядрышников П.Н."/>
    <s v="ЭП"/>
    <s v="С ограничением по срокам "/>
    <d v="2024-01-29T00:00:00"/>
    <d v="2024-09-30T00:00:00"/>
    <s v="Д-51"/>
    <s v="Договор возмездного оказания услуг"/>
    <s v="Расходная часть"/>
    <s v="Рамочный"/>
    <s v="20%"/>
    <s v=""/>
    <s v=""/>
    <s v="6 926 360.47"/>
    <s v="5 771 967.06"/>
    <s v="1 154 393.41"/>
    <s v="нет"/>
    <s v="нет"/>
    <s v=""/>
    <s v=""/>
    <s v=""/>
    <s v=""/>
    <s v="нет"/>
  </r>
  <r>
    <s v="Газпромнефть-ГЕО, ООО"/>
    <s v="0000008602"/>
    <s v="Зарегистрирован"/>
    <d v="2021-04-01T00:00:00"/>
    <s v=""/>
    <x v="32"/>
    <s v="5504036333"/>
    <s v="№ ГПН-18/09000/02142/Р от 07 сентября 2018 г."/>
    <s v=""/>
    <s v="ДС №8 к Договору № ГПН-18/09000/02142/Р от 07.09.2018г."/>
    <s v="Нетиповой ДД"/>
    <x v="0"/>
    <s v=""/>
    <s v="00033-21"/>
    <s v=""/>
    <s v="Выполнение операторских работ и оказание операторских услуг"/>
    <s v="Авансирование услуг"/>
    <s v="Кошелева Ю.В."/>
    <s v=""/>
    <s v="Договорный документ"/>
    <s v="Управление экономического планирования и анализа"/>
    <s v="Николаев М.Н."/>
    <s v="На бумажном носителе"/>
    <s v="До исполнения обязательств"/>
    <d v="2021-04-01T00:00:00"/>
    <s v=""/>
    <s v=""/>
    <s v="ПРОЧИЕ ДОГОВОРЫ"/>
    <s v="Не предполагает взаиморасчетов"/>
    <s v=""/>
    <s v=""/>
    <s v=""/>
    <s v=""/>
    <s v=""/>
    <s v=""/>
    <s v=""/>
    <s v="нет"/>
    <s v="нет"/>
    <s v=""/>
    <s v=""/>
    <s v=""/>
    <s v=""/>
    <s v="нет"/>
  </r>
  <r>
    <s v="Газпромнефть-ГЕО, ООО"/>
    <s v="0000067121"/>
    <s v="Зарегистрирован"/>
    <d v="2023-02-01T00:00:00"/>
    <s v=""/>
    <x v="62"/>
    <s v="7202171361"/>
    <s v="ГЕО-22/10000/00276/Р"/>
    <s v=""/>
    <s v="1"/>
    <s v="Нетиповой ДД"/>
    <x v="0"/>
    <s v=""/>
    <s v="00033-23"/>
    <s v=""/>
    <s v="ДС1 к договору № ГЕО-22/10000/00276/Р"/>
    <s v="Включение условий по банковскому сопровождению"/>
    <s v="Безруков А.А."/>
    <s v=""/>
    <s v="Договорный документ"/>
    <s v="Блок снабжения и закупок"/>
    <s v="Аксенов М.А."/>
    <s v="ЭП"/>
    <s v="С ограничением по срокам "/>
    <d v="2023-02-01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84590"/>
    <s v="Зарегистрирован"/>
    <d v="2024-01-29T00:00:00"/>
    <s v=""/>
    <x v="61"/>
    <s v="7708277130"/>
    <s v="ГЕО-23/09000/00149/Р"/>
    <s v=""/>
    <s v="11"/>
    <s v="Нетиповой ДД"/>
    <x v="7"/>
    <s v=""/>
    <s v="00033-24"/>
    <s v=""/>
    <s v="Заявка № 11 к договору о предоставлении труда работников (персонала) № ГЕО-23/09000/00149/Р от 28.08.2023 г."/>
    <s v="Привлечение персонала по направлению «Производственная безопасность», Супервайзер по производственной безопасности на проект «Оморинский», Салаирская площадь, скважина СЛР-3, в рамках и на условиях действующего договора № ГЕО-23/09000/00149/Р от «28» августа 2023 г"/>
    <s v="Фокин Е.В."/>
    <s v="Фокин Е.В."/>
    <s v="Договорный документ"/>
    <s v="Управление производственной безопасности"/>
    <s v="Ядрышников П.Н."/>
    <s v="ЭП"/>
    <s v="С ограничением по срокам "/>
    <d v="2024-01-29T00:00:00"/>
    <d v="2024-06-30T00:00:00"/>
    <s v="Д-51"/>
    <s v="Договор возмездного оказания услуг"/>
    <s v="Расходная часть"/>
    <s v="Рамочный"/>
    <s v="20%"/>
    <s v=""/>
    <s v=""/>
    <s v="4 471 426.30"/>
    <s v="3 726 188.58"/>
    <s v="745 237.72"/>
    <s v="нет"/>
    <s v="нет"/>
    <s v=""/>
    <s v=""/>
    <s v=""/>
    <s v=""/>
    <s v="нет"/>
  </r>
  <r>
    <s v="Газпромнефть-ГЕО, ООО"/>
    <s v="0000019598"/>
    <s v="Зарегистрирован"/>
    <d v="2021-04-29T00:00:00"/>
    <s v=""/>
    <x v="63"/>
    <s v="9909012867"/>
    <s v=""/>
    <s v="ГЕО-21/00000/00118"/>
    <s v="ГЕО-21/00000/00118"/>
    <s v="Нетиповой ДД"/>
    <x v="1"/>
    <s v=""/>
    <s v="00034-21"/>
    <s v=""/>
    <s v="СОГЛАШЕНИЕ ОБ ИСПОЛЬЗОВАНИИ ЭЛЕКТРОННОГО ДОКУМЕНТООБОРОТА"/>
    <s v="организация юридически значимого документооборота во исполнение совершенных между ними сделок с использованием Электронной подписи"/>
    <s v="Ябиров Р.З."/>
    <s v=""/>
    <s v="Договорный документ"/>
    <s v="Блок геологии и разработки"/>
    <s v="Аксенов М.А."/>
    <s v="На бумажном носителе"/>
    <s v="Без сроков "/>
    <d v="2021-04-29T00:00:00"/>
    <s v=""/>
    <s v=""/>
    <s v="ПРОЧИЕ ДОГОВОРЫ"/>
    <s v="Не предполагает взаиморасчетов"/>
    <s v="Агентский"/>
    <s v=""/>
    <s v=""/>
    <s v=""/>
    <s v=""/>
    <s v=""/>
    <s v=""/>
    <s v="нет"/>
    <s v="нет"/>
    <s v=""/>
    <s v=""/>
    <s v=""/>
    <s v=""/>
    <s v="нет"/>
  </r>
  <r>
    <s v="Газпромнефть-ГЕО, ООО"/>
    <s v="0000104871"/>
    <s v="Зарегистрирован"/>
    <d v="2023-01-13T00:00:00"/>
    <s v=""/>
    <x v="45"/>
    <s v="7705848410"/>
    <s v="ГЕО-21/10308/00248/Р"/>
    <s v=""/>
    <s v="2"/>
    <s v="Нетиповой ДД"/>
    <x v="0"/>
    <s v=""/>
    <s v="00034-23"/>
    <s v=""/>
    <s v="ДС №2 к договору №ГЕО-21/10308/00248/Р"/>
    <s v="Редакция Приложения № 7 к договору, актуализация Оценочных листов "/>
    <s v="Безруков А.А."/>
    <s v=""/>
    <s v="Договорный документ"/>
    <s v="Блок снабжения и закупок"/>
    <s v="Аксенов М.А."/>
    <s v="ЭП"/>
    <s v="С ограничением по срокам "/>
    <d v="2023-01-13T00:00:00"/>
    <d v="2023-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4590"/>
    <s v="Зарегистрирован"/>
    <d v="2024-02-01T00:00:00"/>
    <s v=""/>
    <x v="61"/>
    <s v="7708277130"/>
    <s v="ГЕО-23/09000/00149/Р"/>
    <s v=""/>
    <s v="12"/>
    <s v="Нетиповой ДД"/>
    <x v="7"/>
    <s v=""/>
    <s v="00034-24"/>
    <s v=""/>
    <s v="Заявка № 12 к договору о предоставлении труда работников (персонала) № ГЕО-23/09000/00149/Р от 28.08.2023 г."/>
    <s v="Привлечение персонала по направлению «Производственная безопасность», руководитель группы по производственной безопасности на проект «Титан», скв. № 1 ПО Северо-Ямбургского ЛУ, в рамках и на условиях действующего договора № ГЕО-23/09000/00149/Р от «28» августа 2023 г."/>
    <s v="Фокин Е.В."/>
    <s v=""/>
    <s v="Договорный документ"/>
    <s v="Управление производственной безопасности"/>
    <s v="Ядрышников П.Н."/>
    <s v="ЭП"/>
    <s v="С ограничением по срокам "/>
    <d v="2024-02-01T00:00:00"/>
    <d v="2024-03-31T00:00:00"/>
    <s v="Д-51"/>
    <s v="Договор возмездного оказания услуг"/>
    <s v="Расходная часть"/>
    <s v="Рамочный"/>
    <s v="20%"/>
    <s v=""/>
    <s v=""/>
    <s v="1 921 478.98"/>
    <s v="1 601 232.48"/>
    <s v="320 246.50"/>
    <s v="нет"/>
    <s v="нет"/>
    <s v=""/>
    <s v=""/>
    <s v=""/>
    <s v=""/>
    <s v="нет"/>
  </r>
  <r>
    <s v="Газпромнефть-ГЕО, ООО"/>
    <s v="0000073305"/>
    <s v="Зарегистрирован"/>
    <d v="2021-03-25T00:00:00"/>
    <s v=""/>
    <x v="64"/>
    <s v="8904080406"/>
    <s v=""/>
    <s v="ГЕО-21/11031/00101/Р"/>
    <s v="ГЕО-21/11031/00101/Р"/>
    <s v="Нетиповой ДД"/>
    <x v="2"/>
    <s v=""/>
    <s v="00035-21"/>
    <s v=""/>
    <s v="Договор на оказание услуг по гидромеханизированной разработке грунта"/>
    <s v="Выполнить Работы по гидронамыву песчаного грунта в штабель на месторождениях, где Заказчик осуществляет операторские услуги"/>
    <s v="Макаринский Е.Ю."/>
    <s v="Кукленков Михаил Александрович"/>
    <s v="Договорный документ"/>
    <s v="Департамент капитального строительства"/>
    <s v="Масалкин Ю.В."/>
    <s v="На бумажном носителе"/>
    <s v="С ограничением по срокам "/>
    <d v="2021-03-25T00:00:00"/>
    <d v="2022-12-31T00:00:00"/>
    <s v=""/>
    <s v="СМР Комплекс работ по разработке карьеров_x000a_(примечание: разработка карьеров грунта, в т.ч. гидронамывным способом)"/>
    <s v="Расходная часть"/>
    <s v="Тарифный"/>
    <s v="20%"/>
    <s v=""/>
    <s v=""/>
    <s v="275 653 494.00"/>
    <s v="229 711 245.00"/>
    <s v="45 942 249.00"/>
    <s v="нет"/>
    <s v="нет"/>
    <s v=""/>
    <s v=""/>
    <s v=""/>
    <s v=""/>
    <s v="нет"/>
  </r>
  <r>
    <s v="Газпромнефть-ГЕО, ООО"/>
    <s v="0000045789"/>
    <s v="Зарегистрирован"/>
    <d v="2022-01-18T00:00:00"/>
    <s v=""/>
    <x v="16"/>
    <s v="7838395487"/>
    <s v="ГЕО-21 /11708/00165/P//НТЦ-21/0900/00768/Д"/>
    <s v=""/>
    <s v="НТЦ-03240-21Д"/>
    <s v="Нетиповой ДД"/>
    <x v="3"/>
    <s v=""/>
    <s v="00035-22"/>
    <s v=""/>
    <s v="Построение предварительного базового концепта разработки проекта Южный Оренбург"/>
    <s v="обусловлено необходимостью выполнения оценки экономической целесообразности бурения скважин на поисковые объекты сложного геологического строения расчета профилей потенциальной добычи, оптимальной системы разработке и подготовки экономических моделей"/>
    <s v="Ябиров Р.З."/>
    <s v="Ябиров Р.З."/>
    <s v="Договорный документ"/>
    <s v="Блок геологии и разработки"/>
    <s v="Аксенов М.А."/>
    <s v="На бумажном носителе"/>
    <s v="С ограничением по срокам "/>
    <d v="2022-01-18T00:00:00"/>
    <d v="2022-12-30T00:00:00"/>
    <s v="Д-54"/>
    <s v="Договор на выполнение НИР, ОКР и технологических работ"/>
    <s v="Расходная часть"/>
    <s v="Рамочный"/>
    <s v="20%"/>
    <s v=""/>
    <s v=""/>
    <s v="72 725 775.60"/>
    <s v="60 604 813.00"/>
    <s v="12 120 962.60"/>
    <s v="нет"/>
    <s v="нет"/>
    <s v=""/>
    <s v=""/>
    <s v=""/>
    <s v=""/>
    <s v="нет"/>
  </r>
  <r>
    <s v="Газпромнефть-ГЕО, ООО"/>
    <s v="0000063179"/>
    <s v="Зарегистрирован"/>
    <d v="2022-12-31T00:00:00"/>
    <s v=""/>
    <x v="54"/>
    <s v="7727747172"/>
    <s v="ГЕО-20/10986/00138/Р"/>
    <s v=""/>
    <s v="23.1"/>
    <s v="Нетиповой ДД"/>
    <x v="8"/>
    <s v=""/>
    <s v="00035-23"/>
    <s v=""/>
    <s v="Задание 23.1"/>
    <s v="Изменение Задания 23 в редакции Задания 23.1 к Договору"/>
    <s v="Автеньев М.В."/>
    <s v="Фокин Е.В."/>
    <s v="Договорный документ"/>
    <s v="Блок производственной безопасности"/>
    <s v="Ядрышников П.Н."/>
    <s v="ЭП"/>
    <s v="С ограничением по срокам "/>
    <d v="2022-12-20T00:00:00"/>
    <d v="2023-12-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6 700 702.80"/>
    <s v="5 583 919.00"/>
    <s v="1 116 783.80"/>
    <s v="нет"/>
    <s v="нет"/>
    <s v=""/>
    <s v=""/>
    <s v=""/>
    <s v=""/>
    <s v="нет"/>
  </r>
  <r>
    <s v="Газпромнефть-ГЕО, ООО"/>
    <s v="0000037860"/>
    <s v="Зарегистрирован"/>
    <d v="2023-12-29T00:00:00"/>
    <s v=""/>
    <x v="20"/>
    <s v="7714024384"/>
    <s v="ГЕО-21/10318/00258/Р"/>
    <s v=""/>
    <s v="1"/>
    <s v="Нетиповой ДД"/>
    <x v="4"/>
    <s v=""/>
    <s v="00035-24"/>
    <s v="2"/>
    <s v="Изменение № 1 к НАРЯД-ЗАКАЗУ №2 от 13.09.2023г. к Договору № ГЕО-21/10318/00258/Р от «08» ноября 2021 г."/>
    <s v="Изменение наряд-заказа в связи с изменением производственной программы"/>
    <s v="Мячина М.В."/>
    <s v="Мячина М.В."/>
    <s v="Договорный документ"/>
    <s v="Отдел подготовительных работ и экономического анализа"/>
    <s v="Трифонов А.В."/>
    <s v="ЭП"/>
    <s v="С ограничением по срокам "/>
    <d v="2023-09-20T00:00:00"/>
    <d v="2024-12-31T00:00:00"/>
    <s v="Д-82"/>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063179"/>
    <s v="Зарегистрирован"/>
    <d v="2021-04-01T00:00:00"/>
    <s v=""/>
    <x v="54"/>
    <s v="7727747172"/>
    <s v=""/>
    <s v="ГЕО-21/00000/00107"/>
    <s v="ГЕО-21/00000/00107"/>
    <s v="Нетиповой ДД"/>
    <x v="1"/>
    <s v=""/>
    <s v="00036-21"/>
    <s v=""/>
    <s v="Соглашение об использовани ЭДО"/>
    <s v="Переход на ЭДО"/>
    <s v="Диденко П.В."/>
    <s v="Диденко П.В."/>
    <s v="Договорный документ"/>
    <s v="Отдел по работе с подрядными организациями и безопасности на транспорте"/>
    <s v="Власов М.М."/>
    <s v="На бумажном носителе"/>
    <s v="До исполнения обязательств"/>
    <d v="2021-04-01T00:00:00"/>
    <s v=""/>
    <s v=""/>
    <s v="ПРОЧИЕ ДОГОВОРЫ"/>
    <s v="Не предполагает взаиморасчетов"/>
    <s v=""/>
    <s v=""/>
    <s v=""/>
    <s v=""/>
    <s v=""/>
    <s v=""/>
    <s v=""/>
    <s v="нет"/>
    <s v="нет"/>
    <s v=""/>
    <s v=""/>
    <s v=""/>
    <s v=""/>
    <s v="нет"/>
  </r>
  <r>
    <s v="Газпромнефть-ГЕО, ООО"/>
    <s v="0000049141"/>
    <s v="Зарегистрирован"/>
    <d v="2022-01-21T00:00:00"/>
    <s v=""/>
    <x v="60"/>
    <s v="7203215460"/>
    <s v=""/>
    <s v="ГЕО-22/33200/00016"/>
    <s v="ГЕО-22/33200/00016"/>
    <s v="Типовой ДД"/>
    <x v="1"/>
    <s v="33200 Соглашение об электронном документообороте"/>
    <s v="00036-22"/>
    <s v=""/>
    <s v="33200 Соглашение об электронном документообороте"/>
    <s v="Внедрение Электронного Документооборота"/>
    <s v="Коротков С.П."/>
    <s v=""/>
    <s v="Договорный документ"/>
    <s v="Управление по разработке"/>
    <s v="Аксенов М.А."/>
    <s v="На бумажном носителе"/>
    <s v="Без сроков "/>
    <d v="2022-01-24T00:00:00"/>
    <s v=""/>
    <s v="Д-54"/>
    <s v="Соглашение об использовании электронного документооборота"/>
    <s v="Не предполагает взаиморасчетов"/>
    <s v="Рамочный"/>
    <s v=""/>
    <s v=""/>
    <s v=""/>
    <s v=""/>
    <s v=""/>
    <s v=""/>
    <s v="нет"/>
    <s v="нет"/>
    <s v=""/>
    <s v=""/>
    <s v=""/>
    <s v=""/>
    <s v="нет"/>
  </r>
  <r>
    <s v="Газпромнефть-ГЕО, ООО"/>
    <s v="0000062894"/>
    <s v="Зарегистрирован"/>
    <d v="2023-01-10T00:00:00"/>
    <s v=""/>
    <x v="47"/>
    <s v="7017253595"/>
    <s v=""/>
    <s v="ГЕО-23/26000/00018"/>
    <s v="ГЕО-23/26000/00018"/>
    <s v="Типовой ДД"/>
    <x v="1"/>
    <s v="26000 Соглашение о конфиденциальности с российским контрагентом"/>
    <s v="00036-23"/>
    <s v=""/>
    <s v="26000 Соглашение о конфиденциальности с российским контрагентом"/>
    <s v="Для выполнения работ подрядной организацией ООО «ИЦ ГазИнформПласт»"/>
    <s v="Ушакова М.А."/>
    <s v="Ушакова М.А."/>
    <s v="Договорный документ"/>
    <s v="Блок геологии и разработки"/>
    <s v="Созинов С.А."/>
    <s v="ЭП"/>
    <s v="С ограничением по срокам "/>
    <d v="2023-01-10T00:00:00"/>
    <d v="2025-12-31T00:00:00"/>
    <s v="Д-60"/>
    <s v="Соглашение о конфиденциальности"/>
    <s v="Не предполагает взаиморасчетов"/>
    <s v=""/>
    <s v=""/>
    <s v=""/>
    <s v=""/>
    <s v=""/>
    <s v=""/>
    <s v=""/>
    <s v="нет"/>
    <s v="нет"/>
    <s v=""/>
    <s v=""/>
    <s v=""/>
    <s v=""/>
    <s v="нет"/>
  </r>
  <r>
    <s v="Газпромнефть-ГЕО, ООО"/>
    <s v="0000066115"/>
    <s v="Проект"/>
    <s v=""/>
    <s v=""/>
    <x v="65"/>
    <s v="8603129231"/>
    <s v=""/>
    <s v=""/>
    <s v=""/>
    <s v="Типовой ДД"/>
    <x v="1"/>
    <s v="33200 Соглашение об электронном документообороте"/>
    <s v="00036-24"/>
    <s v=""/>
    <s v="33200 Соглашение об электронном документообороте"/>
    <s v="Перевод на ЭДО агентской схемы по авиаперевозкам"/>
    <s v="Титова Е.В."/>
    <s v="Титова Е.В."/>
    <s v="Договорный документ"/>
    <s v="Блок снабжения и закупок"/>
    <s v="Титов А.В."/>
    <s v="ЭП"/>
    <s v="Без сроков "/>
    <d v="2024-07-01T00:00:00"/>
    <s v=""/>
    <s v="Д-56"/>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4750"/>
    <s v="Закрыт"/>
    <d v="2021-03-29T00:00:00"/>
    <s v=""/>
    <x v="66"/>
    <s v="8905062456"/>
    <s v=""/>
    <s v="ГЕО-21/09000/00102/Д"/>
    <s v="ГЕО-21/09000/00102/Д"/>
    <s v="Нетиповой ДД"/>
    <x v="2"/>
    <s v=""/>
    <s v="00037-21"/>
    <s v=""/>
    <s v="Оказание услуг Ассистанса"/>
    <s v="За вознаграждение совершать по Заявке действия по предоставлению услуг программы Ассистанс"/>
    <s v="Ядрышников П.Н."/>
    <s v="Ядрышников П.Н."/>
    <s v="Договорный документ"/>
    <s v="Управление производственной безопасности"/>
    <s v="Власов М.М."/>
    <s v="На бумажном носителе"/>
    <s v="С ограничением по срокам "/>
    <d v="2020-12-01T00:00:00"/>
    <d v="2021-05-31T00:00:00"/>
    <s v=""/>
    <s v="Договор возмездного оказания услуг"/>
    <s v="Доходная часть"/>
    <s v="Агентский"/>
    <s v="20%"/>
    <s v=""/>
    <s v=""/>
    <s v="1 874 280.60"/>
    <s v="1 561 900.50"/>
    <s v="312 380.10"/>
    <s v="нет"/>
    <s v="нет"/>
    <s v=""/>
    <s v=""/>
    <s v=""/>
    <s v=""/>
    <s v="нет"/>
  </r>
  <r>
    <s v="Газпромнефть-ГЕО, ООО"/>
    <s v="0000027605"/>
    <s v="Зарегистрирован"/>
    <d v="2021-12-30T00:00:00"/>
    <s v=""/>
    <x v="67"/>
    <s v="8605003932"/>
    <s v=""/>
    <s v="ГЕО-21/07000/00311/Д"/>
    <s v="ГЕО-21/07000/00311/Д"/>
    <s v="Нетиповой ДД"/>
    <x v="2"/>
    <s v=""/>
    <s v="00037-22"/>
    <s v=""/>
    <s v="проведение полевых сейсморазведочных работ МОГТ ЗД с применением роведение полевых сейсморазведочных работ МОГТ ЗД с применением технологии «Зеленая сейсмика ©» на ЛУ работ ПАО «СН-МНГ», а также, в пределах примыкающего нераспределенного фонда в 2021-2023"/>
    <s v="проведение полевых сейсморазведочных работ МОГТ ЗД с применением роведение полевых сейсморазведочных работ МОГТ ЗД с применением технологии «Зеленая сейсмика ©» на ЛУ работ ПАО «СН-МНГ», а также, в пределах примыкающего нераспределенного фонда в 2021-2023"/>
    <s v="Ахматгалиев С.З."/>
    <s v=""/>
    <s v="Договорный документ"/>
    <s v="Блок геологии и разработки"/>
    <s v="Аксенов М.А."/>
    <s v="На бумажном носителе"/>
    <s v="С ограничением по срокам "/>
    <d v="2021-12-30T00:00:00"/>
    <d v="2023-12-31T00:00:00"/>
    <s v="Д-38"/>
    <s v="Договор подряда"/>
    <s v="Доходная часть"/>
    <s v="Стоимостной"/>
    <s v="20%"/>
    <s v=""/>
    <s v=""/>
    <s v="420 399 563.52"/>
    <s v="350 332 969.60"/>
    <s v="70 066 593.92"/>
    <s v="нет"/>
    <s v="нет"/>
    <s v=""/>
    <s v=""/>
    <s v=""/>
    <s v=""/>
    <s v="нет"/>
  </r>
  <r>
    <s v="Газпромнефть-ГЕО, ООО"/>
    <s v="0000062894"/>
    <s v="Закрыт"/>
    <d v="2023-01-10T00:00:00"/>
    <s v=""/>
    <x v="47"/>
    <s v="7017253595"/>
    <s v=""/>
    <s v="ГЕО-23/33200/00019"/>
    <s v="ГЕО-23/33200/00019"/>
    <s v="Типовой ДД"/>
    <x v="1"/>
    <s v="33200 Соглашение об электронном документообороте"/>
    <s v="00037-23"/>
    <s v=""/>
    <s v="33200 Соглашение об электронном документообороте"/>
    <s v="Для обмена документами с подрядной организацией ООО «ИЦ ГазИнформПласт»"/>
    <s v="Ушакова М.А."/>
    <s v="Ушакова М.А."/>
    <s v="Договорный документ"/>
    <s v="Блок геологии и разработки"/>
    <s v="Аксенов М.А."/>
    <s v="ЭП"/>
    <s v="С ограничением по срокам "/>
    <d v="2023-01-10T00:00:00"/>
    <d v="2025-12-31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3438"/>
    <s v="Зарегистрирован"/>
    <d v="2024-01-23T00:00:00"/>
    <s v=""/>
    <x v="68"/>
    <s v="7720330291"/>
    <s v="ГЕО-21/08000/00296/Р"/>
    <s v=""/>
    <s v="1"/>
    <s v="Нетиповой ДД"/>
    <x v="4"/>
    <s v=""/>
    <s v="00037-24"/>
    <s v="15"/>
    <s v="Изм №1 к Заявке №15 ВНИГНИ №ГЕО-21/08000/00296/Р от 28.12.2021"/>
    <s v="Изм №1 к Заявке №15 ВНИГНИ №ГЕО-21/08000/00296/Р от 28.12.2021. Цель - изменение сроков предоставления услуг."/>
    <s v="Мормышев А.А."/>
    <s v="Мустафин И.Р."/>
    <s v="Договорный документ"/>
    <s v="Блок геологии и разработки"/>
    <s v="Трифонов А.В."/>
    <s v="ЭП"/>
    <s v="До исполнения обязательств"/>
    <d v="2023-01-23T00:00:00"/>
    <s v=""/>
    <s v="Д-82"/>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81920"/>
    <s v="Закрыт"/>
    <d v="2021-04-01T00:00:00"/>
    <s v=""/>
    <x v="69"/>
    <s v="7810440235"/>
    <s v=""/>
    <s v="ГЕО-21/00000/00108"/>
    <s v="ГЕО-21/00000/00108"/>
    <s v="Нетиповой ДД"/>
    <x v="1"/>
    <s v=""/>
    <s v="00038-21"/>
    <s v=""/>
    <s v="Соглашение об использовании электронного документооборота"/>
    <s v="Установление документооборота с использованием электронной подписи."/>
    <s v="Савельева И.И."/>
    <s v=""/>
    <s v="Договорный документ"/>
    <s v="Отдел административной поддержки бизнеса"/>
    <s v="Масалкин Ю.В."/>
    <s v="На бумажном носителе"/>
    <s v="Без сроков "/>
    <d v="2021-04-01T00:00:00"/>
    <s v=""/>
    <s v=""/>
    <s v="ПРОЧИЕ ДОГОВОРЫ"/>
    <s v="Не предполагает взаиморасчетов"/>
    <s v=""/>
    <s v=""/>
    <s v=""/>
    <s v=""/>
    <s v=""/>
    <s v=""/>
    <s v=""/>
    <s v="нет"/>
    <s v="нет"/>
    <s v=""/>
    <s v=""/>
    <s v=""/>
    <s v=""/>
    <s v="нет"/>
  </r>
  <r>
    <s v="Газпромнефть-ГЕО, ООО"/>
    <s v="0000062894"/>
    <s v="Зарегистрирован"/>
    <d v="2023-01-24T00:00:00"/>
    <s v=""/>
    <x v="47"/>
    <s v="7017253595"/>
    <s v=""/>
    <s v="ГЕО-23/20000/00020/Д"/>
    <s v="ГЕО-23/20000/00020/Д"/>
    <s v="Типовой ДД"/>
    <x v="2"/>
    <s v="20000 Агентский договор на организацию вертолетных авиаперевозок"/>
    <s v="00038-23"/>
    <s v=""/>
    <s v="20000 Агентский договор на организацию вертолетных авиаперевозок ООО &quot;ИЦ ГазИнформПласт&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2-01T00:00:00"/>
    <d v="2023-12-31T00:00:00"/>
    <s v="Д-56"/>
    <s v="Агентский договор"/>
    <s v="Доходная часть"/>
    <s v="Агентский"/>
    <s v="20%"/>
    <s v=""/>
    <s v=""/>
    <s v="375 072.22"/>
    <s v="312 560.18"/>
    <s v="62 512.04"/>
    <s v="нет"/>
    <s v="нет"/>
    <s v=""/>
    <s v=""/>
    <s v=""/>
    <s v=""/>
    <s v="нет"/>
  </r>
  <r>
    <s v="Газпромнефть-ГЕО, ООО"/>
    <s v="0000090774"/>
    <s v="Зарегистрирован"/>
    <d v="2024-02-06T00:00:00"/>
    <s v=""/>
    <x v="70"/>
    <s v="7724490000"/>
    <s v="ГЕО-22/09000/00203/Р"/>
    <s v=""/>
    <s v="2"/>
    <s v="Нетиповой ДД"/>
    <x v="0"/>
    <s v=""/>
    <s v="00038-24"/>
    <s v=""/>
    <s v="ДС №2 к договору № 78209402/ГЕО-22/09000/00203/Р от «10» августа 2022г."/>
    <s v="Дополнительное соглашение №2 о взаимодействии в рамках электронного документооборота. По требованию КА новую форму (типовую) соглашения об ЭДО заключаем как дополнительное соглашение к договору оказания услуг. При этом ТФД не изменяется._x000a_"/>
    <s v="Исаева И.С."/>
    <s v=""/>
    <s v="Договорный документ"/>
    <s v="Отдел административной поддержки бизнеса"/>
    <s v="Буракова О.В."/>
    <s v="ЭП (внешний)"/>
    <s v="Без сроков "/>
    <d v="2024-02-06T00:00:00"/>
    <s v=""/>
    <s v="Д-33"/>
    <s v="Договор возмездного оказания услуг"/>
    <s v="Не предполагает взаиморасчетов"/>
    <s v=""/>
    <s v=""/>
    <s v=""/>
    <s v=""/>
    <s v=""/>
    <s v=""/>
    <s v=""/>
    <s v="нет"/>
    <s v="нет"/>
    <s v=""/>
    <s v=""/>
    <s v=""/>
    <s v=""/>
    <s v="нет"/>
  </r>
  <r>
    <s v="Газпромнефть-ГЕО, ООО"/>
    <s v="0000045671"/>
    <s v="Закрыт"/>
    <d v="2022-01-01T00:00:00"/>
    <s v=""/>
    <x v="71"/>
    <s v="8905039143"/>
    <s v=""/>
    <s v="ГЕО-22/33200/00017"/>
    <s v="ГЕО-22/33200/00017"/>
    <s v="Типовой ДД"/>
    <x v="1"/>
    <s v="33200 Соглашение об электронном документообороте"/>
    <s v="00039-22"/>
    <s v=""/>
    <s v="33200 Соглашение об электронном документообороте"/>
    <s v="Заключить соглашение об использовании электронного документооборота с контрагентом. _x000d__x000a_"/>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1-01T00:00:00"/>
    <d v="2022-12-31T00:00:00"/>
    <s v="Д-56"/>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регистрирован"/>
    <d v="2023-03-10T00:00:00"/>
    <s v=""/>
    <x v="72"/>
    <s v=""/>
    <s v=""/>
    <s v="ГЕО-23/26000/00053"/>
    <s v="ГЕО-23/26000/00053"/>
    <s v="Нетиповой ДД"/>
    <x v="1"/>
    <s v=""/>
    <s v="00039-23"/>
    <s v=""/>
    <s v="Соглашение о конфиденциальности"/>
    <s v="Соглашение о конфиденциальности"/>
    <s v="Гулин В.Д."/>
    <s v="Гулин В.Д."/>
    <s v="Договорный документ"/>
    <s v="Блок геологии и разработки"/>
    <s v="Аксенов М.А."/>
    <s v="На бумажном носителе"/>
    <s v="С ограничением по срокам "/>
    <d v="2023-03-10T00:00:00"/>
    <d v="2026-03-10T00:00:00"/>
    <s v="Д-54"/>
    <s v="Соглашение о конфиденциальности"/>
    <s v="Не предполагает взаиморасчетов"/>
    <s v=""/>
    <s v=""/>
    <s v=""/>
    <s v=""/>
    <s v=""/>
    <s v=""/>
    <s v=""/>
    <s v="нет"/>
    <s v="нет"/>
    <s v=""/>
    <s v=""/>
    <s v=""/>
    <s v=""/>
    <s v="нет"/>
  </r>
  <r>
    <s v="Газпромнефть-ГЕО, ООО"/>
    <s v="0000062894"/>
    <s v="Зарегистрирован"/>
    <d v="2023-12-27T00:00:00"/>
    <s v=""/>
    <x v="47"/>
    <s v="7017253595"/>
    <s v="ГЕО-23/10150/00017/Р"/>
    <s v=""/>
    <s v="2"/>
    <s v="Нетиповой ДД"/>
    <x v="3"/>
    <s v=""/>
    <s v="00039-24"/>
    <s v=""/>
    <s v="Заявка на оказание услуг №2 к Договору №ГЕО-23/10150/00017/Р от «10» января 2023 г."/>
    <s v="Выдача нового объема на Северо-Ямбургский ЛУ"/>
    <s v="Яшкина К.Л."/>
    <s v="Николаев В.А."/>
    <s v="Договорный документ"/>
    <s v="Блок геологии и разработки"/>
    <s v="Волков Г.В."/>
    <s v="ЭП"/>
    <s v="С ограничением по срокам "/>
    <d v="2024-01-01T00:00:00"/>
    <d v="2024-02-20T00:00:00"/>
    <s v="Д-16"/>
    <s v="Газодинамические исследования"/>
    <s v="Расходная часть"/>
    <s v="Рамочный"/>
    <s v="20%"/>
    <s v=""/>
    <s v=""/>
    <s v="5 552 292.36"/>
    <s v="4 626 910.30"/>
    <s v="925 382.06"/>
    <s v="нет"/>
    <s v="нет"/>
    <s v=""/>
    <s v=""/>
    <s v=""/>
    <s v=""/>
    <s v="нет"/>
  </r>
  <r>
    <s v="Газпромнефть-ГЕО, ООО"/>
    <s v="0000065849"/>
    <s v="Зарегистрирован"/>
    <d v="2022-01-14T00:00:00"/>
    <s v=""/>
    <x v="73"/>
    <s v="7816556691"/>
    <s v="ГЕО-20/09000/00170/Р  "/>
    <s v=""/>
    <s v="3"/>
    <s v="Нетиповой ДД"/>
    <x v="0"/>
    <s v=""/>
    <s v="00040-22"/>
    <s v=""/>
    <s v="Дополнительное соглашение № 3"/>
    <s v="Перераспределние негарантированных объемов 2022-2023 гг в гарантированный объем 2022 г"/>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2-01-14T00:00:00"/>
    <s v=""/>
    <s v="Д-66"/>
    <s v="Договор на обучение (тренинги, семинары и проч.)"/>
    <s v="Не предполагает взаиморасчетов"/>
    <s v=""/>
    <s v=""/>
    <s v=""/>
    <s v=""/>
    <s v=""/>
    <s v=""/>
    <s v=""/>
    <s v="нет"/>
    <s v="нет"/>
    <s v=""/>
    <s v=""/>
    <s v=""/>
    <s v=""/>
    <s v="нет"/>
  </r>
  <r>
    <s v="Газпромнефть-ГЕО, ООО"/>
    <s v="0000051935"/>
    <s v="Зарегистрирован"/>
    <d v="2023-01-30T00:00:00"/>
    <s v=""/>
    <x v="50"/>
    <s v="7709832820"/>
    <s v=""/>
    <s v="ГЕО-23/33100/00024"/>
    <s v="ГЕО-23/33100/00024"/>
    <s v="Типовой ДД"/>
    <x v="1"/>
    <s v="33100 Соглашение в области производственной безопасности"/>
    <s v="00040-23"/>
    <s v=""/>
    <s v="33100 Соглашение в области производственной безопасности (НьюТек Сервисиз)"/>
    <s v="Оказания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
    <s v="Мормышев А.А."/>
    <s v="Салихов М.Р."/>
    <s v="Договорный документ"/>
    <s v="Отдел по работе с подрядными организациями и безопасности на транспорте"/>
    <s v="Михайлов Ю.А."/>
    <s v="ЭП"/>
    <s v="До исполнения обязательств"/>
    <d v="2023-01-3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7384"/>
    <s v="Зарегистрирован"/>
    <d v="2024-01-23T00:00:00"/>
    <s v=""/>
    <x v="34"/>
    <s v="7204183725"/>
    <s v="ГЕО-23/10000/00219/Р "/>
    <s v=""/>
    <s v="1"/>
    <s v="Нетиповой ДД"/>
    <x v="3"/>
    <s v=""/>
    <s v="00040-24"/>
    <s v=""/>
    <s v="Наряд-Заказ по Проекту &quot;Титан&quot;"/>
    <s v="Заключение НЗ на демобилизацию оборудования"/>
    <s v="Ябиров Р.З."/>
    <s v=""/>
    <s v="Договорный документ"/>
    <s v="Блок геологии и разработки"/>
    <s v="Шакирзянов Л.Н."/>
    <s v="ЭП"/>
    <s v="С ограничением по срокам "/>
    <d v="2024-01-23T00:00:00"/>
    <d v="2024-03-31T00:00:00"/>
    <s v="Д-20"/>
    <s v="Договор на выполнение НИР, ОКР и технологических работ"/>
    <s v="Расходная часть"/>
    <s v="Рамочный"/>
    <s v="20%"/>
    <s v=""/>
    <s v=""/>
    <s v="4 111 745.06"/>
    <s v="3 426 454.22"/>
    <s v="685 290.84"/>
    <s v="нет"/>
    <s v="нет"/>
    <s v=""/>
    <s v=""/>
    <s v=""/>
    <s v=""/>
    <s v="нет"/>
  </r>
  <r>
    <s v="Газпромнефть-ГЕО, ООО"/>
    <s v="0000040642"/>
    <s v="Зарегистрирован"/>
    <d v="2021-12-31T00:00:00"/>
    <s v=""/>
    <x v="4"/>
    <s v="7736035485"/>
    <s v="ГЕО-20/17000/00213/Р "/>
    <s v=""/>
    <s v="3"/>
    <s v="Нетиповой ДД"/>
    <x v="0"/>
    <s v=""/>
    <s v="00041-22"/>
    <s v=""/>
    <s v="Дополнительное соглашение № 3"/>
    <s v="Доброльное медицинское страхование сотрудников ООО ГПН-ГЕО на три месяца 2022 г"/>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2-01-01T00:00:00"/>
    <s v=""/>
    <s v="Д-66"/>
    <s v="Договор страхования"/>
    <s v="Расходная часть"/>
    <s v="Рамочный"/>
    <s v="без НДС"/>
    <s v=""/>
    <s v=""/>
    <s v="2 871 302.00"/>
    <s v="2 871 302.00"/>
    <n v="0"/>
    <s v="нет"/>
    <s v="нет"/>
    <s v=""/>
    <s v=""/>
    <s v=""/>
    <s v=""/>
    <s v="нет"/>
  </r>
  <r>
    <s v="Газпромнефть-ГЕО, ООО"/>
    <s v="0000048216"/>
    <s v="Зарегистрирован"/>
    <d v="2023-01-25T00:00:00"/>
    <s v=""/>
    <x v="38"/>
    <s v="8605013881"/>
    <s v="ГЕО-22/10000/00055/Р"/>
    <s v=""/>
    <s v="5"/>
    <s v="Нетиповой ДД"/>
    <x v="0"/>
    <s v=""/>
    <s v="00041-23"/>
    <s v=""/>
    <s v="ДС №5 к Договору №ГЕО-22/10000/00055/Р от 17.03.2022 г."/>
    <s v="Перевод негарантированного объема в гарантированный для оказания услуг ГТИ на Северо-Ямбургском ЛУ"/>
    <s v="Ушакова М.А."/>
    <s v=""/>
    <s v="Договорный документ"/>
    <s v="Блок геологии и разработки"/>
    <s v="Аксенов М.А."/>
    <s v="ЭП"/>
    <s v="С ограничением по срокам "/>
    <d v="2023-01-25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3 842 180.74"/>
    <s v="28 201 817.28"/>
    <s v="5 640 363.46"/>
    <s v="нет"/>
    <s v="нет"/>
    <s v=""/>
    <s v=""/>
    <s v=""/>
    <s v=""/>
    <s v="нет"/>
  </r>
  <r>
    <s v="Газпромнефть-ГЕО, ООО"/>
    <s v="0000063179"/>
    <s v="Зарегистрирован"/>
    <d v="2024-02-01T00:00:00"/>
    <s v=""/>
    <x v="54"/>
    <s v="7727747172"/>
    <s v=""/>
    <s v="ГЕО-24/09000/00020/Р"/>
    <s v="ГЕО-24/09000/00020/Р"/>
    <s v="Нетиповой ДД"/>
    <x v="2"/>
    <s v=""/>
    <s v="00041-24"/>
    <s v=""/>
    <s v="Договор на оказание услуг по камеральной проверке документов на соответствие требованиям ПБ"/>
    <s v="в целях обеспечения проверки документов, поступающих от ПО в ССП"/>
    <s v="Коваленко М.В."/>
    <s v="Салихов М.Р."/>
    <s v="Договорный документ"/>
    <s v="Блок производственной безопасности"/>
    <s v="Михайлов Ю.А."/>
    <s v="ЭП"/>
    <s v="С ограничением по срокам "/>
    <d v="2024-02-01T00:00:00"/>
    <d v="2028-12-31T00:00:00"/>
    <s v="Д-2"/>
    <s v="Договор возмездного оказания услуг"/>
    <s v="Расходная часть"/>
    <s v="Стоимостной"/>
    <s v="20%"/>
    <s v=""/>
    <s v="2397320"/>
    <s v="13 419 936.00"/>
    <s v="11 183 280.00"/>
    <s v="2 236 656.00"/>
    <s v="да"/>
    <s v="нет"/>
    <s v=""/>
    <s v=""/>
    <s v=""/>
    <s v=""/>
    <s v="нет"/>
  </r>
  <r>
    <s v="Газпромнефть-ГЕО, ООО"/>
    <s v="0000066314"/>
    <s v="Зарегистрирован"/>
    <d v="2021-04-01T00:00:00"/>
    <s v=""/>
    <x v="74"/>
    <s v="7202242358"/>
    <s v="АНГ_19/11513/00010/Р"/>
    <s v=""/>
    <s v="Наряд-заказ № 6 к Договору № АНГ-19/11513/00010/Р "/>
    <s v="Нетиповой ДД"/>
    <x v="3"/>
    <s v=""/>
    <s v="00042-21"/>
    <s v=""/>
    <s v="Наряд-заказ № 6 к Договору № АНГ-19/11513/00010/Р "/>
    <s v="Оформление разрешительной документации на земельные участки для объекта &quot;Площадка поисково-оценочной скважины №1 на Северо-Ямбургском ЛУ с временной зимней автодорогой&quot;"/>
    <s v="Титаева И.А."/>
    <s v="Титаева И.А. - Руководитель маркшейдерско-землеустроительных работ - Управление маркшейдерско-землеустроительных работ;"/>
    <s v="Договорный документ"/>
    <s v="Управление маркшейдерско-землеустроительных работ"/>
    <s v="Масалкин Ю.В."/>
    <s v="На бумажном носителе"/>
    <s v="С ограничением по срокам "/>
    <d v="2021-04-01T00:00:00"/>
    <d v="2021-12-31T00:00:00"/>
    <s v=""/>
    <s v="Выполнение комплекса топографо-геодезических, землеустроительных и лесоустроительных  работ "/>
    <s v="Расходная часть"/>
    <s v="Рамочный"/>
    <s v="0%"/>
    <s v=""/>
    <s v=""/>
    <s v="1 812 607.31"/>
    <s v="1 812 607.31"/>
    <n v="0"/>
    <s v="нет"/>
    <s v="нет"/>
    <s v=""/>
    <s v=""/>
    <s v=""/>
    <s v=""/>
    <s v="нет"/>
  </r>
  <r>
    <s v="Газпромнефть-ГЕО, ООО"/>
    <s v=""/>
    <s v="Проект"/>
    <d v="2020-11-10T00:00:00"/>
    <s v=""/>
    <x v="58"/>
    <s v=""/>
    <s v=""/>
    <s v=""/>
    <s v="ГЕО-20/101109/00144/Р"/>
    <s v=""/>
    <x v="3"/>
    <s v=""/>
    <s v="00042-22"/>
    <s v=""/>
    <s v=""/>
    <s v=""/>
    <s v="Лобанов А.А."/>
    <s v=""/>
    <s v="Договорный документ"/>
    <s v="Управление по геологии"/>
    <s v=""/>
    <s v=""/>
    <s v=""/>
    <s v=""/>
    <s v=""/>
    <s v=""/>
    <s v=""/>
    <s v=""/>
    <s v=""/>
    <s v=""/>
    <s v=""/>
    <s v=""/>
    <s v=""/>
    <s v=""/>
    <s v=""/>
    <s v="нет"/>
    <s v="нет"/>
    <s v=""/>
    <s v=""/>
    <s v=""/>
    <s v=""/>
    <s v="нет"/>
  </r>
  <r>
    <s v="Газпромнефть-ГЕО, ООО"/>
    <s v="0000060954"/>
    <s v="Зарегистрирован"/>
    <d v="2023-01-26T00:00:00"/>
    <s v=""/>
    <x v="75"/>
    <s v="5603007580"/>
    <s v="ГЕО-22/10000/00036/Р"/>
    <s v=""/>
    <s v="4 "/>
    <s v="Нетиповой ДД"/>
    <x v="0"/>
    <s v=""/>
    <s v="00042-23"/>
    <s v=""/>
    <s v="Дополнительное соглашение №4 к Договору № ГЕО-22/10000/00036/Р от 14.02.2022г"/>
    <s v="Корректировака производственной программы и перевод в гарантированную часть"/>
    <s v="Рымаренко А.А."/>
    <s v="Рымаренко А.А."/>
    <s v="Договорный документ"/>
    <s v="Управление внутрискважинных работ"/>
    <s v="Трифонов А.В."/>
    <s v="ЭП"/>
    <s v="До исполнения обязательств"/>
    <d v="2023-01-26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58328"/>
    <s v="Зарегистрирован"/>
    <d v="2024-01-22T00:00:00"/>
    <s v=""/>
    <x v="76"/>
    <s v="5032180980"/>
    <s v=""/>
    <s v="ГЕО-24/09100/00037/Р"/>
    <s v="ГЕО-24/09100/00037/Р"/>
    <s v="Нетиповой ДД"/>
    <x v="2"/>
    <s v=""/>
    <s v="00042-24"/>
    <s v=""/>
    <s v="ДОГОВОР N EMBA-XXXX/29-ПМ об образовании на обучение по дополнительным"/>
    <s v="_x000a_1.1. Исполнитель обязуется предоставить Обучающемуся образовательную услугу (далее - услуги), а Заказчик и Обучающийся обязуются оплатить образовательную услугу по предоставлению программы профессиональной переподготовки «Executive MBA» (далее – «Программа»)._x000a_1.2. Форма обучения - очно-заочная (модульная) с применением электронного обучения и дистанционных образовательных технологий в соответствии с учебным планом и образовательной программой Исполнителя. _x000a_1.3. Срок освоения Программы (продолжительность обучения) на момент подписания Договора составляет с декабря 2023 г. по сентябрь 2025 г. Программа состоит из 17 учебных модулей._x000a_1.4. Услуги по Договору оказываются на основании Лицензии от «26» апреля 2017 года №77081, выданной Министерством образования Московской области (срок действия – бессрочно)._x000a_"/>
    <s v="Лейман Д.Д."/>
    <s v="Лейман Д.Д."/>
    <s v="Договорный документ"/>
    <s v="Управление по работе с персоналом"/>
    <s v="Игнатова Ю.В."/>
    <s v="На бумажном носителе"/>
    <s v="С ограничением по срокам "/>
    <d v="2023-12-07T00:00:00"/>
    <d v="2025-09-30T00:00:00"/>
    <s v="Д-66"/>
    <s v="Договор на обучение (тренинги, семинары и проч.)"/>
    <s v="Расходная часть"/>
    <s v="Стоимостной"/>
    <s v="иное"/>
    <s v=""/>
    <s v=""/>
    <s v="8 019 000.00"/>
    <s v="7 189 624.00"/>
    <s v="165 875.18"/>
    <s v="нет"/>
    <s v="нет"/>
    <s v=""/>
    <s v=""/>
    <s v=""/>
    <s v=""/>
    <s v="нет"/>
  </r>
  <r>
    <s v="Газпромнефть-ГЕО, ООО"/>
    <s v="0000045789"/>
    <s v="Зарегистрирован"/>
    <d v="2021-04-01T00:00:00"/>
    <s v=""/>
    <x v="16"/>
    <s v="7838395487"/>
    <s v="№ГЕО-20/11708/00047/Р//НТЦ-20/08000/00383/Д-ГЕО"/>
    <s v=""/>
    <s v="Заказ №НТЦ-20/29000/01264/Д-ГЕО"/>
    <s v="Нетиповой ДД"/>
    <x v="3"/>
    <s v=""/>
    <s v="00043-21"/>
    <s v=""/>
    <s v="Заказ №НТЦ-20/29000/01264/Д-ГЕО"/>
    <s v="Концепт обустройства ачимовских толщ Вынгаяхинского месторождения с применением технологии смешивающегося вытеснения"/>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1-04-01T00:00:00"/>
    <d v="2022-12-31T00:00:00"/>
    <s v="Д-2"/>
    <s v="НИОКР, НИР прочие"/>
    <s v="Расходная часть"/>
    <s v="Рамочный"/>
    <s v="20%"/>
    <s v=""/>
    <s v=""/>
    <s v="19 568 784.00"/>
    <s v="16 307 320.00"/>
    <s v="3 261 464.00"/>
    <s v="нет"/>
    <s v="нет"/>
    <s v=""/>
    <s v=""/>
    <s v=""/>
    <s v=""/>
    <s v="нет"/>
  </r>
  <r>
    <s v="Газпромнефть-ГЕО, ООО"/>
    <s v="0000037846"/>
    <s v="Зарегистрирован"/>
    <d v="2022-03-10T00:00:00"/>
    <s v=""/>
    <x v="26"/>
    <s v="8905032518"/>
    <s v="ГЕО-21/09000/00220/Р"/>
    <s v=""/>
    <s v="1"/>
    <s v="Нетиповой ДД"/>
    <x v="0"/>
    <s v=""/>
    <s v="00043-22"/>
    <s v=""/>
    <s v="Дополнительное соглашение "/>
    <s v="Изменение условий договора_x000d__x000a_"/>
    <s v="Савельева И.И."/>
    <s v="Савельева И.И."/>
    <s v="Договорный документ"/>
    <s v="Отдел административной поддержки бизнеса"/>
    <s v="Буракова О.В."/>
    <s v="На бумажном носителе"/>
    <s v="До исполнения обязательств"/>
    <d v="2022-01-01T00:00:00"/>
    <s v=""/>
    <s v="Д-46"/>
    <s v="Договор возмездного оказания услуг"/>
    <s v="Не предполагает взаиморасчетов"/>
    <s v=""/>
    <s v=""/>
    <s v=""/>
    <s v=""/>
    <s v=""/>
    <s v=""/>
    <s v=""/>
    <s v="нет"/>
    <s v="нет"/>
    <s v=""/>
    <s v=""/>
    <s v=""/>
    <s v=""/>
    <s v="нет"/>
  </r>
  <r>
    <s v="Газпромнефть-ГЕО, ООО"/>
    <s v="0000068695"/>
    <s v="Зарегистрирован"/>
    <d v="2023-02-06T00:00:00"/>
    <s v=""/>
    <x v="77"/>
    <s v="1106013435"/>
    <s v=""/>
    <s v="ГЕО-23/10000/00032/Р +ПР + ПУР"/>
    <s v="ГЕО-23/10000/00032/Р +ПР + ПУР"/>
    <s v="Типовой ДД"/>
    <x v="2"/>
    <s v="10319 Договор на оказание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
    <s v="00043-23"/>
    <s v=""/>
    <s v="10306 Договор на выполнение работ по цементированию обсадных колонн и хвостовиков, установке цементных мостов"/>
    <s v="Договор на выполнение работ по цементированию обсадных колонн и хвостовиков, установке цементных мостов"/>
    <s v="Мормышев А.А."/>
    <s v="Дунаев Э.В."/>
    <s v="Договорный документ"/>
    <s v="Блок бурения и ВСР"/>
    <s v="Трифонов А.В."/>
    <s v="На бумажном носителе"/>
    <s v="С ограничением по срокам "/>
    <d v="2023-02-06T00:00:00"/>
    <d v="2025-03-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311652098.45"/>
    <s v="823 474 576.98"/>
    <s v="686 228 814.15"/>
    <s v="137 245 762.83"/>
    <s v="да"/>
    <s v="нет"/>
    <s v=""/>
    <s v=""/>
    <s v=""/>
    <s v=""/>
    <s v="нет"/>
  </r>
  <r>
    <s v="Газпромнефть-ГЕО, ООО"/>
    <s v="0000105643"/>
    <s v="Зарегистрирован"/>
    <d v="2023-12-27T00:00:00"/>
    <s v=""/>
    <x v="25"/>
    <s v="7717693190"/>
    <s v="ГЕО-22/10120/00208/Р"/>
    <s v=""/>
    <s v="2"/>
    <s v="Нетиповой ДД"/>
    <x v="3"/>
    <s v=""/>
    <s v="00043-24"/>
    <s v=""/>
    <s v="Наряд-заказ на производство работ №2 к Договору №ГЕО-22/10120/00208/Р от «18» августа 2022г."/>
    <s v="Выдача нового объема на Северо-Ямбургский ЛУ"/>
    <s v="Яшкина К.Л."/>
    <s v="Николаев В.А."/>
    <s v="Договорный документ"/>
    <s v="Блок геологии и разработки"/>
    <s v="Волков Г.В."/>
    <s v="ЭП"/>
    <s v="С ограничением по срокам "/>
    <d v="2023-12-27T00:00:00"/>
    <d v="2024-02-20T00:00:00"/>
    <s v="Д-16"/>
    <s v="Гидродинамические исследования"/>
    <s v="Расходная часть"/>
    <s v="Рамочный"/>
    <s v="20%"/>
    <s v=""/>
    <s v=""/>
    <s v="15 207 883.20"/>
    <s v="12 673 236.00"/>
    <s v="2 534 647.20"/>
    <s v="нет"/>
    <s v="нет"/>
    <s v=""/>
    <s v=""/>
    <s v=""/>
    <s v=""/>
    <s v="нет"/>
  </r>
  <r>
    <s v="Газпромнефть-ГЕО, ООО"/>
    <s v="0000066314"/>
    <s v="Зарегистрирован"/>
    <d v="2022-01-26T00:00:00"/>
    <s v=""/>
    <x v="74"/>
    <s v="7202242358"/>
    <s v="АНГ-191151300010Р"/>
    <s v=""/>
    <s v="9"/>
    <s v="Нетиповой ДД"/>
    <x v="3"/>
    <s v=""/>
    <s v="00044-22"/>
    <s v=""/>
    <s v="НАРЯД-ЗАКАЗ № 9 к Договору № АНГ-191151300010Р от 18 февраля 2019"/>
    <s v="Оформление сервитута объекта &quot;Площадка базы строительной техники на ПК0 автозимника на Северо-Ямбургский ЛУ&quot;"/>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2-01-26T00:00:00"/>
    <d v="2022-12-31T00:00:00"/>
    <s v="Д-61"/>
    <s v="Договор подряда"/>
    <s v="Расходная часть"/>
    <s v="Рамочный"/>
    <s v="0%"/>
    <s v=""/>
    <s v=""/>
    <s v="124 047.77"/>
    <s v="124 047.77"/>
    <n v="0"/>
    <s v="нет"/>
    <s v="нет"/>
    <s v=""/>
    <s v=""/>
    <s v=""/>
    <s v=""/>
    <s v="нет"/>
  </r>
  <r>
    <s v="Газпромнефть-ГЕО, ООО"/>
    <s v="0000048775"/>
    <s v="Зарегистрирован"/>
    <d v="2024-01-29T00:00:00"/>
    <s v=""/>
    <x v="78"/>
    <s v="7728142525"/>
    <s v=""/>
    <s v="ГЕО-24/33200/00018"/>
    <s v="ГЕО-24/33200/00018"/>
    <s v="Типовой ДД"/>
    <x v="1"/>
    <s v="33200 Соглашение об электронном документообороте"/>
    <s v="00044-24"/>
    <s v=""/>
    <s v="33200 Соглашение об электронном документообороте"/>
    <s v="Соглашение об использовании электронного документооборота "/>
    <s v="Исаева И.С."/>
    <s v=""/>
    <s v="Договорный документ"/>
    <s v="Отдел административной поддержки бизнеса"/>
    <s v="Ковтун М.А."/>
    <s v="ЭП"/>
    <s v="Без сроков "/>
    <d v="2024-01-29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1627"/>
    <s v="Закрыт"/>
    <d v="2022-03-01T00:00:00"/>
    <s v=""/>
    <x v="79"/>
    <s v="7728606167"/>
    <s v=""/>
    <s v="ГЕО-22/09000/00050/Д"/>
    <s v="ГЕО-22/09000/00050/Д"/>
    <s v="Нетиповой ДД"/>
    <x v="2"/>
    <s v=""/>
    <s v="00045-22"/>
    <s v=""/>
    <s v="Рамочный договор"/>
    <s v="Оказание услуг согласно отдельным Заказ-Нарядам"/>
    <s v="Кошелева Ю.В."/>
    <s v="Кошелева Ю.В."/>
    <s v="Договорный документ"/>
    <s v="Управление экономического планирования и анализа"/>
    <s v="Ковтун М.А."/>
    <s v="На бумажном носителе"/>
    <s v="С ограничением по срокам "/>
    <d v="2022-01-17T00:00:00"/>
    <d v="2022-12-31T00:00:00"/>
    <s v="Д-62"/>
    <s v="Договор возмездного оказания услуг"/>
    <s v="Доходная часть"/>
    <s v="Рамочный"/>
    <s v="20%"/>
    <s v=""/>
    <s v=""/>
    <s v="12 000 000.00"/>
    <s v="10 000 000.00"/>
    <s v="2 000 000.00"/>
    <s v="нет"/>
    <s v="нет"/>
    <s v=""/>
    <s v=""/>
    <s v=""/>
    <s v=""/>
    <s v="нет"/>
  </r>
  <r>
    <s v="Газпромнефть-ГЕО, ООО"/>
    <s v="0000076851"/>
    <s v="Зарегистрирован"/>
    <d v="2024-01-25T00:00:00"/>
    <s v=""/>
    <x v="48"/>
    <s v="2466091092"/>
    <s v="ГЕО-22/11000/00274/Р"/>
    <s v=""/>
    <s v="7"/>
    <s v="Нетиповой ДД"/>
    <x v="3"/>
    <s v=""/>
    <s v="00045-24"/>
    <s v=""/>
    <s v="Наряд-заказ №7 к Договору № ГЕО-22/11000/00274/Р от 14.10.2022г."/>
    <s v="На проведение авторского надзора за строительством"/>
    <s v="Шолохова И.А."/>
    <s v="Салахутдинов Р.С."/>
    <s v="Договорный документ"/>
    <s v="Управление проектно-изыскательских работ"/>
    <s v="Трифонов А.В."/>
    <s v="ЭП"/>
    <s v="До исполнения обязательств"/>
    <d v="2024-01-25T00:00:00"/>
    <s v=""/>
    <s v="Д-82"/>
    <s v="Капитальное строительство и ПИР"/>
    <s v="Расходная часть"/>
    <s v="Рамочный"/>
    <s v="20%"/>
    <s v=""/>
    <s v=""/>
    <s v="3 948 630.58"/>
    <s v="3 290 525.48"/>
    <s v="658 105.10"/>
    <s v="нет"/>
    <s v="нет"/>
    <s v=""/>
    <s v=""/>
    <s v=""/>
    <s v=""/>
    <s v="нет"/>
  </r>
  <r>
    <s v="Газпромнефть-ГЕО, ООО"/>
    <s v="0000045789"/>
    <s v="Зарегистрирован"/>
    <d v="2021-04-07T00:00:00"/>
    <s v=""/>
    <x v="16"/>
    <s v="7838395487"/>
    <s v="НТЦ-18/29000/01335/Д-ГЕО/ГЕО-19/10124/00001 "/>
    <s v=""/>
    <s v="ЗАКАЗ №НТЦ-20/07000/01464/Д-ГЕО"/>
    <s v="Нетиповой ДД"/>
    <x v="3"/>
    <s v=""/>
    <s v="00046-21"/>
    <s v=""/>
    <s v="Создание концепций геологии и разработки для пилотной закачки газа в пласт"/>
    <s v="Сопровождение проекта по Вынгаяхинскому месторождению в части организации пилота MGI"/>
    <s v="Ябиров Р.З."/>
    <s v="Ябиров Р.З."/>
    <s v="Договорный документ"/>
    <s v="Газпромнефть-ГЕО, ООО"/>
    <s v="Масалкин Ю.В."/>
    <s v="На бумажном носителе"/>
    <s v="С ограничением по срокам "/>
    <d v="2021-04-01T00:00:00"/>
    <d v="2021-12-31T00:00:00"/>
    <s v=""/>
    <s v="НИОКР, НИР в области геологии и разработки месторождений"/>
    <s v="Расходная часть"/>
    <s v="Рамочный"/>
    <s v="20%"/>
    <s v=""/>
    <s v=""/>
    <s v="28 920 000.00"/>
    <s v="24 100 000.00"/>
    <s v="4 820 000.00"/>
    <s v="нет"/>
    <s v="нет"/>
    <s v=""/>
    <s v=""/>
    <s v=""/>
    <s v=""/>
    <s v="нет"/>
  </r>
  <r>
    <s v="Газпромнефть-ГЕО, ООО"/>
    <s v="0000027645"/>
    <s v="Закрыт"/>
    <d v="2022-02-07T00:00:00"/>
    <s v=""/>
    <x v="80"/>
    <s v="5501072608"/>
    <s v=""/>
    <s v="ГЕО-22/20000/00026/Д"/>
    <s v="ГЕО-22/20000/00026/Д"/>
    <s v="Нетиповой ДД"/>
    <x v="2"/>
    <s v=""/>
    <s v="00046-22"/>
    <s v=""/>
    <s v="Агентский договор на организацию вертолетных авиаперевозок с ООО &quot;Газпромнефть-Снабжение&quot;"/>
    <s v="Авиаперевозка персонала и грузов КА"/>
    <s v="Титова Е.В."/>
    <s v="Титова Е.В."/>
    <s v="Договорный документ"/>
    <s v="Блок снабжения и закупок"/>
    <s v="Титов А.В."/>
    <s v="На бумажном носителе"/>
    <s v="С ограничением по срокам "/>
    <d v="2022-01-01T00:00:00"/>
    <d v="2022-12-31T00:00:00"/>
    <s v="Д-56"/>
    <s v="Агентский договор"/>
    <s v="Доходная часть"/>
    <s v="Агентский"/>
    <s v="20%"/>
    <s v=""/>
    <s v=""/>
    <s v="3 128 319.85"/>
    <s v="2 606 933.21"/>
    <s v="521 386.64"/>
    <s v="нет"/>
    <s v="нет"/>
    <s v=""/>
    <s v=""/>
    <s v=""/>
    <s v=""/>
    <s v="нет"/>
  </r>
  <r>
    <s v="Газпромнефть-ГЕО, ООО"/>
    <s v="0000068974"/>
    <s v="Зарегистрирован"/>
    <d v="2023-01-26T00:00:00"/>
    <s v=""/>
    <x v="81"/>
    <s v="3808120671"/>
    <s v="ГЕО-22/09000/00287/Р"/>
    <s v=""/>
    <s v="2"/>
    <s v="Нетиповой ДД"/>
    <x v="0"/>
    <s v=""/>
    <s v="00046-23"/>
    <s v=""/>
    <s v="Дополнительное соглашение № 2 к Договору № ГЕО-22/09000/00287/Р от 03.11.2022 г. на оказание охранных услуг"/>
    <s v="Переход контрагента на УСН"/>
    <s v="Аршинина М.Н."/>
    <s v="Аршинина М.Н."/>
    <s v="Договорный документ"/>
    <s v="Блок корпоративной защиты"/>
    <s v="Созинов С.А."/>
    <s v="ЭП"/>
    <s v="С ограничением по срокам "/>
    <d v="2023-01-26T00:00:00"/>
    <d v="2025-02-28T00:00:00"/>
    <s v="Д-60"/>
    <s v="Договор возмездного оказания услуг"/>
    <s v="Не предполагает взаиморасчетов"/>
    <s v="Стоимостной"/>
    <s v=""/>
    <s v=""/>
    <s v=""/>
    <s v=""/>
    <s v=""/>
    <s v=""/>
    <s v="нет"/>
    <s v="нет"/>
    <s v=""/>
    <s v=""/>
    <s v=""/>
    <s v=""/>
    <s v="нет"/>
  </r>
  <r>
    <s v="Газпромнефть-ГЕО, ООО"/>
    <s v=""/>
    <s v="Зарегистрирован"/>
    <d v="2024-02-13T00:00:00"/>
    <s v=""/>
    <x v="82"/>
    <s v=""/>
    <s v=""/>
    <s v="ГЕО-24/09600/00027"/>
    <s v="ГЕО-24/09600/00027"/>
    <s v="Нетиповой ДД"/>
    <x v="2"/>
    <s v=""/>
    <s v="00046-24"/>
    <s v=""/>
    <s v="О практической подготовке при реализации (проведении) практики обучающихся РГПУ им. А.И. Герцена"/>
    <s v="Организация практической подготовки при реализации (проведении) практики обучающихся Университета"/>
    <s v="Буракова О.В."/>
    <s v="Буракова О.В."/>
    <s v="Договорный документ"/>
    <s v="Отдел административной поддержки бизнеса"/>
    <s v="Игнатова Ю.В."/>
    <s v="На бумажном носителе"/>
    <s v="Без сроков "/>
    <d v="2023-04-22T00:00:00"/>
    <s v=""/>
    <s v="Д-66"/>
    <s v="Договор на прохождение практики студентами"/>
    <s v="Не предполагает взаиморасчетов"/>
    <s v=""/>
    <s v=""/>
    <s v=""/>
    <s v=""/>
    <s v=""/>
    <s v=""/>
    <s v=""/>
    <s v="нет"/>
    <s v="нет"/>
    <s v=""/>
    <s v=""/>
    <s v=""/>
    <s v=""/>
    <s v="нет"/>
  </r>
  <r>
    <s v="Газпромнефть-ГЕО, ООО"/>
    <s v="0000037846"/>
    <s v="Зарегистрирован"/>
    <d v="2022-02-09T00:00:00"/>
    <s v=""/>
    <x v="26"/>
    <s v="8905032518"/>
    <s v=""/>
    <s v="ГЕО-22/09000/00023/Р"/>
    <s v="ГЕО-22/09000/00023/Р"/>
    <s v="Нетиповой ДД"/>
    <x v="2"/>
    <s v=""/>
    <s v="00047-22"/>
    <s v=""/>
    <s v="Оказание услуг по сбору и передаче данных, формированию отчетности, архивированию, визуализации и предоставлению каналов связи (Титан)"/>
    <s v="Сбор и передача данных, формирование отчетности, архивирование, визуализация, предоставление каналов связи"/>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5-20T00:00:00"/>
    <d v="2023-03-15T00:00:00"/>
    <s v="Д-58"/>
    <s v="Договор возмездного оказания услуг"/>
    <s v="Расходная часть"/>
    <s v="Стоимостной"/>
    <s v="20%"/>
    <s v=""/>
    <s v=""/>
    <s v="2 209 312.80"/>
    <s v="1 841 094.00"/>
    <s v="368 218.80"/>
    <s v="нет"/>
    <s v="нет"/>
    <s v=""/>
    <s v=""/>
    <s v=""/>
    <s v=""/>
    <s v="нет"/>
  </r>
  <r>
    <s v="Газпромнефть-ГЕО, ООО"/>
    <s v="0000048275"/>
    <s v="Зарегистрирован"/>
    <d v="2023-01-26T00:00:00"/>
    <s v=""/>
    <x v="83"/>
    <s v="7709267582"/>
    <s v="№ ГЕО-22/10951/00165/Р от 29.07.22 г."/>
    <s v=""/>
    <s v="1"/>
    <s v="Нетиповой ДД"/>
    <x v="4"/>
    <s v=""/>
    <s v="00047-23"/>
    <s v="1"/>
    <s v="Изменение №1 к Заданию №1 с АО &quot;ЦАСЭО&quot; к ДД № ГЕО-22/10951/00165/Р"/>
    <s v="Корректировка объемов, проставление фактической даты мобилизации. "/>
    <s v="Яшкина К.Л."/>
    <s v="Яшкина К.Л."/>
    <s v="Договорный документ"/>
    <s v="Блок производственной безопасности"/>
    <s v="Ядрышников П.Н."/>
    <s v="ЭП"/>
    <s v="С ограничением по срокам "/>
    <d v="2022-10-13T00:00:00"/>
    <d v="2023-04-03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9 079 144.20"/>
    <s v="7 565 953.50"/>
    <s v="1 513 190.70"/>
    <s v="нет"/>
    <s v="нет"/>
    <s v=""/>
    <s v=""/>
    <s v=""/>
    <s v=""/>
    <s v="нет"/>
  </r>
  <r>
    <s v="Газпромнефть-ГЕО, ООО"/>
    <s v="0000061428"/>
    <s v="Зарегистрирован"/>
    <d v="2024-01-20T00:00:00"/>
    <s v=""/>
    <x v="10"/>
    <s v="7705907626"/>
    <s v="ГЕО-24/10000/00003/Р"/>
    <s v=""/>
    <s v="1"/>
    <s v="Нетиповой ДД"/>
    <x v="3"/>
    <s v=""/>
    <s v="00047-24"/>
    <s v=""/>
    <s v="НАРЯД-ЗАКАЗ №1 к  Договору № ГЕО-24/10000/00003/Р  от «15» Января 2024 г. "/>
    <s v="Испытание скважины 3 Салаирская"/>
    <s v="Николаев Ю.М."/>
    <s v="Николаев Ю.М."/>
    <s v="Договорный документ"/>
    <s v="Производственно-технологический департамент"/>
    <s v="Трифонов А.В."/>
    <s v="ЭП"/>
    <s v="С ограничением по срокам "/>
    <d v="2024-01-20T00:00:00"/>
    <d v="2024-06-30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3 561 562.40"/>
    <s v="11 301 302.00"/>
    <s v="2 260 260.40"/>
    <s v="нет"/>
    <s v="нет"/>
    <s v=""/>
    <s v=""/>
    <s v=""/>
    <s v=""/>
    <s v="нет"/>
  </r>
  <r>
    <s v="Газпромнефть-ГЕО, ООО"/>
    <s v="0000073273"/>
    <s v="Зарегистрирован"/>
    <d v="2022-02-01T00:00:00"/>
    <s v=""/>
    <x v="21"/>
    <s v="5610218014"/>
    <s v=""/>
    <s v="ГЕО-22/20000/00022/Р"/>
    <s v="ГЕО-22/20000/00022/Р"/>
    <s v="Нетиповой ДД"/>
    <x v="2"/>
    <s v=""/>
    <s v="00048-22"/>
    <s v=""/>
    <s v="Агентский договор"/>
    <s v="Оказание услуг по освоению скважин методами свабирования и компрессирования при ТКРС"/>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2-01T00:00:00"/>
    <d v="2022-12-31T00:00:00"/>
    <s v="Д-58"/>
    <s v="Агентский договор"/>
    <s v="Расходная часть"/>
    <s v="Агентский"/>
    <s v="20%"/>
    <s v=""/>
    <s v=""/>
    <s v="1 678 081.09"/>
    <s v="1 398 400.91"/>
    <s v="279 680.18"/>
    <s v="нет"/>
    <s v="нет"/>
    <s v=""/>
    <s v=""/>
    <s v=""/>
    <s v=""/>
    <s v="нет"/>
  </r>
  <r>
    <s v="Газпромнефть-ГЕО, ООО"/>
    <s v="0000068974"/>
    <s v="Зарегистрирован"/>
    <d v="2023-01-26T00:00:00"/>
    <s v=""/>
    <x v="81"/>
    <s v="3808120671"/>
    <s v="ГЕО-21/09000/00250/Р"/>
    <s v=""/>
    <s v="5"/>
    <s v="Нетиповой ДД"/>
    <x v="0"/>
    <s v=""/>
    <s v="00048-23"/>
    <s v=""/>
    <s v="Дополнительное соглашение № 5 к Договору № ГЕО-21/09000/00250/Р от 08.11.2021 г. на оказание охранных услуг"/>
    <s v="Переход контрагента на УСН"/>
    <s v="Аршинина М.Н."/>
    <s v="Аршинина М.Н."/>
    <s v="Договорный документ"/>
    <s v="Блок корпоративной защиты"/>
    <s v="Созинов С.А."/>
    <s v="ЭП"/>
    <s v="С ограничением по срокам "/>
    <d v="2023-01-26T00:00:00"/>
    <d v="2024-02-29T00:00:00"/>
    <s v="Д-60"/>
    <s v="Договор возмездного оказания услуг"/>
    <s v="Не предполагает взаиморасчетов"/>
    <s v="Рамочный"/>
    <s v=""/>
    <s v=""/>
    <s v=""/>
    <s v=""/>
    <s v=""/>
    <s v=""/>
    <s v="нет"/>
    <s v="нет"/>
    <s v=""/>
    <s v=""/>
    <s v=""/>
    <s v=""/>
    <s v="нет"/>
  </r>
  <r>
    <s v="Газпромнефть-ГЕО, ООО"/>
    <s v="0000065849"/>
    <s v="Зарегистрирован"/>
    <d v="2024-02-08T00:00:00"/>
    <s v=""/>
    <x v="73"/>
    <s v="7816556691"/>
    <s v=""/>
    <s v="ГЕО-24/09100/00024/Р"/>
    <s v="ГЕО-24/09100/00024/Р"/>
    <s v="Типовой ДД"/>
    <x v="2"/>
    <s v="09100 Договор по организации участия в обучающих, развивающих, командообразующих, представительских и спортивно-оздоровительных Российских мероприятиях и за ее пределами, в случае необходимости сотрудничества с иностранными контрагентами для сотрудников ООО «ГПН-ГЕО», информационное сопровождение мероприятий"/>
    <s v="00048-24"/>
    <s v=""/>
    <s v="09100 Договор по организации участия в обучающих, развивающих, командообразующих, представительских и спортивно-оздоровительных Российских мероприятиях и за ее пределами, в случае необходимости сотрудничества с иностранными контрагентами для сотрудников ООО «ГПН-ГЕО», информационное сопровождение мероприятий"/>
    <s v="в целях организации участия сотрудников ГПН-ГЕО в обучающих, развивающих, командообразующих, представительских и спортивно-оздоровительных мероприятиях.  "/>
    <s v="Коваленко М.В."/>
    <s v="Сасса А.В."/>
    <s v="Договорный документ"/>
    <s v="Управление по работе с персоналом"/>
    <s v="Игнатова Ю.В."/>
    <s v="ЭП"/>
    <s v="С ограничением по срокам "/>
    <d v="2024-02-08T00:00:00"/>
    <d v="2026-12-31T00:00:00"/>
    <s v="Д-66"/>
    <s v="Договор на обучение (тренинги, семинары и проч.)"/>
    <s v="Расходная часть"/>
    <s v="Стоимостной"/>
    <s v="20%"/>
    <s v=""/>
    <s v=""/>
    <s v="356 584 320.00"/>
    <s v="297 153 600.00"/>
    <s v="59 430 720.00"/>
    <s v="нет"/>
    <s v="нет"/>
    <s v=""/>
    <s v=""/>
    <s v=""/>
    <s v=""/>
    <s v="нет"/>
  </r>
  <r>
    <s v="Газпромнефть-ГЕО, ООО"/>
    <s v="0000068974"/>
    <s v="Зарегистрирован"/>
    <d v="2023-01-26T00:00:00"/>
    <s v=""/>
    <x v="81"/>
    <s v="3808120671"/>
    <s v="ГЕО-22/09000/00219/Р"/>
    <s v=""/>
    <s v="1"/>
    <s v="Нетиповой ДД"/>
    <x v="0"/>
    <s v=""/>
    <s v="00049-23"/>
    <s v=""/>
    <s v="Дополнительное соглашение № 1 к Договору № ГЕО-22/09000/00219/Р от 13.09.2022 г. возмездного оказания услуг по охране объектов"/>
    <s v="Переход контрагента на УСН"/>
    <s v="Аршинина М.Н."/>
    <s v="Аршинина М.Н."/>
    <s v="Договорный документ"/>
    <s v="Блок корпоративной защиты"/>
    <s v="Созинов С.А."/>
    <s v="ЭП"/>
    <s v="С ограничением по срокам "/>
    <d v="2023-01-26T00:00:00"/>
    <d v="2023-09-30T00:00:00"/>
    <s v="Д-60"/>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65849"/>
    <s v="Зарегистрирован"/>
    <d v="2024-02-08T00:00:00"/>
    <s v=""/>
    <x v="73"/>
    <s v="7816556691"/>
    <s v=""/>
    <s v="ГЕО-24/09100/00025/Р"/>
    <s v="ГЕО-24/09100/00025/Р"/>
    <s v="Типовой ДД"/>
    <x v="2"/>
    <s v="09100 Договор по организации участия в обучающих, развивающих, командообразующих, представительских и спортивно-оздоровительных Российских мероприятиях и за ее пределами, в случае необходимости сотрудничества с иностранными контрагентами для сотрудников ООО «ГПН-ГЕО», информационное сопровождение мероприятий"/>
    <s v="00049-24"/>
    <s v=""/>
    <s v="09100 Договор по организации участия в обучающих, развивающих, командообразующих, представительских и спортивно-оздоровительных Российских мероприятиях и за ее пределами, в случае необходимости сотрудничества с иностранными контрагентами для сотрудников ООО «ГПН-ГЕО», информационное сопровождение мероприятий"/>
    <s v="в целях организации корпоративных форумов и конференций, спонсорской деятельности, корпоративных и благотворительных мероприятий для сотрудников ООО «ГПН-ГЕО», созданию и проведению рекламно-информационных проектов, информационное сопровождение мероприятий "/>
    <s v="Коваленко М.В."/>
    <s v="Нюняйкина О.В."/>
    <s v="Договорный документ"/>
    <s v="Отдел по корпоративным коммуникациям"/>
    <s v="Ковтун М.А."/>
    <s v="ЭП"/>
    <s v="С ограничением по срокам "/>
    <d v="2024-02-08T00:00:00"/>
    <d v="2025-12-31T00:00:00"/>
    <s v="Д-62"/>
    <s v="Договор на обучение (тренинги, семинары и проч.)"/>
    <s v="Расходная часть"/>
    <s v="Стоимостной"/>
    <s v="20%"/>
    <s v=""/>
    <s v=""/>
    <s v="205 241 290.90"/>
    <s v="171 034 409.08"/>
    <s v="34 206 881.82"/>
    <s v="нет"/>
    <s v="нет"/>
    <s v=""/>
    <s v=""/>
    <s v=""/>
    <s v=""/>
    <s v="нет"/>
  </r>
  <r>
    <s v="Газпромнефть-ГЕО, ООО"/>
    <s v="0000062875"/>
    <s v="Зарегистрирован"/>
    <d v="2022-02-15T00:00:00"/>
    <s v=""/>
    <x v="84"/>
    <s v="7734255830"/>
    <s v=""/>
    <s v="ГЕО-22/09000/00025/Р"/>
    <s v="ГЕО-22/09000/00025/Р"/>
    <s v="Нетиповой ДД"/>
    <x v="2"/>
    <s v=""/>
    <s v="00050-22"/>
    <s v=""/>
    <s v="Договор на оказание услуг подвижной спутниковой связи"/>
    <s v="Оперативное обеспечение средствами связи сотрудников ООО «Газпромнефть-ГЕО», находящихся на вахте или выезжающих на удаленные месторождения."/>
    <s v="Сорокин И.М."/>
    <s v="Сорокин И.М."/>
    <s v="Договорный документ"/>
    <s v="Блок геологии и разработки"/>
    <s v="Аксенов М.А."/>
    <s v="На бумажном носителе"/>
    <s v="С ограничением по срокам "/>
    <d v="2022-02-15T00:00:00"/>
    <d v="2023-12-31T00:00:00"/>
    <s v="Д-54"/>
    <s v="Договор возмездного оказания услуг"/>
    <s v="Расходная часть"/>
    <s v="Тарифный"/>
    <s v="20%"/>
    <s v=""/>
    <s v=""/>
    <s v="492 600.00"/>
    <s v="410 500.00"/>
    <s v="82 100.00"/>
    <s v="нет"/>
    <s v="нет"/>
    <s v=""/>
    <s v=""/>
    <s v=""/>
    <s v=""/>
    <s v="нет"/>
  </r>
  <r>
    <s v="Газпромнефть-ГЕО, ООО"/>
    <s v="0000060954"/>
    <s v="Зарегистрирован"/>
    <d v="2023-01-27T00:00:00"/>
    <s v=""/>
    <x v="75"/>
    <s v="5603007580"/>
    <s v="ГЕО-22/10000/00036/Р"/>
    <s v=""/>
    <s v="5"/>
    <s v="Нетиповой ДД"/>
    <x v="0"/>
    <s v=""/>
    <s v="00050-23"/>
    <s v=""/>
    <s v="Дополнительное соглашение №5 к Договору № ГЕО-22/10000/00036/Р от 14.02.2022г. на выполнение работ по обработке призабойной зоны пласта"/>
    <s v="Внедрение актуализированной методологии ОЭДК  В соответствии с протоколом экспертного совета по управлению взаимоотношениями с контрагентами БРД ПАО «Газпром нефть» № 67 от 27 июня 2022 г. №ПТ-100.0364/000068/02 вопрос №2 "/>
    <s v="Рымаренко А.А."/>
    <s v="Рымаренко А.А."/>
    <s v="Договорный документ"/>
    <s v="Управление внутрискважинных работ"/>
    <s v="Трифонов А.В."/>
    <s v="ЭП"/>
    <s v="До исполнения обязательств"/>
    <d v="2023-02-0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7067"/>
    <s v="Зарегистрирован"/>
    <d v="2024-02-12T00:00:00"/>
    <s v=""/>
    <x v="85"/>
    <s v="7816483740"/>
    <s v="ГЕО-19/09000/00303/Р"/>
    <s v=""/>
    <s v="5"/>
    <s v="Нетиповой ДД"/>
    <x v="8"/>
    <s v=""/>
    <s v="00050-24"/>
    <s v=""/>
    <s v="Наряд-задание № 5 к договору ГЕО-19/09000/00303/Р от 15.11.2019"/>
    <s v="Организация и содержание медицинского здравпункта в Уральском Федеральном Округе на Северо-Ямбургском лицензионном участке (скв. 1 ПО)"/>
    <s v="Покатов О.Н."/>
    <s v=""/>
    <s v="Договорный документ"/>
    <s v="Управление производственной безопасности"/>
    <s v="Михайлов Ю.А."/>
    <s v="ЭП"/>
    <s v="До исполнения обязательств"/>
    <d v="2024-03-01T00:00:00"/>
    <s v=""/>
    <s v="Д-2"/>
    <s v="Договор возмездного оказания услуг"/>
    <s v="Расходная часть"/>
    <s v="Стоимостной"/>
    <s v="20%"/>
    <s v=""/>
    <s v=""/>
    <s v="1 745 589.05"/>
    <s v="1 454 657.54"/>
    <s v="290 931.51"/>
    <s v="нет"/>
    <s v="нет"/>
    <s v=""/>
    <s v=""/>
    <s v=""/>
    <s v=""/>
    <s v="нет"/>
  </r>
  <r>
    <s v="Газпромнефть-ГЕО, ООО"/>
    <s v="0000008602"/>
    <s v="Зарегистрирован"/>
    <d v="2022-01-01T00:00:00"/>
    <s v=""/>
    <x v="32"/>
    <s v="5504036333"/>
    <s v="ГПН-18/09000/02142/Р от 07.09.2018г."/>
    <s v=""/>
    <s v="14"/>
    <s v="Нетиповой ДД"/>
    <x v="0"/>
    <s v=""/>
    <s v="00051-22"/>
    <s v=""/>
    <s v="Оказание операторских услуг"/>
    <s v="Программа Ю.Ямал на 22 год"/>
    <s v="Кошелева Ю.В."/>
    <s v="Кошелева Ю.В."/>
    <s v="Договорный документ"/>
    <s v="Управление экономического планирования и анализа"/>
    <s v="Николаев М.Н."/>
    <s v="На бумажном носителе"/>
    <s v="С ограничением по срокам "/>
    <d v="2022-01-01T00:00:00"/>
    <d v="2022-12-31T00:00:00"/>
    <s v="Д-57"/>
    <s v="Договор возмездного оказания услуг"/>
    <s v="Доходная часть"/>
    <s v="Стоимостной"/>
    <s v="20%"/>
    <s v=""/>
    <s v=""/>
    <s v="194 280 994.10"/>
    <s v="161 900 828.42"/>
    <s v="32 380 165.68"/>
    <s v="нет"/>
    <s v="нет"/>
    <s v=""/>
    <s v=""/>
    <s v=""/>
    <s v=""/>
    <s v="нет"/>
  </r>
  <r>
    <s v="Газпромнефть-ГЕО, ООО"/>
    <s v="0000062894"/>
    <s v="Зарегистрирован"/>
    <d v="2023-01-10T00:00:00"/>
    <s v=""/>
    <x v="47"/>
    <s v="7017253595"/>
    <s v=""/>
    <s v="ГЕО-23/33100/00026"/>
    <s v="ГЕО-23/33100/00026"/>
    <s v="Типовой ДД"/>
    <x v="1"/>
    <s v="33100 Соглашение в области производственной безопасности"/>
    <s v="00051-23"/>
    <s v=""/>
    <s v="33100 Соглашение в области производственной безопасности"/>
    <s v="Для выполнения работ подрядной организацией ООО «ИЦ ГазИнформПласт»_x000d__x000a_ДЛЯ ИНФО - СОГЛАШЕНИЕ ПО ПБ ЗАКЛЮЧАЕТСЯ В РЕДАКЦИИ, ОПУБЛИКОВАННОЙ НА КОНКУРЕНТНОМ ОТБОРЕ. В ДАЛЬНЕЙШЕМ ПРИ НЕОБХОДИМОСТИ И В СЛУЧАЕ СОГЛАСИЯ КОНТРАГЕНТА СОГЛАШЕНИЕ ПО ПБ БУДЕТ АКТУАЛИЗИРОВАНО."/>
    <s v="Ушакова М.А."/>
    <s v=""/>
    <s v="Договорный документ"/>
    <s v="Блок геологии и разработки"/>
    <s v="Михайлов Ю.А."/>
    <s v="ЭП"/>
    <s v="С ограничением по срокам "/>
    <d v="2023-01-10T00:00:00"/>
    <d v="2025-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4590"/>
    <s v="Зарегистрирован"/>
    <d v="2024-02-10T00:00:00"/>
    <s v=""/>
    <x v="61"/>
    <s v="7708277130"/>
    <s v="ГЕО-23/09000/00149/Р"/>
    <s v=""/>
    <s v="13"/>
    <s v="Нетиповой ДД"/>
    <x v="7"/>
    <s v=""/>
    <s v="00051-24"/>
    <s v=""/>
    <s v="Заявка № 13 к договору о предоставлении труда работников (персонала) № ГЕО-23/09000/00149/Р от 28.08.2023 г."/>
    <s v="Привлечение персонала по направлению «Производственная безопасность», супервайзер по производственной безопасности на проект «Титан», скв. № 1 ПО Северо-Ямбургского ЛУ, в рамках и на условиях действующего договора № ГЕО-23/09000/00149/Р от «28» августа 2023 г."/>
    <s v="Фокин Е.В."/>
    <s v="Фокин Е.В."/>
    <s v="Договорный документ"/>
    <s v="Управление производственной безопасности"/>
    <s v="Михайлов Ю.А."/>
    <s v="ЭП"/>
    <s v="С ограничением по срокам "/>
    <d v="2024-02-10T00:00:00"/>
    <d v="2024-04-30T00:00:00"/>
    <s v="Д-2"/>
    <s v="Договор возмездного оказания услуг"/>
    <s v="Расходная часть"/>
    <s v="Рамочный"/>
    <s v="20%"/>
    <s v=""/>
    <s v=""/>
    <s v="2 387 485.49"/>
    <s v="1 989 571.24"/>
    <s v="397 914.25"/>
    <s v="нет"/>
    <s v="нет"/>
    <s v=""/>
    <s v=""/>
    <s v=""/>
    <s v=""/>
    <s v="нет"/>
  </r>
  <r>
    <s v="Газпромнефть-ГЕО, ООО"/>
    <s v=""/>
    <s v="Зарегистрирован"/>
    <d v="2024-03-12T00:00:00"/>
    <s v=""/>
    <x v="86"/>
    <s v=""/>
    <s v=""/>
    <s v="ГЕО-24/09600/00046"/>
    <s v="ГЕО-24/09600/00046"/>
    <s v="Нетиповой ДД"/>
    <x v="2"/>
    <s v=""/>
    <s v="00052-24"/>
    <s v=""/>
    <s v="Договор о практической подготовке обучающихся"/>
    <s v="Предметом настоящего Договора является организация практической подготовки обучающихся."/>
    <s v="Шишова О.П."/>
    <s v="Шишова О.П."/>
    <s v="Договорный документ"/>
    <s v="Кластер &quot;Традиционные запасы&quot;"/>
    <s v="Игнатова Ю.В."/>
    <s v="На бумажном носителе"/>
    <s v="С ограничением по срокам "/>
    <d v="2024-04-04T00:00:00"/>
    <d v="2024-05-17T00:00:00"/>
    <s v="Д-66"/>
    <s v="Договор на прохождение практики студентами"/>
    <s v="Не предполагает взаиморасчетов"/>
    <s v=""/>
    <s v=""/>
    <s v=""/>
    <s v=""/>
    <s v=""/>
    <s v=""/>
    <s v=""/>
    <s v="нет"/>
    <s v="нет"/>
    <s v=""/>
    <s v=""/>
    <s v=""/>
    <s v=""/>
    <s v="нет"/>
  </r>
  <r>
    <s v="Газпромнефть-ГЕО, ООО"/>
    <s v="0000093917"/>
    <s v="Зарегистрирован"/>
    <d v="2022-01-30T00:00:00"/>
    <s v=""/>
    <x v="9"/>
    <s v="5609193118"/>
    <s v="№ГЕО-20/10986/00128/Р"/>
    <s v=""/>
    <s v="6"/>
    <s v="Нетиповой ДД"/>
    <x v="3"/>
    <s v=""/>
    <s v="00053-22"/>
    <s v=""/>
    <s v="Нраяд заказ на оказние услуг №6"/>
    <s v="на 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s v="Хабибуллин Т.Ф."/>
    <s v="Хабибуллин Т.Ф."/>
    <s v="Договорный документ"/>
    <s v="Отдел по промышленной и пожарной безопасности"/>
    <s v="Масалкин Ю.В."/>
    <s v="На бумажном носителе"/>
    <s v="С ограничением по срокам "/>
    <d v="2022-01-30T00:00:00"/>
    <d v="2022-02-28T00:00:00"/>
    <s v=""/>
    <s v="Договор купли-продажи сопутствующих товаров и услгуг"/>
    <s v="Расходная часть"/>
    <s v="Стоимостной"/>
    <s v="20%"/>
    <s v=""/>
    <s v=""/>
    <s v="3 697 363.08"/>
    <s v="3 081 135.90"/>
    <s v="616 227.18"/>
    <s v="нет"/>
    <s v="нет"/>
    <s v=""/>
    <s v=""/>
    <s v=""/>
    <s v=""/>
    <s v="нет"/>
  </r>
  <r>
    <s v="Газпромнефть-ГЕО, ООО"/>
    <s v="0000068695"/>
    <s v="Зарегистрирован"/>
    <d v="2023-02-10T00:00:00"/>
    <s v=""/>
    <x v="77"/>
    <s v="1106013435"/>
    <s v=""/>
    <s v="ГЕО-23/10000/00035/Р +ПР + ПУР"/>
    <s v="ГЕО-23/10000/00035/Р +ПР + ПУР"/>
    <s v="Типовой ДД"/>
    <x v="2"/>
    <s v="10303 Договор подряда по приготовлению и инженерному сопровождению буровых растворов"/>
    <s v="00053-23"/>
    <s v=""/>
    <s v="10303 Договор подряда по приготовлению и инженерному сопровождению буровых растворов"/>
    <s v="Договор подряда по приготовлению и инженерному сопровождению буровых"/>
    <s v="Мормышев А.А."/>
    <s v="Дунаев Э.В."/>
    <s v="Договорный документ"/>
    <s v="Блок бурения и ВСР"/>
    <s v="Трифонов А.В."/>
    <s v="На бумажном носителе"/>
    <s v="С ограничением по срокам "/>
    <d v="2023-02-10T00:00:00"/>
    <d v="2025-03-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95623521.23"/>
    <s v="322 485 828.90"/>
    <s v="268 738 190.75"/>
    <s v="53 747 638.15"/>
    <s v="да"/>
    <s v="нет"/>
    <s v=""/>
    <s v=""/>
    <s v=""/>
    <s v=""/>
    <s v="нет"/>
  </r>
  <r>
    <s v="Газпромнефть-ГЕО, ООО"/>
    <s v=""/>
    <s v="Проект"/>
    <s v=""/>
    <s v=""/>
    <x v="87"/>
    <s v=""/>
    <s v=""/>
    <s v=""/>
    <s v=""/>
    <s v="Нетиповой ДД"/>
    <x v="2"/>
    <s v=""/>
    <s v="00053-24"/>
    <s v=""/>
    <s v="тест"/>
    <s v="тест"/>
    <s v="Герасимова О.А."/>
    <s v=""/>
    <s v="Договорный документ"/>
    <s v="Отдел административной поддержки бизнеса"/>
    <s v="Масалкин Ю.В."/>
    <s v=""/>
    <s v="До исполнения обязательств"/>
    <d v="2024-02-05T00:00:00"/>
    <s v=""/>
    <s v=""/>
    <s v="Договор возмездного оказания услуг"/>
    <s v="Расходная часть"/>
    <s v=""/>
    <s v=""/>
    <s v=""/>
    <s v=""/>
    <s v=""/>
    <s v=""/>
    <s v=""/>
    <s v="нет"/>
    <s v="нет"/>
    <s v=""/>
    <s v=""/>
    <s v=""/>
    <s v=""/>
    <s v="нет"/>
  </r>
  <r>
    <s v="Газпромнефть-ГЕО, ООО"/>
    <s v="0000027645"/>
    <s v="Зарегистрирован"/>
    <d v="2021-12-30T00:00:00"/>
    <s v=""/>
    <x v="80"/>
    <s v="5501072608"/>
    <s v="ГЕО-21/01200/00189/Р"/>
    <s v=""/>
    <s v="1"/>
    <s v="Нетиповой ДД"/>
    <x v="0"/>
    <s v=""/>
    <s v="00054-22"/>
    <s v=""/>
    <s v="Дополнительное соглашение №1"/>
    <s v="Пролангация финансовых обязательств к ранее заключенному договору поставки ГЕО-21/01200/00189/Р. Без изменения стоимости договора._x000d__x000a_"/>
    <s v="Лесняк Н.А."/>
    <s v="Лесняк Н.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1-12-30T00:00:00"/>
    <d v="2022-12-31T00:00:00"/>
    <s v="Д-56"/>
    <s v="Договор поставки/купли продажи движимого имущества"/>
    <s v="Не предполагает взаиморасчетов"/>
    <s v="Стоимостной"/>
    <s v=""/>
    <s v=""/>
    <s v=""/>
    <s v=""/>
    <s v=""/>
    <s v=""/>
    <s v="нет"/>
    <s v="нет"/>
    <s v=""/>
    <s v=""/>
    <s v=""/>
    <s v=""/>
    <s v="нет"/>
  </r>
  <r>
    <s v="Газпромнефть-ГЕО, ООО"/>
    <s v="0000040255"/>
    <s v="Зарегистрирован"/>
    <d v="2023-02-06T00:00:00"/>
    <s v=""/>
    <x v="88"/>
    <s v="7729407742"/>
    <s v=""/>
    <s v="ГЕО-23/33100/00031"/>
    <s v="ГЕО-23/33100/00031"/>
    <s v="Нетиповой ДД"/>
    <x v="1"/>
    <s v=""/>
    <s v="00054-23"/>
    <s v=""/>
    <s v="Соглашение в области ПБ"/>
    <s v="Соглашение в области ПБ"/>
    <s v="Копылов Е.О."/>
    <s v=""/>
    <s v="Договорный документ"/>
    <s v="Отдел экологической безопасности"/>
    <s v="Михайлов Ю.А."/>
    <s v="ЭП"/>
    <s v="С ограничением по срокам "/>
    <d v="2023-02-06T00:00:00"/>
    <d v="2027-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7796"/>
    <s v="Зарегистрирован"/>
    <d v="2024-02-15T00:00:00"/>
    <s v=""/>
    <x v="89"/>
    <s v="692700520683"/>
    <s v=""/>
    <s v="ГЕО-24/25000/00026/Р"/>
    <s v="ГЕО-24/25000/00026/Р"/>
    <s v="Типовой ДД"/>
    <x v="2"/>
    <s v="25000 Договор об оказании услуг физическим лицом (без выезда на Лицензионные участки Заказчика)"/>
    <s v="00054-24"/>
    <s v=""/>
    <s v="25000 Договор об оказании услуг физическим лицом (без выезда на Лицензионные участки Заказчика)"/>
    <s v="Разработка и внедрение единого формата графического дизайна презентационных материалов для реализации целевой организационной модели управления проектами развития ресурсной базы"/>
    <s v="Войтенко М.А."/>
    <s v=""/>
    <s v="Договорный документ"/>
    <s v="Управление планирования и контроля реализации проектов"/>
    <s v="Масалкин Ю.В."/>
    <s v="На бумажном носителе"/>
    <s v="С ограничением по срокам "/>
    <d v="2024-02-15T00:00:00"/>
    <d v="2024-12-28T00:00:00"/>
    <s v=""/>
    <s v="Договор оказания услуг с физическим лицом"/>
    <s v="Расходная часть"/>
    <s v="Стоимостной"/>
    <s v="13%"/>
    <s v=""/>
    <s v=""/>
    <s v="660 000.00"/>
    <s v="574 200.00"/>
    <s v="85 800.00"/>
    <s v="нет"/>
    <s v="нет"/>
    <s v=""/>
    <s v=""/>
    <s v=""/>
    <s v=""/>
    <s v="нет"/>
  </r>
  <r>
    <s v="Газпромнефть-ГЕО, ООО"/>
    <s v="0000039295"/>
    <s v="Зарегистрирован"/>
    <d v="2021-03-29T00:00:00"/>
    <s v=""/>
    <x v="90"/>
    <s v="8618006063"/>
    <s v="ГЕО-19/09000/00321/Д"/>
    <s v=""/>
    <s v="ДС №1 к ГЕО-19/09000/00321/Д/ХНТ-19/10185/1294/Р/60"/>
    <s v="Нетиповой ДД"/>
    <x v="0"/>
    <s v=""/>
    <s v="00055-21"/>
    <s v=""/>
    <s v="Дополнительное соглашение №1 к Договору на оказание услуг по теме: &quot;Геологическое изучение перспектив нефтегазоносности Западного кластера Ачимовской толщи&quot;"/>
    <s v="Изменение работ по  программе проектов  «Ачимовка-Хантос»"/>
    <s v="Андреева И.В."/>
    <s v=""/>
    <s v="Договорный документ"/>
    <s v="Управление экономического планирования и анализа"/>
    <s v="Волков Г.В."/>
    <s v="На бумажном носителе"/>
    <s v="С ограничением по срокам "/>
    <d v="2021-03-29T00:00:00"/>
    <d v="2021-12-31T00:00:00"/>
    <s v=""/>
    <s v="Договор возмездного оказания услуг"/>
    <s v="Доходная часть"/>
    <s v="Стоимостной"/>
    <s v="20%"/>
    <s v=""/>
    <s v=""/>
    <s v="248 157 795.98"/>
    <s v="206 798 163.32"/>
    <s v="41 359 632.66"/>
    <s v="нет"/>
    <s v="нет"/>
    <s v=""/>
    <s v=""/>
    <s v=""/>
    <s v=""/>
    <s v="нет"/>
  </r>
  <r>
    <s v="Газпромнефть-ГЕО, ООО"/>
    <s v=""/>
    <s v="Закрыт"/>
    <d v="2022-02-01T00:00:00"/>
    <s v=""/>
    <x v="91"/>
    <s v=""/>
    <s v=""/>
    <s v="ГЕО-22/20000/00027/Д"/>
    <s v="ГЕО-22/20000/00027/Д"/>
    <s v="Нетиповой ДД"/>
    <x v="2"/>
    <s v=""/>
    <s v="00055-22"/>
    <s v=""/>
    <s v="Агентский договор на организацию вертолетных авиаперевозок с ООО &quot;Дан Групп&quot;"/>
    <s v="Авиаперевозка персонала и груза КА"/>
    <s v="Титова Е.В."/>
    <s v="Титова Е.В."/>
    <s v="Договорный документ"/>
    <s v="Блок снабжения и закупок"/>
    <s v="Титов А.В."/>
    <s v="На бумажном носителе"/>
    <s v="С ограничением по срокам "/>
    <d v="2022-02-01T00:00:00"/>
    <d v="2022-07-01T00:00:00"/>
    <s v="Д-56"/>
    <s v="Агентский договор"/>
    <s v="Доходная часть"/>
    <s v="Агентский"/>
    <s v="20%"/>
    <s v=""/>
    <s v=""/>
    <s v="711 228.77"/>
    <s v="592 690.64"/>
    <s v="118 538.13"/>
    <s v="нет"/>
    <s v="нет"/>
    <s v=""/>
    <s v=""/>
    <s v=""/>
    <s v=""/>
    <s v="нет"/>
  </r>
  <r>
    <s v="Газпромнефть-ГЕО, ООО"/>
    <s v="0000037860"/>
    <s v="Зарегистрирован"/>
    <d v="2023-01-30T00:00:00"/>
    <s v=""/>
    <x v="20"/>
    <s v="7714024384"/>
    <s v="ГЕО-21/10318/00258/Р"/>
    <s v=""/>
    <s v="4"/>
    <s v="Нетиповой ДД"/>
    <x v="0"/>
    <s v=""/>
    <s v="00055-23"/>
    <s v=""/>
    <s v="Дополнительное соглашение №4"/>
    <s v="актуализация оценочного листа"/>
    <s v="Коваленко М.В."/>
    <s v="Кольцов К.В."/>
    <s v="Договорный документ"/>
    <s v="Блок бурения и ВСР"/>
    <s v="Трифонов А.В."/>
    <s v="На бумажном носителе"/>
    <s v="До исполнения обязательств"/>
    <d v="2023-01-30T00:00:00"/>
    <s v=""/>
    <s v="Д-33"/>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068442"/>
    <s v="Зарегистрирован"/>
    <d v="2024-02-13T00:00:00"/>
    <s v=""/>
    <x v="92"/>
    <s v="5611027573"/>
    <s v="ГЕО-21/09000/00198/Р "/>
    <s v=""/>
    <s v="8"/>
    <s v="Нетиповой ДД"/>
    <x v="0"/>
    <s v=""/>
    <s v="00055-24"/>
    <s v=""/>
    <s v="ДОПОЛНИТЕЛЬНОЕ СОГЛАШЕНИЕ № 8 К ДОГОВОРУ № ГЕО-21/09000/00198/Р от 06.09.2021 г.  возмездного оказания услуг по охране объектов"/>
    <s v="Продление срока действия Договора и сроков оказания услуг до 15.05.2024 г._x000a_Перераспределение объёмов услуг между статьями затрат и между годами, с уменьшением общей стоимости договора._x000a_"/>
    <s v="Страдымов А.Г."/>
    <s v="Страдымов А.Г."/>
    <s v="Договорный документ"/>
    <s v="Отдел экономической безопасности"/>
    <s v="Созинов С.А."/>
    <s v="ЭП"/>
    <s v="С ограничением по срокам "/>
    <d v="2024-03-01T00:00:00"/>
    <d v="2024-05-15T00:00:00"/>
    <s v="Д-60"/>
    <s v="Договор возмездного оказания услуг"/>
    <s v="Расходная часть"/>
    <s v="Рамочный"/>
    <s v="без НДС"/>
    <s v=""/>
    <s v=""/>
    <s v="39 397 172.26"/>
    <s v="39 397 172.26"/>
    <n v="0"/>
    <s v="нет"/>
    <s v="нет"/>
    <s v=""/>
    <s v=""/>
    <s v=""/>
    <s v=""/>
    <s v="нет"/>
  </r>
  <r>
    <s v="Газпромнефть-ГЕО, ООО"/>
    <s v="0000045789"/>
    <s v="Зарегистрирован"/>
    <d v="2021-05-17T00:00:00"/>
    <s v=""/>
    <x v="16"/>
    <s v="7838395487"/>
    <s v=""/>
    <s v="ГЕО-21/00000/00123/Д"/>
    <s v="ГЕО-21/00000/00123/Д"/>
    <s v="Нетиповой ДД"/>
    <x v="2"/>
    <s v=""/>
    <s v="00056-21"/>
    <s v=""/>
    <s v="Методическое и экспертное сопровождение реализации технологических проектов Технологической стратегии БРД"/>
    <s v="Рамочный договор"/>
    <s v="Кошелева Ю.В."/>
    <s v="Назметдинов Рустем Мидхатович"/>
    <s v="Договорный документ"/>
    <s v="Управление экономического планирования и анализа"/>
    <s v="Агеев П.А."/>
    <s v="На бумажном носителе"/>
    <s v="С ограничением по срокам "/>
    <d v="2021-05-17T00:00:00"/>
    <d v="2023-12-31T00:00:00"/>
    <s v="Д-2"/>
    <s v="ПРОЧИЕ ДОГОВОРЫ"/>
    <s v="Доходная часть"/>
    <s v="Рамочный"/>
    <s v="20%"/>
    <s v=""/>
    <s v=""/>
    <s v="432 501 320.88"/>
    <s v="360 417 767.40"/>
    <s v="72 083 553.48"/>
    <s v="нет"/>
    <s v="нет"/>
    <s v=""/>
    <s v=""/>
    <s v=""/>
    <s v=""/>
    <s v="нет"/>
  </r>
  <r>
    <s v="Газпромнефть-ГЕО, ООО"/>
    <s v="0000093917"/>
    <s v="Зарегистрирован"/>
    <d v="2023-01-31T00:00:00"/>
    <s v=""/>
    <x v="9"/>
    <s v="5609193118"/>
    <s v=""/>
    <s v="ГЕО-23/09000/00041/Р"/>
    <s v="ГЕО-23/09000/00041/Р"/>
    <s v="Нетиповой ДД"/>
    <x v="2"/>
    <s v=""/>
    <s v="00056-23"/>
    <s v=""/>
    <s v="Договор оказания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s v="обеспечений безопасных условий труда при работе с сероводородом"/>
    <s v="Автеньев М.В."/>
    <s v="Хабибуллин Т.Ф."/>
    <s v="Договорный документ"/>
    <s v="Блок производственной безопасности"/>
    <s v="Ядрышников П.Н."/>
    <s v="На бумажном носителе"/>
    <s v="С ограничением по срокам "/>
    <d v="2023-01-31T00:00:00"/>
    <d v="2025-12-31T00:00:00"/>
    <s v="Д-51"/>
    <s v="Договор возмездного оказания услуг"/>
    <s v="Расходная часть"/>
    <s v="Стоимостной"/>
    <s v="20%"/>
    <s v=""/>
    <s v=""/>
    <s v="1 124 261 380.80"/>
    <s v="936 884 484.00"/>
    <s v="187 376 896.80"/>
    <s v="нет"/>
    <s v="нет"/>
    <s v=""/>
    <s v=""/>
    <s v=""/>
    <s v=""/>
    <s v="нет"/>
  </r>
  <r>
    <s v="Газпромнефть-ГЕО, ООО"/>
    <s v="0000068974"/>
    <s v="Зарегистрирован"/>
    <d v="2021-04-01T00:00:00"/>
    <s v=""/>
    <x v="81"/>
    <s v="3808120671"/>
    <s v=""/>
    <s v="ГЕО-21/00000/00109"/>
    <s v="ГЕО-21/00000/00109"/>
    <s v="Нетиповой ДД"/>
    <x v="1"/>
    <s v=""/>
    <s v="00057-21"/>
    <s v=""/>
    <s v="Соглашение об использовании электронного документооборота "/>
    <s v="Обмен электронными документами"/>
    <s v="Глухарева Ю.Б."/>
    <s v="Глухарева Ю.Б."/>
    <s v="Договорный документ"/>
    <s v="Блок корпоративной защиты"/>
    <s v="Ковтун М.А."/>
    <s v="На бумажном носителе"/>
    <s v="Без сроков "/>
    <d v="2021-04-01T00:00:00"/>
    <s v=""/>
    <s v="Д-5"/>
    <s v="ПРОЧИЕ ДОГОВОРЫ"/>
    <s v="Не предполагает взаиморасчетов"/>
    <s v=""/>
    <s v=""/>
    <s v=""/>
    <s v=""/>
    <s v=""/>
    <s v=""/>
    <s v=""/>
    <s v="нет"/>
    <s v="нет"/>
    <s v=""/>
    <s v=""/>
    <s v=""/>
    <s v=""/>
    <s v="нет"/>
  </r>
  <r>
    <s v="Газпромнефть-ГЕО, ООО"/>
    <s v="0000076283"/>
    <s v="Зарегистрирован"/>
    <d v="2023-01-30T00:00:00"/>
    <s v=""/>
    <x v="28"/>
    <s v="4501174492"/>
    <s v=""/>
    <s v="ГЕО-23/01200/00034/Д"/>
    <s v="ГЕО-23/01200/00034/Д"/>
    <s v="Нетиповой ДД"/>
    <x v="2"/>
    <s v=""/>
    <s v="00057-23"/>
    <s v=""/>
    <s v="Договор купли-продажи "/>
    <s v="Реализация ДТ в адрес подрядной организации ООО «Уралгеопроект», предоставляющей ООО «ГПН-ГЕО» услуги изыскательских работ (ДОГОВОР (Рамочный) № ГЕО-22/1Ю00/00030/Р от 14.02.2022г.) при реализации производственной программы Проекта «Титан» на Северо-Ямбургском ЛУ в 2023 году."/>
    <s v="Нежальских В.А."/>
    <s v="Нежальских В.А."/>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3-01-30T00:00:00"/>
    <d v="2023-12-31T00:00:00"/>
    <s v="Д-56"/>
    <s v="Договор поставки/купли продажи движимого имущества"/>
    <s v="Доходная часть"/>
    <s v="Стоимостной"/>
    <s v="20%"/>
    <s v=""/>
    <s v=""/>
    <s v="1 981 219.20"/>
    <s v="1 651 016.00"/>
    <s v="330 203.20"/>
    <s v="нет"/>
    <s v="нет"/>
    <s v=""/>
    <s v=""/>
    <s v=""/>
    <s v=""/>
    <s v="нет"/>
  </r>
  <r>
    <s v="Газпромнефть-ГЕО, ООО"/>
    <s v="0000056624"/>
    <s v="Закрыт"/>
    <d v="2022-02-10T00:00:00"/>
    <s v=""/>
    <x v="93"/>
    <s v="8601021225"/>
    <s v=""/>
    <s v="ГЕО-22/01200/00024/Р"/>
    <s v="ГЕО-22/01200/00024/Р"/>
    <s v="Типовой ДД"/>
    <x v="2"/>
    <s v="01200 Договор  поставки МТР"/>
    <s v="00058-22"/>
    <s v=""/>
    <s v="01200 Договор  поставки МТР"/>
    <s v="Договор поставки (купли-продажи) книиг Научно-популярное издание &quot;Атлас нефти&quot; (подарочное издание)"/>
    <s v="Потемкина И.В."/>
    <s v="Потемкина И.В."/>
    <s v="Договорный документ"/>
    <s v="Отдел административной поддержки бизнеса"/>
    <s v="Буракова О.В."/>
    <s v="На бумажном носителе"/>
    <s v="С ограничением по срокам "/>
    <d v="2022-02-01T00:00:00"/>
    <d v="2022-03-31T00:00:00"/>
    <s v="Д-46"/>
    <s v="Договор поставки/купли продажи движимого имущества"/>
    <s v="Расходная часть"/>
    <s v="Стоимостной"/>
    <s v="без НДС"/>
    <s v=""/>
    <s v=""/>
    <s v="65 000.00"/>
    <s v="65 000.00"/>
    <n v="0"/>
    <s v="нет"/>
    <s v="нет"/>
    <s v=""/>
    <s v=""/>
    <s v=""/>
    <s v=""/>
    <s v="нет"/>
  </r>
  <r>
    <s v="Газпромнефть-ГЕО, ООО"/>
    <s v="0000058271"/>
    <s v="Зарегистрирован"/>
    <d v="2023-01-26T00:00:00"/>
    <s v=""/>
    <x v="42"/>
    <s v="7725696878"/>
    <s v="ГЕО-19/11708/00133/Р"/>
    <s v=""/>
    <s v="22"/>
    <s v="Нетиповой ДД"/>
    <x v="3"/>
    <s v=""/>
    <s v="00058-23"/>
    <s v=""/>
    <s v="Анализ и разработка методов прогнозирования насыщения Ачимовской толщи в Западной Сибири"/>
    <s v="необходимость уточнения перечня дополнительных исследований скважин, керна, флюидов требуемых для эффективного решения задачи по минимизации технических проблем и проверки гипотез"/>
    <s v="Ябиров Р.З."/>
    <s v=""/>
    <s v="Договорный документ"/>
    <s v="Блок геологии и разработки"/>
    <s v="Аксенов М.А."/>
    <s v="На бумажном носителе"/>
    <s v="С ограничением по срокам "/>
    <d v="2023-01-26T00:00:00"/>
    <d v="2023-06-30T00:00:00"/>
    <s v="Д-54"/>
    <s v="Договор на выполнение НИР, ОКР и технологических работ"/>
    <s v="Расходная часть"/>
    <s v="Рамочный"/>
    <s v="20%"/>
    <s v=""/>
    <s v=""/>
    <s v="5 920 606.80"/>
    <s v="4 933 839.00"/>
    <s v="986 767.80"/>
    <s v="нет"/>
    <s v="нет"/>
    <s v=""/>
    <s v=""/>
    <s v=""/>
    <s v=""/>
    <s v="нет"/>
  </r>
  <r>
    <s v="Газпромнефть-ГЕО, ООО"/>
    <s v="0000063129"/>
    <s v="Зарегистрирован"/>
    <d v="2024-02-16T00:00:00"/>
    <s v=""/>
    <x v="94"/>
    <s v="5603032851"/>
    <s v="ГЕО-22/10968/00279/Р"/>
    <s v=""/>
    <s v="2"/>
    <s v="Типовой ДД"/>
    <x v="0"/>
    <s v="ДС по актуализации методологии оценки эффективности деятельности контрагентов и мотивации в области ПБ в действующих договорах"/>
    <s v="00058-24"/>
    <s v=""/>
    <s v="ДС №2 к Договору №ГЕО-22/10968/00279/Р от 31.10.2022"/>
    <s v="Актуализация методологии оценки эффективности деятельности Контрагента"/>
    <s v="Васильева А.И."/>
    <s v="Копылов Е.О."/>
    <s v="Договорный документ"/>
    <s v="Блок производственной безопасности"/>
    <s v="Михайлов Ю.А."/>
    <s v="ЭП"/>
    <s v="До исполнения обязательств"/>
    <d v="2024-02-16T00:00:00"/>
    <s v=""/>
    <s v="Д-2"/>
    <s v="Вывоз, транспортировка и размещение отходов производственной деятельности"/>
    <s v="Не предполагает взаиморасчетов"/>
    <s v=""/>
    <s v=""/>
    <s v=""/>
    <s v=""/>
    <s v=""/>
    <s v=""/>
    <s v=""/>
    <s v="нет"/>
    <s v="нет"/>
    <s v=""/>
    <s v=""/>
    <s v=""/>
    <s v=""/>
    <s v="нет"/>
  </r>
  <r>
    <s v="Газпромнефть-ГЕО, ООО"/>
    <s v="0000088498"/>
    <s v="Зарегистрирован"/>
    <d v="2023-02-06T00:00:00"/>
    <s v=""/>
    <x v="95"/>
    <s v="3023006808"/>
    <s v="ГЕО-22/10000/00312/Р"/>
    <s v=""/>
    <s v="1"/>
    <s v="Нетиповой ДД"/>
    <x v="0"/>
    <s v=""/>
    <s v="00059-23"/>
    <s v=""/>
    <s v="Дополнительное соглашение №1"/>
    <s v="Корректировка производственной программы"/>
    <s v="Рымаренко А.А."/>
    <s v="Рымаренко А.А."/>
    <s v="Договорный документ"/>
    <s v="Управление внутрискважинных работ"/>
    <s v="Трифонов А.В."/>
    <s v="ЭП"/>
    <s v="До исполнения обязательств"/>
    <d v="2023-02-06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1204"/>
    <s v="Зарегистрирован"/>
    <d v="2024-02-05T00:00:00"/>
    <s v=""/>
    <x v="96"/>
    <s v="7840483155"/>
    <s v=""/>
    <s v="ГЕО-24/09600/00032"/>
    <s v="ГЕО-24/09600/00032"/>
    <s v="Нетиповой ДД"/>
    <x v="2"/>
    <s v=""/>
    <s v="00059-24"/>
    <s v=""/>
    <s v="Договор о практической подготовке обучающихся"/>
    <s v="Организация практической подготовки обучающихся Федерального государственного бюджетного образовательного учреждения высшего образования «Санкт-Петербургский государственный экономический университет» (СПбГЭУ) в ООО &quot;Газпромнефть-ГЕО&quot;"/>
    <s v="Васильева А.И."/>
    <s v=""/>
    <s v="Договорный документ"/>
    <s v="Блок снабжения и закупок"/>
    <s v="Игнатова Ю.В."/>
    <s v="На бумажном носителе"/>
    <s v="С ограничением по срокам "/>
    <d v="2024-02-05T00:00:00"/>
    <d v="2024-08-30T00:00:00"/>
    <s v="Д-66"/>
    <s v="Договор на прохождение практики студентами"/>
    <s v="Не предполагает взаиморасчетов"/>
    <s v=""/>
    <s v=""/>
    <s v=""/>
    <s v=""/>
    <s v=""/>
    <s v=""/>
    <s v=""/>
    <s v="нет"/>
    <s v="нет"/>
    <s v=""/>
    <s v=""/>
    <s v=""/>
    <s v=""/>
    <s v="нет"/>
  </r>
  <r>
    <s v="Газпромнефть-ГЕО, ООО"/>
    <s v="0000037846"/>
    <s v="Зарегистрирован"/>
    <d v="2022-02-07T00:00:00"/>
    <s v=""/>
    <x v="26"/>
    <s v="8905032518"/>
    <s v=""/>
    <s v="ГЕО-22/09000/00020/Р"/>
    <s v="ГЕО-22/09000/00020/Р"/>
    <s v="Типовой ДД"/>
    <x v="2"/>
    <s v="09000 Договор на оказание телекоммуникационных услуг"/>
    <s v="00060-22"/>
    <s v=""/>
    <s v="09000 Договор на оказание телекоммуникационных услуг"/>
    <s v="Организация комплекса услуг связи на Северо-Ямбургском ЛУ (проект &quot;Титан&quot;)."/>
    <s v="Сорокин И.М."/>
    <s v="Сорокин И.М."/>
    <s v="Договорный документ"/>
    <s v="Блок геологии и разработки"/>
    <s v="Аксенов М.А."/>
    <s v="На бумажном носителе"/>
    <s v="С ограничением по срокам "/>
    <d v="2022-03-01T00:00:00"/>
    <d v="2026-12-31T00:00:00"/>
    <s v="Д-54"/>
    <s v="Договор возмездного оказания услуг"/>
    <s v="Расходная часть"/>
    <s v="Стоимостной"/>
    <s v="20%"/>
    <s v=""/>
    <s v=""/>
    <s v="164 857 943.21"/>
    <s v="137 381 619.34"/>
    <s v="27 476 323.87"/>
    <s v="нет"/>
    <s v="нет"/>
    <s v=""/>
    <s v=""/>
    <s v=""/>
    <s v=""/>
    <s v="нет"/>
  </r>
  <r>
    <s v="Газпромнефть-ГЕО, ООО"/>
    <s v="0000087378"/>
    <s v="Зарегистрирован"/>
    <d v="2023-01-31T00:00:00"/>
    <s v=""/>
    <x v="97"/>
    <s v="7204203139"/>
    <s v="ГЕО-21/08000/00297/Р"/>
    <s v=""/>
    <s v="2/23-297"/>
    <s v="Нетиповой ДД"/>
    <x v="3"/>
    <s v=""/>
    <s v="00060-23"/>
    <s v=""/>
    <s v="Изготовление и отправка образцов керна скважин 91РО и 92РО Тазовского месторождения в Казанский Федеральный Университет"/>
    <s v="Необходимость проведения работ вызвана в связи с получением нового кернового материала из скважин №91РО и №92РО Тазовского месторождения для построения геолого-гидродинамической модели пластов"/>
    <s v="Ябиров Р.З."/>
    <s v=""/>
    <s v="Договорный документ"/>
    <s v="Блок геологии и разработки"/>
    <s v="Аксенов М.А."/>
    <s v="На бумажном носителе"/>
    <s v="С ограничением по срокам "/>
    <d v="2023-01-31T00:00:00"/>
    <d v="2023-02-25T00:00:00"/>
    <s v="Д-54"/>
    <s v="Договор на выполнение НИР, ОКР и технологических работ"/>
    <s v="Расходная часть"/>
    <s v="Рамочный"/>
    <s v="20%"/>
    <s v=""/>
    <s v=""/>
    <s v="390 558.92"/>
    <s v="325 465.77"/>
    <s v="65 093.15"/>
    <s v="нет"/>
    <s v="нет"/>
    <s v=""/>
    <s v=""/>
    <s v=""/>
    <s v=""/>
    <s v="нет"/>
  </r>
  <r>
    <s v="Газпромнефть-ГЕО, ООО"/>
    <s v="0000060987"/>
    <s v="Зарегистрирован"/>
    <d v="2024-02-05T00:00:00"/>
    <s v=""/>
    <x v="98"/>
    <s v="5610089418"/>
    <s v=""/>
    <s v="ГЕО-24/10000/00036/Р"/>
    <s v="ГЕО-24/10000/00036/Р"/>
    <s v="Нетиповой ДД"/>
    <x v="2"/>
    <s v=""/>
    <s v="00060-24"/>
    <s v=""/>
    <s v="Договор на выполнение работ по ревизии запорной арматуры, средств индивидуальной защиты"/>
    <s v="Проведение комплекса мероприятий по ревизии и гидравлическому испытанию фонтанной арматуры для ООО «Газпромнефть-ГЕО» подрядной организацией на собственных (арендованных) производственных площадях (базах)."/>
    <s v="Сергеев А.В."/>
    <s v="Сергеев А.В."/>
    <s v="Договорный документ"/>
    <s v="Производственно-технологический департамент"/>
    <s v="Трифонов А.В."/>
    <s v="На бумажном носителе"/>
    <s v="С ограничением по срокам "/>
    <d v="2024-02-05T00:00:00"/>
    <d v="2024-03-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без НДС"/>
    <s v=""/>
    <s v=""/>
    <s v="97 000.00"/>
    <s v="97 000.00"/>
    <n v="0"/>
    <s v="нет"/>
    <s v="нет"/>
    <s v=""/>
    <s v=""/>
    <s v=""/>
    <s v=""/>
    <s v="нет"/>
  </r>
  <r>
    <s v="Газпромнефть-ГЕО, ООО"/>
    <s v="0000092470"/>
    <s v="Зарегистрирован"/>
    <d v="2023-02-01T00:00:00"/>
    <s v=""/>
    <x v="99"/>
    <s v="380201363701"/>
    <s v=""/>
    <s v="ГЕО-23/25000/00033/Р"/>
    <s v="ГЕО-23/25000/00033/Р"/>
    <s v="Типовой ДД"/>
    <x v="2"/>
    <s v="25000 Договор об оказании услуг физическим лицом (без выезда на Лицензионные участки Заказчика)"/>
    <s v="00061-23"/>
    <s v=""/>
    <s v="25000 Договор об оказании услуг физическим лицом (без выезда на Лицензионные участки Заказчика)"/>
    <s v="Оказание услуг по обеспечению промышленной безопасности при эксплуатации опасных производственных объектах Общества и подрядных организаций, находящихся в зоне ответственности ООО «ГПН-ГЕО»"/>
    <s v="Морозов А.В."/>
    <s v="Хабибуллин Т.Ф."/>
    <s v="Договорный документ"/>
    <s v="Отдел по промышленной и пожарной безопасности"/>
    <s v="Михайлов Ю.А."/>
    <s v="На бумажном носителе"/>
    <s v="С ограничением по срокам "/>
    <d v="2023-02-01T00:00:00"/>
    <d v="2023-12-31T00:00:00"/>
    <s v="Д-2"/>
    <s v="Договор оказания услуг с физическим лицом"/>
    <s v="Расходная часть"/>
    <s v="Стоимостной"/>
    <s v="13%"/>
    <s v=""/>
    <s v=""/>
    <s v="1 448 275.86"/>
    <s v="1 259 999.86"/>
    <s v="188 276.00"/>
    <s v="нет"/>
    <s v="нет"/>
    <s v=""/>
    <s v=""/>
    <s v=""/>
    <s v=""/>
    <s v="нет"/>
  </r>
  <r>
    <s v="Газпромнефть-ГЕО, ООО"/>
    <s v="0000037860"/>
    <s v="Зарегистрирован"/>
    <d v="2024-02-09T00:00:00"/>
    <s v=""/>
    <x v="20"/>
    <s v="7714024384"/>
    <s v="ГЕО-23/33100/00008"/>
    <s v=""/>
    <s v="1"/>
    <s v="Типовой ДД"/>
    <x v="0"/>
    <s v="33100 Дополнительное соглашение к Соглашениям в  в области производственной безопасности;"/>
    <s v="00061-24"/>
    <s v=""/>
    <s v="33100 Дополнительное соглашение к Соглашениям в  в области производственной безопасности;"/>
    <s v="Актуализация Соглашения по ПБ"/>
    <s v="Ушакова М.А."/>
    <s v=""/>
    <s v="Договорный документ"/>
    <s v="Блок геологии и разработки"/>
    <s v="Михайлов Ю.А."/>
    <s v="ЭП"/>
    <s v="С ограничением по срокам "/>
    <d v="2024-02-09T00:00:00"/>
    <d v="2027-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7796"/>
    <s v="Закрыт"/>
    <d v="2022-02-15T00:00:00"/>
    <s v=""/>
    <x v="89"/>
    <s v="692700520683"/>
    <s v=""/>
    <s v="ГЕО-22/25000/00021/Р"/>
    <s v="ГЕО-22/25000/00021/Р"/>
    <s v="Типовой ДД"/>
    <x v="2"/>
    <s v="25000 Договор об оказании услуг физическим лицом (без выезда на Лицензионные участки Заказчика)"/>
    <s v="00062-22"/>
    <s v=""/>
    <s v="25000 Договор об оказании услуг физическим лицом (без выезда на Лицензионные участки Заказчика)"/>
    <s v="Разработка и внедрение единого формата графического дизайна презентационных материалов для реализации целевой организационной модели управления проектами развития ресурсной базы"/>
    <s v="Войтенко М.А."/>
    <s v=""/>
    <s v="Договорный документ"/>
    <s v="Управление планирования и контроля реализации проектов"/>
    <s v="Масалкин Ю.В."/>
    <s v="На бумажном носителе"/>
    <s v="С ограничением по срокам "/>
    <d v="2022-02-15T00:00:00"/>
    <d v="2022-12-31T00:00:00"/>
    <s v=""/>
    <s v="Договор оказания услуг с физическим лицом"/>
    <s v="Расходная часть"/>
    <s v="Стоимостной"/>
    <s v="13%"/>
    <s v=""/>
    <s v=""/>
    <s v="440 000.00"/>
    <s v="382 800.00"/>
    <s v="57 200.00"/>
    <s v="нет"/>
    <s v="нет"/>
    <s v=""/>
    <s v=""/>
    <s v=""/>
    <s v=""/>
    <s v="нет"/>
  </r>
  <r>
    <s v="Газпромнефть-ГЕО, ООО"/>
    <s v="0000062421"/>
    <s v="Зарегистрирован"/>
    <d v="2023-02-07T00:00:00"/>
    <s v=""/>
    <x v="100"/>
    <s v="6924010964"/>
    <s v=""/>
    <s v="ГЕО-23/33200/00027"/>
    <s v="ГЕО-23/33200/00027"/>
    <s v="Типовой ДД"/>
    <x v="1"/>
    <s v="33200 Соглашение об электронном документообороте"/>
    <s v="00062-23"/>
    <s v=""/>
    <s v="33200 Соглашение об электронном документообороте Конверс Авиа"/>
    <s v="Электонный обмен документами АО «Авиакомпания Конверс Авиа»."/>
    <s v="Мормышев А.А."/>
    <s v="Леденев Ю.А."/>
    <s v="Договорный документ"/>
    <s v="Блок снабжения и закупок"/>
    <s v="Ковтун М.А."/>
    <s v="ЭП"/>
    <s v="До исполнения обязательств"/>
    <d v="2023-02-07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99166"/>
    <s v="Зарегистрирован"/>
    <d v="2024-02-09T00:00:00"/>
    <s v=""/>
    <x v="101"/>
    <s v="5648004029"/>
    <s v="ГЕО-23/04300/00159/Р"/>
    <s v=""/>
    <s v="1"/>
    <s v="Нетиповой ДД"/>
    <x v="0"/>
    <s v=""/>
    <s v="00062-24"/>
    <s v=""/>
    <s v="Дополнительное соглашение к Договору аренды земельных участков №ГЕО-23/04300/00159/Р"/>
    <s v="О прекращении аренды земельного участка, об уменьшении стоимости договор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4-02-09T00:00:00"/>
    <d v="2024-08-29T00:00:00"/>
    <s v="Д-82"/>
    <s v="Договор аренды недвижимости"/>
    <s v="Расходная часть"/>
    <s v="Стоимостной"/>
    <s v="20%"/>
    <s v=""/>
    <s v=""/>
    <s v="2 086 158.99"/>
    <s v="1 738 465.83"/>
    <s v="347 693.16"/>
    <s v="нет"/>
    <s v="нет"/>
    <s v=""/>
    <s v=""/>
    <s v=""/>
    <s v=""/>
    <s v="нет"/>
  </r>
  <r>
    <s v="Газпромнефть-ГЕО, ООО"/>
    <s v="0000045789"/>
    <s v="Зарегистрирован"/>
    <d v="2021-04-26T00:00:00"/>
    <s v=""/>
    <x v="16"/>
    <s v="7838395487"/>
    <s v="НТЦ-18/29000/01335/Д-ГЕО/ГЕО-19/10124/00001"/>
    <s v=""/>
    <s v="ЗАКАЗ № НТЦ-21/07000/00377/Д-ГЕО"/>
    <s v="Нетиповой ДД"/>
    <x v="3"/>
    <s v=""/>
    <s v="00063-21"/>
    <s v=""/>
    <s v="Комплексное геолого-геомеханическое моделирование участков ОПР"/>
    <s v="Анализ геомеханических параметров в интервалах ачимовских пластов с целью оценки направления и величины тектонического стресса, параметров давления начала обрушения, поглощения и разрыва породы"/>
    <s v="Ябиров Р.З."/>
    <s v="Ябиров Р.З."/>
    <s v="Договорный документ"/>
    <s v="Блок геологии и разработки"/>
    <s v="Аксенов М.А."/>
    <s v="На бумажном носителе"/>
    <s v="С ограничением по срокам "/>
    <d v="2021-04-26T00:00:00"/>
    <d v="2021-12-31T00:00:00"/>
    <s v=""/>
    <s v="НИОКР, НИР в области геологии и разработки месторождений"/>
    <s v="Расходная часть"/>
    <s v="Рамочный"/>
    <s v="20%"/>
    <s v=""/>
    <s v=""/>
    <s v="4 773 839.76"/>
    <s v="3 978 199.80"/>
    <s v="795 639.96"/>
    <s v="нет"/>
    <s v="нет"/>
    <s v=""/>
    <s v=""/>
    <s v=""/>
    <s v=""/>
    <s v="нет"/>
  </r>
  <r>
    <s v="Газпромнефть-ГЕО, ООО"/>
    <s v="0000027645"/>
    <s v="Закрыт"/>
    <d v="2022-01-28T00:00:00"/>
    <s v=""/>
    <x v="80"/>
    <s v="5501072608"/>
    <s v=""/>
    <s v="ГЕО-22/01200/00035/Д"/>
    <s v="ГЕО-22/01200/00035/Д"/>
    <s v="Нетиповой ДД"/>
    <x v="2"/>
    <s v=""/>
    <s v="00063-22"/>
    <s v=""/>
    <s v="01200 Договор  поставки МТР"/>
    <s v="Продажа песка в ООО &quot;Газпромнефть - Снабжение&quot;"/>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2-28T00:00:00"/>
    <d v="2022-12-31T00:00:00"/>
    <s v="Д-56"/>
    <s v="Договор поставки/купли продажи движимого имущества"/>
    <s v="Доходная часть"/>
    <s v="Стоимостной"/>
    <s v="20%"/>
    <s v=""/>
    <s v=""/>
    <s v="5 472 979.42"/>
    <s v="4 560 816.18"/>
    <s v="912 163.24"/>
    <s v="нет"/>
    <s v="нет"/>
    <s v=""/>
    <s v=""/>
    <s v=""/>
    <s v=""/>
    <s v="нет"/>
  </r>
  <r>
    <s v="Газпромнефть-ГЕО, ООО"/>
    <s v="0000096994"/>
    <s v="Зарегистрирован"/>
    <d v="2023-02-07T00:00:00"/>
    <s v=""/>
    <x v="102"/>
    <s v="6316103250"/>
    <s v=""/>
    <s v="ГЕО-23/33200/00028"/>
    <s v="ГЕО-23/33200/00028"/>
    <s v="Типовой ДД"/>
    <x v="1"/>
    <s v="33200 Соглашение об электронном документообороте"/>
    <s v="00063-23"/>
    <s v=""/>
    <s v="33200 Соглашение об электронном документообороте БАРБУС, ООО"/>
    <s v="Электонный обмен документами ООО &quot;БАРБУС&quot;."/>
    <s v="Мормышев А.А."/>
    <s v="Дунаев Э.В."/>
    <s v="Договорный документ"/>
    <s v="Блок бурения и ВСР"/>
    <s v="Ковтун М.А."/>
    <s v="ЭП"/>
    <s v="До исполнения обязательств"/>
    <d v="2023-02-07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0987"/>
    <s v="Зарегистрирован"/>
    <d v="2024-02-05T00:00:00"/>
    <s v=""/>
    <x v="98"/>
    <s v="5610089418"/>
    <s v=""/>
    <s v="ГЕО-24/26000/00028"/>
    <s v="ГЕО-24/26000/00028"/>
    <s v="Типовой ДД"/>
    <x v="1"/>
    <s v="26000 Соглашение о конфиденциальности с российским контрагентом"/>
    <s v="00063-24"/>
    <s v=""/>
    <s v="26000 Соглашение о конфиденциальности с российским контрагентом"/>
    <s v="Обязательства по предоставлению друг другу и неразглашению информации, составляющей коммерческую тайну, и иной конфиденциальной информации"/>
    <s v="Сергеев А.В."/>
    <s v="Сергеев А.В."/>
    <s v="Договорный документ"/>
    <s v="Производственно-технологический департамент"/>
    <s v="Трифонов А.В."/>
    <s v="На бумажном носителе"/>
    <s v="С ограничением по срокам "/>
    <d v="2024-02-05T00:00:00"/>
    <d v="2027-02-28T00:00:00"/>
    <s v="Д-82"/>
    <s v="Соглашение о конфиденциальности"/>
    <s v="Не предполагает взаиморасчетов"/>
    <s v=""/>
    <s v=""/>
    <s v=""/>
    <s v=""/>
    <s v=""/>
    <s v=""/>
    <s v=""/>
    <s v="нет"/>
    <s v="нет"/>
    <s v=""/>
    <s v=""/>
    <s v=""/>
    <s v=""/>
    <s v="нет"/>
  </r>
  <r>
    <s v="Газпромнефть-ГЕО, ООО"/>
    <s v="0000058271"/>
    <s v="Зарегистрирован"/>
    <d v="2022-01-14T00:00:00"/>
    <s v=""/>
    <x v="42"/>
    <s v="7725696878"/>
    <s v="ГЕО-19/11708/00133/Р от 25.06.2019"/>
    <s v=""/>
    <s v="16"/>
    <s v="Нетиповой ДД"/>
    <x v="3"/>
    <s v=""/>
    <s v="00064-22"/>
    <s v=""/>
    <s v="Заказ-Наряд №16 к договору №ГЕО-19/11708/00133/Р от 25.06.2019"/>
    <s v="Выполнение глубинной миграции по сейсмическим профилям 2D на сопредельных Лескинскому и Усть-Енисейскому ЛУ территориях правого берега р. Енисей"/>
    <s v="Коротков С.П."/>
    <s v=""/>
    <s v="Договорный документ"/>
    <s v="Управление по разработке"/>
    <s v="Аксенов М.А."/>
    <s v="На бумажном носителе"/>
    <s v="С ограничением по срокам "/>
    <d v="2022-02-04T00:00:00"/>
    <d v="2022-03-25T00:00:00"/>
    <s v="Д-54"/>
    <s v="НИОКР, НИР прочие"/>
    <s v="Расходная часть"/>
    <s v="Рамочный"/>
    <s v="20%"/>
    <s v=""/>
    <s v=""/>
    <s v="3 493 401.60"/>
    <s v="2 911 168.00"/>
    <s v="582 233.60"/>
    <s v="нет"/>
    <s v="нет"/>
    <s v=""/>
    <s v=""/>
    <s v=""/>
    <s v=""/>
    <s v="нет"/>
  </r>
  <r>
    <s v="Газпромнефть-ГЕО, ООО"/>
    <s v="0000051935"/>
    <s v="Зарегистрирован"/>
    <d v="2023-02-07T00:00:00"/>
    <s v=""/>
    <x v="50"/>
    <s v="7709832820"/>
    <s v=""/>
    <s v="ГЕО-23/33200/00029"/>
    <s v="ГЕО-23/33200/00029"/>
    <s v="Типовой ДД"/>
    <x v="1"/>
    <s v="33200 Соглашение об электронном документообороте"/>
    <s v="00064-23"/>
    <s v=""/>
    <s v="33200 Соглашение об электронном документообороте ООО «НьюТек Сервисез» "/>
    <s v="Электонный обмен документами ООО «НьюТек Сервисез»."/>
    <s v="Мормышев А.А."/>
    <s v="Дунаев Э.В."/>
    <s v="Договорный документ"/>
    <s v="Блок бурения и ВСР"/>
    <s v="Ковтун М.А."/>
    <s v="ЭП"/>
    <s v="До исполнения обязательств"/>
    <d v="2023-02-07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104871"/>
    <s v="Зарегистрирован"/>
    <d v="2024-02-13T00:00:00"/>
    <s v=""/>
    <x v="53"/>
    <s v="7705848410"/>
    <s v=""/>
    <s v="ГЕО-24/33200/00030"/>
    <s v="ГЕО-24/33200/00030"/>
    <s v="Типовой ДД"/>
    <x v="1"/>
    <s v="33200 Соглашение об электронном документообороте"/>
    <s v="00064-24"/>
    <s v=""/>
    <s v="33200 Соглашение об электронном документообороте"/>
    <s v="Для осуществления обменом документов в электронном виде"/>
    <s v="Ларионов Е.А."/>
    <s v=""/>
    <s v="Договорный документ"/>
    <s v="Блок снабжения и закупок"/>
    <s v="Аксенов М.А."/>
    <s v="ЭП"/>
    <s v="Без сроков "/>
    <d v="2024-02-13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регистрирован"/>
    <d v="2022-02-14T00:00:00"/>
    <s v=""/>
    <x v="103"/>
    <s v=""/>
    <s v=""/>
    <s v="ГЕО-22/11000/00030/Р"/>
    <s v="ГЕО-22/11000/00030/Р"/>
    <s v="Нетиповой ДД"/>
    <x v="2"/>
    <s v=""/>
    <s v="00065-22"/>
    <s v=""/>
    <s v="Выполнение изыскательских работ для нужд ООО «ГПН-ГЕО»"/>
    <s v="Выполнение изыскательских работ для нужд ООО «ГПН-ГЕО»"/>
    <s v="Макаринский Е.Ю."/>
    <s v="Шолохова И.А."/>
    <s v="Договорный документ"/>
    <s v="Блок главного инженера"/>
    <s v="Перфильев Д.А."/>
    <s v="На бумажном носителе"/>
    <s v="С ограничением по срокам "/>
    <d v="2022-02-14T00:00:00"/>
    <d v="2024-12-31T00:00:00"/>
    <s v="Д-61"/>
    <s v="Капитальное строительство и ПИР"/>
    <s v="Расходная часть"/>
    <s v="Рамочный"/>
    <s v="20%"/>
    <s v=""/>
    <s v=""/>
    <s v="233 999 988.49"/>
    <s v="194 999 990.41"/>
    <s v="38 999 998.08"/>
    <s v="нет"/>
    <s v="нет"/>
    <s v=""/>
    <s v=""/>
    <s v=""/>
    <s v=""/>
    <s v="нет"/>
  </r>
  <r>
    <s v="Газпромнефть-ГЕО, ООО"/>
    <s v="0000080408"/>
    <s v="Зарегистрирован"/>
    <d v="2023-01-25T00:00:00"/>
    <s v=""/>
    <x v="104"/>
    <s v="3812043780"/>
    <s v="ГЕО-22/11029/00172/Р"/>
    <s v=""/>
    <s v="1"/>
    <s v="Нетиповой ДД"/>
    <x v="4"/>
    <s v=""/>
    <s v="00065-23"/>
    <s v="2"/>
    <s v="Изм №1 в Наряд-заказ №2 ...172 СТС,ООО"/>
    <s v="изменения №1 к Наряд-заказу №2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
    <s v="Мормышев А.А."/>
    <s v=""/>
    <s v="Договорный документ"/>
    <s v="Департамент капитального строительства"/>
    <s v="Трифонов А.В."/>
    <s v="ЭП"/>
    <s v="До исполнения обязательств"/>
    <d v="2023-02-17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19 883 036.00"/>
    <s v="99 902 530.00"/>
    <s v="19 980 506.00"/>
    <s v="нет"/>
    <s v="нет"/>
    <s v=""/>
    <s v=""/>
    <s v=""/>
    <s v=""/>
    <s v="нет"/>
  </r>
  <r>
    <s v="Газпромнефть-ГЕО, ООО"/>
    <s v="0000104871"/>
    <s v="Зарегистрирован"/>
    <d v="2024-02-13T00:00:00"/>
    <s v=""/>
    <x v="53"/>
    <s v="7705848410"/>
    <s v=""/>
    <s v="ГЕО-24/33100/00029"/>
    <s v="ГЕО-24/33100/00029"/>
    <s v="Типовой ДД"/>
    <x v="1"/>
    <s v="33100 Соглашение в области производственной безопасности"/>
    <s v="00065-24"/>
    <s v=""/>
    <s v="33100 Соглашение в области производственной безопасности"/>
    <s v="Условия Договора"/>
    <s v="Ларионов Е.А."/>
    <s v=""/>
    <s v="Договорный документ"/>
    <s v="Блок снабжения и закупок"/>
    <s v="Аксенов М.А."/>
    <s v="ЭП"/>
    <s v="Без сроков "/>
    <d v="2024-02-13T00:00:00"/>
    <s v=""/>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58271"/>
    <s v="Зарегистрирован"/>
    <d v="2021-04-07T00:00:00"/>
    <s v=""/>
    <x v="42"/>
    <s v="7725696878"/>
    <s v="ГЕО-19/11708/00133/Р от 25.06.2019"/>
    <s v=""/>
    <s v="Заказ-наряд №10 к №ГЕО-19/11708/00133/Р от 25.06.2019 "/>
    <s v="Нетиповой ДД"/>
    <x v="3"/>
    <s v=""/>
    <s v="00066-21"/>
    <s v=""/>
    <s v="Заказ-Наряд №10 к договору №ГЕО-19/11708/00133/Р от 25.06.2019"/>
    <s v="Обоснование концепта разработки Ачимовской Толщи Приобского месторождения при формировании бизнес-кейса"/>
    <s v="Коротков С.П."/>
    <s v=""/>
    <s v="Договорный документ"/>
    <s v="Управление по разработке"/>
    <s v="Аксенов М.А."/>
    <s v="На бумажном носителе"/>
    <s v="С ограничением по срокам "/>
    <d v="2021-04-07T00:00:00"/>
    <d v="2021-05-01T00:00:00"/>
    <s v="Д-3"/>
    <s v="НИОКР, НИР прочие"/>
    <s v="Расходная часть"/>
    <s v="Рамочный"/>
    <s v="20%"/>
    <s v=""/>
    <s v=""/>
    <s v="7 414 632.00"/>
    <s v="6 178 860.00"/>
    <s v="1 235 772.00"/>
    <s v="нет"/>
    <s v="нет"/>
    <s v=""/>
    <s v=""/>
    <s v=""/>
    <s v=""/>
    <s v="нет"/>
  </r>
  <r>
    <s v="Газпромнефть-ГЕО, ООО"/>
    <s v=""/>
    <s v="Зарегистрирован"/>
    <d v="2022-02-14T00:00:00"/>
    <s v=""/>
    <x v="105"/>
    <s v=""/>
    <s v="на согласовании в Тессе"/>
    <s v=""/>
    <s v="1"/>
    <s v="Типовой ДД"/>
    <x v="3"/>
    <s v="11018, 11019, 11020, 11021, 11022  Наряд-заказ к Договору (рамочному) на выполнение  работ по услугам &quot;Капитальное строительство и ПИР&quot;"/>
    <s v="00066-22"/>
    <s v=""/>
    <s v="11018, 11019, 11020, 11021, 11022  Наряд-заказ к Договору (рамочному) на выполнение  работ по услугам &quot;Капитальное строительство и ПИР&quot;"/>
    <s v="Выполнение инженерных изысканий по объекту «Строительство поисковой скважины Сал-3П Салаирской площади Омор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До исполнения обязательств"/>
    <d v="2022-02-12T00:00:00"/>
    <s v=""/>
    <s v="Д-61"/>
    <s v="Капитальное строительство и ПИР"/>
    <s v="Расходная часть"/>
    <s v="Стоимостной"/>
    <s v="20%"/>
    <s v=""/>
    <s v=""/>
    <s v="57 059 885.93"/>
    <s v="47 549 904.94"/>
    <s v="9 509 980.99"/>
    <s v="нет"/>
    <s v="нет"/>
    <s v=""/>
    <s v=""/>
    <s v=""/>
    <s v=""/>
    <s v="нет"/>
  </r>
  <r>
    <s v="Газпромнефть-ГЕО, ООО"/>
    <s v="0000080408"/>
    <s v="Зарегистрирован"/>
    <d v="2023-01-25T00:00:00"/>
    <s v=""/>
    <x v="104"/>
    <s v="3812043780"/>
    <s v="ГЕО-22/11029/00172/Р"/>
    <s v=""/>
    <s v="1"/>
    <s v="Нетиповой ДД"/>
    <x v="4"/>
    <s v=""/>
    <s v="00066-23"/>
    <s v="1"/>
    <s v="Изм №2 в Наряд-заказ №1 ...172 СТС,ООО"/>
    <s v="изменения №2 к Наряд-заказу №1 к Договору №ГЕО-22/11029/00172/Р от 25.07.2022  – «ОВыполнение работ по инженерной подготовке площадки и проездов к геологоразведочной скважине КМ-4 Оморинского лицензионного участка»"/>
    <s v="Мормышев А.А."/>
    <s v="Бабаев Д.Г."/>
    <s v="Договорный документ"/>
    <s v="Департамент капитального строительства"/>
    <s v="Трифонов А.В."/>
    <s v="ЭП"/>
    <s v="До исполнения обязательств"/>
    <d v="2023-03-17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301 620 799.20"/>
    <s v="251 350 666.00"/>
    <s v="50 270 133.20"/>
    <s v="нет"/>
    <s v="нет"/>
    <s v=""/>
    <s v=""/>
    <s v=""/>
    <s v=""/>
    <s v="нет"/>
  </r>
  <r>
    <s v="Газпромнефть-ГЕО, ООО"/>
    <s v="0000104871"/>
    <s v="Зарегистрирован"/>
    <d v="2024-02-13T00:00:00"/>
    <s v=""/>
    <x v="53"/>
    <s v="7705848410"/>
    <s v=""/>
    <s v="ГЕО-24/26000/00031"/>
    <s v="ГЕО-24/26000/00031"/>
    <s v="Типовой ДД"/>
    <x v="1"/>
    <s v="26000 Соглашение о конфиденциальности с российским контрагентом"/>
    <s v="00066-24"/>
    <s v=""/>
    <s v="26000 Соглашение о конфиденциальности с российским контрагентом"/>
    <s v="Договорные условия"/>
    <s v="Ларионов Е.А."/>
    <s v=""/>
    <s v="Договорный документ"/>
    <s v="Блок снабжения и закупок"/>
    <s v="Созинов С.А."/>
    <s v="ЭП"/>
    <s v="Без сроков "/>
    <d v="2024-02-13T00:00:00"/>
    <s v=""/>
    <s v="Д-60"/>
    <s v="Соглашение о конфиденциальности"/>
    <s v="Не предполагает взаиморасчетов"/>
    <s v=""/>
    <s v=""/>
    <s v=""/>
    <s v=""/>
    <s v=""/>
    <s v=""/>
    <s v=""/>
    <s v="нет"/>
    <s v="нет"/>
    <s v=""/>
    <s v=""/>
    <s v=""/>
    <s v=""/>
    <s v="нет"/>
  </r>
  <r>
    <s v="Газпромнефть-ГЕО, ООО"/>
    <s v="0000027645"/>
    <s v="Зарегистрирован"/>
    <d v="2021-04-02T00:00:00"/>
    <s v=""/>
    <x v="80"/>
    <s v="5501072608"/>
    <s v=""/>
    <s v=""/>
    <s v="ДС №5 к № ГЕО-18/10001/00082/Р от «29» декабря 2018г "/>
    <s v="Нетиповой ДД"/>
    <x v="0"/>
    <s v=""/>
    <s v="00067-21"/>
    <s v=""/>
    <s v="Перераспределение объёма работ и суммы по годам (без изменения общей стоимости договора) производственной программы для  работы двух гусеничных вездеходов в период с мая по сентябрь включительно"/>
    <s v="Перераспределение объёма работ и суммы по годам (без изменения общей стоимости договора) обусловлены изменением производственной программы в части предоставления транспортных средств в 2021 году (а именно: работа двух гусеничных вездеходов в период ЧС с мая по сентябрь включительно)."/>
    <s v="Гусаков В.В."/>
    <s v="Гусаков В.В."/>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1-04-02T00:00:00"/>
    <d v="2021-12-31T00:00:00"/>
    <s v="Д-11"/>
    <s v="Услуги складской и транспортной логистики. (Оказываемые услуги для ДО БРД)"/>
    <s v="Расходная часть"/>
    <s v="Тарифный"/>
    <s v="20%"/>
    <s v=""/>
    <s v=""/>
    <s v="518 904 894.42"/>
    <s v="432 420 745.35"/>
    <s v="86 484 149.07"/>
    <s v="нет"/>
    <s v="нет"/>
    <s v=""/>
    <s v=""/>
    <s v=""/>
    <s v=""/>
    <s v="нет"/>
  </r>
  <r>
    <s v="Газпромнефть-ГЕО, ООО"/>
    <s v="0000066314"/>
    <s v="Зарегистрирован"/>
    <d v="2022-02-08T00:00:00"/>
    <s v=""/>
    <x v="74"/>
    <s v="7202242358"/>
    <s v="АНГ-191151300010Р"/>
    <s v=""/>
    <s v="10"/>
    <s v="Нетиповой ДД"/>
    <x v="3"/>
    <s v=""/>
    <s v="00067-22"/>
    <s v=""/>
    <s v="НАРЯД-ЗАКАЗ № 10 к Договору № АНГ-191151300010Р от 18 февраля 2019"/>
    <s v="Выполнение комплекса землеустроительных и лесоустроительных работ для объекта: «Обустройство поисково-оценочной скважины №72 Хамбатейского лицензионного участка», в том числе:_x000d__x000a_1. Скважина №72ПО Хамбатейского лицензионного участка._x000d__x000a_2. Автозимник от базы «Нурма» до скважины 72ПО._x000d__x000a_3. Автозимник от карьера ОПИ к площадке скважины 72ПО._x000d__x000a_"/>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2-02-08T00:00:00"/>
    <d v="2022-12-31T00:00:00"/>
    <s v="Д-61"/>
    <s v="Договор подряда"/>
    <s v="Расходная часть"/>
    <s v="Рамочный"/>
    <s v="0%"/>
    <s v=""/>
    <s v=""/>
    <s v="1 408 577.20"/>
    <s v="1 408 577.20"/>
    <n v="0"/>
    <s v="нет"/>
    <s v="нет"/>
    <s v=""/>
    <s v=""/>
    <s v=""/>
    <s v=""/>
    <s v="нет"/>
  </r>
  <r>
    <s v="Газпромнефть-ГЕО, ООО"/>
    <s v="0000086565"/>
    <s v="Зарегистрирован"/>
    <d v="2023-03-10T00:00:00"/>
    <s v=""/>
    <x v="106"/>
    <s v="0278127289"/>
    <s v="№ ГЕО-21/101108/00193/Р"/>
    <s v=""/>
    <s v="3"/>
    <s v="Нетиповой ДД"/>
    <x v="0"/>
    <s v=""/>
    <s v="00067-23"/>
    <s v=""/>
    <s v="ДС № 3 к Д № ГЕО-21/101108/00193/Р"/>
    <s v="Перевод негаранта 2023 в гарант 2023"/>
    <s v="Лобанов А.А."/>
    <s v="Лобанов А.А."/>
    <s v="Договорный документ"/>
    <s v="Управление по геологии"/>
    <s v="Агеев П.А."/>
    <s v="ЭП"/>
    <s v="С ограничением по срокам "/>
    <d v="2023-02-10T00:00:00"/>
    <d v="2024-12-31T00:00:00"/>
    <s v="Д-52"/>
    <s v="Договор на выполнение НИР, ОКР и технологических работ"/>
    <s v="Расходная часть"/>
    <s v="Рамочный"/>
    <s v="20%"/>
    <s v=""/>
    <s v=""/>
    <s v="19 218 628.50"/>
    <s v="16 015 523.75"/>
    <s v="3 203 104.75"/>
    <s v="нет"/>
    <s v="нет"/>
    <s v=""/>
    <s v=""/>
    <s v=""/>
    <s v=""/>
    <s v="нет"/>
  </r>
  <r>
    <s v="Газпромнефть-ГЕО, ООО"/>
    <s v="0000067067"/>
    <s v="Зарегистрирован"/>
    <d v="2024-02-19T00:00:00"/>
    <s v=""/>
    <x v="85"/>
    <s v="7816483740"/>
    <s v="ГЕО-19/10900/00290/Р "/>
    <s v=""/>
    <s v="5"/>
    <s v="Нетиповой ДД"/>
    <x v="0"/>
    <s v=""/>
    <s v="00067-24"/>
    <s v=""/>
    <s v="Дополнительного соглашения №5 к Договору  ГЕО-19/10900/00290/Р от 25.11.2019 г."/>
    <s v="В целях внедрения проекта ПАО «Газпром нефть» «Комплексная система охраны здоровья» и на основании Протокола совещания № ПТ-/000186/10 от 20.09.23г введена ставка «групповое профилактическое консультирование по коррекции факторов риска развития неинфекционных заболеваний», а ставка целевой скрининг здоровья пролонгирована на 2024 год. С учетом проставления фактических объемов за 2023 год и перераспределения объемов на 2024 год общая стоимость договора не увеличивается, и она составляет: не более 9 695 120,00 руб. (НДС не облагается)."/>
    <s v="Табуева М.А."/>
    <s v="Ядрышников П.Н."/>
    <s v="Договорный документ"/>
    <s v="Программы проектов производственной безопасности в ГРР"/>
    <s v="Михайлов Ю.А."/>
    <s v="ЭП"/>
    <s v="С ограничением по срокам "/>
    <d v="2024-02-19T00:00:00"/>
    <d v="2024-12-31T00:00:00"/>
    <s v="Д-2"/>
    <s v="Договор возмездного оказания услуг"/>
    <s v="Расходная часть"/>
    <s v="Стоимостной"/>
    <s v="0%"/>
    <s v=""/>
    <s v=""/>
    <s v="9 695 120.00"/>
    <s v="9 695 120.00"/>
    <n v="0"/>
    <s v="нет"/>
    <s v="нет"/>
    <s v=""/>
    <s v=""/>
    <s v=""/>
    <s v=""/>
    <s v="нет"/>
  </r>
  <r>
    <s v="Газпромнефть-ГЕО, ООО"/>
    <s v="0000058271"/>
    <s v="Зарегистрирован"/>
    <d v="2023-02-02T00:00:00"/>
    <s v=""/>
    <x v="42"/>
    <s v="7725696878"/>
    <s v="ГЕО-19/11708/00133/Р от 25.06.2019 г."/>
    <s v=""/>
    <s v="1"/>
    <s v="Нетиповой ДД"/>
    <x v="0"/>
    <s v=""/>
    <s v="00068-23"/>
    <s v=""/>
    <s v="ДС1 Продление срока действия договора с ПТ"/>
    <s v="Продление срока действия договора"/>
    <s v="Коротков С.П."/>
    <s v=""/>
    <s v="Договорный документ"/>
    <s v="Управление по разработке"/>
    <s v="Аксенов М.А."/>
    <s v="На бумажном носителе"/>
    <s v="Без сроков "/>
    <d v="2023-02-02T00:00:00"/>
    <s v=""/>
    <s v="Д-54"/>
    <s v="Договор на выполнение НИР, ОКР и технологических работ"/>
    <s v="Не предполагает взаиморасчетов"/>
    <s v=""/>
    <s v=""/>
    <s v=""/>
    <s v=""/>
    <s v=""/>
    <s v=""/>
    <s v=""/>
    <s v="нет"/>
    <s v="нет"/>
    <s v=""/>
    <s v=""/>
    <s v=""/>
    <s v=""/>
    <s v="нет"/>
  </r>
  <r>
    <s v="Газпромнефть-ГЕО, ООО"/>
    <s v="0000068974"/>
    <s v="Проект"/>
    <d v="2024-02-16T00:00:00"/>
    <s v=""/>
    <x v="81"/>
    <s v="3808120671"/>
    <s v="№ ГЕО-22/09000/00287/Р "/>
    <s v=""/>
    <s v="4"/>
    <s v="Нетиповой ДД"/>
    <x v="0"/>
    <s v=""/>
    <s v="00068-24"/>
    <s v=""/>
    <s v="ДС № 4 к Договору № ГЕО-22/09000/00287/Р от 03.11.2022 "/>
    <s v="Перевод негарантированного объема работ 2024 г. в гарантированный объем работ 2024 г., без изменения общей стоимости договора для организации работы 2 (двух) КПП на проекте «Оморинский», в объеме 367 суток, в том числе: Салаирская площадь (скв. № Слр-3) КПП №1 в период с 01.03.2024г. по 30.04.2024 г. (61 сут.) и Камовская площадь (скв. №№ КМ-4, КМ4бис) КПП-№ 2 в период с 01.03.2024 г. по 31.12.2024 г. (306 сут.)."/>
    <s v="Страдымов А.Г."/>
    <s v="Страдымов А.Г."/>
    <s v="Договорный документ"/>
    <s v="Отдел экономической безопасности"/>
    <s v="Созинов С.А."/>
    <s v="ЭП"/>
    <s v="С ограничением по срокам "/>
    <d v="2024-03-01T00:00:00"/>
    <d v="2025-02-28T00:00:00"/>
    <s v="Д-60"/>
    <s v=""/>
    <s v=""/>
    <s v=""/>
    <s v=""/>
    <s v=""/>
    <s v=""/>
    <s v=""/>
    <s v=""/>
    <s v=""/>
    <s v="нет"/>
    <s v="нет"/>
    <s v=""/>
    <s v=""/>
    <s v=""/>
    <s v=""/>
    <s v="нет"/>
  </r>
  <r>
    <s v="Газпромнефть-ГЕО, ООО"/>
    <s v="0000070869"/>
    <s v="Зарегистрирован"/>
    <d v="2020-12-30T00:00:00"/>
    <s v=""/>
    <x v="107"/>
    <s v="5611035905"/>
    <s v="119/ГЕО-19/09000/00021/Р от 02.09.2019г."/>
    <s v=""/>
    <s v="ДС 2 к № 119/ГЕО-19/09000/00221/Р от 02.09.2019 г."/>
    <s v="Нетиповой ДД"/>
    <x v="0"/>
    <s v=""/>
    <s v="00069-21"/>
    <s v=""/>
    <s v="Дополнительное соглашение об изменении реквизитов"/>
    <s v="Внесение в договор новых реквизитов контрагента"/>
    <s v="Цветков Д.В."/>
    <s v="Цветков Д.В."/>
    <s v="Договорный документ"/>
    <s v="Юридическая служба"/>
    <s v="Масалкин Ю.В."/>
    <s v="На бумажном носителе"/>
    <s v="До исполнения обязательств"/>
    <d v="2021-04-06T00:00:00"/>
    <s v=""/>
    <s v=""/>
    <s v="Договор возмездного оказания услуг"/>
    <s v="Не предполагает взаиморасчетов"/>
    <s v=""/>
    <s v=""/>
    <s v=""/>
    <s v=""/>
    <s v=""/>
    <s v=""/>
    <s v=""/>
    <s v="нет"/>
    <s v="нет"/>
    <s v=""/>
    <s v=""/>
    <s v=""/>
    <s v=""/>
    <s v="нет"/>
  </r>
  <r>
    <s v="Газпромнефть-ГЕО, ООО"/>
    <s v="0000068974"/>
    <s v="Зарегистрирован"/>
    <d v="2024-02-16T00:00:00"/>
    <s v=""/>
    <x v="81"/>
    <s v="3808120671"/>
    <s v="ГЕО-22/09000/00287/Р"/>
    <s v=""/>
    <s v="4"/>
    <s v="Нетиповой ДД"/>
    <x v="0"/>
    <s v=""/>
    <s v="00069-24"/>
    <s v=""/>
    <s v="ДС № 4 к Договору № ГЕО/22/09000/00287/Р от 03.11.2022"/>
    <s v="Перевод негарантированного объема работ 2024 г. в гарантированный объем работ 2024 г., без изменения общей стоимости договора для организации работы 2 (двух) КПП на проекте «Оморинский», в объеме 367 суток, в том числе: Салаирская площадь (скв. № Слр-3) КПП №1 в период с 01.03.2024г. по 30.04.2024 г. (61 сут.) и Камовская площадь (скв. №№ КМ-4, КМ4бис) КПП-№ 2 в период с 01.03.2024 г. по 31.12.2024 г. (306 сут.).  и заключения дополнительного соглашения №4 к договору №ГЕО-22/09000/00287/Р от 03.11.2022г., предусматривающего раскрытие негарантированного объема услуг 2024 года по организации охраны контрольно-пропускных пунктов в объеме 367 суток"/>
    <s v="Страдымов А.Г."/>
    <s v="Страдымов А.Г."/>
    <s v="Договорный документ"/>
    <s v="Блок корпоративной защиты"/>
    <s v="Созинов С.А."/>
    <s v="ЭП"/>
    <s v="С ограничением по срокам "/>
    <d v="2024-03-01T00:00:00"/>
    <d v="2025-02-28T00:00:00"/>
    <s v="Д-60"/>
    <s v="Договор возмездного оказания услуг"/>
    <s v="Расходная часть"/>
    <s v="Стоимостной"/>
    <s v="без НДС"/>
    <s v=""/>
    <s v=""/>
    <s v="145 311 289.07"/>
    <s v="145 311 289.07"/>
    <n v="0"/>
    <s v="нет"/>
    <s v="нет"/>
    <s v=""/>
    <s v=""/>
    <s v=""/>
    <s v=""/>
    <s v="нет"/>
  </r>
  <r>
    <s v="Газпромнефть-ГЕО, ООО"/>
    <s v="0000065849"/>
    <s v="Зарегистрирован"/>
    <d v="2021-04-15T00:00:00"/>
    <s v=""/>
    <x v="73"/>
    <s v="7816556691"/>
    <s v=""/>
    <s v="ГЕО-21/00000/00112"/>
    <s v="ГЕО-21/00000/00112"/>
    <s v="Нетиповой ДД"/>
    <x v="1"/>
    <s v=""/>
    <s v="00070-21"/>
    <s v=""/>
    <s v="Соглашение об ЭДО"/>
    <s v="Для установления электронного документооборота с контрагентом"/>
    <s v="Сасса А.В."/>
    <s v=""/>
    <s v="Договорный документ"/>
    <s v="Управление по работе с персоналом"/>
    <s v="Масалкин Ю.В."/>
    <s v="На бумажном носителе"/>
    <s v="Без сроков "/>
    <d v="2021-04-15T00:00:00"/>
    <s v=""/>
    <s v=""/>
    <s v="ПРОЧИЕ ДОГОВОРЫ"/>
    <s v="Не предполагает взаиморасчетов"/>
    <s v=""/>
    <s v=""/>
    <s v=""/>
    <s v=""/>
    <s v=""/>
    <s v=""/>
    <s v=""/>
    <s v="нет"/>
    <s v="нет"/>
    <s v=""/>
    <s v=""/>
    <s v=""/>
    <s v=""/>
    <s v="нет"/>
  </r>
  <r>
    <s v="Газпромнефть-ГЕО, ООО"/>
    <s v="0000060372"/>
    <s v="Зарегистрирован"/>
    <d v="2023-02-17T00:00:00"/>
    <s v=""/>
    <x v="108"/>
    <s v="6661088534"/>
    <s v=""/>
    <s v="ГЕО-23/09000/00042/Р"/>
    <s v="ГЕО-23/09000/00042/Р"/>
    <s v="Нетиповой ДД"/>
    <x v="2"/>
    <s v=""/>
    <s v="00070-23"/>
    <s v=""/>
    <s v="Договор бюджетного учреждения возмездного оказания услуг "/>
    <s v="Запись геологической и иной информации о недрах, подготовка информационно-аналитически (справочных, методических) материалов по геологии и недропользованию. Необходимо для проведения анализа данных глубокого бурения на территории участка НРФ, непосредственно граничащего с Лескинским и Пухуцяяхским лицензионными участками. Полученные данные позволят более достоверно распространить фациальную модель и выводы по бассейновой модели, оценить перспективность участка НРФ."/>
    <s v="Шишова О.П."/>
    <s v="Минич А.А."/>
    <s v="Договорный документ"/>
    <s v="Кластер &quot;Традиционные запасы&quot;"/>
    <s v="Николаев М.Н."/>
    <s v="На бумажном носителе"/>
    <s v="С ограничением по срокам "/>
    <d v="2023-02-17T00:00:00"/>
    <d v="2023-12-31T00:00:00"/>
    <s v="Д-57"/>
    <s v="Договор возмездного оказания услуг"/>
    <s v="Расходная часть"/>
    <s v="Стоимостной"/>
    <s v="20%"/>
    <s v=""/>
    <s v=""/>
    <s v="18 787.20"/>
    <s v="15 656.00"/>
    <s v="3 131.20"/>
    <s v="нет"/>
    <s v="нет"/>
    <s v=""/>
    <s v=""/>
    <s v=""/>
    <s v=""/>
    <s v="нет"/>
  </r>
  <r>
    <s v="Газпромнефть-ГЕО, ООО"/>
    <s v="0000104871"/>
    <s v="Зарегистрирован"/>
    <d v="2024-02-13T00:00:00"/>
    <s v=""/>
    <x v="53"/>
    <s v="7705848410"/>
    <s v="ГЕО-24/10000/00021/Р"/>
    <s v=""/>
    <s v="1"/>
    <s v="Нетиповой ДД"/>
    <x v="3"/>
    <s v=""/>
    <s v="00070-24"/>
    <s v=""/>
    <s v="Наряд-Заказ №1"/>
    <s v="Выполнение геолого-технологических исследований скважин № 671, 721 Западно-Чатылькинского ЛУ, в рамках ДС №6 к Договору №ГЕО-19/00000/00317/Д/ННГ-19/10124/01839/Р от 24.12.2019 г. о выполнении операторских работ между ООО &quot;ГПН-ГЕО&quot; и АО &quot;ГПН-ННГ&quot;"/>
    <s v="Ларионов Е.А."/>
    <s v=""/>
    <s v="Договорный документ"/>
    <s v="Блок снабжения и закупок"/>
    <s v="Аксенов М.А."/>
    <s v="ЭП"/>
    <s v="С ограничением по срокам "/>
    <d v="2024-02-15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8 942 240.00"/>
    <s v="15 785 200.00"/>
    <s v="3 157 040.00"/>
    <s v="нет"/>
    <s v="нет"/>
    <s v=""/>
    <s v=""/>
    <s v=""/>
    <s v=""/>
    <s v="нет"/>
  </r>
  <r>
    <s v="Газпромнефть-ГЕО, ООО"/>
    <s v="0000073273"/>
    <s v="Зарегистрирован"/>
    <d v="2022-02-15T00:00:00"/>
    <s v=""/>
    <x v="21"/>
    <s v="5610218014"/>
    <s v=""/>
    <s v=""/>
    <s v="1"/>
    <s v="Нетиповой ДД"/>
    <x v="3"/>
    <s v=""/>
    <s v="00071-22"/>
    <s v=""/>
    <s v="АГЕНТСКОЕ ПОРУЧЕНИЕ № 1"/>
    <s v="Оказание услуг по освоению скважин методами свабирования и компрессирования при ТКРС"/>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2-01T00:00:00"/>
    <d v="2022-12-31T00:00:00"/>
    <s v="Д-58"/>
    <s v="Агентский договор"/>
    <s v="Расходная часть"/>
    <s v="Агентский"/>
    <s v="20%"/>
    <s v=""/>
    <s v=""/>
    <s v="1 678 081.09"/>
    <s v="1 398 400.91"/>
    <s v="279 680.18"/>
    <s v="нет"/>
    <s v="нет"/>
    <s v=""/>
    <s v=""/>
    <s v=""/>
    <s v=""/>
    <s v="нет"/>
  </r>
  <r>
    <s v="Газпромнефть-ГЕО, ООО"/>
    <s v="0000057796"/>
    <s v="Проект"/>
    <s v=""/>
    <s v=""/>
    <x v="109"/>
    <s v="5003028148"/>
    <s v=""/>
    <s v=""/>
    <s v=""/>
    <s v="Нетиповой ДД"/>
    <x v="2"/>
    <s v=""/>
    <s v="00071-23"/>
    <s v=""/>
    <s v="Договора на оказание услуг по обеспечению противофонтанной и газовой безопаности на скважинах (объектах) ООО &quot;ГПН-ГЕО&quot;  "/>
    <s v="В целях предупреждения газонефтеводопроявлений (далее по тексту «ГНВП») и открытых фонтанов «Исполнитель» принимает на себя обязательства по оказанию услуг, связанных с обеспечением противофонтанной и газовой безопасности при эксплуатации скважин (объектов) Заказчика, согласно Технического задания (Приложение №1)."/>
    <s v="Хабибуллин Т.Ф."/>
    <s v="Хабибуллин Т.Ф."/>
    <s v="Договорный документ"/>
    <s v="Отдел по промышленной и пожарной безопасности"/>
    <s v="Ядрышников П.Н."/>
    <s v="На бумажном носителе"/>
    <s v="С ограничением по срокам "/>
    <d v="2023-03-01T00:00:00"/>
    <d v="2026-12-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53 914 670.00"/>
    <s v="128 262 225.00"/>
    <s v="25 652 445.00"/>
    <s v="нет"/>
    <s v="нет"/>
    <s v=""/>
    <s v=""/>
    <s v=""/>
    <s v=""/>
    <s v="нет"/>
  </r>
  <r>
    <s v="Газпромнефть-ГЕО, ООО"/>
    <s v=""/>
    <s v="Зарегистрирован"/>
    <d v="2024-02-13T00:00:00"/>
    <s v=""/>
    <x v="110"/>
    <s v=""/>
    <s v="ГЕО-24/09600/00027"/>
    <s v=""/>
    <s v="1"/>
    <s v="Нетиповой ДД"/>
    <x v="0"/>
    <s v=""/>
    <s v="00071-24"/>
    <s v=""/>
    <s v="Дополнительное соглашение № 1 к договору № ГЕО-24/09600/00027 от 13.02.2024"/>
    <s v="В соответствии с пунктом 1.3 договора от 13.02.2024 № ГЕО-24/09600/0027 о практической подготовке при реализации (проведении) практики обучающихся _x000a_РГПУ им. А. И. Герцена (далее — договор) Стороны согласовали перечень образовательных программ, компоненты образовательных программ, количество обучающихся, осваивающих компоненты образовательных программ, а также сроки организации практической подготовки при реализации (проведении) практики в соответствии с приложением № 1, являющимся неотъемлемой частью настоящего дополнительного соглашения._x000a_2. В соответствии с пунктом 1.4 договора Стороны согласовали перечень помещений Профильной организации в соответствии с приложением № 2, являющимся неотъемлемой частью настоящего дополнительного соглашения."/>
    <s v="Буракова О.В."/>
    <s v="Буракова О.В."/>
    <s v="Договорный документ"/>
    <s v="Отдел административной поддержки бизнеса"/>
    <s v="Игнатова Ю.В."/>
    <s v="На бумажном носителе"/>
    <s v="С ограничением по срокам "/>
    <d v="2024-04-22T00:00:00"/>
    <d v="2024-05-18T00:00:00"/>
    <s v="Д-66"/>
    <s v="Договор на прохождение практики студентами"/>
    <s v="Не предполагает взаиморасчетов"/>
    <s v=""/>
    <s v=""/>
    <s v=""/>
    <s v=""/>
    <s v=""/>
    <s v=""/>
    <s v=""/>
    <s v="нет"/>
    <s v="нет"/>
    <s v=""/>
    <s v=""/>
    <s v=""/>
    <s v=""/>
    <s v="нет"/>
  </r>
  <r>
    <s v="Газпромнефть-ГЕО, ООО"/>
    <s v="0000008602"/>
    <s v="Зарегистрирован"/>
    <d v="2021-04-01T00:00:00"/>
    <s v=""/>
    <x v="32"/>
    <s v="5504036333"/>
    <s v="ГПН-18/09000/02142/Р от 07.09.2018г."/>
    <s v=""/>
    <s v="ДС №9 к Договору № ГПН-18/09000/02142/Р от 07 сентября 2018 г."/>
    <s v="Нетиповой ДД"/>
    <x v="0"/>
    <s v=""/>
    <s v="00072-21"/>
    <s v=""/>
    <s v="Выполнение операторских работ и оказание операторских услуг"/>
    <s v="Оказание операторских услуг на Солнечном ЛУ"/>
    <s v="Кошелева Ю.В."/>
    <s v="Кошелева Ю.В."/>
    <s v="Договорный документ"/>
    <s v="Управление экономического планирования и анализа"/>
    <s v="Шакирзянов Л.Н."/>
    <s v="На бумажном носителе"/>
    <s v="С ограничением по срокам "/>
    <d v="2021-04-01T00:00:00"/>
    <d v="2021-12-31T00:00:00"/>
    <s v=""/>
    <s v="ПРОЧИЕ ДОГОВОРЫ"/>
    <s v="Доходная часть"/>
    <s v="Стоимостной"/>
    <s v="20%"/>
    <s v=""/>
    <s v=""/>
    <s v="1 251 566 277.14"/>
    <s v="1 042 971 897.62"/>
    <s v="208 594 379.52"/>
    <s v="нет"/>
    <s v="нет"/>
    <s v=""/>
    <s v=""/>
    <s v=""/>
    <s v=""/>
    <s v="нет"/>
  </r>
  <r>
    <s v="Газпромнефть-ГЕО, ООО"/>
    <s v="0000039463"/>
    <s v="Зарегистрирован"/>
    <d v="2022-01-01T00:00:00"/>
    <s v=""/>
    <x v="39"/>
    <s v="8905034804"/>
    <s v="АНГ-18/09000/00186/Р "/>
    <s v=""/>
    <s v="9"/>
    <s v="Нетиповой ДД"/>
    <x v="0"/>
    <s v=""/>
    <s v="00072-22"/>
    <s v=""/>
    <s v="Дополнительное соглашение №9 к Договору о выполнении операторских работ и оказании операторских услуг (проект Чона)"/>
    <s v="Согласование программы выполнения работ и оказания услуг на 2022г. в рамках программы проектов ГРР: Чона (Игнялинский ЛУ, Вакунайский ЛУ, Тымпучиканский ЛУ)."/>
    <s v="Частухина Е.В."/>
    <s v="Частухина Е.В."/>
    <s v="Договорный документ"/>
    <s v="Управление экономического планирования и анализа"/>
    <s v="Шакирзянов Л.Н."/>
    <s v="На бумажном носителе"/>
    <s v="С ограничением по срокам "/>
    <d v="2022-01-01T00:00:00"/>
    <d v="2022-12-31T00:00:00"/>
    <s v="Д-53"/>
    <s v="Договор возмездного оказания услуг"/>
    <s v="Доходная часть"/>
    <s v="Стоимостной"/>
    <s v="20%"/>
    <s v=""/>
    <s v=""/>
    <s v="519 255 467.46"/>
    <s v="432 712 889.55"/>
    <s v="86 542 577.91"/>
    <s v="нет"/>
    <s v="нет"/>
    <s v=""/>
    <s v=""/>
    <s v=""/>
    <s v=""/>
    <s v="нет"/>
  </r>
  <r>
    <s v="Газпромнефть-ГЕО, ООО"/>
    <s v="0000062894"/>
    <s v="Зарегистрирован"/>
    <d v="2023-02-09T00:00:00"/>
    <s v=""/>
    <x v="47"/>
    <s v="7017253595"/>
    <s v="ГЕО-23/10150/00017/Р"/>
    <s v=""/>
    <s v="1"/>
    <s v="Нетиповой ДД"/>
    <x v="0"/>
    <s v=""/>
    <s v="00072-23"/>
    <s v=""/>
    <s v="ДС №1 к Договору №ГЕО-23/10150/00017/Р от «10» января 2023 г."/>
    <s v="Включение в договор реквизитов Исполнителя"/>
    <s v="Ушакова М.А."/>
    <s v=""/>
    <s v="Договорный документ"/>
    <s v="Блок геологии и разработки"/>
    <s v="Аксенов М.А."/>
    <s v="ЭП"/>
    <s v="С ограничением по срокам "/>
    <d v="2023-02-09T00:00:00"/>
    <d v="2025-12-31T00:00:00"/>
    <s v=""/>
    <s v="Газодинамические исследования"/>
    <s v="Не предполагает взаиморасчетов"/>
    <s v="Рамочный"/>
    <s v=""/>
    <s v=""/>
    <s v=""/>
    <s v=""/>
    <s v=""/>
    <s v=""/>
    <s v="нет"/>
    <s v="нет"/>
    <s v=""/>
    <s v=""/>
    <s v=""/>
    <s v=""/>
    <s v="нет"/>
  </r>
  <r>
    <s v="Газпромнефть-ГЕО, ООО"/>
    <s v="0000025354"/>
    <s v="Зарегистрирован"/>
    <d v="2024-02-21T00:00:00"/>
    <s v=""/>
    <x v="111"/>
    <s v="5003026493"/>
    <s v=""/>
    <s v="ГЕО-24/27100/00040/Д"/>
    <s v="ГЕО-24/27100/00040/Д"/>
    <s v="Нетиповой ДД"/>
    <x v="2"/>
    <s v=""/>
    <s v="00072-24"/>
    <s v=""/>
    <s v=" Договор поставки ДТ"/>
    <s v="Коллеги, добрый день!_x000a_К нам обратились Газпром Бурение по вопросу выкупа у ГЕО остатков ДТ на проекте «Титан» (Северо-Ямбургский ЛУ). Закуп/поставка ДТ на ЛУ был произведен в  2022 году. Остатки в ИС SAP на 14.02.24 - 225,433 тн на сумму 12.941.747,19 рублей без НДС, средняя цена 57 613.24 руб. без НДС за тонну (цены за партии разные)._x000a_Ожидаемые остатки ДТ в момент демобилизации Газпром Бурения с ЛУ – 100-200 тн., подлежащие продаже._x000a_Протоколом ПДК узаконено решение о продаже ДТ на условиях формирования цены по рыночной оценке и цене – 65 617.42 руб. без НДС._x000a__x000a_ВАЖНО! КОЛЛЕГИ ИЗ &quot;Газпромнефть Экспертные решения&quot;, прошу Вас обратить внимание на пункты раздела 8, они указаны в нашей редакции, но, рядом в примечание указано как это желают видеть коллеги - покупатели из Газпром Бурение. Можем ли принять желаемую ими редакцию?_x000a_"/>
    <s v="Нежальских В.А."/>
    <s v="Нежальских В.А."/>
    <s v="Договорный документ"/>
    <s v="Управление материально-технического обеспечения, транспортного обеспечения и сопутствующих сервисов"/>
    <s v="Ковтун М.А."/>
    <s v="ЭП"/>
    <s v="С ограничением по срокам "/>
    <d v="2024-03-01T00:00:00"/>
    <d v="2024-12-31T00:00:00"/>
    <s v="Д-62"/>
    <s v="Договор поставки нефтепродуктов (рубли)"/>
    <s v="Доходная часть"/>
    <s v="Стоимостной"/>
    <s v="20%"/>
    <s v=""/>
    <s v=""/>
    <s v="19 685 226.00"/>
    <s v="16 404 355.00"/>
    <s v="3 280 871.00"/>
    <s v="нет"/>
    <s v="нет"/>
    <s v=""/>
    <s v=""/>
    <s v=""/>
    <s v=""/>
    <s v="нет"/>
  </r>
  <r>
    <s v="Газпромнефть-ГЕО, ООО"/>
    <s v="0000056254"/>
    <s v="Закрыт"/>
    <d v="2021-04-01T00:00:00"/>
    <s v=""/>
    <x v="23"/>
    <s v="7839415866"/>
    <s v=""/>
    <s v="ГЕО-21/00000/00110"/>
    <s v="ГЕО-21/00000/00110"/>
    <s v="Нетиповой ДД"/>
    <x v="1"/>
    <s v=""/>
    <s v="00073-21"/>
    <s v=""/>
    <s v="Соглашение об использовании электронного документооборота "/>
    <s v="Обмен электронными документами"/>
    <s v="Глухарева Ю.Б."/>
    <s v=" Глухарева Ю.Б."/>
    <s v="Договорный документ"/>
    <s v="Блок корпоративной защиты"/>
    <s v="Ковтун М.А."/>
    <s v="На бумажном носителе"/>
    <s v="Без сроков "/>
    <d v="2021-04-01T00:00:00"/>
    <s v=""/>
    <s v="Д-5"/>
    <s v="ПРОЧИЕ ДОГОВОРЫ"/>
    <s v="Не предполагает взаиморасчетов"/>
    <s v=""/>
    <s v=""/>
    <s v=""/>
    <s v=""/>
    <s v=""/>
    <s v=""/>
    <s v=""/>
    <s v="нет"/>
    <s v="нет"/>
    <s v=""/>
    <s v=""/>
    <s v=""/>
    <s v=""/>
    <s v="нет"/>
  </r>
  <r>
    <s v="Газпромнефть-ГЕО, ООО"/>
    <s v="0000008602"/>
    <s v="Закрыт"/>
    <d v="2022-01-01T00:00:00"/>
    <s v=""/>
    <x v="32"/>
    <s v="5504036333"/>
    <s v="ГЕО-21/09000/00043/Д"/>
    <s v=""/>
    <s v="2"/>
    <s v="Нетиповой ДД"/>
    <x v="0"/>
    <s v=""/>
    <s v="00073-22"/>
    <s v=""/>
    <s v="Дополнительное соглашение №2"/>
    <s v="Увеличение суммы"/>
    <s v="Андреева И.В."/>
    <s v="Ибрагимов А.М."/>
    <s v="Договорный документ"/>
    <s v="Управление экономического планирования и анализа"/>
    <s v="Ковтун М.А."/>
    <s v="На бумажном носителе"/>
    <s v="С ограничением по срокам "/>
    <d v="2022-01-01T00:00:00"/>
    <d v="2023-12-31T00:00:00"/>
    <s v="Д-62"/>
    <s v="Договор возмездного оказания услуг"/>
    <s v="Доходная часть"/>
    <s v="Стоимостной"/>
    <s v="20%"/>
    <s v=""/>
    <s v=""/>
    <s v="77 686 254.95"/>
    <s v="64 738 545.79"/>
    <s v="12 947 709.16"/>
    <s v="нет"/>
    <s v="нет"/>
    <s v=""/>
    <s v=""/>
    <s v=""/>
    <s v=""/>
    <s v="нет"/>
  </r>
  <r>
    <s v="Газпромнефть-ГЕО, ООО"/>
    <s v="0000062894"/>
    <s v="Зарегистрирован"/>
    <d v="2023-02-06T00:00:00"/>
    <s v=""/>
    <x v="47"/>
    <s v="7017253595"/>
    <s v="ГЕО-23/10150/00017/Р"/>
    <s v=""/>
    <s v="1"/>
    <s v="Нетиповой ДД"/>
    <x v="7"/>
    <s v=""/>
    <s v="00073-23"/>
    <s v=""/>
    <s v="Наряд-заказ №1 к Договору №ГЕО-23/10150/00017/Р от «10» января 2023 г. с ООО «ИЦ ГазИнформПласт» "/>
    <s v="Оказание услуг 10150 «Проведение газодинамических/газоконденсатных/гидродинамических исследований скважин» на Северо-Ямбургском ЛУ в 2023 году_x000d__x000a__x000d__x000a_Для информации - банковские реквизиты Исполнителя в карточке договорного документа будут указаны после заключения ДС к Договору о смене расчетного счета"/>
    <s v="Ушакова М.А."/>
    <s v=""/>
    <s v="Договорный документ"/>
    <s v="Блок геологии и разработки"/>
    <s v="Волков Г.В."/>
    <s v="ЭП"/>
    <s v="С ограничением по срокам "/>
    <d v="2023-02-06T00:00:00"/>
    <d v="2023-12-31T00:00:00"/>
    <s v="Д-16"/>
    <s v="Газодинамические исследования"/>
    <s v="Расходная часть"/>
    <s v="Рамочный"/>
    <s v="20%"/>
    <s v=""/>
    <s v=""/>
    <s v="58 520 751.32"/>
    <s v="48 767 292.77"/>
    <s v="9 753 458.55"/>
    <s v="нет"/>
    <s v="нет"/>
    <s v=""/>
    <s v=""/>
    <s v=""/>
    <s v=""/>
    <s v="нет"/>
  </r>
  <r>
    <s v="Газпромнефть-ГЕО, ООО"/>
    <s v="0000068442"/>
    <s v="Зарегистрирован"/>
    <d v="2024-02-19T00:00:00"/>
    <s v=""/>
    <x v="92"/>
    <s v="5611027573"/>
    <s v="ГЕО-21/09000/00198/Р "/>
    <s v=""/>
    <s v="6"/>
    <s v="Нетиповой ДД"/>
    <x v="3"/>
    <s v=""/>
    <s v="00073-24"/>
    <s v=""/>
    <s v="Наряд-заказ № 6"/>
    <s v="Продление срока действия Договора и сроков оказания услуг до 15.05.2024 г._x000a_Перераспределение объёмов услуг между статьями затрат и между годами, с уменьшением общей стоимости договора._x000a_"/>
    <s v="Страдымов А.Г."/>
    <s v=""/>
    <s v="Договорный документ"/>
    <s v="Блок корпоративной защиты"/>
    <s v="Созинов С.А."/>
    <s v="ЭП"/>
    <s v="С ограничением по срокам "/>
    <d v="2024-03-01T00:00:00"/>
    <d v="2024-05-15T00:00:00"/>
    <s v="Д-60"/>
    <s v="Договор возмездного оказания услуг"/>
    <s v="Расходная часть"/>
    <s v="Рамочный"/>
    <s v="без НДС"/>
    <s v=""/>
    <s v=""/>
    <s v="2 100 247.84"/>
    <s v="2 100 247.84"/>
    <n v="0"/>
    <s v="нет"/>
    <s v="нет"/>
    <s v=""/>
    <s v=""/>
    <s v=""/>
    <s v=""/>
    <s v="нет"/>
  </r>
  <r>
    <s v="Газпромнефть-ГЕО, ООО"/>
    <s v="0000074750"/>
    <s v="Зарегистрирован"/>
    <d v="2022-02-08T00:00:00"/>
    <s v=""/>
    <x v="66"/>
    <s v="8905062456"/>
    <s v="ГЕО-20/10126/00022/Р"/>
    <s v=""/>
    <s v="1"/>
    <s v="Нетиповой ДД"/>
    <x v="0"/>
    <s v=""/>
    <s v="00074-22"/>
    <s v=""/>
    <s v="ДС №1 к Договору №ГЕО-20/10126/00022/Р от 15.01.2020 г."/>
    <s v="Включение новых расценок без изменения общей стоимости договора, а также актуализация паспортов Каркаса безопасности."/>
    <s v="Ушакова М.А."/>
    <s v="Ушакова М.А."/>
    <s v="Договорный документ"/>
    <s v="Блок геологии и разработки"/>
    <s v="Аксенов М.А."/>
    <s v="На бумажном носителе"/>
    <s v="С ограничением по срокам "/>
    <d v="2022-02-08T00:00:00"/>
    <d v="2023-12-31T00:00:00"/>
    <s v=""/>
    <s v="Договор возмездного оказания услуг"/>
    <s v="Не предполагает взаиморасчетов"/>
    <s v=""/>
    <s v=""/>
    <s v=""/>
    <s v=""/>
    <s v=""/>
    <s v=""/>
    <s v=""/>
    <s v="нет"/>
    <s v="нет"/>
    <s v=""/>
    <s v=""/>
    <s v=""/>
    <s v=""/>
    <s v="нет"/>
  </r>
  <r>
    <s v="Газпромнефть-ГЕО, ООО"/>
    <s v="0000093917"/>
    <s v="Зарегистрирован"/>
    <d v="2023-02-16T00:00:00"/>
    <s v=""/>
    <x v="9"/>
    <s v="5609193118"/>
    <s v=""/>
    <s v="ГЕО-23/33400/00040"/>
    <s v="ГЕО-23/33400/00040"/>
    <s v="Нетиповой ДД"/>
    <x v="1"/>
    <s v=""/>
    <s v="00074-23"/>
    <s v=""/>
    <s v="Соглашение о безопасном использовании информационных систем"/>
    <s v="Согласешие по СУДИР"/>
    <s v="Автеньев М.В."/>
    <s v="Автеньев М.В."/>
    <s v="Договорный документ"/>
    <s v="Блок производственной безопасности"/>
    <s v="Созинов С.А."/>
    <s v="ЭП"/>
    <s v="С ограничением по срокам "/>
    <d v="2023-02-16T00:00:00"/>
    <d v="2026-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114895"/>
    <s v="Зарегистрирован"/>
    <d v="2024-03-01T00:00:00"/>
    <s v=""/>
    <x v="112"/>
    <s v="110603361944"/>
    <s v=""/>
    <s v="ГЕО-24/25000/00042/Р"/>
    <s v="ГЕО-24/25000/00042/Р"/>
    <s v="Типовой ДД"/>
    <x v="2"/>
    <s v="25000 Договор об оказании услуг физическим лицом (без выезда на Лицензионные участки Заказчика)"/>
    <s v="00074-24"/>
    <s v=""/>
    <s v="25000 Договор об оказании услуг физическим лицом (без выезда на Лицензионные участки Заказчика)"/>
    <s v="Заключение договора ГПХ на услуги в области эффективности контрактования"/>
    <s v="Калимуллина Д.И."/>
    <s v="Калимуллина Д.И."/>
    <s v="Договорный документ"/>
    <s v="Управление экономического планирования и анализа"/>
    <s v="Масалкин Ю.В."/>
    <s v="На бумажном носителе"/>
    <s v="До исполнения обязательств"/>
    <d v="2024-03-01T00:00:00"/>
    <s v=""/>
    <s v=""/>
    <s v="Договор оказания услуг с физическим лицом"/>
    <s v="Расходная часть"/>
    <s v="Стоимостной"/>
    <s v="13%"/>
    <s v=""/>
    <s v=""/>
    <s v="1 020 000.00"/>
    <s v="887 400.00"/>
    <s v="132 600.00"/>
    <s v="нет"/>
    <s v="нет"/>
    <s v=""/>
    <s v=""/>
    <s v=""/>
    <s v=""/>
    <s v="нет"/>
  </r>
  <r>
    <s v="Газпромнефть-ГЕО, ООО"/>
    <s v="0000047431"/>
    <s v="Закрыт"/>
    <d v="2021-04-15T00:00:00"/>
    <s v=""/>
    <x v="8"/>
    <s v="7706623585"/>
    <s v=""/>
    <s v="ГЕО-21/00000/00111"/>
    <s v="ГЕО-21/00000/00111"/>
    <s v="Нетиповой ДД"/>
    <x v="1"/>
    <s v=""/>
    <s v="00075-21"/>
    <s v=""/>
    <s v="Соглашение об ЭДО"/>
    <s v="Для установления электронного документооборота с контрагентом"/>
    <s v="Сасса А.В."/>
    <s v=""/>
    <s v="Договорный документ"/>
    <s v="Управление по работе с персоналом"/>
    <s v="Масалкин Ю.В."/>
    <s v="На бумажном носителе"/>
    <s v="Без сроков "/>
    <d v="2021-04-15T00:00:00"/>
    <s v=""/>
    <s v=""/>
    <s v="ПРОЧИЕ ДОГОВОРЫ"/>
    <s v="Не предполагает взаиморасчетов"/>
    <s v=""/>
    <s v=""/>
    <s v=""/>
    <s v=""/>
    <s v=""/>
    <s v=""/>
    <s v=""/>
    <s v="нет"/>
    <s v="нет"/>
    <s v=""/>
    <s v=""/>
    <s v=""/>
    <s v=""/>
    <s v="нет"/>
  </r>
  <r>
    <s v="Газпромнефть-ГЕО, ООО"/>
    <s v="0000086584"/>
    <s v="Зарегистрирован"/>
    <d v="2022-01-01T00:00:00"/>
    <s v=""/>
    <x v="113"/>
    <s v="5609077986"/>
    <s v="№ ГЕО-18/00000/00025Д "/>
    <s v=""/>
    <s v="7"/>
    <s v="Нетиповой ДД"/>
    <x v="0"/>
    <s v=""/>
    <s v="00075-22"/>
    <s v=""/>
    <s v="Дополнительное соглашение №7 к Договору о выполнении операторских работ и оказании операторских услуг (Оморинский ЛУ)"/>
    <s v="частичный перевод негарантированного объема 2022г. в гарантированный в рамках программы выполнения работ и оказания услуг ГРР по Оморинскому ЛУ на 2021-2022гг. "/>
    <s v="Частухина Е.В."/>
    <s v="Частухина Е.В."/>
    <s v="Договорный документ"/>
    <s v="Управление экономического планирования и анализа"/>
    <s v="Шакирзянов Л.Н."/>
    <s v="На бумажном носителе"/>
    <s v="С ограничением по срокам "/>
    <d v="2022-01-01T00:00:00"/>
    <d v="2022-12-31T00:00:00"/>
    <s v="Д-53"/>
    <s v="Договор возмездного оказания услуг"/>
    <s v="Доходная часть"/>
    <s v="Стоимостной"/>
    <s v="20%"/>
    <s v=""/>
    <s v=""/>
    <s v="1 098 903 693.38"/>
    <s v="915 753 077.82"/>
    <s v="183 150 615.56"/>
    <s v="нет"/>
    <s v="нет"/>
    <s v=""/>
    <s v=""/>
    <s v=""/>
    <s v=""/>
    <s v="нет"/>
  </r>
  <r>
    <s v="Газпромнефть-ГЕО, ООО"/>
    <s v="0000087378"/>
    <s v="Зарегистрирован"/>
    <d v="2023-01-30T00:00:00"/>
    <s v=""/>
    <x v="97"/>
    <s v="7204203139"/>
    <s v="ГЕО-21/08000/00297/Р"/>
    <s v=""/>
    <s v="1/23-297"/>
    <s v="Нетиповой ДД"/>
    <x v="3"/>
    <s v=""/>
    <s v="00075-23"/>
    <s v=""/>
    <s v="Хранение кернового материала ООО &quot;ГПН-ГЕО&quot;"/>
    <s v="Хранение и систематизация кернового материала"/>
    <s v="Ябиров Р.З."/>
    <s v=""/>
    <s v="Договорный документ"/>
    <s v="Блок геологии и разработки"/>
    <s v="Аксенов М.А."/>
    <s v="На бумажном носителе"/>
    <s v="С ограничением по срокам "/>
    <d v="2023-01-31T00:00:00"/>
    <d v="2023-12-31T00:00:00"/>
    <s v="Д-54"/>
    <s v="Договор на выполнение НИР, ОКР и технологических работ"/>
    <s v="Расходная часть"/>
    <s v="Рамочный"/>
    <s v="20%"/>
    <s v=""/>
    <s v=""/>
    <s v="1 270 461.58"/>
    <s v="1 058 717.98"/>
    <s v="211 743.60"/>
    <s v="нет"/>
    <s v="нет"/>
    <s v=""/>
    <s v=""/>
    <s v=""/>
    <s v=""/>
    <s v="нет"/>
  </r>
  <r>
    <s v="Газпромнефть-ГЕО, ООО"/>
    <s v="0000069013"/>
    <s v="Зарегистрирован"/>
    <d v="2024-02-20T00:00:00"/>
    <s v=""/>
    <x v="114"/>
    <s v="7203218005"/>
    <s v=""/>
    <s v="ГЕО-24/33400/00039"/>
    <s v="ГЕО-24/33400/00039"/>
    <s v="Нетиповой ДД"/>
    <x v="1"/>
    <s v=""/>
    <s v="00075-24"/>
    <s v=""/>
    <s v="Соглашение о  безопасном использовании информационных систем"/>
    <s v="ООО &quot;ГПН-ГЕО&quot; в связи с заключенным с ООО &quot;ИнтерТайм&quot; договором на оказание услуг обязуется в рамках ст. 718 Гражданского кодекса РФ предоставить доступ к автоматизированной информационной системе «СУДИР» (далее – «СУДИР») и к информационным ресурсам через СУДИР (далее – «ИР») сотрудникам Стороны-2 без ограничений по количеству предоставляемых доступов к СУДИР"/>
    <s v="Липатова О.И."/>
    <s v=""/>
    <s v="Договорный документ"/>
    <s v="Отдел экологической безопасности"/>
    <s v="Созинов С.А."/>
    <s v="ЭП"/>
    <s v="С ограничением по срокам "/>
    <d v="2024-02-20T00:00:00"/>
    <d v="2024-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72503"/>
    <s v="Закрыт"/>
    <d v="2021-04-12T00:00:00"/>
    <s v=""/>
    <x v="115"/>
    <s v="7704306397"/>
    <s v=""/>
    <s v="ГЕО-21/24000/00113/Р"/>
    <s v="ГЕО-21/24000/00113/Р"/>
    <s v="Нетиповой ДД"/>
    <x v="2"/>
    <s v=""/>
    <s v="00076-21"/>
    <s v=""/>
    <s v="ЛИЦЕНЗИОННЫЙ ДОГОВОР О ПРЕДОСТАВЛЕНИИ ПРАВА ИСПОЛЬЗОВАНИЯ НОВЫХ ВЕРСИЙ  ПРОГРАММ ДЛЯ ЭЛЕКТРОННО-ВЫЧИСЛИТЕЛЬНЫХ МАШИН (ЛИЦЕНЗИИ) "/>
    <s v="Закупка технической поддержки КИБ Серчинформ"/>
    <s v="Бринкис В.В."/>
    <s v="Бринкис Вячеслав Валентинович"/>
    <s v="Договорный документ"/>
    <s v="Блок корпоративной защиты"/>
    <s v="Созинов С.А."/>
    <s v="На бумажном носителе"/>
    <s v="С ограничением по срокам "/>
    <d v="2021-04-12T00:00:00"/>
    <d v="2021-12-31T00:00:00"/>
    <s v=""/>
    <s v="Лицензионный договор"/>
    <s v="Расходная часть"/>
    <s v="Стоимостной"/>
    <s v="без НДС"/>
    <s v=""/>
    <s v=""/>
    <s v="406 615.56"/>
    <s v="406 615.56"/>
    <n v="0"/>
    <s v="нет"/>
    <s v="да"/>
    <s v="100"/>
    <s v="406 615,56"/>
    <s v=""/>
    <s v=""/>
    <s v="нет"/>
  </r>
  <r>
    <s v="Газпромнефть-ГЕО, ООО"/>
    <s v="0000039714"/>
    <s v="Зарегистрирован"/>
    <d v="2022-02-08T00:00:00"/>
    <s v=""/>
    <x v="1"/>
    <s v="7734033757"/>
    <s v="ГЕО-21/10114/00257/Р"/>
    <s v=""/>
    <s v="2"/>
    <s v="Нетиповой ДД"/>
    <x v="0"/>
    <s v=""/>
    <s v="00076-22"/>
    <s v=""/>
    <s v="10114 - Супервайзерские услуги полевых работ площадными геофизическими методами;"/>
    <s v="Перевод части негарантированного объёма в гарантированный. "/>
    <s v="Дакиров В.С."/>
    <s v=""/>
    <s v="Договорный документ"/>
    <s v="Управление сейсморазведочных работ"/>
    <s v="Аксенов М.А."/>
    <s v="На бумажном носителе"/>
    <s v="До исполнения обязательств"/>
    <d v="2022-02-08T00:00:00"/>
    <s v=""/>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70037, 0000067121"/>
    <s v="Зарегистрирован"/>
    <d v="2024-02-08T00:00:00"/>
    <s v=""/>
    <x v="116"/>
    <s v="7802754982, 7202171361"/>
    <s v=""/>
    <s v="ГЕО-24/33000/00038"/>
    <s v="ГЕО-24/33000/00038"/>
    <s v="Нетиповой ДД"/>
    <x v="1"/>
    <s v=""/>
    <s v="00076-24"/>
    <s v=""/>
    <s v="Уведомление-соглашение"/>
    <s v="Переход на факторинговое обслуживание по договору №ХНТ-20/10110/967/Р/60/ГЕО-20/10110/00198/Р от 06.10.2020 г "/>
    <s v="Ушакова М.А."/>
    <s v=""/>
    <s v="Договорный документ"/>
    <s v="Блок геологии и разработки"/>
    <s v="Аксенов М.А."/>
    <s v="На бумажном носителе"/>
    <s v="С ограничением по срокам "/>
    <d v="2024-02-08T00:00:00"/>
    <d v="2024-12-31T00:00:00"/>
    <s v=""/>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66314"/>
    <s v="Зарегистрирован"/>
    <d v="2021-04-20T00:00:00"/>
    <s v=""/>
    <x v="74"/>
    <s v="7202242358"/>
    <s v="№ АНГ-19/11513/00010/Р "/>
    <s v=""/>
    <s v="ДС№1 к договору № АНГ-19/11513/00010/Р "/>
    <s v="Нетиповой ДД"/>
    <x v="0"/>
    <s v=""/>
    <s v="00077-21"/>
    <s v=""/>
    <s v="ДС№1 к договору № АНГ-19/11513/00010/Р "/>
    <s v="изменение реквизитов К/А"/>
    <s v="Титаева И.А."/>
    <s v="Титаева И.А."/>
    <s v="Договорный документ"/>
    <s v="Управление маркшейдерско-землеустроительных работ"/>
    <s v="Зизаев Р.М."/>
    <s v="На бумажном носителе"/>
    <s v="С ограничением по срокам "/>
    <d v="2021-04-20T00:00:00"/>
    <d v="2021-12-31T00:00:00"/>
    <s v=""/>
    <s v="Выполнение комплекса топографо-геодезических, землеустроительных и лесоустроительных  работ "/>
    <s v="Не предполагает взаиморасчетов"/>
    <s v="Рамочный"/>
    <s v=""/>
    <s v=""/>
    <s v=""/>
    <s v=""/>
    <s v=""/>
    <s v=""/>
    <s v="нет"/>
    <s v="нет"/>
    <s v=""/>
    <s v=""/>
    <s v=""/>
    <s v=""/>
    <s v="нет"/>
  </r>
  <r>
    <s v="Газпромнефть-ГЕО, ООО"/>
    <s v="0000063179"/>
    <s v="Зарегистрирован"/>
    <d v="2022-02-10T00:00:00"/>
    <s v=""/>
    <x v="54"/>
    <s v="7727747172"/>
    <s v="ГЕО-20/10986/00138/Р от 10.08.2020г."/>
    <s v=""/>
    <s v="17"/>
    <s v="Нетиповой ДД"/>
    <x v="3"/>
    <s v=""/>
    <s v="00077-22"/>
    <s v=""/>
    <s v="Задание № 17 на выполнение НГО работ к Договору № ГЕО-20/10986/00138/Р от 10.08.2020г.  с компанией ООО «ОГК» (в редакции ДС № 7) на оказание супервайзерских услуг по контролю состояния производственной безопасности в 2022 году на Тай"/>
    <s v="Задание № 17 на выполнение негарантированного объема работ к Договору № ГЕО-20/10986/00138/Р от 10.08.2020г.  с компанией ООО «ОГК» (в редакции ДС № 7) на оказание супервайзерских услуг по контролю состояния производственной безопасности в 2022 году на Тайлаковском ЛУ"/>
    <s v="Рябикина М.А."/>
    <s v="Подколзин А.С."/>
    <s v="Договорный документ"/>
    <s v="Блок производственной безопасности"/>
    <s v="Власов М.М."/>
    <s v="На бумажном носителе"/>
    <s v="С ограничением по срокам "/>
    <d v="2022-02-10T00:00:00"/>
    <d v="2022-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3 386 222.40"/>
    <s v="2 821 852.00"/>
    <s v="564 370.40"/>
    <s v="нет"/>
    <s v="нет"/>
    <s v=""/>
    <s v=""/>
    <s v=""/>
    <s v=""/>
    <s v="нет"/>
  </r>
  <r>
    <s v="Газпромнефть-ГЕО, ООО"/>
    <s v="0000038433"/>
    <s v="Зарегистрирован"/>
    <d v="2023-02-13T00:00:00"/>
    <s v=""/>
    <x v="117"/>
    <s v="7707113869"/>
    <s v=""/>
    <s v="ГЕО-23/09000/00036/Р"/>
    <s v="ГЕО-23/09000/00036/Р"/>
    <s v="Типовой ДД"/>
    <x v="2"/>
    <s v="09000 Договор на возмездное оказание услуг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90804 по КТ-777)"/>
    <s v="00077-23"/>
    <s v=""/>
    <s v="09000 Договор на возмездное оказание услуг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90804 по КТ-777)"/>
    <s v="Оказание услуги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
    <s v="Безруков А.А."/>
    <s v="Авдеева Д.Б."/>
    <s v="Договорный документ"/>
    <s v="Блок снабжения и закупок"/>
    <s v="Буракова О.В."/>
    <s v="ЭП"/>
    <s v="С ограничением по срокам "/>
    <d v="2023-02-13T00:00:00"/>
    <d v="2026-02-28T00:00:00"/>
    <s v="Д-46"/>
    <s v="Договор возмездного оказания услуг"/>
    <s v="Расходная часть"/>
    <s v="Стоимостной"/>
    <s v="20%"/>
    <s v=""/>
    <s v=""/>
    <s v="390 579 034.03"/>
    <s v="325 482 528.36"/>
    <s v="65 096 505.67"/>
    <s v="нет"/>
    <s v="нет"/>
    <s v=""/>
    <s v=""/>
    <s v=""/>
    <s v=""/>
    <s v="нет"/>
  </r>
  <r>
    <s v="Газпромнефть-ГЕО, ООО"/>
    <s v="0000060954"/>
    <s v="Зарегистрирован"/>
    <d v="2022-02-14T00:00:00"/>
    <s v=""/>
    <x v="75"/>
    <s v="5603007580"/>
    <s v=""/>
    <s v="ГЕО-22/10000/00036/Р"/>
    <s v="ГЕО-22/10000/00036/Р"/>
    <s v="Нетиповой ДД"/>
    <x v="2"/>
    <s v=""/>
    <s v="00078-22"/>
    <s v=""/>
    <s v="Договор на выполнение работ по обработке призабойной зоны пласта кислотными составами"/>
    <s v="Выполнение работ по ОПЗ для проекта &quot;Южный Оренбург&quot;"/>
    <s v="Быков Н.В."/>
    <s v="Рымаренко А.А."/>
    <s v="Договорный документ"/>
    <s v="Блок бурения и ВСР"/>
    <s v="Гаврилов С.В."/>
    <s v="На бумажном носителе"/>
    <s v="С ограничением по срокам "/>
    <d v="2022-02-14T00:00:00"/>
    <d v="2024-12-31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66 018 781.10"/>
    <s v="55 015 650.92"/>
    <s v="11 003 130.18"/>
    <s v="нет"/>
    <s v="нет"/>
    <s v=""/>
    <s v=""/>
    <s v=""/>
    <s v=""/>
    <s v="нет"/>
  </r>
  <r>
    <s v="Газпромнефть-ГЕО, ООО"/>
    <s v="0000087796"/>
    <s v="Зарегистрирован"/>
    <d v="2024-02-15T00:00:00"/>
    <s v=""/>
    <x v="89"/>
    <s v="692700520683"/>
    <s v=""/>
    <s v="ГЕО-24/26000/00033"/>
    <s v="ГЕО-24/26000/00033"/>
    <s v="Типовой ДД"/>
    <x v="1"/>
    <s v="26000 Договор о конфиденциальности с физическим лицом"/>
    <s v="00078-24"/>
    <s v=""/>
    <s v="26000 Договор о конфиденциальности с физическим лицом"/>
    <s v="Обязательства Исполнителя, оказывающего Обществу услуги на основании договора №ГЕО-24/25000/00026/Р  от 15.02.2024г, по неразглашению информации, составляющей коммерческую тайну и иной конфиденциальной информации Общества и его контрагентов"/>
    <s v="Войтенко М.А."/>
    <s v=""/>
    <s v="Договорный документ"/>
    <s v="Управление планирования и контроля реализации проектов"/>
    <s v="Масалкин Ю.В."/>
    <s v="На бумажном носителе"/>
    <s v="С ограничением по срокам "/>
    <d v="2024-02-15T00:00:00"/>
    <d v="2024-12-28T00:00:00"/>
    <s v=""/>
    <s v="Соглашение о конфиденциальности"/>
    <s v="Не предполагает взаиморасчетов"/>
    <s v=""/>
    <s v=""/>
    <s v=""/>
    <s v=""/>
    <s v=""/>
    <s v=""/>
    <s v=""/>
    <s v="нет"/>
    <s v="нет"/>
    <s v=""/>
    <s v=""/>
    <s v=""/>
    <s v=""/>
    <s v="нет"/>
  </r>
  <r>
    <s v="Газпромнефть-ГЕО, ООО"/>
    <s v="0000063179"/>
    <s v="Зарегистрирован"/>
    <d v="2022-01-25T00:00:00"/>
    <s v=""/>
    <x v="54"/>
    <s v="7727747172"/>
    <s v="ГЕО-20/10986/00138/Р от 10.08.2020г."/>
    <s v=""/>
    <s v="1"/>
    <s v="Нетиповой ДД"/>
    <x v="9"/>
    <s v=""/>
    <s v="00079-22"/>
    <s v="15"/>
    <s v="Дополнение № 1 к  Заданию № 15 на оказание супервайзерских услуг по контролю состояния производственной безопасности в 2021-2022гг. на Тайлаковском ЛУ"/>
    <s v="В связи с фактическим согласованием операторского договора с АО «Славнефть-Мегионнефтегаз» (Договор № ВР-49-10110/22-23 от 30.12.2021г.) в январе 2022 года, требуется прекратить исполнение ранее заключенного Задания № 15 с 26.01.2022г. согласно решения ГЭ (Протокол № ПТ-3/000460/01 от 16.12.21г. условие приостановки действия Задания № 15, с даты заключения операторского Договора с АО «Славнефть-Мегионнефтегаз» (заключения нового Задания с ООО &quot;ОГК&quot; на объемы операторского Договора). Так как объем оказанных услуг по состоянию на 25.01.2022г. принят к финансовому учету, то физический объем в количестве 12 суток СП ПБ (2 специалиста СП ПБ * 6 суток с 26.01.22г. по 31.01.2022г.) на сумму не более 143 484,00 рублей без НДС отнести на стоимость заключаемого Задания № 17 для исключения дублирования затрат на СП ПБ."/>
    <s v="Рябикина М.А."/>
    <s v="Подколзин А.С."/>
    <s v="Договорный документ"/>
    <s v="Блок производственной безопасности"/>
    <s v="Власов М.М."/>
    <s v="На бумажном носителе"/>
    <s v="С ограничением по срокам "/>
    <d v="2021-12-16T00:00:00"/>
    <d v="2022-01-25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n v="0.01"/>
    <n v="0.01"/>
    <n v="0"/>
    <s v="нет"/>
    <s v="нет"/>
    <s v=""/>
    <s v=""/>
    <s v=""/>
    <s v=""/>
    <s v="нет"/>
  </r>
  <r>
    <s v="Газпромнефть-ГЕО, ООО"/>
    <s v="0000089914"/>
    <s v="Закрыт"/>
    <d v="2023-01-01T00:00:00"/>
    <s v=""/>
    <x v="118"/>
    <s v="8601068576"/>
    <s v="ГЕО-21/00000/00282/Д"/>
    <s v=""/>
    <s v="1"/>
    <s v="Нетиповой ДД"/>
    <x v="0"/>
    <s v=""/>
    <s v="00079-23"/>
    <s v=""/>
    <s v="Дополнительное соглашение № 1 к Договору № ГПН/С-21/11/Р / ГЕО-21/00000/00282/Д от 07 августа 2021 г. о выполнении операторских работ и оказании операторских услуг "/>
    <s v="Изменение программы выполнения Работ и оказания Услуг "/>
    <s v="Блинова Д.М."/>
    <s v="Блинова Д.М."/>
    <s v="Договорный документ"/>
    <s v="Управление экономического планирования и анализа"/>
    <s v="Аксенов М.А."/>
    <s v="На бумажном носителе"/>
    <s v="С ограничением по срокам "/>
    <d v="2023-01-01T00:00:00"/>
    <d v="2024-12-31T00:00:00"/>
    <s v=""/>
    <s v="Договор возмездного оказания услуг"/>
    <s v="Доходная часть"/>
    <s v="Стоимостной"/>
    <s v="20%"/>
    <s v=""/>
    <s v=""/>
    <s v="348 033 669.60"/>
    <s v="290 028 058.00"/>
    <s v="58 005 611.60"/>
    <s v="нет"/>
    <s v="нет"/>
    <s v=""/>
    <s v=""/>
    <s v=""/>
    <s v=""/>
    <s v="нет"/>
  </r>
  <r>
    <s v="Газпромнефть-ГЕО, ООО"/>
    <s v="0000068442"/>
    <s v="Зарегистрирован"/>
    <d v="2024-02-19T00:00:00"/>
    <s v=""/>
    <x v="92"/>
    <s v="5611027573"/>
    <s v=""/>
    <s v="ГЕО-24/33100/00034"/>
    <s v="ГЕО-24/33100/00034"/>
    <s v="Типовой ДД"/>
    <x v="1"/>
    <s v="33100 Соглашение в области производственной безопасности"/>
    <s v="00079-24"/>
    <s v=""/>
    <s v="33100 Соглашение в области производственной безопасности"/>
    <s v="Соглашение в области производственной безопасности (ПБ)"/>
    <s v="Страдымов А.Г."/>
    <s v="Страдымов А.Г."/>
    <s v="Договорный документ"/>
    <s v="Блок корпоративной защиты"/>
    <s v="Михайлов Ю.А."/>
    <s v="ЭП"/>
    <s v="До исполнения обязательств"/>
    <d v="2024-02-19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8878"/>
    <s v="Зарегистрирован"/>
    <d v="2021-04-20T00:00:00"/>
    <s v=""/>
    <x v="29"/>
    <s v="1645019164"/>
    <s v="ГЕО-19/10111/00120/Р/1219"/>
    <s v=""/>
    <s v="ДС №5 к № ГЕО-19/10111/00120/Р "/>
    <s v="Нетиповой ДД"/>
    <x v="0"/>
    <s v=""/>
    <s v="00080-21"/>
    <s v=""/>
    <s v="ДОПОЛНИТЕЛЬНОЕ СОГЛАШЕНИЕ № 5 к Договору № ГЕО-19/10111/00120/Р от 15.05.2019 г. по «ОБРАБОТКЕ И ИНТЕРПРЕТАЦИИ ДАННЫХ СЕЙСМОРАЗВЕДОЧНЫХ РАБОТ»"/>
    <s v="Выполнение программы работ на Первомайском ЛУ"/>
    <s v="Филичев А.В."/>
    <s v=""/>
    <s v="Договорный документ"/>
    <s v="Проект &quot;Южный Оренбург&quot;"/>
    <s v="Шакирзянов Л.Н."/>
    <s v="На бумажном носителе"/>
    <s v="До исполнения обязательств"/>
    <d v="2019-05-15T00:00:00"/>
    <s v=""/>
    <s v="Д-18"/>
    <s v="Обработка и интерпретация сейсмических данных 3Д, 2Д"/>
    <s v="Расходная часть"/>
    <s v="Стоимостной"/>
    <s v="20%"/>
    <s v=""/>
    <s v=""/>
    <s v="323 999 280.00"/>
    <s v="269 999 400.00"/>
    <s v="53 999 880.00"/>
    <s v="нет"/>
    <s v="нет"/>
    <s v=""/>
    <s v=""/>
    <s v=""/>
    <s v=""/>
    <s v="нет"/>
  </r>
  <r>
    <s v="Газпромнефть-ГЕО, ООО"/>
    <s v="0000087796"/>
    <s v="Зарегистрирован"/>
    <d v="2023-02-15T00:00:00"/>
    <s v=""/>
    <x v="89"/>
    <s v="692700520683"/>
    <s v=""/>
    <s v="ГЕО-23/25000/00039/Р"/>
    <s v="ГЕО-23/25000/00039/Р"/>
    <s v="Типовой ДД"/>
    <x v="2"/>
    <s v="25000 Договор об оказании услуг физическим лицом (без выезда на Лицензионные участки Заказчика)"/>
    <s v="00080-23"/>
    <s v=""/>
    <s v="25000 Договор об оказании услуг физическим лицом (без выезда на Лицензионные участки Заказчика)"/>
    <s v="Разработка и внедрение единого формата графического дизайна презентационных материалов для реализации целевой организационной модели управления проектами развития ресурсной базы"/>
    <s v="Войтенко М.А."/>
    <s v=""/>
    <s v="Договорный документ"/>
    <s v="Управление планирования и контроля реализации проектов"/>
    <s v="Масалкин Ю.В."/>
    <s v="На бумажном носителе"/>
    <s v="С ограничением по срокам "/>
    <d v="2023-02-15T00:00:00"/>
    <d v="2023-12-31T00:00:00"/>
    <s v=""/>
    <s v="Договор оказания услуг с физическим лицом"/>
    <s v="Расходная часть"/>
    <s v="Стоимостной"/>
    <s v="13%"/>
    <s v=""/>
    <s v=""/>
    <s v="484 000.00"/>
    <s v="421 080.00"/>
    <s v="62 920.00"/>
    <s v="нет"/>
    <s v="нет"/>
    <s v=""/>
    <s v=""/>
    <s v=""/>
    <s v=""/>
    <s v="нет"/>
  </r>
  <r>
    <s v="Газпромнефть-ГЕО, ООО"/>
    <s v="0000065849"/>
    <s v="Зарегистрирован"/>
    <d v="2024-02-20T00:00:00"/>
    <s v=""/>
    <x v="73"/>
    <s v="7816556691"/>
    <s v=""/>
    <s v="ГЕО-24/33200/00035"/>
    <s v="ГЕО-24/33200/00035"/>
    <s v="Типовой ДД"/>
    <x v="1"/>
    <s v="33200 Соглашение об электронном документообороте"/>
    <s v="00080-24"/>
    <s v=""/>
    <s v="33200 Соглашение об электронном документообороте"/>
    <s v="в целях обмена электронными документами посредством системы электронного документооборота "/>
    <s v="Коваленко М.В."/>
    <s v="Сасса А.В."/>
    <s v="Договорный документ"/>
    <s v="Управление по работе с персоналом"/>
    <s v="Ковтун М.А."/>
    <s v="ЭП"/>
    <s v="Без сроков "/>
    <d v="2024-02-2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5789"/>
    <s v="Зарегистрирован"/>
    <d v="2022-02-10T00:00:00"/>
    <s v=""/>
    <x v="16"/>
    <s v="7838395487"/>
    <s v="ГЕО-21/11708/00165/Р"/>
    <s v=""/>
    <s v="3"/>
    <s v="Нетиповой ДД"/>
    <x v="0"/>
    <s v=""/>
    <s v="00081-22"/>
    <s v=""/>
    <s v="Дополнительное соглашение №3"/>
    <s v="Изменение типа договора с рамочного на смешанный. Дополнение "/>
    <s v="Анисимов А.Н."/>
    <s v="Анисимов А.Н."/>
    <s v="Договорный документ"/>
    <s v="Управление производственной безопасности"/>
    <s v="Аксенов М.А."/>
    <s v="На бумажном носителе"/>
    <s v="С ограничением по срокам "/>
    <d v="2022-02-10T00:00:00"/>
    <d v="2026-12-31T00:00:00"/>
    <s v="Д-54"/>
    <s v="НИОКР, НИР прочие"/>
    <s v="Не предполагает взаиморасчетов"/>
    <s v=""/>
    <s v=""/>
    <s v=""/>
    <s v=""/>
    <s v=""/>
    <s v=""/>
    <s v=""/>
    <s v="нет"/>
    <s v="нет"/>
    <s v=""/>
    <s v=""/>
    <s v=""/>
    <s v=""/>
    <s v="нет"/>
  </r>
  <r>
    <s v="Газпромнефть-ГЕО, ООО"/>
    <s v="0000063179"/>
    <s v="Зарегистрирован"/>
    <d v="2023-02-06T00:00:00"/>
    <s v=""/>
    <x v="54"/>
    <s v="7727747172"/>
    <s v="00399"/>
    <s v=""/>
    <s v="1"/>
    <s v="Нетиповой ДД"/>
    <x v="0"/>
    <s v=""/>
    <s v="00081-23"/>
    <s v=""/>
    <s v="Дополнительное соглашение №1 к договору ГЕО-20/09000/00123/Р"/>
    <s v="Перенос неиспользованного гарантированного объема с 2022 в 2023 г. без увеличения общей стоимости договора"/>
    <s v="Матвеев В.Н."/>
    <s v="Матвеев В.Н."/>
    <s v="Договорный документ"/>
    <s v="Отдел по работе с подрядными организациями и безопасности на транспорте"/>
    <s v="Михайлов Ю.А."/>
    <s v="ЭП"/>
    <s v="С ограничением по срокам "/>
    <d v="2023-02-06T00:00:00"/>
    <d v="2023-12-31T00:00:00"/>
    <s v="Д-2"/>
    <s v="Договор возмездного оказания услуг"/>
    <s v="Расходная часть"/>
    <s v="Стоимостной"/>
    <s v="20%"/>
    <s v=""/>
    <s v=""/>
    <s v="2 041 946.64"/>
    <s v="1 701 622.20"/>
    <s v="340 324.44"/>
    <s v="нет"/>
    <s v="нет"/>
    <s v=""/>
    <s v=""/>
    <s v=""/>
    <s v=""/>
    <s v="нет"/>
  </r>
  <r>
    <s v="Газпромнефть-ГЕО, ООО"/>
    <s v="0000045789"/>
    <s v="Зарегистрирован"/>
    <d v="2021-03-29T00:00:00"/>
    <s v=""/>
    <x v="16"/>
    <s v="7838395487"/>
    <s v="НТЦ-18/09000/01305/Д-ГЕО/ГЕО-19/09000/00045/Р "/>
    <s v=""/>
    <s v="НТЦ-00134-21/Д"/>
    <s v="Нетиповой ДД"/>
    <x v="3"/>
    <s v=""/>
    <s v="00082-21"/>
    <s v=""/>
    <s v="заказ"/>
    <s v="Информационно-консультационные услуги  в формате вебинара по теме: _x000d__x000a_«PVT-свойства нефти, газа и пластовой воды (базовый курс для разработчиков)»_x000d__x000a_"/>
    <s v="Курашко М.В."/>
    <s v="Курашко М.В."/>
    <s v="Договорный документ"/>
    <s v="Управление по работе с персоналом"/>
    <s v="Масалкин Ю.В."/>
    <s v="На бумажном носителе"/>
    <s v="С ограничением по срокам "/>
    <d v="2021-04-19T00:00:00"/>
    <d v="2021-04-21T00:00:00"/>
    <s v=""/>
    <s v="Договор возмездного оказания услуг"/>
    <s v="Расходная часть"/>
    <s v="Рамочный"/>
    <s v="20%"/>
    <s v=""/>
    <s v=""/>
    <s v="49 680.00"/>
    <s v="41 400.00"/>
    <s v="8 280.00"/>
    <s v="нет"/>
    <s v="нет"/>
    <s v=""/>
    <s v=""/>
    <s v=""/>
    <s v=""/>
    <s v="нет"/>
  </r>
  <r>
    <s v="Газпромнефть-ГЕО, ООО"/>
    <s v=""/>
    <s v="Зарегистрирован"/>
    <d v="2022-02-11T00:00:00"/>
    <s v=""/>
    <x v="119"/>
    <s v=""/>
    <s v=""/>
    <s v="ГЕО-22/26000/00029"/>
    <s v="ГЕО-22/26000/00029"/>
    <s v="Типовой ДД"/>
    <x v="1"/>
    <s v="26000 Соглашение о конфиденциальности с российским контрагентом"/>
    <s v="00082-22"/>
    <s v=""/>
    <s v="26000 Соглашение о конфиденциальности с российским контрагентом"/>
    <s v="в рамках исполнения договора на утилизацию НСО № ГЕО-22/10968/00008/Р от 17.01.2022г. (срок действия до 31.12.2026г,)"/>
    <s v="Рябикина М.А."/>
    <s v="Рябикина М.А."/>
    <s v="Договорный документ"/>
    <s v="Блок корпоративной защиты"/>
    <s v="Созинов С.А."/>
    <s v="На бумажном носителе"/>
    <s v="С ограничением по срокам "/>
    <d v="2022-02-11T00:00:00"/>
    <d v="2026-12-31T00:00:00"/>
    <s v="Д-60"/>
    <s v="Соглашение о конфиденциальности"/>
    <s v="Не предполагает взаиморасчетов"/>
    <s v=""/>
    <s v=""/>
    <s v=""/>
    <s v=""/>
    <s v=""/>
    <s v=""/>
    <s v=""/>
    <s v="нет"/>
    <s v="нет"/>
    <s v=""/>
    <s v=""/>
    <s v=""/>
    <s v=""/>
    <s v="нет"/>
  </r>
  <r>
    <s v="Газпромнефть-ГЕО, ООО"/>
    <s v="0000073563"/>
    <s v="Зарегистрирован"/>
    <d v="2023-02-17T00:00:00"/>
    <s v=""/>
    <x v="120"/>
    <s v="8609322418"/>
    <s v="ГЕО-22/10402/00187/Р"/>
    <s v=""/>
    <s v="3"/>
    <s v="Нетиповой ДД"/>
    <x v="0"/>
    <s v=""/>
    <s v="00082-23"/>
    <s v=""/>
    <s v="ДС №3 к Договору №ГЕО-22/10402/00187/Р "/>
    <s v="Изменение рекзвизитов Подрядчика в 20 разделе Договора "/>
    <s v="Безруков А.А."/>
    <s v="Яшкина К.Л."/>
    <s v="Договорный документ"/>
    <s v="Блок снабжения и закупок"/>
    <s v="Трифонов А.В."/>
    <s v="ЭП"/>
    <s v="До исполнения обязательств"/>
    <d v="2023-02-17T00:00:00"/>
    <s v=""/>
    <s v="Д-33"/>
    <s v="Капитальный ремонт и освоение скважин"/>
    <s v="Не предполагает взаиморасчетов"/>
    <s v="Стоимостной"/>
    <s v=""/>
    <s v=""/>
    <s v=""/>
    <s v=""/>
    <s v=""/>
    <s v=""/>
    <s v="нет"/>
    <s v="нет"/>
    <s v=""/>
    <s v=""/>
    <s v=""/>
    <s v=""/>
    <s v="нет"/>
  </r>
  <r>
    <s v="Газпромнефть-ГЕО, ООО"/>
    <s v="0000102945"/>
    <s v="Зарегистрирован"/>
    <d v="2024-03-01T00:00:00"/>
    <s v=""/>
    <x v="121"/>
    <s v="7721258344"/>
    <s v=""/>
    <s v="ГЕО-24/09000/00043/Р"/>
    <s v="ГЕО-24/09000/00043/Р"/>
    <s v="Нетиповой ДД"/>
    <x v="2"/>
    <s v=""/>
    <s v="00082-24"/>
    <s v=""/>
    <s v="Договор на разработку стандарта организации по пожарной безопасности "/>
    <s v="Разработка стандарта организации по пожарной безопасности и типового проекта обоснования безопасности опасного производственного объекта для объектов «Склады временного хранения дизельного топлива с применением эластичных резервуаров»"/>
    <s v="Васильева А.И."/>
    <s v="Белоусов О.В."/>
    <s v="Договорный документ"/>
    <s v="Блок производственной безопасности"/>
    <s v="Михайлов Ю.А."/>
    <s v="ЭП"/>
    <s v="С ограничением по срокам "/>
    <d v="2024-03-01T00:00:00"/>
    <d v="2024-12-31T00:00:00"/>
    <s v="Д-2"/>
    <s v="Договор возмездного оказания услуг"/>
    <s v="Расходная часть"/>
    <s v="Стоимостной"/>
    <s v="без НДС"/>
    <s v=""/>
    <s v=""/>
    <s v="14 396 560.09"/>
    <s v="14 396 560.09"/>
    <n v="0"/>
    <s v="нет"/>
    <s v="нет"/>
    <s v=""/>
    <s v=""/>
    <s v=""/>
    <s v=""/>
    <s v="нет"/>
  </r>
  <r>
    <s v="Газпромнефть-ГЕО, ООО"/>
    <s v="0000045789"/>
    <s v="Зарегистрирован"/>
    <d v="2021-04-02T00:00:00"/>
    <s v=""/>
    <x v="16"/>
    <s v="7838395487"/>
    <s v="НТЦ-18/09000/01305/Д-ГЕО/ГЕО-19/09000/00045/Р "/>
    <s v=""/>
    <s v="НТЦ-00200-21Д"/>
    <s v="Нетиповой ДД"/>
    <x v="3"/>
    <s v=""/>
    <s v="00083-21"/>
    <s v=""/>
    <s v="заказ"/>
    <s v="Информационно-консультационные услуги в формате вебинара по теме: _x000d__x000a_«Неантиклинальные ловушки. Методические подходы к изучению, прогноз и картирование в разработке», 19.042021-21.04.2021 Мурзин Р.Р._x000d__x000a_"/>
    <s v="Курашко М.В."/>
    <s v="Курашко М.В."/>
    <s v="Договорный документ"/>
    <s v="Управление по работе с персоналом"/>
    <s v="Масалкин Ю.В."/>
    <s v="На бумажном носителе"/>
    <s v="С ограничением по срокам "/>
    <d v="2021-04-19T00:00:00"/>
    <d v="2021-04-21T00:00:00"/>
    <s v=""/>
    <s v="Договор возмездного оказания услуг"/>
    <s v="Расходная часть"/>
    <s v="Рамочный"/>
    <s v="20%"/>
    <s v=""/>
    <s v=""/>
    <s v="49 680.00"/>
    <s v="41 400.00"/>
    <s v="8 280.00"/>
    <s v="нет"/>
    <s v="нет"/>
    <s v=""/>
    <s v=""/>
    <s v=""/>
    <s v=""/>
    <s v="нет"/>
  </r>
  <r>
    <s v="Газпромнефть-ГЕО, ООО"/>
    <s v="0000045789"/>
    <s v="Зарегистрирован"/>
    <d v="2022-02-11T00:00:00"/>
    <s v=""/>
    <x v="16"/>
    <s v="7838395487"/>
    <s v="ГЕО-21/11708/00165/Р"/>
    <s v=""/>
    <s v="НТЦ-03033-21Д-ГЕО"/>
    <s v="Нетиповой ДД"/>
    <x v="3"/>
    <s v=""/>
    <s v="00083-22"/>
    <s v=""/>
    <s v="Южный Ямал к договору ГЕО-21/11708/00165/Р//НТЦ-21/09000/00768/Д от 12.07.2021"/>
    <s v="Обработка и комплексная интерпретация геолого-геофизических данных сейсморазведочных Концепт геологии и/или разработки с обоснованием оптимальных программ исследований/с дизайном ГРР и ОПР («Научно-исследовательские работы для формирования концепции геологии и разработки в периметре проекта “Южный Ямал”»)"/>
    <s v="Коротков С.П."/>
    <s v=""/>
    <s v="Договорный документ"/>
    <s v="Управление по разработке"/>
    <s v="Аксенов М.А."/>
    <s v="На бумажном носителе"/>
    <s v="С ограничением по срокам "/>
    <d v="2022-02-11T00:00:00"/>
    <d v="2022-11-25T00:00:00"/>
    <s v="Д-54"/>
    <s v="Договор на выполнение НИР, ОКР и технологических работ"/>
    <s v="Расходная часть"/>
    <s v="Рамочный"/>
    <s v="20%"/>
    <s v=""/>
    <s v=""/>
    <s v="65 040 000.00"/>
    <s v="54 200 000.00"/>
    <s v="10 840 000.00"/>
    <s v="нет"/>
    <s v="нет"/>
    <s v=""/>
    <s v=""/>
    <s v=""/>
    <s v=""/>
    <s v="нет"/>
  </r>
  <r>
    <s v="Газпромнефть-ГЕО, ООО"/>
    <s v="0000084590"/>
    <s v="Зарегистрирован"/>
    <d v="2024-02-26T00:00:00"/>
    <s v=""/>
    <x v="61"/>
    <s v="7708277130"/>
    <s v="ГЕО-23/09000/00149/Р"/>
    <s v=""/>
    <s v="1"/>
    <s v="Нетиповой ДД"/>
    <x v="4"/>
    <s v=""/>
    <s v="00083-24"/>
    <s v="10"/>
    <s v="Изменение №1 к Заявке № 10"/>
    <s v="Изложить раздел 1, Заявки № 10 к Договору № ГЕО-23/09000/00149/Р от 25.09.2023 г. в части Ф.И.О. работника в следующей редакции:_x000a_- Демидов Денис Дмитриевич_x000a_- Харченко Артур Валерьевич"/>
    <s v="Фокин Е.В."/>
    <s v="Фокин Е.В."/>
    <s v="Договорный документ"/>
    <s v="Управление производственной безопасности"/>
    <s v="Михайлов Ю.А."/>
    <s v="ЭП"/>
    <s v="С ограничением по срокам "/>
    <d v="2024-02-26T00:00:00"/>
    <d v="2024-09-30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39295"/>
    <s v="Обработка результатов согласования"/>
    <s v=""/>
    <s v=""/>
    <x v="90"/>
    <s v="8618006063"/>
    <s v="ГЕО-21/00000/00281/Д"/>
    <s v=""/>
    <s v=""/>
    <s v="Нетиповой ДД"/>
    <x v="0"/>
    <s v=""/>
    <s v="00084-22"/>
    <s v=""/>
    <s v="Дополнительное соглашение №1"/>
    <s v="Корректировка производственной программы"/>
    <s v="Андреева И.В."/>
    <s v="Любимов Е.В."/>
    <s v="Договорный документ"/>
    <s v="Управление экономического планирования и анализа"/>
    <s v="Аксенов М.А."/>
    <s v="На бумажном носителе"/>
    <s v="С ограничением по срокам "/>
    <d v="2022-02-11T00:00:00"/>
    <d v="2026-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9 929 385 796.94"/>
    <s v="8 274 488 164.12"/>
    <s v="1 654 897 632.82"/>
    <s v="нет"/>
    <s v="нет"/>
    <s v=""/>
    <s v=""/>
    <s v=""/>
    <s v=""/>
    <s v="нет"/>
  </r>
  <r>
    <s v="Газпромнефть-ГЕО, ООО"/>
    <s v="0000038433"/>
    <s v="Зарегистрирован"/>
    <d v="2023-02-13T00:00:00"/>
    <s v=""/>
    <x v="117"/>
    <s v="7707113869"/>
    <s v=""/>
    <s v="ГЕО-23/26000/00037"/>
    <s v="ГЕО-23/26000/00037"/>
    <s v="Типовой ДД"/>
    <x v="1"/>
    <s v="26000 Соглашение о конфиденциальности с российским контрагентом"/>
    <s v="00084-23"/>
    <s v=""/>
    <s v="26000 Соглашение о конфиденциальности с российским контрагентом"/>
    <s v="Стороны в связи с заключением договора № ГЕО-23/09000/00036/Р от 13 февраля 2023 года принимают на себя обязательства по предоставлению друг другу и неразглашению информации, составляющей коммерческую тайну, и иной конфиденциальной информации, в соответствии с условиями настоящего Соглашения."/>
    <s v="Сергель О.Г."/>
    <s v="Сергель О.Г."/>
    <s v="Договорный документ"/>
    <s v="Отдел административной поддержки бизнеса"/>
    <s v="Созинов С.А."/>
    <s v="ЭП"/>
    <s v="С ограничением по срокам "/>
    <d v="2023-02-13T00:00:00"/>
    <d v="2026-02-28T00:00:00"/>
    <s v="Д-60"/>
    <s v="Соглашение о конфиденциальности"/>
    <s v="Не предполагает взаиморасчетов"/>
    <s v=""/>
    <s v=""/>
    <s v=""/>
    <s v=""/>
    <s v=""/>
    <s v=""/>
    <s v=""/>
    <s v="нет"/>
    <s v="нет"/>
    <s v=""/>
    <s v=""/>
    <s v=""/>
    <s v=""/>
    <s v="нет"/>
  </r>
  <r>
    <s v="Газпромнефть-ГЕО, ООО"/>
    <s v="0000084590"/>
    <s v="Зарегистрирован"/>
    <d v="2024-03-01T00:00:00"/>
    <s v=""/>
    <x v="61"/>
    <s v="7708277130"/>
    <s v="ГЕО-23/09000/00149/Р"/>
    <s v=""/>
    <s v="14"/>
    <s v="Нетиповой ДД"/>
    <x v="7"/>
    <s v=""/>
    <s v="00084-24"/>
    <s v=""/>
    <s v="Заявка № 14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Южный Оренбург», скв. № 401, Западно-Рубежинский ЛУ"/>
    <s v="Фокин Е.В."/>
    <s v="Фокин Е.В."/>
    <s v="Договорный документ"/>
    <s v="Управление производственной безопасности"/>
    <s v="Михайлов Ю.А."/>
    <s v="ЭП"/>
    <s v="С ограничением по срокам "/>
    <d v="2024-03-01T00:00:00"/>
    <d v="2024-05-31T00:00:00"/>
    <s v="Д-2"/>
    <s v="Договор возмездного оказания услуг"/>
    <s v="Расходная часть"/>
    <s v="Рамочный"/>
    <s v="20%"/>
    <s v=""/>
    <s v=""/>
    <s v="2 909 104.34"/>
    <s v="2 424 253.62"/>
    <s v="484 850.72"/>
    <s v="нет"/>
    <s v="нет"/>
    <s v=""/>
    <s v=""/>
    <s v=""/>
    <s v=""/>
    <s v="нет"/>
  </r>
  <r>
    <s v="Газпромнефть-ГЕО, ООО"/>
    <s v="0000060723"/>
    <s v="Зарегистрирован"/>
    <d v="2021-04-10T00:00:00"/>
    <s v=""/>
    <x v="49"/>
    <s v="3811088474"/>
    <s v="АНГ-19/11513/00007/Р"/>
    <s v=""/>
    <s v="Наряд-заказ № 25 к Договору № АНГ-19/11513/00007/Р "/>
    <s v="Нетиповой ДД"/>
    <x v="3"/>
    <s v=""/>
    <s v="00085-21"/>
    <s v=""/>
    <s v="Наряд-заказ № 25 к Договору № АНГ-19/11513/00007/Р "/>
    <s v="Оформление разрешительной документации на земельные участки для объекта &quot;Обустройство поисково-оценочной скважины 198 Лескинского лицензионного участка&quot;"/>
    <s v="Титаева И.А."/>
    <s v="Горбунов Е.А.. - Начальник управления маркшейдерско-землеустроительных работ - Главный маркшейдер - Управление маркшейдерско-зем"/>
    <s v="Договорный документ"/>
    <s v="Управление маркшейдерско-землеустроительных работ"/>
    <s v="Масалкин Ю.В."/>
    <s v="На бумажном носителе"/>
    <s v="С ограничением по срокам "/>
    <d v="2021-04-10T00:00:00"/>
    <d v="2021-12-31T00:00:00"/>
    <s v=""/>
    <s v="Выполнение комплекса топографо-геодезических, землеустроительных и лесоустроительных  работ "/>
    <s v="Расходная часть"/>
    <s v="Рамочный"/>
    <s v="20%"/>
    <s v=""/>
    <s v=""/>
    <s v="1 556 252.52"/>
    <s v="1 296 877.10"/>
    <s v="259 375.42"/>
    <s v="нет"/>
    <s v="нет"/>
    <s v=""/>
    <s v=""/>
    <s v=""/>
    <s v=""/>
    <s v="нет"/>
  </r>
  <r>
    <s v="Газпромнефть-ГЕО, ООО"/>
    <s v="0000008602"/>
    <s v="Зарегистрирован"/>
    <d v="2022-04-11T00:00:00"/>
    <s v=""/>
    <x v="32"/>
    <s v="5504036333"/>
    <s v=""/>
    <s v="ГЕО-22/20000/00090/Д"/>
    <s v="ГЕО-22/20000/00090/Д"/>
    <s v="Нетиповой ДД"/>
    <x v="2"/>
    <s v=""/>
    <s v="00085-22"/>
    <s v=""/>
    <s v="Агентский договор"/>
    <s v="Организация оказания услуг связанных с лицензированием пользования недрами на территории Российской Федерации"/>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1-01T00:00:00"/>
    <d v="2026-12-31T00:00:00"/>
    <s v="Д-54"/>
    <s v="Агентский договор"/>
    <s v="Доходная часть"/>
    <s v="Агентский"/>
    <s v="20%"/>
    <s v=""/>
    <s v=""/>
    <s v="260 972 690.61"/>
    <s v="217 477 242.17"/>
    <s v="43 495 448.44"/>
    <s v="нет"/>
    <s v="нет"/>
    <s v=""/>
    <s v=""/>
    <s v=""/>
    <s v=""/>
    <s v="нет"/>
  </r>
  <r>
    <s v="Газпромнефть-ГЕО, ООО"/>
    <s v="0000038433"/>
    <s v="Зарегистрирован"/>
    <d v="2023-02-13T00:00:00"/>
    <s v=""/>
    <x v="117"/>
    <s v="7707113869"/>
    <s v=""/>
    <s v="ГЕО-23/33300/00038"/>
    <s v="ГЕО-23/33300/00038"/>
    <s v="Нетиповой ДД"/>
    <x v="2"/>
    <s v=""/>
    <s v="00085-23"/>
    <s v=""/>
    <s v="Договор об обработке персональных данных"/>
    <s v="Осуществление обработки персональных данных работников ООО «ГПН-ГЕО»"/>
    <s v="Сергель О.Г."/>
    <s v="Сергель О.Г."/>
    <s v="Договорный документ"/>
    <s v="Отдел административной поддержки бизнеса"/>
    <s v="Созинов С.А."/>
    <s v="ЭП"/>
    <s v="С ограничением по срокам "/>
    <d v="2023-02-13T00:00:00"/>
    <d v="2027-12-31T00:00:00"/>
    <s v="Д-60"/>
    <s v="Договор об обработке персональных данных"/>
    <s v="Не предполагает взаиморасчетов"/>
    <s v=""/>
    <s v=""/>
    <s v=""/>
    <s v=""/>
    <s v=""/>
    <s v=""/>
    <s v=""/>
    <s v="нет"/>
    <s v="нет"/>
    <s v=""/>
    <s v=""/>
    <s v=""/>
    <s v=""/>
    <s v="нет"/>
  </r>
  <r>
    <s v="Газпромнефть-ГЕО, ООО"/>
    <s v="0000102945"/>
    <s v="Зарегистрирован"/>
    <d v="2024-02-22T00:00:00"/>
    <s v=""/>
    <x v="121"/>
    <s v="7721258344"/>
    <s v=""/>
    <s v="ГЕО-24/33200/00041"/>
    <s v="ГЕО-24/33200/00041"/>
    <s v="Типовой ДД"/>
    <x v="1"/>
    <s v="33200 Соглашение об электронном документообороте"/>
    <s v="00085-24"/>
    <s v=""/>
    <s v="33200 Соглашение об электронном документообороте"/>
    <s v="Организация электронного документооборота с контрагентом ООО &quot;МПЦ&quot;"/>
    <s v="Васильева А.И."/>
    <s v="Белоусов О.В."/>
    <s v="Договорный документ"/>
    <s v="Блок производственной безопасности"/>
    <s v="Ковтун М.А."/>
    <s v="ЭП"/>
    <s v="С ограничением по срокам "/>
    <d v="2024-02-22T00:00:00"/>
    <d v="2024-12-31T00:00:00"/>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5789"/>
    <s v="Зарегистрирован"/>
    <d v="2021-04-12T00:00:00"/>
    <s v=""/>
    <x v="16"/>
    <s v="7838395487"/>
    <s v="НТЦ-18/29000/01338/Д-ГЕО-18/11708/00074/Р от 29 декабря 2018г."/>
    <s v=""/>
    <s v="НТЦ-00537-21Д-ГЕО"/>
    <s v="Нетиповой ДД"/>
    <x v="3"/>
    <s v=""/>
    <s v="00086-21"/>
    <s v=""/>
    <s v="ЗАКАЗ во исполнение Договора № НТЦ-18/29000/01338/Д-ГЕО-18/11708/00074/Р от 29 декабря 2018г."/>
    <s v="Формирование Заказа к рамочному Договору № НТЦ-18/29000/01338/Д-ГЕО-18/11708/00074/Р от 29 декабря 2018г. с ООО «Газпромнефть НТЦ» на 2021г. по услуге «Инжиниринг, интегрированное управление проектами бурения и внутрискважинных работ для ООО «ГПН-ГЕО». Проект «Енисей» Лескинский ЛУ, «Южный Оренбург» Солнечный, Корноваринский, Надежнинский, Западно-Рубежнинский ЛУ"/>
    <s v="Мячина М.В."/>
    <s v=""/>
    <s v="Договорный документ"/>
    <s v="Отдел подготовительных работ и экономического анализа"/>
    <s v="Масалкин Ю.В."/>
    <s v="На бумажном носителе"/>
    <s v="С ограничением по срокам "/>
    <d v="2021-04-12T00:00:00"/>
    <d v="2021-12-31T00:00:00"/>
    <s v=""/>
    <s v="Смешанный договор"/>
    <s v="Расходная часть"/>
    <s v="Стоимостной"/>
    <s v="20%"/>
    <s v=""/>
    <s v=""/>
    <s v="22 156 916.40"/>
    <s v="18 464 097.00"/>
    <s v="3 692 819.40"/>
    <s v="нет"/>
    <s v="нет"/>
    <s v=""/>
    <s v=""/>
    <s v=""/>
    <s v=""/>
    <s v="нет"/>
  </r>
  <r>
    <s v="Газпромнефть-ГЕО, ООО"/>
    <s v="0000062082"/>
    <s v="Обработка результатов согласования"/>
    <d v="2022-02-14T00:00:00"/>
    <s v=""/>
    <x v="122"/>
    <s v="7704627560"/>
    <s v="ГЕО-19/10201/00155/Р"/>
    <s v=""/>
    <s v="7"/>
    <s v="Нетиповой ДД"/>
    <x v="0"/>
    <s v=""/>
    <s v="00086-22"/>
    <s v=""/>
    <s v="Дополнительное соглашение №7 к Договору № ГЕО-19/10201/00155/Р от 11.07.2019г."/>
    <s v="Внесение административных изменений:_x000d__x000a__x000d__x000a_1. Соглашение в области ПБ актуализировано в соответствии с Приказом 122-П от 30.07.2021 (включая новые паспорта КБ, стандарты СП и положение об авиаперевозках);_x000d__x000a_2. Изменение Акта приема передачи ЛНД (перечисленные в нем новые документы будут переданы на CD-диске)_x000d__x000a_3. Изменение штрафных санкций в соответствии с Приказом 85-П от 07.06.2021_x000d__x000a_4. Обновление раздела УЭДК и Оценочного листа в соответствии с Протоколом ПТ-100.0359/0000110 от 07.12.2020_x000d__x000a_"/>
    <s v="Шкателов А.А."/>
    <s v="Шкателов А.А."/>
    <s v="Договорный документ"/>
    <s v="Блок бурения и ВСР"/>
    <s v="Гаврилов С.В."/>
    <s v="На бумажном носителе"/>
    <s v="До исполнения обязательств"/>
    <d v="2022-02-14T00:00:00"/>
    <s v=""/>
    <s v="Д-58"/>
    <s v="Геолого-разведочное бурение под ключ"/>
    <s v="Не предполагает взаиморасчетов"/>
    <s v="Стоимостной"/>
    <s v=""/>
    <s v=""/>
    <s v=""/>
    <s v=""/>
    <s v=""/>
    <s v=""/>
    <s v="нет"/>
    <s v="нет"/>
    <s v=""/>
    <s v=""/>
    <s v=""/>
    <s v=""/>
    <s v="нет"/>
  </r>
  <r>
    <s v="Газпромнефть-ГЕО, ООО"/>
    <s v="0000087793"/>
    <s v="Зарегистрирован"/>
    <d v="2023-02-22T00:00:00"/>
    <s v=""/>
    <x v="123"/>
    <s v="8901025862"/>
    <s v=""/>
    <s v="ГЕО-23/09000/00046/Р"/>
    <s v="ГЕО-23/09000/00046/Р"/>
    <s v="Нетиповой ДД"/>
    <x v="2"/>
    <s v=""/>
    <s v="00086-23"/>
    <s v=""/>
    <s v="На проведение кадастровых работ"/>
    <s v="Исполнитель обязуется по заданию Заказчика осуществить кадастровые работы в отношении объектов недвижимого имущества - на предоставление государственной регистрации и на подготовку технических планов в отношении объектов недвижимого имущества."/>
    <s v="Исаева И.С."/>
    <s v=""/>
    <s v="Договорный документ"/>
    <s v="Отдел административной поддержки бизнеса"/>
    <s v="Буракова О.В."/>
    <s v="ЭП"/>
    <s v="С ограничением по срокам "/>
    <d v="2023-02-22T00:00:00"/>
    <d v="2025-12-31T00:00:00"/>
    <s v="Д-46"/>
    <s v="Договор возмездного оказания услуг"/>
    <s v="Расходная часть"/>
    <s v="Стоимостной"/>
    <s v="без НДС"/>
    <s v=""/>
    <s v=""/>
    <s v="47 587.21"/>
    <s v="47 587.21"/>
    <n v="0"/>
    <s v="нет"/>
    <s v="нет"/>
    <s v=""/>
    <s v=""/>
    <s v=""/>
    <s v=""/>
    <s v="нет"/>
  </r>
  <r>
    <s v="Газпромнефть-ГЕО, ООО"/>
    <s v="0000080408"/>
    <s v="Зарегистрирован"/>
    <d v="2024-02-21T00:00:00"/>
    <s v=""/>
    <x v="104"/>
    <s v="3812043780"/>
    <s v="ГЕО-22/11029/00172/Р"/>
    <s v=""/>
    <s v="4"/>
    <s v="Нетиповой ДД"/>
    <x v="4"/>
    <s v=""/>
    <s v="00086-24"/>
    <s v="1"/>
    <s v=" Изм№4 к НЗ№1 к  №ГЕО-22/11029/00172/Р от 25.07.2022 (Камовская площадка)"/>
    <s v="НЗ№1 Изм№4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
    <s v="Мормышев А.А."/>
    <s v=""/>
    <s v="Договорный документ"/>
    <s v="Департамент капитального строительства"/>
    <s v="Трифонов А.В."/>
    <s v="ЭП"/>
    <s v="До исполнения обязательств"/>
    <d v="2024-02-21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288 093 026.40"/>
    <s v="240 077 522.00"/>
    <s v="48 015 504.40"/>
    <s v="нет"/>
    <s v="нет"/>
    <s v=""/>
    <s v=""/>
    <s v=""/>
    <s v=""/>
    <s v="нет"/>
  </r>
  <r>
    <s v="Газпромнефть-ГЕО, ООО"/>
    <s v="0000083900"/>
    <s v="Зарегистрирован"/>
    <d v="2021-04-14T00:00:00"/>
    <s v=""/>
    <x v="124"/>
    <s v=""/>
    <s v="ГЕО-19/10308/00217/Р"/>
    <s v=""/>
    <s v="ДС 1 к ГЕО-19/10308/00217/Р"/>
    <s v="Нетиповой ДД"/>
    <x v="0"/>
    <s v=""/>
    <s v="00087-21"/>
    <s v=""/>
    <s v="ДС №1 к договору №ГЕО-19/10308/00217/Р  от 19.08.2019"/>
    <s v="Ввод дополнительных ставок и видов работ для анализа извлеченного из шлама газа сероводорода (H2S) без изменения стоимости договора"/>
    <s v="Коротков С.П."/>
    <s v=""/>
    <s v="Договорный документ"/>
    <s v="Управление по разработке"/>
    <s v="Аксенов М.А."/>
    <s v="На бумажном носителе"/>
    <s v="С ограничением по срокам "/>
    <d v="2021-04-14T00:00:00"/>
    <d v="2023-12-31T00:00:00"/>
    <s v="Д-3"/>
    <s v="ГТИ при бурении"/>
    <s v="Не предполагает взаиморасчетов"/>
    <s v="Стоимостной"/>
    <s v=""/>
    <s v=""/>
    <s v=""/>
    <s v=""/>
    <s v=""/>
    <s v=""/>
    <s v="нет"/>
    <s v="нет"/>
    <s v=""/>
    <s v=""/>
    <s v=""/>
    <s v=""/>
    <s v="нет"/>
  </r>
  <r>
    <s v="Газпромнефть-ГЕО, ООО"/>
    <s v="0000071795"/>
    <s v="Зарегистрирован"/>
    <d v="2022-01-10T00:00:00"/>
    <s v=""/>
    <x v="125"/>
    <s v="8913008090"/>
    <s v=""/>
    <s v="ГЕО-22/26000/00033"/>
    <s v="ГЕО-22/26000/00033"/>
    <s v="Типовой ДД"/>
    <x v="1"/>
    <s v="26000 Соглашение о конфиденциальности с российским контрагентом"/>
    <s v="00087-22"/>
    <s v=""/>
    <s v="26000 Соглашение о конфиденциальности с российским контрагентом"/>
    <s v="Соблюдение мероприятий по информационной безопасности"/>
    <s v="Крутова Е.С."/>
    <s v="Крутова Е.С."/>
    <s v="Договорный документ"/>
    <s v="Департамент капитального строительства"/>
    <s v="Перфильев Д.А."/>
    <s v="На бумажном носителе"/>
    <s v="Без сроков "/>
    <d v="2022-01-10T00:00:00"/>
    <s v=""/>
    <s v="Д-61"/>
    <s v="Соглашение о конфиденциальности"/>
    <s v="Расходная часть"/>
    <s v="Рамочный"/>
    <s v="иное"/>
    <s v="0,00"/>
    <s v=""/>
    <n v="0"/>
    <n v="0"/>
    <n v="0"/>
    <s v="нет"/>
    <s v="нет"/>
    <s v=""/>
    <s v=""/>
    <s v=""/>
    <s v=""/>
    <s v="нет"/>
  </r>
  <r>
    <s v="Газпромнефть-ГЕО, ООО"/>
    <s v="0000066314"/>
    <s v="Зарегистрирован"/>
    <d v="2023-02-20T00:00:00"/>
    <s v=""/>
    <x v="74"/>
    <s v="7202242358"/>
    <s v="АНГ-191151300010Р"/>
    <s v=""/>
    <s v="13"/>
    <s v="Нетиповой ДД"/>
    <x v="3"/>
    <s v=""/>
    <s v="00087-23"/>
    <s v=""/>
    <s v="НАРЯД-ЗАКАЗ № 13 к Договору № АНГ-19/11513/00010/Р от 18 февраля 2019"/>
    <s v="Выполнение комплекса землеустроительных и лесоустроительных работ для объекта: &quot;Проведение полевых сейсморазведочных работ МОГТ 3Д на Воргенском ЛУ&quot;"/>
    <s v="Титаева И.А."/>
    <s v="Титаева И.А."/>
    <s v="Договорный документ"/>
    <s v="Управление маркшейдерско-землеустроительных работ"/>
    <s v="Трифонов А.В."/>
    <s v="ЭП"/>
    <s v="С ограничением по срокам "/>
    <d v="2023-02-20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0%"/>
    <s v=""/>
    <s v=""/>
    <s v="402 109.46"/>
    <s v="402 109.46"/>
    <n v="0"/>
    <s v="нет"/>
    <s v="нет"/>
    <s v=""/>
    <s v=""/>
    <s v=""/>
    <s v=""/>
    <s v="нет"/>
  </r>
  <r>
    <s v="Газпромнефть-ГЕО, ООО"/>
    <s v="0000092707"/>
    <s v="Зарегистрирован"/>
    <d v="2024-04-16T00:00:00"/>
    <s v=""/>
    <x v="126"/>
    <s v="7801159596"/>
    <s v=""/>
    <s v="ГЕО-24/20000/00050/Р"/>
    <s v="ГЕО-24/20000/00050/Р"/>
    <s v="Нетиповой ДД"/>
    <x v="2"/>
    <s v=""/>
    <s v="00087-24"/>
    <s v=""/>
    <s v="Агентский договор с ООО &quot;ФК &quot;Санкт-Петербург&quot;&quot; "/>
    <s v="Организация применения факторинга по закупке от ПАО &quot;Газпром нефть&quot;"/>
    <s v="Васильева А.И."/>
    <s v="Чернявский Г.С."/>
    <s v="Договорный документ"/>
    <s v="Блок экономики и финансов"/>
    <s v="Ковтун М.А."/>
    <s v="ЭП"/>
    <s v="До исполнения обязательств"/>
    <d v="2024-04-16T00:00:00"/>
    <s v=""/>
    <s v="Д-62"/>
    <s v="Агентский договор"/>
    <s v="Расходная часть"/>
    <s v="Агентский"/>
    <s v="20%"/>
    <s v=""/>
    <s v=""/>
    <n v="0"/>
    <n v="0"/>
    <n v="0"/>
    <s v="нет"/>
    <s v="нет"/>
    <s v=""/>
    <s v=""/>
    <s v=""/>
    <s v=""/>
    <s v="нет"/>
  </r>
  <r>
    <s v="Газпромнефть-ГЕО, ООО"/>
    <s v="0000052955"/>
    <s v="Зарегистрирован"/>
    <d v="2021-03-01T00:00:00"/>
    <s v=""/>
    <x v="127"/>
    <s v="8602068466"/>
    <s v=""/>
    <s v="ГЕО-21/26000/00314"/>
    <s v="ГЕО-21/26000/00314"/>
    <s v="Типовой ДД"/>
    <x v="1"/>
    <s v="26000 Соглашение о конфиденциальности с российским контрагентом"/>
    <s v="00088-22"/>
    <s v=""/>
    <s v="26000 Соглашение о конфиденциальности с российским контрагентом"/>
    <s v="Соблюдение мероприятий по информационной безопасности"/>
    <s v="Крутова Е.С."/>
    <s v="Крутова Е.С."/>
    <s v="Договорный документ"/>
    <s v="Департамент капитального строительства"/>
    <s v="Перфильев Д.А."/>
    <s v="На бумажном носителе"/>
    <s v="Без сроков "/>
    <d v="2021-03-01T00:00:00"/>
    <s v=""/>
    <s v="Д-61"/>
    <s v="Соглашение о конфиденциальности"/>
    <s v="Не предполагает взаиморасчетов"/>
    <s v=""/>
    <s v=""/>
    <s v=""/>
    <s v=""/>
    <s v=""/>
    <s v=""/>
    <s v=""/>
    <s v="нет"/>
    <s v="нет"/>
    <s v=""/>
    <s v=""/>
    <s v=""/>
    <s v=""/>
    <s v="нет"/>
  </r>
  <r>
    <s v="Газпромнефть-ГЕО, ООО"/>
    <s v="0000049141"/>
    <s v="Зарегистрирован"/>
    <d v="2023-02-17T00:00:00"/>
    <s v=""/>
    <x v="60"/>
    <s v="7203215460"/>
    <s v="ГЕО-22/10000/00057/Р"/>
    <s v=""/>
    <s v="3"/>
    <s v="Нетиповой ДД"/>
    <x v="0"/>
    <s v=""/>
    <s v="00088-23"/>
    <s v=""/>
    <s v="Дополнительное соглашение №3 к Договору № ГЕО-22/10000/00057/Р от 18.03.2022"/>
    <s v="Замена Соглашения в области производственной безопасности (ПБ) на актуальное"/>
    <s v="Безруков А.А."/>
    <s v=""/>
    <s v="Договорный документ"/>
    <s v="Блок снабжения и закупок"/>
    <s v="Агеев П.А."/>
    <s v="ЭП"/>
    <s v="До исполнения обязательств"/>
    <d v="2023-02-17T00:00:00"/>
    <s v=""/>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8489"/>
    <s v="Зарегистрирован"/>
    <d v="2024-02-26T00:00:00"/>
    <s v=""/>
    <x v="46"/>
    <s v="781432213030"/>
    <s v="ГЕО-19/01200/00064/Р"/>
    <s v=""/>
    <s v="1"/>
    <s v="Нетиповой ДД"/>
    <x v="0"/>
    <s v=""/>
    <s v="00088-24"/>
    <s v=""/>
    <s v="ДОПОЛНИТЕЛЬНОЕ СОГЛАШЕНИЕ №1 к договору №ГЕО-19/01200/00064/Р от 08.04.2019г."/>
    <s v="Продление договора на  Услуги по изготовлению сувенирной, полиграфической продукции с фирменной символикой, брендирования и выпуску корпоративных изданий без изменения стоимости договора."/>
    <s v="Скивка Я.И."/>
    <s v=""/>
    <s v="Договорный документ"/>
    <s v="Отдел административной поддержки бизнеса"/>
    <s v="Буракова О.В."/>
    <s v="ЭП"/>
    <s v="С ограничением по срокам "/>
    <d v="2024-04-09T00:00:00"/>
    <d v="2027-04-01T00:00:00"/>
    <s v="Д-33"/>
    <s v="Договор поставки/купли продажи движимого имущества"/>
    <s v="Не предполагает взаиморасчетов"/>
    <s v=""/>
    <s v=""/>
    <s v=""/>
    <s v=""/>
    <s v=""/>
    <s v=""/>
    <s v=""/>
    <s v="нет"/>
    <s v="нет"/>
    <s v=""/>
    <s v=""/>
    <s v=""/>
    <s v=""/>
    <s v="нет"/>
  </r>
  <r>
    <s v="Газпромнефть-ГЕО, ООО"/>
    <s v="0000063161"/>
    <s v="Зарегистрирован"/>
    <d v="2021-04-26T00:00:00"/>
    <s v=""/>
    <x v="128"/>
    <s v="7017207750"/>
    <s v="ГЕО-19/10901/00028/Р"/>
    <s v=""/>
    <s v="Задание №4 к № ГЕО-19/10901/00028/Р от 22.02.2019 г."/>
    <s v="Нетиповой ДД"/>
    <x v="3"/>
    <s v=""/>
    <s v="00089-21"/>
    <s v=""/>
    <s v="Задание на оказание услуг № 4 к Договору № ГЕО-19/10901/00028/Р от 22.02.2019 г."/>
    <s v="Проведение производственного контроля за вредными и опасными производственными факторами на рабочих местах  в ООО «ГПН-ГЕО"/>
    <s v="Петушкова В.Е."/>
    <s v=""/>
    <s v="Договорный документ"/>
    <s v="Управление производственной безопасности"/>
    <s v="Власов М.М."/>
    <s v="На бумажном носителе"/>
    <s v="С ограничением по срокам "/>
    <d v="2021-04-26T00:00:00"/>
    <d v="2021-05-17T00:00:00"/>
    <s v=""/>
    <s v="Специальная оценка условий труда в соответствии с государственным нормативным требованием охраны труда"/>
    <s v="Расходная часть"/>
    <s v="Стоимостной"/>
    <s v="без НДС"/>
    <s v=""/>
    <s v=""/>
    <s v="231 750.00"/>
    <s v="231 750.00"/>
    <n v="0"/>
    <s v="нет"/>
    <s v="нет"/>
    <s v=""/>
    <s v=""/>
    <s v=""/>
    <s v=""/>
    <s v="нет"/>
  </r>
  <r>
    <s v="Газпромнефть-ГЕО, ООО"/>
    <s v="0000073305"/>
    <s v="Зарегистрирован"/>
    <d v="2021-03-25T00:00:00"/>
    <s v=""/>
    <x v="64"/>
    <s v="8904080406"/>
    <s v=""/>
    <s v="ГЕО-21/26000/00313"/>
    <s v="ГЕО-21/26000/00313"/>
    <s v="Типовой ДД"/>
    <x v="1"/>
    <s v="26000 Соглашение о конфиденциальности с российским контрагентом"/>
    <s v="00089-22"/>
    <s v=""/>
    <s v="26000 Соглашение о конфиденциальности с российским контрагентом"/>
    <s v="Соблюдение мероприятий по информационной безопасности"/>
    <s v="Крутова Е.С."/>
    <s v="Крутова Е.С."/>
    <s v="Договорный документ"/>
    <s v="Департамент капитального строительства"/>
    <s v="Перфильев Д.А."/>
    <s v="На бумажном носителе"/>
    <s v="Без сроков "/>
    <d v="2021-03-25T00:00:00"/>
    <s v=""/>
    <s v="Д-61"/>
    <s v="Соглашение о конфиденциальности"/>
    <s v="Не предполагает взаиморасчетов"/>
    <s v="Рамочный"/>
    <s v=""/>
    <s v=""/>
    <s v=""/>
    <s v=""/>
    <s v=""/>
    <s v=""/>
    <s v="нет"/>
    <s v="нет"/>
    <s v=""/>
    <s v=""/>
    <s v=""/>
    <s v=""/>
    <s v="нет"/>
  </r>
  <r>
    <s v="Газпромнефть-ГЕО, ООО"/>
    <s v="0000067121"/>
    <s v="Зарегистрирован"/>
    <d v="2023-02-28T00:00:00"/>
    <s v=""/>
    <x v="62"/>
    <s v="7202171361"/>
    <s v="ГЕО-20/10110/00198/Р "/>
    <s v=""/>
    <s v="9"/>
    <s v="Нетиповой ДД"/>
    <x v="0"/>
    <s v=""/>
    <s v="00089-23"/>
    <s v=""/>
    <s v="Дополнительное соглашение №9 к Договору № ХНТ-20/10110/967/Р/60 от 06.10.2020 г. на основании Соглашения о перемене лиц в обязательстве по Договору № ГЕО-20/10110/00198/Р от 25.12.2020 г."/>
    <s v="Замена Соглашения в области производственной безопасности (ПБ) на актуальное"/>
    <s v="Безруков А.А."/>
    <s v=""/>
    <s v="Договорный документ"/>
    <s v="Блок снабжения и закупок"/>
    <s v="Аксенов М.А."/>
    <s v="ЭП"/>
    <s v="До исполнения обязательств"/>
    <d v="2023-02-28T00:00:00"/>
    <s v=""/>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93724"/>
    <s v="Зарегистрирован"/>
    <d v="2024-02-20T00:00:00"/>
    <s v=""/>
    <x v="129"/>
    <s v="8601057334"/>
    <s v="ГЕО-23/08000/00156/Р"/>
    <s v=""/>
    <s v="2"/>
    <s v="Нетиповой ДД"/>
    <x v="0"/>
    <s v=""/>
    <s v="00089-24"/>
    <s v=""/>
    <s v="Дополнительное соглашение №2"/>
    <s v="Индексация расценок 2024 года, перевод части негарантированного объема 2024 года в гарантированный"/>
    <s v="Ларионов Е.А."/>
    <s v=""/>
    <s v="Договорный документ"/>
    <s v="Блок геологии и разработки"/>
    <s v="Аксенов М.А."/>
    <s v="ЭП"/>
    <s v="С ограничением по срокам "/>
    <d v="2024-02-20T00:00:00"/>
    <d v="2024-12-31T00:00:00"/>
    <s v=""/>
    <s v="Договор на выполнение НИР, ОКР и технологических работ"/>
    <s v="Расходная часть"/>
    <s v="Рамочный"/>
    <s v="20%"/>
    <s v=""/>
    <s v=""/>
    <s v="1 139 473 437.16"/>
    <s v="949 561 197.63"/>
    <s v="189 912 239.53"/>
    <s v="нет"/>
    <s v="нет"/>
    <s v=""/>
    <s v=""/>
    <s v=""/>
    <s v=""/>
    <s v="нет"/>
  </r>
  <r>
    <s v="Газпромнефть-ГЕО, ООО"/>
    <s v=""/>
    <s v="Зарегистрирован"/>
    <d v="2023-03-20T00:00:00"/>
    <s v=""/>
    <x v="130"/>
    <s v=""/>
    <s v=""/>
    <s v="ГЕО-23/33000/00057"/>
    <s v="ГЕО-23/33000/00057"/>
    <s v="Нетиповой ДД"/>
    <x v="1"/>
    <s v=""/>
    <s v="00090-23"/>
    <s v=""/>
    <s v="Соглашение с Пользователем о временном использовании (апробации) ИСС «Техэксперт» "/>
    <s v="Временное использование (апробация) ИСС &quot;Техэксперт&quot; специалистами БГИ"/>
    <s v="Сергеев А.В."/>
    <s v="Сергеев А.В."/>
    <s v="Договорный документ"/>
    <s v="Производственно-технологический департамент"/>
    <s v="Трифонов А.В."/>
    <s v="На бумажном носителе"/>
    <s v="С ограничением по срокам "/>
    <d v="2023-03-20T00:00:00"/>
    <d v="2023-05-31T00:00:00"/>
    <s v="Д-33"/>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80408"/>
    <s v="Зарегистрирован"/>
    <d v="2024-02-21T00:00:00"/>
    <s v=""/>
    <x v="104"/>
    <s v="3812043780"/>
    <s v="ГЕО-22/11029/00172/Р"/>
    <s v=""/>
    <s v="3"/>
    <s v="Нетиповой ДД"/>
    <x v="4"/>
    <s v=""/>
    <s v="00090-24"/>
    <s v="2"/>
    <s v="Изм№3 к НЗ№2  к ДД №ГЕО-22/11029/00172/Р от 25.07.2022 (Камовская площадка)"/>
    <s v="Изм№3 к НЗ№2 к Договору №ГЕО-22/11029/00172/Р от 25.07.2022 "/>
    <s v="Мормышев А.А."/>
    <s v="Бабаев Д.Г."/>
    <s v="Договорный документ"/>
    <s v="Департамент капитального строительства"/>
    <s v="Трифонов А.В."/>
    <s v="ЭП"/>
    <s v="До исполнения обязательств"/>
    <d v="2024-02-21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21 448 744.40"/>
    <s v="101 207 287.00"/>
    <s v="20 241 457.40"/>
    <s v="нет"/>
    <s v="нет"/>
    <s v=""/>
    <s v=""/>
    <s v=""/>
    <s v=""/>
    <s v="нет"/>
  </r>
  <r>
    <s v="Газпромнефть-ГЕО, ООО"/>
    <s v="0000000059"/>
    <s v="Закрыт"/>
    <d v="2022-04-29T00:00:00"/>
    <s v=""/>
    <x v="131"/>
    <s v="8905000428"/>
    <s v="ГЕО-21/09000/00048/Д"/>
    <s v=""/>
    <s v="1"/>
    <s v="Нетиповой ДД"/>
    <x v="4"/>
    <s v=""/>
    <s v="00091-22"/>
    <s v="3"/>
    <s v="Дополнительное соглашение №1 к Заказу №3"/>
    <s v="Корректировка этапа 3 &quot;Сопровождение ОПР&quot;"/>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2-02-14T00:00:00"/>
    <d v="2022-04-30T00:00:00"/>
    <s v="Д-55"/>
    <s v="Договор возмездного оказания услуг"/>
    <s v="Доходная часть"/>
    <s v="Стоимостной"/>
    <s v="20%"/>
    <s v=""/>
    <s v=""/>
    <s v="5 460 346.67"/>
    <s v="4 550 288.89"/>
    <s v="910 057.78"/>
    <s v="нет"/>
    <s v="нет"/>
    <s v=""/>
    <s v=""/>
    <s v=""/>
    <s v=""/>
    <s v="нет"/>
  </r>
  <r>
    <s v="Газпромнефть-ГЕО, ООО"/>
    <s v="0000068695"/>
    <s v="Зарегистрирован"/>
    <d v="2023-02-17T00:00:00"/>
    <s v=""/>
    <x v="77"/>
    <s v="1106013435"/>
    <s v=""/>
    <s v="ГЕО-23/33100/00043"/>
    <s v="ГЕО-23/33100/00043"/>
    <s v="Типовой ДД"/>
    <x v="1"/>
    <s v="33100 Соглашение в области производственной безопасности"/>
    <s v="00091-23"/>
    <s v=""/>
    <s v="33100 Соглашение в области производственной безопасности (БурСервис)"/>
    <s v="1. Договор на выполнение работ по цементированию обсадных колонн и хвостовиков, установке цементных мостов_x000d__x000a_2. Договор подряда по приготовлению и инженерному сопровождению буровых растворов"/>
    <s v="Мормышев А.А."/>
    <s v="Салихов М.Р."/>
    <s v="Договорный документ"/>
    <s v="Отдел по работе с подрядными организациями и безопасности на транспорте"/>
    <s v="Михайлов Ю.А."/>
    <s v="ЭП"/>
    <s v="До исполнения обязательств"/>
    <d v="2023-02-17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0408"/>
    <s v="Зарегистрирован"/>
    <d v="2024-02-21T00:00:00"/>
    <s v=""/>
    <x v="104"/>
    <s v="3812043780"/>
    <s v="ГЕО-22/11029/00172/Р"/>
    <s v=""/>
    <s v="1"/>
    <s v="Нетиповой ДД"/>
    <x v="4"/>
    <s v=""/>
    <s v="00091-24"/>
    <s v="3"/>
    <s v="Изм№1 к НЗ№3 к   к ДД №ГЕО-22/11029/00172/Р от 25.07.2022 (Камовская площадка)"/>
    <s v="Изм№1 к НЗ№3 к Договору №ГЕО-22/11029/00172/Р от 25.07.2022 "/>
    <s v="Мормышев А.А."/>
    <s v="Бабаев Д.Г."/>
    <s v="Договорный документ"/>
    <s v="Департамент капитального строительства"/>
    <s v="Трифонов А.В."/>
    <s v="ЭП"/>
    <s v="До исполнения обязательств"/>
    <d v="2024-02-21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1 812 828.80"/>
    <s v="9 844 024.00"/>
    <s v="1 968 804.80"/>
    <s v="нет"/>
    <s v="нет"/>
    <s v=""/>
    <s v=""/>
    <s v=""/>
    <s v=""/>
    <s v="нет"/>
  </r>
  <r>
    <s v="Газпромнефть-ГЕО, ООО"/>
    <s v="0000070846"/>
    <s v="Зарегистрирован"/>
    <d v="2021-04-15T00:00:00"/>
    <s v=""/>
    <x v="132"/>
    <s v="7014052636"/>
    <s v="АНГ-18/10501/00257/Р"/>
    <s v=""/>
    <s v="ДС №2 к АНГ-18/10501/00257/Р"/>
    <s v="Нетиповой ДД"/>
    <x v="0"/>
    <s v=""/>
    <s v="00092-21"/>
    <s v=""/>
    <s v="Обслуживание погружных установок электроцентробежных насосов"/>
    <s v="Выполнение производственной программы проект &quot;Чона&quot;"/>
    <s v="Жданов А.С."/>
    <s v="Жданов А.С."/>
    <s v="Договорный документ"/>
    <s v="Производственно-технологический департамент"/>
    <s v="Перфильев Д.А."/>
    <s v="На бумажном носителе"/>
    <s v="С ограничением по срокам "/>
    <d v="2021-04-15T00:00:00"/>
    <d v="2021-12-31T00:00:00"/>
    <s v="Д-22"/>
    <s v="Обслуживание погружных установок электроцентробежных насосов"/>
    <s v="Расходная часть"/>
    <s v="Стоимостной"/>
    <s v="20%"/>
    <s v=""/>
    <s v=""/>
    <s v="32 809 596.02"/>
    <s v="27 341 330.02"/>
    <s v="5 468 266.00"/>
    <s v="нет"/>
    <s v="нет"/>
    <s v=""/>
    <s v=""/>
    <s v=""/>
    <s v=""/>
    <s v="нет"/>
  </r>
  <r>
    <s v="Газпромнефть-ГЕО, ООО"/>
    <s v="0000058703"/>
    <s v="Зарегистрирован"/>
    <d v="2022-03-17T00:00:00"/>
    <s v=""/>
    <x v="5"/>
    <s v="5914024719"/>
    <s v="ГЕО-21/10208/00166/Р"/>
    <s v=""/>
    <s v="5"/>
    <s v="Нетиповой ДД"/>
    <x v="0"/>
    <s v=""/>
    <s v="00092-22"/>
    <s v=""/>
    <s v="Дополнительное соглашение №5 к Договору № ОРН-20/10204/00210/Р от 14.02.2020г."/>
    <s v="О заключении ДС №5 к договору № ОРН-20/10204/00210/Р от 14.02.2020г. (на основании Соглашения о перемене лиц в обязательстве № ГЕО-21/10208/00166/Р от 20.07.2021) между ООО «ГПН-ГЕО» и ООО «НСХ АЗИЯ ДРИЛЛИНГ», предусматривающего:_x000d__x000a__x000d__x000a_1. Соглашение в области ПБ актуализировано в соответствии с Приказом 122-П от 30.07.2021 (включая новые паспорта КБ);_x000d__x000a_2. Изменение Акта приема передачи ЛНД, включая Пропускной и внутриобъектовый режимы на Лицензионных участках и объектах ООО «ГПН-ГЕО» (перечисленные в нем документы будут переданы на CD-диске)_x000d__x000a_3. Изменение штрафных санкций в соответствии с Приказом 85-П от 07.06.2021_x000d__x000a_4. Обновление раздела УЭДК и Оценочного листа в соответствии с Протоколом ПТ-100.0359/0000110 от 07.12.2020_x000d__x000a_5. Актуализация Регламента МТР в соответствии с Приказом 46-П от 17.04.2019_x000d__x000a_6. Актуализация пунктов Договора после переуступки (изменение почтовых и электронных адресов с ГПН-ОРБ на ГПН-ГЕО)_x000d__x000a_"/>
    <s v="Мормышев А.А."/>
    <s v="Шкателов А.А."/>
    <s v="Договорный документ"/>
    <s v="Блок бурения и ВСР"/>
    <s v="Трифонов А.В."/>
    <s v="На бумажном носителе"/>
    <s v="До исполнения обязательств"/>
    <d v="2022-03-17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8695"/>
    <s v="Зарегистрирован"/>
    <d v="2023-02-21T00:00:00"/>
    <s v=""/>
    <x v="77"/>
    <s v="1106013435"/>
    <s v=""/>
    <s v="ГЕО-23/33200/00045"/>
    <s v="ГЕО-23/33200/00045"/>
    <s v="Типовой ДД"/>
    <x v="1"/>
    <s v="33200 Соглашение об электронном документообороте"/>
    <s v="00092-23"/>
    <s v=""/>
    <s v="33200 Соглашение об электронном документообороте ООО «БурСервис» "/>
    <s v="Электонный обмен документами ООО «БурСервис»."/>
    <s v="Мормышев А.А."/>
    <s v="Дунаев Э.В."/>
    <s v="Договорный документ"/>
    <s v="Блок бурения и ВСР"/>
    <s v="Ковтун М.А."/>
    <s v="ЭП"/>
    <s v="До исполнения обязательств"/>
    <d v="2023-03-05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0408"/>
    <s v="Зарегистрирован"/>
    <d v="2024-02-21T00:00:00"/>
    <s v=""/>
    <x v="104"/>
    <s v="3812043780"/>
    <s v="ГЕО-22/11029/00172/Р"/>
    <s v=""/>
    <s v="1"/>
    <s v="Нетиповой ДД"/>
    <x v="4"/>
    <s v=""/>
    <s v="00092-24"/>
    <s v="4"/>
    <s v="Изм№1 к  НЗ№4 к ДД №ГЕО-22/11029/00172/Р от 25.07.2022 (Камовская площадка)"/>
    <s v="НЗ№4 Изм№1 к Договору №ГЕО-22/11029/00172/Р от 25.07.2022"/>
    <s v="Мормышев А.А."/>
    <s v="Бабаев Д.Г."/>
    <s v="Договорный документ"/>
    <s v="Департамент капитального строительства"/>
    <s v="Трифонов А.В."/>
    <s v="ЭП"/>
    <s v="До исполнения обязательств"/>
    <d v="2024-02-21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63 423 415.16"/>
    <s v="136 186 179.30"/>
    <s v="27 237 235.86"/>
    <s v="нет"/>
    <s v="нет"/>
    <s v=""/>
    <s v=""/>
    <s v=""/>
    <s v=""/>
    <s v="нет"/>
  </r>
  <r>
    <s v="Газпромнефть-ГЕО, ООО"/>
    <s v="0000105641"/>
    <s v="Зарегистрирован"/>
    <d v="2024-02-28T00:00:00"/>
    <s v=""/>
    <x v="133"/>
    <s v="8619017847"/>
    <s v="ГЕО-23/10000/00202/Д"/>
    <s v=""/>
    <s v="1"/>
    <s v="Нетиповой ДД"/>
    <x v="0"/>
    <s v=""/>
    <s v="00093-24"/>
    <s v=""/>
    <s v="ДС №1 к Договору №MOS/23/0080/ГЕО-23/10000/00202/Д от 06.12.2023 г."/>
    <s v="Приведение расчета стоимости к фактически законтрактованным расценкам с третьими лицами"/>
    <s v="Ушакова М.А."/>
    <s v=""/>
    <s v="Договорный документ"/>
    <s v="Блок геологии и разработки"/>
    <s v="Аксенов М.А."/>
    <s v="На бумажном носителе"/>
    <s v="С ограничением по срокам "/>
    <d v="2024-02-28T00:00:00"/>
    <d v="2027-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Рамочный"/>
    <s v="20%"/>
    <s v=""/>
    <s v=""/>
    <s v="947 675 593.75"/>
    <s v="789 729 661.46"/>
    <s v="157 945 932.29"/>
    <s v="нет"/>
    <s v="нет"/>
    <s v=""/>
    <s v=""/>
    <s v=""/>
    <s v=""/>
    <s v="нет"/>
  </r>
  <r>
    <s v="Газпромнефть-ГЕО, ООО"/>
    <s v="0000064025"/>
    <s v="Зарегистрирован"/>
    <d v="2021-04-08T00:00:00"/>
    <s v=""/>
    <x v="134"/>
    <s v="7728720448"/>
    <s v="ГЕО-20/01200/00131/Д/Д_64025_67942_42100 от 08.07.2020"/>
    <s v=""/>
    <s v="Спецификация № 3 к договору поставки ГЕО-20/01200/00131/Д/Д_64025_67942_42100 от 08.07.2020"/>
    <s v="Нетиповой ДД"/>
    <x v="5"/>
    <s v=""/>
    <s v="00094-21"/>
    <s v="Спецификация №2"/>
    <s v="Спецификация № 3 к договору поставки ГЕО-20/01200/00131/Д/Д_64025_67942_42100 от 08.07.2020"/>
    <s v="Продажа 3 тундроматов из свободного запаса в ГПН-Заполярье"/>
    <s v="Долгов Д.Г."/>
    <s v="Долгов Д.Г."/>
    <s v="Договорный документ"/>
    <s v="Блок по закупкам"/>
    <s v="Титов А.В."/>
    <s v="На бумажном носителе"/>
    <s v="С ограничением по срокам "/>
    <d v="2020-07-08T00:00:00"/>
    <d v="2020-12-31T00:00:00"/>
    <s v="Д-11"/>
    <s v="Договор поставки/купли продажи движимого имущества"/>
    <s v="Доходная часть"/>
    <s v="Рамочный"/>
    <s v="20%"/>
    <s v=""/>
    <s v=""/>
    <s v="519 475.32"/>
    <s v="432 896.10"/>
    <s v="86 579.22"/>
    <s v="нет"/>
    <s v="нет"/>
    <s v=""/>
    <s v=""/>
    <s v=""/>
    <s v=""/>
    <s v="нет"/>
  </r>
  <r>
    <s v="Газпромнефть-ГЕО, ООО"/>
    <s v="0000071917"/>
    <s v="Зарегистрирован"/>
    <d v="2022-02-01T00:00:00"/>
    <s v=""/>
    <x v="135"/>
    <s v="8910003576"/>
    <s v=""/>
    <s v="ГЕО-22/34000/00041/Р"/>
    <s v="ГЕО-22/34000/00041/Р"/>
    <s v="Нетиповой ДД"/>
    <x v="1"/>
    <s v=""/>
    <s v="00094-22"/>
    <s v=""/>
    <s v="Соглашение об установлении сервитута"/>
    <s v="Установление сервитута на часть земельного участка с кадастровым номером 89:06:000000:53, на общую площадь 2,0337 га, для объекта «Площадка базы подрядных организаций и размещения строительных материалов на ПК0 автозимника на Северо-Ябургский ЛУ»"/>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2-02-10T00:00:00"/>
    <d v="2023-09-30T00:00:00"/>
    <s v="Д-61"/>
    <s v="Соглашение с органами государственной власти и управления и муниципальными образованиями"/>
    <s v="Расходная часть"/>
    <s v="Стоимостной"/>
    <s v="0%"/>
    <s v=""/>
    <s v=""/>
    <s v="107 000.00"/>
    <s v="107 000.00"/>
    <n v="0"/>
    <s v="нет"/>
    <s v="нет"/>
    <s v=""/>
    <s v=""/>
    <s v=""/>
    <s v=""/>
    <s v="нет"/>
  </r>
  <r>
    <s v="Газпромнефть-ГЕО, ООО"/>
    <s v="0000058703"/>
    <s v="Зарегистрирован"/>
    <d v="2023-02-28T00:00:00"/>
    <s v=""/>
    <x v="5"/>
    <s v="5914024719"/>
    <s v="ГЕО-21/10208/00166/Р"/>
    <s v=""/>
    <s v="10"/>
    <s v="Нетиповой ДД"/>
    <x v="0"/>
    <s v=""/>
    <s v="00094-23"/>
    <s v=""/>
    <s v="ДС№10. Приведение к факту. Раскрытие негаранта."/>
    <s v="ДС№10 к договору № ОРН-20/10204/00210/Р от 14.02.2020г. (на основании Соглашения о перемене лиц в обязательстве № ГЕО-21/10208/00166/Р от 20.07.2021) с ООО «НСХ АЗИЯ ДРИЛЛИНГ» на выполнение бурения эксплуатационных/разведочных скважин по суточной ставке или фиксированной ставке (в т.ч. Мобильными установками), Проект «Южный Оренбург» 2022-2024 гг., предусматривающего: 1. приведение к факту 2022г. путем перераспределение неосвоенных объемов 2022г. в гарантированные 2023г.; 2. перераспределение объемов по видам работ бурение скважин / испытание (освоение) скважин. 3. раскрытие негарантированной части объемов 2023-2024гг. Договора в гарантированную часть 2023г. в связи с корректировкой производственной программы по проекту Южный-Оренбург."/>
    <s v="Мормышев А.А."/>
    <s v="Кольцов К.В."/>
    <s v="Договорный документ"/>
    <s v="Блок бурения и ВСР"/>
    <s v="Трифонов А.В."/>
    <s v="ЭП"/>
    <s v="До исполнения обязательств"/>
    <d v="2023-02-28T00:00:00"/>
    <s v=""/>
    <s v="Д-33"/>
    <s v="Бурение геологоразведочных скважин по суточной или иной фиксирванной ставке (в т.ч. мобильными установками)"/>
    <s v="Расходная часть"/>
    <s v="Тарифный"/>
    <s v="20%"/>
    <s v=""/>
    <s v="845170753.27"/>
    <s v="1 580 449 985.47"/>
    <s v="1 317 041 654.56"/>
    <s v="263 408 330.91"/>
    <s v="да"/>
    <s v="нет"/>
    <s v=""/>
    <s v=""/>
    <s v=""/>
    <s v=""/>
    <s v="нет"/>
  </r>
  <r>
    <s v="Газпромнефть-ГЕО, ООО"/>
    <s v="0000058328"/>
    <s v="На подписании"/>
    <d v="2024-01-22T00:00:00"/>
    <s v=""/>
    <x v="76"/>
    <s v="5032180980"/>
    <s v=""/>
    <s v="ГЕО-24/33200/00044"/>
    <s v="ГЕО-24/33200/00044"/>
    <s v="Типовой ДД"/>
    <x v="1"/>
    <s v="33200 Соглашение об электронном документообороте"/>
    <s v="00094-24"/>
    <s v=""/>
    <s v=" Соглашение об электронном документообороте Сколково"/>
    <s v="1._x0009_Стороны подтверждают взаимное согласие на выставление и получение электронных документов, указанных в Приложении № 1 к настоящему Соглашению (переход на электронный документооборот, ЭДО). Прямо не указанные в Приложении № 1 электронные документы не передаются и не принимаются, а переданные не рассматриваются и не порождают каких-либо обязанностей для Сторон._x000a_2._x0009_Стороны подтверждают, что будут использовать необходимые технические средства, позволяющие принимать и обрабатывать электронные документы, подписанные усиленной квалифицированной электронной подписью с учетом выполнения требований по безопасности информации. Стороны обязуются за свой счет внедрить и настроить необходимое для использования электронного документооборота программное обеспечение._x000a_"/>
    <s v="Северюхина Н.В."/>
    <s v="Северюхина Н.В."/>
    <s v="Договорный документ"/>
    <s v="Управление по работе с персоналом"/>
    <s v="Игнатова Ю.В."/>
    <s v="На бумажном носителе"/>
    <s v="До исполнения обязательств"/>
    <d v="2024-01-22T00:00:00"/>
    <s v=""/>
    <s v="Д-66"/>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2928"/>
    <s v="Зарегистрирован"/>
    <d v="2021-04-20T00:00:00"/>
    <s v=""/>
    <x v="136"/>
    <s v="7701645627"/>
    <s v="ГЕО-20/11501/00184/Р"/>
    <s v=""/>
    <s v="ДС №1 к договору №ГЕО-20/11501/00184/Р"/>
    <s v="Нетиповой ДД"/>
    <x v="0"/>
    <s v=""/>
    <s v="00095-21"/>
    <s v=""/>
    <s v="Дополнительное соглашение №1 к договору №ГЕО-20/11501/00184/Р"/>
    <s v="Выполнение камеральных маркшейдерских работ"/>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1-04-20T00:00:00"/>
    <d v="2023-12-31T00:00:00"/>
    <s v=""/>
    <s v="Разработка проекта производства маркшейдерских работ"/>
    <s v="Расходная часть"/>
    <s v="Рамочный"/>
    <s v="0%"/>
    <s v=""/>
    <s v=""/>
    <s v="484 372 930.04"/>
    <s v="484 372 930.04"/>
    <n v="0"/>
    <s v="нет"/>
    <s v="нет"/>
    <s v=""/>
    <s v=""/>
    <s v=""/>
    <s v=""/>
    <s v="нет"/>
  </r>
  <r>
    <s v="Газпромнефть-ГЕО, ООО"/>
    <s v="0000039295"/>
    <s v="Зарегистрирован"/>
    <d v="2022-02-18T00:00:00"/>
    <s v=""/>
    <x v="90"/>
    <s v="8618006063"/>
    <s v="ГЕО-19/09000/00321/Д"/>
    <s v=""/>
    <s v="3"/>
    <s v="Нетиповой ДД"/>
    <x v="0"/>
    <s v=""/>
    <s v="00095-22"/>
    <s v=""/>
    <s v="Дополнительное соглашение №3"/>
    <s v="Продление сроков договора"/>
    <s v="Андреева И.В."/>
    <s v="Белкин М.Ю."/>
    <s v="Договорный документ"/>
    <s v="Управление экономического планирования и анализа"/>
    <s v="Волков Г.В."/>
    <s v="На бумажном носителе"/>
    <s v="С ограничением по срокам "/>
    <d v="2022-02-16T00:00:00"/>
    <d v="2022-12-31T00:00:00"/>
    <s v="Д-55"/>
    <s v="Договор возмездного оказания услуг"/>
    <s v="Не предполагает взаиморасчетов"/>
    <s v=""/>
    <s v=""/>
    <s v=""/>
    <s v=""/>
    <s v=""/>
    <s v=""/>
    <s v=""/>
    <s v="нет"/>
    <s v="нет"/>
    <s v=""/>
    <s v=""/>
    <s v=""/>
    <s v=""/>
    <s v="нет"/>
  </r>
  <r>
    <s v="Газпромнефть-ГЕО, ООО"/>
    <s v="0000093917"/>
    <s v="Зарегистрирован"/>
    <d v="2023-01-31T00:00:00"/>
    <s v=""/>
    <x v="9"/>
    <s v="5609193118"/>
    <s v="ГЕО-23/09000/00041/Р"/>
    <s v=""/>
    <s v="1"/>
    <s v="Нетиповой ДД"/>
    <x v="3"/>
    <s v=""/>
    <s v="00095-23"/>
    <s v=""/>
    <s v="Наряд - заказ на оказание услуг № 1 "/>
    <s v="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Солнечном ЛУ скв. № 341"/>
    <s v="Автеньев М.В."/>
    <s v="Автеньев М.В."/>
    <s v="Договорный документ"/>
    <s v="Блок производственной безопасности"/>
    <s v="Ядрышников П.Н."/>
    <s v="На бумажном носителе"/>
    <s v="С ограничением по срокам "/>
    <d v="2023-02-01T00:00:00"/>
    <d v="2023-02-28T00:00:00"/>
    <s v="Д-51"/>
    <s v="Договор возмездного оказания услуг"/>
    <s v="Расходная часть"/>
    <s v="Стоимостной"/>
    <s v="20%"/>
    <s v=""/>
    <s v=""/>
    <s v="7 478 456.40"/>
    <s v="6 232 047.00"/>
    <s v="1 246 409.40"/>
    <s v="нет"/>
    <s v="нет"/>
    <s v=""/>
    <s v=""/>
    <s v=""/>
    <s v=""/>
    <s v="нет"/>
  </r>
  <r>
    <s v="Газпромнефть-ГЕО, ООО"/>
    <s v="0000062928"/>
    <s v="Зарегистрирован"/>
    <d v="2021-04-20T00:00:00"/>
    <s v=""/>
    <x v="136"/>
    <s v="7701645627"/>
    <s v="ГЕО-20/1150100184/Р"/>
    <s v=""/>
    <s v="НЗ №1 к договору №ГЕО-20/11501/00184/Р"/>
    <s v="Нетиповой ДД"/>
    <x v="3"/>
    <s v=""/>
    <s v="00096-21"/>
    <s v=""/>
    <s v="ГЕО-20/11501/00184/Р"/>
    <s v="Выполнение камеральных маркшейдерских работ"/>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0-11-29T00:00:00"/>
    <d v="2023-12-31T00:00:00"/>
    <s v=""/>
    <s v="Разработка проекта производства маркшейдерских работ"/>
    <s v="Расходная часть"/>
    <s v="Рамочный"/>
    <s v="0%"/>
    <s v=""/>
    <s v=""/>
    <s v="1 897 498.24"/>
    <s v="1 897 498.24"/>
    <n v="0"/>
    <s v="нет"/>
    <s v="нет"/>
    <s v=""/>
    <s v=""/>
    <s v=""/>
    <s v=""/>
    <s v="нет"/>
  </r>
  <r>
    <s v="Газпромнефть-ГЕО, ООО"/>
    <s v="0000039295"/>
    <s v="Зарегистрирован"/>
    <d v="2022-03-01T00:00:00"/>
    <s v=""/>
    <x v="90"/>
    <s v="8618006063"/>
    <s v="ГЕО-19/09000/00321/Д"/>
    <s v=""/>
    <s v="4"/>
    <s v="Нетиповой ДД"/>
    <x v="0"/>
    <s v=""/>
    <s v="00096-22"/>
    <s v=""/>
    <s v="Дополнительное соглашение №4"/>
    <s v="Увеличение суммы договора"/>
    <s v="Андреева И.В."/>
    <s v="Белкин М.Ю."/>
    <s v="Договорный документ"/>
    <s v="Управление экономического планирования и анализа"/>
    <s v="Волков Г.В."/>
    <s v="На бумажном носителе"/>
    <s v="С ограничением по срокам "/>
    <d v="2022-02-16T00:00:00"/>
    <d v="2022-12-31T00:00:00"/>
    <s v="Д-55"/>
    <s v="Договор возмездного оказания услуг"/>
    <s v="Доходная часть"/>
    <s v="Стоимостной"/>
    <s v="20%"/>
    <s v=""/>
    <s v=""/>
    <s v="62 583 161.65"/>
    <s v="52 152 634.71"/>
    <s v="10 430 526.94"/>
    <s v="нет"/>
    <s v="нет"/>
    <s v=""/>
    <s v=""/>
    <s v=""/>
    <s v=""/>
    <s v="нет"/>
  </r>
  <r>
    <s v="Газпромнефть-ГЕО, ООО"/>
    <s v="0000040222"/>
    <s v="Зарегистрирован"/>
    <d v="2023-02-20T00:00:00"/>
    <s v=""/>
    <x v="137"/>
    <s v="7736227885"/>
    <s v=""/>
    <s v="ГЕО-23/01200/00056/Р"/>
    <s v="ГЕО-23/01200/00056/Р"/>
    <s v="Нетиповой ДД"/>
    <x v="2"/>
    <s v=""/>
    <s v="00096-23"/>
    <s v=""/>
    <s v="Договор поставки ПО &quot;Киберпротект&quot;"/>
    <s v="Обновление ПО &quot;Киберпротект&quot; с ОС Windows на ОС Astra Linux, продление техподдержки."/>
    <s v="Сорокин И.М."/>
    <s v="Сорокин И.М."/>
    <s v="Договорный документ"/>
    <s v="Блок геологии и разработки"/>
    <s v="Аксенов М.А."/>
    <s v="На бумажном носителе"/>
    <s v="До исполнения обязательств"/>
    <d v="2023-02-20T00:00:00"/>
    <s v=""/>
    <s v="Д-54"/>
    <s v="Договор поставки/купли продажи движимого имущества"/>
    <s v="Расходная часть"/>
    <s v="Стоимостной"/>
    <s v="иное"/>
    <s v=""/>
    <s v=""/>
    <s v="1 497 260.00"/>
    <s v="1 420 155.00"/>
    <s v="77 105.00"/>
    <s v="нет"/>
    <s v="нет"/>
    <s v=""/>
    <s v=""/>
    <s v=""/>
    <s v=""/>
    <s v="нет"/>
  </r>
  <r>
    <s v="Газпромнефть-ГЕО, ООО"/>
    <s v="0000069013"/>
    <s v="Зарегистрирован"/>
    <d v="2024-02-27T00:00:00"/>
    <s v=""/>
    <x v="114"/>
    <s v="7203218005"/>
    <s v="ГЕО-21/10924/00124/Р"/>
    <s v=""/>
    <s v="9"/>
    <s v="Нетиповой ДД"/>
    <x v="0"/>
    <s v=""/>
    <s v="00096-24"/>
    <s v=""/>
    <s v="Дополнительное соглашение №9  к Договору №ГЕО-21/10924/00124/Р от 12.05.2021 г. на выполнение работ  по экологическому мониторингу месторождений"/>
    <s v="Перераспределение объема выполняемых работ (перевод негарантированного объема работ 2024 г. в гарантированный объем работ 2024 г.) по СФО, ПФО и УФО"/>
    <s v="Липатова О.И."/>
    <s v=""/>
    <s v="Договорный документ"/>
    <s v="Отдел экологической безопасности"/>
    <s v="Михайлов Ю.А."/>
    <s v="ЭП"/>
    <s v="С ограничением по срокам "/>
    <d v="2024-02-27T00:00:00"/>
    <d v="2024-12-31T00:00:00"/>
    <s v="Д-2"/>
    <s v="Экологический мониторинг месторождений"/>
    <s v="Расходная часть"/>
    <s v="Рамочный"/>
    <s v="без НДС"/>
    <s v=""/>
    <s v=""/>
    <s v="11 477 320.28"/>
    <s v="11 477 320.28"/>
    <n v="0"/>
    <s v="нет"/>
    <s v="нет"/>
    <s v=""/>
    <s v=""/>
    <s v=""/>
    <s v=""/>
    <s v="нет"/>
  </r>
  <r>
    <s v="Газпромнефть-ГЕО, ООО"/>
    <s v="0000027645, 0000057650"/>
    <s v="Зарегистрирован"/>
    <d v="2021-04-01T00:00:00"/>
    <s v=""/>
    <x v="138"/>
    <s v="5501072608, 8901001822"/>
    <s v="АНГ-18/11104/00084/Р"/>
    <s v=""/>
    <s v="Соглашение о перемене к/а"/>
    <s v="Нетиповой ДД"/>
    <x v="0"/>
    <s v=""/>
    <s v="00097-21"/>
    <s v="Соглашение о передаче в ГПН-ГЕО"/>
    <s v="Соглашение о перемене лица в обязательстве по Договору №АНГ-18/11104/00084/Р от 02.04.2018"/>
    <s v="Перемена лица в обязательстве"/>
    <s v="Титова Е.В."/>
    <s v="Титова Е.В."/>
    <s v="Договорный документ"/>
    <s v="Блок по закупкам"/>
    <s v="Титов А.В."/>
    <s v="На бумажном носителе"/>
    <s v="С ограничением по срокам "/>
    <d v="2021-04-01T00:00:00"/>
    <d v="2021-12-31T00:00:00"/>
    <s v="Д-11"/>
    <s v="Авиационное обслуживание (вертолеты)"/>
    <s v="Не предполагает взаиморасчетов"/>
    <s v="Агентский"/>
    <s v=""/>
    <s v=""/>
    <s v=""/>
    <s v=""/>
    <s v=""/>
    <s v=""/>
    <s v="нет"/>
    <s v="нет"/>
    <s v=""/>
    <s v=""/>
    <s v=""/>
    <s v=""/>
    <s v="нет"/>
  </r>
  <r>
    <s v="Газпромнефть-ГЕО, ООО"/>
    <s v="0000039779"/>
    <s v="Зарегистрирован"/>
    <d v="2022-02-21T00:00:00"/>
    <s v=""/>
    <x v="139"/>
    <s v="0277067693"/>
    <s v=""/>
    <s v="ГЕО-22/10318/00037/Р"/>
    <s v="ГЕО-22/10318/00037/Р"/>
    <s v="Типовой ДД"/>
    <x v="2"/>
    <s v="10318  Мастер-форма Договора по услуге  «Отбор керна при бурении и реконструкции скважин»"/>
    <s v="00097-22"/>
    <s v=""/>
    <s v="10318  Мастер-форма Договора по услуге  «Отбор керна при бурении и реконструкции скважин»"/>
    <s v="Договор на выполнения работ по отбору керна на Северо-Ямбурском ЛУ (Проект &quot;Титан&quot;)"/>
    <s v="Быков Н.В."/>
    <s v="Веселкин А.С."/>
    <s v="Договорный документ"/>
    <s v="Блок бурения и ВСР"/>
    <s v="Гаврилов С.В."/>
    <s v="На бумажном носителе"/>
    <s v="С ограничением по срокам "/>
    <d v="2022-02-21T00:00:00"/>
    <d v="2023-03-15T00:00:00"/>
    <s v="Д-58"/>
    <s v="Отбор керна при бурении и реконструкции скважин"/>
    <s v="Расходная часть"/>
    <s v="Стоимостной"/>
    <s v="20%"/>
    <s v=""/>
    <s v=""/>
    <s v="24 596 102.35"/>
    <s v="20 496 751.96"/>
    <s v="4 099 350.39"/>
    <s v="нет"/>
    <s v="нет"/>
    <s v=""/>
    <s v=""/>
    <s v=""/>
    <s v=""/>
    <s v="нет"/>
  </r>
  <r>
    <s v="Газпромнефть-ГЕО, ООО"/>
    <s v="0000019598"/>
    <s v="Зарегистрирован"/>
    <d v="2023-02-17T00:00:00"/>
    <s v=""/>
    <x v="63"/>
    <s v="9909012867"/>
    <s v="ГЕО-19/11708/00134/Р от 25.06.2019"/>
    <s v=""/>
    <s v="14"/>
    <s v="Нетиповой ДД"/>
    <x v="3"/>
    <s v=""/>
    <s v="00097-23"/>
    <s v=""/>
    <s v="Заказ-Наряд №14 к договору №ГЕО-19/11708/00134/Р от 25.06.2019"/>
    <s v="Концептуальное проектирование разработки глубоководных отложений мелового комплекса (пласты АС9, АС9-1, АС10-1, АС10-2, АС12, ЮС2-3, ЮС4) месторождения имени Александра Жагрина"/>
    <s v="Коротков С.П."/>
    <s v=""/>
    <s v="Договорный документ"/>
    <s v="Управление по разработке"/>
    <s v="Аксенов М.А."/>
    <s v="На бумажном носителе"/>
    <s v="С ограничением по срокам "/>
    <d v="2023-02-17T00:00:00"/>
    <d v="2023-12-25T00:00:00"/>
    <s v="Д-54"/>
    <s v="НИОКР, НИР прочие"/>
    <s v="Расходная часть"/>
    <s v="Рамочный"/>
    <s v="20%"/>
    <s v=""/>
    <s v=""/>
    <s v="12 005 400.00"/>
    <s v="10 004 500.00"/>
    <s v="2 000 900.00"/>
    <s v="нет"/>
    <s v="нет"/>
    <s v=""/>
    <s v=""/>
    <s v=""/>
    <s v=""/>
    <s v="нет"/>
  </r>
  <r>
    <s v="Газпромнефть-ГЕО, ООО"/>
    <s v="0000041228"/>
    <s v="Зарегистрирован"/>
    <d v="2024-04-22T00:00:00"/>
    <s v=""/>
    <x v="59"/>
    <s v="5003028155"/>
    <s v=""/>
    <s v="ГЕО-24/08000/00084/Р"/>
    <s v="ГЕО-24/08000/00084/Р"/>
    <s v="Нетиповой ДД"/>
    <x v="2"/>
    <s v=""/>
    <s v="00097-24"/>
    <s v=""/>
    <s v="Супервизия работы «Создание единой программы воспроизводства минерально-сырьевой базы Нерутинской зоны»"/>
    <s v="Заключение договора для исполнения обязательств по договору СОЗДАНИЕ ЕДИНОЙ ПРОГРАММЫ ВОСПРОИЗВОДСТВА МИНЕРАЛЬНО-СЫРЬЕВОЙ БАЗЫ НЕРУТИНСКОЙ ЗОНЫ_x000a_Договор № ГЕО-23/09000/00172/Д от 30 октября 2023 г._x000a_«Супервизия работы «Создание единой программы воспроизводства минерально-сырьевой базы Нерутинской зоны». Технико-экономические предложения по освоению перспективных структур нераспределенного фонда недр Нерутинской зоны»_x000a_"/>
    <s v="Игревский И.В."/>
    <s v="Волков Г.В."/>
    <s v="Договорный документ"/>
    <s v="Проект &quot;Западно-Юбилейное&quot;"/>
    <s v="Николаев М.Н."/>
    <s v="На бумажном носителе"/>
    <s v="До исполнения обязательств"/>
    <d v="2024-04-22T00:00:00"/>
    <s v=""/>
    <s v="Д-15"/>
    <s v="Договор на выполнение НИР, ОКР и технологических работ"/>
    <s v="Расходная часть"/>
    <s v="Стоимостной"/>
    <s v="20%"/>
    <s v=""/>
    <s v=""/>
    <s v="50 419 552.04"/>
    <s v="42 016 293.37"/>
    <s v="8 403 258.67"/>
    <s v="нет"/>
    <s v="нет"/>
    <s v=""/>
    <s v=""/>
    <s v=""/>
    <s v=""/>
    <s v="да"/>
  </r>
  <r>
    <s v="Газпромнефть-ГЕО, ООО"/>
    <s v="0000062928"/>
    <s v="Зарегистрирован"/>
    <d v="2021-04-26T00:00:00"/>
    <s v=""/>
    <x v="136"/>
    <s v="7701645627"/>
    <s v="ГЕО-20/1150100184/Р"/>
    <s v=""/>
    <s v="НЗ №2 к договору №ГЕО-20/11501/00184/Р"/>
    <s v="Нетиповой ДД"/>
    <x v="3"/>
    <s v=""/>
    <s v="00098-21"/>
    <s v=""/>
    <s v="ГЕО-20/11501/00184/Р"/>
    <s v="Выполнение камеральных маркшейдерских работ"/>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0-11-29T00:00:00"/>
    <d v="2023-12-31T00:00:00"/>
    <s v=""/>
    <s v="Разработка проекта производства маркшейдерских работ"/>
    <s v="Расходная часть"/>
    <s v="Рамочный"/>
    <s v="0%"/>
    <s v=""/>
    <s v=""/>
    <s v="1 124 277.64"/>
    <s v="1 124 277.64"/>
    <n v="0"/>
    <s v="нет"/>
    <s v="нет"/>
    <s v=""/>
    <s v=""/>
    <s v=""/>
    <s v=""/>
    <s v="нет"/>
  </r>
  <r>
    <s v="Газпромнефть-ГЕО, ООО"/>
    <s v="0000085349"/>
    <s v="Зарегистрирован"/>
    <d v="2023-02-20T00:00:00"/>
    <s v=""/>
    <x v="140"/>
    <s v="5610220126"/>
    <s v="№ ГЕО-22/10000/00065/Р "/>
    <s v=""/>
    <s v="5"/>
    <s v="Нетиповой ДД"/>
    <x v="0"/>
    <s v=""/>
    <s v="00098-23"/>
    <s v=""/>
    <s v="Дополнительное соглашение №5 на оказание услуг по испытанию геологоразведочных скважин на Солнечном ЛУ и Западно-Рубежинском ЛУ, предусматривающее перевод части негарантированного объем услуг в гарантированный объем услуг в 2023г"/>
    <s v="Приведение негарантированного объема работ в гарантированный на 2023г. в связи с производственной необходимостью._x000d__x000a_"/>
    <s v="Бикташев Р.С."/>
    <s v=""/>
    <s v="Договорный документ"/>
    <s v="Производственно-технологический департамент"/>
    <s v="Трифонов А.В."/>
    <s v="ЭП"/>
    <s v="С ограничением по срокам "/>
    <d v="2023-02-20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8 024 640.00"/>
    <s v="6 687 200.00"/>
    <s v="1 337 440.00"/>
    <s v="нет"/>
    <s v="нет"/>
    <s v=""/>
    <s v=""/>
    <s v=""/>
    <s v=""/>
    <s v="нет"/>
  </r>
  <r>
    <s v="Газпромнефть-ГЕО, ООО"/>
    <s v="0000069013"/>
    <s v="Зарегистрирован"/>
    <d v="2024-02-28T00:00:00"/>
    <s v=""/>
    <x v="114"/>
    <s v="7203218005"/>
    <s v="ГЕО-21/10924/00124/Р"/>
    <s v=""/>
    <s v="7"/>
    <s v="Нетиповой ДД"/>
    <x v="3"/>
    <s v=""/>
    <s v="00098-24"/>
    <s v=""/>
    <s v="Наряд-Заказ №7 к Договору №ГЕО-21/10924/00124/Р от 12.05.2021 г. на выполнение работ  по экологическому мониторингу месторождений"/>
    <s v="Выполнение работ по СФО, ПФО и УФО в 2024 г."/>
    <s v="Липатова О.И."/>
    <s v=""/>
    <s v="Договорный документ"/>
    <s v="Отдел экологической безопасности"/>
    <s v="Михайлов Ю.А."/>
    <s v="ЭП"/>
    <s v="С ограничением по срокам "/>
    <d v="2024-02-28T00:00:00"/>
    <d v="2024-12-31T00:00:00"/>
    <s v="Д-2"/>
    <s v="Экологический мониторинг месторождений"/>
    <s v="Расходная часть"/>
    <s v="Рамочный"/>
    <s v="без НДС"/>
    <s v=""/>
    <s v=""/>
    <s v="11 477 320.28"/>
    <s v="11 477 320.28"/>
    <n v="0"/>
    <s v="нет"/>
    <s v="нет"/>
    <s v=""/>
    <s v=""/>
    <s v=""/>
    <s v=""/>
    <s v="нет"/>
  </r>
  <r>
    <s v="Газпромнефть-ГЕО, ООО"/>
    <s v="0000063984"/>
    <s v="Зарегистрирован"/>
    <d v="2021-04-16T00:00:00"/>
    <s v=""/>
    <x v="141"/>
    <s v="3808099451"/>
    <s v=""/>
    <s v="ГЕО-21/26000/00114"/>
    <s v="ГЕО-21/26000/00114"/>
    <s v="Типовой ДД"/>
    <x v="1"/>
    <s v="26000 Соглашение о конфиденциальности с российским контрагентом"/>
    <s v="00099-21"/>
    <s v=""/>
    <s v="26000 Соглашение о конфиденциальности с российским контрагентом"/>
    <s v="Необходимость заключения Соглашения (Договора) о конфиденциальности между ООО «ГПН-ГЕО» и ООО «ГТС обусловлена надобностью передачи (возможной передачей) конфиденциальной информации в ходе проведения работ по договору   №АНГ-18/10985/00282/Р от 29.12.2018 г_x000d__x000a_Соглашение (Договор) о конфиденциальности подготовлено в соответствии с разделом 4.6 К-12.02.00-01 Режим коммерческой тайны по типовой форме Компании для российского контрагента._x000d__x000a_Планируемые для передачи контрагенту сведения подпадают под действие пункта 8.1 КТ-040 Конфиденциальная информация._x000d__x000a_"/>
    <s v="Бабаев Д.Г."/>
    <s v="Бабаев Д.Г."/>
    <s v="Договорный документ"/>
    <s v="Департамент капитального строительства"/>
    <s v="Шакирзянов Л.Н."/>
    <s v="На бумажном носителе"/>
    <s v="До исполнения обязательств"/>
    <d v="2021-04-16T00:00:00"/>
    <s v=""/>
    <s v="Д-18"/>
    <s v="Соглашение о конфиденциальности"/>
    <s v="Не предполагает взаиморасчетов"/>
    <s v=""/>
    <s v=""/>
    <s v=""/>
    <s v=""/>
    <s v=""/>
    <s v=""/>
    <s v=""/>
    <s v="нет"/>
    <s v="нет"/>
    <s v=""/>
    <s v=""/>
    <s v=""/>
    <s v=""/>
    <s v="нет"/>
  </r>
  <r>
    <s v="Газпромнефть-ГЕО, ООО"/>
    <s v="0000045789"/>
    <s v="Зарегистрирован"/>
    <d v="2022-02-01T00:00:00"/>
    <s v=""/>
    <x v="16"/>
    <s v="7838395487"/>
    <s v="ГЕО-21/11708/00165/Р"/>
    <s v=""/>
    <s v="НТЦ-03281-21Д-ГЕО"/>
    <s v="Нетиповой ДД"/>
    <x v="3"/>
    <s v=""/>
    <s v="00099-22"/>
    <s v=""/>
    <s v="Бассейновая/региональная модель с оценкой перспектив (анализ и моделирование углеводородных систем в пределах зоны интереса проекта &quot;Титан&quot;)"/>
    <s v="Уточнение рисков миграции углеводородов и фазового состава углеводородов проекта &quot;Титан&quot;_x000d__x000a_Северо-Ямбургский лицензионный участок с привлечением материалов по Ямбургскому НГКМ и его окружению."/>
    <s v="Толмачев Е.О."/>
    <s v="Толмачев Е.О."/>
    <s v="Договорный документ"/>
    <s v="Кластер &quot;Большая Ачимовка&quot;"/>
    <s v="Волков Г.В."/>
    <s v="На бумажном носителе"/>
    <s v="С ограничением по срокам "/>
    <d v="2022-02-01T00:00:00"/>
    <d v="2023-04-06T00:00:00"/>
    <s v="Д-55"/>
    <s v="Договор на выполнение НИР, ОКР и технологических работ"/>
    <s v="Расходная часть"/>
    <s v="Рамочный"/>
    <s v="20%"/>
    <s v=""/>
    <s v=""/>
    <s v="37 199 665.20"/>
    <s v="30 999 721.00"/>
    <s v="6 199 944.20"/>
    <s v="нет"/>
    <s v="нет"/>
    <s v=""/>
    <s v=""/>
    <s v=""/>
    <s v=""/>
    <s v="нет"/>
  </r>
  <r>
    <s v="Газпромнефть-ГЕО, ООО"/>
    <s v="0000063179"/>
    <s v="Зарегистрирован"/>
    <d v="2023-02-20T00:00:00"/>
    <s v=""/>
    <x v="54"/>
    <s v="7727747172"/>
    <s v="ГЕО-20/10986/00138/Р"/>
    <s v=""/>
    <s v="32"/>
    <s v="Нетиповой ДД"/>
    <x v="8"/>
    <s v=""/>
    <s v="00099-23"/>
    <s v=""/>
    <s v="Задание № 32 к Договору № ГЕО-20/10986/00138/Р от 10.08.2020 г. на оказание супервайзерских услуг по контролю состояния производственной безопасности на объектах ООО &quot;ГПН-ГЕО&quot;"/>
    <s v="Оказание услуг супервайзинг БДД на проекте &quot;Оморинский&quot;"/>
    <s v="Автеньев М.В."/>
    <s v="Фокин Е.В."/>
    <s v="Договорный документ"/>
    <s v="Блок производственной безопасности"/>
    <s v="Михайлов Ю.А."/>
    <s v="На бумажном носителе"/>
    <s v="С ограничением по срокам "/>
    <d v="2023-02-21T00:00:00"/>
    <d v="2023-04-30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 320 221.60"/>
    <s v="1 933 518.00"/>
    <s v="386 703.60"/>
    <s v="нет"/>
    <s v="нет"/>
    <s v=""/>
    <s v=""/>
    <s v=""/>
    <s v=""/>
    <s v="нет"/>
  </r>
  <r>
    <s v="Газпромнефть-ГЕО, ООО"/>
    <s v="0000076851"/>
    <s v="Зарегистрирован"/>
    <d v="2024-02-20T00:00:00"/>
    <s v=""/>
    <x v="48"/>
    <s v="2466091092"/>
    <s v="ГЕО-22/11000/00274/Р"/>
    <s v=""/>
    <s v="8"/>
    <s v="Нетиповой ДД"/>
    <x v="3"/>
    <s v=""/>
    <s v="00099-24"/>
    <s v=""/>
    <s v="Наряд-заказ №8 к Договору № ГЕО-22/11000/00274/Р от 14.10.2022г"/>
    <s v="На выполнение проектных работ"/>
    <s v="Шолохова И.А."/>
    <s v="Салахутдинов Р.С."/>
    <s v="Договорный документ"/>
    <s v="Управление проектно-изыскательских работ"/>
    <s v="Трифонов А.В."/>
    <s v="ЭП"/>
    <s v="До исполнения обязательств"/>
    <d v="2024-02-20T00:00:00"/>
    <s v=""/>
    <s v="Д-82"/>
    <s v="Капитальное строительство и ПИР"/>
    <s v="Расходная часть"/>
    <s v="Рамочный"/>
    <s v="20%"/>
    <s v=""/>
    <s v=""/>
    <s v="20 772 355.37"/>
    <s v="17 310 296.14"/>
    <s v="3 462 059.23"/>
    <s v="нет"/>
    <s v="нет"/>
    <s v=""/>
    <s v=""/>
    <s v=""/>
    <s v=""/>
    <s v="нет"/>
  </r>
  <r>
    <s v="Газпромнефть-ГЕО, ООО"/>
    <s v="0000000059"/>
    <s v="Зарегистрирован"/>
    <d v="2022-02-03T00:00:00"/>
    <s v=""/>
    <x v="131"/>
    <s v="8905000428"/>
    <s v="ГЕО-19/00000/00317/Д"/>
    <s v=""/>
    <s v="2"/>
    <s v="Нетиповой ДД"/>
    <x v="0"/>
    <s v=""/>
    <s v="00100-22"/>
    <s v=""/>
    <s v="Дополнительное соглашение №2"/>
    <s v="Уточнения программы оказания услуг и выполнения работ с дополнением объемов по Воргенскому и Умсейскому лицензионным участкам, влекущее увеличение сроков оказания услуг / выполнении работ и действия договора по 31,12.2024г., а также увеличения стоимости по договору на сумму"/>
    <s v="Андреева И.В."/>
    <s v="Кошелева Ю.В."/>
    <s v="Договорный документ"/>
    <s v="Управление экономического планирования и анализа"/>
    <s v="Николаев М.Н."/>
    <s v="На бумажном носителе"/>
    <s v="С ограничением по срокам "/>
    <d v="2022-02-03T00:00:00"/>
    <d v="2024-12-31T00:00:00"/>
    <s v="Д-57"/>
    <s v="Договор возмездного оказания услуг"/>
    <s v="Доходная часть"/>
    <s v="Стоимостной"/>
    <s v="20%"/>
    <s v=""/>
    <s v=""/>
    <s v="1 345 387 069.94"/>
    <s v="1 121 155 891.62"/>
    <s v="224 231 178.32"/>
    <s v="нет"/>
    <s v="нет"/>
    <s v=""/>
    <s v=""/>
    <s v=""/>
    <s v=""/>
    <s v="нет"/>
  </r>
  <r>
    <s v="Газпромнефть-ГЕО, ООО"/>
    <s v="0000019598"/>
    <s v="Зарегистрирован"/>
    <d v="2023-02-20T00:00:00"/>
    <s v=""/>
    <x v="63"/>
    <s v="9909012867"/>
    <s v="ГЕО-19/11708/00134/Р от 25.06.2019"/>
    <s v=""/>
    <s v="1"/>
    <s v="Нетиповой ДД"/>
    <x v="0"/>
    <s v=""/>
    <s v="00100-23"/>
    <s v=""/>
    <s v="ДС1 Продление срока действия договора с ПТ"/>
    <s v="Продление срока действия договора"/>
    <s v="Коротков С.П."/>
    <s v=""/>
    <s v="Договорный документ"/>
    <s v="Управление по разработке"/>
    <s v="Аксенов М.А."/>
    <s v="На бумажном носителе"/>
    <s v="Без сроков "/>
    <d v="2023-02-20T00:00:00"/>
    <s v=""/>
    <s v="Д-54"/>
    <s v="Договор на выполнение НИР, ОКР и технологических работ"/>
    <s v="Не предполагает взаиморасчетов"/>
    <s v=""/>
    <s v=""/>
    <s v=""/>
    <s v=""/>
    <s v=""/>
    <s v=""/>
    <s v=""/>
    <s v="нет"/>
    <s v="нет"/>
    <s v=""/>
    <s v=""/>
    <s v=""/>
    <s v=""/>
    <s v="нет"/>
  </r>
  <r>
    <s v="Газпромнефть-ГЕО, ООО"/>
    <s v="0000048878"/>
    <s v="Зарегистрирован"/>
    <d v="2024-02-28T00:00:00"/>
    <s v=""/>
    <x v="29"/>
    <s v="1645019164"/>
    <s v="ГЕО-22/10000/00271/Р"/>
    <s v=""/>
    <s v="3"/>
    <s v="Типовой ДД"/>
    <x v="0"/>
    <s v="ДС по актуализации методологии оценки эффективности деятельности контрагентов и мотивации в области ПБ в действующих договорах"/>
    <s v="00100-24"/>
    <s v=""/>
    <s v="ДС по актуализации методологии оценки эффективности деятельности контрагентов и мотивации в области ПБ в действующих договорах"/>
    <s v="Актуализация формата оценочного листа и раздела договора &quot;Управление эффективностью деятельности&quot;"/>
    <s v="Ушакова М.А."/>
    <s v=""/>
    <s v="Договорный документ"/>
    <s v="Блок геологии и разработки"/>
    <s v="Аксенов М.А."/>
    <s v="ЭП"/>
    <s v="С ограничением по срокам "/>
    <d v="2024-02-28T00:00:00"/>
    <d v="2026-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45789"/>
    <s v="Зарегистрирован"/>
    <d v="2022-02-18T00:00:00"/>
    <s v=""/>
    <x v="16"/>
    <s v="7838395487"/>
    <s v="ГЕО-21/11708/00165/Р//НТЦ-21/09000/00768/Д"/>
    <s v=""/>
    <s v="НТЦ-00092-22Д-ГЕО"/>
    <s v="Нетиповой ДД"/>
    <x v="3"/>
    <s v=""/>
    <s v="00101-22"/>
    <s v=""/>
    <s v="Геомеханическая модель с обоснованием ОТР для пилотной закачки газа в пласт"/>
    <s v="Цель – оценка геомеханических параметров участка ОПР с учетом истории разработки, формирование решений по оптимальному забойному давлению в скважинах, планируемых под закачку"/>
    <s v="Ябиров Р.З."/>
    <s v="Аксенов М.А."/>
    <s v="Договорный документ"/>
    <s v="Блок геологии и разработки"/>
    <s v="Аксенов М.А."/>
    <s v="На бумажном носителе"/>
    <s v="С ограничением по срокам "/>
    <d v="2022-02-18T00:00:00"/>
    <d v="2022-12-30T00:00:00"/>
    <s v="Д-54"/>
    <s v="Договор на выполнение НИР, ОКР и технологических работ"/>
    <s v="Расходная часть"/>
    <s v="Рамочный"/>
    <s v="20%"/>
    <s v=""/>
    <s v=""/>
    <s v="11 273 400.00"/>
    <s v="9 394 500.00"/>
    <s v="1 878 900.00"/>
    <s v="нет"/>
    <s v="нет"/>
    <s v=""/>
    <s v=""/>
    <s v=""/>
    <s v=""/>
    <s v="нет"/>
  </r>
  <r>
    <s v="Газпромнефть-ГЕО, ООО"/>
    <s v="0000071220"/>
    <s v="Зарегистрирован"/>
    <d v="2023-03-10T00:00:00"/>
    <s v=""/>
    <x v="51"/>
    <s v="5401950707"/>
    <s v=""/>
    <s v="ГЕО-23/10000/00054/Р"/>
    <s v="ГЕО-23/10000/00054/Р"/>
    <s v="Типовой ДД"/>
    <x v="2"/>
    <s v="10308 Договор на проведение геолого-технологических исследований скважин при бурении"/>
    <s v="00101-23"/>
    <s v=""/>
    <s v="10308 Договор на проведение геолого-технологических исследований скважин при бурении"/>
    <s v="10308 ГТИ при бурении"/>
    <s v="Мормышев А.А."/>
    <s v="Воронин А.С."/>
    <s v="Договорный документ"/>
    <s v="Блок геологии и разработки"/>
    <s v="Аксенов М.А."/>
    <s v="ЭП"/>
    <s v="С ограничением по срокам "/>
    <d v="2023-03-10T00:00:00"/>
    <d v="2025-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126031920"/>
    <s v="460 626 420.00"/>
    <s v="383 855 350.00"/>
    <s v="76 771 070.00"/>
    <s v="да"/>
    <s v="нет"/>
    <s v=""/>
    <s v=""/>
    <s v=""/>
    <s v=""/>
    <s v="нет"/>
  </r>
  <r>
    <s v="Газпромнефть-ГЕО, ООО"/>
    <s v="0000025354"/>
    <s v="Зарегистрирован"/>
    <d v="2024-02-28T00:00:00"/>
    <s v=""/>
    <x v="111"/>
    <s v="5003026493"/>
    <s v="ГЕО-21/07000/00283/Р"/>
    <s v=""/>
    <s v="5"/>
    <s v="Нетиповой ДД"/>
    <x v="0"/>
    <s v=""/>
    <s v="00101-24"/>
    <s v=""/>
    <s v="Дополнительное соглашение № 5 к договору ГЕО-21/07000/00283/Р от 20.12.2021"/>
    <s v="Применение округления до двух знаков после запятой"/>
    <s v="Покатов О.Н."/>
    <s v="Покатов О.Н."/>
    <s v="Договорный документ"/>
    <s v="Блок главного инженера"/>
    <s v="Трифонов А.В."/>
    <s v="ЭП"/>
    <s v="До исполнения обязательств"/>
    <d v="2024-02-28T00:00:00"/>
    <s v=""/>
    <s v="Д-82"/>
    <s v="Договор подряда"/>
    <s v="Не предполагает взаиморасчетов"/>
    <s v=""/>
    <s v=""/>
    <s v=""/>
    <s v=""/>
    <s v=""/>
    <s v=""/>
    <s v=""/>
    <s v="нет"/>
    <s v="нет"/>
    <s v=""/>
    <s v=""/>
    <s v=""/>
    <s v=""/>
    <s v="нет"/>
  </r>
  <r>
    <s v="Газпромнефть-ГЕО, ООО"/>
    <s v="0000045789"/>
    <s v="Зарегистрирован"/>
    <d v="2022-02-18T00:00:00"/>
    <s v=""/>
    <x v="16"/>
    <s v="7838395487"/>
    <s v="ГЕО-21/11708/00165/Р//НТЦ-21/09000/00768/Д "/>
    <s v=""/>
    <s v="НТЦ-00052-22Д-ГЕО"/>
    <s v="Нетиповой ДД"/>
    <x v="3"/>
    <s v=""/>
    <s v="00102-22"/>
    <s v=""/>
    <s v="Создание концепций геологии и разработки для пилотной закачки газа в пласт"/>
    <s v="Цель – сопровождение проекта АчMGI по пласту БП17 Вынгаяхинского месторождения в части организации пилота по технологии смешивающегося вытеснения при закачке газа в пласт"/>
    <s v="Ябиров Р.З."/>
    <s v=""/>
    <s v="Договорный документ"/>
    <s v="Блок геологии и разработки"/>
    <s v="Аксенов М.А."/>
    <s v="На бумажном носителе"/>
    <s v="С ограничением по срокам "/>
    <d v="2022-02-18T00:00:00"/>
    <d v="2022-12-30T00:00:00"/>
    <s v="Д-54"/>
    <s v="Договор на выполнение НИР, ОКР и технологических работ"/>
    <s v="Расходная часть"/>
    <s v="Рамочный"/>
    <s v="20%"/>
    <s v=""/>
    <s v=""/>
    <s v="21 734 400.00"/>
    <s v="18 112 000.00"/>
    <s v="3 622 400.00"/>
    <s v="нет"/>
    <s v="нет"/>
    <s v=""/>
    <s v=""/>
    <s v=""/>
    <s v=""/>
    <s v="нет"/>
  </r>
  <r>
    <s v="Газпромнефть-ГЕО, ООО"/>
    <s v="0000070846"/>
    <s v="Зарегистрирован"/>
    <d v="2023-02-21T00:00:00"/>
    <s v=""/>
    <x v="132"/>
    <s v="7014052636"/>
    <s v="ГЕО-22/10000/00193/Р"/>
    <s v=""/>
    <s v="3"/>
    <s v="Нетиповой ДД"/>
    <x v="0"/>
    <s v=""/>
    <s v="00102-23"/>
    <s v=""/>
    <s v="Дополнительное соглашение №3 к Договору №ГЕО-22/10000/00193/Р от 15.08.2022г."/>
    <s v="Перенос неосвоенного гарантированного объема и негарантированного объема по договору 2022 года в 2023 год, раскрытие части негарантированного объема 2023 года, а так же уменьшения объемов отдельных позиций с одновременным увеличением других без увеличения единичных расценок и общей цены договора."/>
    <s v="Забиров А.А."/>
    <s v="Жданов А.С."/>
    <s v="Договорный документ"/>
    <s v="Производственно-технологический департамент"/>
    <s v="Трифонов А.В."/>
    <s v="ЭП"/>
    <s v="С ограничением по срокам "/>
    <d v="2023-02-21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26495453"/>
    <s v="38 678 545.20"/>
    <s v="32 232 121.00"/>
    <s v="6 446 424.20"/>
    <s v="да"/>
    <s v="нет"/>
    <s v=""/>
    <s v=""/>
    <s v=""/>
    <s v=""/>
    <s v="нет"/>
  </r>
  <r>
    <s v="Газпромнефть-ГЕО, ООО"/>
    <s v="0000027645"/>
    <s v="Зарегистрирован"/>
    <d v="2022-02-18T00:00:00"/>
    <s v=""/>
    <x v="80"/>
    <s v="5501072608"/>
    <s v="ГЕО-19/10001/00157/Р/ГСН-19/10001/00829/Д/ТМН-15 от 15.07.2019г."/>
    <s v=""/>
    <s v="13"/>
    <s v="Нетиповой ДД"/>
    <x v="0"/>
    <s v=""/>
    <s v="00103-22"/>
    <s v=""/>
    <s v="ДС № 13 (перенос экономии 21г. на 22г., включение мотивационных показателей в условия договора)"/>
    <s v="• Приведение стоимости договора СТЛ к фактическому исполнению в 2021 году. В связи с наличием фактической экономии на сумму 72 975 927,94 рублей без НДС по договору СТЛ в 2021 году относительно планируемых затрат предлагается сумму неосвоенных средств 2021 года перенести в 2022 год для возможности оперативного управления изменениями производственной программы в 2022 году и оплаты услуг СТЛ в 1 квартале 2022 года._x000d__x000a_• Данные изменения не влекут за собой увеличение / изменение общей стоимости договора, либо увеличение / изменение единичных расценок / тарифов."/>
    <s v="Рябикина М.А."/>
    <s v="Нежальских В.А."/>
    <s v="Договорный документ"/>
    <s v="Блок снабжения и закупок"/>
    <s v="Титов А.В."/>
    <s v="На бумажном носителе"/>
    <s v="С ограничением по срокам "/>
    <d v="2022-02-18T00:00:00"/>
    <d v="2022-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n v="0.01"/>
    <n v="0.01"/>
    <n v="0"/>
    <s v="нет"/>
    <s v="нет"/>
    <s v=""/>
    <s v=""/>
    <s v=""/>
    <s v=""/>
    <s v="нет"/>
  </r>
  <r>
    <s v="Газпромнефть-ГЕО, ООО"/>
    <s v="0000058703"/>
    <s v="Зарегистрирован"/>
    <d v="2023-03-01T00:00:00"/>
    <s v=""/>
    <x v="5"/>
    <s v="5914024719"/>
    <s v="ГЕО-21/10208/00166/Р"/>
    <s v=""/>
    <s v="11"/>
    <s v="Нетиповой ДД"/>
    <x v="0"/>
    <s v=""/>
    <s v="00103-23"/>
    <s v=""/>
    <s v="ДС№11. на уточнение требований к автотранспорту (Шнекоротор)"/>
    <s v="Дополнительное соглашение №11 к Договору №ОРН-20/10204/00210/Р от 14 февраля 2020 года (на основании Соглашения о перемене лиц в обязательстве № ГЕО-21/10208/00166/Р от 20.07.2021) с ООО «НСХ АЗИЯ ДРИЛЛИНГ» на уточнение требований к автотранспорту без изменения единичных расценок, общей стоимости и объема услуг по Договору._x000d__x000a_Пункт 2.22 КТ-530 «Иные изменения, не поименованные в настоящем каталоге, не являющиеся существенными»."/>
    <s v="Мормышев А.А."/>
    <s v=""/>
    <s v="Договорный документ"/>
    <s v="Блок бурения и ВСР"/>
    <s v="Трифонов А.В."/>
    <s v="ЭП"/>
    <s v="До исполнения обязательств"/>
    <d v="2023-03-01T00:00:00"/>
    <s v=""/>
    <s v="Д-33"/>
    <s v="Бурение геологоразведочных скважин по суточной или иной фиксирванной ставке (в т.ч. мобильными установками)"/>
    <s v="Не предполагает взаиморасчетов"/>
    <s v="Тарифный"/>
    <s v=""/>
    <s v=""/>
    <s v=""/>
    <s v=""/>
    <s v=""/>
    <s v=""/>
    <s v="нет"/>
    <s v="нет"/>
    <s v=""/>
    <s v=""/>
    <s v=""/>
    <s v=""/>
    <s v="нет"/>
  </r>
  <r>
    <s v="Газпромнефть-ГЕО, ООО"/>
    <s v="0000062524"/>
    <s v="Зарегистрирован"/>
    <d v="2024-03-04T00:00:00"/>
    <s v=""/>
    <x v="12"/>
    <s v="5908034187"/>
    <s v="ГЕО-21/10302/00225/Р"/>
    <s v=""/>
    <s v="1"/>
    <s v="Нетиповой ДД"/>
    <x v="4"/>
    <s v=""/>
    <s v="00103-24"/>
    <s v="4"/>
    <s v="Изменение № 1 к НАРЯД-ЗАКАЗУ № 1 от 17.01.2023г. к Договору № ГЕО-21/10302/00225/Р от 11.10.2021г."/>
    <s v="Изменение наряд-заказа в связи с изменением производственной программы"/>
    <s v="Мячина М.В."/>
    <s v="Мячина М.В."/>
    <s v="Договорный документ"/>
    <s v="Отдел подготовительных работ и экономического анализа"/>
    <s v="Трифонов А.В."/>
    <s v="ЭП"/>
    <s v="С ограничением по срокам "/>
    <d v="2023-09-20T00:00:00"/>
    <d v="2024-06-30T00:00:00"/>
    <s v="Д-82"/>
    <s v="Технологическое сопровождение (прокат) забойных двигателей     "/>
    <s v="Не предполагает взаиморасчетов"/>
    <s v=""/>
    <s v=""/>
    <s v=""/>
    <s v=""/>
    <s v=""/>
    <s v=""/>
    <s v=""/>
    <s v="нет"/>
    <s v="нет"/>
    <s v=""/>
    <s v=""/>
    <s v=""/>
    <s v=""/>
    <s v="нет"/>
  </r>
  <r>
    <s v="Газпромнефть-ГЕО, ООО"/>
    <s v="0000041259"/>
    <s v="Зарегистрирован"/>
    <d v="2023-03-01T00:00:00"/>
    <s v=""/>
    <x v="142"/>
    <s v="7203159800"/>
    <s v="ГЕО-22/10968/00244/Р"/>
    <s v=""/>
    <s v="1"/>
    <s v="Нетиповой ДД"/>
    <x v="0"/>
    <s v=""/>
    <s v="00104-23"/>
    <s v=""/>
    <s v="Дополнительное соглашение №1"/>
    <s v="Перенос объёма услуг по перебазировке с 2022 на 2023 год"/>
    <s v="Копылов Е.О."/>
    <s v=""/>
    <s v="Договорный документ"/>
    <s v="Отдел экологической безопасности"/>
    <s v="Михайлов Ю.А."/>
    <s v="ЭП"/>
    <s v="С ограничением по срокам "/>
    <d v="2023-03-01T00:00:00"/>
    <d v="2026-03-31T00:00:00"/>
    <s v="Д-2"/>
    <s v="Вывоз, транспортировка и размещение отходов производственной деятельности"/>
    <s v="Расходная часть"/>
    <s v="Стоимостной"/>
    <s v="20%"/>
    <s v=""/>
    <s v=""/>
    <s v="264 291 218.88"/>
    <s v="220 242 682.40"/>
    <s v="44 048 536.48"/>
    <s v="нет"/>
    <s v="нет"/>
    <s v=""/>
    <s v=""/>
    <s v=""/>
    <s v=""/>
    <s v="нет"/>
  </r>
  <r>
    <s v="Газпромнефть-ГЕО, ООО"/>
    <s v="0000087378"/>
    <s v="Зарегистрирован"/>
    <d v="2024-03-01T00:00:00"/>
    <s v=""/>
    <x v="97"/>
    <s v="7204203139"/>
    <s v="ГЕО-19/10156/00057/Р"/>
    <s v=""/>
    <s v="6"/>
    <s v="Нетиповой ДД"/>
    <x v="0"/>
    <s v=""/>
    <s v="00104-24"/>
    <s v=""/>
    <s v="ДС №6 К ДД № ГЕО-19/10156/00057/Р "/>
    <s v="Перевод НГО 2024 в ГО 2024, перераспределение части невостребованного ГО 2023 г. в ГО 2024 г., актуализация реквизитов и юридического адреса Подрядчика"/>
    <s v="Васильева А.И."/>
    <s v="Ябиров Р.З."/>
    <s v="Договорный документ"/>
    <s v="Блок геологии и разработки"/>
    <s v="Аксенов М.А."/>
    <s v="ЭП"/>
    <s v="До исполнения обязательств"/>
    <d v="2024-03-01T00:00:00"/>
    <s v=""/>
    <s v="Д-54"/>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27645"/>
    <s v="Закрыт"/>
    <d v="2022-01-28T00:00:00"/>
    <s v=""/>
    <x v="80"/>
    <s v="5501072608"/>
    <s v="ГЕО-22/01200/00035/Д"/>
    <s v=""/>
    <s v="1"/>
    <s v="Нетиповой ДД"/>
    <x v="0"/>
    <s v=""/>
    <s v="00105-22"/>
    <s v=""/>
    <s v="ДС №1 к договору поставки № Д_27645_67942_49007 от 28.01.2022 г"/>
    <s v="Включение в договор арбитражной оговорки (арбитражного соглашения)"/>
    <s v="Долгов Д.Г."/>
    <s v="Долгов Д.Г."/>
    <s v="Договорный документ"/>
    <s v="Блок снабжения и закупок"/>
    <s v="Титов А.В."/>
    <s v="На бумажном носителе"/>
    <s v="С ограничением по срокам "/>
    <d v="2022-02-28T00:00:00"/>
    <d v="2022-12-31T00:00:00"/>
    <s v="Д-56"/>
    <s v="Договор поставки/купли продажи движимого имущества"/>
    <s v="Не предполагает взаиморасчетов"/>
    <s v=""/>
    <s v=""/>
    <s v=""/>
    <s v=""/>
    <s v=""/>
    <s v=""/>
    <s v=""/>
    <s v="нет"/>
    <s v="нет"/>
    <s v=""/>
    <s v=""/>
    <s v=""/>
    <s v=""/>
    <s v="нет"/>
  </r>
  <r>
    <s v="Газпромнефть-ГЕО, ООО"/>
    <s v="0000067067"/>
    <s v="Зарегистрирован"/>
    <d v="2023-02-22T00:00:00"/>
    <s v=""/>
    <x v="85"/>
    <s v="7816483740"/>
    <s v="ГЕО-19/10900/00290/Р"/>
    <s v=""/>
    <s v="4"/>
    <s v="Нетиповой ДД"/>
    <x v="0"/>
    <s v=""/>
    <s v="00105-23"/>
    <s v=""/>
    <s v="ДС № 4 к Д № ГЕО-19/10900/00290/Р "/>
    <s v=" В целях реализации Политики и требований НМД ПАО «Газпром нефть» в области производственной безопасности, для предупреждения и снижения количества несчастных случаев связанных со здоровьем работников на производственных объектах ООО «ГПН-ГЕО»."/>
    <s v="Евстигнеев В.А."/>
    <s v="Евстигнеев В.А."/>
    <s v="Договорный документ"/>
    <s v="Управление производственной безопасности"/>
    <s v="Михайлов Ю.А."/>
    <s v="На бумажном носителе"/>
    <s v="С ограничением по срокам "/>
    <d v="2023-02-22T00:00:00"/>
    <d v="2024-12-31T00:00:00"/>
    <s v="Д-2"/>
    <s v="Договор возмездного оказания услуг"/>
    <s v="Расходная часть"/>
    <s v="Стоимостной"/>
    <s v="без НДС"/>
    <s v=""/>
    <s v=""/>
    <s v="9 695 120.00"/>
    <s v="9 695 120.00"/>
    <n v="0"/>
    <s v="нет"/>
    <s v="нет"/>
    <s v=""/>
    <s v=""/>
    <s v=""/>
    <s v=""/>
    <s v="нет"/>
  </r>
  <r>
    <s v="Газпромнефть-ГЕО, ООО"/>
    <s v="0000106509"/>
    <s v="Зарегистрирован"/>
    <d v="2024-03-01T00:00:00"/>
    <s v=""/>
    <x v="35"/>
    <s v="470600737240"/>
    <s v="ГЕО-24/25000/00013/Р"/>
    <s v=""/>
    <s v="1"/>
    <s v="Нетиповой ДД"/>
    <x v="10"/>
    <s v=""/>
    <s v="00105-24"/>
    <s v=""/>
    <s v="Соглашение о расторжении "/>
    <s v="Соглашение о расторжении договора ГПХ "/>
    <s v="Хужина В.А."/>
    <s v="Хужина В.А."/>
    <s v="Договорный документ"/>
    <s v="Управление по работе с персоналом"/>
    <s v="Масалкин Ю.В."/>
    <s v="На бумажном носителе"/>
    <s v="До исполнения обязательств"/>
    <d v="2024-03-01T00:00:00"/>
    <s v=""/>
    <s v=""/>
    <s v="Договор оказания услуг с физическим лицом"/>
    <s v="Расходная часть"/>
    <s v="Стоимостной"/>
    <s v="13%"/>
    <s v=""/>
    <s v=""/>
    <s v="297 600.00"/>
    <s v="258 912.00"/>
    <s v="38 688.00"/>
    <s v="нет"/>
    <s v="нет"/>
    <s v=""/>
    <s v=""/>
    <s v=""/>
    <s v=""/>
    <s v="нет"/>
  </r>
  <r>
    <s v="Газпромнефть-ГЕО, ООО"/>
    <s v="0000045789"/>
    <s v="Зарегистрирован"/>
    <d v="2021-04-09T00:00:00"/>
    <s v=""/>
    <x v="16"/>
    <s v="7838395487"/>
    <s v="НТЦ-18/29000/01335/Д-ГЕО/ГЕО-19/10124/00001 "/>
    <s v=""/>
    <s v="НТЦ-00189-21Д-ГЕО"/>
    <s v="Нетиповой ДД"/>
    <x v="3"/>
    <s v=""/>
    <s v="00106-21"/>
    <s v=""/>
    <s v="Формирование геологического концепта и предпосылок по разработке Медвежьего кластера. Формирование стратегии развития РБ Нерутинской зоны"/>
    <s v="геолого-экономической оценка участков с последующим формированием стратегии доступа и развития РБ Нерутинской зоны"/>
    <s v="Ябиров Р.З."/>
    <s v="Ибрагимов Айдар Миргалиянович"/>
    <s v="Договорный документ"/>
    <s v="Блок геологии и разработки"/>
    <s v="Аксенов М.А."/>
    <s v="На бумажном носителе"/>
    <s v="С ограничением по срокам "/>
    <d v="2021-04-09T00:00:00"/>
    <d v="2021-12-31T00:00:00"/>
    <s v=""/>
    <s v="НИОКР, НИР в области геологии и разработки месторождений"/>
    <s v="Расходная часть"/>
    <s v="Рамочный"/>
    <s v="20%"/>
    <s v=""/>
    <s v=""/>
    <s v="20 394 144.00"/>
    <s v="16 995 120.00"/>
    <s v="3 399 024.00"/>
    <s v="нет"/>
    <s v="нет"/>
    <s v=""/>
    <s v=""/>
    <s v=""/>
    <s v=""/>
    <s v="нет"/>
  </r>
  <r>
    <s v="Газпромнефть-ГЕО, ООО"/>
    <s v="0000045789"/>
    <s v="Зарегистрирован"/>
    <d v="2022-02-18T00:00:00"/>
    <s v=""/>
    <x v="16"/>
    <s v="7838395487"/>
    <s v="ГЕО-21/11708/00165/Р//НТЦ-21/09000/00768/Д "/>
    <s v=""/>
    <s v="НТЦ-00072-22Д-ГЕО"/>
    <s v="Нетиповой ДД"/>
    <x v="3"/>
    <s v=""/>
    <s v="00106-22"/>
    <s v=""/>
    <s v="Сопровождение формирования концепций разработки для пилотной закачки газа в пласт"/>
    <s v="Цель – сопровождение проекта АчMGI по пласту БП17 Вынгаяхинского месторождения в части организации пилота по технологии смешивающегося вытеснения при закачке газа в пласт"/>
    <s v="Ябиров Р.З."/>
    <s v=""/>
    <s v="Договорный документ"/>
    <s v="Блок геологии и разработки"/>
    <s v="Аксенов М.А."/>
    <s v="На бумажном носителе"/>
    <s v="С ограничением по срокам "/>
    <d v="2022-02-18T00:00:00"/>
    <d v="2022-12-30T00:00:00"/>
    <s v="Д-54"/>
    <s v="Договор на выполнение НИР, ОКР и технологических работ"/>
    <s v="Расходная часть"/>
    <s v="Рамочный"/>
    <s v="20%"/>
    <s v=""/>
    <s v=""/>
    <s v="6 854 400.00"/>
    <s v="5 712 000.00"/>
    <s v="1 142 400.00"/>
    <s v="нет"/>
    <s v="нет"/>
    <s v=""/>
    <s v=""/>
    <s v=""/>
    <s v=""/>
    <s v="нет"/>
  </r>
  <r>
    <s v="Газпромнефть-ГЕО, ООО"/>
    <s v="0000051935"/>
    <s v="Зарегистрирован"/>
    <d v="2023-03-01T00:00:00"/>
    <s v=""/>
    <x v="50"/>
    <s v="7709832820"/>
    <s v=""/>
    <s v="ГЕО-23/20000/00047/Д"/>
    <s v="ГЕО-23/20000/00047/Д"/>
    <s v="Типовой ДД"/>
    <x v="2"/>
    <s v="20000 Агентский договор на организацию вертолетных авиаперевозок"/>
    <s v="00106-23"/>
    <s v=""/>
    <s v="20000 Агентский договор на организацию вертолетных авиаперевозок ООО «НьюТек Сервисез»"/>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3-01T00:00:00"/>
    <d v="2024-02-29T00:00:00"/>
    <s v="Д-56"/>
    <s v="Агентский договор"/>
    <s v="Доходная часть"/>
    <s v="Агентский"/>
    <s v="20%"/>
    <s v=""/>
    <s v=""/>
    <s v="387 564.63"/>
    <s v="322 970.52"/>
    <s v="64 594.11"/>
    <s v="нет"/>
    <s v="нет"/>
    <s v=""/>
    <s v=""/>
    <s v=""/>
    <s v=""/>
    <s v="нет"/>
  </r>
  <r>
    <s v="Газпромнефть-ГЕО, ООО"/>
    <s v="0000063129"/>
    <s v="Проект"/>
    <s v=""/>
    <s v=""/>
    <x v="94"/>
    <s v="5603032851"/>
    <s v="ГЕО-22/10968/00279/Р"/>
    <s v=""/>
    <s v="3"/>
    <s v="Нетиповой ДД"/>
    <x v="3"/>
    <s v=""/>
    <s v="00106-24"/>
    <s v=""/>
    <s v="Наряд-заказ №2 к договору ГЕО-22/10968/00279/Р от 31.10.2022"/>
    <s v="Организация работы по утилизации отходов бурения на скв. Солнечного ЛУ с компанией ООО &quot;Велес&quot;"/>
    <s v="Покатов О.Н."/>
    <s v=""/>
    <s v="Договорный документ"/>
    <s v=""/>
    <s v="Михайлов Ю.А."/>
    <s v="ЭП"/>
    <s v=""/>
    <s v=""/>
    <s v=""/>
    <s v="Д-2"/>
    <s v="Вывоз, транспортировка и размещение отходов производственной деятельности"/>
    <s v="Расходная часть"/>
    <s v="Рамочный"/>
    <s v=""/>
    <s v=""/>
    <s v=""/>
    <s v=""/>
    <s v=""/>
    <s v=""/>
    <s v="нет"/>
    <s v="нет"/>
    <s v=""/>
    <s v=""/>
    <s v=""/>
    <s v=""/>
    <s v="нет"/>
  </r>
  <r>
    <s v="Газпромнефть-ГЕО, ООО"/>
    <s v="0000045789"/>
    <s v="Зарегистрирован"/>
    <d v="2021-04-20T00:00:00"/>
    <s v=""/>
    <x v="16"/>
    <s v="7838395487"/>
    <s v="№ГЕО-20/11708/00047/Р//НТЦ-20/08000/00383/Д-ГЕО"/>
    <s v=""/>
    <s v="Дополнительное соглашение №1 к Заказу №НТЦ-21/07000/00081/Д-ГЕО "/>
    <s v="Нетиповой ДД"/>
    <x v="0"/>
    <s v=""/>
    <s v="00107-21"/>
    <s v="№НТЦ-21/07000/00081/Д-ГЕО "/>
    <s v="Дополнительное соглашение №1 к Заказу №НТЦ-21/07000/00081/Д-ГЕО "/>
    <s v="Продление срока выполнения работ по Заказу № НТЦ-21/07000/00081/Д-ГЕО от 09.03.2021 по теме: «Предварительная концепция реализация этапа «Оценка» по крупному проекту ГРР «Енисей». Этап 1» до 31.05.2021г."/>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1-04-20T00:00:00"/>
    <d v="2021-05-31T00:00:00"/>
    <s v="Д-2"/>
    <s v="НИОКР, НИР прочие"/>
    <s v="Не предполагает взаиморасчетов"/>
    <s v="Рамочный"/>
    <s v=""/>
    <s v=""/>
    <s v=""/>
    <s v=""/>
    <s v=""/>
    <s v=""/>
    <s v="нет"/>
    <s v="нет"/>
    <s v=""/>
    <s v=""/>
    <s v=""/>
    <s v=""/>
    <s v="нет"/>
  </r>
  <r>
    <s v="Газпромнефть-ГЕО, ООО"/>
    <s v="0000037846"/>
    <s v="Закрыт"/>
    <d v="2022-02-28T00:00:00"/>
    <s v=""/>
    <x v="26"/>
    <s v="8905032518"/>
    <s v=""/>
    <s v="ГЕО-22/01200/00052/Д"/>
    <s v="ГЕО-22/01200/00052/Д"/>
    <s v="Нетиповой ДД"/>
    <x v="2"/>
    <s v=""/>
    <s v="00107-22"/>
    <s v=""/>
    <s v="ДОГОВОР купли-продажи движимого имущества "/>
    <s v="Продажа ИТ оборудования с запасов ГЕО в ГПН-ИТО"/>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2-28T00:00:00"/>
    <d v="2022-06-30T00:00:00"/>
    <s v="Д-56"/>
    <s v="Договор поставки/купли продажи движимого имущества"/>
    <s v="Доходная часть"/>
    <s v="Стоимостной"/>
    <s v="20%"/>
    <s v=""/>
    <s v=""/>
    <s v="757 648.00"/>
    <s v="631 373.33"/>
    <s v="126 274.67"/>
    <s v="нет"/>
    <s v="нет"/>
    <s v=""/>
    <s v=""/>
    <s v=""/>
    <s v=""/>
    <s v="нет"/>
  </r>
  <r>
    <s v="Газпромнефть-ГЕО, ООО"/>
    <s v=""/>
    <s v="Зарегистрирован"/>
    <d v="2024-03-12T00:00:00"/>
    <s v=""/>
    <x v="143"/>
    <s v=""/>
    <s v=""/>
    <s v="ГЕО-24/09600/00047"/>
    <s v="ГЕО-24/09600/00047"/>
    <s v="Нетиповой ДД"/>
    <x v="2"/>
    <s v=""/>
    <s v="00107-24"/>
    <s v=""/>
    <s v="О практической подготовке обучающегося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s v="организация практической подготовки обучающегося Финансового университета при проведении практики"/>
    <s v="Авдеева Д.Б."/>
    <s v=""/>
    <s v="Договорный документ"/>
    <s v="Блок снабжения и закупок"/>
    <s v="Титов А.В."/>
    <s v="На бумажном носителе"/>
    <s v="С ограничением по срокам "/>
    <d v="2024-03-15T00:00:00"/>
    <d v="2024-05-16T00:00:00"/>
    <s v="Д-56"/>
    <s v="Договор на прохождение практики студентами"/>
    <s v="Не предполагает взаиморасчетов"/>
    <s v=""/>
    <s v=""/>
    <s v=""/>
    <s v=""/>
    <s v=""/>
    <s v=""/>
    <s v=""/>
    <s v="нет"/>
    <s v="нет"/>
    <s v=""/>
    <s v=""/>
    <s v=""/>
    <s v=""/>
    <s v="нет"/>
  </r>
  <r>
    <s v="Газпромнефть-ГЕО, ООО"/>
    <s v=""/>
    <s v="Закрыт"/>
    <d v="2021-04-26T00:00:00"/>
    <s v=""/>
    <x v="144"/>
    <s v=""/>
    <s v=""/>
    <s v="ГЕО-21/11505/00115/Р"/>
    <s v="ГЕО-21/11505/00115/Р"/>
    <s v="Типовой ДД"/>
    <x v="2"/>
    <s v="11505 Договор на выполнение цифровой аэрофотосъемки и воздушно-лазерного сканирования"/>
    <s v="00108-21"/>
    <s v=""/>
    <s v="11505 Договор на выполнение цифровой аэрофотосъемки и воздушно-лазерного сканирования"/>
    <s v="С целью выполнения цифровой аэрофотосъемки и воздушно-лазерного сканирования"/>
    <s v="Авдеева Д.Б."/>
    <s v="Хохлов А.А."/>
    <s v="Договорный документ"/>
    <s v="Блок по закупкам"/>
    <s v="Масалкин Ю.В."/>
    <s v="На бумажном носителе"/>
    <s v="С ограничением по срокам "/>
    <d v="2021-04-26T00:00:00"/>
    <d v="2023-12-31T00:00:00"/>
    <s v=""/>
    <s v="Аэрофотосъемка, космическая съемка. Создание ортофотопланов"/>
    <s v="Расходная часть"/>
    <s v="Рамочный"/>
    <s v="20%"/>
    <s v=""/>
    <s v=""/>
    <s v="297 993 768.00"/>
    <s v="248 328 140.00"/>
    <s v="49 665 628.00"/>
    <s v="нет"/>
    <s v="нет"/>
    <s v=""/>
    <s v=""/>
    <s v=""/>
    <s v=""/>
    <s v="нет"/>
  </r>
  <r>
    <s v="Газпромнефть-ГЕО, ООО"/>
    <s v="0000045789"/>
    <s v="Зарегистрирован"/>
    <d v="2022-02-02T00:00:00"/>
    <s v=""/>
    <x v="16"/>
    <s v="7838395487"/>
    <s v="ГЕО-21/11708/00165/Р//НТЦ-21/09000/00768/Д "/>
    <s v=""/>
    <s v="НТЦ-00293-22Д-ГЕО"/>
    <s v="Нетиповой ДД"/>
    <x v="3"/>
    <s v=""/>
    <s v="00108-22"/>
    <s v=""/>
    <s v="Сервис по формированию бизнес-заказа на технологии (Технологический скаутинг гипотез по сформулированным бизнес-вызовам северного кластера Ачимовской толщи)"/>
    <s v=" Определение направлений поиска на основе сформулированных бизнес-вызовов"/>
    <s v="Ябиров Р.З."/>
    <s v=""/>
    <s v="Договорный документ"/>
    <s v="Блок геологии и разработки"/>
    <s v="Аксенов М.А."/>
    <s v="На бумажном носителе"/>
    <s v="С ограничением по срокам "/>
    <d v="2022-02-02T00:00:00"/>
    <d v="2022-05-31T00:00:00"/>
    <s v=""/>
    <s v="Договор на выполнение НИР, ОКР и технологических работ"/>
    <s v="Расходная часть"/>
    <s v="Рамочный"/>
    <s v="20%"/>
    <s v=""/>
    <s v=""/>
    <s v="11 999 936.40"/>
    <s v="9 999 947.00"/>
    <s v="1 999 989.40"/>
    <s v="нет"/>
    <s v="нет"/>
    <s v=""/>
    <s v=""/>
    <s v=""/>
    <s v=""/>
    <s v="нет"/>
  </r>
  <r>
    <s v="Газпромнефть-ГЕО, ООО"/>
    <s v="0000057796"/>
    <s v="Зарегистрирован"/>
    <d v="2023-02-28T00:00:00"/>
    <s v=""/>
    <x v="109"/>
    <s v="5003028148"/>
    <s v="ГЕО-10/10900/00266/Р"/>
    <s v=""/>
    <s v="4 "/>
    <s v="Нетиповой ДД"/>
    <x v="0"/>
    <s v=""/>
    <s v="00108-23"/>
    <s v=""/>
    <s v="Дополнительное соглашение № 4 к Договору № ГЕО-19/10900/00266/Р от 01.10.2019 г. "/>
    <s v="В целях продления оказания услуг по противофонтанной безопасности на объектах Лескинского ЛУ до мая 2023 года включительно, путём преевода негарантированного объёма в гарантированный (91 сутки, 2 652 195 руб.)"/>
    <s v="Хабибуллин Т.Ф."/>
    <s v=""/>
    <s v="Договорный документ"/>
    <s v="Отдел по промышленной и пожарной безопасности"/>
    <s v="Михайлов Ю.А."/>
    <s v="На бумажном носителе"/>
    <s v="С ограничением по срокам "/>
    <d v="2023-02-28T00:00:00"/>
    <d v="2023-05-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 182 634.00"/>
    <s v="2 652 195.00"/>
    <s v="530 439.00"/>
    <s v="нет"/>
    <s v="нет"/>
    <s v=""/>
    <s v=""/>
    <s v=""/>
    <s v=""/>
    <s v="нет"/>
  </r>
  <r>
    <s v="Газпромнефть-ГЕО, ООО"/>
    <s v="0000084590"/>
    <s v="Зарегистрирован"/>
    <d v="2024-03-12T00:00:00"/>
    <s v=""/>
    <x v="61"/>
    <s v="7708277130"/>
    <s v="ГЕО-23/09000/00149/Р"/>
    <s v=""/>
    <s v="1"/>
    <s v="Нетиповой ДД"/>
    <x v="4"/>
    <s v=""/>
    <s v="00108-24"/>
    <s v="11"/>
    <s v="Изменение №1 к Заявке № 11 к Договору № ГЕО-23/09000/00149/Р от 28.08.2023 г."/>
    <s v="1._x0009_Изложить раздел 1, Заявки № 11 к Договору № ГЕО-23/09000/00149/Р от 28.08.2023 г. в части Ф.И.О. работника в следующей редакции:_x000a_- Кочетков Сергей Сергеевич._x000a_- Сабиров Рустам Маснавиевич."/>
    <s v="Фокин Е.В."/>
    <s v="Фокин Е.В."/>
    <s v="Договорный документ"/>
    <s v="Управление производственной безопасности"/>
    <s v="Михайлов Ю.А."/>
    <s v="ЭП"/>
    <s v="С ограничением по срокам "/>
    <d v="2024-03-12T00:00:00"/>
    <d v="2024-06-30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67167"/>
    <s v="Зарегистрирован"/>
    <d v="2022-02-21T00:00:00"/>
    <s v=""/>
    <x v="145"/>
    <s v="7719520026"/>
    <s v="ГЕО-20/1101/00070/Р"/>
    <s v=""/>
    <s v="3"/>
    <s v="Нетиповой ДД"/>
    <x v="3"/>
    <s v=""/>
    <s v="00109-22"/>
    <s v=""/>
    <s v="Н-З №3 к  Договору №ГЕО-20/11014/00070/Р от 06.05. 2021 года"/>
    <s v="Заключения Наряд-заказа №3 по договору № ГЕО-20/11014/00070/Р от 06.05.2020 г. с ООО «Техно-Сервис»"/>
    <s v="Калугина С.Б."/>
    <s v=""/>
    <s v="Договорный документ"/>
    <s v="Департамент капитального строительства"/>
    <s v="Перфильев Д.А."/>
    <s v="На бумажном носителе"/>
    <s v="С ограничением по срокам "/>
    <d v="2022-02-21T00:00:00"/>
    <d v="2022-06-10T00:00:00"/>
    <s v="Д-61"/>
    <s v="Капитальное строительство и ПИР"/>
    <s v="Расходная часть"/>
    <s v="Стоимостной"/>
    <s v="20%"/>
    <s v=""/>
    <s v=""/>
    <s v="1 203 199.39"/>
    <s v="1 002 666.16"/>
    <s v="200 533.23"/>
    <s v="нет"/>
    <s v="нет"/>
    <s v=""/>
    <s v=""/>
    <s v=""/>
    <s v=""/>
    <s v="нет"/>
  </r>
  <r>
    <s v="Газпромнефть-ГЕО, ООО"/>
    <s v="0000071220"/>
    <s v="Зарегистрирован"/>
    <d v="2023-03-10T00:00:00"/>
    <s v=""/>
    <x v="51"/>
    <s v="5401950707"/>
    <s v=""/>
    <s v=""/>
    <s v="1"/>
    <s v="Нетиповой ДД"/>
    <x v="0"/>
    <s v=""/>
    <s v="00109-23"/>
    <s v=""/>
    <s v="ДС№1 Арбитражное соглашение. ООО НППГА &quot;ЛУЧ&quot; ГЕО-23/10000/00054/Р"/>
    <s v="ДС№1 Арбитражное соглашение."/>
    <s v="Мормышев А.А."/>
    <s v="Воронин А.С."/>
    <s v="Договорный документ"/>
    <s v="Блок геологии и разработки"/>
    <s v="Аксенов М.А."/>
    <s v="ЭП"/>
    <s v="До исполнения обязательств"/>
    <d v="2023-03-10T00:00:00"/>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
    <s v="Проект"/>
    <s v=""/>
    <s v=""/>
    <x v="58"/>
    <s v=""/>
    <s v=""/>
    <s v=""/>
    <s v=""/>
    <s v="Типовой ДД"/>
    <x v="6"/>
    <s v=""/>
    <s v="00109-24"/>
    <s v=""/>
    <s v=""/>
    <s v=""/>
    <s v="Нюняйкина О.В."/>
    <s v=""/>
    <s v="Договорный документ"/>
    <s v="Отдел по корпоративным коммуникациям"/>
    <s v=""/>
    <s v=""/>
    <s v=""/>
    <s v=""/>
    <s v=""/>
    <s v=""/>
    <s v=""/>
    <s v=""/>
    <s v=""/>
    <s v=""/>
    <s v=""/>
    <s v=""/>
    <s v=""/>
    <s v=""/>
    <s v=""/>
    <s v="нет"/>
    <s v="нет"/>
    <s v=""/>
    <s v=""/>
    <s v=""/>
    <s v=""/>
    <s v="нет"/>
  </r>
  <r>
    <s v="Газпромнефть-ГЕО, ООО"/>
    <s v=""/>
    <s v="Закрыт"/>
    <d v="2021-04-20T00:00:00"/>
    <s v=""/>
    <x v="146"/>
    <s v=""/>
    <s v=""/>
    <s v="ГЕО-21/25000/00116/Р"/>
    <s v="ГЕО-21/25000/00116/Р"/>
    <s v="Нетиповой ДД"/>
    <x v="2"/>
    <s v=""/>
    <s v="00110-21"/>
    <s v=""/>
    <s v="Договор возмездного оказания услуг"/>
    <s v="Договор ГПХ на оказание услуг"/>
    <s v="Евстигнеев В.А."/>
    <s v="Евстигнеев В.А."/>
    <s v="Договорный документ"/>
    <s v="Управление производственной безопасности"/>
    <s v="Масалкин Ю.В."/>
    <s v="На бумажном носителе"/>
    <s v="С ограничением по срокам "/>
    <d v="2021-04-20T00:00:00"/>
    <d v="2021-08-20T00:00:00"/>
    <s v=""/>
    <s v="Договор оказания услуг с физическим лицом"/>
    <s v="Расходная часть"/>
    <s v="Стоимостной"/>
    <s v="13%"/>
    <s v=""/>
    <s v=""/>
    <s v="361 600.00"/>
    <s v="314 592.00"/>
    <s v="47 008.00"/>
    <s v="нет"/>
    <s v="нет"/>
    <s v=""/>
    <s v=""/>
    <s v=""/>
    <s v=""/>
    <s v="нет"/>
  </r>
  <r>
    <s v="Газпромнефть-ГЕО, ООО"/>
    <s v="0000069357"/>
    <s v="Закрыт"/>
    <d v="2022-07-18T00:00:00"/>
    <s v=""/>
    <x v="147"/>
    <s v="8903034220"/>
    <s v=""/>
    <s v="ГЕО-22/20000/00176/Д"/>
    <s v="ГЕО-22/20000/00176/Д"/>
    <s v="Нетиповой ДД"/>
    <x v="2"/>
    <s v=""/>
    <s v="00110-22"/>
    <s v=""/>
    <s v="Агентский договор на выполнение работ по переобработке сейсмических материалов МОГТ-ЗД в пределах Западно-Юбилейного участка"/>
    <s v="Выполнение работ по обработке сейсмических материалов МОГТ-ЗД в пределах Западно-Юбилейного участка"/>
    <s v="Мурзин Р.Р."/>
    <s v="Мурзин Р.Р."/>
    <s v="Договорный документ"/>
    <s v="Управление сейсморазведочных работ"/>
    <s v="Аксенов М.А."/>
    <s v="На бумажном носителе"/>
    <s v="С ограничением по срокам "/>
    <d v="2022-02-21T00:00:00"/>
    <d v="2022-08-30T00:00:00"/>
    <s v=""/>
    <s v="Агентский договор"/>
    <s v="Доходная часть"/>
    <s v="Агентский"/>
    <s v="20%"/>
    <s v=""/>
    <s v=""/>
    <s v="32 268 145.54"/>
    <s v="26 890 121.28"/>
    <s v="5 378 024.26"/>
    <s v="нет"/>
    <s v="нет"/>
    <s v=""/>
    <s v=""/>
    <s v=""/>
    <s v=""/>
    <s v="нет"/>
  </r>
  <r>
    <s v="Газпромнефть-ГЕО, ООО"/>
    <s v="0000068695"/>
    <s v="Зарегистрирован"/>
    <d v="2023-03-01T00:00:00"/>
    <s v=""/>
    <x v="77"/>
    <s v="1106013435"/>
    <s v=""/>
    <s v="ГЕО-23/20000/00048/Д"/>
    <s v="ГЕО-23/20000/00048/Д"/>
    <s v="Типовой ДД"/>
    <x v="2"/>
    <s v="20000 Агентский договор на организацию вертолетных авиаперевозок"/>
    <s v="00110-23"/>
    <s v=""/>
    <s v="20000 Агентский договор на организацию вертолетных авиаперевозок ООО «БурСервис»"/>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3-01T00:00:00"/>
    <d v="2024-02-29T00:00:00"/>
    <s v="Д-56"/>
    <s v="Агентский договор"/>
    <s v="Доходная часть"/>
    <s v="Агентский"/>
    <s v="20%"/>
    <s v=""/>
    <s v=""/>
    <s v="470 029.44"/>
    <s v="391 691.20"/>
    <s v="78 338.24"/>
    <s v="нет"/>
    <s v="нет"/>
    <s v=""/>
    <s v=""/>
    <s v=""/>
    <s v=""/>
    <s v="нет"/>
  </r>
  <r>
    <s v="Газпромнефть-ГЕО, ООО"/>
    <s v="0000103052"/>
    <s v="Зарегистрирован"/>
    <d v="2024-03-17T00:00:00"/>
    <s v=""/>
    <x v="148"/>
    <s v="563900109424"/>
    <s v=""/>
    <s v="ГЕО-24/04300/00049/Р"/>
    <s v="ГЕО-24/04300/00049/Р"/>
    <s v="Типовой ДД"/>
    <x v="2"/>
    <s v="04300 Договор аренды земельных участков (под строительство)"/>
    <s v="00110-24"/>
    <s v=""/>
    <s v="04300 Договор аренды земельных участков (под строительство)"/>
    <s v="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4-03-17T00:00:00"/>
    <d v="2025-02-16T00:00:00"/>
    <s v="Д-82"/>
    <s v="Договор аренды недвижимости"/>
    <s v="Расходная часть"/>
    <s v="Стоимостной"/>
    <s v="13%"/>
    <s v=""/>
    <s v=""/>
    <s v="546 333.26"/>
    <s v="475 310.26"/>
    <s v="71 023.00"/>
    <s v="нет"/>
    <s v="нет"/>
    <s v=""/>
    <s v=""/>
    <s v=""/>
    <s v=""/>
    <s v="нет"/>
  </r>
  <r>
    <s v="Газпромнефть-ГЕО, ООО"/>
    <s v="0000071220"/>
    <s v="Закрыт"/>
    <d v="2023-03-10T00:00:00"/>
    <s v=""/>
    <x v="51"/>
    <s v="5401950707"/>
    <s v=""/>
    <s v="ГЕО-23/33200/00055"/>
    <s v="ГЕО-23/33200/00055"/>
    <s v="Типовой ДД"/>
    <x v="1"/>
    <s v="33200 Соглашение об электронном документообороте"/>
    <s v="00111-23"/>
    <s v=""/>
    <s v="33200 Соглашение об электронном документообороте ООО НППГА &quot;ЛУЧ&quot;"/>
    <s v="Электонный обмен документами ООО НППГА &quot;ЛУЧ&quot;"/>
    <s v="Мормышев А.А."/>
    <s v="Воронин А.С."/>
    <s v="Договорный документ"/>
    <s v="Блок геологии и разработки"/>
    <s v="Аксенов М.А."/>
    <s v="ЭП"/>
    <s v="До исполнения обязательств"/>
    <d v="2023-03-10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104605"/>
    <s v="Зарегистрирован"/>
    <d v="2024-05-20T00:00:00"/>
    <d v="2024-05-23T00:00:00"/>
    <x v="55"/>
    <s v="9705112341"/>
    <s v="ГЕО-23/33100/00062"/>
    <s v=""/>
    <s v="1"/>
    <s v="Типовой ДД"/>
    <x v="0"/>
    <s v="33100 Дополнительное соглашение к Соглашениям в  в области производственной безопасности;"/>
    <s v="00111-24"/>
    <s v=""/>
    <s v="33100 Дополнительное соглашение к Соглашениям в  в области производственной безопасности;"/>
    <s v="В целях реализации «Системы управления исполнением договорных обязательств при выполнении производственных работ / услуг» и систематизации процесса взаимодействия с подрядными организациями в области производственной безопасности и оптимизации процесса согласования договорных документов."/>
    <s v="Кузьмин Е.А."/>
    <s v="Кузьмин Е.А."/>
    <s v="Договорный документ"/>
    <s v="Управление инжиниринга бурения"/>
    <s v="Трифонов А.В."/>
    <s v="ЭП"/>
    <s v="С ограничением по срокам "/>
    <d v="2024-05-20T00:00:00"/>
    <d v="2025-12-31T00:00:00"/>
    <s v="Д-82"/>
    <s v="Соглашение участников хозяйственных обществ в области производственной безопасности"/>
    <s v="Не предполагает взаиморасчетов"/>
    <s v="Рамочный"/>
    <s v=""/>
    <s v=""/>
    <s v=""/>
    <s v=""/>
    <s v=""/>
    <s v=""/>
    <s v="нет"/>
    <s v="нет"/>
    <s v=""/>
    <s v=""/>
    <s v=""/>
    <s v=""/>
    <s v="нет"/>
  </r>
  <r>
    <s v="Газпромнефть-ГЕО, ООО"/>
    <s v=""/>
    <s v="Проект"/>
    <s v=""/>
    <s v=""/>
    <x v="58"/>
    <s v=""/>
    <s v=""/>
    <s v=""/>
    <s v=""/>
    <s v=""/>
    <x v="6"/>
    <s v=""/>
    <s v="00112-21"/>
    <s v=""/>
    <s v=""/>
    <s v=""/>
    <s v="Потемкина И.В."/>
    <s v=""/>
    <s v="Договорный документ"/>
    <s v="Отдел административной поддержки бизнеса"/>
    <s v=""/>
    <s v=""/>
    <s v=""/>
    <s v=""/>
    <s v=""/>
    <s v=""/>
    <s v=""/>
    <s v=""/>
    <s v=""/>
    <s v=""/>
    <s v=""/>
    <s v=""/>
    <s v=""/>
    <s v=""/>
    <s v=""/>
    <s v="нет"/>
    <s v="нет"/>
    <s v=""/>
    <s v=""/>
    <s v=""/>
    <s v=""/>
    <s v="нет"/>
  </r>
  <r>
    <s v="Газпромнефть-ГЕО, ООО"/>
    <s v="0000091163"/>
    <s v="Зарегистрирован"/>
    <d v="2023-02-27T00:00:00"/>
    <s v=""/>
    <x v="149"/>
    <s v="5001063958"/>
    <s v="ГЕО-21/11505/00195/Р"/>
    <s v=""/>
    <s v="1"/>
    <s v="Нетиповой ДД"/>
    <x v="4"/>
    <s v=""/>
    <s v="00112-23"/>
    <s v="5"/>
    <s v="Наряд-заказ № 5 корректировка"/>
    <s v="Выполнение цифровой аэрофотосъемки (ЦАФС) и воздушно-лазерного сканирования (ВЛС) пилотируемым воздушным судном на территории Хамакинской площади Чаяндинского ЛУ (Республика Саха (Якутия). Номер района по ТЗ - 6)"/>
    <s v="Хохлов А.А."/>
    <s v=""/>
    <s v="Договорный документ"/>
    <s v="Управление маркшейдерско-землеустроительных работ"/>
    <s v="Трифонов А.В."/>
    <s v="ЭП"/>
    <s v="С ограничением по срокам "/>
    <d v="2022-06-01T00:00:00"/>
    <d v="2023-02-28T00:00:00"/>
    <s v="Д-33"/>
    <s v="Аэрофотосъемка, космическая съемка. Создание ортофотопланов"/>
    <s v="Расходная часть"/>
    <s v="Рамочный"/>
    <s v="0%"/>
    <s v=""/>
    <s v=""/>
    <s v="15 126 480.00"/>
    <s v="15 126 480.00"/>
    <n v="0"/>
    <s v="нет"/>
    <s v="нет"/>
    <s v=""/>
    <s v=""/>
    <s v=""/>
    <s v=""/>
    <s v="нет"/>
  </r>
  <r>
    <s v="Газпромнефть-ГЕО, ООО"/>
    <s v="0000058271"/>
    <s v="Зарегистрирован"/>
    <d v="2024-03-01T00:00:00"/>
    <s v=""/>
    <x v="42"/>
    <s v="7725696878"/>
    <s v="ГЕО-19/11708/00133/Р от 25.06.2019"/>
    <s v=""/>
    <s v="29"/>
    <s v="Нетиповой ДД"/>
    <x v="3"/>
    <s v=""/>
    <s v="00112-24"/>
    <s v=""/>
    <s v="Заказ-Наряд №29 к договору №ГЕО-19/11708/00133/Р от 25.06.2019"/>
    <s v="Научно-исследовательские работы для формирования предварительной базовой интегрированной концепции разработки в пределах Пякутинской площади"/>
    <s v="Безруков А.А."/>
    <s v="Лежнина Марина Игоревна"/>
    <s v="Договорный документ"/>
    <s v="Блок геологии и разработки"/>
    <s v="Аксенов М.А."/>
    <s v="ЭП"/>
    <s v="До исполнения обязательств"/>
    <d v="2024-03-01T00:00:00"/>
    <s v=""/>
    <s v="Д-54"/>
    <s v="НИОКР, НИР прочие"/>
    <s v="Расходная часть"/>
    <s v="Рамочный"/>
    <s v="20%"/>
    <s v=""/>
    <s v=""/>
    <s v="40 358 860.80"/>
    <s v="33 632 384.00"/>
    <s v="6 726 476.80"/>
    <s v="нет"/>
    <s v="нет"/>
    <s v=""/>
    <s v=""/>
    <s v=""/>
    <s v=""/>
    <s v="нет"/>
  </r>
  <r>
    <s v="Газпромнефть-ГЕО, ООО"/>
    <s v="0000083900"/>
    <s v="Зарегистрирован"/>
    <d v="2021-05-01T00:00:00"/>
    <s v=""/>
    <x v="124"/>
    <s v=""/>
    <s v="ГЕО-20/11104/00153/Д от 22.09.2020г."/>
    <s v=""/>
    <s v="ДС №2 к ГЕО-20/11104/00153/Д"/>
    <s v="Нетиповой ДД"/>
    <x v="0"/>
    <s v=""/>
    <s v="00113-21"/>
    <s v=""/>
    <s v="ДС №2 к Агентскому договору ГЕО-20/11104/00153/Д"/>
    <s v="Продление срока действия договора, увеличение стоимости договора"/>
    <s v="Титова Е.В."/>
    <s v=""/>
    <s v="Договорный документ"/>
    <s v="Блок по закупкам"/>
    <s v="Титов А.В."/>
    <s v="На бумажном носителе"/>
    <s v="С ограничением по срокам "/>
    <d v="2021-05-01T00:00:00"/>
    <d v="2021-12-31T00:00:00"/>
    <s v="Д-11"/>
    <s v="Авиационное обслуживание (вертолеты)"/>
    <s v="Доходная часть"/>
    <s v="Агентский"/>
    <s v="20%"/>
    <s v=""/>
    <s v=""/>
    <s v="121 313.63"/>
    <s v="101 094.69"/>
    <s v="20 218.94"/>
    <s v="нет"/>
    <s v="нет"/>
    <s v=""/>
    <s v=""/>
    <s v=""/>
    <s v=""/>
    <s v="нет"/>
  </r>
  <r>
    <s v="Газпромнефть-ГЕО, ООО"/>
    <s v="0000037860"/>
    <s v="Зарегистрирован"/>
    <d v="2023-02-22T00:00:00"/>
    <s v=""/>
    <x v="20"/>
    <s v="7714024384"/>
    <s v="ГЕО-21/10318/00258/Р"/>
    <s v=""/>
    <s v="5"/>
    <s v="Нетиповой ДД"/>
    <x v="0"/>
    <s v=""/>
    <s v="00113-23"/>
    <s v=""/>
    <s v="Дополнительное соглашение № 5 к договору № ГЕО-21/10318/00258/Р от 08.11.2021г."/>
    <s v="Перераспределение объема работ по годам"/>
    <s v="Мячина М.В."/>
    <s v="Мячина М.В."/>
    <s v="Договорный документ"/>
    <s v="Отдел подготовительных работ и экономического анализа"/>
    <s v="Трифонов А.В."/>
    <s v="На бумажном носителе"/>
    <s v="До исполнения обязательств"/>
    <d v="2023-02-22T00:00:00"/>
    <s v=""/>
    <s v="Д-33"/>
    <s v="Отбор керна при бурении и реконструкции скважин"/>
    <s v="Расходная часть"/>
    <s v="Рамочный"/>
    <s v="20%"/>
    <s v=""/>
    <s v=""/>
    <s v="5 772 934.45"/>
    <s v="4 810 778.71"/>
    <s v="962 155.74"/>
    <s v="нет"/>
    <s v="нет"/>
    <s v=""/>
    <s v=""/>
    <s v=""/>
    <s v=""/>
    <s v="нет"/>
  </r>
  <r>
    <s v="Газпромнефть-ГЕО, ООО"/>
    <s v="0000058703"/>
    <s v="Зарегистрирован"/>
    <d v="2023-03-02T00:00:00"/>
    <s v=""/>
    <x v="5"/>
    <s v="5914024719"/>
    <s v=""/>
    <s v="ГЕО-23/31000/00049"/>
    <s v="ГЕО-23/31000/00049"/>
    <s v="Нетиповой ДД"/>
    <x v="1"/>
    <s v=""/>
    <s v="00114-23"/>
    <s v=""/>
    <s v="Соглашение об урегулировании претензионных требований (НСХ Азия Дриллинг)"/>
    <s v="Соглашение об урегулировании претензионных требований. Претензия №3/001519 от 05.12.2022 (НСХ АЗИЯ ДРИЛЛИНГ, ООО)"/>
    <s v="Мормышев А.А."/>
    <s v="Кольцов К.В."/>
    <s v="Договорный документ"/>
    <s v="Блок бурения и ВСР"/>
    <s v="Трифонов А.В."/>
    <s v="ЭП"/>
    <s v="Без сроков "/>
    <d v="2023-03-02T00:00:00"/>
    <s v=""/>
    <s v="Д-33"/>
    <s v="Соглашение об урегулировании финансовых обязательств"/>
    <s v="Не предполагает взаиморасчетов"/>
    <s v=""/>
    <s v=""/>
    <s v=""/>
    <s v=""/>
    <s v=""/>
    <s v=""/>
    <s v=""/>
    <s v="нет"/>
    <s v="нет"/>
    <s v=""/>
    <s v=""/>
    <s v=""/>
    <s v=""/>
    <s v="нет"/>
  </r>
  <r>
    <s v="Газпромнефть-ГЕО, ООО"/>
    <s v="0000019598"/>
    <s v="Зарегистрирован"/>
    <d v="2024-03-05T00:00:00"/>
    <s v=""/>
    <x v="63"/>
    <s v="9909012867"/>
    <s v="ГЕО-19/11708/00134/Р"/>
    <s v=""/>
    <s v="16"/>
    <s v="Нетиповой ДД"/>
    <x v="3"/>
    <s v=""/>
    <s v="00114-24"/>
    <s v=""/>
    <s v="Заказ-Наряд №16"/>
    <s v="Комплексная интерпретация сейсморазведочных данных 3D в интервале продуктивных пластов Ю2-Ю4 в зоне сочленения Вынгапуровского и Новогоднего месторождений с использованием объектно-ориентированного прогноза"/>
    <s v="Безруков А.А."/>
    <s v="Мостовой П.Я."/>
    <s v="Договорный документ"/>
    <s v="Блок геологии и разработки"/>
    <s v="Аксенов М.А."/>
    <s v="На бумажном носителе"/>
    <s v="До исполнения обязательств"/>
    <d v="2024-03-05T00:00:00"/>
    <s v=""/>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1 072 800.00"/>
    <s v="25 894 000.00"/>
    <s v="5 178 800.00"/>
    <s v="нет"/>
    <s v="нет"/>
    <s v=""/>
    <s v=""/>
    <s v=""/>
    <s v=""/>
    <s v="нет"/>
  </r>
  <r>
    <s v="Газпромнефть-ГЕО, ООО"/>
    <s v="0000047295"/>
    <s v="Зарегистрирован"/>
    <d v="2022-02-21T00:00:00"/>
    <s v=""/>
    <x v="150"/>
    <s v="7708639661"/>
    <s v=""/>
    <s v="ГЕО-22/10419/00039/Р"/>
    <s v="ГЕО-22/10419/00039/Р"/>
    <s v="Типовой ДД"/>
    <x v="2"/>
    <s v="10419 Договор на выполнение работ/услуг  «Свинчивание и спуск труб и НКТ, включая оборудование, инженерную поддержку и инструменты, запись и предоставление момента свинчивания в цифровом виде"/>
    <s v="00115-22"/>
    <s v=""/>
    <s v="10419 Договор на выполнение работ/услуг  «Свинчивание и спуск труб и НКТ, включая оборудование, инженерную поддержку и инструменты, запись и предоставление момента свинчивания в цифровом виде"/>
    <s v="Заключение договора для проекта &quot;Титан&quot;"/>
    <s v="Лопарев В.В."/>
    <s v="Веселкин А.С."/>
    <s v="Договорный документ"/>
    <s v="Блок бурения и ВСР"/>
    <s v="Масалкин Ю.В."/>
    <s v="На бумажном носителе"/>
    <s v="С ограничением по срокам "/>
    <d v="2022-02-21T00:00:00"/>
    <d v="2022-12-31T00:00:00"/>
    <s v=""/>
    <s v="Услуги  по свинчиванию и спуску труб и НКТ, включая оборудование, инженерную поддержку и инструменты. Запись и предоставлнение момента свинчивания в цифровом виде"/>
    <s v="Расходная часть"/>
    <s v="Стоимостной"/>
    <s v="20%"/>
    <s v=""/>
    <s v=""/>
    <s v="25 676 464.80"/>
    <s v="21 397 054.00"/>
    <s v="4 279 410.80"/>
    <s v="нет"/>
    <s v="нет"/>
    <s v=""/>
    <s v=""/>
    <s v=""/>
    <s v=""/>
    <s v="нет"/>
  </r>
  <r>
    <s v="Газпромнефть-ГЕО, ООО"/>
    <s v="0000063129"/>
    <s v="Зарегистрирован"/>
    <d v="2023-02-15T00:00:00"/>
    <s v=""/>
    <x v="94"/>
    <s v="5603032851"/>
    <s v="ГЕО-22/10968/00279/Р"/>
    <s v=""/>
    <s v="1.1"/>
    <s v="Нетиповой ДД"/>
    <x v="3"/>
    <s v=""/>
    <s v="00115-23"/>
    <s v=""/>
    <s v="Заказ"/>
    <s v="Изменение Наряд-Заказа № 1 в редакции Наряд-Заказа № 1.1"/>
    <s v="Автеньев М.В."/>
    <s v="Копылов Е.О."/>
    <s v="Договорный документ"/>
    <s v="Блок производственной безопасности"/>
    <s v="Михайлов Ю.А."/>
    <s v="На бумажном носителе"/>
    <s v="С ограничением по срокам "/>
    <d v="2022-12-02T00:00:00"/>
    <d v="2023-06-06T00:00:00"/>
    <s v="Д-2"/>
    <s v="Вывоз, транспортировка и размещение отходов производственной деятельности"/>
    <s v="Расходная часть"/>
    <s v="Стоимостной"/>
    <s v="20%"/>
    <s v=""/>
    <s v=""/>
    <s v="7 324 004.15"/>
    <s v="6 103 336.79"/>
    <s v="1 220 667.36"/>
    <s v="нет"/>
    <s v="нет"/>
    <s v=""/>
    <s v=""/>
    <s v=""/>
    <s v=""/>
    <s v="нет"/>
  </r>
  <r>
    <s v="Газпромнефть-ГЕО, ООО"/>
    <s v="0000093917"/>
    <s v="Зарегистрирован"/>
    <d v="2024-03-07T00:00:00"/>
    <s v=""/>
    <x v="9"/>
    <s v="5609193118"/>
    <s v="ГЕО-23/09000/00041/Р"/>
    <s v=""/>
    <s v="2"/>
    <s v="Нетиповой ДД"/>
    <x v="0"/>
    <s v=""/>
    <s v="00115-24"/>
    <s v=""/>
    <s v="Дополнительное соглашение №2 к договору ГЕО-23/09000/00041/Р от «31» января 2023 г"/>
    <s v="Исключение единичных расценок на проживание персонала из приложений:_x000a_- №8 к договору «Расчет стоимости оказания услуг» _x000a_- №8.3 к договору «Расчет суточной ставки на услуги супервайзера по сероводороду, в т.ч. проведение инструктажей, обучений по утверждённой программе, контроль доступа и учет персонала на объекте, проведение УТЗ» (п. 6.1. «Проживание персонала») _x000a_Уменьшение суммы договора на сумму проживания персонала в размере (-) 11 102 140,00 руб. без учета НДС, а также суммы мотивации (-) 222 042,80_x000a_Включение в договор условий по возврату компенсации проживания за предыдущий период _x000a_Включение графика платежей по возврату компенсации за проживание персонала_x000a_"/>
    <s v="Покатов О.Н."/>
    <s v=""/>
    <s v="Договорный документ"/>
    <s v="Управление производственной безопасности"/>
    <s v="Михайлов Ю.А."/>
    <s v="ЭП"/>
    <s v="До исполнения обязательств"/>
    <d v="2024-03-07T00:00:00"/>
    <s v=""/>
    <s v="Д-2"/>
    <s v="Договор возмездного оказания услуг"/>
    <s v="Не предполагает взаиморасчетов"/>
    <s v="Стоимостной"/>
    <s v="20%"/>
    <s v=""/>
    <s v=""/>
    <s v=""/>
    <s v=""/>
    <s v=""/>
    <s v="нет"/>
    <s v="нет"/>
    <s v=""/>
    <s v=""/>
    <s v=""/>
    <s v=""/>
    <s v="нет"/>
  </r>
  <r>
    <s v="Газпромнефть-ГЕО, ООО"/>
    <s v="0000084257"/>
    <s v="Зарегистрирован"/>
    <d v="2022-03-01T00:00:00"/>
    <s v=""/>
    <x v="151"/>
    <s v="7721793895"/>
    <s v=""/>
    <s v="ГЕО-22/33200/00040"/>
    <s v="ГЕО-22/33200/00040"/>
    <s v="Типовой ДД"/>
    <x v="1"/>
    <s v="33200 Соглашение об электронном документообороте"/>
    <s v="00116-22"/>
    <s v=""/>
    <s v="33200 Соглашение об электронном документообороте"/>
    <s v="Использование электронного документооборота для принятия ТМЦ "/>
    <s v="Савельева И.И."/>
    <s v="Савельева И.И."/>
    <s v="Договорный документ"/>
    <s v="Отдел административной поддержки бизнеса"/>
    <s v="Масалкин Ю.В."/>
    <s v="На бумажном носителе"/>
    <s v="Без сроков "/>
    <d v="2022-02-22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8356"/>
    <s v="Зарегистрирован"/>
    <d v="2023-01-31T00:00:00"/>
    <s v=""/>
    <x v="152"/>
    <s v="8601034898"/>
    <s v="ГЕО-22/10000/00144/Р"/>
    <s v=""/>
    <s v="4"/>
    <s v="Нетиповой ДД"/>
    <x v="3"/>
    <s v=""/>
    <s v="00116-23"/>
    <s v=""/>
    <s v="НАРЯД-ЗАКАЗ НА ОКАЗАНИЕ УСЛУГ № 4 к ДОГОВОРУ № ГЕО-22/10000/00144/Р от 27.06.2022г."/>
    <s v="выполнение работ и оказание услуг в области пожарной безопасности"/>
    <s v="Автеньев М.В."/>
    <s v="Белоусов О.В."/>
    <s v="Договорный документ"/>
    <s v="Блок производственной безопасности"/>
    <s v="Михайлов Ю.А."/>
    <s v="На бумажном носителе"/>
    <s v="С ограничением по срокам "/>
    <d v="2023-02-01T00:00:00"/>
    <d v="2023-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2 947 175.36"/>
    <s v="19 122 646.13"/>
    <s v="3 824 529.23"/>
    <s v="нет"/>
    <s v="нет"/>
    <s v=""/>
    <s v=""/>
    <s v=""/>
    <s v=""/>
    <s v="нет"/>
  </r>
  <r>
    <s v="Газпромнефть-ГЕО, ООО"/>
    <s v="0000063129"/>
    <s v="Зарегистрирован"/>
    <d v="2024-03-07T00:00:00"/>
    <s v=""/>
    <x v="94"/>
    <s v="5603032851"/>
    <s v="ГЕО-22/10968/00279/Р"/>
    <s v=""/>
    <s v="3"/>
    <s v="Нетиповой ДД"/>
    <x v="3"/>
    <s v=""/>
    <s v="00116-24"/>
    <s v=""/>
    <s v="Наряд-заказ №3 к договору ГЕО-22/10968/00279/Р от 31.10.2022"/>
    <s v="Организация работы по утилизации отходов бурения на скв. Солнечного ЛУ с компанией ООО &quot;Велес&quot;"/>
    <s v="Покатов О.Н."/>
    <s v=""/>
    <s v="Договорный документ"/>
    <s v="Управление производственной безопасности"/>
    <s v="Михайлов Ю.А."/>
    <s v="ЭП"/>
    <s v="До исполнения обязательств"/>
    <d v="2024-03-07T00:00:00"/>
    <s v=""/>
    <s v="Д-2"/>
    <s v="Вывоз, транспортировка и размещение отходов производственной деятельности"/>
    <s v="Расходная часть"/>
    <s v="Рамочный"/>
    <s v="20%"/>
    <s v=""/>
    <s v=""/>
    <s v="11 238 132.10"/>
    <s v="9 365 110.08"/>
    <s v="1 873 022.02"/>
    <s v="нет"/>
    <s v="нет"/>
    <s v=""/>
    <s v=""/>
    <s v=""/>
    <s v=""/>
    <s v="нет"/>
  </r>
  <r>
    <s v="Газпромнефть-ГЕО, ООО"/>
    <s v="0000064025"/>
    <s v="Зарегистрирован"/>
    <d v="2021-09-01T00:00:00"/>
    <s v=""/>
    <x v="134"/>
    <s v="7728720448"/>
    <s v="ГЕО-20/01200/00131/Д"/>
    <s v=""/>
    <s v="4"/>
    <s v="Нетиповой ДД"/>
    <x v="5"/>
    <s v=""/>
    <s v="00117-21"/>
    <s v=""/>
    <s v="Спецификация №4"/>
    <s v="Реализация основных средств проекта «ЧОНА» в адрес ДО Газпромнефть – Заполярье,"/>
    <s v="Нежальских В.А."/>
    <s v="Нежальских В.А. "/>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1-09-01T00:00:00"/>
    <s v=""/>
    <s v="Д-11"/>
    <s v="Договор поставки/купли продажи движимого имущества"/>
    <s v="Доходная часть"/>
    <s v="Стоимостной"/>
    <s v="20%"/>
    <s v=""/>
    <s v=""/>
    <s v="1 457 284.30"/>
    <s v="1 214 403.58"/>
    <s v="242 880.72"/>
    <s v="нет"/>
    <s v="нет"/>
    <s v=""/>
    <s v=""/>
    <s v=""/>
    <s v=""/>
    <s v="нет"/>
  </r>
  <r>
    <s v="Газпромнефть-ГЕО, ООО"/>
    <s v="0000060716"/>
    <s v="Зарегистрирован"/>
    <d v="2022-02-22T00:00:00"/>
    <s v=""/>
    <x v="18"/>
    <s v="7728803870"/>
    <s v="ГЕО-21/10303/00204/Р"/>
    <s v=""/>
    <s v="7"/>
    <s v="Нетиповой ДД"/>
    <x v="0"/>
    <s v=""/>
    <s v="00117-22"/>
    <s v=""/>
    <s v="Дополнительное соглашение № 7 к Договору № ОРН-18/10303/03693/Р от 20.12.2018г."/>
    <s v="Замена химреагента RICHMOLE Component 100 на Petro Hib D без изменения общей стоимости и объема работ по Договору"/>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2-22T00:00:00"/>
    <d v="2024-12-31T00:00:00"/>
    <s v="Д-58"/>
    <s v="Приготовление и инженерное сопровождение буровых растворов"/>
    <s v="Не предполагает взаиморасчетов"/>
    <s v=""/>
    <s v=""/>
    <s v=""/>
    <s v=""/>
    <s v=""/>
    <s v=""/>
    <s v=""/>
    <s v="нет"/>
    <s v="нет"/>
    <s v=""/>
    <s v=""/>
    <s v=""/>
    <s v=""/>
    <s v="нет"/>
  </r>
  <r>
    <s v="Газпромнефть-ГЕО, ООО"/>
    <s v="0000105643"/>
    <s v="Зарегистрирован"/>
    <d v="2023-03-06T00:00:00"/>
    <s v=""/>
    <x v="25"/>
    <s v="7717693190"/>
    <s v=""/>
    <s v="ГЕО-23/33400/00051"/>
    <s v="ГЕО-23/33400/00051"/>
    <s v="Нетиповой ДД"/>
    <x v="1"/>
    <s v=""/>
    <s v="00117-23"/>
    <s v=""/>
    <s v="Соглашение о безопасном использовании информационных систем "/>
    <s v="Предоставление НТЦ Геомеханика доступа к автоматизированной информационной системе удаленного доступа к информационным ресурсам «СУДИР» "/>
    <s v="Безруков А.А."/>
    <s v=""/>
    <s v="Договорный документ"/>
    <s v="Блок снабжения и закупок"/>
    <s v="Созинов С.А."/>
    <s v="ЭП"/>
    <s v="С ограничением по срокам "/>
    <d v="2023-03-06T00:00:00"/>
    <d v="2025-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80408"/>
    <s v="Зарегистрирован"/>
    <d v="2024-03-07T00:00:00"/>
    <s v=""/>
    <x v="104"/>
    <s v="3812043780"/>
    <s v="ГЕО-22/11029/00172/Р"/>
    <s v=""/>
    <s v="2"/>
    <s v="Нетиповой ДД"/>
    <x v="4"/>
    <s v=""/>
    <s v="00117-24"/>
    <s v="5"/>
    <s v="И № 2 к ЗК № 5 к ДД №ГЕО-22/11029/00172/Р от 25.07.2022"/>
    <s v="И № 2 к ЗК № 5 к ДД №ГЕО-22/11029/00172/Р от 25.07.2022 (скв &quot;КМ4бис&quot;). Изм объёмов услуг по обустройству дорог и строительству площадки."/>
    <s v="Мормышев А.А."/>
    <s v="Бабаев Д.Г."/>
    <s v="Договорный документ"/>
    <s v="Департамент капитального строительства"/>
    <s v="Трифонов А.В."/>
    <s v="ЭП"/>
    <s v="До исполнения обязательств"/>
    <d v="2024-03-07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64 814 039.79"/>
    <s v="137 345 033.16"/>
    <s v="27 469 006.63"/>
    <s v="нет"/>
    <s v="нет"/>
    <s v=""/>
    <s v=""/>
    <s v=""/>
    <s v=""/>
    <s v="нет"/>
  </r>
  <r>
    <s v="Газпромнефть-ГЕО, ООО"/>
    <s v="0000039779"/>
    <s v="Зарегистрирован"/>
    <d v="2022-02-21T00:00:00"/>
    <s v=""/>
    <x v="139"/>
    <s v="0277067693"/>
    <s v=""/>
    <s v="ГЕО-22/33100/00038"/>
    <s v="ГЕО-22/33100/00038"/>
    <s v="Типовой ДД"/>
    <x v="1"/>
    <s v="33100 Соглашение в области производственной безопасности"/>
    <s v="00118-22"/>
    <s v=""/>
    <s v="Соглашение в области производственной безопасности с АО &quot;НПП &quot;Бурсервис&quot;"/>
    <s v="Регулирование отношений в области производственной безопасности между ООО &quot;ГПН-ГЕО&quot; и АО &quot;НПП &quot;Бурсервис&quot;"/>
    <s v="Быков Н.В."/>
    <s v="Веселкин А.С."/>
    <s v="Договорный документ"/>
    <s v="Блок бурения и ВСР"/>
    <s v="Гаврилов С.В."/>
    <s v="На бумажном носителе"/>
    <s v="До исполнения обязательств"/>
    <d v="2022-02-21T00:00:00"/>
    <s v=""/>
    <s v="Д-58"/>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2894"/>
    <s v="Зарегистрирован"/>
    <d v="2023-03-06T00:00:00"/>
    <s v=""/>
    <x v="47"/>
    <s v="7017253595"/>
    <s v=""/>
    <s v="ГЕО-23/33400/00052"/>
    <s v="ГЕО-23/33400/00052"/>
    <s v="Нетиповой ДД"/>
    <x v="1"/>
    <s v=""/>
    <s v="00118-23"/>
    <s v=""/>
    <s v="Соглашение о безопасном использовании информационных систем "/>
    <s v="Предоставление ООО &quot;ИЦ ГазИнформПласт&quot; доступа к автоматизированной информационной системе удаленного доступа к информационным ресурсам «СУДИР» "/>
    <s v="Безруков А.А."/>
    <s v=""/>
    <s v="Договорный документ"/>
    <s v="Блок снабжения и закупок"/>
    <s v="Созинов С.А."/>
    <s v="ЭП"/>
    <s v="С ограничением по срокам "/>
    <d v="2023-03-06T00:00:00"/>
    <d v="2025-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80408"/>
    <s v="Подписание ЭП контрагентом"/>
    <d v="2024-03-07T00:00:00"/>
    <s v=""/>
    <x v="104"/>
    <s v="3812043780"/>
    <s v="ГЕО-22/11029/00172/Р"/>
    <s v=""/>
    <s v="6"/>
    <s v="Нетиповой ДД"/>
    <x v="3"/>
    <s v=""/>
    <s v="00118-24"/>
    <s v=""/>
    <s v="ЗК № 6 к ДД №ГЕО-22/11029/00172/Р от 25.07.2022"/>
    <s v="ЗК № 6 к ДД №ГЕО-22/11029/00172/Р от 25.07.2022 (скв &quot;КМ4&quot;). Рекультивация площадки скв. КМ4."/>
    <s v="Мормышев А.А."/>
    <s v="Бабаев Д.Г."/>
    <s v="Договорный документ"/>
    <s v="Департамент капитального строительства"/>
    <s v="Трифонов А.В."/>
    <s v="ЭП"/>
    <s v="До исполнения обязательств"/>
    <d v="2024-03-07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39 405 186.00"/>
    <s v="32 837 655.00"/>
    <s v="6 567 531.00"/>
    <s v="нет"/>
    <s v="нет"/>
    <s v=""/>
    <s v=""/>
    <s v=""/>
    <s v=""/>
    <s v="нет"/>
  </r>
  <r>
    <s v="Газпромнефть-ГЕО, ООО"/>
    <s v="0000049141"/>
    <s v="Зарегистрирован"/>
    <d v="2022-02-18T00:00:00"/>
    <s v=""/>
    <x v="60"/>
    <s v="7203215460"/>
    <s v=""/>
    <s v="ГЕО-22/13000/00043"/>
    <s v="ГЕО-22/13000/00043"/>
    <s v="Нетиповой ДД"/>
    <x v="1"/>
    <s v=""/>
    <s v="00119-22"/>
    <s v=""/>
    <s v="Уведомление-соглашение о фактоинге к договору ХНТ-19/10110/898/Р/60 от 27.08.2019 (переуступка № ГЕО-21/07000/00299/Р от 27.12.2021)"/>
    <s v="Заключение Уведомления-соглашения о фактоинге к договору ХНТ-19/10110/898/Р/60 от 27.08.2019 (переуступка № ГЕО-21/07000/00299/Р от 27.12.2021)"/>
    <s v="Ахматгалиев С.З."/>
    <s v=""/>
    <s v="Договорный документ"/>
    <s v="Блок геологии и разработки"/>
    <s v="Масалкин Ю.В."/>
    <s v="На бумажном носителе"/>
    <s v="До исполнения обязательств"/>
    <d v="2022-02-18T00:00:00"/>
    <s v=""/>
    <s v=""/>
    <s v="Договор финансирования под уступку денежного требования"/>
    <s v="Не предполагает взаиморасчетов"/>
    <s v=""/>
    <s v=""/>
    <s v=""/>
    <s v=""/>
    <s v=""/>
    <s v=""/>
    <s v=""/>
    <s v="нет"/>
    <s v="нет"/>
    <s v=""/>
    <s v=""/>
    <s v=""/>
    <s v=""/>
    <s v="нет"/>
  </r>
  <r>
    <s v="Газпромнефть-ГЕО, ООО"/>
    <s v="0000069013"/>
    <s v="Зарегистрирован"/>
    <d v="2023-03-01T00:00:00"/>
    <s v=""/>
    <x v="114"/>
    <s v="7203218005"/>
    <s v="ГЕО-21/10924/00124/Р"/>
    <s v=""/>
    <s v="6"/>
    <s v="Нетиповой ДД"/>
    <x v="0"/>
    <s v=""/>
    <s v="00119-23"/>
    <s v=""/>
    <s v="Дополнительное соглашение №6 к Договору № ГЕО-21/10924/00124/Р от 12 мая 2021 года на оказание услуги по экологическому мониторингу месторождений"/>
    <s v="Частичный перевод негарантированного объема услуг в гарантированный в 2023 году в Сибирском, Уральском, Приволжском и Дальневосточном федеральных округах без изменения единичных расценок и общей суммы договора"/>
    <s v="Липатова О.И."/>
    <s v="Липатова О.И."/>
    <s v="Договорный документ"/>
    <s v="Отдел экологической безопасности"/>
    <s v="Михайлов Ю.А."/>
    <s v="ЭП"/>
    <s v="С ограничением по срокам "/>
    <d v="2023-03-01T00:00:00"/>
    <d v="2024-12-31T00:00:00"/>
    <s v="Д-2"/>
    <s v="Договор возмездного оказания услуг"/>
    <s v="Расходная часть"/>
    <s v="Стоимостной"/>
    <s v="без НДС"/>
    <s v=""/>
    <s v=""/>
    <s v="11 691 133.45"/>
    <s v="11 691 133.45"/>
    <n v="0"/>
    <s v="нет"/>
    <s v="нет"/>
    <s v=""/>
    <s v=""/>
    <s v=""/>
    <s v=""/>
    <s v="нет"/>
  </r>
  <r>
    <s v="Газпромнефть-ГЕО, ООО"/>
    <s v="0000080408"/>
    <s v="Зарегистрирован"/>
    <d v="2024-03-11T00:00:00"/>
    <s v=""/>
    <x v="104"/>
    <s v="3812043780"/>
    <s v="ГЕО-23/27100/00096/Д"/>
    <s v=""/>
    <s v="3"/>
    <s v="Нетиповой ДД"/>
    <x v="5"/>
    <s v=""/>
    <s v="00119-24"/>
    <s v=""/>
    <s v="Спецификация №3 к Договору поставки №ГЕО-23/27100/00096/Д от «01» июня 2023 г."/>
    <s v="Коллеги, добрый день!_x000a_Доходный ДД. _x000a_От ПО поступил запрос на заключение Спецификации №3 на увеличение объема приобретения ДТ у ГПН-ГЕО на Оморинском ЛУ. Расчет стоимости для спецификации №3 согласован с Отделом эффективности контрактования._x000a_Оплата Товара осуществляется на условиях 100% предоплаты.     _x000a_Передача ДТ  осуществляется при участии представителя ГПН-ГЕО (Суперинтендант, супервайзер по бурению)."/>
    <s v="Нежальских В.А."/>
    <s v="Нежальских В.А."/>
    <s v="Договорный документ"/>
    <s v="Управление материально-технического обеспечения, транспортного обеспечения и сопутствующих сервисов"/>
    <s v="Ковтун М.А."/>
    <s v="ЭП"/>
    <s v="До исполнения обязательств"/>
    <d v="2024-03-11T00:00:00"/>
    <s v=""/>
    <s v="Д-62"/>
    <s v="Договор поставки нефтепродуктов (рубли)"/>
    <s v="Доходная часть"/>
    <s v="Стоимостной"/>
    <s v="20%"/>
    <s v=""/>
    <s v=""/>
    <s v="2 732 916.60"/>
    <s v="2 277 430.50"/>
    <s v="455 486.10"/>
    <s v="нет"/>
    <s v="нет"/>
    <s v=""/>
    <s v=""/>
    <s v=""/>
    <s v=""/>
    <s v="нет"/>
  </r>
  <r>
    <s v="Газпромнефть-ГЕО, ООО"/>
    <s v="0000087804"/>
    <s v="Зарегистрирован"/>
    <d v="2021-04-21T00:00:00"/>
    <s v=""/>
    <x v="153"/>
    <s v="2634048800"/>
    <s v="№ ГЕО-19/11019/00140/Р от 19.06.2019 г."/>
    <s v=""/>
    <s v="Наряд-заказ №6 "/>
    <s v="Типовой ДД"/>
    <x v="3"/>
    <s v="11000 Наряд-заказ к Договору (рамочному) на выполнение  &quot;ПИР Объекты системы энергообеспечения месторождений нефти и газа (сети выше 35), вкл. авторский надзор&quot;"/>
    <s v="00120-21"/>
    <s v=""/>
    <s v="11000 Наряд-заказ к Договору (рамочному) на выполнение  &quot;ПИР Объекты системы энергообеспечения месторождений нефти и газа (сети выше 35), вкл. авторский надзор&quot;"/>
    <s v="Выполнение проектных работ по объекту «Строительство поисково-оценочной скважины №1ПО Северо-Ямбург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4-21T00:00:00"/>
    <d v="2022-05-31T00:00:00"/>
    <s v="Д-22"/>
    <s v="ПИР Объекты добычи, подготовки и транспорта нефти, вкл. авторский надзор"/>
    <s v="Расходная часть"/>
    <s v="Рамочный"/>
    <s v="20%"/>
    <s v=""/>
    <s v=""/>
    <s v="9 678 974.18"/>
    <s v="8 065 811.82"/>
    <s v="1 613 162.36"/>
    <s v="нет"/>
    <s v="нет"/>
    <s v=""/>
    <s v=""/>
    <s v=""/>
    <s v=""/>
    <s v="нет"/>
  </r>
  <r>
    <s v="Газпромнефть-ГЕО, ООО"/>
    <s v="0000074750"/>
    <s v="Зарегистрирован"/>
    <d v="2022-02-28T00:00:00"/>
    <s v=""/>
    <x v="66"/>
    <s v="8905062456"/>
    <s v="№ГЕО-19/10126/00195/Р "/>
    <s v=""/>
    <s v="3"/>
    <s v="Нетиповой ДД"/>
    <x v="0"/>
    <s v=""/>
    <s v="00120-22"/>
    <s v=""/>
    <s v="Дополнительное соглашение № 3 к Договору №ГЕО-19/10126/00195/Р от 01.08.2019 г."/>
    <s v="БЕЗ ИЗМЕНЕНИЯ СТОИМОСТИ ДОГОВОРА_x000d__x000a_Включение в расчет стоимости Договора расшифровки единичной расценки «Технологическое дежурство отряда ГИС при бурении (оборудование/персонал/вагон-дом и т.д.)»"/>
    <s v="Ушакова М.А."/>
    <s v="Ушакова М.А."/>
    <s v="Договорный документ"/>
    <s v="Блок геологии и разработки"/>
    <s v="Аксенов М.А."/>
    <s v="На бумажном носителе"/>
    <s v="С ограничением по срокам "/>
    <d v="2022-02-28T00:00:00"/>
    <d v="2022-12-31T00:00:00"/>
    <s v=""/>
    <s v="Договор возмездного оказания услуг"/>
    <s v="Не предполагает взаиморасчетов"/>
    <s v=""/>
    <s v=""/>
    <s v=""/>
    <s v=""/>
    <s v=""/>
    <s v=""/>
    <s v=""/>
    <s v="нет"/>
    <s v="нет"/>
    <s v=""/>
    <s v=""/>
    <s v=""/>
    <s v=""/>
    <s v="нет"/>
  </r>
  <r>
    <s v="Газпромнефть-ГЕО, ООО"/>
    <s v="0000048878"/>
    <s v="Зарегистрирован"/>
    <d v="2023-03-01T00:00:00"/>
    <s v=""/>
    <x v="29"/>
    <s v="1645019164"/>
    <s v="ГЕО-22/10000/00271/Р"/>
    <s v=""/>
    <s v="2"/>
    <s v="Нетиповой ДД"/>
    <x v="0"/>
    <s v=""/>
    <s v="00120-23"/>
    <s v=""/>
    <s v="ДС №2 к Договору №ГЕО-22/10000/00271/Р от 10.10.2022 г. с ООО «ТНГ-Групп»"/>
    <s v="Квалификация дополнительной сейсмопартии "/>
    <s v="Ушакова М.А."/>
    <s v=""/>
    <s v="Договорный документ"/>
    <s v="Блок геологии и разработки"/>
    <s v="Аксенов М.А."/>
    <s v="ЭП"/>
    <s v="С ограничением по срокам "/>
    <d v="2023-03-01T00:00:00"/>
    <d v="2026-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104605"/>
    <s v="Зарегистрирован"/>
    <d v="2024-03-07T00:00:00"/>
    <s v=""/>
    <x v="55"/>
    <s v="9705112341"/>
    <s v="ГЕО-23/10000/00067/Р"/>
    <s v=""/>
    <s v="5"/>
    <s v="Нетиповой ДД"/>
    <x v="0"/>
    <s v=""/>
    <s v="00120-24"/>
    <s v=""/>
    <s v="ДС №5 к ДОГОВОРУ №ГЕО-23/10000/00067/Р от 31.03.2023 г."/>
    <s v="Раскрытие &quot;негарантированного &quot;объема"/>
    <s v="Кузьмин Е.А."/>
    <s v="Кузьмин Е.А."/>
    <s v="Договорный документ"/>
    <s v="Управление инжиниринга бурения"/>
    <s v="Трифонов А.В."/>
    <s v="ЭП"/>
    <s v="С ограничением по срокам "/>
    <d v="2024-03-07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97 704 469.33"/>
    <s v="81 420 391.11"/>
    <s v="16 284 078.22"/>
    <s v="нет"/>
    <s v="нет"/>
    <s v=""/>
    <s v=""/>
    <s v=""/>
    <s v=""/>
    <s v="нет"/>
  </r>
  <r>
    <s v="Газпромнефть-ГЕО, ООО"/>
    <s v="0000087804"/>
    <s v="Зарегистрирован"/>
    <d v="2021-04-21T00:00:00"/>
    <s v=""/>
    <x v="153"/>
    <s v="2634048800"/>
    <s v="№ ГЕО-19/11019/00140/Р от 19.06.2019 г."/>
    <s v=""/>
    <s v="Изменению №2 к Наряд-заказу №5 от 29.12.2020 к №ГЕО-19/11019/00140/Р от 19.06.2019"/>
    <s v="Типовой ДД"/>
    <x v="3"/>
    <s v="11000 Наряд-заказ к Договору (рамочному) на выполнение  &quot;ПИР Объекты системы энергообеспечения месторождений нефти и газа (сети выше 35), вкл. авторский надзор&quot;"/>
    <s v="00121-21"/>
    <s v="№5"/>
    <s v="11000 Наряд-заказ к Договору (рамочному) на выполнение  &quot;ПИР Объекты системы энергообеспечения месторождений нефти и газа (сети выше 35), вкл. авторский надзор&quot;"/>
    <s v="Выполнение дополнительных инженерных изысканий «Строительство объектов Северо-Ямбургского лицензионного участка»._x000d__x000a_Выделение этапов календарного плана. Разделение одного этапа на два этапа "/>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4-21T00:00:00"/>
    <d v="2022-12-31T00:00:00"/>
    <s v="Д-22"/>
    <s v="ПИР Объекты добычи, подготовки и транспорта нефти, вкл. авторский надзор"/>
    <s v="Не предполагает взаиморасчетов"/>
    <s v="Рамочный"/>
    <s v=""/>
    <s v=""/>
    <s v=""/>
    <s v=""/>
    <s v=""/>
    <s v=""/>
    <s v="нет"/>
    <s v="нет"/>
    <s v=""/>
    <s v=""/>
    <s v=""/>
    <s v=""/>
    <s v="нет"/>
  </r>
  <r>
    <s v="Газпромнефть-ГЕО, ООО"/>
    <s v="0000074750"/>
    <s v="Зарегистрирован"/>
    <d v="2022-02-28T00:00:00"/>
    <s v=""/>
    <x v="66"/>
    <s v="8905062456"/>
    <s v="№ГЕО-20/10126/00022/Р "/>
    <s v=""/>
    <s v="2"/>
    <s v="Нетиповой ДД"/>
    <x v="0"/>
    <s v=""/>
    <s v="00121-22"/>
    <s v=""/>
    <s v="ДС №2 к Договору №ГЕО-20/10126/00022/Р от 15.01.2020 г. "/>
    <s v="БЕЗ ИЗМЕНЕНИЯ СТОИМОСТИ ДОГОВОРА_x000d__x000a_Включение в расчет стоимости Договора расшифровки единичной расценки «Технологическое дежурство отряда ГИС при бурении (оборудование/персонал/вагон-дом и т.д.)»"/>
    <s v="Ушакова М.А."/>
    <s v=""/>
    <s v="Договорный документ"/>
    <s v="Блок геологии и разработки"/>
    <s v="Аксенов М.А."/>
    <s v="На бумажном носителе"/>
    <s v="С ограничением по срокам "/>
    <d v="2022-02-28T00:00:00"/>
    <d v="2023-12-31T00:00:00"/>
    <s v=""/>
    <s v="Договор возмездного оказания услуг"/>
    <s v="Не предполагает взаиморасчетов"/>
    <s v=""/>
    <s v=""/>
    <s v=""/>
    <s v=""/>
    <s v=""/>
    <s v=""/>
    <s v=""/>
    <s v="нет"/>
    <s v="нет"/>
    <s v=""/>
    <s v=""/>
    <s v=""/>
    <s v=""/>
    <s v="нет"/>
  </r>
  <r>
    <s v="Газпромнефть-ГЕО, ООО"/>
    <s v="0000060723"/>
    <s v="Зарегистрирован"/>
    <d v="2023-02-28T00:00:00"/>
    <s v=""/>
    <x v="49"/>
    <s v="3811088474"/>
    <s v="АНГ-19/11513/00007/Р"/>
    <s v=""/>
    <s v="34"/>
    <s v="Нетиповой ДД"/>
    <x v="3"/>
    <s v=""/>
    <s v="00121-23"/>
    <s v=""/>
    <s v="НАРЯД-ЗАКАЗ №34 к Договору № АНГ-19/11513/00007/Р от 14.02.2019"/>
    <s v="Оформление земельных участков для объекта: 1) Строительство разведочной скважины Км-5 Камовской площади Оморинского лицензионного участка. 2) Участки пунктов дежурства техники, складирования древесины и временного размещения городка на ПК0 Оморинского лицензионного участка"/>
    <s v="Расулов И.Ф."/>
    <s v="Расулов И.Ф."/>
    <s v="Договорный документ"/>
    <s v="Управление маркшейдерско-землеустроительных работ"/>
    <s v="Трифонов А.В."/>
    <s v="ЭП"/>
    <s v="С ограничением по срокам "/>
    <d v="2023-02-28T00:00:00"/>
    <d v="2024-03-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 604 257.60"/>
    <s v="2 170 214.67"/>
    <s v="434 042.93"/>
    <s v="нет"/>
    <s v="нет"/>
    <s v=""/>
    <s v=""/>
    <s v=""/>
    <s v=""/>
    <s v="нет"/>
  </r>
  <r>
    <s v="Газпромнефть-ГЕО, ООО"/>
    <s v="0000070392"/>
    <s v="Зарегистрирован"/>
    <d v="2024-03-01T00:00:00"/>
    <s v=""/>
    <x v="154"/>
    <s v="7716180477"/>
    <s v=""/>
    <s v="ГЕО-24/24000/00054/Р"/>
    <s v="ГЕО-24/24000/00054/Р"/>
    <s v="Нетиповой ДД"/>
    <x v="2"/>
    <s v=""/>
    <s v="00121-24"/>
    <s v=""/>
    <s v="Приобретение доступа к ИТ ОЛИМПОКС"/>
    <s v="Для реализации обучения в области ПЭБ"/>
    <s v="Разумовский М.В."/>
    <s v="Разумовский М.В."/>
    <s v="Договорный документ"/>
    <s v="Блок геологии и разработки"/>
    <s v="Аксенов М.А."/>
    <s v="На бумажном носителе"/>
    <s v="С ограничением по срокам "/>
    <d v="2024-03-01T00:00:00"/>
    <d v="2025-02-28T00:00:00"/>
    <s v="Д-54"/>
    <s v="Лицензионный договор"/>
    <s v="Расходная часть"/>
    <s v="Тарифный"/>
    <s v="без НДС"/>
    <s v=""/>
    <s v=""/>
    <s v="750 000.00"/>
    <s v="750 000.00"/>
    <n v="0"/>
    <s v="нет"/>
    <s v="нет"/>
    <s v=""/>
    <s v=""/>
    <s v=""/>
    <s v=""/>
    <s v="нет"/>
  </r>
  <r>
    <s v="Газпромнефть-ГЕО, ООО"/>
    <s v="0000066314"/>
    <s v="Зарегистрирован"/>
    <d v="2021-04-20T00:00:00"/>
    <s v=""/>
    <x v="74"/>
    <s v="7202242358"/>
    <s v="АНГ-19/11513/00010/Р"/>
    <s v=""/>
    <s v="Наряд-заказ № 7 к Договору № АНГ-19/11513/00010/Р "/>
    <s v="Нетиповой ДД"/>
    <x v="3"/>
    <s v=""/>
    <s v="00122-21"/>
    <s v=""/>
    <s v="Наряд-заказ № 7 к Договору № АНГ-19/11513/00010/Р "/>
    <s v="Оформление разрешительной документации на земельные участки для объекта  &quot;Проведение полевых сейсморазведочных работ МОГТ 3Д на Воргенском ЛУ&quot;"/>
    <s v="Титаева И.А."/>
    <s v="Титаева И.А. - Руководитель маркшейдерско-землеустроительных работ - Управление маркшейдерско-землеустроительных работ;"/>
    <s v="Договорный документ"/>
    <s v="Управление маркшейдерско-землеустроительных работ"/>
    <s v="Масалкин Ю.В."/>
    <s v="На бумажном носителе"/>
    <s v="С ограничением по срокам "/>
    <d v="2021-04-20T00:00:00"/>
    <d v="2021-12-31T00:00:00"/>
    <s v=""/>
    <s v="Выполнение комплекса топографо-геодезических, землеустроительных и лесоустроительных  работ "/>
    <s v="Расходная часть"/>
    <s v="Рамочный"/>
    <s v="0%"/>
    <s v=""/>
    <s v=""/>
    <s v="4 335 084.05"/>
    <s v="4 335 084.05"/>
    <n v="0"/>
    <s v="нет"/>
    <s v="нет"/>
    <s v=""/>
    <s v=""/>
    <s v=""/>
    <s v=""/>
    <s v="нет"/>
  </r>
  <r>
    <s v="Газпромнефть-ГЕО, ООО"/>
    <s v="0000089597"/>
    <s v="Зарегистрирован"/>
    <d v="2022-03-01T00:00:00"/>
    <s v=""/>
    <x v="155"/>
    <s v="7811455562"/>
    <s v=""/>
    <s v="ГЕО-22/16000/00080/Р"/>
    <s v="ГЕО-22/16000/00080/Р"/>
    <s v="Нетиповой ДД"/>
    <x v="2"/>
    <s v=""/>
    <s v="00122-22"/>
    <s v=""/>
    <s v="Договор хранения"/>
    <s v="Оказание услуги хранения, приемки, выдачи специальной одежды, специальной обуви, смывающих, обезвреживающих средств и других средств индивидуальной защиты работникам ООО «ГПН-ГЕО»"/>
    <s v="Петушкова В.Е."/>
    <s v="Петушкова В.Е."/>
    <s v="Договорный документ"/>
    <s v="Управление производственной безопасности"/>
    <s v="Власов М.М."/>
    <s v="На бумажном носителе"/>
    <s v="С ограничением по срокам "/>
    <d v="2022-03-01T00:00:00"/>
    <d v="2022-12-31T00:00:00"/>
    <s v="Д-59"/>
    <s v="Договор хранения"/>
    <s v="Расходная часть"/>
    <s v="Стоимостной"/>
    <s v="20%"/>
    <s v=""/>
    <s v=""/>
    <s v="453 974.40"/>
    <s v="378 312.00"/>
    <s v="75 662.40"/>
    <s v="нет"/>
    <s v="нет"/>
    <s v=""/>
    <s v=""/>
    <s v=""/>
    <s v=""/>
    <s v="нет"/>
  </r>
  <r>
    <s v="Газпромнефть-ГЕО, ООО"/>
    <s v="0000115200"/>
    <s v="Зарегистрирован"/>
    <d v="2024-03-11T00:00:00"/>
    <s v=""/>
    <x v="156"/>
    <s v="7841070190"/>
    <s v=""/>
    <s v="ГЕО-24/09000/00060/Р"/>
    <s v="ГЕО-24/09000/00060/Р"/>
    <s v="Нетиповой ДД"/>
    <x v="2"/>
    <s v=""/>
    <s v="00122-24"/>
    <s v=""/>
    <s v="оказание услуг по обучению руководителей и специалистов ООО «ГПН-ГЕО» оказанию первой помощи пострадавшим на производстве, в том числе в особых условиях на удаленных лицензионных участках"/>
    <s v="Исполнение требований Постановления Правительства РФ от 24.12.2021 N 2464 «О порядке обучения по охране труда и проверки знания требований охраны труда», а также исполнения требований Приказа № 16-П от 16.02.2024 г. об утверждении «Матрицы обучений и аттестации руководителей и специалистов ООО «ГПН-ГЕО» по направлениям в области производственной безопасности в 2024 г.» "/>
    <s v="Табуева М.А."/>
    <s v="Ядрышников П.Н."/>
    <s v="Договорный документ"/>
    <s v="Программы проектов производственной безопасности в ГРР"/>
    <s v="Михайлов Ю.А."/>
    <s v="На бумажном носителе"/>
    <s v="С ограничением по срокам "/>
    <d v="2024-03-11T00:00:00"/>
    <d v="2026-12-31T00:00:00"/>
    <s v="Д-2"/>
    <s v="Договор возмездного оказания услуг"/>
    <s v="Расходная часть"/>
    <s v="Стоимостной"/>
    <s v="без НДС"/>
    <s v=""/>
    <s v=""/>
    <s v="844 171.00"/>
    <s v="844 171.00"/>
    <n v="0"/>
    <s v="нет"/>
    <s v="нет"/>
    <s v=""/>
    <s v=""/>
    <s v=""/>
    <s v=""/>
    <s v="нет"/>
  </r>
  <r>
    <s v="Газпромнефть-ГЕО, ООО"/>
    <s v=""/>
    <s v="Закрыт"/>
    <d v="2021-04-28T00:00:00"/>
    <s v=""/>
    <x v="157"/>
    <s v=""/>
    <s v=""/>
    <s v="ГЕО-21/01000/00126/Д"/>
    <s v="ГЕО-21/01000/00126/Д"/>
    <s v="Нетиповой ДД"/>
    <x v="2"/>
    <s v=""/>
    <s v="00123-21"/>
    <s v=""/>
    <s v="Договор поставки (продажи) портландцемента"/>
    <s v="Продажа цемента из категории НВИ "/>
    <s v="Долгов Д.Г."/>
    <s v="Долгов Д.Г."/>
    <s v="Договорный документ"/>
    <s v="Блок по закупкам"/>
    <s v="Титов А.В."/>
    <s v="На бумажном носителе"/>
    <s v="До исполнения обязательств"/>
    <d v="2021-04-28T00:00:00"/>
    <s v=""/>
    <s v="Д-11"/>
    <s v="Договор купли-продажи"/>
    <s v="Доходная часть"/>
    <s v="Стоимостной"/>
    <s v="20%"/>
    <s v=""/>
    <s v=""/>
    <s v="34 300.00"/>
    <s v="28 583.33"/>
    <s v="5 716.67"/>
    <s v="нет"/>
    <s v="нет"/>
    <s v=""/>
    <s v=""/>
    <s v=""/>
    <s v=""/>
    <s v="нет"/>
  </r>
  <r>
    <s v="Газпромнефть-ГЕО, ООО"/>
    <s v="0000044973"/>
    <s v="Зарегистрирован"/>
    <d v="2022-03-07T00:00:00"/>
    <s v=""/>
    <x v="158"/>
    <s v="7709413265"/>
    <s v=""/>
    <s v="ГЕО-22/07100/00042/Р"/>
    <s v="ГЕО-22/07100/00042/Р"/>
    <s v="Типовой ДД"/>
    <x v="2"/>
    <s v="10303 Договор подряда по приготовлению и инженерному сопровождению буровых растворов"/>
    <s v="00123-22"/>
    <s v=""/>
    <s v="10303 Договор подряда по приготовлению и инженерному сопровождению буровых растворов"/>
    <s v="Заключение договора для проекта &quot;Титан&quot;"/>
    <s v="Лопарев В.В."/>
    <s v="Веселкин А.С."/>
    <s v="Договорный документ"/>
    <s v="Блок бурения и ВСР"/>
    <s v="Масалкин Ю.В."/>
    <s v="На бумажном носителе"/>
    <s v="С ограничением по срокам "/>
    <d v="2022-03-07T00:00:00"/>
    <d v="2023-03-15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63 407 563.31"/>
    <s v="136 172 969.42"/>
    <s v="27 234 593.89"/>
    <s v="нет"/>
    <s v="нет"/>
    <s v=""/>
    <s v=""/>
    <s v=""/>
    <s v=""/>
    <s v="нет"/>
  </r>
  <r>
    <s v="Газпромнефть-ГЕО, ООО"/>
    <s v="0000109171"/>
    <s v="Зарегистрирован"/>
    <d v="2023-03-10T00:00:00"/>
    <s v=""/>
    <x v="159"/>
    <s v="667010670731"/>
    <s v=""/>
    <s v="ГЕО-23/01200/00059/Р"/>
    <s v="ГЕО-23/01200/00059/Р"/>
    <s v="Нетиповой ДД"/>
    <x v="2"/>
    <s v=""/>
    <s v="00123-23"/>
    <s v=""/>
    <s v="ДОГОВОР ПОСТАВКИ "/>
    <s v="Поставка сувенирной продукции для ООО &quot;ГПН-ГЕО&quot;"/>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3-03-10T00:00:00"/>
    <s v=""/>
    <s v="Д-56"/>
    <s v="Договор поставки/купли продажи движимого имущества"/>
    <s v="Расходная часть"/>
    <s v="Стоимостной"/>
    <s v="без НДС"/>
    <s v=""/>
    <s v=""/>
    <s v="968 270.00"/>
    <s v="968 270.00"/>
    <n v="0"/>
    <s v="нет"/>
    <s v="нет"/>
    <s v=""/>
    <s v=""/>
    <s v=""/>
    <s v=""/>
    <s v="нет"/>
  </r>
  <r>
    <s v="Газпромнефть-ГЕО, ООО"/>
    <s v="0000085689"/>
    <s v="Зарегистрирован"/>
    <d v="2024-03-11T00:00:00"/>
    <s v=""/>
    <x v="15"/>
    <s v="3808219470"/>
    <s v="ГЕО-23/10000/00223/Р"/>
    <s v=""/>
    <s v="1"/>
    <s v="Нетиповой ДД"/>
    <x v="0"/>
    <s v=""/>
    <s v="00123-24"/>
    <s v=""/>
    <s v="Дополнительное соглашение №1 к Договору № ГЕО-23/10000/00223/Р от 18.12.2023 г."/>
    <s v="Дополнительное соглашение №1"/>
    <s v="Гулин В.Д."/>
    <s v="Гулин В.Д."/>
    <s v="Договорный документ"/>
    <s v="Блок геологии и разработки"/>
    <s v="Трифонов А.В."/>
    <s v="ЭП"/>
    <s v="С ограничением по срокам "/>
    <d v="2024-03-11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да"/>
  </r>
  <r>
    <s v="Газпромнефть-ГЕО, ООО"/>
    <s v="0000096142"/>
    <s v="Проект"/>
    <s v=""/>
    <s v=""/>
    <x v="160"/>
    <s v="462001940602"/>
    <s v=""/>
    <s v=""/>
    <s v=""/>
    <s v="Нетиповой ДД"/>
    <x v="2"/>
    <s v=""/>
    <s v="00124-21"/>
    <s v=""/>
    <s v="Договор возмездного оказания услуг"/>
    <s v="Получение услуг по договору ГПХ"/>
    <s v="Белов Л.К."/>
    <s v=""/>
    <s v="Договорный документ"/>
    <s v="Управление инвестиционного планирования"/>
    <s v="Масалкин Ю.В."/>
    <s v="На бумажном носителе"/>
    <s v="С ограничением по срокам "/>
    <d v="2021-05-12T00:00:00"/>
    <d v="2021-08-13T00:00:00"/>
    <s v=""/>
    <s v="Договор оказания услуг с физическим лицом"/>
    <s v="Расходная часть"/>
    <s v="Стоимостной"/>
    <s v="13%"/>
    <s v=""/>
    <s v=""/>
    <s v="240 000.00"/>
    <s v="208 800.00"/>
    <s v="31 200.00"/>
    <s v="нет"/>
    <s v="нет"/>
    <s v=""/>
    <s v=""/>
    <s v=""/>
    <s v=""/>
    <s v="нет"/>
  </r>
  <r>
    <s v="Газпромнефть-ГЕО, ООО"/>
    <s v="0000066687"/>
    <s v="Зарегистрирован"/>
    <d v="2023-03-07T00:00:00"/>
    <s v=""/>
    <x v="161"/>
    <s v="9909012867"/>
    <s v="ГЕО-22/10000/00179/Р"/>
    <s v=""/>
    <s v="3"/>
    <s v="Типовой ДД"/>
    <x v="0"/>
    <s v="00000 ДС на изменение реквизитов контрагента (адрес, счет)"/>
    <s v="00124-23"/>
    <s v=""/>
    <s v="00000 ДС на изменение реквизитов контрагента (адрес, счет)"/>
    <s v="Изменением банковских реквизитов контрагента"/>
    <s v="Бикташев Р.С."/>
    <s v="Бикташев Р.С."/>
    <s v="Договорный документ"/>
    <s v="Производственно-технологический департамент"/>
    <s v="Трифонов А.В."/>
    <s v="На бумажном носителе"/>
    <s v="С ограничением по срокам "/>
    <d v="2023-03-15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51935"/>
    <s v="Зарегистрирован"/>
    <d v="2024-03-13T00:00:00"/>
    <s v=""/>
    <x v="50"/>
    <s v="7709832820"/>
    <s v=""/>
    <s v="ГЕО-24/20000/00048/Д"/>
    <s v="ГЕО-24/20000/00048/Д"/>
    <s v="Типовой ДД"/>
    <x v="2"/>
    <s v="20000 Агентский договор на организацию вертолетных авиаперевозок"/>
    <s v="00124-24"/>
    <s v=""/>
    <s v="20000 Агентский договор на организацию вертолетных авиаперевозок ООО «НьюТек Сервисез»"/>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4-04-01T00:00:00"/>
    <d v="2025-03-31T00:00:00"/>
    <s v="Д-56"/>
    <s v="Агентский договор"/>
    <s v="Доходная часть"/>
    <s v="Агентский"/>
    <s v="20%"/>
    <s v=""/>
    <s v=""/>
    <s v="319 634.64"/>
    <s v="266 362.20"/>
    <s v="53 272.44"/>
    <s v="нет"/>
    <s v="нет"/>
    <s v=""/>
    <s v=""/>
    <s v=""/>
    <s v=""/>
    <s v="нет"/>
  </r>
  <r>
    <s v="Газпромнефть-ГЕО, ООО"/>
    <s v=""/>
    <s v="Зарегистрирован"/>
    <d v="2021-04-30T00:00:00"/>
    <s v=""/>
    <x v="162"/>
    <s v=""/>
    <s v=""/>
    <s v="ГЕО-21/09000/00120/Р"/>
    <s v="ГЕО-21/09000/00120/Р"/>
    <s v="Нетиповой ДД"/>
    <x v="1"/>
    <s v=""/>
    <s v="00125-21"/>
    <s v=""/>
    <s v="Соглашение об оказании юридической помощи"/>
    <s v="Оказание юридических услуг в связи с уголовным делом"/>
    <s v="Цветков Д.В."/>
    <s v="Цветков Д.В."/>
    <s v="Договорный документ"/>
    <s v="Юридическая служба"/>
    <s v="Масалкин Ю.В."/>
    <s v="На бумажном носителе"/>
    <s v="С ограничением по срокам "/>
    <d v="2021-04-30T00:00:00"/>
    <d v="2021-12-31T00:00:00"/>
    <s v=""/>
    <s v="Договор возмездного оказания услуг"/>
    <s v="Расходная часть"/>
    <s v="Рамочный"/>
    <s v="без НДС"/>
    <s v=""/>
    <s v=""/>
    <s v="415 000.00"/>
    <s v="415 000.00"/>
    <n v="0"/>
    <s v="нет"/>
    <s v="нет"/>
    <s v=""/>
    <s v=""/>
    <s v=""/>
    <s v=""/>
    <s v="нет"/>
  </r>
  <r>
    <s v="Газпромнефть-ГЕО, ООО"/>
    <s v="0000068974"/>
    <s v="Зарегистрирован"/>
    <d v="2022-02-28T00:00:00"/>
    <s v=""/>
    <x v="81"/>
    <s v="3808120671"/>
    <s v="№ ГЕО-19/09000/00180 от 05.08.2019г."/>
    <s v=""/>
    <s v="8"/>
    <s v="Нетиповой ДД"/>
    <x v="0"/>
    <s v=""/>
    <s v="00125-22"/>
    <s v=""/>
    <s v="Дополнительное соглашение № 8 к договору № ГЕО-19/09000/00180/Р от 05.08.2019 г."/>
    <s v="Продление срока действия договора по 27.09.2022г. и перераспределение объемов - исключение негарантированного объема услуг (предусмотренного договором) с одновременным увеличением услуг охраны КПП на Лескинском ЛУ (предусмотренных договором), без увеличения общей стоимости по договору и единичных расценок"/>
    <s v="Страдымов А.Г."/>
    <s v="Страдымов А.Г."/>
    <s v="Договорный документ"/>
    <s v="Блок корпоративной защиты"/>
    <s v="Масалкин Ю.В."/>
    <s v="На бумажном носителе"/>
    <s v="С ограничением по срокам "/>
    <d v="2022-03-01T00:00:00"/>
    <d v="2022-09-27T00:00:00"/>
    <s v=""/>
    <s v="Договор возмездного оказания услуг"/>
    <s v="Не предполагает взаиморасчетов"/>
    <s v=""/>
    <s v=""/>
    <s v=""/>
    <s v=""/>
    <s v=""/>
    <s v=""/>
    <s v=""/>
    <s v="нет"/>
    <s v="нет"/>
    <s v=""/>
    <s v=""/>
    <s v=""/>
    <s v=""/>
    <s v="нет"/>
  </r>
  <r>
    <s v="Газпромнефть-ГЕО, ООО"/>
    <s v="0000109171"/>
    <s v="На подписании"/>
    <d v="2023-03-03T00:00:00"/>
    <s v=""/>
    <x v="159"/>
    <s v="667010670731"/>
    <s v=""/>
    <s v="ГЕО-23/33200/00141"/>
    <s v="ГЕО-23/33200/00141"/>
    <s v="Типовой ДД"/>
    <x v="1"/>
    <s v="33200 Соглашение об электронном документообороте"/>
    <s v="00125-23"/>
    <s v=""/>
    <s v="33200 Соглашение об электронном документообороте"/>
    <s v="Соглашение об электронном документообороте между ООО &quot;ГПН-ГЕО&quot; и ИП Лебедева Е.Н."/>
    <s v="Долгов Д.Г."/>
    <s v="Долгов Д.Г."/>
    <s v="Договорный документ"/>
    <s v="Управление материально-технического обеспечения, транспортного обеспечения и сопутствующих сервисов"/>
    <s v="Ковтун М.А."/>
    <s v="На бумажном носителе"/>
    <s v="Без сроков "/>
    <d v="2023-03-03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8271"/>
    <s v="Зарегистрирован"/>
    <d v="2024-03-18T00:00:00"/>
    <s v=""/>
    <x v="42"/>
    <s v="7725696878"/>
    <s v=""/>
    <s v="ГЕО-24/10000/00053/Р"/>
    <s v="ГЕО-24/10000/00053/Р"/>
    <s v="Нетиповой ДД"/>
    <x v="2"/>
    <s v=""/>
    <s v="00125-24"/>
    <s v=""/>
    <s v="Договор с ООО &quot;ПетроТрейс&quot; на оказание услуг, связанных с геолого-экономической оценкой, сопровождением и реализацией проектов "/>
    <s v="Оказание услуг, связанных с геолого-экономической оценкой, сопровождением и реализацией проектов на этапах «Доступ», «Поиск» и «Оценка», созданием сейсмогеологических моделей по проектам ООО «ГПН-ГЕО», обработка и комплексная интерпретация новой сейсмики ЗД"/>
    <s v="Васильева А.И."/>
    <s v="Коротков С.П."/>
    <s v="Договорный документ"/>
    <s v="Блок геологии и разработки"/>
    <s v="Трифонов А.В."/>
    <s v="На бумажном носителе"/>
    <s v="С ограничением по срокам "/>
    <d v="2024-03-18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981 278 700.00"/>
    <s v="817 732 250.00"/>
    <s v="163 546 450.00"/>
    <s v="нет"/>
    <s v="нет"/>
    <s v=""/>
    <s v=""/>
    <s v=""/>
    <s v=""/>
    <s v="да"/>
  </r>
  <r>
    <s v="Газпромнефть-ГЕО, ООО"/>
    <s v="0000008602"/>
    <s v="Зарегистрирован"/>
    <d v="2021-04-14T00:00:00"/>
    <s v=""/>
    <x v="32"/>
    <s v="5504036333"/>
    <s v="ГЕО-20/24000/00187/Р"/>
    <s v=""/>
    <s v="ДС №1 к ГЕО-20/24000/00187/Р"/>
    <s v="Нетиповой ДД"/>
    <x v="0"/>
    <s v=""/>
    <s v="00126-21"/>
    <s v=""/>
    <s v="СУБЛИЦЕНЗИОННЫЙ ДОГОВОР"/>
    <s v="Дозакупка лицензий на программное обеспечение Microsoft"/>
    <s v="Разумовский М.В."/>
    <s v="Разумовский Максим Викторович"/>
    <s v="Договорный документ"/>
    <s v="Производственно-технологический департамент"/>
    <s v="Масалкин Ю.В."/>
    <s v="На бумажном носителе"/>
    <s v="С ограничением по срокам "/>
    <d v="2021-04-14T00:00:00"/>
    <d v="2023-07-01T00:00:00"/>
    <s v=""/>
    <s v="Лицензионный договор"/>
    <s v="Расходная часть"/>
    <s v="Агентский"/>
    <s v="20%"/>
    <s v=""/>
    <s v=""/>
    <s v="20 553 579.17"/>
    <s v="17 127 982.64"/>
    <s v="3 425 596.53"/>
    <s v="нет"/>
    <s v="нет"/>
    <s v=""/>
    <s v=""/>
    <s v=""/>
    <s v=""/>
    <s v="нет"/>
  </r>
  <r>
    <s v="Газпромнефть-ГЕО, ООО"/>
    <s v="0000047108"/>
    <s v="Зарегистрирован"/>
    <d v="2022-02-18T00:00:00"/>
    <s v=""/>
    <x v="19"/>
    <s v="3245502148"/>
    <s v="№ ГЕО-20/09000/00182/Д / АБ-20/09000/00005/Р"/>
    <s v=""/>
    <s v="3"/>
    <s v="Нетиповой ДД"/>
    <x v="0"/>
    <s v=""/>
    <s v="00126-22"/>
    <s v=""/>
    <s v="ДОПОЛНИТЕЛЬНОЕ СОГЛАШЕНИЕ № 3 К ОПЕРАТОРСКОМУ СОГЛАШЕНИЮ № ГЕО-20/09000/00182/Д / АБ-20/09000/00005/Р"/>
    <s v="Операторское соглашение"/>
    <s v="Кошелева Ю.В."/>
    <s v="Кошелева Ю.В."/>
    <s v="Договорный документ"/>
    <s v="Управление экономического планирования и анализа"/>
    <s v="Масалкин Ю.В."/>
    <s v="На бумажном носителе"/>
    <s v="С ограничением по срокам "/>
    <d v="2022-02-18T00:00:00"/>
    <d v="2022-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5 976 000.00"/>
    <s v="4 980 000.00"/>
    <s v="996 000.00"/>
    <s v="нет"/>
    <s v="нет"/>
    <s v=""/>
    <s v=""/>
    <s v=""/>
    <s v=""/>
    <s v="нет"/>
  </r>
  <r>
    <s v="Газпромнефть-ГЕО, ООО"/>
    <s v="0000048216"/>
    <s v="Зарегистрирован"/>
    <d v="2023-03-07T00:00:00"/>
    <s v=""/>
    <x v="38"/>
    <s v="8605013881"/>
    <s v="ГЕО-22/10000/00055/Р"/>
    <s v=""/>
    <s v="6"/>
    <s v="Типовой ДД"/>
    <x v="0"/>
    <s v="00000 ДС на изменение реквизитов контрагента (адрес, счет)"/>
    <s v="00126-23"/>
    <s v=""/>
    <s v="ДС № 6 к Договору № ГЕО-22/10000/00055/Р от 17.03.2022 г.  "/>
    <s v="Изменение банковских реквизитов Подрядчика "/>
    <s v="Безруков А.А."/>
    <s v="Ушакова М.А."/>
    <s v="Договорный документ"/>
    <s v="Блок снабжения и закупок"/>
    <s v="Аксенов М.А."/>
    <s v="ЭП"/>
    <s v="До исполнения обязательств"/>
    <d v="2023-03-15T00:00:00"/>
    <s v=""/>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58271"/>
    <s v="Зарегистрирован"/>
    <d v="2021-04-22T00:00:00"/>
    <s v=""/>
    <x v="42"/>
    <s v="7725696878"/>
    <s v="ГЕО-19/11708/00133/Р от 25.06.2019"/>
    <s v=""/>
    <s v="Заказ-Наряд №11"/>
    <s v="Нетиповой ДД"/>
    <x v="3"/>
    <s v=""/>
    <s v="00127-21"/>
    <s v=""/>
    <s v="Заказ-Наряд №11 к договору №ГЕО-19/11708/00133/Р от 25.06.2019"/>
    <s v="Научно исследовательские работы для формирования предварительной базовой интегрированной концепции разработки в периметре Западных участков территории деятельности АО «Газпромнефть ННГ»"/>
    <s v="Коротков С.П."/>
    <s v=""/>
    <s v="Договорный документ"/>
    <s v="Управление по разработке"/>
    <s v="Аксенов М.А."/>
    <s v="На бумажном носителе"/>
    <s v="С ограничением по срокам "/>
    <d v="2021-04-22T00:00:00"/>
    <d v="2021-10-31T00:00:00"/>
    <s v="Д-3"/>
    <s v="НИОКР, НИР прочие"/>
    <s v="Расходная часть"/>
    <s v="Рамочный"/>
    <s v="20%"/>
    <s v=""/>
    <s v=""/>
    <s v="11 834 544.00"/>
    <s v="9 862 120.00"/>
    <s v="1 972 424.00"/>
    <s v="нет"/>
    <s v="нет"/>
    <s v=""/>
    <s v=""/>
    <s v=""/>
    <s v=""/>
    <s v="нет"/>
  </r>
  <r>
    <s v="Газпромнефть-ГЕО, ООО"/>
    <s v="0000066687"/>
    <s v="Зарегистрирован"/>
    <d v="2022-02-28T00:00:00"/>
    <s v=""/>
    <x v="161"/>
    <s v="9909012867"/>
    <s v=""/>
    <s v="ГЕО-22/10000/00048/Р"/>
    <s v="ГЕО-22/10000/00048/Р"/>
    <s v="Типовой ДД"/>
    <x v="2"/>
    <s v="10307 Договор на оказание услуг по предоставлению оборудования и инженерному сопровождению при спуске и креплению скважин хвостовиками "/>
    <s v="00127-22"/>
    <s v=""/>
    <s v="Договор на оказание услуг по предоставлению оборудования и инженерному сопровождению при спуске и креплению скважин хвостовиками"/>
    <s v="Оказание услуги 10307. &quot;Предоставление оборудования и инженерное сопровождение при спуске и креплению скважин хвостовиками&quot; для проекта &quot;Титан&quot;"/>
    <s v="Быков Н.В."/>
    <s v="Веселкин А.С."/>
    <s v="Договорный документ"/>
    <s v="Блок бурения и ВСР"/>
    <s v="Гаврилов С.В."/>
    <s v="На бумажном носителе"/>
    <s v="С ограничением по срокам "/>
    <d v="2022-02-28T00:00:00"/>
    <d v="2023-03-31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1 248 694.75"/>
    <s v="26 040 578.96"/>
    <s v="5 208 115.79"/>
    <s v="нет"/>
    <s v="нет"/>
    <s v=""/>
    <s v=""/>
    <s v=""/>
    <s v=""/>
    <s v="нет"/>
  </r>
  <r>
    <s v="Газпромнефть-ГЕО, ООО"/>
    <s v="0000048216"/>
    <s v="Зарегистрирован"/>
    <d v="2023-03-07T00:00:00"/>
    <s v=""/>
    <x v="38"/>
    <s v="8605013881"/>
    <s v="ГЕО-21/10308/00236/Р"/>
    <s v=""/>
    <s v="6"/>
    <s v="Типовой ДД"/>
    <x v="0"/>
    <s v="00000 ДС на изменение реквизитов контрагента (адрес, счет)"/>
    <s v="00127-23"/>
    <s v=""/>
    <s v="Дополнительное соглашение №6 к Договору № ГЕО-21/10308/00236/Р от 04.10.2021"/>
    <s v="Изменение банковских реквизитов Подрядчика "/>
    <s v="Безруков А.А."/>
    <s v="Ушакова М.А."/>
    <s v="Договорный документ"/>
    <s v="Блок снабжения и закупок"/>
    <s v="Аксенов М.А."/>
    <s v="ЭП"/>
    <s v="До исполнения обязательств"/>
    <d v="2023-03-15T00:00:00"/>
    <s v=""/>
    <s v="Д-54"/>
    <s v="ГТИ при бурении"/>
    <s v="Не предполагает взаиморасчетов"/>
    <s v="Рамочный"/>
    <s v=""/>
    <s v=""/>
    <s v=""/>
    <s v=""/>
    <s v=""/>
    <s v=""/>
    <s v="нет"/>
    <s v="нет"/>
    <s v=""/>
    <s v=""/>
    <s v=""/>
    <s v=""/>
    <s v="нет"/>
  </r>
  <r>
    <s v="Газпромнефть-ГЕО, ООО"/>
    <s v="0000070856"/>
    <s v="Зарегистрирован"/>
    <d v="2024-03-18T00:00:00"/>
    <s v=""/>
    <x v="163"/>
    <s v="7722319952"/>
    <s v="ГЕО-23/10000/00094/Р"/>
    <s v=""/>
    <s v="1"/>
    <s v="Типовой ДД"/>
    <x v="0"/>
    <s v="00000 ДС на изменение реквизитов контрагента (адрес, счет)"/>
    <s v="00127-24"/>
    <s v=""/>
    <s v="00000 ДС на изменение реквизитов контрагента (адрес, счет)"/>
    <s v="Изменение реквизитов контрагента"/>
    <s v="Горев М.А."/>
    <s v=""/>
    <s v="Договорный документ"/>
    <s v="Управление маркшейдерско-землеустроительных работ"/>
    <s v="Трифонов А.В."/>
    <s v="На бумажном носителе"/>
    <s v="С ограничением по срокам "/>
    <d v="2024-03-18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74750"/>
    <s v="Закрыт"/>
    <d v="2021-04-29T00:00:00"/>
    <s v=""/>
    <x v="66"/>
    <s v="8905062456"/>
    <s v=""/>
    <s v="ГЕО-21/10126/00121/Р"/>
    <s v="ГЕО-21/10126/00121/Р"/>
    <s v="Нетиповой ДД"/>
    <x v="2"/>
    <s v=""/>
    <s v="00128-21"/>
    <s v=""/>
    <s v="На проведение геофизических исследований при строительстве/реконструкции скважин/ и на проведение прострелочно-взрывных работ"/>
    <s v="В целях обеспечения эффективности процесса закупки на оказание услуг «ГИС при строительстве/реконструкции скважин» (10126) и «Проведение ПВР» (10130) предлагается признать целесообразным заключение договора с взаимозависимым лицом ООО «Газпромнефть-ННГГФ». "/>
    <s v="Николаев В.А."/>
    <s v=""/>
    <s v="Договорный документ"/>
    <s v="Управление по разработке"/>
    <s v="Аксенов М.А."/>
    <s v="На бумажном носителе"/>
    <s v="С ограничением по срокам "/>
    <d v="2021-04-29T00:00:00"/>
    <d v="2022-12-31T00:00:00"/>
    <s v="Д-3"/>
    <s v="ГИС при строительстве/реконструкции скважин"/>
    <s v="Расходная часть"/>
    <s v="Стоимостной"/>
    <s v="20%"/>
    <s v=""/>
    <s v=""/>
    <s v="55 179 932.72"/>
    <s v="45 983 277.27"/>
    <s v="9 196 655.45"/>
    <s v="нет"/>
    <s v="нет"/>
    <s v=""/>
    <s v=""/>
    <s v=""/>
    <s v=""/>
    <s v="нет"/>
  </r>
  <r>
    <s v="Газпромнефть-ГЕО, ООО"/>
    <s v="0000093917"/>
    <s v="Зарегистрирован"/>
    <d v="2023-02-15T00:00:00"/>
    <s v=""/>
    <x v="9"/>
    <s v="5609193118"/>
    <s v="ГЕО-23/09000/00041/Р"/>
    <s v=""/>
    <s v="2"/>
    <s v="Нетиповой ДД"/>
    <x v="3"/>
    <s v=""/>
    <s v="00128-23"/>
    <s v=""/>
    <s v="Наряд - Заказ на оказание услуг № 2 к Договору "/>
    <s v="на 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Лескинском ЛУ"/>
    <s v="Автеньев М.В."/>
    <s v="Хабибуллин Т.Ф."/>
    <s v="Договорный документ"/>
    <s v="Блок производственной безопасности"/>
    <s v="Михайлов Ю.А."/>
    <s v="На бумажном носителе"/>
    <s v="С ограничением по срокам "/>
    <d v="2023-02-16T00:00:00"/>
    <d v="2023-09-30T00:00:00"/>
    <s v="Д-2"/>
    <s v="Договор возмездного оказания услуг"/>
    <s v="Расходная часть"/>
    <s v="Стоимостной"/>
    <s v="20%"/>
    <s v=""/>
    <s v=""/>
    <s v="35 964 864.00"/>
    <s v="29 970 720.00"/>
    <s v="5 994 144.00"/>
    <s v="нет"/>
    <s v="нет"/>
    <s v=""/>
    <s v=""/>
    <s v=""/>
    <s v=""/>
    <s v="нет"/>
  </r>
  <r>
    <s v="Газпромнефть-ГЕО, ООО"/>
    <s v="0000086733"/>
    <s v="Зарегистрирован"/>
    <d v="2022-03-09T00:00:00"/>
    <s v=""/>
    <x v="164"/>
    <s v="7203336545"/>
    <s v="ГЕО-20/10940/00117/Р "/>
    <s v=""/>
    <s v="3"/>
    <s v="Нетиповой ДД"/>
    <x v="0"/>
    <s v=""/>
    <s v="00129-22"/>
    <s v=""/>
    <s v="Дополнительное соглашение №3"/>
    <s v="Раздел 4 Договора дополнить пунктом 4.10 следующего содержания: «Вместо счета-фактуры и акта об оказании услуг, Стороны вправе формировать и подписывать универсальный передаточный документ (УПД), объединяющий в себе счет-фактуру и первичный учетный документ (акт об оказании)»."/>
    <s v="Липатова О.И."/>
    <s v="Липатова О.И."/>
    <s v="Договорный документ"/>
    <s v="Отдел экологической безопасности"/>
    <s v="Власов М.М."/>
    <s v="На бумажном носителе"/>
    <s v="С ограничением по срокам "/>
    <d v="2022-03-09T00:00:00"/>
    <d v="2022-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9013"/>
    <s v="Зарегистрирован"/>
    <d v="2023-03-02T00:00:00"/>
    <s v=""/>
    <x v="114"/>
    <s v="7203218005"/>
    <s v="ГЕО-21/10924/00124/Р"/>
    <s v=""/>
    <s v="НАРЯД-ЗАКАЗ № 5"/>
    <s v="Нетиповой ДД"/>
    <x v="3"/>
    <s v=""/>
    <s v="00129-23"/>
    <s v=""/>
    <s v="НАРЯД-ЗАКАЗ № 5 к ДОГОВОРУ № ГЕО-21/10924/00124/Р от 12.05.2021 г. на выполнение работ по экологическому мониторингу месторождений "/>
    <s v="Выполнение Исполнителем работ по экологическому мониторингу месторождений в 2023 г. "/>
    <s v="Липатова О.И."/>
    <s v=""/>
    <s v="Договорный документ"/>
    <s v="Отдел экологической безопасности"/>
    <s v="Михайлов Ю.А."/>
    <s v="ЭП"/>
    <s v="С ограничением по срокам "/>
    <d v="2023-03-02T00:00:00"/>
    <d v="2024-12-31T00:00:00"/>
    <s v="Д-2"/>
    <s v="Договор возмездного оказания услуг"/>
    <s v="Расходная часть"/>
    <s v="Рамочный"/>
    <s v="без НДС"/>
    <s v=""/>
    <s v=""/>
    <s v="11 272 663.68"/>
    <s v="11 272 663.68"/>
    <n v="0"/>
    <s v="нет"/>
    <s v="нет"/>
    <s v=""/>
    <s v=""/>
    <s v=""/>
    <s v=""/>
    <s v="нет"/>
  </r>
  <r>
    <s v="Газпромнефть-ГЕО, ООО"/>
    <s v="0000086733"/>
    <s v="Зарегистрирован"/>
    <d v="2022-03-09T00:00:00"/>
    <s v=""/>
    <x v="164"/>
    <s v="7203336545"/>
    <s v=""/>
    <s v="ГЕО-22/33200/00046"/>
    <s v="ГЕО-22/33200/00046"/>
    <s v="Типовой ДД"/>
    <x v="1"/>
    <s v="33200 Соглашение об электронном документообороте"/>
    <s v="00130-22"/>
    <s v=""/>
    <s v="33200 Соглашение об электронном документообороте"/>
    <s v="Переход на ЭДО"/>
    <s v="Липатова О.И."/>
    <s v="Липатова О.И."/>
    <s v="Договорный документ"/>
    <s v="Отдел экологической безопасности"/>
    <s v="Власов М.М."/>
    <s v="На бумажном носителе"/>
    <s v="Без сроков "/>
    <d v="2022-03-09T00:00:00"/>
    <s v=""/>
    <s v="Д-59"/>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1220"/>
    <s v="Зарегистрирован"/>
    <d v="2023-03-30T00:00:00"/>
    <s v=""/>
    <x v="51"/>
    <s v="5401950707"/>
    <s v=""/>
    <s v=""/>
    <s v="1"/>
    <s v="Нетиповой ДД"/>
    <x v="3"/>
    <s v=""/>
    <s v="00130-23"/>
    <s v=""/>
    <s v="Наряд-заказ №1. ООО НППГА «ЛУЧ»"/>
    <s v="Наряд-заказ №1. ООО НППГА «ЛУЧ». Договор подряда &quot;10308 ГТИ при бурении&quot;"/>
    <s v="Мормышев А.А."/>
    <s v="Воронин А.С."/>
    <s v="Договорный документ"/>
    <s v="Блок геологии и разработки"/>
    <s v="Аксенов М.А."/>
    <s v="ЭП"/>
    <s v="С ограничением по срокам "/>
    <d v="2023-03-30T00:00:00"/>
    <d v="2025-12-31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105026600"/>
    <s v="209 363 580.00"/>
    <s v="174 469 650.00"/>
    <s v="34 893 930.00"/>
    <s v="да"/>
    <s v="нет"/>
    <s v=""/>
    <s v=""/>
    <s v=""/>
    <s v=""/>
    <s v="нет"/>
  </r>
  <r>
    <s v="Газпромнефть-ГЕО, ООО"/>
    <s v="0000115173"/>
    <s v="Зарегистрирован"/>
    <d v="2024-03-22T00:00:00"/>
    <s v=""/>
    <x v="165"/>
    <s v="7801337545"/>
    <s v=""/>
    <s v="ГЕО-24/24000/00068/Р"/>
    <s v="ГЕО-24/24000/00068/Р"/>
    <s v="Нетиповой ДД"/>
    <x v="2"/>
    <s v=""/>
    <s v="00130-24"/>
    <s v=""/>
    <s v="Предоставление доступа к ИС Консультант ПЛЮС с архивными базами"/>
    <s v="Предоставление доступа к ИС Консультант ПЛЮС с архивными базами"/>
    <s v="Разумовский М.В."/>
    <s v=""/>
    <s v="Договорный документ"/>
    <s v="Блок геологии и разработки"/>
    <s v="Аксенов М.А."/>
    <s v="На бумажном носителе"/>
    <s v="С ограничением по срокам "/>
    <d v="2024-03-22T00:00:00"/>
    <d v="2025-09-21T00:00:00"/>
    <s v="Д-54"/>
    <s v="Лицензионный договор"/>
    <s v="Расходная часть"/>
    <s v="Стоимостной"/>
    <s v="без НДС"/>
    <s v=""/>
    <s v=""/>
    <s v="1 499 994.00"/>
    <s v="1 499 994.00"/>
    <n v="0"/>
    <s v="нет"/>
    <s v="нет"/>
    <s v=""/>
    <s v=""/>
    <s v=""/>
    <s v=""/>
    <s v="нет"/>
  </r>
  <r>
    <s v="Газпромнефть-ГЕО, ООО"/>
    <s v="0000045789"/>
    <s v="Зарегистрирован"/>
    <d v="2021-04-08T00:00:00"/>
    <s v=""/>
    <x v="16"/>
    <s v="7838395487"/>
    <s v="НТЦ-18/29000/01344/Д-ГЕО-18/11602/00075/Р"/>
    <s v=""/>
    <s v="1"/>
    <s v="Нетиповой ДД"/>
    <x v="7"/>
    <s v=""/>
    <s v="00131-21"/>
    <s v=" № НТЦ-20/09000/00114/Д-ГЕО от «02» декабря 2020 г "/>
    <s v="Разработка нормативно-методического документа"/>
    <s v="Разработка нормативно-методического документа"/>
    <s v="Бикташев Р.С."/>
    <s v=""/>
    <s v="Договорный документ"/>
    <s v="Производственно-технологический департамент"/>
    <s v="Перфильев Д.А."/>
    <s v="На бумажном носителе"/>
    <s v="С ограничением по срокам "/>
    <d v="2021-04-08T00:00:00"/>
    <d v="2021-06-30T00:00:00"/>
    <s v="Д-22"/>
    <s v="Разработка нормативной документации, технологических регламентов, проектно-сметной документации, норм расхода вспомогательных материалов по подготовке газа"/>
    <s v="Расходная часть"/>
    <s v="Рамочный"/>
    <s v="20%"/>
    <s v=""/>
    <s v=""/>
    <s v="3 526 548.00"/>
    <s v="2 938 790.00"/>
    <s v="587 758.00"/>
    <s v="нет"/>
    <s v="нет"/>
    <s v=""/>
    <s v=""/>
    <s v=""/>
    <s v=""/>
    <s v="нет"/>
  </r>
  <r>
    <s v="Газпромнефть-ГЕО, ООО"/>
    <s v=""/>
    <s v="Зарегистрирован"/>
    <d v="2022-02-14T00:00:00"/>
    <s v=""/>
    <x v="105"/>
    <s v=""/>
    <s v=""/>
    <s v="ГЕО-22/33100/00044"/>
    <s v="ГЕО-22/33100/00044"/>
    <s v="Типовой ДД"/>
    <x v="1"/>
    <s v="33100 Соглашение в области производственной безопасности"/>
    <s v="00131-22"/>
    <s v=""/>
    <s v="33100 Соглашение в области производственной безопасности"/>
    <s v="Соблюдение норм и правил ПБ "/>
    <s v="Григоренко Е.А."/>
    <s v="Григоренко Е.А."/>
    <s v="Договорный документ"/>
    <s v="Управление проектно-изыскательских работ"/>
    <s v="Власов М.М."/>
    <s v="На бумажном носителе"/>
    <s v="До исполнения обязательств"/>
    <d v="2022-02-14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6687"/>
    <s v="Зарегистрирован"/>
    <d v="2023-03-09T00:00:00"/>
    <s v=""/>
    <x v="161"/>
    <s v="9909012867"/>
    <s v="ГЕО-22/10000/00048/Р"/>
    <s v=""/>
    <s v="3"/>
    <s v="Типовой ДД"/>
    <x v="0"/>
    <s v="00000 ДС на изменение реквизитов контрагента (адрес, счет)"/>
    <s v="00131-23"/>
    <s v=""/>
    <s v="Дополнительное соглашение №3 к Договору № ГЕО-22/10000/00048/Р от 28.02.2022 г."/>
    <s v="Изменение банковских реквизитов Подрядчика "/>
    <s v="Безруков А.А."/>
    <s v="Яшкина К.Л."/>
    <s v="Договорный документ"/>
    <s v="Блок снабжения и закупок"/>
    <s v="Трифонов А.В."/>
    <s v="На бумажном носителе"/>
    <s v="До исполнения обязательств"/>
    <d v="2023-03-15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104605"/>
    <s v="Зарегистрирован"/>
    <d v="2024-03-12T00:00:00"/>
    <s v=""/>
    <x v="55"/>
    <s v="9705112341"/>
    <s v="ГЕО-23/10000/00067/Р"/>
    <s v=""/>
    <s v="3"/>
    <s v="Нетиповой ДД"/>
    <x v="4"/>
    <s v=""/>
    <s v="00131-24"/>
    <s v="2"/>
    <s v="Изменение №3 к наряд-заказу №2 от 28.11.23 г. к Договору №ГЕО-23/10000/00067/Р от 31.03.23 г."/>
    <s v="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Кузьмин Е.А."/>
    <s v="Кузьмин Е.А."/>
    <s v="Договорный документ"/>
    <s v="Управление инжиниринга бурения"/>
    <s v="Трифонов А.В."/>
    <s v="ЭП"/>
    <s v="С ограничением по срокам "/>
    <d v="2024-03-12T00:00:00"/>
    <d v="2024-04-30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876 120.00"/>
    <s v="730 100.00"/>
    <s v="146 020.00"/>
    <s v="нет"/>
    <s v="нет"/>
    <s v=""/>
    <s v=""/>
    <s v=""/>
    <s v=""/>
    <s v="нет"/>
  </r>
  <r>
    <s v="Газпромнефть-ГЕО, ООО"/>
    <s v=""/>
    <s v="Зарегистрирован"/>
    <d v="2022-03-04T00:00:00"/>
    <s v=""/>
    <x v="103"/>
    <s v=""/>
    <s v=""/>
    <s v="ГЕО-22/26000/00049"/>
    <s v="ГЕО-22/26000/00049"/>
    <s v="Типовой ДД"/>
    <x v="1"/>
    <s v="26000 Соглашение о конфиденциальности с российским контрагентом"/>
    <s v="00132-22"/>
    <s v=""/>
    <s v="26000 Соглашение о конфиденциальности с российским контрагентом"/>
    <s v="Соблюдение условий конфиденциальности в случае передачи конфиденциальной информации "/>
    <s v="Григоренко Е.А."/>
    <s v="Григоренко Е.А."/>
    <s v="Договорный документ"/>
    <s v="Управление проектно-изыскательских работ"/>
    <s v="Созинов С.А."/>
    <s v="На бумажном носителе"/>
    <s v="До исполнения обязательств"/>
    <d v="2022-03-04T00:00:00"/>
    <s v=""/>
    <s v="Д-60"/>
    <s v="Соглашение о конфиденциальности"/>
    <s v="Не предполагает взаиморасчетов"/>
    <s v=""/>
    <s v=""/>
    <s v=""/>
    <s v=""/>
    <s v=""/>
    <s v=""/>
    <s v=""/>
    <s v="нет"/>
    <s v="нет"/>
    <s v=""/>
    <s v=""/>
    <s v=""/>
    <s v=""/>
    <s v="нет"/>
  </r>
  <r>
    <s v="Газпромнефть-ГЕО, ООО"/>
    <s v="0000027645"/>
    <s v="Зарегистрирован"/>
    <d v="2021-06-24T00:00:00"/>
    <s v=""/>
    <x v="80"/>
    <s v="5501072608"/>
    <s v="ГЕО-19/10001/00157/Р"/>
    <s v=""/>
    <s v="9"/>
    <s v="Нетиповой ДД"/>
    <x v="0"/>
    <s v=""/>
    <s v="00133-21"/>
    <s v="Дополнительное соглашение №8 к договору оказания услуг № ГЕО-19/10001/00157/Р/ГСН-19/10001/00829/Д/ТМН-15 от 15.07.2019г."/>
    <s v="ДОПОЛНИТЕЛЬНОЕ СОГЛАШЕНИЕ № 9 к Договору оказания услуг № ГЕО-19/10001/00157/Р/ГСН-19/10001/00829/Д/ТМН-15 от «15» июля 2019г."/>
    <s v="1. В рамках операторского соглашения ГЕО-20/09000/00182/_x000d__x000a_Д/АБ-20/09000/00005/Р от 23.11.2020 ООО «ГПН-ГЕО» оказывает услуги на Лескинском ЛУ (проект «Енисей») для ООО «Газпромнефть-Аэро Брянск». Услуги логистики на проекте «Енисей» оказываются по договору № ГЕО-19/10001/00157/Р от 15.07.2019 с ООО «Газпромнефть – Снабжение». В рамках исполнения требований ООО «Газпромнефть-Аэро Брянск» в договор № ГЕО-19/10001/00157/Р требуется внести изменения, предусматривающие:_x000d__x000a_1.1 Чёткое определение географических границ деятельности (перемещения техники, хранения материалов и оборудования, создания временных сооружений и т.п.) ООО «Газпромнефть - снабжение» в рамках исполнения договора;_x000d__x000a_1.2 Ответственность ООО «Газпромнефть - снабжение» за любые убытки и затраты (включая стоимость или соответствующую часть стоимости рекультивации объектов в пределах Лескинского ЛУ, использованных ООО «Газпромнефть - снабжение» для оказания услуг третьим лицам), понесённые ООО «ГПН-ГЕО» или ООО «Газпромнефть-Аэро Брянск» в результате осуществления ООО «Газпромнефть - снабжение» на Лескинском ЛУ деятельности, не входящей в состав работ и услуг, предусмотренных Договором логистики;_x000d__x000a_1.3 Обязанность ООО «Газпромнефть - снабжение» предварительно согласовывать с ООО «ГПН – ГЕО» возможность осуществления любой деятельности вне рамок оговорённых границ;_x000d__x000a_1.4 Недопустимость выставления ООО «Газпромнефть - снабжение» к возмещению со стороны ООО «ГПН-ГЕО» стоимости или части стоимости работ, в той мере, в которой результат таких работ используется ООО «Газпромнефть - снабжение» для оказания услуг третьим лицам. Необходимость корректировки общей цены по Договору логистики, если устанавливается, что ранее такое возмещение уже состоялось._x000d__x000a_"/>
    <s v="Долгов Д.Г."/>
    <s v="Долгов Д.Г."/>
    <s v="Договорный документ"/>
    <s v="Блок по закупкам"/>
    <s v="Титов А.В."/>
    <s v="На бумажном носителе"/>
    <s v="С ограничением по срокам "/>
    <d v="2021-06-24T00:00:00"/>
    <d v="2022-12-31T00:00:00"/>
    <s v="Д-11"/>
    <s v="Услуги складской и транспортной логистики. (Оказываемые услуги для ДО БРД)"/>
    <s v="Не предполагает взаиморасчетов"/>
    <s v=""/>
    <s v=""/>
    <s v=""/>
    <s v=""/>
    <s v=""/>
    <s v=""/>
    <s v=""/>
    <s v="нет"/>
    <s v="нет"/>
    <s v=""/>
    <s v=""/>
    <s v=""/>
    <s v=""/>
    <s v="нет"/>
  </r>
  <r>
    <s v="Газпромнефть-ГЕО, ООО"/>
    <s v="0000062699, 0000049141"/>
    <s v="Зарегистрирован"/>
    <d v="2023-03-16T00:00:00"/>
    <s v=""/>
    <x v="166"/>
    <s v="7727712331, 7203215460"/>
    <s v=""/>
    <s v="ГЕО-23/33000/00058"/>
    <s v="ГЕО-23/33000/00058"/>
    <s v="Нетиповой ДД"/>
    <x v="1"/>
    <s v=""/>
    <s v="00133-23"/>
    <s v=""/>
    <s v="Уведомление-соглашение"/>
    <s v="Переход на факторинговое обслуживание по договору №ГЕО-22/10000/00057/Р от 18.03.2022г. "/>
    <s v="Ушакова М.А."/>
    <s v=""/>
    <s v="Договорный документ"/>
    <s v="Блок геологии и разработки"/>
    <s v="Аксенов М.А."/>
    <s v="На бумажном носителе"/>
    <s v="С ограничением по срокам "/>
    <d v="2023-03-15T00:00:00"/>
    <d v="2026-12-31T00:00:00"/>
    <s v=""/>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37860"/>
    <s v="Зарегистрирован"/>
    <d v="2024-03-18T00:00:00"/>
    <s v=""/>
    <x v="20"/>
    <s v="7714024384"/>
    <s v="ГЕО-23/10318/00010/Р+ ПР + ПУР"/>
    <s v=""/>
    <s v="2"/>
    <s v="Нетиповой ДД"/>
    <x v="4"/>
    <s v=""/>
    <s v="00133-24"/>
    <s v="1"/>
    <s v="Изменение №2 к Наряд-заказу №1 к Договору  №ГЕО-23/10318/00010/Р от «10» января 2023 г. с АО «Технологии ОФС» "/>
    <s v="Актуализация наряд-заказа в части объема и расценки по ставке &quot;Отобранный представительный, кондиционный керн - согласно условиям и требованиям к оборудованию, персоналу и программному обеспечению, указанным в техническом задании, которые должны быть включены в данную ставку. 80 мм. от 51 до 100 метров&quot;. Прочие ставки без изменений."/>
    <s v="Ушакова М.А."/>
    <s v=""/>
    <s v="Договорный документ"/>
    <s v="Блок геологии и разработки"/>
    <s v="Трифонов А.В."/>
    <s v="ЭП"/>
    <s v="С ограничением по срокам "/>
    <d v="2024-03-18T00:00:00"/>
    <d v="2027-12-31T00:00:00"/>
    <s v="Д-82"/>
    <s v="Отбор керна при бурении и реконструкции скважин"/>
    <s v="Расходная часть"/>
    <s v="Рамочный"/>
    <s v="20%"/>
    <s v=""/>
    <s v=""/>
    <s v="14 183 967.14"/>
    <s v="11 819 972.62"/>
    <s v="2 363 994.52"/>
    <s v="нет"/>
    <s v="нет"/>
    <s v=""/>
    <s v=""/>
    <s v=""/>
    <s v=""/>
    <s v="нет"/>
  </r>
  <r>
    <s v="Газпромнефть-ГЕО, ООО"/>
    <s v="0000027645"/>
    <s v="Закрыт"/>
    <d v="2021-04-22T00:00:00"/>
    <s v=""/>
    <x v="80"/>
    <s v="5501072608"/>
    <s v=""/>
    <s v="ГЕО-21/11104/00122/Д"/>
    <s v="ГЕО-21/11104/00122/Д"/>
    <s v="Нетиповой ДД"/>
    <x v="2"/>
    <s v=""/>
    <s v="00134-21"/>
    <s v=""/>
    <s v="Агентский договор на организацию вертолетных авиаперевозок"/>
    <s v="Авиаперевозка персонала и грузов КА"/>
    <s v="Титова Е.В."/>
    <s v=""/>
    <s v="Договорный документ"/>
    <s v="Блок по закупкам"/>
    <s v="Титов А.В."/>
    <s v="На бумажном носителе"/>
    <s v="С ограничением по срокам "/>
    <d v="2021-05-01T00:00:00"/>
    <d v="2021-12-31T00:00:00"/>
    <s v="Д-11"/>
    <s v="Авиационное обслуживание (вертолеты)"/>
    <s v="Доходная часть"/>
    <s v="Агентский"/>
    <s v="20%"/>
    <s v=""/>
    <s v=""/>
    <s v="1 155 339.07"/>
    <s v="962 782.56"/>
    <s v="192 556.51"/>
    <s v="нет"/>
    <s v="нет"/>
    <s v=""/>
    <s v=""/>
    <s v=""/>
    <s v=""/>
    <s v="нет"/>
  </r>
  <r>
    <s v="Газпромнефть-ГЕО, ООО"/>
    <s v="0000047806"/>
    <s v="Зарегистрирован"/>
    <d v="2022-02-01T00:00:00"/>
    <s v=""/>
    <x v="30"/>
    <s v="8905044954"/>
    <s v="ГЕО-20/09000/00214/Р"/>
    <s v=""/>
    <s v="1"/>
    <s v="Нетиповой ДД"/>
    <x v="0"/>
    <s v=""/>
    <s v="00134-22"/>
    <s v=""/>
    <s v="Дополнительное соглашение №1 к Договору оказания комплекса услуг по введению бухгалтерского (финансового) и налогового учета, проведение безналичных расчетов и услуг в области валютного контроля № ГЕО-20/09000/00214/Р/ГБС-20/09000/00868/Д/БС-24 от 30.12.20"/>
    <s v="Включение дополнительных услуг по отправке  отчетности в управления статистики в электронном виде и администрированию ЭДО_x000d__x000a_"/>
    <s v="Малова Д.П."/>
    <s v=""/>
    <s v="Договорный документ"/>
    <s v="Финансовое управление"/>
    <s v="Ковтун М.А."/>
    <s v="На бумажном носителе"/>
    <s v="С ограничением по срокам "/>
    <d v="2022-02-01T00:00:00"/>
    <d v="2023-12-31T00:00:00"/>
    <s v="Д-62"/>
    <s v="Договор возмездного оказания услуг"/>
    <s v="Расходная часть"/>
    <s v="Стоимостной"/>
    <s v="20%"/>
    <s v=""/>
    <s v=""/>
    <s v="5 440 440.00"/>
    <s v="4 533 700.00"/>
    <s v="906 740.00"/>
    <s v="нет"/>
    <s v="нет"/>
    <s v=""/>
    <s v=""/>
    <s v=""/>
    <s v=""/>
    <s v="нет"/>
  </r>
  <r>
    <s v="Газпромнефть-ГЕО, ООО"/>
    <s v="0000066687"/>
    <s v="Зарегистрирован"/>
    <d v="2023-03-13T00:00:00"/>
    <s v=""/>
    <x v="161"/>
    <s v="9909012867"/>
    <s v="ГЕО-21/10430/00237/Р"/>
    <s v=""/>
    <s v="2"/>
    <s v="Типовой ДД"/>
    <x v="0"/>
    <s v="00000 ДС на изменение реквизитов контрагента (адрес, счет)"/>
    <s v="00134-23"/>
    <s v=""/>
    <s v="Дополнительное соглашение №2 к Договору № ГЕО-21/10430/00237/Р от 25.10.2021 г."/>
    <s v="Изменение банковских реквизитов Подрядчика "/>
    <s v="Безруков А.А."/>
    <s v="Яшкина К.Л."/>
    <s v="Договорный документ"/>
    <s v="Блок снабжения и закупок"/>
    <s v="Трифонов А.В."/>
    <s v="На бумажном носителе"/>
    <s v="До исполнения обязательств"/>
    <d v="2023-03-15T00:00:00"/>
    <s v=""/>
    <s v="Д-33"/>
    <s v="Инженерное и технологическое сопровождение работ при текущем и капитальном ремонте скважин (ТКРС)"/>
    <s v="Не предполагает взаиморасчетов"/>
    <s v="Стоимостной"/>
    <s v=""/>
    <s v=""/>
    <s v=""/>
    <s v=""/>
    <s v=""/>
    <s v=""/>
    <s v="нет"/>
    <s v="нет"/>
    <s v=""/>
    <s v=""/>
    <s v=""/>
    <s v=""/>
    <s v="нет"/>
  </r>
  <r>
    <s v="Газпромнефть-ГЕО, ООО"/>
    <s v="0000062894"/>
    <s v="Зарегистрирован"/>
    <d v="2024-03-22T00:00:00"/>
    <s v=""/>
    <x v="47"/>
    <s v="7017253595"/>
    <s v=""/>
    <s v="ГЕО-24/10150/00055/Р"/>
    <s v="ГЕО-24/10150/00055/Р"/>
    <s v="Типовой ДД"/>
    <x v="2"/>
    <s v="10150 Договор (Мастер-форма) на оказание услуг по газодинамическим исследованиям"/>
    <s v="00134-24"/>
    <s v=""/>
    <s v="10150 Договор (Мастер-форма) на оказание услуг по газодинамическим исследованиям"/>
    <s v="Проведение газодинамических/газоконденсатных/гидродинамических исследований скважин"/>
    <s v="Ларионов Е.А."/>
    <s v=""/>
    <s v="Договорный документ"/>
    <s v="Блок геологии и разработки"/>
    <s v="Трифонов А.В."/>
    <s v="ЭП"/>
    <s v="С ограничением по срокам "/>
    <d v="2024-03-22T00:00:00"/>
    <d v="2028-12-31T00:00:00"/>
    <s v="Д-82"/>
    <s v="Газодинамические исследования"/>
    <s v="Расходная часть"/>
    <s v="Рамочный"/>
    <s v="20%"/>
    <s v=""/>
    <s v=""/>
    <s v="2 703 360 437.35"/>
    <s v="2 252 800 364.46"/>
    <s v="450 560 072.89"/>
    <s v="нет"/>
    <s v="нет"/>
    <s v=""/>
    <s v=""/>
    <s v=""/>
    <s v=""/>
    <s v="да"/>
  </r>
  <r>
    <s v="Газпромнефть-ГЕО, ООО"/>
    <s v="0000041259"/>
    <s v="Зарегистрирован"/>
    <d v="2023-03-13T00:00:00"/>
    <s v=""/>
    <x v="142"/>
    <s v="7203159800"/>
    <s v="ГЕО-22/10968/00244/Р"/>
    <s v=""/>
    <s v="1"/>
    <s v="Нетиповой ДД"/>
    <x v="3"/>
    <s v=""/>
    <s v="00135-23"/>
    <s v=""/>
    <s v="Наряд-заказа № 1 к Договору №ГЕО-22/10968/00244/Р от 23.09.2022 г. с ООО «НИИ ЭиРИПР»"/>
    <s v="Выполнение работ по утилизации отходов бурения"/>
    <s v="Копылов Е.О."/>
    <s v=""/>
    <s v="Договорный документ"/>
    <s v="Отдел экологической безопасности"/>
    <s v="Михайлов Ю.А."/>
    <s v="ЭП"/>
    <s v="С ограничением по срокам "/>
    <d v="2023-03-13T00:00:00"/>
    <d v="2023-04-30T00:00:00"/>
    <s v="Д-2"/>
    <s v="Вывоз, транспортировка и размещение отходов производственной деятельности"/>
    <s v="Расходная часть"/>
    <s v="Стоимостной"/>
    <s v="20%"/>
    <s v=""/>
    <s v=""/>
    <s v="36 269 115.10"/>
    <s v="30 224 262.58"/>
    <s v="6 044 852.52"/>
    <s v="нет"/>
    <s v="нет"/>
    <s v=""/>
    <s v=""/>
    <s v=""/>
    <s v=""/>
    <s v="нет"/>
  </r>
  <r>
    <s v="Газпромнефть-ГЕО, ООО"/>
    <s v="0000092707"/>
    <s v="Зарегистрирован"/>
    <d v="2024-03-15T00:00:00"/>
    <s v=""/>
    <x v="126"/>
    <s v="7801159596"/>
    <s v=""/>
    <s v="ГЕО-24/26000/00056"/>
    <s v="ГЕО-24/26000/00056"/>
    <s v="Типовой ДД"/>
    <x v="1"/>
    <s v="26000 Соглашение о конфиденциальности с российским контрагентом"/>
    <s v="00135-24"/>
    <s v=""/>
    <s v="26000 Соглашение о конфиденциальности с российским контрагентом"/>
    <s v="Заключение СОКа для возможной передачи конфиденциальной информации в ходе заключения Агентского договора между двумя организациями."/>
    <s v="Коростелев И.С."/>
    <s v="Коростелев И.С."/>
    <s v="Договорный документ"/>
    <s v="Финансовое управление"/>
    <s v="Созинов С.А."/>
    <s v="ЭП"/>
    <s v="С ограничением по срокам "/>
    <d v="2024-03-15T00:00:00"/>
    <d v="2027-03-14T00:00:00"/>
    <s v="Д-60"/>
    <s v="Соглашение о конфиденциальности"/>
    <s v="Не предполагает взаиморасчетов"/>
    <s v=""/>
    <s v=""/>
    <s v=""/>
    <s v=""/>
    <s v=""/>
    <s v=""/>
    <s v=""/>
    <s v="нет"/>
    <s v="нет"/>
    <s v=""/>
    <s v=""/>
    <s v=""/>
    <s v=""/>
    <s v="нет"/>
  </r>
  <r>
    <s v="Газпромнефть-ГЕО, ООО"/>
    <s v="0000040495"/>
    <s v="Закрыт"/>
    <d v="2022-03-02T00:00:00"/>
    <s v=""/>
    <x v="167"/>
    <s v="0275009544"/>
    <s v="ГЕО-21/10110/00217/Р + ПР"/>
    <s v=""/>
    <s v="1"/>
    <s v="Нетиповой ДД"/>
    <x v="0"/>
    <s v=""/>
    <s v="00136-22"/>
    <s v=""/>
    <s v="ДС № 1 к договору ГЕО-21/10110/00217/Р"/>
    <s v="Заключение ДС № 1 к договору ГЕО-21/10110/00217/Р"/>
    <s v="Ахматгалиев С.З."/>
    <s v=""/>
    <s v="Договорный документ"/>
    <s v="Блок геологии и разработки"/>
    <s v="Аксенов М.А."/>
    <s v="На бумажном носителе"/>
    <s v="С ограничением по срокам "/>
    <d v="2022-03-02T00:00:00"/>
    <d v="2022-12-01T00:00:00"/>
    <s v=""/>
    <s v="Полевые сейсморазведочные работы 2Д, 3Д"/>
    <s v="Не предполагает взаиморасчетов"/>
    <s v="Стоимостной"/>
    <s v=""/>
    <s v=""/>
    <s v=""/>
    <s v=""/>
    <s v=""/>
    <s v=""/>
    <s v="нет"/>
    <s v="нет"/>
    <s v=""/>
    <s v=""/>
    <s v=""/>
    <s v=""/>
    <s v="нет"/>
  </r>
  <r>
    <s v="Газпромнефть-ГЕО, ООО"/>
    <s v="0000101243"/>
    <s v="Зарегистрирован"/>
    <d v="2023-03-20T00:00:00"/>
    <s v=""/>
    <x v="168"/>
    <s v="7708044880"/>
    <s v="ГЕО-21/10900/00249/Р"/>
    <s v=""/>
    <s v="3"/>
    <s v="Нетиповой ДД"/>
    <x v="0"/>
    <s v=""/>
    <s v="00136-23"/>
    <s v=""/>
    <s v="Дополнительное соглашение №3 к договору №ГЕО-21/10900/00249/Р от 08.11.2021 г."/>
    <s v="Частичный перевод негарантированного объема работ 2023 г. в гарантированный"/>
    <s v="Липатова О.И."/>
    <s v=""/>
    <s v="Договорный документ"/>
    <s v="Отдел экологической безопасности"/>
    <s v="Михайлов Ю.А."/>
    <s v="На бумажном носителе"/>
    <s v="С ограничением по срокам "/>
    <d v="2023-03-20T00:00:00"/>
    <d v="2023-12-31T00:00:00"/>
    <s v="Д-2"/>
    <s v="Договор возмездного оказания услуг"/>
    <s v="Расходная часть"/>
    <s v="Стоимостной"/>
    <s v="20%"/>
    <s v=""/>
    <s v=""/>
    <s v="713 839.31"/>
    <s v="594 866.09"/>
    <s v="118 973.22"/>
    <s v="нет"/>
    <s v="нет"/>
    <s v=""/>
    <s v=""/>
    <s v=""/>
    <s v=""/>
    <s v="нет"/>
  </r>
  <r>
    <s v="Газпромнефть-ГЕО, ООО"/>
    <s v="0000063984"/>
    <s v="Зарегистрирован"/>
    <d v="2024-03-19T00:00:00"/>
    <s v=""/>
    <x v="141"/>
    <s v="3808099451"/>
    <s v=""/>
    <s v="ГЕО-24/09000/00051/Р"/>
    <s v="ГЕО-24/09000/00051/Р"/>
    <s v="Нетиповой ДД"/>
    <x v="2"/>
    <s v=""/>
    <s v="00136-24"/>
    <s v=""/>
    <s v="ДД на оказание услуг по утилизации отходов бурения на лицензионных участках Восточной Сибири"/>
    <s v="Организация утилизации отходов бурения на лицензионных участках Восточной Сибири."/>
    <s v="Васильева А.И."/>
    <s v="Копылов Е.О."/>
    <s v="Договорный документ"/>
    <s v="Блок производственной безопасности"/>
    <s v="Михайлов Ю.А."/>
    <s v="ЭП"/>
    <s v="С ограничением по срокам "/>
    <d v="2024-03-25T00:00:00"/>
    <d v="2029-12-31T00:00:00"/>
    <s v="Д-2"/>
    <s v="Договор возмездного оказания услуг"/>
    <s v="Расходная часть"/>
    <s v="Рамочный"/>
    <s v="20%"/>
    <s v=""/>
    <s v=""/>
    <s v="1 257 950 483.78"/>
    <s v="1 048 292 069.82"/>
    <s v="209 658 413.96"/>
    <s v="нет"/>
    <s v="нет"/>
    <s v=""/>
    <s v=""/>
    <s v=""/>
    <s v=""/>
    <s v="да"/>
  </r>
  <r>
    <s v="Газпромнефть-ГЕО, ООО"/>
    <s v="0000027645"/>
    <s v="Зарегистрирован"/>
    <d v="2021-07-15T00:00:00"/>
    <s v=""/>
    <x v="80"/>
    <s v="5501072608"/>
    <s v="ГЕО-18/18000/00046/Р/ГСН-18/18000/01164/Д/НС-03.3"/>
    <s v=""/>
    <s v=" ДС №6  и ПР к ДС 6"/>
    <s v="Нетиповой ДД"/>
    <x v="0"/>
    <s v=""/>
    <s v="00137-21"/>
    <s v=""/>
    <s v="ДС №6 к ГЕО-18/18000/00046/Р/ГСН-18/18000/01164/Д/НС-03.3"/>
    <s v="С целью выполнения требования приказа ПАО &quot;Газпром нефть&quot; от 06.04.2021 №32-П по поставке МТР на условиях выборки товара со склада поставщика."/>
    <s v="Лесняк Н.А."/>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1-05-01T00:00:00"/>
    <s v=""/>
    <s v="Д-11"/>
    <s v="Агентский договор"/>
    <s v="Расходная часть"/>
    <s v="Агентский"/>
    <s v="иное"/>
    <s v=""/>
    <s v=""/>
    <n v="0"/>
    <n v="0"/>
    <n v="0"/>
    <s v="нет"/>
    <s v="нет"/>
    <s v=""/>
    <s v=""/>
    <s v=""/>
    <s v=""/>
    <s v="нет"/>
  </r>
  <r>
    <s v="Газпромнефть-ГЕО, ООО"/>
    <s v="0000088405"/>
    <s v="Зарегистрирован"/>
    <d v="2023-03-14T00:00:00"/>
    <s v=""/>
    <x v="169"/>
    <s v="6312086734"/>
    <s v="ГЕО-20/10838/00020/Р"/>
    <s v=""/>
    <s v="6"/>
    <s v="Нетиповой ДД"/>
    <x v="0"/>
    <s v=""/>
    <s v="00137-23"/>
    <s v=""/>
    <s v="Дополнительное соглашение к договору №ГЕО-20/10838/00020/Р от 01.02.2020 по перераспределение между гарант. и негарант. объёмами работ"/>
    <s v="Приведение негарантированного объема работ в гарантированный на 2023г. по проекту Оморинсчкий в связи с производственной необходимостью. "/>
    <s v="Забиров А.А."/>
    <s v="Забиров А.А."/>
    <s v="Договорный документ"/>
    <s v="Производственно-технологический департамент"/>
    <s v="Трифонов А.В."/>
    <s v="ЭП"/>
    <s v="С ограничением по срокам "/>
    <d v="2023-03-14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 776 346.20"/>
    <s v="1 480 288.50"/>
    <s v="296 057.70"/>
    <s v="нет"/>
    <s v="нет"/>
    <s v=""/>
    <s v=""/>
    <s v=""/>
    <s v=""/>
    <s v="нет"/>
  </r>
  <r>
    <s v="Газпромнефть-ГЕО, ООО"/>
    <s v="0000115183"/>
    <s v="Зарегистрирован"/>
    <d v="2024-03-20T00:00:00"/>
    <s v=""/>
    <x v="170"/>
    <s v="564802061920"/>
    <s v=""/>
    <s v="ГЕО-24/04300/00052/Р"/>
    <s v="ГЕО-24/04300/00052/Р"/>
    <s v="Типовой ДД"/>
    <x v="2"/>
    <s v="04300 Договор аренды земельных участков (под строительство)"/>
    <s v="00137-24"/>
    <s v=""/>
    <s v="04300 Договор аренды земельных участков (под строительство)"/>
    <s v="для строительства промышленных и иных объектов, в том числе (но не ограничиваясь) для размещения бурового оборудования при бурении разведочной скважины 342 Корнавар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4-03-26T00:00:00"/>
    <d v="2025-02-25T00:00:00"/>
    <s v="Д-82"/>
    <s v="Договор аренды недвижимости"/>
    <s v="Расходная часть"/>
    <s v="Стоимостной"/>
    <s v="13%"/>
    <s v=""/>
    <s v=""/>
    <s v="3 652 000.00"/>
    <s v="3 177 240.00"/>
    <s v="474 760.00"/>
    <s v="нет"/>
    <s v="нет"/>
    <s v=""/>
    <s v=""/>
    <s v=""/>
    <s v=""/>
    <s v="нет"/>
  </r>
  <r>
    <s v="Газпромнефть-ГЕО, ООО"/>
    <s v="0000096142"/>
    <s v="Закрыт"/>
    <d v="2021-05-12T00:00:00"/>
    <s v=""/>
    <x v="160"/>
    <s v="462001940602"/>
    <s v=""/>
    <s v="ГЕО-21/25000/00117/Р"/>
    <s v="ГЕО-21/25000/00117/Р"/>
    <s v="Нетиповой ДД"/>
    <x v="2"/>
    <s v=""/>
    <s v="00138-21"/>
    <s v=""/>
    <s v="Договор возмездного оказания услуг"/>
    <s v="Получение услуг по договору ГПХ"/>
    <s v="Ефременко А.А."/>
    <s v="Белов Л.К. - Подрядчик - Управление инвестиционного планирования"/>
    <s v="Договорный документ"/>
    <s v="Управление инвестиционного планирования"/>
    <s v="Масалкин Ю.В."/>
    <s v="На бумажном носителе"/>
    <s v="С ограничением по срокам "/>
    <d v="2021-05-12T00:00:00"/>
    <d v="2021-08-13T00:00:00"/>
    <s v=""/>
    <s v="Договор оказания услуг с физическим лицом"/>
    <s v="Расходная часть"/>
    <s v="Стоимостной"/>
    <s v="13%"/>
    <s v=""/>
    <s v=""/>
    <s v="240 000.00"/>
    <s v="208 800.00"/>
    <s v="31 200.00"/>
    <s v="нет"/>
    <s v="нет"/>
    <s v=""/>
    <s v=""/>
    <s v=""/>
    <s v=""/>
    <s v="нет"/>
  </r>
  <r>
    <s v="Газпромнефть-ГЕО, ООО"/>
    <s v="0000082130"/>
    <s v="Зарегистрирован"/>
    <d v="2022-02-24T00:00:00"/>
    <s v=""/>
    <x v="17"/>
    <s v="7203027949"/>
    <s v="№ГЕО-20/101109/00144/Р"/>
    <s v=""/>
    <s v="Заказ № 02/2022"/>
    <s v="Нетиповой ДД"/>
    <x v="3"/>
    <s v=""/>
    <s v="00138-22"/>
    <s v=""/>
    <s v="Услуги по исследованию состава и свойств пластовых флюидов скв.178 Лескинское ЛУ"/>
    <s v="Выполнение стандартного комплекса лабораторных исследований пластовых флюидов в соответствии с п.3 Геолого-технического задания (Приложение №1 к Договору № ГЕО -20/101109/00144/Р от 11.09.2020г.)._x000d__x000a_Химический состав и свойства пластовой воды_x000d__x000a_Подготовка технического отчета."/>
    <s v="Лобанов А.А."/>
    <s v=""/>
    <s v="Договорный документ"/>
    <s v="Управление по геологии"/>
    <s v="Аксенов М.А."/>
    <s v="На бумажном носителе"/>
    <s v="С ограничением по срокам "/>
    <d v="2022-02-24T00:00:00"/>
    <d v="2022-03-30T00:00:00"/>
    <s v="Д-54"/>
    <s v="Договор на выполнение НИР, ОКР и технологических работ"/>
    <s v="Расходная часть"/>
    <s v="Рамочный"/>
    <s v="20%"/>
    <s v=""/>
    <s v=""/>
    <s v="280 882.80"/>
    <s v="234 069.00"/>
    <s v="46 813.80"/>
    <s v="нет"/>
    <s v="нет"/>
    <s v=""/>
    <s v=""/>
    <s v=""/>
    <s v=""/>
    <s v="нет"/>
  </r>
  <r>
    <s v="Газпромнефть-ГЕО, ООО"/>
    <s v="0000040642"/>
    <s v="Зарегистрирован"/>
    <d v="2023-03-17T00:00:00"/>
    <s v=""/>
    <x v="4"/>
    <s v="7736035485"/>
    <s v="20 DR 077 / ГЕО-20/17000/00171Р  "/>
    <s v=""/>
    <s v="4"/>
    <s v="Нетиповой ДД"/>
    <x v="0"/>
    <s v=""/>
    <s v="00138-23"/>
    <s v=""/>
    <s v="Дополнительное соглашение №4 к Договору (Полису) страхования рисков при разведке и разработке месторождений № 20 DR 077 / ГЕО-20/17000/00171Р  "/>
    <s v="Внесение изменений в договор (Полис) страхования рисков при разведке и разработке месторождений "/>
    <s v="Шишова О.П."/>
    <s v="Шишова О.П."/>
    <s v="Договорный документ"/>
    <s v="Кластер &quot;Традиционные запасы&quot;"/>
    <s v="Николаев М.Н."/>
    <s v="На бумажном носителе"/>
    <s v="С ограничением по срокам "/>
    <d v="2022-03-01T00:00:00"/>
    <d v="2023-04-30T00:00:00"/>
    <s v=""/>
    <s v="Договор страхования"/>
    <s v="Расходная часть"/>
    <s v="Стоимостной"/>
    <s v="без НДС"/>
    <s v=""/>
    <s v=""/>
    <s v="13 762 417.92"/>
    <s v="13 762 417.92"/>
    <n v="0"/>
    <s v="нет"/>
    <s v="нет"/>
    <s v=""/>
    <s v=""/>
    <s v=""/>
    <s v=""/>
    <s v="нет"/>
  </r>
  <r>
    <s v="Газпромнефть-ГЕО, ООО"/>
    <s v="0000063984"/>
    <s v="Зарегистрирован"/>
    <d v="2024-03-26T00:00:00"/>
    <s v=""/>
    <x v="141"/>
    <s v="3808099451"/>
    <s v=""/>
    <s v="ГЕО-24/33200/00057"/>
    <s v="ГЕО-24/33200/00057"/>
    <s v="Типовой ДД"/>
    <x v="1"/>
    <s v="33200 Соглашение об электронном документообороте"/>
    <s v="00138-24"/>
    <s v=""/>
    <s v="33200 Соглашение об электронном документообороте"/>
    <s v="Организация электронного документооборота с контрагентом"/>
    <s v="Васильева А.И."/>
    <s v="Копылов Е.О."/>
    <s v="Договорный документ"/>
    <s v="Блок производственной безопасности"/>
    <s v="Трифонов А.В."/>
    <s v="ЭП"/>
    <s v="С ограничением по срокам "/>
    <d v="2024-03-26T00:00:00"/>
    <d v="2029-12-31T00:00:00"/>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регистрирован"/>
    <d v="2021-05-11T00:00:00"/>
    <s v=""/>
    <x v="162"/>
    <s v=""/>
    <s v=""/>
    <s v="ГЕО-21/00000/00119"/>
    <s v="ГЕО-21/00000/00119"/>
    <s v="Типовой ДД"/>
    <x v="1"/>
    <s v="00000 Соглашение об электронном документообороте"/>
    <s v="00139-21"/>
    <s v=""/>
    <s v="00000 Соглашение об электронном документообороте"/>
    <s v="Электронный документооборот первичных учетных документов"/>
    <s v="Цветков Д.В."/>
    <s v="Цветков Д.В."/>
    <s v="Договорный документ"/>
    <s v="Юридическая служба"/>
    <s v="Масалкин Ю.В."/>
    <s v="На бумажном носителе"/>
    <s v="С ограничением по срокам "/>
    <d v="2021-05-11T00:00:00"/>
    <d v="2021-12-31T00:00:00"/>
    <s v=""/>
    <s v="ПРОЧИЕ ДОГОВОРЫ"/>
    <s v="Не предполагает взаиморасчетов"/>
    <s v=""/>
    <s v=""/>
    <s v=""/>
    <s v=""/>
    <s v=""/>
    <s v=""/>
    <s v=""/>
    <s v="нет"/>
    <s v="нет"/>
    <s v=""/>
    <s v=""/>
    <s v=""/>
    <s v=""/>
    <s v="нет"/>
  </r>
  <r>
    <s v="Газпромнефть-ГЕО, ООО"/>
    <s v=""/>
    <s v="Закрыт"/>
    <d v="2022-02-01T00:00:00"/>
    <s v=""/>
    <x v="171"/>
    <s v=""/>
    <s v="ГЕО-21/00000/00196/Д"/>
    <s v=""/>
    <s v="1"/>
    <s v="Нетиповой ДД"/>
    <x v="0"/>
    <s v=""/>
    <s v="00139-22"/>
    <s v=""/>
    <s v="Дополнительное соглашение №1"/>
    <s v="Корректировка условий по договору"/>
    <s v="Андреева И.В."/>
    <s v="Любимов Е.В."/>
    <s v="Договорный документ"/>
    <s v="Управление экономического планирования и анализа"/>
    <s v="Аксенов М.А."/>
    <s v="На бумажном носителе"/>
    <s v="С ограничением по срокам "/>
    <d v="2022-02-01T00:00:00"/>
    <d v="2022-12-31T00:00:00"/>
    <s v=""/>
    <s v="Договор возмездного оказания услуг"/>
    <s v="Доходная часть"/>
    <s v="Стоимостной"/>
    <s v="20%"/>
    <s v=""/>
    <s v=""/>
    <s v="374 422 158.17"/>
    <s v="312 018 465.14"/>
    <s v="62 403 693.03"/>
    <s v="нет"/>
    <s v="нет"/>
    <s v=""/>
    <s v=""/>
    <s v=""/>
    <s v=""/>
    <s v="нет"/>
  </r>
  <r>
    <s v="Газпромнефть-ГЕО, ООО"/>
    <s v="0000048878"/>
    <s v="Зарегистрирован"/>
    <d v="2023-03-23T00:00:00"/>
    <s v=""/>
    <x v="29"/>
    <s v="1645019164"/>
    <s v="ГЕО-19/10111/00120/Р  "/>
    <s v=""/>
    <s v="9"/>
    <s v="Нетиповой ДД"/>
    <x v="0"/>
    <s v=""/>
    <s v="00139-23"/>
    <s v=""/>
    <s v="Дополнительное соглашение №9 к Договору № ГЕО-19/10111/00120/Р   от 15.05.2019"/>
    <s v="Перевод негарантированного объема  (235 кв.км.+5 скважин по Краснореченской площади) в гарантированный объем"/>
    <s v="Безруков А.А."/>
    <s v="Мурзин Р.Р."/>
    <s v="Договорный документ"/>
    <s v="Блок геологии и разработки"/>
    <s v="Аксенов М.А."/>
    <s v="ЭП"/>
    <s v="С ограничением по срокам "/>
    <d v="2023-03-23T00:00:00"/>
    <d v="2024-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3 731 060.00"/>
    <s v="11 442 550.00"/>
    <s v="2 288 510.00"/>
    <s v="нет"/>
    <s v="нет"/>
    <s v=""/>
    <s v=""/>
    <s v=""/>
    <s v=""/>
    <s v="нет"/>
  </r>
  <r>
    <s v="Газпромнефть-ГЕО, ООО"/>
    <s v="0000066687"/>
    <s v="Зарегистрирован"/>
    <d v="2024-04-01T00:00:00"/>
    <s v=""/>
    <x v="161"/>
    <s v="9909012867"/>
    <s v=""/>
    <s v="ГЕО-24/33100/00086"/>
    <s v="ГЕО-24/33100/00086"/>
    <s v="Типовой ДД"/>
    <x v="1"/>
    <s v="33100 Соглашение в области производственной безопасности"/>
    <s v="00139-24"/>
    <s v=""/>
    <s v="33100 Соглашение в области производственной безопасности с Компанией Шлюмберже Лоджелко Инк."/>
    <s v="Организация безопасности работ по Договору с Компанией Шлюмберже Лоджелко Инк."/>
    <s v="Васильева А.И."/>
    <s v="Бикташев Р.С."/>
    <s v="Договорный документ"/>
    <s v="Блок производственной безопасности"/>
    <s v="Михайлов Ю.А."/>
    <s v="На бумажном носителе"/>
    <s v="С ограничением по срокам "/>
    <d v="2024-04-01T00:00:00"/>
    <d v="2025-01-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39285"/>
    <s v="Закрыт"/>
    <d v="2021-06-10T00:00:00"/>
    <s v=""/>
    <x v="172"/>
    <s v="8905032469"/>
    <s v=""/>
    <s v="ГЕО-21/33000/00131"/>
    <s v="ГЕО-21/33000/00131"/>
    <s v="Нетиповой ДД"/>
    <x v="1"/>
    <s v=""/>
    <s v="00140-21"/>
    <s v=""/>
    <s v="Об использовании электронного документооборота"/>
    <s v="Использование электронного документооборота"/>
    <s v="Хисамутдинов С.И."/>
    <s v="Хисамутдинов"/>
    <s v="Договорный документ"/>
    <s v="Производственно-технологический департамент"/>
    <s v="Масалкин Ю.В."/>
    <s v="На бумажном носителе"/>
    <s v="До исполнения обязательств"/>
    <d v="2021-06-10T00:00:00"/>
    <s v=""/>
    <s v=""/>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100775"/>
    <s v="Закрыт"/>
    <d v="2022-03-03T00:00:00"/>
    <s v=""/>
    <x v="173"/>
    <s v="6312197040"/>
    <s v=""/>
    <s v="ГЕО-22/33200/00045"/>
    <s v="ГЕО-22/33200/00045"/>
    <s v="Типовой ДД"/>
    <x v="1"/>
    <s v="33200 Соглашение об электронном документообороте"/>
    <s v="00140-22"/>
    <s v=""/>
    <s v="33200 Соглашение об электронном документообороте"/>
    <s v="Переход на электронный документооборот"/>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2-03-03T00:00:00"/>
    <d v="2022-12-31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11433"/>
    <s v="Зарегистрирован"/>
    <d v="2023-03-15T00:00:00"/>
    <s v=""/>
    <x v="174"/>
    <s v="8604005359"/>
    <s v="ГЕО-21/11104/00291/Р"/>
    <s v=""/>
    <s v="2"/>
    <s v="Нетиповой ДД"/>
    <x v="0"/>
    <s v=""/>
    <s v="00140-23"/>
    <s v=""/>
    <s v="Дополнительное соглашение №2"/>
    <s v="Изменение летных тарифов на оказание услуг, перевод НГО в ГО."/>
    <s v="Бабиков Н.В."/>
    <s v="Бабиков Н.В."/>
    <s v="Договорный документ"/>
    <s v="Блок снабжения и закупок"/>
    <s v="Титов А.В."/>
    <s v="ЭП"/>
    <s v="До исполнения обязательств"/>
    <d v="2023-03-15T00:00:00"/>
    <s v=""/>
    <s v="Д-56"/>
    <s v="Авиационное обслуживание (вертолеты)"/>
    <s v="Расходная часть"/>
    <s v="Стоимостной"/>
    <s v="20%"/>
    <s v=""/>
    <s v="26206654.08"/>
    <s v="241 920 000.00"/>
    <s v="201 600 000.00"/>
    <s v="40 320 000.00"/>
    <s v="да"/>
    <s v="нет"/>
    <s v=""/>
    <s v=""/>
    <s v=""/>
    <s v=""/>
    <s v="нет"/>
  </r>
  <r>
    <s v="Газпромнефть-ГЕО, ООО"/>
    <s v="0000091163"/>
    <s v="Зарегистрирован"/>
    <d v="2024-03-25T00:00:00"/>
    <s v=""/>
    <x v="149"/>
    <s v="5001063958"/>
    <s v="ГЕО-21/11505/00195/Р"/>
    <s v=""/>
    <s v="8"/>
    <s v="Нетиповой ДД"/>
    <x v="3"/>
    <s v=""/>
    <s v="00140-24"/>
    <s v=""/>
    <s v="Наряд-заказ №8 к Договору №ГЕО-21/11505/00195/Р от «24» августа 2021г."/>
    <s v="Выполнение цифровой аэрофотосъемки (ЦАФС) и воздушно-лазерного сканирования (ВЛС) пилотируемым воздушным судном на территории Южно-Новопортовского ЛУ. Номер района по ТЗ - 4)"/>
    <s v="Хохлов А.А."/>
    <s v="Хохлов А.А."/>
    <s v="Договорный документ"/>
    <s v="Управление маркшейдерско-землеустроительных работ"/>
    <s v="Трифонов А.В."/>
    <s v="ЭП"/>
    <s v="С ограничением по срокам "/>
    <d v="2024-03-25T00:00:00"/>
    <d v="2024-08-29T00:00:00"/>
    <s v="Д-82"/>
    <s v="Аэрофотосъемка, космическая съемка. Создание ортофотопланов"/>
    <s v="Расходная часть"/>
    <s v="Рамочный"/>
    <s v="без НДС"/>
    <s v=""/>
    <s v=""/>
    <s v="18 846 334.00"/>
    <s v="18 846 334.00"/>
    <n v="0"/>
    <s v="нет"/>
    <s v="нет"/>
    <s v=""/>
    <s v=""/>
    <s v=""/>
    <s v=""/>
    <s v="нет"/>
  </r>
  <r>
    <s v="Газпромнефть-ГЕО, ООО"/>
    <s v="0000066514"/>
    <s v="Зарегистрирован"/>
    <d v="2021-05-12T00:00:00"/>
    <s v=""/>
    <x v="175"/>
    <s v="7725741143"/>
    <s v="ГЕО-21/11513/00019/Р"/>
    <s v=""/>
    <s v="Наряд-заказ № 1 к Договору № ГЕО-21/11513/00019/Р "/>
    <s v="Нетиповой ДД"/>
    <x v="3"/>
    <s v=""/>
    <s v="00141-21"/>
    <s v=""/>
    <s v="Наряд-заказ № 1 кк Договору № ГЕО-21/11513/00019/Р"/>
    <s v="Оформление разрешительной документации на земельные участки (части земельных участков) с кадастровыми номерами: 56:31:1308001:43; 56:31:1308001:45; 56:31:0000000:1162; 56:31:0000000:1472; 56:31:0610025:22"/>
    <s v="Титаева И.А."/>
    <s v="Титаева И.А. - Руководитель маркшейдерско-землеустроительных работ - Управление маркшейдерско-землеустроительных работ;"/>
    <s v="Договорный документ"/>
    <s v="Управление маркшейдерско-землеустроительных работ"/>
    <s v="Масалкин Ю.В."/>
    <s v="На бумажном носителе"/>
    <s v="С ограничением по срокам "/>
    <d v="2021-05-12T00:00:00"/>
    <d v="2021-12-31T00:00:00"/>
    <s v=""/>
    <s v="Выполнение комплекса топографо-геодезических, землеустроительных и лесоустроительных  работ "/>
    <s v="Расходная часть"/>
    <s v="Рамочный"/>
    <s v="0%"/>
    <s v=""/>
    <s v=""/>
    <s v="214 415.00"/>
    <s v="214 415.00"/>
    <n v="0"/>
    <s v="нет"/>
    <s v="нет"/>
    <s v=""/>
    <s v=""/>
    <s v=""/>
    <s v=""/>
    <s v="нет"/>
  </r>
  <r>
    <s v="Газпромнефть-ГЕО, ООО"/>
    <s v="0000045789"/>
    <s v="Зарегистрирован"/>
    <d v="2022-03-03T00:00:00"/>
    <s v=""/>
    <x v="16"/>
    <s v="7838395487"/>
    <s v="ГЕО-21/11708/00165/Р//НТЦ-21/09000/00768/Д "/>
    <s v=""/>
    <s v="НТЦ-03235-21Д-ГЕО"/>
    <s v="Нетиповой ДД"/>
    <x v="3"/>
    <s v=""/>
    <s v="00141-22"/>
    <s v=""/>
    <s v="Заключение НЗ по исследованию керна"/>
    <s v="Оказание услуг по продукту: «Сервис по контролю качества лабораторных исследований керна и флюидов»"/>
    <s v="Ябиров Р.З."/>
    <s v=""/>
    <s v="Договорный документ"/>
    <s v="Газпромнефть-ГЕО, ООО"/>
    <s v="Аксенов М.А."/>
    <s v="На бумажном носителе"/>
    <s v="С ограничением по срокам "/>
    <d v="2022-03-03T00:00:00"/>
    <d v="2022-12-30T00:00:00"/>
    <s v="Д-54"/>
    <s v="Договор на выполнение НИР, ОКР и технологических работ"/>
    <s v="Расходная часть"/>
    <s v="Рамочный"/>
    <s v="20%"/>
    <s v=""/>
    <s v=""/>
    <s v="8 145 642.00"/>
    <s v="6 788 035.00"/>
    <s v="1 357 607.00"/>
    <s v="нет"/>
    <s v="нет"/>
    <s v=""/>
    <s v=""/>
    <s v=""/>
    <s v=""/>
    <s v="нет"/>
  </r>
  <r>
    <s v="Газпромнефть-ГЕО, ООО"/>
    <s v="0000011433"/>
    <s v="Зарегистрирован"/>
    <d v="2023-03-15T00:00:00"/>
    <s v=""/>
    <x v="174"/>
    <s v="8604005359"/>
    <s v="ГЕО-21/11104/00292/Р"/>
    <s v=""/>
    <s v="5"/>
    <s v="Нетиповой ДД"/>
    <x v="0"/>
    <s v=""/>
    <s v="00141-23"/>
    <s v=""/>
    <s v="Дополнительное соглашение №5"/>
    <s v="Изменение летных тарифов на оказание услуг, без изменения общей стоимости договора."/>
    <s v="Бабиков Н.В."/>
    <s v="Бабиков Н.В."/>
    <s v="Договорный документ"/>
    <s v="Блок снабжения и закупок"/>
    <s v="Титов А.В."/>
    <s v="ЭП"/>
    <s v="До исполнения обязательств"/>
    <d v="2023-03-15T00:00:00"/>
    <s v=""/>
    <s v="Д-56"/>
    <s v="Авиационное обслуживание (вертолеты)"/>
    <s v="Не предполагает взаиморасчетов"/>
    <s v="Рамочный"/>
    <s v=""/>
    <s v=""/>
    <s v=""/>
    <s v=""/>
    <s v=""/>
    <s v=""/>
    <s v="нет"/>
    <s v="нет"/>
    <s v=""/>
    <s v=""/>
    <s v=""/>
    <s v=""/>
    <s v="нет"/>
  </r>
  <r>
    <s v="Газпромнефть-ГЕО, ООО"/>
    <s v=""/>
    <s v="Проект"/>
    <d v="2024-03-22T00:00:00"/>
    <s v=""/>
    <x v="58"/>
    <s v=""/>
    <s v=""/>
    <s v=""/>
    <s v="1"/>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41-24"/>
    <s v="ГЕО-22/10000/00313/"/>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Актуализация Перечня нарушений и штрафных санкций в области ПБ "/>
    <s v="Страдымов А.Г."/>
    <s v="Страдымов А.Г."/>
    <s v="Договорный документ"/>
    <s v="Блок корпоративной защиты"/>
    <s v="Созинов С.А."/>
    <s v="ЭП"/>
    <s v="До исполнения обязательств"/>
    <s v=""/>
    <s v=""/>
    <s v="Д-60"/>
    <s v=""/>
    <s v="Расходная часть"/>
    <s v="Стоимостной"/>
    <s v="20%"/>
    <s v=""/>
    <s v=""/>
    <s v="2 493 451.08"/>
    <s v="2 077 875.90"/>
    <s v="415 575.18"/>
    <s v="нет"/>
    <s v="нет"/>
    <s v=""/>
    <s v=""/>
    <s v=""/>
    <s v=""/>
    <s v="нет"/>
  </r>
  <r>
    <s v="Газпромнефть-ГЕО, ООО"/>
    <s v="0000060723"/>
    <s v="Зарегистрирован"/>
    <d v="2021-05-12T00:00:00"/>
    <s v=""/>
    <x v="49"/>
    <s v="3811088474"/>
    <s v="АНГ-19/11513/00007/Р"/>
    <s v=""/>
    <s v="ДС №1 "/>
    <s v="Нетиповой ДД"/>
    <x v="0"/>
    <s v=""/>
    <s v="00142-21"/>
    <s v=""/>
    <s v="ДС№1 к договору № АНГ-19/11513/00007/Р "/>
    <s v="1. Продление срока действия договора до 31.12.2024г_x000d__x000a_2. Изменение срока предоставления первичных учетных документов, в соответствии со сроками управленческой отчетности и закрытия, принятыми в 2021 г в ООО «ГПН-ГЕО», с возможностью предоставления универсального передаточного документа, в рамках перехода на электронный документооборот (ЭДО)._x000d__x000a_3. Изменение текущего порядка оплаты на порядок, применяемый для вновь заключенных договоров._x000d__x000a_4. Распределение общего объема работ на период 2019-2024 гг., без увеличения ориентировочного общего количества._x000d__x000a_"/>
    <s v="Титаева И.А."/>
    <s v="Титаева И.А. - Руководитель маркшейдерско-землеустроительных работ - Управление маркшейдерско-землеустроительных работ;"/>
    <s v="Договорный документ"/>
    <s v="Управление маркшейдерско-землеустроительных работ"/>
    <s v="Масалкин Ю.В."/>
    <s v="На бумажном носителе"/>
    <s v="С ограничением по срокам "/>
    <d v="2021-05-12T00:00:00"/>
    <d v="2024-12-31T00:00:00"/>
    <s v=""/>
    <s v="Выполнение комплекса топографо-геодезических, землеустроительных и лесоустроительных  работ "/>
    <s v="Не предполагает взаиморасчетов"/>
    <s v="Рамочный"/>
    <s v=""/>
    <s v=""/>
    <s v=""/>
    <s v=""/>
    <s v=""/>
    <s v=""/>
    <s v="нет"/>
    <s v="нет"/>
    <s v=""/>
    <s v=""/>
    <s v=""/>
    <s v=""/>
    <s v="нет"/>
  </r>
  <r>
    <s v="Газпромнефть-ГЕО, ООО"/>
    <s v="0000055382"/>
    <s v="Закрыт"/>
    <d v="2022-03-03T00:00:00"/>
    <s v=""/>
    <x v="176"/>
    <s v="7718554537"/>
    <s v=""/>
    <s v="ГЕО-22/33200/00054"/>
    <s v="ГЕО-22/33200/00054"/>
    <s v="Типовой ДД"/>
    <x v="1"/>
    <s v="33200 Соглашение об электронном документообороте"/>
    <s v="00142-22"/>
    <s v=""/>
    <s v="33200 Соглашение об электронном документообороте"/>
    <s v="Обмен электронными документами"/>
    <s v="Глухарева Ю.Б."/>
    <s v="Глухарева Ю.Б."/>
    <s v="Договорный документ"/>
    <s v="Блок корпоративной защиты"/>
    <s v="Созинов С.А."/>
    <s v="На бумажном носителе"/>
    <s v="Без сроков "/>
    <d v="2022-03-03T00:00:00"/>
    <s v=""/>
    <s v="Д-60"/>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11433"/>
    <s v="Зарегистрирован"/>
    <d v="2023-03-15T00:00:00"/>
    <s v=""/>
    <x v="174"/>
    <s v="8604005359"/>
    <s v="ГЕО-20/11104/00210/Р "/>
    <s v=""/>
    <s v="4"/>
    <s v="Нетиповой ДД"/>
    <x v="0"/>
    <s v=""/>
    <s v="00142-23"/>
    <s v=""/>
    <s v="Дополнительное соглашение №4"/>
    <s v="Изменение летных тарифов на оказание услуг, без изменения общей суммы договора"/>
    <s v="Бабиков Н.В."/>
    <s v="Бабиков Н.В."/>
    <s v="Договорный документ"/>
    <s v="Блок снабжения и закупок"/>
    <s v="Титов А.В."/>
    <s v="ЭП"/>
    <s v="До исполнения обязательств"/>
    <d v="2023-03-15T00:00:00"/>
    <s v=""/>
    <s v="Д-56"/>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85381"/>
    <s v="Зарегистрирован"/>
    <d v="2024-03-22T00:00:00"/>
    <s v=""/>
    <x v="43"/>
    <s v="7813216425"/>
    <s v="ГЕО-22/10000/00313/Р"/>
    <s v=""/>
    <s v="1"/>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42-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Внесение изменений в договоры в части актуализации перечня нарушений и штрафных санкций"/>
    <s v="Страдымов А.Г."/>
    <s v="Страдымов А.Г."/>
    <s v="Договорный документ"/>
    <s v="Блок корпоративной защиты"/>
    <s v="Созинов С.А."/>
    <s v="ЭП"/>
    <s v="С ограничением по срокам "/>
    <d v="2024-03-22T00:00:00"/>
    <d v="2025-12-31T00:00:00"/>
    <s v="Д-6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 493 451.08"/>
    <s v="2 077 875.90"/>
    <s v="415 575.18"/>
    <s v="нет"/>
    <s v="нет"/>
    <s v=""/>
    <s v=""/>
    <s v=""/>
    <s v=""/>
    <s v="нет"/>
  </r>
  <r>
    <s v="Газпромнефть-ГЕО, ООО"/>
    <s v="0000067067"/>
    <s v="Зарегистрирован"/>
    <d v="2023-03-17T00:00:00"/>
    <s v=""/>
    <x v="85"/>
    <s v="7816483740"/>
    <s v="ГЕО-19/09000/00303/Р"/>
    <s v=""/>
    <s v="7"/>
    <s v="Нетиповой ДД"/>
    <x v="0"/>
    <s v=""/>
    <s v="00143-23"/>
    <s v=""/>
    <s v="Дополнительное соглашение №7"/>
    <s v="Перераспределение негарантированных объемов в гарантированный объем в 2023г. для покрытия потребности новых ставок медицинского аналитика и доверенного врача"/>
    <s v="Автеньев М.В."/>
    <s v=""/>
    <s v="Договорный документ"/>
    <s v="Блок производственной безопасности"/>
    <s v="Ядрышников П.Н."/>
    <s v="На бумажном носителе"/>
    <s v="С ограничением по срокам "/>
    <d v="2023-03-17T00:00:00"/>
    <d v="2023-12-31T00:00:00"/>
    <s v="Д-51"/>
    <s v="Договор возмездного оказания услуг"/>
    <s v="Расходная часть"/>
    <s v="Стоимостной"/>
    <s v="20%"/>
    <s v=""/>
    <s v=""/>
    <s v="301 860 364.69"/>
    <s v="251 550 303.91"/>
    <s v="50 310 060.78"/>
    <s v="нет"/>
    <s v="нет"/>
    <s v=""/>
    <s v=""/>
    <s v=""/>
    <s v=""/>
    <s v="нет"/>
  </r>
  <r>
    <s v="Газпромнефть-ГЕО, ООО"/>
    <s v="0000048878"/>
    <s v="Зарегистрирован"/>
    <d v="2024-03-25T00:00:00"/>
    <s v=""/>
    <x v="29"/>
    <s v="1645019164"/>
    <s v="ГЕО-22/10000/00271/Р"/>
    <s v=""/>
    <s v="4"/>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43-24"/>
    <s v=""/>
    <s v="ДС №4 к Договору №ГЕО-22/10000/00271/Р от 10.10.2022 с ООО &quot;ТНГ-Групп&quot;"/>
    <s v="Актуализация перечня штрафов и штрафных санкций, раздела по мотивации, формы расчета мотивации и раздела УЭДК"/>
    <s v="Ушакова М.А."/>
    <s v=""/>
    <s v="Договорный документ"/>
    <s v="Блок геологии и разработки"/>
    <s v="Трифонов А.В."/>
    <s v="ЭП"/>
    <s v="С ограничением по срокам "/>
    <d v="2024-03-25T00:00:00"/>
    <d v="2026-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63984"/>
    <s v="Зарегистрирован"/>
    <d v="2021-05-12T00:00:00"/>
    <s v=""/>
    <x v="141"/>
    <s v="3808099451"/>
    <s v="№АНГ-18/10985/00282/Р от 29.12.2018"/>
    <s v=""/>
    <s v="Дополнительное соглашение № 4 к Договору № АНГ-18/10985/00282/Р от 29.12.2018 г."/>
    <s v="Нетиповой ДД"/>
    <x v="0"/>
    <s v=""/>
    <s v="00144-21"/>
    <s v="Соглашение от 11.02.20219 к АНГ-18/10985/00282/Р "/>
    <s v="Дополнительное соглашение № 4 к Договору № АНГ-18/10985/00282/Р от 29.12.2018 г."/>
    <s v="В целях исключения сверхлимитных платежей и соблюдения Законодательства РФ ООО «ГПН-ГЕО» необходимо произвести работы по утилизации отходов бурения в летний период 2021 г. образовавшиеся при строительстве скважин в 2020г._x000d__x000a_По графику производства работ мероприятия по утилизации отходов бурения на площадке 6И запланированы в летний период 2021г. _x000d__x000a_10985 «Утилизация отходов бурения и рекультивация нарушенных земель, занятых под шламовые амбары/шламонакопители» на 2019-2021гг._x000d__x000a_Проект «Чона»_x000d__x000a_"/>
    <s v="Калугина С.Б."/>
    <s v=""/>
    <s v="Договорный документ"/>
    <s v="Департамент капитального строительства"/>
    <s v="Шакирзянов Л.Н."/>
    <s v="На бумажном носителе"/>
    <s v="До исполнения обязательств"/>
    <d v="2021-05-12T00:00:00"/>
    <s v=""/>
    <s v="Д-18"/>
    <s v="Утилизация отходов бурения и рекультивация нарушенных земель, занятых под шламовые амбары/шламонакопители"/>
    <s v="Расходная часть"/>
    <s v="Стоимостной"/>
    <s v="20%"/>
    <s v=""/>
    <s v=""/>
    <n v="0"/>
    <n v="0"/>
    <s v="39 764 338.76"/>
    <s v="нет"/>
    <s v="нет"/>
    <s v=""/>
    <s v=""/>
    <s v=""/>
    <s v=""/>
    <s v="нет"/>
  </r>
  <r>
    <s v="Газпромнефть-ГЕО, ООО"/>
    <s v="0000040194"/>
    <s v="Закрыт"/>
    <d v="2022-01-17T00:00:00"/>
    <s v=""/>
    <x v="177"/>
    <s v="7017126251"/>
    <s v=""/>
    <s v="ГЕО-22/09000/00051/Д"/>
    <s v="ГЕО-22/09000/00051/Д"/>
    <s v="Нетиповой ДД"/>
    <x v="2"/>
    <s v=""/>
    <s v="00144-22"/>
    <s v=""/>
    <s v="Договор оказания услуг на Западно-Лугинецком ЛУ"/>
    <s v="Договор оказания услуг на Западно-Лугинецком ЛУ"/>
    <s v="Андреева И.В."/>
    <s v="Дакиров В.С"/>
    <s v="Договорный документ"/>
    <s v="Управление экономического планирования и анализа"/>
    <s v="Аксенов М.А."/>
    <s v="На бумажном носителе"/>
    <s v="С ограничением по срокам "/>
    <d v="2022-01-17T00:00:00"/>
    <d v="2023-12-31T00:00:00"/>
    <s v=""/>
    <s v="Договор возмездного оказания услуг"/>
    <s v="Доходная часть"/>
    <s v="Стоимостной"/>
    <s v="20%"/>
    <s v=""/>
    <s v=""/>
    <s v="16 800 000.00"/>
    <s v="14 000 000.00"/>
    <s v="2 800 000.00"/>
    <s v="нет"/>
    <s v="нет"/>
    <s v=""/>
    <s v=""/>
    <s v=""/>
    <s v=""/>
    <s v="нет"/>
  </r>
  <r>
    <s v="Газпромнефть-ГЕО, ООО"/>
    <s v="0000087378"/>
    <s v="Зарегистрирован"/>
    <d v="2023-03-13T00:00:00"/>
    <s v=""/>
    <x v="97"/>
    <s v="7204203139"/>
    <s v="НТЦ-19/07000/00599/Р "/>
    <s v=""/>
    <s v="3/23-297"/>
    <s v="Нетиповой ДД"/>
    <x v="3"/>
    <s v=""/>
    <s v="00144-23"/>
    <s v=""/>
    <s v="Заключение НЗ №3/23-297"/>
    <s v="Оценка влияния технологических жидкостей на фильтрационные характеристики образцов керна Приобского месторождения"/>
    <s v="Ябиров Р.З."/>
    <s v="Ябиров Р.З."/>
    <s v="Договорный документ"/>
    <s v="Блок геологии и разработки"/>
    <s v="Аксенов М.А."/>
    <s v="На бумажном носителе"/>
    <s v="С ограничением по срокам "/>
    <d v="2023-03-13T00:00:00"/>
    <d v="2023-04-25T00:00:00"/>
    <s v="Д-54"/>
    <s v="Договор на выполнение НИР, ОКР и технологических работ"/>
    <s v="Расходная часть"/>
    <s v="Рамочный"/>
    <s v="20%"/>
    <s v=""/>
    <s v=""/>
    <s v="4 729 078.48"/>
    <s v="3 940 898.73"/>
    <s v="788 179.75"/>
    <s v="нет"/>
    <s v="нет"/>
    <s v=""/>
    <s v=""/>
    <s v=""/>
    <s v=""/>
    <s v="нет"/>
  </r>
  <r>
    <s v="Газпромнефть-ГЕО, ООО"/>
    <s v="0000063984"/>
    <s v="Зарегистрирован"/>
    <d v="2024-03-26T00:00:00"/>
    <s v=""/>
    <x v="141"/>
    <s v="3808099451"/>
    <s v=""/>
    <s v="ГЕО-24/33100/00058"/>
    <s v="ГЕО-24/33100/00058"/>
    <s v="Типовой ДД"/>
    <x v="1"/>
    <s v="33100 Соглашение в области производственной безопасности"/>
    <s v="00144-24"/>
    <s v=""/>
    <s v="33100 Соглашение в области производственной безопасности"/>
    <s v="Организация безопасности работ по Договору  ООО &quot;ГТС&quot;"/>
    <s v="Васильева А.И."/>
    <s v="Копылов Е.О."/>
    <s v="Договорный документ"/>
    <s v="Блок производственной безопасности"/>
    <s v="Михайлов Ю.А."/>
    <s v="ЭП"/>
    <s v="С ограничением по срокам "/>
    <d v="2024-03-26T00:00:00"/>
    <d v="2029-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93917"/>
    <s v="Зарегистрирован"/>
    <d v="2021-04-30T00:00:00"/>
    <s v=""/>
    <x v="9"/>
    <s v="5609193118"/>
    <s v=" ГЕО-20/10986/00128/Р от 07.08.2020 г."/>
    <s v=""/>
    <s v="ДС №3 к ДОГОВОРУ № ГЕО-20/10986/00128/Р от 07.08.2020 г."/>
    <s v="Нетиповой ДД"/>
    <x v="0"/>
    <s v=""/>
    <s v="00145-21"/>
    <s v=""/>
    <s v="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s v="Перераспределение объёмов работ по годам (перенос гарантированного объёма Лескинского ЛУ 2020 года в гарантированный объём Лескинского ЛУ 2021 год в количестве 8 суток, весь не гарантированный объём Лескинского ЛУ 2020 года и Приволжского федерального округа Оренбургской области переносится в не гарантированный объём 2022 год Приволжского федерального округа Оренбургской области). "/>
    <s v="Цурак Ю.Д."/>
    <s v=""/>
    <s v="Договорный документ"/>
    <s v="Отдел по промышленной и пожарной безопасности"/>
    <s v="Масалкин Ю.В."/>
    <s v="На бумажном носителе"/>
    <s v="С ограничением по срокам "/>
    <d v="2021-04-28T00:00:00"/>
    <d v="2022-12-31T00:00:00"/>
    <s v=""/>
    <s v="Супервайзинг ПЭБ и ОТ"/>
    <s v="Расходная часть"/>
    <s v="Рамочный"/>
    <s v="20%"/>
    <s v=""/>
    <s v=""/>
    <n v="0.01"/>
    <n v="0.01"/>
    <n v="0"/>
    <s v="нет"/>
    <s v="нет"/>
    <s v=""/>
    <s v=""/>
    <s v=""/>
    <s v=""/>
    <s v="нет"/>
  </r>
  <r>
    <s v="Газпромнефть-ГЕО, ООО"/>
    <s v="0000067121"/>
    <s v="Зарегистрирован"/>
    <d v="2022-03-04T00:00:00"/>
    <s v=""/>
    <x v="62"/>
    <s v="7202171361"/>
    <s v="ХНТ-20/10110/967/Р/60/ГЕО-20/10110/00198/Р"/>
    <s v=""/>
    <s v="4"/>
    <s v="Нетиповой ДД"/>
    <x v="0"/>
    <s v=""/>
    <s v="00145-22"/>
    <s v=""/>
    <s v="ДОПОЛНИТЕЛЬНОЕ СОГЛАШЕНИЕ № 4 к Договору № ХНТ-20/10110/967/Р/60/ГЕО-20/10110/00198/Р от 06.10.2020 г. на выполнение работ по теме: «Проведение полевых сейсморазведочных работ МОГТ 3D с применением технологии «Зеленая сейсмика ©»"/>
    <s v="Выплата материальной мотивации по итогам 4 кв. 2021 г."/>
    <s v="Ахматгалиев С.З."/>
    <s v=""/>
    <s v="Договорный документ"/>
    <s v="Блок геологии и разработки"/>
    <s v="Аксенов М.А."/>
    <s v="На бумажном носителе"/>
    <s v="С ограничением по срокам "/>
    <d v="2022-03-04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 064 377.18"/>
    <s v="886 980.98"/>
    <s v="177 396.20"/>
    <s v="нет"/>
    <s v="нет"/>
    <s v=""/>
    <s v=""/>
    <s v=""/>
    <s v=""/>
    <s v="нет"/>
  </r>
  <r>
    <s v="Газпромнефть-ГЕО, ООО"/>
    <s v="0000058974"/>
    <s v="Зарегистрирован"/>
    <d v="2023-03-21T00:00:00"/>
    <s v=""/>
    <x v="178"/>
    <s v="8909001670"/>
    <s v="ГЕО-22/11518/00282/Р"/>
    <s v=""/>
    <s v="1"/>
    <s v="Нетиповой ДД"/>
    <x v="0"/>
    <s v=""/>
    <s v="00145-23"/>
    <s v=""/>
    <s v="Дополнительное соглашение № 1 к Соглашению № ГЕО-22/11518/00282/Р от 01.11.2022 г. о возмещении убытков при временном занятии земельных участков"/>
    <s v="внесение изменений в соответствии с обращением МОП Ярсалинское в соглашение, в части исключения предоставления актов выполненных работ и счетов на оплату "/>
    <s v="Титаева И.А."/>
    <s v="Титаева И.А."/>
    <s v="Договорный документ"/>
    <s v="Управление маркшейдерско-землеустроительных работ"/>
    <s v="Трифонов А.В."/>
    <s v="На бумажном носителе"/>
    <s v="До исполнения обязательств"/>
    <d v="2023-03-21T00:00:00"/>
    <s v=""/>
    <s v="Д-33"/>
    <s v="Расчет ущерба землепользователей (упущенной выгоды)"/>
    <s v="Не предполагает взаиморасчетов"/>
    <s v="Стоимостной"/>
    <s v=""/>
    <s v=""/>
    <s v=""/>
    <s v=""/>
    <s v=""/>
    <s v=""/>
    <s v="нет"/>
    <s v="нет"/>
    <s v=""/>
    <s v=""/>
    <s v=""/>
    <s v=""/>
    <s v="нет"/>
  </r>
  <r>
    <s v="Газпромнефть-ГЕО, ООО"/>
    <s v="0000067121"/>
    <s v="Зарегистрирован"/>
    <d v="2024-03-25T00:00:00"/>
    <s v=""/>
    <x v="62"/>
    <s v="7202171361"/>
    <s v="ГЕО-22/10000/00276/Р"/>
    <s v=""/>
    <s v="3"/>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45-24"/>
    <s v=""/>
    <s v="ДС 3 к к Договору № ГЕО-22/10000/00276/Р от 10.10.2022. "/>
    <s v="Актуализация перечня штрафов и штрафных санкций, раздела по мотивации, формы расчета мотивации и раздела УЭДК"/>
    <s v="Ушакова М.А."/>
    <s v=""/>
    <s v="Договорный документ"/>
    <s v="Блок геологии и разработки"/>
    <s v="Трифонов А.В."/>
    <s v="ЭП"/>
    <s v="С ограничением по срокам "/>
    <d v="2024-03-25T00:00:00"/>
    <d v="2026-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68974"/>
    <s v="Зарегистрирован"/>
    <d v="2022-03-04T00:00:00"/>
    <s v=""/>
    <x v="81"/>
    <s v="3808120671"/>
    <s v="№ ГЕО-21/09000/00250/Р"/>
    <s v=""/>
    <s v="1"/>
    <s v="Нетиповой ДД"/>
    <x v="0"/>
    <s v=""/>
    <s v="00146-22"/>
    <s v=""/>
    <s v="Дополнительное соглашение №1 к договору № ГЕО-21/09000/00250/Р от 08.11.2022г."/>
    <s v="Перераспределение негарантированного объема работ 2022г. в гарантированный объем работ 2022г., без изменения общей стоимости договора, гарантированными объемами становятся:_x000d__x000a_- специалист по организации пропускного режима (с местом постоянного нахождения в г. Новый-Уренгой на территории Ямальского муниципального района, Ямало – Ненецкого автономного округа, Тюменской области, Уральский федеральный округ), с предоставлением за счет Исполнителя рабочего места в офисном помещении, с необходимым для оказания услуг оборудованием (Приложение № 4 к Техническому заданию) в период с 01.04.2022г. по 31.12.2022г., итого 275 суток."/>
    <s v="Страдымов А.Г."/>
    <s v="Страдымов А.Г."/>
    <s v="Договорный документ"/>
    <s v="Блок корпоративной защиты"/>
    <s v="Масалкин Ю.В."/>
    <s v="На бумажном носителе"/>
    <s v="С ограничением по срокам "/>
    <d v="2022-04-01T00:00:00"/>
    <d v="2022-12-31T00:00:00"/>
    <s v=""/>
    <s v="Договор возмездного оказания услуг"/>
    <s v="Не предполагает взаиморасчетов"/>
    <s v=""/>
    <s v=""/>
    <s v=""/>
    <s v=""/>
    <s v=""/>
    <s v=""/>
    <s v=""/>
    <s v="нет"/>
    <s v="нет"/>
    <s v=""/>
    <s v=""/>
    <s v=""/>
    <s v=""/>
    <s v="нет"/>
  </r>
  <r>
    <s v="Газпромнефть-ГЕО, ООО"/>
    <s v="0000081360"/>
    <s v="Зарегистрирован"/>
    <d v="2023-03-16T00:00:00"/>
    <s v=""/>
    <x v="179"/>
    <s v="3905605417"/>
    <s v="ГЕО-22/09000/00093/Р"/>
    <s v=""/>
    <s v="1"/>
    <s v="Нетиповой ДД"/>
    <x v="0"/>
    <s v=""/>
    <s v="00146-23"/>
    <s v=""/>
    <s v="ДОПОЛНИТЕЛЬНОЕ СОГЛАШЕНИЕ 1  к Договору на оказание услуг № ГЕО-22/09000/00093/Р от 02.05.2022 г."/>
    <s v="Перераспределение негарантированного объема услуг 2023 г. в гарантированный объем 2023 г."/>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3-03-16T00:00:00"/>
    <s v=""/>
    <s v="Д-66"/>
    <s v="Договор возмездного оказания услуг"/>
    <s v="Расходная часть"/>
    <s v="Стоимостной"/>
    <s v="20%"/>
    <s v=""/>
    <s v=""/>
    <s v="40 772 000.81"/>
    <s v="33 976 667.34"/>
    <s v="6 795 333.47"/>
    <s v="нет"/>
    <s v="нет"/>
    <s v=""/>
    <s v=""/>
    <s v=""/>
    <s v=""/>
    <s v="нет"/>
  </r>
  <r>
    <s v="Газпромнефть-ГЕО, ООО"/>
    <s v="0000073438"/>
    <s v="Зарегистрирован"/>
    <d v="2024-03-21T00:00:00"/>
    <s v=""/>
    <x v="68"/>
    <s v="7720330291"/>
    <s v="ГЕО-21/08000/00296/Р"/>
    <s v=""/>
    <s v="11"/>
    <s v="Нетиповой ДД"/>
    <x v="0"/>
    <s v=""/>
    <s v="00146-24"/>
    <s v=""/>
    <s v="ДС №11 ВНИГНИ № ГЕО-21/08000/00296/Р от 28.12.2021"/>
    <s v="Перераспределение объемов из НГО в ГО."/>
    <s v="Мормышев А.А."/>
    <s v="Мустафин И.Р."/>
    <s v="Договорный документ"/>
    <s v="Блок геологии и разработки"/>
    <s v="Трифонов А.В."/>
    <s v="ЭП"/>
    <s v="До исполнения обязательств"/>
    <d v="2024-03-21T00:00:00"/>
    <s v=""/>
    <s v="Д-82"/>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39295"/>
    <s v="Зарегистрирован"/>
    <d v="2022-02-14T00:00:00"/>
    <s v=""/>
    <x v="90"/>
    <s v="8618006063"/>
    <s v=""/>
    <s v="СОР к Д ГЕО-19/10114/00309/Д"/>
    <s v="СОР к Д ГЕО-19/10114/00309/Д"/>
    <s v="Нетиповой ДД"/>
    <x v="1"/>
    <s v=""/>
    <s v="00147-22"/>
    <s v=""/>
    <s v="Соглашение о расторжении договора"/>
    <s v="Расторжение договора"/>
    <s v="Коротков С.П."/>
    <s v=""/>
    <s v="Договорный документ"/>
    <s v="Управление по разработке"/>
    <s v="Аксенов М.А."/>
    <s v="На бумажном носителе"/>
    <s v="Без сроков "/>
    <d v="2022-02-14T00:00:00"/>
    <s v=""/>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1903"/>
    <s v="Зарегистрирован"/>
    <d v="2023-03-15T00:00:00"/>
    <s v=""/>
    <x v="180"/>
    <s v="9909012867"/>
    <s v="ГЕО-21/10301/00261/Р"/>
    <s v=""/>
    <s v="4"/>
    <s v="Типовой ДД"/>
    <x v="0"/>
    <s v="00000 ДС на изменение реквизитов контрагента (адрес, счет)"/>
    <s v="00147-23"/>
    <s v=""/>
    <s v="00000 ДС на изменение реквизитов контрагента (адрес, счет)"/>
    <s v="Изменение реквизитов сторон"/>
    <s v="Мячина М.В."/>
    <s v="Мячина М.В."/>
    <s v="Договорный документ"/>
    <s v="Отдел подготовительных работ и экономического анализа"/>
    <s v="Трифонов А.В."/>
    <s v="На бумажном носителе"/>
    <s v="До исполнения обязательств"/>
    <d v="2023-03-15T00:00:00"/>
    <s v=""/>
    <s v="Д-33"/>
    <s v="Технологическое сопровождение (прокат) буровых долот"/>
    <s v="Не предполагает взаиморасчетов"/>
    <s v="Стоимостной"/>
    <s v=""/>
    <s v=""/>
    <s v=""/>
    <s v=""/>
    <s v=""/>
    <s v=""/>
    <s v="нет"/>
    <s v="нет"/>
    <s v=""/>
    <s v=""/>
    <s v=""/>
    <s v=""/>
    <s v="нет"/>
  </r>
  <r>
    <s v="Газпромнефть-ГЕО, ООО"/>
    <s v="0000049141"/>
    <s v="Зарегистрирован"/>
    <d v="2024-03-25T00:00:00"/>
    <s v=""/>
    <x v="181"/>
    <s v="7203215460"/>
    <s v="ГЕО-22/10000/00273/Р"/>
    <s v=""/>
    <s v="2"/>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47-24"/>
    <s v=""/>
    <s v="ДС 2 к к Договору № ГЕО-22/10000/00273/Р от 10.10.2022. "/>
    <s v="Актуализация перечня нарушений и штрафных санкций, раздела по мотивации, формы расчета мотивации и раздела УЭДК"/>
    <s v="Ушакова М.А."/>
    <s v=""/>
    <s v="Договорный документ"/>
    <s v="Блок геологии и разработки"/>
    <s v="Трифонов А.В."/>
    <s v="ЭП"/>
    <s v="С ограничением по срокам "/>
    <d v="2024-03-25T00:00:00"/>
    <d v="2026-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86733"/>
    <s v="Зарегистрирован"/>
    <d v="2021-05-20T00:00:00"/>
    <s v=""/>
    <x v="164"/>
    <s v="7203336545"/>
    <s v="ГЕО-20/10940/00117/Р"/>
    <s v=""/>
    <s v="Заказ 02"/>
    <s v="Нетиповой ДД"/>
    <x v="3"/>
    <s v=""/>
    <s v="00148-21"/>
    <s v=""/>
    <s v="Заказ № 02 к Договору № ГЕО-20/10940/00117/Р от 10.07.2020 г. "/>
    <s v="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в Сибирском федеральном округе (Иркутская обл., Игнялинский ЛУ)."/>
    <s v="Липатова О.И."/>
    <s v=""/>
    <s v="Договорный документ"/>
    <s v="Отдел экологической безопасности"/>
    <s v="Власов М.М."/>
    <s v="На бумажном носителе"/>
    <s v="С ограничением по срокам "/>
    <d v="2021-05-20T00:00:00"/>
    <d v="2021-12-31T00:00:00"/>
    <s v=""/>
    <s v="Супервайзерские услуги при осуществлении деятельности по утилизации и/или обезвреживанию отходов и (при необходимости) рекультивации земель, занятых под шламовые амбары/шламонакопители"/>
    <s v="Расходная часть"/>
    <s v="Рамочный"/>
    <s v="без НДС"/>
    <s v=""/>
    <s v=""/>
    <s v="1 182 062.25"/>
    <s v="1 182 062.25"/>
    <n v="0"/>
    <s v="нет"/>
    <s v="нет"/>
    <s v=""/>
    <s v=""/>
    <s v=""/>
    <s v=""/>
    <s v="нет"/>
  </r>
  <r>
    <s v="Газпромнефть-ГЕО, ООО"/>
    <s v="0000068695"/>
    <s v="Зарегистрирован"/>
    <d v="2023-02-10T00:00:00"/>
    <s v=""/>
    <x v="77"/>
    <s v="1106013435"/>
    <s v="ГЕО-23/10000/00035/Р"/>
    <s v=""/>
    <s v="+ПУР"/>
    <s v="Нетиповой ДД"/>
    <x v="11"/>
    <s v=""/>
    <s v="00148-23"/>
    <s v=""/>
    <s v="Протокол урегулирования разногласий с ООО &quot;БурСервис&quot;. Бур р-ры. №ГЕО-23/10000/00035/Р от 10.02.2023 "/>
    <s v="Протокол урегулирования разногласий к протоколу разногласий к Договору подряда по приготовлению и инженерному сопровождению буровых растворов №ГЕО-23/10000/00035/Р от 10.02.2023 года (далее - «Договор») подписанному с протоколом разногласий от 10.02.2023г._x000d__x000a_"/>
    <s v="Мормышев А.А."/>
    <s v="Дунаев Э.В."/>
    <s v="Договорный документ"/>
    <s v="Блок бурения и ВСР"/>
    <s v="Трифонов А.В."/>
    <s v="На бумажном носителе"/>
    <s v="С ограничением по срокам "/>
    <d v="2023-02-10T00:00:00"/>
    <d v="2025-03-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8974"/>
    <s v="Зарегистрирован"/>
    <d v="2024-03-25T00:00:00"/>
    <s v=""/>
    <x v="81"/>
    <s v="3808120671"/>
    <s v="ГЕО-22/09000/00287/Р"/>
    <s v=""/>
    <s v="5"/>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48-24"/>
    <s v=""/>
    <s v="ДС 5 к договору №ГЕО-22/09000/00287/Р от 03.11.2022 года "/>
    <s v="Внесение изменений в договор в части актуализации перечня нарушений и штрафных санкций в области ПБ"/>
    <s v="Страдымов А.Г."/>
    <s v="Страдымов А.Г."/>
    <s v="Договорный документ"/>
    <s v="Блок корпоративной защиты"/>
    <s v="Созинов С.А."/>
    <s v="ЭП"/>
    <s v="С ограничением по срокам "/>
    <d v="2024-03-25T00:00:00"/>
    <d v="2025-02-28T00:00:00"/>
    <s v="Д-60"/>
    <s v="Договор возмездного оказания услуг"/>
    <s v="Расходная часть"/>
    <s v="Стоимостной"/>
    <s v="без НДС"/>
    <s v=""/>
    <s v=""/>
    <s v="145 311 289.07"/>
    <s v="145 311 289.07"/>
    <n v="0"/>
    <s v="нет"/>
    <s v="нет"/>
    <s v=""/>
    <s v=""/>
    <s v=""/>
    <s v=""/>
    <s v="нет"/>
  </r>
  <r>
    <s v="Газпромнефть-ГЕО, ООО"/>
    <s v="0000027645"/>
    <s v="Зарегистрирован"/>
    <d v="2021-05-20T00:00:00"/>
    <s v=""/>
    <x v="80"/>
    <s v="5501072608"/>
    <s v="ГЕО-20/01000/00085/Р (ГСН-20/01000/00656/Д/НС-03.3) от 20.05.2020 г"/>
    <s v=""/>
    <s v="Приложение №8 к ГЕО -20/01000/00085/Р от 20.05.2020г."/>
    <s v="Нетиповой ДД"/>
    <x v="5"/>
    <s v=""/>
    <s v="00149-21"/>
    <s v="Приложение №7 (Спецификация)"/>
    <s v=" Приложение №8 к Договору поставки № ГЕО -20/01000/00085/Р от 20.05.2020г."/>
    <s v="Закуп (Поставка) СИЗ для перепродажи в ООО &quot;Газпромнефть-Аэробрянск&quot; в рамках операторского договора"/>
    <s v="Долгов Д.Г."/>
    <s v="Долгов Д.Г."/>
    <s v="Договорный документ"/>
    <s v="Блок по закупкам"/>
    <s v="Титов А.В."/>
    <s v="На бумажном носителе"/>
    <s v="До исполнения обязательств"/>
    <d v="2021-05-13T00:00:00"/>
    <s v=""/>
    <s v="Д-11"/>
    <s v="Договор поставки/купли продажи движимого имущества"/>
    <s v="Расходная часть"/>
    <s v="Стоимостной"/>
    <s v="иное"/>
    <s v="20,00"/>
    <s v=""/>
    <s v="327 986.78"/>
    <s v="273 322.28"/>
    <s v="54 664.50"/>
    <s v="нет"/>
    <s v="нет"/>
    <s v=""/>
    <s v=""/>
    <s v=""/>
    <s v=""/>
    <s v="нет"/>
  </r>
  <r>
    <s v="Газпромнефть-ГЕО, ООО"/>
    <s v="0000049141"/>
    <s v="Зарегистрирован"/>
    <d v="2022-03-05T00:00:00"/>
    <s v=""/>
    <x v="60"/>
    <s v="7203215460"/>
    <s v=""/>
    <s v="ГЕО-22/33100/00047"/>
    <s v="ГЕО-22/33100/00047"/>
    <s v="Типовой ДД"/>
    <x v="1"/>
    <s v="33100 Соглашение в области производственной безопасности"/>
    <s v="00149-22"/>
    <s v=""/>
    <s v="33100 Соглашение в области производственной безопасности"/>
    <s v="Заключение соглашения по ПБ"/>
    <s v="Ахматгалиев С.З."/>
    <s v=""/>
    <s v="Договорный документ"/>
    <s v="Блок геологии и разработки"/>
    <s v="Аксенов М.А."/>
    <s v="На бумажном носителе"/>
    <s v="До исполнения обязательств"/>
    <d v="2022-03-05T00:00:00"/>
    <s v=""/>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57750"/>
    <s v="Зарегистрирован"/>
    <d v="2023-03-29T00:00:00"/>
    <s v=""/>
    <x v="182"/>
    <s v="0814118403"/>
    <s v=""/>
    <s v="ГЕО-23/20000/00065/Д"/>
    <s v="ГЕО-23/20000/00065/Д"/>
    <s v="Типовой ДД"/>
    <x v="2"/>
    <s v="20000 Агентский договор на организацию вертолетных авиаперевозок"/>
    <s v="00149-23"/>
    <s v=""/>
    <s v="20000 Агентский договор на организацию вертолетных авиаперевозок АО «ССК»"/>
    <s v="Авиаперевозка персонала и груза КА"/>
    <s v="Титова Е.В."/>
    <s v="Титова Е.В."/>
    <s v="Договорный документ"/>
    <s v="Блок снабжения и закупок"/>
    <s v="Титов А.В."/>
    <s v="На бумажном носителе"/>
    <s v="С ограничением по срокам "/>
    <d v="2023-04-01T00:00:00"/>
    <d v="2023-12-31T00:00:00"/>
    <s v="Д-56"/>
    <s v="Агентский договор"/>
    <s v="Доходная часть"/>
    <s v="Агентский"/>
    <s v="20%"/>
    <s v=""/>
    <s v=""/>
    <s v="1 850 332.90"/>
    <s v="1 541 944.08"/>
    <s v="308 388.82"/>
    <s v="нет"/>
    <s v="нет"/>
    <s v=""/>
    <s v=""/>
    <s v=""/>
    <s v=""/>
    <s v="нет"/>
  </r>
  <r>
    <s v="Газпромнефть-ГЕО, ООО"/>
    <s v="0000062894"/>
    <s v="Зарегистрирован"/>
    <d v="2024-03-25T00:00:00"/>
    <s v=""/>
    <x v="47"/>
    <s v="7017253595"/>
    <s v="ГЕО-23/10150/00017/Р"/>
    <s v=""/>
    <s v="4"/>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49-24"/>
    <s v=""/>
    <s v="ДС №4 к Договору №ГЕО-23/10150/00017/Р от «10» января 2023 г. с ООО «ИЦ ГазИнформПласт»"/>
    <s v="Актуализация перечня нарушений и штрафных санкций, раздела по мотивации, формы расчета мотивации и раздела УЭДК"/>
    <s v="Ушакова М.А."/>
    <s v=""/>
    <s v="Договорный документ"/>
    <s v="Блок геологии и разработки"/>
    <s v="Трифонов А.В."/>
    <s v="ЭП"/>
    <s v="С ограничением по срокам "/>
    <d v="2024-03-25T00:00:00"/>
    <d v="2025-12-31T00:00:00"/>
    <s v="Д-82"/>
    <s v="Газодинамические исследования"/>
    <s v="Не предполагает взаиморасчетов"/>
    <s v="Рамочный"/>
    <s v=""/>
    <s v=""/>
    <s v=""/>
    <s v=""/>
    <s v=""/>
    <s v=""/>
    <s v="нет"/>
    <s v="нет"/>
    <s v=""/>
    <s v=""/>
    <s v=""/>
    <s v=""/>
    <s v="нет"/>
  </r>
  <r>
    <s v="Газпромнефть-ГЕО, ООО"/>
    <s v="0000039295"/>
    <s v="Обработка результатов согласования"/>
    <d v="2022-03-09T00:00:00"/>
    <s v=""/>
    <x v="90"/>
    <s v="8618006063"/>
    <s v="ГЕО-21/11708/00183/Д"/>
    <s v=""/>
    <s v=""/>
    <s v="Нетиповой ДД"/>
    <x v="0"/>
    <s v=""/>
    <s v="00150-22"/>
    <s v=""/>
    <s v="Дополнительное соглашение №1"/>
    <s v="Корректировка КП"/>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2-03-09T00:00:00"/>
    <d v="2023-12-31T00:00:00"/>
    <s v="Д-55"/>
    <s v="Договор возмездного оказания услуг"/>
    <s v="Доходная часть"/>
    <s v="Стоимостной"/>
    <s v="20%"/>
    <s v=""/>
    <s v=""/>
    <s v="239 271 746.03"/>
    <s v="199 393 121.69"/>
    <s v="39 878 624.34"/>
    <s v="нет"/>
    <s v="нет"/>
    <s v=""/>
    <s v=""/>
    <s v=""/>
    <s v=""/>
    <s v="нет"/>
  </r>
  <r>
    <s v="Газпромнефть-ГЕО, ООО"/>
    <s v="0000093917"/>
    <s v="Зарегистрирован"/>
    <d v="2023-02-28T00:00:00"/>
    <s v=""/>
    <x v="9"/>
    <s v="5609193118"/>
    <s v="ГЕО-23/09000/00041/Р"/>
    <s v=""/>
    <s v="3"/>
    <s v="Нетиповой ДД"/>
    <x v="3"/>
    <s v=""/>
    <s v="00150-23"/>
    <s v=""/>
    <s v="Наряд-Заказ № 3 к Договору с ООО &quot;Акбарыс&quot;"/>
    <s v="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Солнечном Лицензионном участке, скважина №341."/>
    <s v="Автеньев М.В."/>
    <s v="Хабибуллин Т.Ф."/>
    <s v="Договорный документ"/>
    <s v="Блок производственной безопасности"/>
    <s v="Михайлов Ю.А."/>
    <s v="На бумажном носителе"/>
    <s v="С ограничением по срокам "/>
    <d v="2023-02-01T00:00:00"/>
    <d v="2023-03-31T00:00:00"/>
    <s v="Д-2"/>
    <s v="Договор возмездного оказания услуг"/>
    <s v="Расходная часть"/>
    <s v="Стоимостной"/>
    <s v="20%"/>
    <s v=""/>
    <s v=""/>
    <s v="7 860 691.20"/>
    <s v="6 550 576.00"/>
    <s v="1 310 115.20"/>
    <s v="нет"/>
    <s v="нет"/>
    <s v=""/>
    <s v=""/>
    <s v=""/>
    <s v=""/>
    <s v="нет"/>
  </r>
  <r>
    <s v="Газпромнефть-ГЕО, ООО"/>
    <s v="0000073438"/>
    <s v="Зарегистрирован"/>
    <d v="2024-03-22T00:00:00"/>
    <s v=""/>
    <x v="68"/>
    <s v="7720330291"/>
    <s v="ГЕО-21/08000/00296/Р"/>
    <s v=""/>
    <s v="18"/>
    <s v="Нетиповой ДД"/>
    <x v="7"/>
    <s v=""/>
    <s v="00150-24"/>
    <s v=""/>
    <s v="Заявка №18 ВНИГНИ №ГЕО-21/08000/00296/Р от 28.12.2021"/>
    <s v="Подписка на актуализацию карт лицензирования и недропользования, анализ тенденций по фонду недр РФ, разработка рекомендаций на основании мониторинга лицензирования на углеводородное сырье по приоритетным для Компании участкам – 2 единицы._x000a_Геолого-экономическая оценка ресурсов участков, планируемых к лицензированию (оценка нераспределенного фонда): новые поисковые зоны, прирезки, фланги._x000a_Подготовка обоснований и сопровождение заявочной документации на внесение изменений в лицензии (прирезки, фланги, снятие рисков) – 2 единицы._x000a_Создание и актуализация банка данных по аукционам, конкурсам и перечням на ГИ, проводимых в РФ за последние 10 лет – 2 единицы."/>
    <s v="Мормышев А.А."/>
    <s v="Мустафин И.Р."/>
    <s v="Договорный документ"/>
    <s v="Блок геологии и разработки"/>
    <s v="Трифонов А.В."/>
    <s v="ЭП"/>
    <s v="До исполнения обязательств"/>
    <d v="2024-03-22T00:00:00"/>
    <s v=""/>
    <s v="Д-82"/>
    <s v="Договор на выполнение НИР, ОКР и технологических работ"/>
    <s v="Расходная часть"/>
    <s v="Стоимостной"/>
    <s v="20%"/>
    <s v=""/>
    <s v=""/>
    <s v="51 200 100.00"/>
    <s v="42 666 750.00"/>
    <s v="8 533 350.00"/>
    <s v="нет"/>
    <s v="нет"/>
    <s v=""/>
    <s v=""/>
    <s v=""/>
    <s v=""/>
    <s v="нет"/>
  </r>
  <r>
    <s v="Газпромнефть-ГЕО, ООО"/>
    <s v="0000093917"/>
    <s v="Зарегистрирован"/>
    <d v="2021-04-30T00:00:00"/>
    <s v=""/>
    <x v="9"/>
    <s v="5609193118"/>
    <s v=""/>
    <s v=""/>
    <s v="НЗ №4 к № ГЕО-20/10986/00128/Р от 07.08.2020 г."/>
    <s v="Нетиповой ДД"/>
    <x v="3"/>
    <s v=""/>
    <s v="00151-21"/>
    <s v=""/>
    <s v="НАРЯД-ЗАКАЗ НА ОКАЗАНИЕ УСЛУГ №4"/>
    <s v="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Лескинском ЛУ_x000d__x000a__x000d__x000a_"/>
    <s v="Цурак Ю.Д."/>
    <s v=""/>
    <s v="Договорный документ"/>
    <s v="Отдел по промышленной и пожарной безопасности"/>
    <s v="Масалкин Ю.В."/>
    <s v="На бумажном носителе"/>
    <s v="С ограничением по срокам "/>
    <d v="2021-05-01T00:00:00"/>
    <d v="2021-09-30T00:00:00"/>
    <s v=""/>
    <s v="Супервайзинг ПЭБ и ОТ"/>
    <s v="Расходная часть"/>
    <s v="Рамочный"/>
    <s v="20%"/>
    <s v=""/>
    <s v=""/>
    <s v="41 455 324.36"/>
    <s v="34 546 103.63"/>
    <s v="6 909 220.73"/>
    <s v="нет"/>
    <s v="нет"/>
    <s v=""/>
    <s v=""/>
    <s v=""/>
    <s v=""/>
    <s v="нет"/>
  </r>
  <r>
    <s v="Газпромнефть-ГЕО, ООО"/>
    <s v="0000000059"/>
    <s v="Закрыт"/>
    <d v="2022-03-09T00:00:00"/>
    <s v=""/>
    <x v="131"/>
    <s v="8905000428"/>
    <s v="ГЕО-21/09000/00048/Д"/>
    <s v=""/>
    <s v="1"/>
    <s v="Нетиповой ДД"/>
    <x v="4"/>
    <s v=""/>
    <s v="00151-22"/>
    <s v="2 "/>
    <s v="Дополнительное соглашение №1 к Заказу №2"/>
    <s v="Корректировка КП"/>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2-03-09T00:00:00"/>
    <d v="2023-01-31T00:00:00"/>
    <s v="Д-55"/>
    <s v="Договор возмездного оказания услуг"/>
    <s v="Доходная часть"/>
    <s v="Стоимостной"/>
    <s v="20%"/>
    <s v=""/>
    <s v=""/>
    <s v="185 675 852.56"/>
    <s v="154 729 877.13"/>
    <s v="30 945 975.43"/>
    <s v="нет"/>
    <s v="нет"/>
    <s v=""/>
    <s v=""/>
    <s v=""/>
    <s v=""/>
    <s v="нет"/>
  </r>
  <r>
    <s v="Газпромнефть-ГЕО, ООО"/>
    <s v="0000063179"/>
    <s v="Зарегистрирован"/>
    <d v="2023-03-23T00:00:00"/>
    <s v=""/>
    <x v="54"/>
    <s v="7727747172"/>
    <s v="ГЕО-20/10986/00138/Р"/>
    <s v=""/>
    <s v="33"/>
    <s v="Нетиповой ДД"/>
    <x v="8"/>
    <s v=""/>
    <s v="00151-23"/>
    <s v=""/>
    <s v="Задание № 33"/>
    <s v="Оказание супервайзерских услуг по контролю состояния ~ производственной безопасности на объектах ООО «ГПН-ГЕО»"/>
    <s v="Автеньев М.В."/>
    <s v="Фокин Е.В."/>
    <s v="Договорный документ"/>
    <s v="Блок производственной безопасности"/>
    <s v="Ядрышников П.Н."/>
    <s v="ЭП"/>
    <s v="С ограничением по срокам "/>
    <d v="2023-04-01T00:00:00"/>
    <d v="2023-04-30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 008 792.00"/>
    <s v="840 660.00"/>
    <s v="168 132.00"/>
    <s v="нет"/>
    <s v="нет"/>
    <s v=""/>
    <s v=""/>
    <s v=""/>
    <s v=""/>
    <s v="нет"/>
  </r>
  <r>
    <s v="Газпромнефть-ГЕО, ООО"/>
    <s v="0000068442"/>
    <s v="Зарегистрирован"/>
    <d v="2024-03-26T00:00:00"/>
    <s v=""/>
    <x v="92"/>
    <s v="5611027573"/>
    <s v="ГЕО-21/09000/00198/Р"/>
    <s v=""/>
    <s v="9"/>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51-24"/>
    <s v=""/>
    <s v="ДС 9 к к договору №ГЕО-21/09000/00198/Р от 06.09.2021 года "/>
    <s v="Актуализация перечня нарушений и штрафных санкций в области ПБ"/>
    <s v="Страдымов А.Г."/>
    <s v="Страдымов А.Г."/>
    <s v="Договорный документ"/>
    <s v="Блок корпоративной защиты"/>
    <s v="Созинов С.А."/>
    <s v="ЭП"/>
    <s v="С ограничением по срокам "/>
    <d v="2024-03-26T00:00:00"/>
    <d v="2024-05-15T00:00:00"/>
    <s v="Д-60"/>
    <s v="Договор возмездного оказания услуг"/>
    <s v="Расходная часть"/>
    <s v="Рамочный"/>
    <s v="без НДС"/>
    <s v=""/>
    <s v=""/>
    <s v="39 397 172.26"/>
    <s v="39 397 172.26"/>
    <n v="0"/>
    <s v="нет"/>
    <s v="нет"/>
    <s v=""/>
    <s v=""/>
    <s v=""/>
    <s v=""/>
    <s v="нет"/>
  </r>
  <r>
    <s v="Газпромнефть-ГЕО, ООО"/>
    <s v="0000045789"/>
    <s v="Зарегистрирован"/>
    <d v="2021-05-01T00:00:00"/>
    <s v=""/>
    <x v="16"/>
    <s v="7838395487"/>
    <s v="НТЦ-18/29000/01335/Д-ГЕО/ГЕО-19/10124/00001 "/>
    <s v=""/>
    <s v="НТЦ-20/09000/01526/Д-ГЕО"/>
    <s v="Нетиповой ДД"/>
    <x v="3"/>
    <s v=""/>
    <s v="00152-21"/>
    <s v=""/>
    <s v="Актуализация геологического строения и технологических показателей разработки для создания интегрированного нефтегазового концепта проекта «Чона»"/>
    <s v="Создание интегрированного нефтегазового концепта в рамках всего периметра проекта Чона. Аналитическое сопровождение производственной программы и камеральных работ (включая НИР) в 2021 г._x000d__x000a_"/>
    <s v="Ябиров Р.З."/>
    <s v="Ябиров Р.З."/>
    <s v="Договорный документ"/>
    <s v="Блок геологии и разработки"/>
    <s v="Аксенов М.А."/>
    <s v="На бумажном носителе"/>
    <s v="С ограничением по срокам "/>
    <d v="2021-05-01T00:00:00"/>
    <d v="2021-12-31T00:00:00"/>
    <s v="Д-3"/>
    <s v="НИОКР, НИР в области геологии и разработки месторождений"/>
    <s v="Расходная часть"/>
    <s v="Рамочный"/>
    <s v="20%"/>
    <s v=""/>
    <s v=""/>
    <s v="39 600 000.00"/>
    <s v="33 000 000.00"/>
    <s v="6 600 000.00"/>
    <s v="нет"/>
    <s v="нет"/>
    <s v=""/>
    <s v=""/>
    <s v=""/>
    <s v=""/>
    <s v="нет"/>
  </r>
  <r>
    <s v="Газпромнефть-ГЕО, ООО"/>
    <s v="0000049141"/>
    <s v="Зарегистрирован"/>
    <d v="2022-03-18T00:00:00"/>
    <s v=""/>
    <x v="60"/>
    <s v="7203215460"/>
    <s v=""/>
    <s v="ГЕО-22/10000/00057/Р"/>
    <s v="ГЕО-22/10000/00057/Р"/>
    <s v="Нетиповой ДД"/>
    <x v="2"/>
    <s v=""/>
    <s v="00152-22"/>
    <s v=""/>
    <s v="Полевые сейсморазведочные работы 2Д, 3Д (10110) на Воргенском, Западно-Чатылькинском ЛУ и прочих участках"/>
    <s v="Проведение полевых сейсморазведочных работ 2Д, 3Д (10110) на Воргенском, Западно-Чатылькинском ЛУ и прочих участках"/>
    <s v="Ахматгалиев С.З."/>
    <s v=""/>
    <s v="Договорный документ"/>
    <s v="Блок геологии и разработки"/>
    <s v="Аксенов М.А."/>
    <s v="На бумажном носителе"/>
    <s v="С ограничением по срокам "/>
    <d v="2022-03-18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 588 600 000.00"/>
    <s v="2 990 500 000.00"/>
    <s v="598 100 000.00"/>
    <s v="нет"/>
    <s v="нет"/>
    <s v=""/>
    <s v=""/>
    <s v=""/>
    <s v=""/>
    <s v="нет"/>
  </r>
  <r>
    <s v="Газпромнефть-ГЕО, ООО"/>
    <s v="0000068695"/>
    <s v="Зарегистрирован"/>
    <d v="2023-02-06T00:00:00"/>
    <s v=""/>
    <x v="77"/>
    <s v="1106013435"/>
    <s v="ГЕО-23/10000/00032/Р"/>
    <s v=""/>
    <s v="+ ПУР"/>
    <s v="Нетиповой ДД"/>
    <x v="11"/>
    <s v=""/>
    <s v="00152-23"/>
    <s v=""/>
    <s v="Протокол урегулирования разногласий с ООО &quot;БурСервис&quot;.  Цементаж. №ГЕО-23/10000/00032/Р от 06.02.2023 "/>
    <s v="Протокол урегулирования разногласий к протоколу разногласий к Договору на выполнение работ по цементированию обсадных колонн и хвостовиков, установке цементных мостов №ГЕО-23/10000/00032Р от 06.02.2023 года (далее - «Договор») подписанному с протоколом разногласий от 06.02.2023г._x000d__x000a_"/>
    <s v="Мормышев А.А."/>
    <s v=""/>
    <s v="Договорный документ"/>
    <s v="Блок бурения и ВСР"/>
    <s v="Трифонов А.В."/>
    <s v="На бумажном носителе"/>
    <s v="С ограничением по срокам "/>
    <d v="2023-02-06T00:00:00"/>
    <d v="2025-03-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0837"/>
    <s v="Зарегистрирован"/>
    <d v="2021-05-14T00:00:00"/>
    <s v=""/>
    <x v="183"/>
    <s v="3848000740"/>
    <s v="АНГ-17/10951/00138/Р"/>
    <s v=""/>
    <s v="ДС 2 "/>
    <s v="Нетиповой ДД"/>
    <x v="0"/>
    <s v=""/>
    <s v="00153-21"/>
    <s v="Соглашение к АНГ-17/10951/00138/Р"/>
    <s v="ДОПОЛНИТЕЛЬНОЕ СОГЛАШЕНИЕ № 2"/>
    <s v="Изменение реквизитов Исполнителя"/>
    <s v="Цурак Ю.Д."/>
    <s v=""/>
    <s v="Договорный документ"/>
    <s v="Отдел по промышленной и пожарной безопасности"/>
    <s v="Масалкин Ю.В."/>
    <s v="На бумажном носителе"/>
    <s v="С ограничением по срокам "/>
    <d v="2021-05-14T00:00:00"/>
    <d v="2021-12-31T00:00:00"/>
    <s v=""/>
    <s v="Профилактика и ликвидация аварийных разливов нефти (услуги аварийно-спасательного формирования)"/>
    <s v="Не предполагает взаиморасчетов"/>
    <s v=""/>
    <s v=""/>
    <s v=""/>
    <s v=""/>
    <s v=""/>
    <s v=""/>
    <s v=""/>
    <s v="нет"/>
    <s v="нет"/>
    <s v=""/>
    <s v=""/>
    <s v=""/>
    <s v=""/>
    <s v="нет"/>
  </r>
  <r>
    <s v="Газпромнефть-ГЕО, ООО"/>
    <s v=""/>
    <s v="Зарегистрирован"/>
    <d v="2022-03-14T00:00:00"/>
    <s v=""/>
    <x v="184"/>
    <s v=""/>
    <s v=""/>
    <s v="ГЕО-22/10000/00053/Р"/>
    <s v="ГЕО-22/10000/00053/Р"/>
    <s v="Типовой ДД"/>
    <x v="2"/>
    <s v="10319 Договор на оказание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
    <s v="00153-22"/>
    <s v=""/>
    <s v="10319 Договор на оказание услуг по телеметрическому и технологическому сопровождению при наклонно-направленном и горизонтальном бурении и технологическому сопровождению (прокату) буровых долот и забойных двигателей)"/>
    <s v="Договор на оказание услуг по ННБ на проекте &quot;Титан&quot;"/>
    <s v="Быков Н.В."/>
    <s v="Веселкин А.С."/>
    <s v="Договорный документ"/>
    <s v="Блок бурения и ВСР"/>
    <s v="Гаврилов С.В."/>
    <s v="На бумажном носителе"/>
    <s v="С ограничением по срокам "/>
    <d v="2022-03-14T00:00:00"/>
    <d v="2023-03-15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141207516.25"/>
    <s v="166 765 967.82"/>
    <s v="138 971 639.85"/>
    <s v="27 794 327.97"/>
    <s v="да"/>
    <s v="нет"/>
    <s v=""/>
    <s v=""/>
    <s v=""/>
    <s v=""/>
    <s v="нет"/>
  </r>
  <r>
    <s v="Газпромнефть-ГЕО, ООО"/>
    <s v="0000066314"/>
    <s v="Зарегистрирован"/>
    <d v="2023-03-23T00:00:00"/>
    <s v=""/>
    <x v="74"/>
    <s v="7202242358"/>
    <s v="АНГ-191151300010Р"/>
    <s v=""/>
    <s v="14"/>
    <s v="Нетиповой ДД"/>
    <x v="3"/>
    <s v=""/>
    <s v="00153-23"/>
    <s v=""/>
    <s v="НАРЯД-ЗАКАЗ № 14 к Договору № АНГ-191151300010Р от 18 февраля 2019"/>
    <s v="Выполнение комплекса землеустроительных и лесоустроительных работ для объекта: «Обустройство поисково-оценочных скважин Северо-Ямбургского лицензионного участка», в том числе:_x000d__x000a_1. На территории Надымского района:_x000d__x000a_1.1. Автозимник на площадку поисково-оценочной скважины № 1 Северо-Ямбургского ЛУ_x000d__x000a_1.2. Обустройство поисково-оценочной скважины № 2 Северо-Ямбургского ЛУ_x000d__x000a_1.3. Поисково-оценочная скважина № 2 Северо-Ямбургского ЛУ (0,36га) _x000d__x000a_1.4. Подъездная дорога к поисково-оценочной скважине № 2 Северо-Ямбургского ЛУ_x000d__x000a_2. На территории Тазовского района:_x000d__x000a_2.1. Обустройство поисково-оценочной скважины №3 Северо-Ямбургского ЛУ_x000d__x000a_2.2. Поисково-оценочная скважина № 3  Северо-Ямбургского ЛУ(0,36га)_x000d__x000a_2.3. Подъездная дорога к поисково-оценочной скважине № 3 Северо-Ямбургского ЛУ_x000d__x000a_2.4. Площадка базы подрядных организаций и размещения строительных материалов на ПК0 автозимника на площадку поисково-оценочной скважины № 1 Северо-Ямбургского ЛУ_x000d__x000a_"/>
    <s v="Расулов И.Ф."/>
    <s v=""/>
    <s v="Договорный документ"/>
    <s v="Управление маркшейдерско-землеустроительных работ"/>
    <s v="Трифонов А.В."/>
    <s v="ЭП"/>
    <s v="С ограничением по срокам "/>
    <d v="2023-03-21T00:00:00"/>
    <d v="2024-02-28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0%"/>
    <s v=""/>
    <s v=""/>
    <s v="2 542 047.18"/>
    <s v="2 542 047.18"/>
    <n v="0"/>
    <s v="нет"/>
    <s v="нет"/>
    <s v=""/>
    <s v=""/>
    <s v=""/>
    <s v=""/>
    <s v="нет"/>
  </r>
  <r>
    <s v="Газпромнефть-ГЕО, ООО"/>
    <s v="0000063179"/>
    <s v="Зарегистрирован"/>
    <d v="2024-03-25T00:00:00"/>
    <s v=""/>
    <x v="54"/>
    <s v="7727747172"/>
    <s v="ГЕО-20/10986/00138/Р от 10.08.2020г. "/>
    <s v=""/>
    <s v="1"/>
    <s v="Нетиповой ДД"/>
    <x v="4"/>
    <s v=""/>
    <s v="00153-24"/>
    <s v="45"/>
    <s v="Изменение №1 к Заданию № 45 к Договору № ГЕО-20/10986/00138/Р от 10.08.2020г."/>
    <s v="Услуги для ООО &quot;СПД&quot;._x000a_Место оказания Услуг: Уральский федеральный округ (ХМАО, Верхнесалымский ЛУ и Ваделыпского ЛУ)."/>
    <s v="Мормышев А.А."/>
    <s v="Фокин Е.В."/>
    <s v="Договорный документ"/>
    <s v="Блок производственной безопасности"/>
    <s v="Ядрышников П.Н."/>
    <s v="ЭП"/>
    <s v="До исполнения обязательств"/>
    <d v="2024-03-25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n v="0"/>
    <n v="0"/>
    <n v="0"/>
    <s v="нет"/>
    <s v="нет"/>
    <s v=""/>
    <s v=""/>
    <s v=""/>
    <s v=""/>
    <s v="нет"/>
  </r>
  <r>
    <s v="Газпромнефть-ГЕО, ООО"/>
    <s v=""/>
    <s v="Зарегистрирован"/>
    <d v="2021-05-21T00:00:00"/>
    <s v=""/>
    <x v="185"/>
    <s v=""/>
    <s v=""/>
    <s v="ГЕО-21/10924/00124/Р"/>
    <s v="ГЕО-21/10924/00124/Р"/>
    <s v="Типовой ДД"/>
    <x v="2"/>
    <s v="10924 ДОГОВОР (Рамочный) на выполнение работ по экологическому мониторингу месторождений"/>
    <s v="00154-21"/>
    <s v=""/>
    <s v="10924 ДОГОВОР (Рамочный) на выполнение работ по экологическому мониторингу месторождений"/>
    <s v="Выполнение работ по экологическому мониторингу месторождений"/>
    <s v="Ушакова М.А."/>
    <s v="Липатова Ольга Игоревна "/>
    <s v="Договорный документ"/>
    <s v="Блок производственной безопасности"/>
    <s v="Власов М.М."/>
    <s v="На бумажном носителе"/>
    <s v="С ограничением по срокам "/>
    <d v="2021-05-12T00:00:00"/>
    <d v="2024-12-31T00:00:00"/>
    <s v=""/>
    <s v="Экологический мониторинг месторождений"/>
    <s v="Расходная часть"/>
    <s v="Рамочный"/>
    <s v="без НДС"/>
    <s v=""/>
    <s v=""/>
    <s v="528 510 672.99"/>
    <s v="528 510 672.99"/>
    <n v="0"/>
    <s v="нет"/>
    <s v="нет"/>
    <s v=""/>
    <s v=""/>
    <s v=""/>
    <s v=""/>
    <s v="нет"/>
  </r>
  <r>
    <s v="Газпромнефть-ГЕО, ООО"/>
    <s v="0000008602"/>
    <s v="Закрыт"/>
    <d v="2022-05-01T00:00:00"/>
    <s v=""/>
    <x v="32"/>
    <s v="5504036333"/>
    <s v=""/>
    <s v="ГЕО-22/10000/00116/Д"/>
    <s v="ГЕО-22/10000/00116/Д"/>
    <s v="Нетиповой ДД"/>
    <x v="2"/>
    <s v=""/>
    <s v="00154-22"/>
    <s v=""/>
    <s v="Сопровождение и экспертиза решений по программе проектов ГРР на участках недр, расположенных в Карабашской зоне"/>
    <s v="Услуга по сопровождению и экспертизе решений по программе проектов ГРР на участках недр, расположенных в Карабашской зоне"/>
    <s v="Кошелева Ю.В."/>
    <s v="Кошелева Ю.В."/>
    <s v="Договорный документ"/>
    <s v="Управление экономического планирования и анализа"/>
    <s v="Шакирзянов Л.Н."/>
    <s v="На бумажном носителе"/>
    <s v="С ограничением по срокам "/>
    <d v="2022-01-01T00:00:00"/>
    <d v="2022-12-31T00:00:00"/>
    <s v="Д-5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22 740 000.00"/>
    <s v="18 950 000.00"/>
    <s v="3 790 000.00"/>
    <s v="нет"/>
    <s v="нет"/>
    <s v=""/>
    <s v=""/>
    <s v=""/>
    <s v=""/>
    <s v="нет"/>
  </r>
  <r>
    <s v="Газпромнефть-ГЕО, ООО"/>
    <s v="0000047295"/>
    <s v="Зарегистрирован"/>
    <d v="2023-03-15T00:00:00"/>
    <s v=""/>
    <x v="150"/>
    <s v="7708639661"/>
    <s v="ГЕО-22/10419/00039/Р"/>
    <s v=""/>
    <s v="4"/>
    <s v="Нетиповой ДД"/>
    <x v="0"/>
    <s v=""/>
    <s v="00154-23"/>
    <s v=""/>
    <s v="Дополнительное соглашение №4 к Договору № ГЕО-22/10419/00039/Р от 21.02.2022 г. "/>
    <s v="Перераспределение объема работ и стоимости по годам без изменения объема работ и стоимости по Договору "/>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3-03-15T00:00:00"/>
    <s v=""/>
    <s v="Д-33"/>
    <s v="Услуги  по свинчиванию и спуску труб и НКТ, включая оборудование, инженерную поддержку и инструменты. Запись и предоставлнение момента свинчивания в цифровом виде"/>
    <s v="Не предполагает взаиморасчетов"/>
    <s v="Стоимостной"/>
    <s v=""/>
    <s v=""/>
    <s v=""/>
    <s v=""/>
    <s v=""/>
    <s v=""/>
    <s v="нет"/>
    <s v="нет"/>
    <s v=""/>
    <s v=""/>
    <s v=""/>
    <s v=""/>
    <s v="нет"/>
  </r>
  <r>
    <s v="Газпромнефть-ГЕО, ООО"/>
    <s v="0000068974"/>
    <s v="Зарегистрирован"/>
    <d v="2024-03-26T00:00:00"/>
    <s v=""/>
    <x v="81"/>
    <s v="3808120671"/>
    <s v=""/>
    <s v="ГЕО-24/26000/00059"/>
    <s v="ГЕО-24/26000/00059"/>
    <s v="Типовой ДД"/>
    <x v="1"/>
    <s v="26000 Соглашение о конфиденциальности с российским контрагентом"/>
    <s v="00154-24"/>
    <s v=""/>
    <s v="26000 Соглашение о конфиденциальности с российским контрагентом"/>
    <s v="В рамках соблюдения режима коммерческой тайны"/>
    <s v="Аршинина М.Н."/>
    <s v="Аршинина М.Н."/>
    <s v="Договорный документ"/>
    <s v="Блок корпоративной защиты"/>
    <s v="Созинов С.А."/>
    <s v="ЭП"/>
    <s v="С ограничением по срокам "/>
    <d v="2024-03-26T00:00:00"/>
    <d v="2025-02-28T00:00:00"/>
    <s v="Д-60"/>
    <s v="Соглашение о конфиденциальности"/>
    <s v="Не предполагает взаиморасчетов"/>
    <s v=""/>
    <s v=""/>
    <s v=""/>
    <s v=""/>
    <s v=""/>
    <s v=""/>
    <s v=""/>
    <s v="нет"/>
    <s v="нет"/>
    <s v=""/>
    <s v=""/>
    <s v=""/>
    <s v=""/>
    <s v="нет"/>
  </r>
  <r>
    <s v="Газпромнефть-ГЕО, ООО"/>
    <s v="0000087804"/>
    <s v="Зарегистрирован"/>
    <d v="2022-03-01T00:00:00"/>
    <s v=""/>
    <x v="153"/>
    <s v="2634048800"/>
    <s v="№ ГЕО-19/11019/00140/Р "/>
    <s v=""/>
    <s v="2"/>
    <s v="Типовой ДД"/>
    <x v="4"/>
    <s v="11018, 11019, 11020, 11021, 11022  Наряд-заказ к Договору (рамочному) на выполнение  работ по услугам &quot;Капитальное строительство и ПИР&quot;"/>
    <s v="00155-22"/>
    <s v="№6"/>
    <s v="Изменение №2 к наряд-заказу №6"/>
    <s v="Дополнительные проектные работы на разработку конструкции скважины 1ПО С.Ямбургского ЛУ "/>
    <s v="Григоренко Е.А."/>
    <s v="Григоренко Е.А."/>
    <s v="Договорный документ"/>
    <s v="Управление проектно-изыскательских работ"/>
    <s v="Перфильев Д.А."/>
    <s v="На бумажном носителе"/>
    <s v="До исполнения обязательств"/>
    <d v="2022-03-01T00:00:00"/>
    <s v=""/>
    <s v="Д-61"/>
    <s v="Капитальное строительство и ПИР"/>
    <s v="Расходная часть"/>
    <s v="Рамочный"/>
    <s v="20%"/>
    <s v=""/>
    <s v=""/>
    <s v="1 721 635.00"/>
    <s v="1 434 695.83"/>
    <s v="286 939.17"/>
    <s v="нет"/>
    <s v="нет"/>
    <s v=""/>
    <s v=""/>
    <s v=""/>
    <s v=""/>
    <s v="нет"/>
  </r>
  <r>
    <s v="Газпромнефть-ГЕО, ООО"/>
    <s v="0000104605"/>
    <s v="Зарегистрирован"/>
    <d v="2023-03-31T00:00:00"/>
    <s v=""/>
    <x v="55"/>
    <s v="9705112341"/>
    <s v=""/>
    <s v="ГЕО-23/10000/00067/Р"/>
    <s v="ГЕО-23/10000/00067/Р"/>
    <s v="Нетиповой ДД"/>
    <x v="2"/>
    <s v=""/>
    <s v="00155-23"/>
    <s v=""/>
    <s v="Договор на 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Коваленко М.В."/>
    <s v="Дунаев Э.В."/>
    <s v="Договорный документ"/>
    <s v="Блок бурения и ВСР"/>
    <s v="Трифонов А.В."/>
    <s v="ЭП"/>
    <s v="До исполнения обязательств"/>
    <d v="2023-03-3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23944100"/>
    <s v="97 719 048.13"/>
    <s v="81 432 540.11"/>
    <s v="16 286 508.02"/>
    <s v="да"/>
    <s v="нет"/>
    <s v=""/>
    <s v=""/>
    <s v=""/>
    <s v=""/>
    <s v="нет"/>
  </r>
  <r>
    <s v="Газпромнефть-ГЕО, ООО"/>
    <s v="0000027645"/>
    <s v="Зарегистрирован"/>
    <d v="2021-05-17T00:00:00"/>
    <s v=""/>
    <x v="80"/>
    <s v="5501072608"/>
    <s v="ГЕО-21/20000/00032/Р"/>
    <s v=""/>
    <s v="Приложение 1.1 к ГЕО-21/20000/00032/Р"/>
    <s v="Нетиповой ДД"/>
    <x v="5"/>
    <s v=""/>
    <s v="00156-21"/>
    <s v=""/>
    <s v="Приложение N 1.1 к Агентскому договору   №ГЕО-21/20000/00032/Р от &quot;16&quot; марта 2021 г.                                                                                                                        "/>
    <s v="Передача на реализацию товаров (мебель)"/>
    <s v="Долгов Д.Г."/>
    <s v="Долгов Д.Г."/>
    <s v="Договорный документ"/>
    <s v="Блок по закупкам"/>
    <s v="Титов А.В."/>
    <s v="На бумажном носителе"/>
    <s v="До исполнения обязательств"/>
    <d v="2021-05-17T00:00:00"/>
    <s v=""/>
    <s v="Д-11"/>
    <s v="Агентский договор"/>
    <s v="Доходная часть"/>
    <s v="Агентский"/>
    <s v="20%"/>
    <s v=""/>
    <s v=""/>
    <s v="211 152.00"/>
    <s v="175 960.00"/>
    <s v="35 192.00"/>
    <s v="нет"/>
    <s v="нет"/>
    <s v=""/>
    <s v=""/>
    <s v=""/>
    <s v=""/>
    <s v="нет"/>
  </r>
  <r>
    <s v="Газпромнефть-ГЕО, ООО"/>
    <s v="0000057789"/>
    <s v="Зарегистрирован"/>
    <d v="2023-03-15T00:00:00"/>
    <s v=""/>
    <x v="186"/>
    <s v="6319065934"/>
    <s v="ГЕО-22/10000/00053/Р"/>
    <s v=""/>
    <s v="4"/>
    <s v="Нетиповой ДД"/>
    <x v="0"/>
    <s v=""/>
    <s v="00156-23"/>
    <s v=""/>
    <s v="Дополнительное соглашение №4 к Договору №ГЕО-22/10000/00053/Р от 14.03.2022 г."/>
    <s v="Продление срока оказания услуг и срока действия Договора по 30.06.2023г. без изменения общей стоимости и объема услуг по Договору"/>
    <s v="Мячина М.В."/>
    <s v="Раковица Д.К."/>
    <s v="Договорный документ"/>
    <s v="Отдел подготовительных работ и экономического анализа"/>
    <s v="Трифонов А.В."/>
    <s v="ЭП"/>
    <s v="До исполнения обязательств"/>
    <d v="2023-03-15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6687"/>
    <s v="Зарегистрирован"/>
    <d v="2024-04-01T00:00:00"/>
    <s v=""/>
    <x v="161"/>
    <s v="9909012867"/>
    <s v=""/>
    <s v="ГЕО-24/10000/00081/Р"/>
    <s v="ГЕО-24/10000/00081/Р"/>
    <s v="Нетиповой ДД"/>
    <x v="2"/>
    <s v=""/>
    <s v="00156-24"/>
    <s v=""/>
    <s v="10163 Договор на выполнение работ &quot;Испытание геологоразведочных скважин&quot; (Шлюмберже Лоджелко Инк)"/>
    <s v="Испытание геологоразведочных скважин на Оморинском ЛУ"/>
    <s v="Васильева А.И."/>
    <s v="Бикташев Р.С."/>
    <s v="Договорный документ"/>
    <s v="Блок главного инженера"/>
    <s v="Трифонов А.В."/>
    <s v="На бумажном носителе"/>
    <s v="С ограничением по срокам "/>
    <d v="2024-04-01T00:00:00"/>
    <d v="2025-01-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203016300"/>
    <s v="853 114 680.00"/>
    <s v="710 928 900.00"/>
    <s v="142 185 780.00"/>
    <s v="да"/>
    <s v="нет"/>
    <s v=""/>
    <s v=""/>
    <s v=""/>
    <s v=""/>
    <s v="нет"/>
  </r>
  <r>
    <s v="Газпромнефть-ГЕО, ООО"/>
    <s v="0000071795"/>
    <s v="Зарегистрирован"/>
    <d v="2022-09-15T00:00:00"/>
    <s v=""/>
    <x v="125"/>
    <s v="8913008090"/>
    <s v="№ГЕО-22/11029/00004/Р"/>
    <s v=""/>
    <s v="3"/>
    <s v="Нетиповой ДД"/>
    <x v="0"/>
    <s v=""/>
    <s v="00157-22"/>
    <s v=""/>
    <s v="Дополнительное соглашение №3 к Договору №ГЕО-22/11029/00004/Р от 10.01.2022"/>
    <s v="Изменение объемов работ"/>
    <s v="Крутова Е.С."/>
    <s v="Крутова Е.С."/>
    <s v="Договорный документ"/>
    <s v="Департамент капитального строительства"/>
    <s v="Волков Г.В."/>
    <s v="ЭП"/>
    <s v="До исполнения обязательств"/>
    <d v="2022-09-15T00:00:00"/>
    <s v=""/>
    <s v="Д-16"/>
    <s v="Капитальное строительство и ПИР"/>
    <s v="Расходная часть"/>
    <s v="Стоимостной"/>
    <s v="20%"/>
    <s v=""/>
    <s v=""/>
    <s v="508 508 340.00"/>
    <s v="423 756 950.00"/>
    <s v="84 751 390.00"/>
    <s v="нет"/>
    <s v="нет"/>
    <s v=""/>
    <s v=""/>
    <s v=""/>
    <s v=""/>
    <s v="нет"/>
  </r>
  <r>
    <s v="Газпромнефть-ГЕО, ООО"/>
    <s v="0000085689"/>
    <s v="Зарегистрирован"/>
    <d v="2024-03-28T00:00:00"/>
    <s v=""/>
    <x v="15"/>
    <s v="3808219470"/>
    <s v="ГЕО-23/10000/00223/Р"/>
    <s v=""/>
    <s v="2"/>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57-24"/>
    <s v=""/>
    <s v="ДС №2 к Договору № ГЕО-23/10000/00223/Р от 18.12.2023 г."/>
    <s v="Актуализация перечня нарушений и штрафных санкций, раздела по мотивации, формы расчета мотивации и раздела УЭДК"/>
    <s v="Ушакова М.А."/>
    <s v=""/>
    <s v="Договорный документ"/>
    <s v="Блок геологии и разработки"/>
    <s v="Аксенов М.А."/>
    <s v="ЭП"/>
    <s v="С ограничением по срокам "/>
    <d v="2024-03-28T00:00:00"/>
    <d v="2025-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3179"/>
    <s v="Зарегистрирован"/>
    <d v="2021-05-17T00:00:00"/>
    <s v=""/>
    <x v="54"/>
    <s v="7727747172"/>
    <s v="ГЕО-20/10986/00138/Р"/>
    <s v=""/>
    <s v="Задание № 7"/>
    <s v="Нетиповой ДД"/>
    <x v="3"/>
    <s v=""/>
    <s v="00158-21"/>
    <s v=""/>
    <s v="Задание № 7 на оказание СП услуг для проекта &quot;Южный Оренбург&quot;"/>
    <s v="Задание № 7 на оказание СП услуг для проекта &quot;Южный Оренбург&quot;"/>
    <s v="Рябикина М.А."/>
    <s v="Рябикина М.А. - Контрактный инженер по услугам капитального строительства - Управление закупок работ и услуг; "/>
    <s v="Договорный документ"/>
    <s v="Блок производственной безопасности"/>
    <s v="Масалкин Ю.В."/>
    <s v="На бумажном носителе"/>
    <s v="С ограничением по срокам "/>
    <d v="2021-10-01T00:00:00"/>
    <d v="2021-11-30T00:00:00"/>
    <s v=""/>
    <s v="Супервайзинг ПЭБ и ОТ"/>
    <s v="Расходная часть"/>
    <s v="Тарифный"/>
    <s v="20%"/>
    <s v=""/>
    <s v=""/>
    <s v="15 301 238.40"/>
    <s v="12 751 032.00"/>
    <s v="2 550 206.40"/>
    <s v="нет"/>
    <s v="нет"/>
    <s v=""/>
    <s v=""/>
    <s v=""/>
    <s v=""/>
    <s v="нет"/>
  </r>
  <r>
    <s v="Газпромнефть-ГЕО, ООО"/>
    <s v="0000008602"/>
    <s v="Зарегистрирован"/>
    <d v="2022-02-01T00:00:00"/>
    <s v=""/>
    <x v="32"/>
    <s v="5504036333"/>
    <s v="ГПН-14/12100/03171"/>
    <s v=""/>
    <s v="б/н"/>
    <s v="Нетиповой ДД"/>
    <x v="0"/>
    <s v=""/>
    <s v="00158-22"/>
    <s v=""/>
    <s v="ДС к Договору займа"/>
    <s v="Изменение условий выплаты процентов_x000d__x000a_"/>
    <s v="Чернявский Г.С."/>
    <s v=""/>
    <s v="Договорный документ"/>
    <s v="Финансовое управление"/>
    <s v="Ковтун М.А."/>
    <s v="На бумажном носителе"/>
    <s v="До исполнения обязательств"/>
    <d v="2022-02-01T00:00:00"/>
    <s v=""/>
    <s v="Д-62"/>
    <s v="Договор займа"/>
    <s v="Не предполагает взаиморасчетов"/>
    <s v=""/>
    <s v=""/>
    <s v=""/>
    <s v=""/>
    <s v=""/>
    <s v=""/>
    <s v=""/>
    <s v="нет"/>
    <s v="нет"/>
    <s v=""/>
    <s v=""/>
    <s v=""/>
    <s v=""/>
    <s v="нет"/>
  </r>
  <r>
    <s v="Газпромнефть-ГЕО, ООО"/>
    <s v=""/>
    <s v="Зарегистрирован"/>
    <d v="2023-01-10T00:00:00"/>
    <s v=""/>
    <x v="187"/>
    <s v=""/>
    <s v="ГЕО-23/10318/00010/Р"/>
    <s v=""/>
    <s v="+ ПУР"/>
    <s v="Нетиповой ДД"/>
    <x v="11"/>
    <s v=""/>
    <s v="00158-23"/>
    <s v=""/>
    <s v="ПР и Протокол урегулирования разногласий к Договору №ГЕО-23/10318/00010/Р от «10» января 2023 г."/>
    <s v="Урегулирование разногласий по договору "/>
    <s v="Ушакова М.А."/>
    <s v=""/>
    <s v="Договорный документ"/>
    <s v="Блок геологии и разработки"/>
    <s v="Аксенов М.А."/>
    <s v="На бумажном носителе"/>
    <s v="С ограничением по срокам "/>
    <d v="2023-01-10T00:00:00"/>
    <d v="2027-12-31T00:00:00"/>
    <s v=""/>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115654"/>
    <s v="Зарегистрирован"/>
    <d v="2024-04-08T00:00:00"/>
    <s v=""/>
    <x v="188"/>
    <s v="7813324847"/>
    <s v=""/>
    <s v="ГЕО-24/09100/00071/Р"/>
    <s v="ГЕО-24/09100/00071/Р"/>
    <s v="Нетиповой ДД"/>
    <x v="2"/>
    <s v=""/>
    <s v="00158-24"/>
    <s v=""/>
    <s v="Обучение по промышленной, пожарной,  экологической безопасности и охране труда с ООО &quot;Академика&quot;"/>
    <s v="Организация обучения персонала по промышленной, пожарной,  экологической безопасности и охране труда "/>
    <s v="Васильева А.И."/>
    <s v="Петушкова В.Е."/>
    <s v="Договорный документ"/>
    <s v="Блок производственной безопасности"/>
    <s v="Трифонов А.В."/>
    <s v="На бумажном носителе"/>
    <s v="С ограничением по срокам "/>
    <d v="2024-04-08T00:00:00"/>
    <d v="2025-12-31T00:00:00"/>
    <s v="Д-82"/>
    <s v="Договор на обучение (тренинги, семинары и проч.)"/>
    <s v="Расходная часть"/>
    <s v="Стоимостной"/>
    <s v="без НДС"/>
    <s v=""/>
    <s v=""/>
    <s v="3 222 328.00"/>
    <s v="3 222 328.00"/>
    <n v="0"/>
    <s v="нет"/>
    <s v="нет"/>
    <s v=""/>
    <s v=""/>
    <s v=""/>
    <s v=""/>
    <s v="нет"/>
  </r>
  <r>
    <s v="Газпромнефть-ГЕО, ООО"/>
    <s v="0000070392"/>
    <s v="Закрыт"/>
    <d v="2021-05-14T00:00:00"/>
    <s v=""/>
    <x v="154"/>
    <s v="7716180477"/>
    <s v=""/>
    <s v="ГЕО-21/09000/00129/Р"/>
    <s v="ГЕО-21/09000/00129/Р"/>
    <s v="Нетиповой ДД"/>
    <x v="2"/>
    <s v=""/>
    <s v="00159-21"/>
    <s v=""/>
    <s v="обучающе-контролирующая система «ОЛИМПОКС» "/>
    <s v="Возможность прохождения сотрудниками ДО учебных курсов"/>
    <s v="Разумовский М.В."/>
    <s v="Гаврилов А.Б."/>
    <s v="Договорный документ"/>
    <s v="Производственно-технологический департамент"/>
    <s v="Аксенов М.А."/>
    <s v="На бумажном носителе"/>
    <s v="С ограничением по срокам "/>
    <d v="2021-05-14T00:00:00"/>
    <d v="2022-05-13T00:00:00"/>
    <s v="Д-3"/>
    <s v="Договор возмездного оказания услуг"/>
    <s v="Расходная часть"/>
    <s v="Тарифный"/>
    <s v="без НДС"/>
    <s v=""/>
    <s v=""/>
    <s v="312 759.30"/>
    <s v="312 759.30"/>
    <n v="0"/>
    <s v="нет"/>
    <s v="нет"/>
    <s v=""/>
    <s v=""/>
    <s v=""/>
    <s v=""/>
    <s v="нет"/>
  </r>
  <r>
    <s v="Газпромнефть-ГЕО, ООО"/>
    <s v="0000063179"/>
    <s v="Зарегистрирован"/>
    <d v="2022-03-01T00:00:00"/>
    <s v=""/>
    <x v="54"/>
    <s v="7727747172"/>
    <s v="ГЕО-20/10986/00138/Р от 10.08.2020 г."/>
    <s v=""/>
    <s v="18"/>
    <s v="Нетиповой ДД"/>
    <x v="3"/>
    <s v=""/>
    <s v="00159-22"/>
    <s v=""/>
    <s v="ЗАДАНИЕ НА ОКАЗАНИЕ УСЛУГ № 18 к Договору № ГЕО-20/10986/00138/Р от 10.08.2020 г."/>
    <s v="Задание № 18 к Договору № ГЕО-20/10986/00138/Р от 10.08.2020г. с компанией ООО «ОГК» на оказание супервайзерских услуг по контролю состояния производственной безопасности (дале  - ПБ) в 2022 году на Лескинском ЛУ Проекта «Енисей»"/>
    <s v="Рябикина М.А."/>
    <s v="Подколзин А.С."/>
    <s v="Договорный документ"/>
    <s v="Блок производственной безопасности"/>
    <s v="Власов М.М."/>
    <s v="На бумажном носителе"/>
    <s v="С ограничением по срокам "/>
    <d v="2022-03-01T00:00:00"/>
    <d v="2022-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0 608 546.00"/>
    <s v="8 840 455.00"/>
    <s v="1 768 091.00"/>
    <s v="нет"/>
    <s v="нет"/>
    <s v=""/>
    <s v=""/>
    <s v=""/>
    <s v=""/>
    <s v="нет"/>
  </r>
  <r>
    <s v="Газпромнефть-ГЕО, ООО"/>
    <s v=""/>
    <s v="Зарегистрирован"/>
    <d v="2023-01-10T00:00:00"/>
    <s v=""/>
    <x v="187"/>
    <s v=""/>
    <s v="ГЕО-23/33100/00008"/>
    <s v=""/>
    <s v="1"/>
    <s v="Нетиповой ДД"/>
    <x v="11"/>
    <s v=""/>
    <s v="00159-23"/>
    <s v=""/>
    <s v="Протокол разногласий к Соглашению в области производственной безопасности № 23/33100/00008 от 10 января 2023 г."/>
    <s v="Урегулирование разногласий в связи с применением специальных условий к контрагенту АО «Бейкер Хьюз»"/>
    <s v="Ушакова М.А."/>
    <s v=""/>
    <s v="Договорный документ"/>
    <s v="Блок производственной безопасности"/>
    <s v="Михайлов Ю.А."/>
    <s v="На бумажном носителе"/>
    <s v="Без сроков "/>
    <d v="2023-01-1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37860"/>
    <s v="Зарегистрирован"/>
    <d v="2024-04-03T00:00:00"/>
    <d v="2024-05-08T00:00:00"/>
    <x v="20"/>
    <s v="7714024384"/>
    <s v="ГЕО-23/10318/00010/Р+ ПР + ПУР"/>
    <s v=""/>
    <s v="1"/>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59-24"/>
    <s v=""/>
    <s v="ДС №1 к Договору №ГЕО-23/10318/00010/Р от 10.01.2023 г. "/>
    <s v="Актуализация перечня нарушений и штрафных санкций, раздела по мотивации, формы расчета мотивации и раздела УЭДК"/>
    <s v="Ушакова М.А."/>
    <s v=""/>
    <s v="Договорный документ"/>
    <s v="Блок геологии и разработки"/>
    <s v="Трифонов А.В."/>
    <s v="ЭП"/>
    <s v="С ограничением по срокам "/>
    <d v="2024-04-03T00:00:00"/>
    <d v="2027-12-31T00:00:00"/>
    <s v="Д-82"/>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089597"/>
    <s v="Закрыт"/>
    <d v="2021-05-20T00:00:00"/>
    <s v=""/>
    <x v="155"/>
    <s v="7811455562"/>
    <s v=""/>
    <s v="ГЕО-21/10001/00127/Р"/>
    <s v="ГЕО-21/10001/00127/Р"/>
    <s v="Типовой ДД"/>
    <x v="2"/>
    <s v="10001 Договор хранения имущества (ТМЦ)"/>
    <s v="00160-21"/>
    <s v=""/>
    <s v="10001 Договор хранения имущества (ТМЦ)"/>
    <s v="В целях обеспечения эффективности процесса закупки услуги хранения, приемки, выдачи специальной одежды, специальной обуви, смывающих, обезвреживающих средств и других средств индивидуальной защиты работникам ООО «ГПН-ГЕО»"/>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1-05-20T00:00:00"/>
    <d v="2022-05-31T00:00:00"/>
    <s v=""/>
    <s v="Услуги складской и транспортной логистики. (Оказываемые услуги для ДО БРД)"/>
    <s v="Расходная часть"/>
    <s v="Стоимостной"/>
    <s v="20%"/>
    <s v=""/>
    <s v=""/>
    <s v="495 588.12"/>
    <s v="412 990.10"/>
    <s v="82 598.02"/>
    <s v="нет"/>
    <s v="нет"/>
    <s v=""/>
    <s v=""/>
    <s v=""/>
    <s v=""/>
    <s v="нет"/>
  </r>
  <r>
    <s v="Газпромнефть-ГЕО, ООО"/>
    <s v="0000045789"/>
    <s v="Зарегистрирован"/>
    <d v="2022-03-11T00:00:00"/>
    <s v=""/>
    <x v="16"/>
    <s v="7838395487"/>
    <s v="ГЕО-21/11708/00165/Р"/>
    <s v=""/>
    <s v="НТЦ-02897-21Д-ГЕО"/>
    <s v="Нетиповой ДД"/>
    <x v="3"/>
    <s v=""/>
    <s v="00160-22"/>
    <s v=""/>
    <s v="Заказ на оказание услуг по теме: Программа развития компетенций/потенциала, Технический ашуранс и Техническая политика"/>
    <s v="Оказание услуг по продуктам центра компетенций по технологиям строительства и ремонта скважин: «Программа развития компетенций/потенциала, Технический ашуранс и Техническая политика на месторождениях ООО «ГПН-ГЕО»_x000d__x000a_"/>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3-11T00:00:00"/>
    <d v="2022-12-31T00:00:00"/>
    <s v="Д-58"/>
    <s v="Договор на выполнение НИР, ОКР и технологических работ"/>
    <s v="Расходная часть"/>
    <s v="Стоимостной"/>
    <s v="20%"/>
    <s v=""/>
    <s v=""/>
    <s v="26 380 154.40"/>
    <s v="21 983 462.00"/>
    <s v="4 396 692.40"/>
    <s v="нет"/>
    <s v="нет"/>
    <s v=""/>
    <s v=""/>
    <s v=""/>
    <s v=""/>
    <s v="нет"/>
  </r>
  <r>
    <s v="Газпромнефть-ГЕО, ООО"/>
    <s v="0000019598"/>
    <s v="Зарегистрирован"/>
    <d v="2023-03-15T00:00:00"/>
    <s v=""/>
    <x v="63"/>
    <s v="9909012867"/>
    <s v="ГЕО-22/10000/00048/Р"/>
    <s v=""/>
    <s v="4"/>
    <s v="Нетиповой ДД"/>
    <x v="0"/>
    <s v=""/>
    <s v="00160-23"/>
    <s v=""/>
    <s v="ДС №4 к Договору № ГЕО-22/10000/00048/P от 28.02.2022 г. на оказание услуг по предоставлению оборудования и инженерному сопровождению при спуске и креплении "/>
    <s v="Продление срока действия договора"/>
    <s v="Яшкина К.Л."/>
    <s v="Веселкин А.С."/>
    <s v="Договорный документ"/>
    <s v="Блок бурения и ВСР"/>
    <s v="Трифонов А.В."/>
    <s v="На бумажном носителе"/>
    <s v="С ограничением по срокам "/>
    <d v="2023-03-15T00:00:00"/>
    <d v="2023-06-30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5789"/>
    <s v="Зарегистрирован"/>
    <d v="2021-05-18T00:00:00"/>
    <s v=""/>
    <x v="16"/>
    <s v="7838395487"/>
    <s v="НТЦ-18/29000/01335/Д-ГЕО/ГЕО-19/10124/00001 "/>
    <s v=""/>
    <s v="ДС 1 к Заказу НТЦ-21/09000/00177/Д-ГЕО "/>
    <s v="Нетиповой ДД"/>
    <x v="0"/>
    <s v=""/>
    <s v="00161-21"/>
    <s v="НТЦ-21/09000/00177/Д-ГЕО "/>
    <s v="ДС 1 к Заказу НТЦ-21/09000/00177/Д-ГЕО к ГЕО-19/10124/00001"/>
    <s v="перенос сроков закрытия Этапа №2 «Сейсмическая корреляция. Структурная интерпретация. Интерпретация данных ГИС по историческим ПФМ» с 30 апреля 2021г на 31 мая 2021г в связи с поздним заключением Субподрядного Договора "/>
    <s v="Ябиров Р.З."/>
    <s v=""/>
    <s v="Договорный документ"/>
    <s v="Блок геологии и разработки"/>
    <s v="Аксенов М.А."/>
    <s v="На бумажном носителе"/>
    <s v="С ограничением по срокам "/>
    <d v="2021-05-18T00:00:00"/>
    <d v="2021-12-31T00:00:00"/>
    <s v="Д-3"/>
    <s v="НИОКР, НИР в области геологии и разработки месторождений"/>
    <s v="Расходная часть"/>
    <s v="Рамочный"/>
    <s v="20%"/>
    <s v=""/>
    <s v=""/>
    <s v="215 999 971.20"/>
    <s v="179 999 976.00"/>
    <s v="35 999 995.20"/>
    <s v="нет"/>
    <s v="нет"/>
    <s v=""/>
    <s v=""/>
    <s v=""/>
    <s v=""/>
    <s v="нет"/>
  </r>
  <r>
    <s v="Газпромнефть-ГЕО, ООО"/>
    <s v="0000037860"/>
    <s v="Зарегистрирован"/>
    <d v="2022-03-10T00:00:00"/>
    <s v=""/>
    <x v="189"/>
    <s v="7714024384"/>
    <s v="ГЕО-21/10318/00258/Р"/>
    <s v=""/>
    <s v="1"/>
    <s v="Нетиповой ДД"/>
    <x v="3"/>
    <s v=""/>
    <s v="00161-22"/>
    <s v=""/>
    <s v="НАРЯД-ЗАКАЗ №1 к Договору № ГЕО-21/10318/00258/Р от «08» ноября 2021 г."/>
    <s v="Выполнение работ по отбору керна на скважине №341 Солнечного ЛУ"/>
    <s v="Мячина М.В."/>
    <s v=""/>
    <s v="Договорный документ"/>
    <s v="Отдел подготовительных работ и экономического анализа"/>
    <s v="Гаврилов С.В."/>
    <s v="На бумажном носителе"/>
    <s v="С ограничением по срокам "/>
    <d v="2022-03-24T00:00:00"/>
    <d v="2022-06-30T00:00:00"/>
    <s v="Д-58"/>
    <s v="Отбор керна при бурении и реконструкции скважин"/>
    <s v="Расходная часть"/>
    <s v="Рамочный"/>
    <s v="20%"/>
    <s v=""/>
    <s v=""/>
    <s v="4 761 548.04"/>
    <s v="3 967 956.70"/>
    <s v="793 591.34"/>
    <s v="нет"/>
    <s v="нет"/>
    <s v=""/>
    <s v=""/>
    <s v=""/>
    <s v=""/>
    <s v="нет"/>
  </r>
  <r>
    <s v="Газпромнефть-ГЕО, ООО"/>
    <s v=""/>
    <s v="Зарегистрирован"/>
    <d v="2023-03-14T00:00:00"/>
    <s v=""/>
    <x v="6"/>
    <s v=""/>
    <s v=""/>
    <s v="ГЕО-23/35000/00066"/>
    <s v="ГЕО-23/35000/00066"/>
    <s v="Нетиповой ДД"/>
    <x v="1"/>
    <s v=""/>
    <s v="00161-23"/>
    <s v=""/>
    <s v="Договор на выполнение работ по искусственному воспроизводству водных биологических ресурсов в целях компенсации ущерба, причиненного водным биоресурсам и среде их обитания "/>
    <s v="ООО &quot;ГПН-ГЕО&quot; обязуется за свой счет выполнить работы по искусственному воспроизводству водных биологических ресурсов (далее - мероприятия) на основании утвержденного плана искусственного воспроизводства водных биоресурсов в целях компенсации ущерба, причиненного водным биоресурсам и среде их обитания без предоставления водных биоресурсов в пользование и сдать их результат Заказчику в соответствии с Договором путем осуществления выпуска водных биологических ресурсов в водные объекты рыбохозяйственного значения в качестве восстановительного мероприятия для полного возмещения ущерба, нанесенного водным биоресурсам и среде их обитания"/>
    <s v="Липатова О.И."/>
    <s v=""/>
    <s v="Договорный документ"/>
    <s v="Отдел экологической безопасности"/>
    <s v="Масалкин Ю.В."/>
    <s v="На бумажном носителе"/>
    <s v="С ограничением по срокам "/>
    <d v="2023-03-29T00:00:00"/>
    <d v="2023-12-31T00:00:00"/>
    <s v=""/>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58271"/>
    <s v="Зарегистрирован"/>
    <d v="2024-03-25T00:00:00"/>
    <s v=""/>
    <x v="42"/>
    <s v="7725696878"/>
    <s v="ГЕО-19/11708/00133/Р "/>
    <s v=""/>
    <s v="1"/>
    <s v="Нетиповой ДД"/>
    <x v="4"/>
    <s v=""/>
    <s v="00161-24"/>
    <s v="27"/>
    <s v="Изменение №1 к Заказ-Наряду №27 от 05.12.2023 во исполнение Договора ГЕО-19/11708/00133/Р от 25.06.2019 г."/>
    <s v="Продление срока действия Заказ-Наряда №27, корректировка приложений к Заказ-Наряду №27"/>
    <s v="Безруков А.А."/>
    <s v="Толмачев Е.О."/>
    <s v="Договорный документ"/>
    <s v="Блок геологии и разработки"/>
    <s v="Аксенов М.А."/>
    <s v="ЭП"/>
    <s v="До исполнения обязательств"/>
    <d v="2024-03-25T00:00:00"/>
    <s v=""/>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0878"/>
    <s v="Зарегистрирован"/>
    <d v="2021-06-28T00:00:00"/>
    <s v=""/>
    <x v="40"/>
    <s v="7826711272"/>
    <s v="ДАТ/ГЕО-19/11100/00254/Р от 01.10.2019 г."/>
    <s v=""/>
    <s v="1"/>
    <s v="Нетиповой ДД"/>
    <x v="0"/>
    <s v=""/>
    <s v="00162-21"/>
    <s v=""/>
    <s v="Перевод всего НГО в 2021 и 2022 годах в ГО услуг в 2021 и 2022 годах (без изменения сроков и стоимости)"/>
    <s v="1. Перевод всего негарантированного объема услуг в 2021 и 2022 годах в гарантированный объем услуг в 2021 и 2022 годах в соответствии с условиями договора (п.2.5) без изменения сроков и стоимости Договора. _x000d__x000a_2. В соответствии с пунктом 2 статьи 425 Гражданского кодекса РФ Стороны пришли к соглашению о том, что условия Дополнительного соглашения № 1 распространяются на отношения Сторон, возникшие с 01 января 2021г._x000d__x000a_3. Дополнение Договора формой (образцом) уведомления на изменение объема услуг (в формате Приложения №11 к настоящему Договору)._x000d__x000a_"/>
    <s v="Гусаков В.В."/>
    <s v="Гусаков ВВ"/>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1-01-01T00:00:00"/>
    <d v="2022-12-31T00:00:00"/>
    <s v="Д-11"/>
    <s v="Договор аренды транспортных средств"/>
    <s v="Расходная часть"/>
    <s v="Стоимостной"/>
    <s v="20%"/>
    <s v=""/>
    <s v=""/>
    <n v="0.01"/>
    <s v="35 633 151.06"/>
    <s v="7 126 630.21"/>
    <s v="нет"/>
    <s v="нет"/>
    <s v=""/>
    <s v=""/>
    <s v=""/>
    <s v=""/>
    <s v="нет"/>
  </r>
  <r>
    <s v="Газпромнефть-ГЕО, ООО"/>
    <s v="0000066314"/>
    <s v="Зарегистрирован"/>
    <d v="2022-03-28T00:00:00"/>
    <s v=""/>
    <x v="74"/>
    <s v="7202242358"/>
    <s v="АНГ-19/11513/00010/Р"/>
    <s v=""/>
    <s v="11"/>
    <s v="Нетиповой ДД"/>
    <x v="3"/>
    <s v=""/>
    <s v="00162-22"/>
    <s v=""/>
    <s v="НАРЯД-ЗАКАЗ № 11 к Договору № АНГ-19/11513/00010/Р от 18 февраля 2019"/>
    <s v="Выполнение комплекса землеустроительных и лесоустроительных работ для объекта &quot;Проведение полевых сейсморазведочных работ МОГТ 3Д на Воргенском ЛУ&quot; (переоформление ранее заключенных договоров аренды на новый срок)"/>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2-04-04T00:00:00"/>
    <d v="2022-12-31T00:00:00"/>
    <s v="Д-61"/>
    <s v="Договор подряда"/>
    <s v="Расходная часть"/>
    <s v="Рамочный"/>
    <s v="0%"/>
    <s v=""/>
    <s v=""/>
    <s v="734 486.90"/>
    <s v="734 486.90"/>
    <n v="0"/>
    <s v="нет"/>
    <s v="нет"/>
    <s v=""/>
    <s v=""/>
    <s v=""/>
    <s v=""/>
    <s v="нет"/>
  </r>
  <r>
    <s v="Газпромнефть-ГЕО, ООО"/>
    <s v="0000044973"/>
    <s v="Зарегистрирован"/>
    <d v="2023-03-15T00:00:00"/>
    <s v=""/>
    <x v="158"/>
    <s v="7709413265"/>
    <s v="ГЕО-22/07100/00042/Р"/>
    <s v=""/>
    <s v="4"/>
    <s v="Нетиповой ДД"/>
    <x v="0"/>
    <s v=""/>
    <s v="00162-23"/>
    <s v=""/>
    <s v="ДС №4 к Договору № ГЕО-22/07100/00042/Р от 07.03.2022г."/>
    <s v="Продление сроков договора"/>
    <s v="Яшкина К.Л."/>
    <s v="Веселкин А.С."/>
    <s v="Договорный документ"/>
    <s v="Блок бурения и ВСР"/>
    <s v="Трифонов А.В."/>
    <s v="ЭП"/>
    <s v="С ограничением по срокам "/>
    <d v="2023-03-15T00:00:00"/>
    <d v="2023-06-30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8974"/>
    <s v="Зарегистрирован"/>
    <d v="2024-03-28T00:00:00"/>
    <d v="2024-07-12T00:00:00"/>
    <x v="81"/>
    <s v="3808120671"/>
    <s v=""/>
    <s v="ГЕО-24/33300/00062"/>
    <s v="ГЕО-24/33300/00062"/>
    <s v="Нетиповой ДД"/>
    <x v="2"/>
    <s v=""/>
    <s v="00162-24"/>
    <s v=""/>
    <s v="Договор об обработке персональных данных"/>
    <s v="Обработка персональных данных в интересах ООО &quot;ГПН-ГЕО&quot;"/>
    <s v="Аршинина М.Н."/>
    <s v="Аршинина М.Н."/>
    <s v="Договорный документ"/>
    <s v="Блок корпоративной защиты"/>
    <s v="Созинов С.А."/>
    <s v="ЭП"/>
    <s v="С ограничением по срокам "/>
    <d v="2024-03-28T00:00:00"/>
    <d v="2025-02-28T00:00:00"/>
    <s v="Д-60"/>
    <s v="Договор об обработке персональных данных"/>
    <s v="Не предполагает взаиморасчетов"/>
    <s v=""/>
    <s v=""/>
    <s v=""/>
    <s v=""/>
    <s v=""/>
    <s v=""/>
    <s v=""/>
    <s v="нет"/>
    <s v="нет"/>
    <s v=""/>
    <s v=""/>
    <s v=""/>
    <s v=""/>
    <s v="нет"/>
  </r>
  <r>
    <s v="Газпромнефть-ГЕО, ООО"/>
    <s v="0000076851"/>
    <s v="Зарегистрирован"/>
    <d v="2023-03-17T00:00:00"/>
    <s v=""/>
    <x v="48"/>
    <s v="2466091092"/>
    <s v="ГЕО-22/11000/00274/Р "/>
    <s v=""/>
    <s v="2"/>
    <s v="Типовой ДД"/>
    <x v="3"/>
    <s v="11018, 11019, 11020, 11021, 11022  Наряд-заказ к Договору (рамочному) на выполнение  работ по услугам &quot;Капитальное строительство и ПИР&quot;"/>
    <s v="00163-23"/>
    <s v=""/>
    <s v="11018, 11019, 11020, 11021, 11022  Наряд-заказ к Договору (рамочному) на выполнение  работ по услугам &quot;Капитальное строительство и ПИР&quot;"/>
    <s v="Выполнение проектных работ"/>
    <s v="Шолохова И.А."/>
    <s v="Салахутдинов Р.С."/>
    <s v="Договорный документ"/>
    <s v="Управление проектно-изыскательских работ"/>
    <s v="Трифонов А.В."/>
    <s v="ЭП"/>
    <s v="До исполнения обязательств"/>
    <d v="2023-03-17T00:00:00"/>
    <s v=""/>
    <s v="Д-33"/>
    <s v="Капитальное строительство и ПИР"/>
    <s v="Расходная часть"/>
    <s v="Рамочный"/>
    <s v="20%"/>
    <s v=""/>
    <s v=""/>
    <s v="15 497 332.09"/>
    <s v="12 914 443.41"/>
    <s v="2 582 888.68"/>
    <s v="нет"/>
    <s v="нет"/>
    <s v=""/>
    <s v=""/>
    <s v=""/>
    <s v=""/>
    <s v="нет"/>
  </r>
  <r>
    <s v="Газпромнефть-ГЕО, ООО"/>
    <s v="0000056254"/>
    <s v="Зарегистрирован"/>
    <d v="2024-03-29T00:00:00"/>
    <s v=""/>
    <x v="23"/>
    <s v="7839415866"/>
    <s v=""/>
    <s v="ГЕО-24/26000/00061"/>
    <s v="ГЕО-24/26000/00061"/>
    <s v="Типовой ДД"/>
    <x v="1"/>
    <s v="26000 Соглашение о конфиденциальности с российским контрагентом"/>
    <s v="00163-24"/>
    <s v=""/>
    <s v="26000 Соглашение о конфиденциальности с российским контрагентом"/>
    <s v="В рамках соблюдения режима коммерческой тайны"/>
    <s v="Аршинина М.Н."/>
    <s v="Аршинина М.Н."/>
    <s v="Договорный документ"/>
    <s v="Блок корпоративной защиты"/>
    <s v="Созинов С.А."/>
    <s v="ЭП"/>
    <s v="С ограничением по срокам "/>
    <d v="2024-03-29T00:00:00"/>
    <d v="2026-12-31T00:00:00"/>
    <s v="Д-60"/>
    <s v="Соглашение о конфиденциальности"/>
    <s v="Не предполагает взаиморасчетов"/>
    <s v=""/>
    <s v=""/>
    <s v=""/>
    <s v=""/>
    <s v=""/>
    <s v=""/>
    <s v=""/>
    <s v="нет"/>
    <s v="нет"/>
    <s v=""/>
    <s v=""/>
    <s v=""/>
    <s v=""/>
    <s v="нет"/>
  </r>
  <r>
    <s v="Газпромнефть-ГЕО, ООО"/>
    <s v="0000050959"/>
    <s v="Закрыт"/>
    <d v="2021-05-18T00:00:00"/>
    <s v=""/>
    <x v="190"/>
    <s v="7728654530"/>
    <s v=""/>
    <s v="ГЕО-21/11708/00135/Р"/>
    <s v="ГЕО-21/11708/00135/Р"/>
    <s v="Нетиповой ДД"/>
    <x v="2"/>
    <s v=""/>
    <s v="00164-21"/>
    <s v=""/>
    <s v="Выполнение цифровой аэрофотосъемки (ЦАФС), воздушно-лазерного сканирования (ВЛС)"/>
    <s v="Выполнение цифровой аэрофотосъемки (ЦАФС), воздушно-лазерного сканирования (ВЛС)"/>
    <s v="Коротков С.П."/>
    <s v=""/>
    <s v="Договорный документ"/>
    <s v="Управление по разработке"/>
    <s v="Аксенов М.А."/>
    <s v="На бумажном носителе"/>
    <s v="С ограничением по срокам "/>
    <d v="2021-05-18T00:00:00"/>
    <d v="2021-12-31T00:00:00"/>
    <s v="Д-3"/>
    <s v="НИОКР, НИР прочие"/>
    <s v="Расходная часть"/>
    <s v="Рамочный"/>
    <s v="20%"/>
    <s v=""/>
    <s v=""/>
    <s v="12 146 402.35"/>
    <s v="10 122 001.96"/>
    <s v="2 024 400.39"/>
    <s v="нет"/>
    <s v="нет"/>
    <s v=""/>
    <s v=""/>
    <s v=""/>
    <s v=""/>
    <s v="нет"/>
  </r>
  <r>
    <s v="Газпромнефть-ГЕО, ООО"/>
    <s v="0000086584"/>
    <s v="Зарегистрирован"/>
    <d v="2022-02-01T00:00:00"/>
    <s v=""/>
    <x v="113"/>
    <s v="5609077986"/>
    <s v="ГЕО-19/09000/00312/Д"/>
    <s v=""/>
    <s v="1"/>
    <s v="Нетиповой ДД"/>
    <x v="0"/>
    <s v=""/>
    <s v="00164-22"/>
    <s v=""/>
    <s v="Дополнительное соглашение № 1 к договору № ГЕО-19/09000/00312/Д от 31 декабря 2019 г."/>
    <s v="Внесение дополнительного условия к основному договору, касательно включения о применении УПД"/>
    <s v="Лофицкая А.С."/>
    <s v="Лофицкая А.С."/>
    <s v="Договорный документ"/>
    <s v="Проект &quot;Южный Оренбург&quot;"/>
    <s v="Шакирзянов Л.Н."/>
    <s v="На бумажном носителе"/>
    <s v="С ограничением по срокам "/>
    <d v="2022-02-01T00:00:00"/>
    <d v="2022-12-31T00:00:00"/>
    <s v="Д-53"/>
    <s v="Договор возмездного оказания услуг"/>
    <s v="Не предполагает взаиморасчетов"/>
    <s v=""/>
    <s v=""/>
    <s v=""/>
    <s v=""/>
    <s v=""/>
    <s v=""/>
    <s v=""/>
    <s v="нет"/>
    <s v="нет"/>
    <s v=""/>
    <s v=""/>
    <s v=""/>
    <s v=""/>
    <s v="нет"/>
  </r>
  <r>
    <s v="Газпромнефть-ГЕО, ООО"/>
    <s v="0000061300"/>
    <s v="Зарегистрирован"/>
    <d v="2023-03-15T00:00:00"/>
    <s v=""/>
    <x v="191"/>
    <s v="5603011386"/>
    <s v="ГЕО-22/09000/00066/Р"/>
    <s v=""/>
    <s v="5"/>
    <s v="Нетиповой ДД"/>
    <x v="0"/>
    <s v=""/>
    <s v="00164-23"/>
    <s v=""/>
    <s v="Дополнительное соглашение №5 к Договору № ГЕО-22/09000/00066/Р от 30.03.2022 г."/>
    <s v="Продление срока оказания услуг и срока действия Договора по 30.06.2023г. без изменения общей стоимости и объема услуг по Договору"/>
    <s v="Мячина М.В."/>
    <s v="Раковица Д.К."/>
    <s v="Договорный документ"/>
    <s v="Отдел подготовительных работ и экономического анализа"/>
    <s v="Трифонов А.В."/>
    <s v="ЭП"/>
    <s v="До исполнения обязательств"/>
    <d v="2023-03-15T00:00:00"/>
    <s v=""/>
    <s v="Д-33"/>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71220"/>
    <s v="Подписание ЭП контрагентом"/>
    <d v="2024-03-28T00:00:00"/>
    <s v=""/>
    <x v="51"/>
    <s v="5401950707"/>
    <s v="ГЕО-23/10000/00054/Р"/>
    <s v=""/>
    <s v="3"/>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64-24"/>
    <s v=""/>
    <s v="Дополнительное соглашение №3 к договору № ГЕО-23/10000/00054/Р от 10.03.2023 г."/>
    <s v="Внесение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Ларионов Е.А."/>
    <s v=""/>
    <s v="Договорный документ"/>
    <s v="Блок геологии и разработки"/>
    <s v="Трифонов А.В."/>
    <s v="ЭП"/>
    <s v="С ограничением по срокам "/>
    <d v="2024-03-28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8405"/>
    <s v="Зарегистрирован"/>
    <d v="2021-05-24T00:00:00"/>
    <s v=""/>
    <x v="169"/>
    <s v="6312086734"/>
    <s v=""/>
    <s v="ГЕО-21/00000/00125"/>
    <s v="ГЕО-21/00000/00125"/>
    <s v="Типовой ДД"/>
    <x v="1"/>
    <s v="00000 Соглашение об электронном документообороте"/>
    <s v="00165-21"/>
    <s v=""/>
    <s v="00000 Соглашение об электронном документообороте"/>
    <s v="Переход на юридически значимый электронный документооборот (ЭДО) в целях повышения эффективности сотрудничества и взаимного снижения издержек."/>
    <s v="Забиров А.А."/>
    <s v=""/>
    <s v="Договорный документ"/>
    <s v="Производственно-технологический департамент"/>
    <s v="Масалкин Ю.В."/>
    <s v="На бумажном носителе"/>
    <s v="До исполнения обязательств"/>
    <d v="2021-05-24T00:00:00"/>
    <s v=""/>
    <s v=""/>
    <s v="ПРОЧИЕ ДОГОВОРЫ"/>
    <s v="Не предполагает взаиморасчетов"/>
    <s v=""/>
    <s v=""/>
    <s v=""/>
    <s v=""/>
    <s v=""/>
    <s v=""/>
    <s v=""/>
    <s v="нет"/>
    <s v="нет"/>
    <s v=""/>
    <s v=""/>
    <s v=""/>
    <s v=""/>
    <s v="нет"/>
  </r>
  <r>
    <s v="Газпромнефть-ГЕО, ООО"/>
    <s v="0000067121"/>
    <s v="Зарегистрирован"/>
    <d v="2022-03-11T00:00:00"/>
    <s v=""/>
    <x v="62"/>
    <s v="7202171361"/>
    <s v="ХНТ-20/10110/967/Р/60/ГЕО-20/10110/00198/Р"/>
    <s v=""/>
    <s v="5"/>
    <s v="Нетиповой ДД"/>
    <x v="0"/>
    <s v=""/>
    <s v="00165-22"/>
    <s v=""/>
    <s v="ДОПОЛНИТЕЛЬНОЕ СОГЛАШЕНИЕ № 5 к Договору № ХНТ-20/10110/967/Р/60/ГЕО-20/10110/00198/Р от 06.10.2020 г. на выполнение работ по теме: «Проведение полевых сейсморазведочных работ МОГТ 3D с применением технологии «Зеленая сейсмика ©»"/>
    <s v="дополнение договора условиями работы с гос. тайной"/>
    <s v="Ахматгалиев С.З."/>
    <s v=""/>
    <s v="Договорный документ"/>
    <s v="Блок геологии и разработки"/>
    <s v="Аксенов М.А."/>
    <s v="На бумажном носителе"/>
    <s v="С ограничением по срокам "/>
    <d v="2022-03-11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4244"/>
    <s v="Зарегистрирован"/>
    <d v="2023-04-28T00:00:00"/>
    <s v=""/>
    <x v="192"/>
    <s v="8904034777"/>
    <s v="ГЕО-21/11513/00213/Р"/>
    <s v=""/>
    <s v="2.3; 2.4"/>
    <s v="Нетиповой ДД"/>
    <x v="12"/>
    <s v=""/>
    <s v="00165-23"/>
    <s v=""/>
    <s v="Расчет платы за сервитут"/>
    <s v="В рамках пункта 2.4. Соглашения об установления сервитута с увеличением кадастровой стоимости земельных участков, размер арендной платы может быть изменен Арендатором в одностороннем порядке без оформления дополнительного согласования с Сервитуарием. "/>
    <s v="Горев М.А."/>
    <s v="Горев М.А."/>
    <s v="Договорный документ"/>
    <s v="Управление маркшейдерско-землеустроительных работ"/>
    <s v="Трифонов А.В."/>
    <s v="На бумажном носителе"/>
    <s v="До исполнения обязательств"/>
    <d v="2022-08-01T00:00:00"/>
    <s v=""/>
    <s v="Д-33"/>
    <s v="Выполнение комплекса топографо-геодезических, землеустроительных и лесоустроительных  работ "/>
    <s v="Расходная часть"/>
    <s v="Стоимостной"/>
    <s v="20%"/>
    <s v=""/>
    <s v=""/>
    <s v="4 468.01"/>
    <s v="3 723.34"/>
    <n v="744.67"/>
    <s v="нет"/>
    <s v="нет"/>
    <s v=""/>
    <s v=""/>
    <s v=""/>
    <s v=""/>
    <s v="нет"/>
  </r>
  <r>
    <s v="Газпромнефть-ГЕО, ООО"/>
    <s v="0000071220"/>
    <s v="Зарегистрирован"/>
    <d v="2024-03-28T00:00:00"/>
    <d v="2024-07-02T00:00:00"/>
    <x v="51"/>
    <s v="5401950707"/>
    <s v="ГЕО-24/10000/00022/Р"/>
    <s v=""/>
    <s v="1"/>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65-24"/>
    <s v=""/>
    <s v="ДС №1 к договору № ГЕО-24/10000/00022/Р от 31.01.2024 г."/>
    <s v="Внесение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Ларионов Е.А."/>
    <s v=""/>
    <s v="Договорный документ"/>
    <s v="Блок геологии и разработки"/>
    <s v="Аксенов М.А."/>
    <s v="ЭП"/>
    <s v="С ограничением по срокам "/>
    <d v="2024-03-28T00:00:00"/>
    <d v="2028-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66687"/>
    <s v="Зарегистрирован"/>
    <d v="2021-06-14T00:00:00"/>
    <s v=""/>
    <x v="161"/>
    <s v="9909012867"/>
    <s v=""/>
    <s v="ГЕО-21/10421/00132/Р"/>
    <s v="ГЕО-21/10421/00132/Р"/>
    <s v="Типовой ДД"/>
    <x v="2"/>
    <s v="10421 Договор на проведение операции по закачке азота в пласт"/>
    <s v="00166-21"/>
    <s v=""/>
    <s v="10421 Договор на проведение операции по закачке азота в пласт"/>
    <s v="Оказание услуг по закачке азота в пласт"/>
    <s v="Шабалин С.В."/>
    <s v="Шабалин С.В."/>
    <s v="Договорный документ"/>
    <s v="Блок бурения и ВСР"/>
    <s v="Гаврилов С.В."/>
    <s v="На бумажном носителе"/>
    <s v="С ограничением по срокам "/>
    <d v="2021-06-14T00:00:00"/>
    <d v="2021-12-31T00:00:00"/>
    <s v=""/>
    <s v="Аренда азотной установки для скважин"/>
    <s v="Расходная часть"/>
    <s v="Стоимостной"/>
    <s v="20%"/>
    <s v=""/>
    <s v=""/>
    <s v="176 830 080.00"/>
    <s v="147 358 400.00"/>
    <s v="29 471 680.00"/>
    <s v="нет"/>
    <s v="нет"/>
    <s v=""/>
    <s v=""/>
    <s v=""/>
    <s v=""/>
    <s v="нет"/>
  </r>
  <r>
    <s v="Газпромнефть-ГЕО, ООО"/>
    <s v="0000048216"/>
    <s v="Зарегистрирован"/>
    <d v="2022-03-17T00:00:00"/>
    <s v=""/>
    <x v="38"/>
    <s v="8605013881"/>
    <s v=""/>
    <s v="ГЕО-22/10000/00055/Р"/>
    <s v="ГЕО-22/10000/00055/Р"/>
    <s v="Типовой ДД"/>
    <x v="2"/>
    <s v="10308 Договор на проведение геолого-технологических исследований скважин при бурении"/>
    <s v="00166-22"/>
    <s v=""/>
    <s v="10308 Договор на проведение геолого-технологических исследований скважин при бурении"/>
    <s v="ГТИ при бурении на Северо-Ямбургском ЛУ"/>
    <s v="Ушакова М.А."/>
    <s v="Ушакова М.А."/>
    <s v="Договорный документ"/>
    <s v="Блок геологии и разработки"/>
    <s v="Аксенов М.А."/>
    <s v="На бумажном носителе"/>
    <s v="С ограничением по срокам "/>
    <d v="2022-03-17T00:00:00"/>
    <d v="2024-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02 858 322.45"/>
    <s v="252 381 935.37"/>
    <s v="50 476 387.08"/>
    <s v="нет"/>
    <s v="нет"/>
    <s v=""/>
    <s v=""/>
    <s v=""/>
    <s v=""/>
    <s v="нет"/>
  </r>
  <r>
    <s v="Газпромнефть-ГЕО, ООО"/>
    <s v="0000058271"/>
    <s v="Зарегистрирован"/>
    <d v="2023-03-28T00:00:00"/>
    <s v=""/>
    <x v="42"/>
    <s v="7725696878"/>
    <s v=""/>
    <s v="ГЕО-23/33200/00064"/>
    <s v="ГЕО-23/33200/00064"/>
    <s v="Типовой ДД"/>
    <x v="1"/>
    <s v="Соглашение, содержащее условия применения усиленной квалифицированной электронной подписи (УКЭП) при подписании ДД (ЭД в части ДД)"/>
    <s v="00166-23"/>
    <s v=""/>
    <s v="Соглашение, содержащее условия применения усиленной квалифицированной электронной подписи (УКЭП) при подписании ДД (ЭД в части ДД)"/>
    <s v="Переход на электронный документооборот по договорным документам"/>
    <s v="Коротков С.П."/>
    <s v=""/>
    <s v="Договорный документ"/>
    <s v="Управление по разработке"/>
    <s v="Аксенов М.А."/>
    <s v="ЭП"/>
    <s v="Без сроков "/>
    <d v="2023-03-28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108565"/>
    <s v="Зарегистрирован"/>
    <d v="2024-04-10T00:00:00"/>
    <s v=""/>
    <x v="193"/>
    <s v="344313434712"/>
    <s v="ГЕО-23/25000/00080/Р"/>
    <s v=""/>
    <s v="2"/>
    <s v="Нетиповой ДД"/>
    <x v="10"/>
    <s v=""/>
    <s v="00166-24"/>
    <s v=""/>
    <s v="Дополнительное соглашение №2 к Договору № ГЕО-23/25000/00080/Р от 01.05.2023"/>
    <s v="досрочное расторжение договора"/>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4-04-10T00:00:00"/>
    <d v="2024-04-10T00:00:00"/>
    <s v=""/>
    <s v="Договор оказания услуг с физическим лицом"/>
    <s v="Не предполагает взаиморасчетов"/>
    <s v=""/>
    <s v=""/>
    <s v=""/>
    <s v=""/>
    <s v=""/>
    <s v=""/>
    <s v=""/>
    <s v="нет"/>
    <s v="нет"/>
    <s v=""/>
    <s v=""/>
    <s v=""/>
    <s v=""/>
    <s v="нет"/>
  </r>
  <r>
    <s v="Газпромнефть-ГЕО, ООО"/>
    <s v="0000045789"/>
    <s v="Зарегистрирован"/>
    <d v="2021-05-12T00:00:00"/>
    <s v=""/>
    <x v="16"/>
    <s v="7838395487"/>
    <s v="НТЦ-18/09000/01305/Д-ГЕО/ГЕО-19/09000/00045/Р "/>
    <s v=""/>
    <s v="НТЦ-00558-21Д"/>
    <s v="Нетиповой ДД"/>
    <x v="3"/>
    <s v=""/>
    <s v="00167-21"/>
    <s v=""/>
    <s v="Заказ"/>
    <s v="Информационно-консультационные услуги в формате вебинара по теме: _x000d__x000a_«Основные принципы и положения классификации PRMS (SEC) для геолого-экономической оценки запасов УВ. Практическое применение», 12.05.2021-14.05.2021, Назаров И.Н._x000d__x000a_"/>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1-05-12T00:00:00"/>
    <s v=""/>
    <s v=""/>
    <s v="Договор возмездного оказания услуг"/>
    <s v="Расходная часть"/>
    <s v="Рамочный"/>
    <s v="20%"/>
    <s v=""/>
    <s v=""/>
    <s v="49 680.00"/>
    <s v="41 400.00"/>
    <s v="8 280.00"/>
    <s v="нет"/>
    <s v="нет"/>
    <s v=""/>
    <s v=""/>
    <s v=""/>
    <s v=""/>
    <s v="нет"/>
  </r>
  <r>
    <s v="Газпромнефть-ГЕО, ООО"/>
    <s v="0000019598"/>
    <s v="Проект"/>
    <s v=""/>
    <s v=""/>
    <x v="63"/>
    <s v="9909012867"/>
    <s v=""/>
    <s v=""/>
    <s v=""/>
    <s v="Типовой ДД"/>
    <x v="1"/>
    <s v="Соглашение, содержащее условия применения усиленной квалифицированной электронной подписи (УКЭП) при подписании ДД (ЭД в части ДД)"/>
    <s v="00167-23"/>
    <s v=""/>
    <s v="Соглашение, содержащее условия применения усиленной квалифицированной электронной подписи (УКЭП) при подписании ДД (ЭД в части ДД)"/>
    <s v="Переход на электронный документооборот по договорным документам"/>
    <s v="Коротков С.П."/>
    <s v=""/>
    <s v="Договорный документ"/>
    <s v="Управление по разработке"/>
    <s v="Аксенов М.А."/>
    <s v="ЭП"/>
    <s v="Без сроков "/>
    <d v="2023-03-23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109515"/>
    <s v="Зарегистрирован"/>
    <d v="2024-04-22T00:00:00"/>
    <s v=""/>
    <x v="194"/>
    <s v="7706677277"/>
    <s v=""/>
    <s v="ГЕО-24/33200/00072"/>
    <s v="ГЕО-24/33200/00072"/>
    <s v="Типовой ДД"/>
    <x v="1"/>
    <s v="33200 Соглашение об электронном документообороте"/>
    <s v="00167-24"/>
    <s v=""/>
    <s v="33200 Соглашение об электронном документообороте c ООО &quot;РБ Факторинг&quot;"/>
    <s v="Организация электронного документооборота с контрагентом"/>
    <s v="Васильева А.И."/>
    <s v="Чернявский Г.С."/>
    <s v="Договорный документ"/>
    <s v="Блок экономики и финансов"/>
    <s v="Масалкин Ю.В."/>
    <s v="ЭП"/>
    <s v="До исполнения обязательств"/>
    <d v="2024-04-22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39295"/>
    <s v="Зарегистрирован"/>
    <d v="2021-05-11T00:00:00"/>
    <s v=""/>
    <x v="90"/>
    <s v="8618006063"/>
    <s v="ГЕО-20/10114/149/Д/ХНТ-20/10114/857/Р/60"/>
    <s v=""/>
    <s v="СОР договора  №ГЕО-20/10114/00149/Д/ХНТ-20/10114/857/Р/60 от 10.09.2020"/>
    <s v="Нетиповой ДД"/>
    <x v="0"/>
    <s v=""/>
    <s v="00168-21"/>
    <s v=""/>
    <s v="Соглашение о расторжении договора №ГЕО-20/10114/00149/Д/ХНТ-20/10114/857/Р/60 от 10.09.2020"/>
    <s v="Расторжение договора"/>
    <s v="Андреева И.В."/>
    <s v="Кортков С.П."/>
    <s v="Договорный документ"/>
    <s v="Управление экономического планирования и анализа"/>
    <s v="Масалкин Ю.В."/>
    <s v="На бумажном носителе"/>
    <s v="Без сроков "/>
    <d v="2021-05-11T00:00:00"/>
    <s v=""/>
    <s v=""/>
    <s v="Супервайзерские услуги полевых работ площадными геофизическими методами"/>
    <s v="Не предполагает взаиморасчетов"/>
    <s v=""/>
    <s v=""/>
    <s v=""/>
    <s v=""/>
    <s v=""/>
    <s v=""/>
    <s v=""/>
    <s v="нет"/>
    <s v="нет"/>
    <s v=""/>
    <s v=""/>
    <s v=""/>
    <s v=""/>
    <s v="нет"/>
  </r>
  <r>
    <s v="Газпромнефть-ГЕО, ООО"/>
    <s v="0000073273"/>
    <s v="Зарегистрирован"/>
    <d v="2022-03-11T00:00:00"/>
    <s v=""/>
    <x v="21"/>
    <s v="5610218014"/>
    <s v="ГЕО-21/10312/00240/Р"/>
    <s v=""/>
    <s v="1"/>
    <s v="Нетиповой ДД"/>
    <x v="0"/>
    <s v=""/>
    <s v="00168-22"/>
    <s v=""/>
    <s v="Дополнительное соглашение №1"/>
    <s v="Уточнение некоторых условий договора (переход на ЭДО)"/>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3-11T00:00:00"/>
    <d v="2023-12-31T00:00:00"/>
    <s v="Д-58"/>
    <s v="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Не предполагает взаиморасчетов"/>
    <s v="Тарифный"/>
    <s v=""/>
    <s v=""/>
    <s v=""/>
    <s v=""/>
    <s v=""/>
    <s v=""/>
    <s v="нет"/>
    <s v="нет"/>
    <s v=""/>
    <s v=""/>
    <s v=""/>
    <s v=""/>
    <s v="нет"/>
  </r>
  <r>
    <s v="Газпромнефть-ГЕО, ООО"/>
    <s v="0000067121"/>
    <s v="Зарегистрирован"/>
    <d v="2023-03-29T00:00:00"/>
    <s v=""/>
    <x v="62"/>
    <s v="7202171361"/>
    <s v="ГЕО-22/10000/00276/Р"/>
    <s v=""/>
    <s v="2"/>
    <s v="Типовой ДД"/>
    <x v="0"/>
    <s v="00000 ДС на изменение реквизитов контрагента (адрес, счет)"/>
    <s v="00168-23"/>
    <s v=""/>
    <s v="Дополнительное соглашение № 2 к Договору № ГЕО-22/10000/00276/Р от 10.10.2022. "/>
    <s v="Изменение банковских реквизитов Подрядчика "/>
    <s v="Безруков А.А."/>
    <s v=""/>
    <s v="Договорный документ"/>
    <s v="Блок геологии и разработки"/>
    <s v="Аксенов М.А."/>
    <s v="ЭП"/>
    <s v="До исполнения обязательств"/>
    <d v="2023-03-29T00:00:00"/>
    <s v=""/>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
    <s v="Проект"/>
    <s v=""/>
    <s v=""/>
    <x v="58"/>
    <s v=""/>
    <s v=""/>
    <s v=""/>
    <s v=""/>
    <s v="Нетиповой ДД"/>
    <x v="6"/>
    <s v=""/>
    <s v="00168-24"/>
    <s v=""/>
    <s v=""/>
    <s v=""/>
    <s v="Переслегин М.В."/>
    <s v=""/>
    <s v="Договорный документ"/>
    <s v="Проект &quot;Западно-Зимнее&quot;"/>
    <s v=""/>
    <s v=""/>
    <s v=""/>
    <s v=""/>
    <s v=""/>
    <s v=""/>
    <s v=""/>
    <s v=""/>
    <s v=""/>
    <s v=""/>
    <s v=""/>
    <s v=""/>
    <s v=""/>
    <s v=""/>
    <s v=""/>
    <s v="нет"/>
    <s v="нет"/>
    <s v=""/>
    <s v=""/>
    <s v=""/>
    <s v=""/>
    <s v="нет"/>
  </r>
  <r>
    <s v="Газпромнефть-ГЕО, ООО"/>
    <s v="0000008602"/>
    <s v="Закрыт"/>
    <d v="2021-05-31T00:00:00"/>
    <s v=""/>
    <x v="32"/>
    <s v="5504036333"/>
    <s v=""/>
    <s v="ГЕО-21/12100/00128/Р"/>
    <s v="ГЕО-21/12100/00128/Р"/>
    <s v="Нетиповой ДД"/>
    <x v="2"/>
    <s v=""/>
    <s v="00169-21"/>
    <s v=""/>
    <s v="Договор займа"/>
    <s v="В связи с предстоящей подачей документов на право пользование участками недр Пясинский 2, Пясинский 3, Пясинский 4 _x000d__x000a_расположенными в Таймырском Долгано-Ненецком районе Красноярского края (заявительный принцип)_x000d__x000a_"/>
    <s v="Чернявский Г.С."/>
    <s v=""/>
    <s v="Договорный документ"/>
    <s v="Финансовое управление"/>
    <s v="Ковтун М.А."/>
    <s v="На бумажном носителе"/>
    <s v="С ограничением по срокам "/>
    <d v="2021-05-24T00:00:00"/>
    <d v="2024-05-24T00:00:00"/>
    <s v="Д-5"/>
    <s v="Договор займа"/>
    <s v="Расходная часть"/>
    <s v="Стоимостной"/>
    <s v="без НДС"/>
    <s v=""/>
    <s v=""/>
    <s v="2 000 000 000.00"/>
    <s v="2 000 000 000.00"/>
    <n v="0"/>
    <s v="нет"/>
    <s v="нет"/>
    <s v=""/>
    <s v=""/>
    <s v=""/>
    <s v=""/>
    <s v="нет"/>
  </r>
  <r>
    <s v="Газпромнефть-ГЕО, ООО"/>
    <s v="0000060723"/>
    <s v="Зарегистрирован"/>
    <d v="2022-03-14T00:00:00"/>
    <s v=""/>
    <x v="49"/>
    <s v="3811088474"/>
    <s v="№ АНГ-19/11513/00007/Р "/>
    <s v=""/>
    <s v="29"/>
    <s v="Нетиповой ДД"/>
    <x v="3"/>
    <s v=""/>
    <s v="00169-22"/>
    <s v=""/>
    <s v="НАРЯД-ЗАКАЗ № 29  к Договору № АНГ-19/11513/00007/Р от 14 февраля 2019"/>
    <s v="Оформление земельных участков для «Обустройство поисково-оценочной скважины 198 Лескинского лицензионного участка»_x000d__x000a_(получение разрешения на дополнительные земельные участки)"/>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2-03-14T00:00:00"/>
    <d v="2022-12-31T00:00:00"/>
    <s v="Д-61"/>
    <s v="Выполнение комплекса топографо-геодезических, землеустроительных и лесоустроительных  работ "/>
    <s v="Расходная часть"/>
    <s v="Рамочный"/>
    <s v="20%"/>
    <s v=""/>
    <s v=""/>
    <s v="324 463.01"/>
    <s v="270 385.84"/>
    <s v="54 077.17"/>
    <s v="нет"/>
    <s v="нет"/>
    <s v=""/>
    <s v=""/>
    <s v=""/>
    <s v=""/>
    <s v="нет"/>
  </r>
  <r>
    <s v="Газпромнефть-ГЕО, ООО"/>
    <s v="0000080990"/>
    <s v="Зарегистрирован"/>
    <d v="2024-03-29T00:00:00"/>
    <s v=""/>
    <x v="195"/>
    <s v="7703783277"/>
    <s v="ГЕО-23/31100/00211/Р"/>
    <s v=""/>
    <s v="3"/>
    <s v="Нетиповой ДД"/>
    <x v="0"/>
    <s v=""/>
    <s v="00169-24"/>
    <s v=""/>
    <s v="ДС №3 "/>
    <s v="Продление срока оказания услуг, корректировка &quot;Календарного плана выполнения работ&quot; к договору САХ-20/00000/00090/Р от 18.09.2020 г. на основании Соглашения о замене стороны №ГЕО-23/31100/00211/Р от 12.12.2023 г. "/>
    <s v="Безруков А.А."/>
    <s v="Переслегин М.В."/>
    <s v="Договорный документ"/>
    <s v="Блок геологии и разработки"/>
    <s v="Аксенов М.А."/>
    <s v="На бумажном носителе"/>
    <s v="До исполнения обязательств"/>
    <d v="2024-03-29T00:00:00"/>
    <s v=""/>
    <s v="Д-54"/>
    <s v="Соглашение о перемене лиц в обязательстве"/>
    <s v="Не предполагает взаиморасчетов"/>
    <s v=""/>
    <s v=""/>
    <s v=""/>
    <s v=""/>
    <s v=""/>
    <s v=""/>
    <s v=""/>
    <s v="нет"/>
    <s v="нет"/>
    <s v=""/>
    <s v=""/>
    <s v=""/>
    <s v=""/>
    <s v="нет"/>
  </r>
  <r>
    <s v="Газпромнефть-ГЕО, ООО"/>
    <s v="0000049191"/>
    <s v="Закрыт"/>
    <d v="2022-04-01T00:00:00"/>
    <s v=""/>
    <x v="0"/>
    <s v="7729058675"/>
    <s v=""/>
    <s v="ГЕО-22/09000/00070/Р"/>
    <s v="ГЕО-22/09000/00070/Р"/>
    <s v="Нетиповой ДД"/>
    <x v="2"/>
    <s v=""/>
    <s v="00170-22"/>
    <s v=""/>
    <s v="Разработка концепции оснащения системами мультимедиа помещений офиса ООО «ГПН-ГЕО»"/>
    <s v="Разработка концепции оснащения системами мультимедиа помещений офиса ООО «ГПН-ГЕО»"/>
    <s v="Попов В.А."/>
    <s v="Попов В.А."/>
    <s v="Договорный документ"/>
    <s v="Блок геологии и разработки"/>
    <s v="Аксенов М.А."/>
    <s v="На бумажном носителе"/>
    <s v="До исполнения обязательств"/>
    <d v="2022-04-01T00:00:00"/>
    <s v=""/>
    <s v="Д-54"/>
    <s v="Договор возмездного оказания услуг"/>
    <s v="Расходная часть"/>
    <s v="Стоимостной"/>
    <s v="20%"/>
    <s v=""/>
    <s v=""/>
    <s v="490 000.00"/>
    <s v="408 333.33"/>
    <s v="81 666.67"/>
    <s v="нет"/>
    <s v="нет"/>
    <s v=""/>
    <s v=""/>
    <s v=""/>
    <s v=""/>
    <s v="нет"/>
  </r>
  <r>
    <s v="Газпромнефть-ГЕО, ООО"/>
    <s v="0000104605"/>
    <s v="Зарегистрирован"/>
    <d v="2023-03-28T00:00:00"/>
    <s v=""/>
    <x v="55"/>
    <s v="9705112341"/>
    <s v=""/>
    <s v="ГЕО-23/33100/00062"/>
    <s v="ГЕО-23/33100/00062"/>
    <s v="Типовой ДД"/>
    <x v="1"/>
    <s v="33100 Соглашение в области производственной безопасности"/>
    <s v="00170-23"/>
    <s v=""/>
    <s v="33100 Соглашение в области производственной безопасности"/>
    <s v="С целью обеспечения ПБ при оказании услуг."/>
    <s v="Безруков А.А."/>
    <s v=""/>
    <s v="Договорный документ"/>
    <s v="Блок производственной безопасности"/>
    <s v="Михайлов Ю.А."/>
    <s v="ЭП"/>
    <s v="До исполнения обязательств"/>
    <d v="2023-03-31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58703"/>
    <s v="Зарегистрирован"/>
    <d v="2024-03-29T00:00:00"/>
    <s v=""/>
    <x v="5"/>
    <s v="5914024719"/>
    <s v="ГЕО-21/10208/00166/Р"/>
    <s v=""/>
    <s v="15"/>
    <s v="Нетиповой ДД"/>
    <x v="0"/>
    <s v=""/>
    <s v="00170-24"/>
    <s v=""/>
    <s v="ДС 15 к № ГЕО-21/10208/00166/Р от 20.07.2021"/>
    <s v="Заключение ДС №15 к договору НСХ о включение справочных единичных расценок, без увеличения общей цены по договору"/>
    <s v="Покатов О.Н."/>
    <s v=""/>
    <s v="Договорный документ"/>
    <s v="Блок главного инженера"/>
    <s v="Трифонов А.В."/>
    <s v="На бумажном носителе"/>
    <s v="До исполнения обязательств"/>
    <d v="2024-03-29T00:00:00"/>
    <s v=""/>
    <s v=""/>
    <s v="Бурение геологоразведочных скважин по суточной или иной фиксирванной ставке (в т.ч. мобильными установками)"/>
    <s v="Не предполагает взаиморасчетов"/>
    <s v="Тарифный"/>
    <s v=""/>
    <s v=""/>
    <s v=""/>
    <s v=""/>
    <s v=""/>
    <s v=""/>
    <s v="нет"/>
    <s v="нет"/>
    <s v=""/>
    <s v=""/>
    <s v=""/>
    <s v=""/>
    <s v="нет"/>
  </r>
  <r>
    <s v="Газпромнефть-ГЕО, ООО"/>
    <s v="0000045789"/>
    <s v="Зарегистрирован"/>
    <d v="2021-05-31T00:00:00"/>
    <s v=""/>
    <x v="16"/>
    <s v="7838395487"/>
    <s v=""/>
    <s v="ГЕО-21/09000/00130/Р"/>
    <s v="ГЕО-21/09000/00130/Р"/>
    <s v="Нетиповой ДД"/>
    <x v="2"/>
    <s v=""/>
    <s v="00171-21"/>
    <s v=""/>
    <s v="ДОГОВОР на оказание услуг в области защиты государственной тайны"/>
    <s v="Услуги режимно-секретного органа при работе сотрудников ООО «ГПН-ГЕО» со сведениями, составляющими государственную тайну"/>
    <s v="Бринкис В.В."/>
    <s v="Бринкис В.В."/>
    <s v="Договорный документ"/>
    <s v="Блок корпоративной защиты"/>
    <s v="Созинов С.А."/>
    <s v="На бумажном носителе"/>
    <s v="С ограничением по срокам "/>
    <d v="2021-06-01T00:00:00"/>
    <d v="2025-12-17T00:00:00"/>
    <s v=""/>
    <s v="Договор возмездного оказания услуг"/>
    <s v="Расходная часть"/>
    <s v="Стоимостной"/>
    <s v="20%"/>
    <s v=""/>
    <s v=""/>
    <s v="4 581 215.60"/>
    <s v="3 817 679.67"/>
    <s v="763 535.93"/>
    <s v="нет"/>
    <s v="нет"/>
    <s v=""/>
    <s v=""/>
    <s v=""/>
    <s v=""/>
    <s v="нет"/>
  </r>
  <r>
    <s v="Газпромнефть-ГЕО, ООО"/>
    <s v="0000085349"/>
    <s v="Зарегистрирован"/>
    <d v="2022-03-31T00:00:00"/>
    <s v=""/>
    <x v="140"/>
    <s v="5610220126"/>
    <s v=""/>
    <s v="ГЕО-22/10000/00065/Р"/>
    <s v="ГЕО-22/10000/00065/Р"/>
    <s v="Типовой ДД"/>
    <x v="2"/>
    <s v="10163 Договор на выполнение работ &quot;Испытание геологоразведочных скважин"/>
    <s v="00171-22"/>
    <s v=""/>
    <s v="10163 Договор на выполнение работ &quot;Испытание геологоразведочных скважин"/>
    <s v="оказание услуг по испытанию геологоразведочных скважин Проекта Южный Юренбург"/>
    <s v="Рябикина М.А."/>
    <s v="Бикташев Р.С."/>
    <s v="Договорный документ"/>
    <s v="Блок главного инженера"/>
    <s v="Перфильев Д.А."/>
    <s v="На бумажном носителе"/>
    <s v="С ограничением по срокам "/>
    <d v="2022-03-31T00:00:00"/>
    <d v="2023-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93083604.72"/>
    <s v="417 448 585.34"/>
    <s v="347 873 821.12"/>
    <s v="69 574 764.22"/>
    <s v="да"/>
    <s v="нет"/>
    <s v=""/>
    <s v=""/>
    <s v=""/>
    <s v=""/>
    <s v="нет"/>
  </r>
  <r>
    <s v="Газпромнефть-ГЕО, ООО"/>
    <s v="0000104605"/>
    <s v="Зарегистрирован"/>
    <d v="2023-03-28T00:00:00"/>
    <s v=""/>
    <x v="55"/>
    <s v="9705112341"/>
    <s v=""/>
    <s v="ГЕО-23/33200/00061"/>
    <s v="ГЕО-23/33200/00061"/>
    <s v="Типовой ДД"/>
    <x v="1"/>
    <s v="33200 Соглашение об электронном документообороте"/>
    <s v="00171-23"/>
    <s v=""/>
    <s v="33200 Соглашение об электронном документообороте"/>
    <s v="Переход на ЭДО"/>
    <s v="Безруков А.А."/>
    <s v="Коваленко М.В."/>
    <s v="Договорный документ"/>
    <s v="Блок снабжения и закупок"/>
    <s v="Аксенов М.А."/>
    <s v="ЭП"/>
    <s v="До исполнения обязательств"/>
    <d v="2023-03-31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109515"/>
    <s v="Зарегистрирован"/>
    <d v="2024-04-22T00:00:00"/>
    <s v=""/>
    <x v="194"/>
    <s v="7706677277"/>
    <s v=""/>
    <s v="ГЕО-24/20000/00070/Р"/>
    <s v="ГЕО-24/20000/00070/Р"/>
    <s v="Нетиповой ДД"/>
    <x v="2"/>
    <s v=""/>
    <s v="00171-24"/>
    <s v=""/>
    <s v="Агентский договор с ООО &quot;РБ Факторинг&quot;"/>
    <s v="Организация применения факторинга по закупке от ПАО &quot;Газпром нефть&quot;"/>
    <s v="Васильева А.И."/>
    <s v="Чернявский Г.С."/>
    <s v="Договорный документ"/>
    <s v="Блок экономики и финансов"/>
    <s v="Масалкин Ю.В."/>
    <s v="ЭП"/>
    <s v="До исполнения обязательств"/>
    <d v="2024-04-22T00:00:00"/>
    <s v=""/>
    <s v=""/>
    <s v="Агентский договор"/>
    <s v="Расходная часть"/>
    <s v="Агентский"/>
    <s v="20%"/>
    <s v=""/>
    <s v=""/>
    <n v="0"/>
    <n v="0"/>
    <n v="0"/>
    <s v="нет"/>
    <s v="нет"/>
    <s v=""/>
    <s v=""/>
    <s v=""/>
    <s v=""/>
    <s v="нет"/>
  </r>
  <r>
    <s v="Газпромнефть-ГЕО, ООО"/>
    <s v="0000066314"/>
    <s v="Зарегистрирован"/>
    <d v="2021-05-24T00:00:00"/>
    <s v=""/>
    <x v="74"/>
    <s v="7202242358"/>
    <s v="АНГ-19/11513/00010/Р"/>
    <s v=""/>
    <s v="ДС №2 "/>
    <s v="Нетиповой ДД"/>
    <x v="0"/>
    <s v=""/>
    <s v="00172-21"/>
    <s v="Соглашение о передаче договора в ГПН-ГЕО"/>
    <s v="ДС№2 к договору № АНГ-19/11513/00010/Р "/>
    <s v="1. Продление срока действия договора до 31.12.2024г_x000d__x000a_2. Изменение срока предоставления первичных учетных документов, в соответствии со сроками управленческой отчетности и закрытия, принятыми в 2021 г в ООО «ГПН-ГЕО»._x000d__x000a_3. Изменение текущего порядка оплаты на порядок, применяемый для вновь заключенных договоров._x000d__x000a_4. Распределение общего объема работ на период 2019-2024 гг., без увеличения ориентировочного общего количества."/>
    <s v="Титаева И.А."/>
    <s v="Титаева И.А. - Руководитель маркшейдерско-землеустроительных работ - Управление маркшейдерско-землеустроительных работ;"/>
    <s v="Договорный документ"/>
    <s v="Управление маркшейдерско-землеустроительных работ"/>
    <s v="Масалкин Ю.В."/>
    <s v="На бумажном носителе"/>
    <s v="С ограничением по срокам "/>
    <d v="2021-05-24T00:00:00"/>
    <d v="2024-12-31T00:00:00"/>
    <s v=""/>
    <s v="Выполнение комплекса топографо-геодезических, землеустроительных и лесоустроительных  работ "/>
    <s v="Не предполагает взаиморасчетов"/>
    <s v=""/>
    <s v=""/>
    <s v=""/>
    <s v=""/>
    <s v=""/>
    <s v=""/>
    <s v=""/>
    <s v="нет"/>
    <s v="нет"/>
    <s v=""/>
    <s v=""/>
    <s v=""/>
    <s v=""/>
    <s v="нет"/>
  </r>
  <r>
    <s v="Газпромнефть-ГЕО, ООО"/>
    <s v="0000107378"/>
    <s v="Зарегистрирован"/>
    <d v="2023-03-30T00:00:00"/>
    <s v=""/>
    <x v="11"/>
    <s v="471200460370"/>
    <s v="ГЕО-23/25000/00007/Р"/>
    <s v=""/>
    <s v="1"/>
    <s v="Нетиповой ДД"/>
    <x v="0"/>
    <s v=""/>
    <s v="00172-23"/>
    <s v=""/>
    <s v="Дополнительное соглашение к Договору на оказание услуг физическим лицом (без выезда на Лицензионные участки Заказчика)"/>
    <s v="Продление договора гражданско-правового характера."/>
    <s v="Исаева И.С."/>
    <s v=""/>
    <s v="Договорный документ"/>
    <s v="Отдел административной поддержки бизнеса"/>
    <s v="Масалкин Ю.В."/>
    <s v="На бумажном носителе"/>
    <s v="С ограничением по срокам "/>
    <d v="2023-04-01T00:00:00"/>
    <d v="2023-09-30T00:00:00"/>
    <s v=""/>
    <s v="Договор оказания услуг с физическим лицом"/>
    <s v="Расходная часть"/>
    <s v="Стоимостной"/>
    <s v="13%"/>
    <s v=""/>
    <s v=""/>
    <s v="652 500.00"/>
    <s v="567 675.00"/>
    <s v="84 825.00"/>
    <s v="нет"/>
    <s v="нет"/>
    <s v=""/>
    <s v=""/>
    <s v=""/>
    <s v=""/>
    <s v="нет"/>
  </r>
  <r>
    <s v="Газпромнефть-ГЕО, ООО"/>
    <s v="0000040642"/>
    <s v="Зарегистрирован"/>
    <d v="2024-03-29T00:00:00"/>
    <s v=""/>
    <x v="4"/>
    <s v="7736035485"/>
    <s v="ГЕО-22/17000/00081/Р"/>
    <s v=""/>
    <s v="3"/>
    <s v="Нетиповой ДД"/>
    <x v="0"/>
    <s v=""/>
    <s v="00172-24"/>
    <s v=""/>
    <s v="ДС №3 к договору 0622 LM 000043/ГЕО-22/17000/00081/Р от «01» апреля 2022 г."/>
    <s v="Продление договора ДМС"/>
    <s v="Хужина В.А."/>
    <s v=""/>
    <s v="Договорный документ"/>
    <s v="Управление по работе с персоналом"/>
    <s v="Игнатова Ю.В."/>
    <s v="На бумажном носителе"/>
    <s v="С ограничением по срокам "/>
    <d v="2024-04-01T00:00:00"/>
    <d v="2025-03-31T00:00:00"/>
    <s v="Д-66"/>
    <s v="Договор страхования"/>
    <s v="Расходная часть"/>
    <s v="Рамочный"/>
    <s v="без НДС"/>
    <s v=""/>
    <s v=""/>
    <s v="23 495 075.00"/>
    <s v="23 495 075.00"/>
    <n v="0"/>
    <s v="нет"/>
    <s v="нет"/>
    <s v=""/>
    <s v=""/>
    <s v=""/>
    <s v=""/>
    <s v="нет"/>
  </r>
  <r>
    <s v="Газпромнефть-ГЕО, ООО"/>
    <s v="0000092415"/>
    <s v="Зарегистрирован"/>
    <d v="2022-03-15T00:00:00"/>
    <s v=""/>
    <x v="196"/>
    <s v="7728142525"/>
    <s v="ГЕО-19/09000/00227/Р"/>
    <s v=""/>
    <s v="1"/>
    <s v="Типовой ДД"/>
    <x v="0"/>
    <s v="00000 ДС на изменение реквизитов контрагента (адрес, счет)"/>
    <s v="00173-22"/>
    <s v=""/>
    <s v="00000 ДС на изменение реквизитов контрагента (адрес, счет)"/>
    <s v="изменение реквизитов контрагента "/>
    <s v="Потемкина И.В."/>
    <s v="Потемкина И.В."/>
    <s v="Договорный документ"/>
    <s v="Отдел административной поддержки бизнеса"/>
    <s v="Буракова О.В."/>
    <s v="На бумажном носителе"/>
    <s v="С ограничением по срокам "/>
    <d v="2022-02-28T00:00:00"/>
    <d v="2023-12-31T00:00:00"/>
    <s v="Д-46"/>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48275"/>
    <s v="Зарегистрирован"/>
    <d v="2023-03-21T00:00:00"/>
    <s v=""/>
    <x v="83"/>
    <s v="7709267582"/>
    <s v="ГЕО-22/10951/00165/Р"/>
    <s v=""/>
    <s v="2"/>
    <s v="Нетиповой ДД"/>
    <x v="8"/>
    <s v=""/>
    <s v="00173-23"/>
    <s v=""/>
    <s v="Задание №2 с АО &quot;ЦАСЭО&quot; к ДД № ГЕО-22/10951/00165/Р"/>
    <s v="Добавление новых объемов"/>
    <s v="Яшкина К.Л."/>
    <s v="Белоусов О.В."/>
    <s v="Договорный документ"/>
    <s v="Блок производственной безопасности"/>
    <s v="Михайлов Ю.А."/>
    <s v="ЭП"/>
    <s v="С ограничением по срокам "/>
    <d v="2023-04-04T00:00:00"/>
    <d v="2023-05-31T00:00:00"/>
    <s v="Д-2"/>
    <s v="Профилактика и ликвидация аварийных разливов нефти (услуги аварийно-спасательного формирования)"/>
    <s v="Расходная часть"/>
    <s v="Рамочный"/>
    <s v="20%"/>
    <s v=""/>
    <s v=""/>
    <s v="2 633 309.04"/>
    <s v="2 194 424.20"/>
    <s v="438 884.84"/>
    <s v="нет"/>
    <s v="нет"/>
    <s v=""/>
    <s v=""/>
    <s v=""/>
    <s v=""/>
    <s v="нет"/>
  </r>
  <r>
    <s v="Газпромнефть-ГЕО, ООО"/>
    <s v="0000091163"/>
    <s v="Зарегистрирован"/>
    <d v="2024-04-05T00:00:00"/>
    <s v=""/>
    <x v="149"/>
    <s v="5001063958"/>
    <s v="ГЕО-21/11505/00195/Р"/>
    <s v=""/>
    <s v="6"/>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73-24"/>
    <s v=""/>
    <s v="ДС №6 к договору №ГЕО-21/11505/00195/Р от 24.08.2021"/>
    <s v=" Актуализации перечня нарушений и штрафных санкций, условий договора по мотивации в области ПБ и оценке эффективности деятельности контрагента"/>
    <s v="Хохлов А.А."/>
    <s v="Хохлов А.А."/>
    <s v="Договорный документ"/>
    <s v="Управление маркшейдерско-землеустроительных работ"/>
    <s v="Перфильев Д.А."/>
    <s v="ЭП"/>
    <s v="До исполнения обязательств"/>
    <d v="2024-04-05T00:00:00"/>
    <s v=""/>
    <s v="Д-61"/>
    <s v="Аэрофотосъемка, космическая съемка. Создание ортофотопланов"/>
    <s v="Не предполагает взаиморасчетов"/>
    <s v="Рамочный"/>
    <s v=""/>
    <s v=""/>
    <s v=""/>
    <s v=""/>
    <s v=""/>
    <s v=""/>
    <s v="нет"/>
    <s v="нет"/>
    <s v=""/>
    <s v=""/>
    <s v=""/>
    <s v=""/>
    <s v="нет"/>
  </r>
  <r>
    <s v="Газпромнефть-ГЕО, ООО"/>
    <s v="0000037846"/>
    <s v="Зарегистрирован"/>
    <d v="2021-04-01T00:00:00"/>
    <s v=""/>
    <x v="26"/>
    <s v="8905032518"/>
    <s v="20-02/407/ГЕО-20/09000/00208/Р"/>
    <s v=""/>
    <s v="ДС 1"/>
    <s v="Нетиповой ДД"/>
    <x v="0"/>
    <s v=""/>
    <s v="00174-21"/>
    <s v=""/>
    <s v="Закупка ИТ сервисных услуг"/>
    <s v="Закупка ИТ сервисных услуг"/>
    <s v="Разумовский М.В."/>
    <s v="Гаврилов Антон Борисович"/>
    <s v="Договорный документ"/>
    <s v="Производственно-технологический департамент"/>
    <s v="Аксенов М.А."/>
    <s v="На бумажном носителе"/>
    <s v="С ограничением по срокам "/>
    <d v="2021-04-01T00:00:00"/>
    <d v="2021-12-31T00:00:00"/>
    <s v="Д-3"/>
    <s v="Договор возмездного оказания услуг"/>
    <s v="Расходная часть"/>
    <s v="Стоимостной"/>
    <s v="20%"/>
    <s v=""/>
    <s v=""/>
    <n v="0.01"/>
    <n v="0.01"/>
    <n v="0"/>
    <s v="нет"/>
    <s v="нет"/>
    <s v=""/>
    <s v=""/>
    <s v=""/>
    <s v=""/>
    <s v="нет"/>
  </r>
  <r>
    <s v="Газпромнефть-ГЕО, ООО"/>
    <s v="0000074750"/>
    <s v="Зарегистрирован"/>
    <d v="2022-03-28T00:00:00"/>
    <s v=""/>
    <x v="66"/>
    <s v="8905062456"/>
    <s v=""/>
    <s v="ГЕО-22/09000/00064/Р"/>
    <s v="ГЕО-22/09000/00064/Р"/>
    <s v="Нетиповой ДД"/>
    <x v="2"/>
    <s v=""/>
    <s v="00174-22"/>
    <s v=""/>
    <s v="Договор на оказание услуг по ГИС, ПВР, ПГИ, ВСП на скважине 1 ПО Северо-Ямбургского ЛУ"/>
    <s v="Оказание услуг по ГИС, ПВР, ПГИ, ВСП на скважине 1 ПО Северо-Ямбургского ЛУ"/>
    <s v="Шкварский А.В."/>
    <s v="Шкварский А.В."/>
    <s v="Договорный документ"/>
    <s v="Управление по геологии"/>
    <s v="Аксенов М.А."/>
    <s v="На бумажном носителе"/>
    <s v="С ограничением по срокам "/>
    <d v="2022-03-28T00:00:00"/>
    <d v="2023-12-31T00:00:00"/>
    <s v=""/>
    <s v="Договор возмездного оказания услуг"/>
    <s v="Расходная часть"/>
    <s v="Рамочный"/>
    <s v="20%"/>
    <s v=""/>
    <s v=""/>
    <s v="518 883 850.95"/>
    <s v="432 403 209.12"/>
    <s v="86 480 641.83"/>
    <s v="нет"/>
    <s v="нет"/>
    <s v=""/>
    <s v=""/>
    <s v=""/>
    <s v=""/>
    <s v="нет"/>
  </r>
  <r>
    <s v="Газпромнефть-ГЕО, ООО"/>
    <s v="0000039779"/>
    <s v="Зарегистрирован"/>
    <d v="2023-03-14T00:00:00"/>
    <s v=""/>
    <x v="139"/>
    <s v="0277067693"/>
    <s v="ГЕО-22/20000/00140/Д"/>
    <s v=""/>
    <s v="1"/>
    <s v="Нетиповой ДД"/>
    <x v="0"/>
    <s v=""/>
    <s v="00174-23"/>
    <s v=""/>
    <s v="ДС 1 к ГЕО-22/20000/00140/Д АО &quot;НПП &quot;Бурсервис&quot;"/>
    <s v="Продление срока действия договора"/>
    <s v="Титова Е.В."/>
    <s v="Титова Е.В."/>
    <s v="Договорный документ"/>
    <s v="Блок снабжения и закупок"/>
    <s v="Титов А.В."/>
    <s v="ЭП"/>
    <s v="С ограничением по срокам "/>
    <d v="2023-03-14T00:00:00"/>
    <d v="2024-03-15T00:00:00"/>
    <s v="Д-56"/>
    <s v="Агентский договор"/>
    <s v="Не предполагает взаиморасчетов"/>
    <s v="Агентский"/>
    <s v=""/>
    <s v=""/>
    <s v=""/>
    <s v=""/>
    <s v=""/>
    <s v=""/>
    <s v="нет"/>
    <s v="нет"/>
    <s v=""/>
    <s v=""/>
    <s v=""/>
    <s v=""/>
    <s v="нет"/>
  </r>
  <r>
    <s v="Газпромнефть-ГЕО, ООО"/>
    <s v="0000076283"/>
    <s v="Зарегистрирован"/>
    <d v="2024-03-21T00:00:00"/>
    <s v=""/>
    <x v="28"/>
    <s v="4501174492"/>
    <s v="ГЕО-22/33100/00245"/>
    <s v=""/>
    <s v="2"/>
    <s v="Типовой ДД"/>
    <x v="0"/>
    <s v="33100 Дополнительное соглашение к Соглашениям в  в области производственной безопасности;"/>
    <s v="00174-24"/>
    <s v=""/>
    <s v="33100 Дополнительное соглашение к Соглашениям в  в области производственной безопасности;"/>
    <s v="Актуализация требований по производственной безопасности"/>
    <s v="Шолохова И.А."/>
    <s v="Салахутдинов Р.С."/>
    <s v="Договорный документ"/>
    <s v="Управление проектно-изыскательских работ"/>
    <s v="Перфильев Д.А."/>
    <s v="ЭП"/>
    <s v="До исполнения обязательств"/>
    <d v="2024-03-21T00:00:00"/>
    <s v=""/>
    <s v="Д-6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6582"/>
    <s v="Зарегистрирован"/>
    <d v="2022-04-08T00:00:00"/>
    <s v=""/>
    <x v="197"/>
    <s v="7451365960"/>
    <s v=""/>
    <s v="ГЕО-22/29000/00075/Р"/>
    <s v="ГЕО-22/29000/00075/Р"/>
    <s v="Нетиповой ДД"/>
    <x v="2"/>
    <s v=""/>
    <s v="00175-22"/>
    <s v=""/>
    <s v="Выполнение шеф-монтажных работ устьевого оборудования "/>
    <s v="Выполнение шеф-монтажных работ устьевого оборудования на проекте &quot;Енисей&quot;"/>
    <s v="Веселкин А.С."/>
    <s v="Веселкин А.С."/>
    <s v="Договорный документ"/>
    <s v="Блок бурения и ВСР"/>
    <s v="Гаврилов С.В."/>
    <s v="На бумажном носителе"/>
    <s v="До исполнения обязательств"/>
    <d v="2022-05-01T00:00:00"/>
    <s v=""/>
    <s v="Д-58"/>
    <s v="Смешанный договор"/>
    <s v="Расходная часть"/>
    <s v="Стоимостной"/>
    <s v="20%"/>
    <s v=""/>
    <s v=""/>
    <s v="2 925 450.00"/>
    <s v="2 437 875.00"/>
    <s v="487 575.00"/>
    <s v="нет"/>
    <s v="нет"/>
    <s v=""/>
    <s v=""/>
    <s v=""/>
    <s v=""/>
    <s v="нет"/>
  </r>
  <r>
    <s v="Газпромнефть-ГЕО, ООО"/>
    <s v="0000057750"/>
    <s v="Зарегистрирован"/>
    <d v="2024-03-31T00:00:00"/>
    <s v=""/>
    <x v="182"/>
    <s v="0814118403"/>
    <s v="ГЕО-22/10000/00225/Р"/>
    <s v=""/>
    <s v="4"/>
    <s v="Нетиповой ДД"/>
    <x v="0"/>
    <s v=""/>
    <s v="00175-24"/>
    <s v=""/>
    <s v="ДС№4 к Договору №ГЕО-22/10000/00225/Р от 20.09.2022   "/>
    <s v="Дополнительное соглашение №4 к Договору №ГЕО-22/10000/00225/Р от 20.09.2022 &quot;на бурение геологоразведочных скважин по суточной ставке или фиксированной ставке (в т.ч. мобильными установками)&quot;. Камовская площадь. Индексация."/>
    <s v="Мормышев А.А."/>
    <s v="Чупров В.В."/>
    <s v="Договорный документ"/>
    <s v="Блок бурения и ВСР"/>
    <s v="Трифонов А.В."/>
    <s v="На бумажном носителе"/>
    <s v="До исполнения обязательств"/>
    <d v="2024-03-31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8216"/>
    <s v="Зарегистрирован"/>
    <d v="2022-03-17T00:00:00"/>
    <s v=""/>
    <x v="38"/>
    <s v="8605013881"/>
    <s v=""/>
    <s v="ГЕО-22/33100/00056"/>
    <s v="ГЕО-22/33100/00056"/>
    <s v="Типовой ДД"/>
    <x v="1"/>
    <s v="33100 Соглашение в области производственной безопасности"/>
    <s v="00176-22"/>
    <s v=""/>
    <s v="33100 Соглашение в области производственной безопасности"/>
    <s v="Соблюдение требований ПБ контрагентом АО «ПГО «Тюменьпромгеофизика»_x000d__x000a_//ФОРМА СОГЛАШЕНИЯ ПО ПБ И ПРИЛОЖЕНИЯ К НЕМУ, В ТОМ ЧИСЛЕ ПАСПОРТА КАРКАСА БЕЗОПАСНОСТИ, ПРИЛОЖЕНЫ В СООТВЕТСТВИИ С ТРЕБОВАНИЯМИ, ДЕЙСТВУЮЩИМИ НА МОМЕНТ ПРОВЕДЕНИЯ КОНКУРЕНТНОГО ОТБОРА. ЗАКЛЮЧЕНИЕ СОГЛАШЕНИЯ ПО ПБ С ИНЫМИ ТРЕБОВАНИЯМИ НЕВОЗМОЖНО. ЛЮБЫЕ ИЗМЕНЕНИЯ ДОЛЖНЫ БЫТЬ ОФОРМЛЕНЫ ПУТЕМ ЗАКЛЮЧЕНИЯ ДС.//"/>
    <s v="Ушакова М.А."/>
    <s v="Ушакова М.А."/>
    <s v="Договорный документ"/>
    <s v="Блок геологии и разработки"/>
    <s v="Аксенов М.А."/>
    <s v="На бумажном носителе"/>
    <s v="Без сроков "/>
    <d v="2022-03-17T00:00:00"/>
    <s v=""/>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Проект"/>
    <s v=""/>
    <s v=""/>
    <x v="72"/>
    <s v=""/>
    <s v=""/>
    <s v=""/>
    <s v=""/>
    <s v="Нетиповой ДД"/>
    <x v="1"/>
    <s v=""/>
    <s v="00176-23"/>
    <s v=""/>
    <s v="Соглашение о конфиденциальности"/>
    <s v="Соглашение о конфиденциальности"/>
    <s v="Гулин В.Д."/>
    <s v="Гулин В.Д."/>
    <s v="Договорный документ"/>
    <s v="Блок геологии и разработки"/>
    <s v="Аксенов М.А."/>
    <s v="ЭП (внешний)"/>
    <s v="С ограничением по срокам "/>
    <d v="2023-03-10T00:00:00"/>
    <d v="2023-12-31T00:00:00"/>
    <s v="Д-54"/>
    <s v="Соглашение о конфиденциальности"/>
    <s v=""/>
    <s v=""/>
    <s v=""/>
    <s v=""/>
    <s v=""/>
    <s v=""/>
    <s v=""/>
    <s v=""/>
    <s v="нет"/>
    <s v="нет"/>
    <s v=""/>
    <s v=""/>
    <s v=""/>
    <s v=""/>
    <s v="нет"/>
  </r>
  <r>
    <s v="Газпромнефть-ГЕО, ООО"/>
    <s v="0000063984"/>
    <s v="Зарегистрирован"/>
    <d v="2024-04-02T00:00:00"/>
    <s v=""/>
    <x v="141"/>
    <s v="3808099451"/>
    <s v=""/>
    <s v="ГЕО-24/33400/00063"/>
    <s v="ГЕО-24/33400/00063"/>
    <s v="Нетиповой ДД"/>
    <x v="1"/>
    <s v=""/>
    <s v="00176-24"/>
    <s v=""/>
    <s v="Соглашение о  безопасном использовании информационных систем с ООО &quot;ГТС&quot;"/>
    <s v="Организация безопасного использования информационных систем с ОО &quot;ГТС&quot;"/>
    <s v="Васильева А.И."/>
    <s v="Копылов Е.О."/>
    <s v="Договорный документ"/>
    <s v="Блок производственной безопасности"/>
    <s v="Созинов С.А."/>
    <s v="ЭП"/>
    <s v="С ограничением по срокам "/>
    <d v="2024-04-08T00:00:00"/>
    <d v="2029-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91084"/>
    <s v="Зарегистрирован"/>
    <d v="2023-04-01T00:00:00"/>
    <s v=""/>
    <x v="198"/>
    <s v="561003662278"/>
    <s v=""/>
    <s v="ГЕО-23/04300/00074/Р"/>
    <s v="ГЕО-23/04300/00074/Р"/>
    <s v="Нетиповой ДД"/>
    <x v="2"/>
    <s v=""/>
    <s v="00177-23"/>
    <s v=""/>
    <s v="Договор аренды земельных участков"/>
    <s v="Аренда частей земельных участков с кадастровыми номерами 56:31:1308001:45, 56:31:0000000:1472, 56:31:0000000:1162 для размещения (строительство, реконструкция, ремонт, обслуживание) промышленных объектов, для проезда к промышленным объектам"/>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3-04-01T00:00:00"/>
    <d v="2024-02-01T00:00:00"/>
    <s v="Д-61"/>
    <s v="Договор аренды недвижимости"/>
    <s v="Расходная часть"/>
    <s v="Стоимостной"/>
    <s v="20%"/>
    <s v=""/>
    <s v=""/>
    <s v="35 806.94"/>
    <s v="29 839.12"/>
    <s v="5 967.82"/>
    <s v="нет"/>
    <s v="нет"/>
    <s v=""/>
    <s v=""/>
    <s v=""/>
    <s v=""/>
    <s v="нет"/>
  </r>
  <r>
    <s v="Газпромнефть-ГЕО, ООО"/>
    <s v="0000105643"/>
    <s v="Зарегистрирован"/>
    <d v="2024-03-29T00:00:00"/>
    <s v=""/>
    <x v="25"/>
    <s v="7717693190"/>
    <s v="ГЕО-22/10120/00208/Р"/>
    <s v=""/>
    <s v="5"/>
    <s v="Нетиповой ДД"/>
    <x v="0"/>
    <s v=""/>
    <s v="00177-24"/>
    <s v=""/>
    <s v="ДС №5 к Договору №ГЕО-22/10120/00208/Р от 18.08.2022 г."/>
    <s v="1. Актуализация перечня нарушений и штрафных санкций, раздела по мотивации, формы расчета мотивации и раздела УЭДК_x000a_2. Корректировка ошибочного расчета стоимости договора заключенного к ДС 4 (без изменения общей стоимости договора)"/>
    <s v="Ушакова М.А."/>
    <s v=""/>
    <s v="Договорный документ"/>
    <s v="Блок геологии и разработки"/>
    <s v="Аксенов М.А."/>
    <s v="ЭП"/>
    <s v="С ограничением по срокам "/>
    <d v="2024-03-29T00:00:00"/>
    <d v="2025-12-31T00:00:00"/>
    <s v=""/>
    <s v="Гидродинамические исследования"/>
    <s v="Расходная часть"/>
    <s v="Рамочный"/>
    <s v="20%"/>
    <s v=""/>
    <s v=""/>
    <s v="625 552 753.44"/>
    <s v="521 293 961.20"/>
    <s v="104 258 792.24"/>
    <s v="нет"/>
    <s v="нет"/>
    <s v=""/>
    <s v=""/>
    <s v=""/>
    <s v=""/>
    <s v="нет"/>
  </r>
  <r>
    <s v="Газпромнефть-ГЕО, ООО"/>
    <s v="0000039714"/>
    <s v="Зарегистрирован"/>
    <d v="2022-02-08T00:00:00"/>
    <s v=""/>
    <x v="1"/>
    <s v="7734033757"/>
    <s v="ГЕО-21/10114/00257/Р"/>
    <s v=""/>
    <s v="3"/>
    <s v="Нетиповой ДД"/>
    <x v="3"/>
    <s v=""/>
    <s v="00178-22"/>
    <s v=""/>
    <s v=" оказание услуг по супервайзерскому контролю технологии полевых сейсморазведочных работ на Тайлаковском лицензионном участке."/>
    <s v=" оказание услуг по супервайзерскому контролю технологии полевых сейсморазведочных работ на Тайлаковском лицензионном участке."/>
    <s v="Дакиров В.С."/>
    <s v="Дакиров В.С."/>
    <s v="Договорный документ"/>
    <s v="Управление сейсморазведочных работ"/>
    <s v="Аксенов М.А."/>
    <s v="На бумажном носителе"/>
    <s v="С ограничением по срокам "/>
    <d v="2022-02-08T00:00:00"/>
    <d v="2023-02-28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 407 828.00"/>
    <s v="1 173 190.00"/>
    <s v="234 638.00"/>
    <s v="нет"/>
    <s v="нет"/>
    <s v=""/>
    <s v=""/>
    <s v=""/>
    <s v=""/>
    <s v="нет"/>
  </r>
  <r>
    <s v="Газпромнефть-ГЕО, ООО"/>
    <s v="0000048216"/>
    <s v="Зарегистрирован"/>
    <d v="2023-04-13T00:00:00"/>
    <s v=""/>
    <x v="38"/>
    <s v="8605013881"/>
    <s v="ГЕО-21/10308/00236/Р"/>
    <s v=""/>
    <s v="7"/>
    <s v="Нетиповой ДД"/>
    <x v="0"/>
    <s v=""/>
    <s v="00178-23"/>
    <s v=""/>
    <s v="Дополнительное соглашение №7 к Договору № ГЕО-21/10308/00236/Р  от 04.10.2021"/>
    <s v="Перевод части негарантированного объема в гарантированный объем работ в 2023 г."/>
    <s v="Безруков А.А."/>
    <s v="Кушников А.М."/>
    <s v="Договорный документ"/>
    <s v="Блок геологии и разработки"/>
    <s v="Аксенов М.А."/>
    <s v="ЭП"/>
    <s v="До исполнения обязательств"/>
    <d v="2023-04-13T00:00:00"/>
    <s v=""/>
    <s v="Д-54"/>
    <s v="ГТИ при бурении"/>
    <s v="Расходная часть"/>
    <s v="Рамочный"/>
    <s v="20%"/>
    <s v=""/>
    <s v=""/>
    <s v="17 485 653.76"/>
    <s v="14 571 378.13"/>
    <s v="2 914 275.63"/>
    <s v="нет"/>
    <s v="нет"/>
    <s v=""/>
    <s v=""/>
    <s v=""/>
    <s v=""/>
    <s v="нет"/>
  </r>
  <r>
    <s v="Газпромнефть-ГЕО, ООО"/>
    <s v="0000076283"/>
    <s v="Зарегистрирован"/>
    <d v="2024-03-21T00:00:00"/>
    <s v=""/>
    <x v="28"/>
    <s v="4501174492"/>
    <s v="ГЕО-22/11000/00267/Р"/>
    <s v=""/>
    <s v="4"/>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78-24"/>
    <s v=""/>
    <s v="Дополнительное соглашение №4 к Договору № ГЕО-22/11000/00267/Р от 10.10.2022г"/>
    <s v="Актуализация перечня нарушений и штрафных санкций, условий договора по мотивации в области ПБ"/>
    <s v="Шолохова И.А."/>
    <s v="Салахутдинов Р.С."/>
    <s v="Договорный документ"/>
    <s v="Управление проектно-изыскательских работ"/>
    <s v="Перфильев Д.А."/>
    <s v="ЭП"/>
    <s v="С ограничением по срокам "/>
    <d v="2024-03-21T00:00:00"/>
    <d v="2026-03-31T00:00:00"/>
    <s v="Д-61"/>
    <s v="Капитальное строительство и ПИР"/>
    <s v="Не предполагает взаиморасчетов"/>
    <s v=""/>
    <s v=""/>
    <s v=""/>
    <s v=""/>
    <s v=""/>
    <s v=""/>
    <s v=""/>
    <s v="нет"/>
    <s v="нет"/>
    <s v=""/>
    <s v=""/>
    <s v=""/>
    <s v=""/>
    <s v="нет"/>
  </r>
  <r>
    <s v="Газпромнефть-ГЕО, ООО"/>
    <s v="0000062928"/>
    <s v="Зарегистрирован"/>
    <d v="2023-04-10T00:00:00"/>
    <s v=""/>
    <x v="136"/>
    <s v="7701645627"/>
    <s v="ГЕО-20/11501/00184/Р"/>
    <s v=""/>
    <s v="5"/>
    <s v="Нетиповой ДД"/>
    <x v="3"/>
    <s v=""/>
    <s v="00179-23"/>
    <s v=""/>
    <s v="Заказ 5 к договору ГЕО-20/11501/00184/Р"/>
    <s v="Выполнение камеральных маркшейдерских работ"/>
    <s v="Хохлов А.А."/>
    <s v="Хохлов А.А."/>
    <s v="Договорный документ"/>
    <s v="Управление маркшейдерско-землеустроительных работ"/>
    <s v="Трифонов А.В."/>
    <s v="ЭП"/>
    <s v="С ограничением по срокам "/>
    <d v="2023-04-20T00:00:00"/>
    <d v="2023-12-31T00:00:00"/>
    <s v="Д-33"/>
    <s v="Договор возмездного оказания услуг"/>
    <s v="Расходная часть"/>
    <s v="Рамочный"/>
    <s v="0%"/>
    <s v=""/>
    <s v=""/>
    <s v="969 633.52"/>
    <s v="969 633.52"/>
    <n v="0"/>
    <s v="нет"/>
    <s v="нет"/>
    <s v=""/>
    <s v=""/>
    <s v=""/>
    <s v=""/>
    <s v="нет"/>
  </r>
  <r>
    <s v="Газпромнефть-ГЕО, ООО"/>
    <s v="0000089465"/>
    <s v="Зарегистрирован"/>
    <d v="2024-04-05T00:00:00"/>
    <s v=""/>
    <x v="199"/>
    <s v="7814748133"/>
    <s v=""/>
    <s v="ГЕО-24/01200/00069/Р"/>
    <s v="ГЕО-24/01200/00069/Р"/>
    <s v="Типовой ДД"/>
    <x v="2"/>
    <s v="01200 Договор  поставки МТР"/>
    <s v="00179-24"/>
    <s v=""/>
    <s v="01200 Договор  поставки МТР"/>
    <s v="Договор на поставку сувенирной продукции в 2024 году с ООО &quot;Продакшен Сервис&quot;"/>
    <s v="Лесняк Н.А."/>
    <s v="Лесняк Н.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4-04-01T00:00:00"/>
    <d v="2024-12-31T00:00:00"/>
    <s v="Д-56"/>
    <s v="Договор поставки/купли продажи движимого имущества"/>
    <s v="Расходная часть"/>
    <s v="Стоимостной"/>
    <s v="0%"/>
    <s v=""/>
    <s v=""/>
    <s v="635 195.00"/>
    <s v="635 195.00"/>
    <n v="0"/>
    <s v="нет"/>
    <s v="нет"/>
    <s v=""/>
    <s v=""/>
    <s v=""/>
    <s v=""/>
    <s v="нет"/>
  </r>
  <r>
    <s v="Газпромнефть-ГЕО, ООО"/>
    <s v=""/>
    <s v="Проект"/>
    <s v=""/>
    <s v=""/>
    <x v="58"/>
    <s v=""/>
    <s v=""/>
    <s v=""/>
    <s v=""/>
    <s v=""/>
    <x v="6"/>
    <s v=""/>
    <s v="00180-22"/>
    <s v=""/>
    <s v=""/>
    <s v=""/>
    <s v="Ябиров Р.З."/>
    <s v=""/>
    <s v="Договорный документ"/>
    <s v=""/>
    <s v=""/>
    <s v=""/>
    <s v=""/>
    <s v=""/>
    <s v=""/>
    <s v=""/>
    <s v=""/>
    <s v=""/>
    <s v=""/>
    <s v=""/>
    <s v=""/>
    <s v=""/>
    <s v=""/>
    <s v=""/>
    <s v=""/>
    <s v="нет"/>
    <s v="нет"/>
    <s v=""/>
    <s v=""/>
    <s v=""/>
    <s v=""/>
    <s v="нет"/>
  </r>
  <r>
    <s v="Газпромнефть-ГЕО, ООО"/>
    <s v="0000065735"/>
    <s v="Зарегистрирован"/>
    <d v="2023-03-29T00:00:00"/>
    <s v=""/>
    <x v="200"/>
    <s v="0274095068"/>
    <s v=""/>
    <s v=""/>
    <s v="4"/>
    <s v="Нетиповой ДД"/>
    <x v="0"/>
    <s v=""/>
    <s v="00180-23"/>
    <s v=""/>
    <s v="Дополнительное соглашение"/>
    <s v="Изменение срока действия Договора"/>
    <s v="Шолохова И.А."/>
    <s v="Салахутдинов Р.С."/>
    <s v="Договорный документ"/>
    <s v="Управление проектно-изыскательских работ"/>
    <s v="Трифонов А.В."/>
    <s v="На бумажном носителе"/>
    <s v="С ограничением по срокам "/>
    <d v="2023-03-31T00:00:00"/>
    <d v="2023-06-30T00:00:00"/>
    <s v="Д-33"/>
    <s v="Капитальное строительство и ПИР"/>
    <s v="Не предполагает взаиморасчетов"/>
    <s v=""/>
    <s v=""/>
    <s v=""/>
    <s v=""/>
    <s v=""/>
    <s v=""/>
    <s v=""/>
    <s v="нет"/>
    <s v="нет"/>
    <s v=""/>
    <s v=""/>
    <s v=""/>
    <s v=""/>
    <s v="нет"/>
  </r>
  <r>
    <s v="Газпромнефть-ГЕО, ООО"/>
    <s v="0000062928"/>
    <s v="Зарегистрирован"/>
    <d v="2024-04-05T00:00:00"/>
    <s v=""/>
    <x v="136"/>
    <s v="7701645627"/>
    <s v="ГЕО-20/11501/00184/Р"/>
    <s v=""/>
    <s v="8"/>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80-24"/>
    <s v=""/>
    <s v="ДС 8 к договору №ГЕО-20/11501/00184/Р от 29 ноября 2020 года"/>
    <s v=" Актуализации перечня нарушений и штрафных санкций, условий договора по мотивации в области ПБ и оценке эффективности деятельности контрагента"/>
    <s v="Хохлов А.А."/>
    <s v="Хохлов А.А."/>
    <s v="Договорный документ"/>
    <s v="Управление маркшейдерско-землеустроительных работ"/>
    <s v="Перфильев Д.А."/>
    <s v="ЭП"/>
    <s v="До исполнения обязательств"/>
    <d v="2024-04-05T00:00:00"/>
    <s v=""/>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5789"/>
    <s v="Зарегистрирован"/>
    <d v="2022-03-14T00:00:00"/>
    <s v=""/>
    <x v="16"/>
    <s v="7838395487"/>
    <s v="ГЕО-21/11708/00165/Р//НТЦ-21/09000/00768/Д"/>
    <s v=""/>
    <s v="НТЦ-00343-22Д-ГЕО"/>
    <s v="Нетиповой ДД"/>
    <x v="3"/>
    <s v=""/>
    <s v="00181-22"/>
    <s v=""/>
    <s v="Заключение Наряд-Заказа к Рамочному Договору"/>
    <s v="Научно-исследовательские работы по оценке перспективности действующих участков с целью доизучения в периметре территории деятельности АО «Газпромнефть-ННГ»"/>
    <s v="Ябиров Р.З."/>
    <s v="Аксенов М.А."/>
    <s v="Договорный документ"/>
    <s v="Блок геологии и разработки"/>
    <s v="Аксенов М.А."/>
    <s v="На бумажном носителе"/>
    <s v="С ограничением по срокам "/>
    <d v="2022-03-14T00:00:00"/>
    <d v="2023-12-30T00:00:00"/>
    <s v="Д-54"/>
    <s v="Договор на выполнение НИР, ОКР и технологических работ"/>
    <s v="Расходная часть"/>
    <s v="Рамочный"/>
    <s v="20%"/>
    <s v=""/>
    <s v=""/>
    <s v="34 147 200.00"/>
    <s v="28 456 000.00"/>
    <s v="5 691 200.00"/>
    <s v="нет"/>
    <s v="нет"/>
    <s v=""/>
    <s v=""/>
    <s v=""/>
    <s v=""/>
    <s v="нет"/>
  </r>
  <r>
    <s v="Газпромнефть-ГЕО, ООО"/>
    <s v="0000040642"/>
    <s v="Зарегистрирован"/>
    <d v="2023-03-31T00:00:00"/>
    <s v=""/>
    <x v="4"/>
    <s v="7736035485"/>
    <s v="ГЕО-22/17000/00081/Р"/>
    <s v=""/>
    <s v="1"/>
    <s v="Нетиповой ДД"/>
    <x v="0"/>
    <s v=""/>
    <s v="00181-23"/>
    <s v=""/>
    <s v="Дополнительное соглашение № 1 к договору добровольного медицинского страхования № 0622 LM 000043 от «01» апреля 2022 г."/>
    <s v="Пролонгация договора Добровольного медицинского страхования сотрудников ООО ГПН-ГЕО на период с 01 апреля 2023 г. по 31.03.2024 г.; изменение списков застрахованных лиц; увеличение суммы договора. "/>
    <s v="Курашко М.В."/>
    <s v="Курашко М.В."/>
    <s v="Договорный документ"/>
    <s v="Управление по работе с персоналом"/>
    <s v="Игнатова Ю.В."/>
    <s v="На бумажном носителе"/>
    <s v="С ограничением по срокам "/>
    <d v="2023-04-01T00:00:00"/>
    <d v="2024-03-31T00:00:00"/>
    <s v="Д-66"/>
    <s v="Договор страхования"/>
    <s v="Расходная часть"/>
    <s v="Рамочный"/>
    <s v="без НДС"/>
    <s v=""/>
    <s v=""/>
    <s v="21 090 930.00"/>
    <s v="21 090 930.00"/>
    <n v="0"/>
    <s v="нет"/>
    <s v="нет"/>
    <s v=""/>
    <s v=""/>
    <s v=""/>
    <s v=""/>
    <s v="нет"/>
  </r>
  <r>
    <s v="Газпромнефть-ГЕО, ООО"/>
    <s v="0000104871"/>
    <s v="Зарегистрирован"/>
    <d v="2024-04-02T00:00:00"/>
    <s v=""/>
    <x v="53"/>
    <s v="7705848410"/>
    <s v="ГЕО-24/10000/00021/Р"/>
    <s v=""/>
    <s v="1"/>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81-24"/>
    <s v=""/>
    <s v="Дополнительное соглашение №1 к договору № ГЕО-224/10000/00021/Р от 31.01.2024 г."/>
    <s v="Внесение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Ларионов Е.А."/>
    <s v=""/>
    <s v="Договорный документ"/>
    <s v="Блок геологии и разработки"/>
    <s v="Аксенов М.А."/>
    <s v="ЭП"/>
    <s v="С ограничением по срокам "/>
    <d v="2024-04-02T00:00:00"/>
    <d v="2028-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45789"/>
    <s v="Зарегистрирован"/>
    <d v="2022-03-02T00:00:00"/>
    <s v=""/>
    <x v="16"/>
    <s v="7838395487"/>
    <s v="ГЕО-21/11708/00165/Р//НТЦ-21/09000/00768/Д "/>
    <s v=""/>
    <s v="НТЦ-00058-22Д-ГЕО"/>
    <s v="Нетиповой ДД"/>
    <x v="3"/>
    <s v=""/>
    <s v="00182-22"/>
    <s v=""/>
    <s v="Заключение Наряд-Заказа к Договору"/>
    <s v="Анализ и разработка методов прогнозирования насыщения Ачимовской толщи в Западной Сибири"/>
    <s v="Ябиров Р.З."/>
    <s v=""/>
    <s v="Договорный документ"/>
    <s v="Блок геологии и разработки"/>
    <s v="Аксенов М.А."/>
    <s v="На бумажном носителе"/>
    <s v="С ограничением по срокам "/>
    <d v="2022-03-02T00:00:00"/>
    <d v="2022-06-25T00:00:00"/>
    <s v="Д-54"/>
    <s v="Договор на выполнение НИР, ОКР и технологических работ"/>
    <s v="Расходная часть"/>
    <s v="Рамочный"/>
    <s v="20%"/>
    <s v=""/>
    <s v=""/>
    <s v="58 447 943.94"/>
    <s v="48 706 619.95"/>
    <s v="9 741 323.99"/>
    <s v="нет"/>
    <s v="нет"/>
    <s v=""/>
    <s v=""/>
    <s v=""/>
    <s v=""/>
    <s v="нет"/>
  </r>
  <r>
    <s v="Газпромнефть-ГЕО, ООО"/>
    <s v="0000060723"/>
    <s v="Зарегистрирован"/>
    <d v="2024-04-08T00:00:00"/>
    <d v="2024-05-20T00:00:00"/>
    <x v="49"/>
    <s v="3811088474"/>
    <s v="АНГ-19/11513/00007/Р"/>
    <s v=""/>
    <s v="37"/>
    <s v="Нетиповой ДД"/>
    <x v="3"/>
    <s v=""/>
    <s v="00182-24"/>
    <s v=""/>
    <s v="НАРЯД-ЗАКАЗ №37 к Договору № АНГ-19/11513/00007/Р от 14.02.2019"/>
    <s v="Рассмотрение возможности заключения наряд-заказа №37 к договору АНГ- 19/11513/00007/Р от 14.02.2019 и Соглашения о передаче Договора от 27.02.2019 с ООО «СЕРВИСТА» по выполнению комплекса землеустроительных работ для объектов: «Поисково- оценочная скважина №178 на Лескинском ЛУ», «Поисково-оценочная скважина №198 на Лескинском ЛУ», «Временная база хранения со складом ГСМ», «Береговая база Готовкина», «Лескинский ЛУ» (расторжение договоров аренды, получение разрешение, предварительное согласования) "/>
    <s v="Расулов И.Ф."/>
    <s v="Расулов И.Ф."/>
    <s v="Договорный документ"/>
    <s v="Управление маркшейдерско-землеустроительных работ"/>
    <s v="Трифонов А.В."/>
    <s v="ЭП"/>
    <s v="С ограничением по срокам "/>
    <d v="2024-04-08T00:00:00"/>
    <d v="2024-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 435 939.48"/>
    <s v="1 196 616.23"/>
    <s v="239 323.25"/>
    <s v="нет"/>
    <s v="нет"/>
    <s v=""/>
    <s v=""/>
    <s v=""/>
    <s v=""/>
    <s v="нет"/>
  </r>
  <r>
    <s v="Газпромнефть-ГЕО, ООО"/>
    <s v="0000047108"/>
    <s v="Закрыт"/>
    <d v="2022-01-13T00:00:00"/>
    <s v=""/>
    <x v="19"/>
    <s v="3245502148"/>
    <s v="ГЕО-21/09000/00289"/>
    <s v=""/>
    <s v="16"/>
    <s v="Нетиповой ДД"/>
    <x v="3"/>
    <s v=""/>
    <s v="00183-22"/>
    <s v=""/>
    <s v="Выполнение глубинной миграции по сейсмическим профилям 2D на сопредельных Лескинскому и Усть-Енисейскому ЛУ территориях правого берега р.Енисей"/>
    <s v="Заказ-наряд к рамочному договору "/>
    <s v="Кошелева Ю.В."/>
    <s v="Кошелева Ю.В."/>
    <s v="Договорный документ"/>
    <s v="Управление экономического планирования и анализа"/>
    <s v="Николаев М.Н."/>
    <s v="На бумажном носителе"/>
    <s v="С ограничением по срокам "/>
    <d v="2022-02-16T00:00:00"/>
    <d v="2022-03-31T00:00:00"/>
    <s v="Д-57"/>
    <s v="Договор возмездного оказания услуг"/>
    <s v="Доходная часть"/>
    <s v="Стоимостной"/>
    <s v="20%"/>
    <s v=""/>
    <s v=""/>
    <s v="3 598 203.65"/>
    <s v="2 998 503.04"/>
    <s v="599 700.61"/>
    <s v="нет"/>
    <s v="нет"/>
    <s v=""/>
    <s v=""/>
    <s v=""/>
    <s v=""/>
    <s v="нет"/>
  </r>
  <r>
    <s v="Газпромнефть-ГЕО, ООО"/>
    <s v="0000096994"/>
    <s v="Зарегистрирован"/>
    <d v="2023-04-12T00:00:00"/>
    <s v=""/>
    <x v="102"/>
    <s v="6316103250"/>
    <s v=""/>
    <s v="ГЕО-23/33400/00070"/>
    <s v="ГЕО-23/33400/00070"/>
    <s v="Нетиповой ДД"/>
    <x v="1"/>
    <s v=""/>
    <s v="00183-23"/>
    <s v=""/>
    <s v="Соглашение о безопасном использовании информационных систем "/>
    <s v="Предоставление ООО &quot;Барбус&quot; доступа к автоматизированной информационной системе удаленного доступа к информационным ресурсам «СУДИР»  для организации работ в ПО &quot;Эра-Бурение&quot;"/>
    <s v="Мормышев А.А."/>
    <s v=""/>
    <s v="Договорный документ"/>
    <s v="Блок снабжения и закупок"/>
    <s v="Созинов С.А."/>
    <s v="ЭП"/>
    <s v="С ограничением по срокам "/>
    <d v="2023-04-12T00:00:00"/>
    <d v="2025-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62602"/>
    <s v="Зарегистрирован"/>
    <d v="2024-04-01T00:00:00"/>
    <s v=""/>
    <x v="201"/>
    <s v="7740000020"/>
    <s v=""/>
    <s v="ГЕО-24/33200/00077"/>
    <s v="ГЕО-24/33200/00077"/>
    <s v="Типовой ДД"/>
    <x v="1"/>
    <s v="33200 Соглашение об электронном документообороте"/>
    <s v="00183-24"/>
    <s v=""/>
    <s v="33200 Соглашение об электронном документообороте"/>
    <s v="Переход на ЭДО"/>
    <s v="Сорокин И.М."/>
    <s v=""/>
    <s v="Договорный документ"/>
    <s v="Блок геологии и разработки"/>
    <s v="Аксенов М.А."/>
    <s v="На бумажном носителе"/>
    <s v="Без сроков "/>
    <d v="2024-04-01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8695"/>
    <s v="Зарегистрирован"/>
    <d v="2023-04-12T00:00:00"/>
    <s v=""/>
    <x v="77"/>
    <s v="1106013435"/>
    <s v=""/>
    <s v="ГЕО-23/33400/00068"/>
    <s v="ГЕО-23/33400/00068"/>
    <s v="Нетиповой ДД"/>
    <x v="1"/>
    <s v=""/>
    <s v="00184-23"/>
    <s v=""/>
    <s v="Соглашение о безопасном использовании информационных систем "/>
    <s v="Предоставление ООО &quot;Бурсервис&quot; доступа к автоматизированной информационной системе удаленного доступа к информационным ресурсам «СУДИР»  для организации работ в ПО &quot;Эра-Бурение&quot;"/>
    <s v="Мормышев А.А."/>
    <s v="Мормышев А.А."/>
    <s v="Договорный документ"/>
    <s v="Блок снабжения и закупок"/>
    <s v="Аксенов М.А."/>
    <s v="ЭП"/>
    <s v="С ограничением по срокам "/>
    <d v="2023-04-12T00:00:00"/>
    <d v="2025-03-31T00:00:00"/>
    <s v=""/>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
    <s v="Проект"/>
    <s v=""/>
    <s v=""/>
    <x v="58"/>
    <s v=""/>
    <s v=""/>
    <s v=""/>
    <s v=""/>
    <s v="Нетиповой ДД"/>
    <x v="6"/>
    <s v=""/>
    <s v="00184-24"/>
    <s v=""/>
    <s v=""/>
    <s v=""/>
    <s v="Коваленко М.В."/>
    <s v=""/>
    <s v="Договорный документ"/>
    <s v=""/>
    <s v=""/>
    <s v=""/>
    <s v=""/>
    <s v=""/>
    <s v=""/>
    <s v=""/>
    <s v=""/>
    <s v=""/>
    <s v=""/>
    <s v=""/>
    <s v=""/>
    <s v=""/>
    <s v=""/>
    <s v=""/>
    <s v=""/>
    <s v="нет"/>
    <s v="нет"/>
    <s v=""/>
    <s v=""/>
    <s v=""/>
    <s v=""/>
    <s v="нет"/>
  </r>
  <r>
    <s v="Газпромнефть-ГЕО, ООО"/>
    <s v="0000073273"/>
    <s v="Закрыт"/>
    <d v="2022-02-15T00:00:00"/>
    <s v=""/>
    <x v="21"/>
    <s v="5610218014"/>
    <s v=""/>
    <s v="ГЕО-22/20000/00072/Д"/>
    <s v="ГЕО-22/20000/00072/Д"/>
    <s v="Нетиповой ДД"/>
    <x v="2"/>
    <s v=""/>
    <s v="00185-22"/>
    <s v=""/>
    <s v="Обработка и комплексная интерпретация сейсморазведочных данных МОГТ 2Д ВУ ОНГКМ в 2022 г."/>
    <s v="Выполнение обработки и комплексной интерпретации сейсморазведочных данных МОГТ 2Д ВУ ОНГКМ в 2022 г."/>
    <s v="Мурзин Р.Р."/>
    <s v="Мурзин Р.Р."/>
    <s v="Договорный документ"/>
    <s v="Управление сейсморазведочных работ"/>
    <s v="Аксенов М.А."/>
    <s v="На бумажном носителе"/>
    <s v="С ограничением по срокам "/>
    <d v="2022-02-15T00:00:00"/>
    <d v="2022-09-30T00:00:00"/>
    <s v=""/>
    <s v="Агентский договор"/>
    <s v="Доходная часть"/>
    <s v="Агентский"/>
    <s v="20%"/>
    <s v=""/>
    <s v=""/>
    <s v="3 140 722.80"/>
    <s v="2 617 269.00"/>
    <s v="523 453.80"/>
    <s v="нет"/>
    <s v="нет"/>
    <s v=""/>
    <s v=""/>
    <s v=""/>
    <s v=""/>
    <s v="нет"/>
  </r>
  <r>
    <s v="Газпромнефть-ГЕО, ООО"/>
    <s v="0000039779"/>
    <s v="Зарегистрирован"/>
    <d v="2023-04-12T00:00:00"/>
    <s v=""/>
    <x v="139"/>
    <s v="0277067693"/>
    <s v=""/>
    <s v="ГЕО-23/33400/00069"/>
    <s v="ГЕО-23/33400/00069"/>
    <s v="Нетиповой ДД"/>
    <x v="1"/>
    <s v=""/>
    <s v="00185-23"/>
    <s v=""/>
    <s v="Соглашение о безопасном использовании информационных систем "/>
    <s v="Предоставление АО &quot;НПП &quot;Бурсервис&quot; доступа к автоматизированной информационной системе удаленного доступа к информационным ресурсам «СУДИР»  для организации работ в ПО &quot;Эра-Бурение&quot;"/>
    <s v="Безруков А.А."/>
    <s v=""/>
    <s v="Договорный документ"/>
    <s v="Блок снабжения и закупок"/>
    <s v="Созинов С.А."/>
    <s v="ЭП"/>
    <s v="С ограничением по срокам "/>
    <d v="2023-04-12T00:00:00"/>
    <d v="2024-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89465"/>
    <s v="Зарегистрирован"/>
    <d v="2024-04-05T00:00:00"/>
    <s v=""/>
    <x v="199"/>
    <s v="7814748133"/>
    <s v=""/>
    <s v="ГЕО-24/33200/00065"/>
    <s v="ГЕО-24/33200/00065"/>
    <s v="Типовой ДД"/>
    <x v="1"/>
    <s v="33200 Соглашение об электронном документообороте"/>
    <s v="00185-24"/>
    <s v=""/>
    <s v="33200 Соглашение об электронном документообороте"/>
    <s v="Соглашение об электронном документообороте между ООО &quot;ГПН-ГЕО&quot; и ООО &quot;Продакшен Сервис&quot;"/>
    <s v="Лесняк Н.А."/>
    <s v="Лесняк Н.А."/>
    <s v="Договорный документ"/>
    <s v="Управление материально-технического обеспечения, транспортного обеспечения и сопутствующих сервисов"/>
    <s v="Ковтун М.А."/>
    <s v="На бумажном носителе"/>
    <s v="Без сроков "/>
    <d v="2024-04-05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1935"/>
    <s v="Зарегистрирован"/>
    <d v="2023-04-12T00:00:00"/>
    <s v=""/>
    <x v="50"/>
    <s v="7709832820"/>
    <s v=""/>
    <s v="ГЕО-23/33400/00071"/>
    <s v="ГЕО-23/33400/00071"/>
    <s v="Нетиповой ДД"/>
    <x v="1"/>
    <s v=""/>
    <s v="00186-23"/>
    <s v=""/>
    <s v="Соглашение о безопасном использовании информационных систем "/>
    <s v="Предоставление ООО &quot;НьюТек Сервисез&quot; доступа к автоматизированной информационной системе удаленного доступа к информационным ресурсам «СУДИР»  для организации работ в ПО &quot;Эра-Бурение&quot;"/>
    <s v="Безруков А.А."/>
    <s v="Мормышев А.А."/>
    <s v="Договорный документ"/>
    <s v="Блок снабжения и закупок"/>
    <s v="Созинов С.А."/>
    <s v="ЭП"/>
    <s v="С ограничением по срокам "/>
    <d v="2023-04-12T00:00:00"/>
    <d v="2025-03-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67609"/>
    <s v="Зарегистрирован"/>
    <d v="2024-04-05T00:00:00"/>
    <s v=""/>
    <x v="202"/>
    <s v="7801207313"/>
    <s v=""/>
    <s v="ГЕО-24/01200/00064/Р"/>
    <s v="ГЕО-24/01200/00064/Р"/>
    <s v="Типовой ДД"/>
    <x v="2"/>
    <s v="01200 Договор  поставки МТР"/>
    <s v="00186-24"/>
    <s v=""/>
    <s v="01200 Договор  поставки МТР"/>
    <s v="Договор на поставку сувенирной продукции в 2024 году с ООО &quot;КГИ&quot;"/>
    <s v="Лесняк Н.А."/>
    <s v="Лесняк Н.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4-04-05T00:00:00"/>
    <s v=""/>
    <s v="Д-56"/>
    <s v="Договор поставки/купли продажи движимого имущества"/>
    <s v="Расходная часть"/>
    <s v="Стоимостной"/>
    <s v="20%"/>
    <s v=""/>
    <s v=""/>
    <s v="2 058 960.00"/>
    <s v="1 715 800.00"/>
    <s v="343 160.00"/>
    <s v="нет"/>
    <s v="нет"/>
    <s v=""/>
    <s v=""/>
    <s v=""/>
    <s v=""/>
    <s v="нет"/>
  </r>
  <r>
    <s v="Газпромнефть-ГЕО, ООО"/>
    <s v="0000045789"/>
    <s v="Зарегистрирован"/>
    <d v="2022-03-15T00:00:00"/>
    <s v=""/>
    <x v="16"/>
    <s v="7838395487"/>
    <s v="ГЕО-21/11708/00165/Р"/>
    <s v=""/>
    <s v="НТЦ-00139-22Д-ГЕО"/>
    <s v="Нетиповой ДД"/>
    <x v="3"/>
    <s v=""/>
    <s v="00187-22"/>
    <s v=""/>
    <s v="МО ОПР СРР к договору ГЕО-21/11708/00165/Р//НТЦ-21/09000/00768/Д от 12.07.2021"/>
    <s v="Методическое обеспечение опытно-производственных работ (ОПР) и полевой обработки на проектах, выполняемых и сопровождаемых ООО «ГПН-ГЕО»"/>
    <s v="Коротков С.П."/>
    <s v=""/>
    <s v="Договорный документ"/>
    <s v="Управление по разработке"/>
    <s v="Аксенов М.А."/>
    <s v="На бумажном носителе"/>
    <s v="С ограничением по срокам "/>
    <d v="2022-03-15T00:00:00"/>
    <d v="2022-12-30T00:00:00"/>
    <s v="Д-54"/>
    <s v="Договор на выполнение НИР, ОКР и технологических работ"/>
    <s v="Расходная часть"/>
    <s v="Рамочный"/>
    <s v="20%"/>
    <s v=""/>
    <s v=""/>
    <s v="7 175 760.00"/>
    <s v="5 979 800.00"/>
    <s v="1 195 960.00"/>
    <s v="нет"/>
    <s v="нет"/>
    <s v=""/>
    <s v=""/>
    <s v=""/>
    <s v=""/>
    <s v="нет"/>
  </r>
  <r>
    <s v="Газпромнефть-ГЕО, ООО"/>
    <s v="0000071220"/>
    <s v="Зарегистрирован"/>
    <d v="2023-04-12T00:00:00"/>
    <s v=""/>
    <x v="51"/>
    <s v="5401950707"/>
    <s v=""/>
    <s v="ГЕО-23/33400/00072"/>
    <s v="ГЕО-23/33400/00072"/>
    <s v="Нетиповой ДД"/>
    <x v="1"/>
    <s v=""/>
    <s v="00187-23"/>
    <s v=""/>
    <s v="Соглашение о безопасном использовании информационных систем "/>
    <s v="Предоставление ООО НППГА &quot;ЛУЧ&quot; доступа к автоматизированной информационной системе удаленного доступа к информационным ресурсам «СУДИР»  для организации работ в ПО &quot;Эра-Бурение&quot;"/>
    <s v="Безруков А.А."/>
    <s v="Мормышев А.А."/>
    <s v="Договорный документ"/>
    <s v="Блок снабжения и закупок"/>
    <s v="Созинов С.А."/>
    <s v="ЭП"/>
    <s v="С ограничением по срокам "/>
    <d v="2023-04-12T00:00:00"/>
    <d v="2025-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65849"/>
    <s v="Зарегистрирован"/>
    <d v="2024-04-08T00:00:00"/>
    <d v="2024-05-07T00:00:00"/>
    <x v="73"/>
    <s v="7816556691"/>
    <s v="ГЕО-24/09100/00025/Р"/>
    <s v=""/>
    <s v="1"/>
    <s v="Нетиповой ДД"/>
    <x v="0"/>
    <s v=""/>
    <s v="00187-24"/>
    <s v=""/>
    <s v="ДОПОЛНИТЕЛЬНОЕ СОГЛАШЕНИЕ №1 к Договору № ГЕО-24/09100/00025/Р ОТ 08.02.2024 г."/>
    <s v="Раскрытие негарантированного объема"/>
    <s v="Нюняйкина О.В."/>
    <s v="Нюняйкина О.В."/>
    <s v="Договорный документ"/>
    <s v="Отдел по корпоративным коммуникациям"/>
    <s v="Трифонов А.В."/>
    <s v="ЭП"/>
    <s v="С ограничением по срокам "/>
    <d v="2024-04-08T00:00:00"/>
    <d v="2025-12-31T00:00:00"/>
    <s v="Д-82"/>
    <s v="Договор на обучение (тренинги, семинары и проч.)"/>
    <s v="Расходная часть"/>
    <s v="Стоимостной"/>
    <s v="20%"/>
    <s v=""/>
    <s v=""/>
    <n v="0"/>
    <n v="0"/>
    <n v="0"/>
    <s v="нет"/>
    <s v="нет"/>
    <s v=""/>
    <s v=""/>
    <s v=""/>
    <s v=""/>
    <s v="нет"/>
  </r>
  <r>
    <s v="Газпромнефть-ГЕО, ООО"/>
    <s v="0000073273"/>
    <s v="Закрыт"/>
    <d v="2022-02-15T00:00:00"/>
    <s v=""/>
    <x v="21"/>
    <s v="5610218014"/>
    <s v=""/>
    <s v="ГЕО-22/20000/00073/Д"/>
    <s v="ГЕО-22/20000/00073/Д"/>
    <s v="Нетиповой ДД"/>
    <x v="2"/>
    <s v=""/>
    <s v="00188-22"/>
    <s v=""/>
    <s v="Оказание услуг по обработке и комплексной интерпретации геолого­ геофизических данных 2D с целью изучения геологического строения недр Краснореченского ЛУ на 2022 г."/>
    <s v="Обработка и комплексная интерпретация геолого­ геофизических данных 2D с целью изучения геологического строения недр Краснореченского ЛУ на 2022 г."/>
    <s v="Мурзин Р.Р."/>
    <s v="Мурзин Р.Р."/>
    <s v="Договорный документ"/>
    <s v="Управление сейсморазведочных работ"/>
    <s v="Аксенов М.А."/>
    <s v="На бумажном носителе"/>
    <s v="С ограничением по срокам "/>
    <d v="2022-02-15T00:00:00"/>
    <d v="2022-09-30T00:00:00"/>
    <s v=""/>
    <s v="Агентский договор"/>
    <s v="Доходная часть"/>
    <s v="Агентский"/>
    <s v="20%"/>
    <s v=""/>
    <s v=""/>
    <s v="6 192 509.76"/>
    <s v="5 160 424.80"/>
    <s v="1 032 084.96"/>
    <s v="нет"/>
    <s v="нет"/>
    <s v=""/>
    <s v=""/>
    <s v=""/>
    <s v=""/>
    <s v="нет"/>
  </r>
  <r>
    <s v="Газпромнефть-ГЕО, ООО"/>
    <s v="0000047108, 0000072964"/>
    <s v="Зарегистрирован"/>
    <d v="2022-12-30T00:00:00"/>
    <s v=""/>
    <x v="203"/>
    <s v="3245502148, 5027002854"/>
    <s v="б/н"/>
    <s v=""/>
    <s v="1"/>
    <s v="Нетиповой ДД"/>
    <x v="9"/>
    <s v=""/>
    <s v="00188-23"/>
    <s v=""/>
    <s v="Дополнение к Соглашению о праве ограниченного использования от 01.12.2020г."/>
    <s v="корректировка пункта 5 Соглашения в связи с изменением производственной программы "/>
    <s v="Баринов К.В."/>
    <s v="Баринов К.В."/>
    <s v="Договорный документ"/>
    <s v="Управление материально-технического обеспечения, транспортного обеспечения и сопутствующих сервисов"/>
    <s v="Трифонов А.В."/>
    <s v="На бумажном носителе"/>
    <s v="С ограничением по срокам "/>
    <d v="2022-12-30T00:00:00"/>
    <d v="2024-12-31T00:00:00"/>
    <s v="Д-33"/>
    <s v="Договор аренды недвижимости"/>
    <s v="Не предполагает взаиморасчетов"/>
    <s v=""/>
    <s v=""/>
    <s v=""/>
    <s v=""/>
    <s v=""/>
    <s v=""/>
    <s v=""/>
    <s v="нет"/>
    <s v="нет"/>
    <s v=""/>
    <s v=""/>
    <s v=""/>
    <s v=""/>
    <s v="нет"/>
  </r>
  <r>
    <s v="Газпромнефть-ГЕО, ООО"/>
    <s v="0000067609"/>
    <s v="Зарегистрирован"/>
    <d v="2024-04-05T00:00:00"/>
    <s v=""/>
    <x v="202"/>
    <s v="7801207313"/>
    <s v=""/>
    <s v="ГЕО-24/33200/00066"/>
    <s v="ГЕО-24/33200/00066"/>
    <s v="Типовой ДД"/>
    <x v="1"/>
    <s v="33200 Соглашение об электронном документообороте"/>
    <s v="00188-24"/>
    <s v=""/>
    <s v="33200 Соглашение об электронном документообороте"/>
    <s v="Соглашение об электронном документообороте между ООО &quot;ГПН-ГЕО&quot; и ООО &quot;КГИ&quot;"/>
    <s v="Лесняк Н.А."/>
    <s v="Лесняк Н.А."/>
    <s v="Договорный документ"/>
    <s v="Управление материально-технического обеспечения, транспортного обеспечения и сопутствующих сервисов"/>
    <s v="Аксенов М.А."/>
    <s v="На бумажном носителе"/>
    <s v="Без сроков "/>
    <d v="2024-04-05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9938"/>
    <s v="Зарегистрирован"/>
    <d v="2022-03-24T00:00:00"/>
    <s v=""/>
    <x v="204"/>
    <s v="3808225339"/>
    <s v="АНГ-17/04500/00024/Р/Р "/>
    <s v=""/>
    <s v="СОР (4)"/>
    <s v="Нетиповой ДД"/>
    <x v="0"/>
    <s v=""/>
    <s v="00189-22"/>
    <s v=""/>
    <s v="Соглашение о расторжении договора"/>
    <s v="Досрочно расторгнуть договор субаренды нежилого помещения в Административном здании с подземными автостоянками АНГ-17/04500/00024/Р/Р  от 08.03.2017. «29» мая 2022г. дата прекращения аренды."/>
    <s v="Буракова О.В."/>
    <s v="Буракова О.В."/>
    <s v="Договорный документ"/>
    <s v="Отдел административной поддержки бизнеса"/>
    <s v="Масалкин Ю.В."/>
    <s v="На бумажном носителе"/>
    <s v="С ограничением по срокам "/>
    <d v="2022-05-29T00:00:00"/>
    <d v="2022-05-29T00:00:00"/>
    <s v=""/>
    <s v="Договор субаренды недвижимости"/>
    <s v="Не предполагает взаиморасчетов"/>
    <s v=""/>
    <s v=""/>
    <s v=""/>
    <s v=""/>
    <s v=""/>
    <s v=""/>
    <s v=""/>
    <s v="нет"/>
    <s v="нет"/>
    <s v=""/>
    <s v=""/>
    <s v=""/>
    <s v=""/>
    <s v="нет"/>
  </r>
  <r>
    <s v="Газпромнефть-ГЕО, ООО"/>
    <s v="0000086565"/>
    <s v="Зарегистрирован"/>
    <d v="2023-04-21T00:00:00"/>
    <s v=""/>
    <x v="106"/>
    <s v="0278127289"/>
    <s v="№ ГЕО-21/101108/00193/Р"/>
    <s v=""/>
    <s v="4"/>
    <s v="Нетиповой ДД"/>
    <x v="3"/>
    <s v=""/>
    <s v="00189-23"/>
    <s v=""/>
    <s v="Заказ №4 к договору № ГЕО-21/101108/00193/Р"/>
    <s v="Проведение комплекса лабораторных исследований проб пластовых флюидов, направленного на изучение процессов образования АСПО в пластовых условиях. "/>
    <s v="Лобанов А.А."/>
    <s v="Лобанов А.А."/>
    <s v="Договорный документ"/>
    <s v="Управление по геологии"/>
    <s v="Аксенов М.А."/>
    <s v="ЭП"/>
    <s v="До исполнения обязательств"/>
    <d v="2023-04-21T00:00:00"/>
    <s v=""/>
    <s v="Д-54"/>
    <s v="Договор на выполнение НИР, ОКР и технологических работ"/>
    <s v="Расходная часть"/>
    <s v="Рамочный"/>
    <s v="20%"/>
    <s v=""/>
    <s v=""/>
    <s v="5 611 377.92"/>
    <s v="4 676 148.27"/>
    <s v="935 229.65"/>
    <s v="нет"/>
    <s v="нет"/>
    <s v=""/>
    <s v=""/>
    <s v=""/>
    <s v=""/>
    <s v="нет"/>
  </r>
  <r>
    <s v="Газпромнефть-ГЕО, ООО"/>
    <s v="0000084973"/>
    <s v="Зарегистрирован"/>
    <d v="2022-03-31T00:00:00"/>
    <s v=""/>
    <x v="205"/>
    <s v="8601066868"/>
    <s v=""/>
    <s v="ГЕО-22/08000/00069/Р"/>
    <s v="ГЕО-22/08000/00069/Р"/>
    <s v="Нетиповой ДД"/>
    <x v="2"/>
    <s v=""/>
    <s v="00190-22"/>
    <s v=""/>
    <s v="Лабораторные исследования флюидов сложного фазового состояния для ООО &quot;ГПН-ГЕО&quot;"/>
    <s v="Выполнение научно-исследовательских работ, работ по разработке технической документации для определенных Заказчиком целей, работ по созданию научно-технической продукции (НТП), иных работ на тему «Лабораторные исследования флюидов сложного фазового состояния для ООО &quot;ГПН-ГЕО&quot;"/>
    <s v="Лобанов А.А."/>
    <s v="Лобанов А.А."/>
    <s v="Договорный документ"/>
    <s v="Управление по геологии"/>
    <s v="Аксенов М.А."/>
    <s v="На бумажном носителе"/>
    <s v="С ограничением по срокам "/>
    <d v="2022-04-01T00:00:00"/>
    <d v="2023-12-31T00:00:00"/>
    <s v="Д-54"/>
    <s v="Договор на выполнение НИР, ОКР и технологических работ"/>
    <s v="Расходная часть"/>
    <s v="Рамочный"/>
    <s v="20%"/>
    <s v=""/>
    <s v=""/>
    <s v="418 965 520.32"/>
    <s v="349 137 933.60"/>
    <s v="69 827 586.72"/>
    <s v="нет"/>
    <s v="нет"/>
    <s v=""/>
    <s v=""/>
    <s v=""/>
    <s v=""/>
    <s v="нет"/>
  </r>
  <r>
    <s v="Газпромнефть-ГЕО, ООО"/>
    <s v="0000087378"/>
    <s v="Зарегистрирован"/>
    <d v="2023-04-05T00:00:00"/>
    <s v=""/>
    <x v="97"/>
    <s v="7204203139"/>
    <s v="ГЕО-21/08000/00297/Р "/>
    <s v=""/>
    <s v="5/23-297"/>
    <s v="Нетиповой ДД"/>
    <x v="3"/>
    <s v=""/>
    <s v="00190-23"/>
    <s v=""/>
    <s v="Комплексные исследования керна скважины 341ПО Солнечного ЛУ"/>
    <s v="Необходимость проведения работ вызвана в связи с получением кернового материала из новой пробуренной скважины №341ПО."/>
    <s v="Ябиров Р.З."/>
    <s v=""/>
    <s v="Договорный документ"/>
    <s v="Блок геологии и разработки"/>
    <s v="Аксенов М.А."/>
    <s v="На бумажном носителе"/>
    <s v="С ограничением по срокам "/>
    <d v="2023-04-05T00:00:00"/>
    <d v="2023-07-30T00:00:00"/>
    <s v="Д-54"/>
    <s v="Договор на выполнение НИР, ОКР и технологических работ"/>
    <s v="Расходная часть"/>
    <s v="Рамочный"/>
    <s v="20%"/>
    <s v=""/>
    <s v=""/>
    <s v="10 042 740.77"/>
    <s v="8 368 950.64"/>
    <s v="1 673 790.13"/>
    <s v="нет"/>
    <s v="нет"/>
    <s v=""/>
    <s v=""/>
    <s v=""/>
    <s v=""/>
    <s v="нет"/>
  </r>
  <r>
    <s v="Газпромнефть-ГЕО, ООО"/>
    <s v="0000048356"/>
    <s v="Зарегистрирован"/>
    <d v="2024-04-01T00:00:00"/>
    <s v=""/>
    <x v="152"/>
    <s v="8601034898"/>
    <s v="ГЕО-22/10000/00144/Р"/>
    <s v=""/>
    <s v="5"/>
    <s v="Нетиповой ДД"/>
    <x v="0"/>
    <s v=""/>
    <s v="00190-24"/>
    <s v=""/>
    <s v="ДС №5 к договору №ГЕО-22/10000/00144/Р от 27.06.2022г с ООО &quot;Защита Югры&quot;"/>
    <s v="1. Рассмотрение вопроса приведения к факту гарантированной части по Договору №ГЕО-22/10000/00144/Р от 27.06.2022г. с компанией ООО «Защита Югры» на выполнение работ и оказание услуг в области пожарной безопасности на объектах ООО «ГПН-ГЕО». 2. Рассмотрение вопроса о перераспределении негарантированных объёмов 2023-2024гг. по Договору №ГЕО-22/10000/00144/Р от 27.06.2022г. с компанией ООО «Защита Югры» на выполнение работ и оказание услуг в области пожарной безопасности на объектах ООО «ГПН-ГЕО»._x000a_3. Рассмотрение вопроса о перераспределении негарантированных объёмов 2024-2026гг. с «Дальневосточный федеральный округ» на «Сибирский федеральный округ» с компанией ООО «Защита Югры» на выполнение работ и оказание услуг в области пожарной безопасности на объектах ООО «ГПН-ГЕО». 4. Рассмотрение вопроса об включении единичной расценки - «5._x000a_Углубленный медицинский осмотр (УМО)» в Приложение №3 «Расчёт стоимости» к Договору №ГЕО-22/10000/00144/Р от 27.06.2022г. с компанией ООО «Защита Югры» на выполнение работ и оказание услуг в области пожарной безопасности на объектах ООО «ГПН-ГЕО»."/>
    <s v="Мормышев А.А."/>
    <s v="Белоусов О.В."/>
    <s v="Договорный документ"/>
    <s v="Блок производственной безопасности"/>
    <s v="Ядрышников П.Н."/>
    <s v="ЭП"/>
    <s v="До исполнения обязательств"/>
    <d v="2024-04-01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57326"/>
    <s v="Зарегистрирован"/>
    <d v="2022-03-28T00:00:00"/>
    <s v=""/>
    <x v="206"/>
    <s v="7204121542"/>
    <s v=""/>
    <s v="ГЕО-22/10000/00061/Р"/>
    <s v="ГЕО-22/10000/00061/Р"/>
    <s v="Типовой ДД"/>
    <x v="2"/>
    <s v="10606,10607 Договор по услугам  «Приготовление технологических жидкостей&quot;"/>
    <s v="00191-22"/>
    <s v=""/>
    <s v="Договор на выполнение работ по приготовлению технологичских жидкостей"/>
    <s v="Выполнение работ по приготовлению технологических жидкостей на Северо-Ямбургском ЛУ (Проект &quot;Титан&quot;)"/>
    <s v="Быков Н.В."/>
    <s v="Веселкин А.С."/>
    <s v="Договорный документ"/>
    <s v="Блок бурения и ВСР"/>
    <s v="Гаврилов С.В."/>
    <s v="На бумажном носителе"/>
    <s v="До исполнения обязательств"/>
    <d v="2022-03-28T00:00:00"/>
    <s v=""/>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77 531 261.48"/>
    <s v="147 942 717.90"/>
    <s v="29 588 543.58"/>
    <s v="нет"/>
    <s v="нет"/>
    <s v=""/>
    <s v=""/>
    <s v=""/>
    <s v=""/>
    <s v="нет"/>
  </r>
  <r>
    <s v="Газпромнефть-ГЕО, ООО"/>
    <s v="0000086565"/>
    <s v="Зарегистрирован"/>
    <d v="2023-04-21T00:00:00"/>
    <s v=""/>
    <x v="106"/>
    <s v="0278127289"/>
    <s v="№ ГЕО-21/101108/00193/Р"/>
    <s v=""/>
    <s v="4"/>
    <s v="Нетиповой ДД"/>
    <x v="0"/>
    <s v=""/>
    <s v="00191-23"/>
    <s v=""/>
    <s v="ДС № 4 к Д № ГЕО-21/101108/00193/Р"/>
    <s v="Перевод негаранта 2023 в гарант 2023"/>
    <s v="Лобанов А.А."/>
    <s v="Лобанов А.А."/>
    <s v="Договорный документ"/>
    <s v="Управление по геологии"/>
    <s v="Аксенов М.А."/>
    <s v="ЭП"/>
    <s v="С ограничением по срокам "/>
    <d v="2023-04-21T00:00:00"/>
    <d v="2021-12-31T00:00:00"/>
    <s v="Д-54"/>
    <s v="Договор на выполнение НИР, ОКР и технологических работ"/>
    <s v="Расходная часть"/>
    <s v="Рамочный"/>
    <s v="20%"/>
    <s v=""/>
    <s v=""/>
    <s v="2 277 561.64"/>
    <s v="1 897 968.03"/>
    <s v="379 593.61"/>
    <s v="нет"/>
    <s v="нет"/>
    <s v=""/>
    <s v=""/>
    <s v=""/>
    <s v=""/>
    <s v="нет"/>
  </r>
  <r>
    <s v="Газпромнефть-ГЕО, ООО"/>
    <s v="0000069013"/>
    <s v="Зарегистрирован"/>
    <d v="2024-04-08T00:00:00"/>
    <s v=""/>
    <x v="114"/>
    <s v="7203218005"/>
    <s v="ГЕО-21/10924/00124/Р"/>
    <s v=""/>
    <s v="10"/>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91-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Внесение изменений в Договор согласно требованиям приказов № 31-П от 19.03.2024"/>
    <s v="Липатова О.И."/>
    <s v=""/>
    <s v="Договорный документ"/>
    <s v="Отдел экологической безопасности"/>
    <s v="Ядрышников П.Н."/>
    <s v="ЭП"/>
    <s v="С ограничением по срокам "/>
    <d v="2024-04-08T00:00:00"/>
    <d v="2024-12-31T00:00:00"/>
    <s v="Д-51"/>
    <s v="Экологический мониторинг месторождений"/>
    <s v="Не предполагает взаиморасчетов"/>
    <s v="Рамочный"/>
    <s v=""/>
    <s v=""/>
    <s v=""/>
    <s v=""/>
    <s v=""/>
    <s v=""/>
    <s v="нет"/>
    <s v="нет"/>
    <s v=""/>
    <s v=""/>
    <s v=""/>
    <s v=""/>
    <s v="нет"/>
  </r>
  <r>
    <s v="Газпромнефть-ГЕО, ООО"/>
    <s v="0000045789"/>
    <s v="Зарегистрирован"/>
    <d v="2022-03-15T00:00:00"/>
    <s v=""/>
    <x v="16"/>
    <s v="7838395487"/>
    <s v="ГЕО-21/11708/00165/Р//НТЦ-21/09000/00768/Д "/>
    <s v=""/>
    <s v="НТЦ-00016-22Д-ГЕО"/>
    <s v="Нетиповой ДД"/>
    <x v="3"/>
    <s v=""/>
    <s v="00192-22"/>
    <s v=""/>
    <s v="Заключение НЗ к Рамочному Договору"/>
    <s v="Геологическое изучение перспектив нефтегазоносности Западного кластера АТ"/>
    <s v="Ябиров Р.З."/>
    <s v=""/>
    <s v="Договорный документ"/>
    <s v="Блок геологии и разработки"/>
    <s v="Аксенов М.А."/>
    <s v="На бумажном носителе"/>
    <s v="С ограничением по срокам "/>
    <d v="2022-03-15T00:00:00"/>
    <d v="2022-12-30T00:00:00"/>
    <s v="Д-54"/>
    <s v="Договор на выполнение НИР, ОКР и технологических работ"/>
    <s v="Расходная часть"/>
    <s v="Рамочный"/>
    <s v="20%"/>
    <s v=""/>
    <s v=""/>
    <s v="29 486 471.21"/>
    <s v="24 572 059.34"/>
    <s v="4 914 411.87"/>
    <s v="нет"/>
    <s v="нет"/>
    <s v=""/>
    <s v=""/>
    <s v=""/>
    <s v=""/>
    <s v="нет"/>
  </r>
  <r>
    <s v="Газпромнефть-ГЕО, ООО"/>
    <s v="0000048356"/>
    <s v="Зарегистрирован"/>
    <d v="2023-04-10T00:00:00"/>
    <s v=""/>
    <x v="152"/>
    <s v="8601034898"/>
    <s v="ГЕО-22/10000/00144/Р"/>
    <s v=""/>
    <s v="1"/>
    <s v="Нетиповой ДД"/>
    <x v="4"/>
    <s v=""/>
    <s v="00192-23"/>
    <s v="4"/>
    <s v="Изменение к Наряд-Заказу № 4 в редакции Наряд-Заказа № 4.1."/>
    <s v="Изменение объемов выполнения работ"/>
    <s v="Автеньев М.В."/>
    <s v="Белоусов О.В."/>
    <s v="Договорный документ"/>
    <s v="Блок производственной безопасности"/>
    <s v="Ядрышников П.Н."/>
    <s v="ЭП"/>
    <s v="С ограничением по срокам "/>
    <d v="2023-02-02T00:00:00"/>
    <d v="2023-12-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1 153 097.37"/>
    <s v="17 627 581.14"/>
    <s v="3 525 516.23"/>
    <s v="нет"/>
    <s v="нет"/>
    <s v=""/>
    <s v=""/>
    <s v=""/>
    <s v=""/>
    <s v="нет"/>
  </r>
  <r>
    <s v="Газпромнефть-ГЕО, ООО"/>
    <s v="0000069013"/>
    <s v="Зарегистрирован"/>
    <d v="2024-04-04T00:00:00"/>
    <s v=""/>
    <x v="114"/>
    <s v="7203218005"/>
    <s v="ГЕО-23/33100/00183"/>
    <s v=""/>
    <s v="1"/>
    <s v="Типовой ДД"/>
    <x v="0"/>
    <s v="33100 Дополнительное соглашение к Соглашениям в  в области производственной безопасности;"/>
    <s v="00192-24"/>
    <s v=""/>
    <s v="33100 Дополнительное соглашение к Соглашениям в  в области производственной безопасности;"/>
    <s v="Внесение изменений согласно требованиям приказа № 32-П от 19.03.2024"/>
    <s v="Липатова О.И."/>
    <s v=""/>
    <s v="Договорный документ"/>
    <s v="Отдел экологической безопасности"/>
    <s v="Ядрышников П.Н."/>
    <s v="ЭП"/>
    <s v="С ограничением по срокам "/>
    <d v="2024-04-04T00:00:00"/>
    <d v="2024-12-31T00:00:00"/>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0952"/>
    <s v="Зарегистрирован"/>
    <d v="2021-05-25T00:00:00"/>
    <s v=""/>
    <x v="207"/>
    <s v="7203126844"/>
    <s v="ГЕО-19/10823/00331/Р"/>
    <s v=""/>
    <s v="3"/>
    <s v="Нетиповой ДД"/>
    <x v="0"/>
    <s v=""/>
    <s v="00193-21"/>
    <s v=""/>
    <s v="ДС № 3"/>
    <s v="уменьшение объемов отдельных позиций услуг с одновременным увеличением других предусмотренных договором позиций услуг без увеличения единичных расценок и общей цены Договора"/>
    <s v="Рябикина М.А."/>
    <s v="Забиров А.А. Главный энергетик"/>
    <s v="Договорный документ"/>
    <s v="Производственно-технологический департамент"/>
    <s v="Перфильев Д.А."/>
    <s v="На бумажном носителе"/>
    <s v="С ограничением по срокам "/>
    <d v="2021-05-25T00:00:00"/>
    <d v="2022-12-31T00:00:00"/>
    <s v="Д-22"/>
    <s v="Выработка электроэнергии сторонним производителем "/>
    <s v="Расходная часть"/>
    <s v="Тарифный"/>
    <s v="20%"/>
    <s v=""/>
    <s v=""/>
    <n v="0.01"/>
    <n v="0.01"/>
    <n v="0"/>
    <s v="нет"/>
    <s v="нет"/>
    <s v=""/>
    <s v=""/>
    <s v=""/>
    <s v=""/>
    <s v="нет"/>
  </r>
  <r>
    <s v="Газпромнефть-ГЕО, ООО"/>
    <s v="0000085349"/>
    <s v="Зарегистрирован"/>
    <d v="2022-03-31T00:00:00"/>
    <s v=""/>
    <x v="140"/>
    <s v="5610220126"/>
    <s v=""/>
    <s v="ГЕО-22/33100/00059"/>
    <s v="ГЕО-22/33100/00059"/>
    <s v="Типовой ДД"/>
    <x v="1"/>
    <s v="33100 Соглашение в области производственной безопасности"/>
    <s v="00193-22"/>
    <s v=""/>
    <s v="33100 Соглашение в области производственной безопасности"/>
    <s v="в рамках исполнения приказа № 122-П "/>
    <s v="Рябикина М.А."/>
    <s v="Бикташев Руслан Станиславович - Руководитель направления по ППН и ППД, Производственно-технологический департамент"/>
    <s v="Договорный документ"/>
    <s v="Блок производственной безопасности"/>
    <s v="Власов М.М."/>
    <s v="На бумажном носителе"/>
    <s v="Без сроков "/>
    <d v="2022-03-31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3179"/>
    <s v="Зарегистрирован"/>
    <d v="2023-04-11T00:00:00"/>
    <s v=""/>
    <x v="54"/>
    <s v="7727747172"/>
    <s v="№ГЕО-20/10986/00138/Р"/>
    <s v=""/>
    <s v="34"/>
    <s v="Нетиповой ДД"/>
    <x v="8"/>
    <s v=""/>
    <s v="00193-23"/>
    <s v=""/>
    <s v="Задание № 34 "/>
    <s v="Обеспечение супервайзинга на 3скв. Салаирской площадке._x000d__x000a_"/>
    <s v="Автеньев М.В."/>
    <s v="Фокин Е.В."/>
    <s v="Договорный документ"/>
    <s v="Блок производственной безопасности"/>
    <s v="Ядрышников П.Н."/>
    <s v="ЭП"/>
    <s v="С ограничением по срокам "/>
    <d v="2023-04-15T00:00:00"/>
    <d v="2023-08-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6 006 468.00"/>
    <s v="5 005 390.00"/>
    <s v="1 001 078.00"/>
    <s v="нет"/>
    <s v="нет"/>
    <s v=""/>
    <s v=""/>
    <s v=""/>
    <s v=""/>
    <s v="нет"/>
  </r>
  <r>
    <s v="Газпромнефть-ГЕО, ООО"/>
    <s v="0000067121"/>
    <s v="Зарегистрирован"/>
    <d v="2024-06-19T00:00:00"/>
    <d v="2024-06-25T00:00:00"/>
    <x v="62"/>
    <s v="7202171361"/>
    <s v="ГЕО-22/33100/00252"/>
    <s v=""/>
    <s v="2"/>
    <s v="Типовой ДД"/>
    <x v="0"/>
    <s v="33100 Дополнительное соглашение к Соглашениям в  в области производственной безопасности;"/>
    <s v="00193-24"/>
    <s v=""/>
    <s v="Дополнительное соглашение №2  к Соглашениям в  в области производственной безопасности №ГЕО-22/33100/00252 от 10.10.2022 г."/>
    <s v="Актуализация Соглашения по ПБ"/>
    <s v="Ушакова М.А."/>
    <s v=""/>
    <s v="Договорный документ"/>
    <s v="Блок геологии и разработки"/>
    <s v="Михайлов Ю.А."/>
    <s v="ЭП"/>
    <s v="С ограничением по срокам "/>
    <d v="2024-06-19T00:00:00"/>
    <d v="2026-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0723"/>
    <s v="Зарегистрирован"/>
    <d v="2021-06-01T00:00:00"/>
    <s v=""/>
    <x v="49"/>
    <s v="3811088474"/>
    <s v="№ АНГ-19/11513/00007/Р "/>
    <s v=""/>
    <s v="наряд-заказ № 25 (корректировка) "/>
    <s v="Нетиповой ДД"/>
    <x v="3"/>
    <s v=""/>
    <s v="00194-21"/>
    <s v="Наряд-заказ №25 к АНГ-19/11513/00007/Р"/>
    <s v="НАРЯД-ЗАКАЗ № 25 (корректировка) к Договору № АНГ-19/11513/00007/Р от 14 февраля 2019"/>
    <s v="Оформление земельных участков для «Обустройства поисково-оценочной скважины 198 Лескинского лицензионного участка»"/>
    <s v="Расулов И.Ф."/>
    <s v="Расулов И.Ф. - Главный специалист по маркшейдерско-геодезическим работам - Управление маркшейдерско-землеустроительных работ;"/>
    <s v="Договорный документ"/>
    <s v="Управление маркшейдерско-землеустроительных работ"/>
    <s v="Перфильев Д.А."/>
    <s v="На бумажном носителе"/>
    <s v="С ограничением по срокам "/>
    <d v="2021-06-01T00:00:00"/>
    <d v="2022-12-31T00:00:00"/>
    <s v="Д-22"/>
    <s v="Выполнение комплекса топографо-геодезических, землеустроительных и лесоустроительных  работ "/>
    <s v="Расходная часть"/>
    <s v="Рамочный"/>
    <s v="20%"/>
    <s v=""/>
    <s v=""/>
    <s v="1 171 372.91"/>
    <s v="976 144.09"/>
    <s v="195 228.82"/>
    <s v="нет"/>
    <s v="нет"/>
    <s v=""/>
    <s v=""/>
    <s v=""/>
    <s v=""/>
    <s v="нет"/>
  </r>
  <r>
    <s v="Газпромнефть-ГЕО, ООО"/>
    <s v="0000085349"/>
    <s v="Зарегистрирован"/>
    <d v="2022-03-31T00:00:00"/>
    <s v=""/>
    <x v="140"/>
    <s v="5610220126"/>
    <s v=""/>
    <s v="ГЕО-22/26000/00060"/>
    <s v="ГЕО-22/26000/00060"/>
    <s v="Типовой ДД"/>
    <x v="1"/>
    <s v="26000 Соглашение о конфиденциальности с российским контрагентом"/>
    <s v="00194-22"/>
    <s v=""/>
    <s v="26000 Соглашение о конфиденциальности с российским контрагентом"/>
    <s v="Соглашение о конфиденциальности с российским контрагентом"/>
    <s v="Рябикина М.А."/>
    <s v="Бикташев Руслан Станиславович - Руководитель направления по ППН и ППД, Производственно-технологический департамент"/>
    <s v="Договорный документ"/>
    <s v="Блок корпоративной защиты"/>
    <s v="Созинов С.А."/>
    <s v="На бумажном носителе"/>
    <s v="Без сроков "/>
    <d v="2022-03-31T00:00:00"/>
    <s v=""/>
    <s v="Д-60"/>
    <s v="Соглашение о конфиденциальности"/>
    <s v="Не предполагает взаиморасчетов"/>
    <s v=""/>
    <s v=""/>
    <s v=""/>
    <s v=""/>
    <s v=""/>
    <s v=""/>
    <s v=""/>
    <s v="нет"/>
    <s v="нет"/>
    <s v=""/>
    <s v=""/>
    <s v=""/>
    <s v=""/>
    <s v="нет"/>
  </r>
  <r>
    <s v="Газпромнефть-ГЕО, ООО"/>
    <s v="0000063179"/>
    <s v="Зарегистрирован"/>
    <d v="2023-04-11T00:00:00"/>
    <s v=""/>
    <x v="54"/>
    <s v="7727747172"/>
    <s v="ГЕО-20/10986/00138/Р от 10.08.2020г. "/>
    <s v=""/>
    <s v="35"/>
    <s v="Нетиповой ДД"/>
    <x v="8"/>
    <s v=""/>
    <s v="00194-23"/>
    <s v=""/>
    <s v="Задание № 35"/>
    <s v="Оказание услуг супервайзинга на скв. 4 Камовской площадки"/>
    <s v="Автеньев М.В."/>
    <s v="Фокин Е.В."/>
    <s v="Договорный документ"/>
    <s v="Блок производственной безопасности"/>
    <s v="Ядрышников П.Н."/>
    <s v="ЭП"/>
    <s v="С ограничением по срокам "/>
    <d v="2023-04-15T00:00:00"/>
    <d v="2023-09-30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 035 104.80"/>
    <s v="2 529 254.00"/>
    <s v="505 850.80"/>
    <s v="нет"/>
    <s v="нет"/>
    <s v=""/>
    <s v=""/>
    <s v=""/>
    <s v=""/>
    <s v="нет"/>
  </r>
  <r>
    <s v="Газпромнефть-ГЕО, ООО"/>
    <s v="0000091163"/>
    <s v="Зарегистрирован"/>
    <d v="2024-04-10T00:00:00"/>
    <s v=""/>
    <x v="149"/>
    <s v="5001063958"/>
    <s v=""/>
    <s v="ГЕО-24/33100/00067"/>
    <s v="ГЕО-24/33100/00067"/>
    <s v="Типовой ДД"/>
    <x v="1"/>
    <s v="33100 Соглашение в области производственной безопасности"/>
    <s v="00194-24"/>
    <s v=""/>
    <s v="33100 Соглашение в области производственной безопасности"/>
    <s v="Реализация &quot;Системы управления исполнением договорных  обязательств при выполнении производственных работ и систематизации процесса взаимодействия с ПО в области ПБ и оптимизации процесса согласования договорных документов."/>
    <s v="Хохлов А.А."/>
    <s v="Хохлов А.А."/>
    <s v="Договорный документ"/>
    <s v="Управление маркшейдерско-землеустроительных работ"/>
    <s v="Трифонов А.В."/>
    <s v="ЭП"/>
    <s v="До исполнения обязательств"/>
    <d v="2024-04-10T00:00:00"/>
    <s v=""/>
    <s v="Д-8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8356"/>
    <s v="Зарегистрирован"/>
    <d v="2023-04-01T00:00:00"/>
    <s v=""/>
    <x v="152"/>
    <s v="8601034898"/>
    <s v="ГЕО-22/10000/00144/Р"/>
    <s v=""/>
    <s v="5"/>
    <s v="Нетиповой ДД"/>
    <x v="3"/>
    <s v=""/>
    <s v="00195-23"/>
    <s v=""/>
    <s v="Наряд-Заказ № 5"/>
    <s v="Оказание услуг в области пожарной безопасности скв. № 3 Салаирская площадка"/>
    <s v="Автеньев М.В."/>
    <s v="Белоусов О.В."/>
    <s v="Договорный документ"/>
    <s v="Блок производственной безопасности"/>
    <s v="Ядрышников П.Н."/>
    <s v="На бумажном носителе"/>
    <s v="С ограничением по срокам "/>
    <d v="2023-04-01T00:00:00"/>
    <d v="2023-12-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7 725 643.20"/>
    <s v="6 438 036.00"/>
    <s v="1 287 607.20"/>
    <s v="нет"/>
    <s v="нет"/>
    <s v=""/>
    <s v=""/>
    <s v=""/>
    <s v=""/>
    <s v="нет"/>
  </r>
  <r>
    <s v="Газпромнефть-ГЕО, ООО"/>
    <s v="0000065849"/>
    <s v="Зарегистрирован"/>
    <d v="2024-04-03T00:00:00"/>
    <s v=""/>
    <x v="73"/>
    <s v="7816556691"/>
    <s v="ГЕО-24/09100/00024/Р"/>
    <s v=""/>
    <s v="1"/>
    <s v="Нетиповой ДД"/>
    <x v="0"/>
    <s v=""/>
    <s v="00195-24"/>
    <s v=""/>
    <s v="Дополнительное соглашение № 1 к Договору на оказание услуг № ГЕО-24/09100/00024/Р от «08» февраля» 2024 г."/>
    <s v="Перераспределение (по видам и стоимости мероприятий) части негарантированного объема услуг (мероприятий) 2025 г. между статьями в гарантированный объем услуг 2024 г., предусматривающее увеличение количества мероприятий, без изменения общей стоимости договора"/>
    <s v="Петушкова В.Е."/>
    <s v="Петушкова В.Е."/>
    <s v="Договорный документ"/>
    <s v="Управление производственной безопасности"/>
    <s v="Михайлов Ю.А."/>
    <s v="ЭП"/>
    <s v="С ограничением по срокам "/>
    <d v="2024-04-03T00:00:00"/>
    <d v="2026-12-31T00:00:00"/>
    <s v="Д-2"/>
    <s v="Договор на обучение (тренинги, семинары и проч.)"/>
    <s v="Расходная часть"/>
    <s v="Стоимостной"/>
    <s v="без НДС"/>
    <s v=""/>
    <s v=""/>
    <n v="0"/>
    <n v="0"/>
    <n v="0"/>
    <s v="нет"/>
    <s v="нет"/>
    <s v=""/>
    <s v=""/>
    <s v=""/>
    <s v=""/>
    <s v="нет"/>
  </r>
  <r>
    <s v="Газпромнефть-ГЕО, ООО"/>
    <s v="0000067554"/>
    <s v="Зарегистрирован"/>
    <d v="2021-05-31T00:00:00"/>
    <s v=""/>
    <x v="208"/>
    <s v="7204168131"/>
    <s v="ГЕО-20/10924/00051/Р от 05 марта 2020 г."/>
    <s v=""/>
    <s v="ДС 3"/>
    <s v="Нетиповой ДД"/>
    <x v="0"/>
    <s v=""/>
    <s v="00196-21"/>
    <s v=""/>
    <s v="ДОПОЛНИТЕЛЬНОЕ СОГЛАШЕНИЕ №3 к Договору на выполнение работ по экологическому мониторингу месторождений № ГЕО-20/10924/00051/Р от 05 марта 2020 г."/>
    <s v="Внесение изменений в реквизиты Исполнителя"/>
    <s v="Липатова О.И."/>
    <s v=""/>
    <s v="Договорный документ"/>
    <s v="Отдел экологической безопасности"/>
    <s v="Власов М.М."/>
    <s v="На бумажном носителе"/>
    <s v="С ограничением по срокам "/>
    <d v="2021-05-31T00:00:00"/>
    <d v="2022-12-31T00:00:00"/>
    <s v=""/>
    <s v="Экологический мониторинг месторождений"/>
    <s v="Не предполагает взаиморасчетов"/>
    <s v=""/>
    <s v=""/>
    <s v=""/>
    <s v=""/>
    <s v=""/>
    <s v=""/>
    <s v=""/>
    <s v="нет"/>
    <s v="нет"/>
    <s v=""/>
    <s v=""/>
    <s v=""/>
    <s v=""/>
    <s v="нет"/>
  </r>
  <r>
    <s v="Газпромнефть-ГЕО, ООО"/>
    <s v="0000027645"/>
    <s v="Закрыт"/>
    <d v="2022-03-28T00:00:00"/>
    <s v=""/>
    <x v="80"/>
    <s v="5501072608"/>
    <s v="ГЕО-22/01200/00035/Д"/>
    <s v=""/>
    <s v="2"/>
    <s v="Нетиповой ДД"/>
    <x v="5"/>
    <s v=""/>
    <s v="00196-22"/>
    <s v=""/>
    <s v="01200 Спецификация № 2 к договору поставки Д_27645_67942_49007 / ГЕО-22/01200/00035/Д"/>
    <s v="Продажа мебели из офиса в г. Иркутск"/>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2-03-28T00:00:00"/>
    <s v=""/>
    <s v="Д-56"/>
    <s v="Договор поставки/купли продажи движимого имущества"/>
    <s v="Доходная часть"/>
    <s v="Стоимостной"/>
    <s v="20%"/>
    <s v=""/>
    <s v=""/>
    <s v="98 956.80"/>
    <s v="82 464.00"/>
    <s v="16 492.80"/>
    <s v="нет"/>
    <s v="нет"/>
    <s v=""/>
    <s v=""/>
    <s v=""/>
    <s v=""/>
    <s v="нет"/>
  </r>
  <r>
    <s v="Газпромнефть-ГЕО, ООО"/>
    <s v="0000048356"/>
    <s v="Зарегистрирован"/>
    <d v="2023-04-01T00:00:00"/>
    <s v=""/>
    <x v="152"/>
    <s v="8601034898"/>
    <s v="ГЕО-22/10000/00144/Р"/>
    <s v=""/>
    <s v="6"/>
    <s v="Нетиповой ДД"/>
    <x v="3"/>
    <s v=""/>
    <s v="00196-23"/>
    <s v=""/>
    <s v="НАРЯД-ЗАКАЗ НА ОКАЗАНИЕ УСЛУГ № 6"/>
    <s v="Оказание услуг в области пожарной безопасности скв. 4 Камовской площадки"/>
    <s v="Автеньев М.В."/>
    <s v="Белоусов О.В."/>
    <s v="Договорный документ"/>
    <s v="Блок производственной безопасности"/>
    <s v="Михайлов Ю.А."/>
    <s v="На бумажном носителе"/>
    <s v="С ограничением по срокам "/>
    <d v="2023-04-01T00:00:00"/>
    <d v="2023-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7 725 643.20"/>
    <s v="6 438 036.00"/>
    <s v="1 287 607.20"/>
    <s v="нет"/>
    <s v="нет"/>
    <s v=""/>
    <s v=""/>
    <s v=""/>
    <s v=""/>
    <s v="нет"/>
  </r>
  <r>
    <s v="Газпромнефть-ГЕО, ООО"/>
    <s v="0000080408"/>
    <s v="Зарегистрирован"/>
    <d v="2024-04-10T00:00:00"/>
    <d v="2024-05-22T00:00:00"/>
    <x v="104"/>
    <s v="3812043780"/>
    <s v="ГЕО-22/11029/00171/Р"/>
    <s v=""/>
    <s v="6"/>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96-24"/>
    <s v=""/>
    <s v="ДС 6 к ГЕО-22/11029/00171/Р"/>
    <s v="В соответствии с приказом П-31"/>
    <s v="Мормышев А.А."/>
    <s v="Усков А.А."/>
    <s v="Договорный документ"/>
    <s v="Блок производственной безопасности"/>
    <s v="Ядрышников П.Н."/>
    <s v="ЭП"/>
    <s v="До исполнения обязательств"/>
    <d v="2024-04-10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57554"/>
    <s v="Зарегистрирован"/>
    <d v="2021-06-01T00:00:00"/>
    <s v=""/>
    <x v="209"/>
    <s v="3811089799"/>
    <s v=""/>
    <s v="ГЕО-21/00000/00138"/>
    <s v="ГЕО-21/00000/00138"/>
    <s v="Типовой ДД"/>
    <x v="1"/>
    <s v="00000 Соглашение об электронном документообороте"/>
    <s v="00197-21"/>
    <s v=""/>
    <s v="00000 Соглашение об электронном документообороте"/>
    <s v="Переход на ЭДО"/>
    <s v="Титова Е.В."/>
    <s v="Титова Е.В."/>
    <s v="Договорный документ"/>
    <s v="Блок по закупкам"/>
    <s v="Титов А.В."/>
    <s v="На бумажном носителе"/>
    <s v="До исполнения обязательств"/>
    <d v="2021-06-01T00:00:00"/>
    <s v=""/>
    <s v="Д-11"/>
    <s v="ПРОЧИЕ ДОГОВОРЫ"/>
    <s v="Не предполагает взаиморасчетов"/>
    <s v=""/>
    <s v=""/>
    <s v=""/>
    <s v=""/>
    <s v=""/>
    <s v=""/>
    <s v=""/>
    <s v="нет"/>
    <s v="нет"/>
    <s v=""/>
    <s v=""/>
    <s v=""/>
    <s v=""/>
    <s v="нет"/>
  </r>
  <r>
    <s v="Газпромнефть-ГЕО, ООО"/>
    <s v="0000081627"/>
    <s v="Закрыт"/>
    <d v="2022-03-01T00:00:00"/>
    <s v=""/>
    <x v="79"/>
    <s v="7728606167"/>
    <s v="ГЕО-22/09000/00050/Д"/>
    <s v=""/>
    <s v="1.1/2022"/>
    <s v="Нетиповой ДД"/>
    <x v="3"/>
    <s v=""/>
    <s v="00197-22"/>
    <s v=""/>
    <s v="Оказание услуг согласно  Заказ-Наряду"/>
    <s v="Обновление концепта наземного обустройства месторождения для целей выхода на ИК (этап «Оценка»)"/>
    <s v="Кошелева Ю.В."/>
    <s v="Кошелева Ю.В."/>
    <s v="Договорный документ"/>
    <s v="Управление экономического планирования и анализа"/>
    <s v="Масалкин Ю.В."/>
    <s v="На бумажном носителе"/>
    <s v="С ограничением по срокам "/>
    <d v="2022-01-01T00:00:00"/>
    <d v="2022-06-30T00:00:00"/>
    <s v=""/>
    <s v="Договор возмездного оказания услуг"/>
    <s v="Доходная часть"/>
    <s v="Рамочный"/>
    <s v="20%"/>
    <s v=""/>
    <s v=""/>
    <s v="12 000 000.00"/>
    <s v="10 000 000.00"/>
    <s v="2 000 000.00"/>
    <s v="нет"/>
    <s v="нет"/>
    <s v=""/>
    <s v=""/>
    <s v=""/>
    <s v=""/>
    <s v="нет"/>
  </r>
  <r>
    <s v="Газпромнефть-ГЕО, ООО"/>
    <s v="0000097399"/>
    <s v="Зарегистрирован"/>
    <d v="2023-04-17T00:00:00"/>
    <s v=""/>
    <x v="210"/>
    <s v="7802015068"/>
    <s v=""/>
    <s v="ГЕО-23/10000/00075/Р"/>
    <s v="ГЕО-23/10000/00075/Р"/>
    <s v="Нетиповой ДД"/>
    <x v="2"/>
    <s v=""/>
    <s v="00197-23"/>
    <s v=""/>
    <s v="на предоставление услуги по наладке метеостанции на Лескинском ЛУ ООО «ГПН-ГЕО»"/>
    <s v="предоставлению Заказчику услуги по демонтажу, монтажу, наладке и поверке метеостанции на Лескинском ЛУ ООО «ГПН-ГЕО» на 2023г."/>
    <s v="Хисамутдинов С.И."/>
    <s v="Хисамутдинов С.И."/>
    <s v="Договорный документ"/>
    <s v="Производственно-технологический департамент"/>
    <s v="Трифонов А.В."/>
    <s v="На бумажном носителе"/>
    <s v="С ограничением по срокам "/>
    <d v="2023-04-17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 378 217.76"/>
    <s v="1 148 514.80"/>
    <s v="229 702.96"/>
    <s v="нет"/>
    <s v="нет"/>
    <s v=""/>
    <s v=""/>
    <s v=""/>
    <s v=""/>
    <s v="нет"/>
  </r>
  <r>
    <s v="Газпромнефть-ГЕО, ООО"/>
    <s v="0000080408"/>
    <s v="Зарегистрирован"/>
    <d v="2024-04-10T00:00:00"/>
    <d v="2024-05-22T00:00:00"/>
    <x v="104"/>
    <s v="3812043780"/>
    <s v="ГЕО-22/11029/00172/Р"/>
    <s v=""/>
    <s v="6"/>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97-24"/>
    <s v=""/>
    <s v="ДС 6 к ГЕО-22/11029/00172/Р"/>
    <s v="актуализация перечня ШС"/>
    <s v="Мормышев А.А."/>
    <s v="Усков А.А."/>
    <s v="Договорный документ"/>
    <s v="Департамент капитального строительства"/>
    <s v="Ядрышников П.Н."/>
    <s v="ЭП"/>
    <s v="До исполнения обязательств"/>
    <d v="2024-04-04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67554"/>
    <s v="Зарегистрирован"/>
    <d v="2021-05-31T00:00:00"/>
    <s v=""/>
    <x v="208"/>
    <s v="7204168131"/>
    <s v="ГЕО-20/10924/00055/Р "/>
    <s v=""/>
    <s v="ДС 3"/>
    <s v="Нетиповой ДД"/>
    <x v="0"/>
    <s v=""/>
    <s v="00198-21"/>
    <s v=""/>
    <s v="ДОПОЛНИТЕЛЬНОЕ СОГЛАШЕНИЕ №3 к Договору на выполнение работ по экологическому мониторингу месторождений № ГЕО-20/10924/00055/Р от 05 марта 2020 г."/>
    <s v="Изменение реквизитов Исполнителя "/>
    <s v="Липатова О.И."/>
    <s v="Липатова Ольга"/>
    <s v="Договорный документ"/>
    <s v="Отдел экологической безопасности"/>
    <s v="Власов М.М."/>
    <s v="На бумажном носителе"/>
    <s v="С ограничением по срокам "/>
    <d v="2021-05-31T00:00:00"/>
    <d v="2022-12-31T00:00:00"/>
    <s v=""/>
    <s v="Экологический мониторинг месторождений"/>
    <s v="Не предполагает взаиморасчетов"/>
    <s v=""/>
    <s v=""/>
    <s v=""/>
    <s v=""/>
    <s v=""/>
    <s v=""/>
    <s v=""/>
    <s v="нет"/>
    <s v="нет"/>
    <s v=""/>
    <s v=""/>
    <s v=""/>
    <s v=""/>
    <s v="нет"/>
  </r>
  <r>
    <s v="Газпромнефть-ГЕО, ООО"/>
    <s v="0000057326"/>
    <s v="Зарегистрирован"/>
    <d v="2022-03-28T00:00:00"/>
    <s v=""/>
    <x v="206"/>
    <s v="7204121542"/>
    <s v=""/>
    <s v="ГЕО-22/33100/00058"/>
    <s v="ГЕО-22/33100/00058"/>
    <s v="Типовой ДД"/>
    <x v="1"/>
    <s v="33100 Соглашение в области производственной безопасности"/>
    <s v="00198-22"/>
    <s v=""/>
    <s v="Соглашение в области производственной безопасности"/>
    <s v="Урегулирование правоотношений Сторон в области ПБ"/>
    <s v="Быков Н.В."/>
    <s v="Веселкин А.С."/>
    <s v="Договорный документ"/>
    <s v="Блок бурения и ВСР"/>
    <s v="Гаврилов С.В."/>
    <s v="На бумажном носителе"/>
    <s v="До исполнения обязательств"/>
    <d v="2022-03-28T00:00:00"/>
    <s v=""/>
    <s v="Д-58"/>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39779"/>
    <s v="Зарегистрирован"/>
    <d v="2023-04-11T00:00:00"/>
    <s v=""/>
    <x v="139"/>
    <s v="0277067693"/>
    <s v="ГЕО-23/10318/00013/Р"/>
    <s v=""/>
    <s v="1"/>
    <s v="Нетиповой ДД"/>
    <x v="3"/>
    <s v=""/>
    <s v="00198-23"/>
    <s v=""/>
    <s v="Наряд-заказ №1. АО «НПП «Бурсервис»"/>
    <s v="Наряд-заказ №1. АО «НПП «Бурсервис». Договор подряда &quot;на отбор керна при бурении и реконструкции скважин (10318)&quot;"/>
    <s v="Мормышев А.А."/>
    <s v="Дунаев Э.В."/>
    <s v="Договорный документ"/>
    <s v="Блок бурения и ВСР"/>
    <s v="Трифонов А.В."/>
    <s v="ЭП"/>
    <s v="С ограничением по срокам "/>
    <d v="2023-04-11T00:00:00"/>
    <d v="2024-12-31T00:00:00"/>
    <s v="Д-33"/>
    <s v="Отбор керна при бурении и реконструкции скважин"/>
    <s v="Расходная часть"/>
    <s v="Стоимостной"/>
    <s v="20%"/>
    <s v=""/>
    <s v="32654786.32"/>
    <s v="79 898 822.56"/>
    <s v="66 582 352.13"/>
    <s v="13 316 470.43"/>
    <s v="да"/>
    <s v="нет"/>
    <s v=""/>
    <s v=""/>
    <s v=""/>
    <s v=""/>
    <s v="нет"/>
  </r>
  <r>
    <s v="Газпромнефть-ГЕО, ООО"/>
    <s v="0000076851"/>
    <s v="Зарегистрирован"/>
    <d v="2024-03-21T00:00:00"/>
    <s v=""/>
    <x v="48"/>
    <s v="2466091092"/>
    <s v="ГЕО-22/33100/00275"/>
    <s v=""/>
    <s v="2"/>
    <s v="Типовой ДД"/>
    <x v="0"/>
    <s v="33100 Дополнительное соглашение к Соглашениям в  в области производственной безопасности;"/>
    <s v="00198-24"/>
    <s v=""/>
    <s v="ДС 2 к Соглашению в области производственной безопасности  № ГЕО-22/33100/00275 от 14.10.2022 г"/>
    <s v="Актуализация требований по производственной безопасности"/>
    <s v="Шолохова И.А."/>
    <s v="Салахутдинов Р.С."/>
    <s v="Договорный документ"/>
    <s v="Управление проектно-изыскательских работ"/>
    <s v="Трифонов А.В."/>
    <s v="ЭП"/>
    <s v="С ограничением по срокам "/>
    <d v="2022-10-14T00:00:00"/>
    <d v="2026-03-31T00:00:00"/>
    <s v="Д-8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57750"/>
    <s v="Зарегистрирован"/>
    <d v="2023-04-17T00:00:00"/>
    <s v=""/>
    <x v="182"/>
    <s v="0814118403"/>
    <s v="ГЕО-22/10000/00225/Р"/>
    <s v=""/>
    <s v="1"/>
    <s v="Нетиповой ДД"/>
    <x v="0"/>
    <s v=""/>
    <s v="00199-23"/>
    <s v=""/>
    <s v="Дополнительное соглашение №1 к договору № ГЕО-22/10000/00225/Р от 20.09.2022 г."/>
    <s v="Актуализация ЛНД к Договору "/>
    <s v="Безруков А.А."/>
    <s v="Мормышев А.А. "/>
    <s v="Договорный документ"/>
    <s v="Блок бурения и ВСР"/>
    <s v="Трифонов А.В."/>
    <s v="На бумажном носителе"/>
    <s v="До исполнения обязательств"/>
    <d v="2023-04-17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76851"/>
    <s v="Зарегистрирован"/>
    <d v="2024-03-21T00:00:00"/>
    <s v=""/>
    <x v="48"/>
    <s v="2466091092"/>
    <s v="ГЕО-22/11000/00274/Р"/>
    <s v=""/>
    <s v="4"/>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199-24"/>
    <s v=""/>
    <s v="ДС 4 к договору № ГЕО-22/11000/00274/Р от 14.10.2022 года"/>
    <s v="Актуализация перечня нарушений и штрафных санкций в области ПБ"/>
    <s v="Шолохова И.А."/>
    <s v="Салахутдинов Р.С."/>
    <s v="Договорный документ"/>
    <s v="Управление проектно-изыскательских работ"/>
    <s v="Трифонов А.В."/>
    <s v="ЭП"/>
    <s v="С ограничением по срокам "/>
    <d v="2024-03-21T00:00:00"/>
    <d v="2026-03-31T00:00:00"/>
    <s v="Д-82"/>
    <s v="Капитальное строительство и ПИР"/>
    <s v="Не предполагает взаиморасчетов"/>
    <s v="Рамочный"/>
    <s v=""/>
    <s v=""/>
    <s v=""/>
    <s v=""/>
    <s v=""/>
    <s v=""/>
    <s v="нет"/>
    <s v="нет"/>
    <s v=""/>
    <s v=""/>
    <s v=""/>
    <s v=""/>
    <s v="нет"/>
  </r>
  <r>
    <s v="Газпромнефть-ГЕО, ООО"/>
    <s v="0000057750"/>
    <s v="Зарегистрирован"/>
    <d v="2023-04-17T00:00:00"/>
    <s v=""/>
    <x v="182"/>
    <s v="0814118403"/>
    <s v="ГЕО-22/10000/00226/Р"/>
    <s v=""/>
    <s v="1"/>
    <s v="Нетиповой ДД"/>
    <x v="0"/>
    <s v=""/>
    <s v="00200-23"/>
    <s v=""/>
    <s v="Дополнительное соглашение №1 к договору № ГЕО-22/10000/00226/Р от 20.09.2022 г."/>
    <s v="Актуализация ЛНД к Договору "/>
    <s v="Безруков А.А."/>
    <s v="Мормышев А.А."/>
    <s v="Договорный документ"/>
    <s v="Блок бурения и ВСР"/>
    <s v="Трифонов А.В."/>
    <s v="На бумажном носителе"/>
    <s v="До исполнения обязательств"/>
    <d v="2023-04-17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0408"/>
    <s v="Проект"/>
    <s v=""/>
    <s v=""/>
    <x v="104"/>
    <s v="3812043780"/>
    <s v=""/>
    <s v=""/>
    <s v=""/>
    <s v="Типовой ДД"/>
    <x v="1"/>
    <s v="33100 Соглашение в области производственной безопасности"/>
    <s v="00200-24"/>
    <s v=""/>
    <s v="33100 Соглашение в области производственной безопасности"/>
    <s v="Приказ П-32"/>
    <s v="Мормышев А.А."/>
    <s v="Анисимов А.Н."/>
    <s v="Договорный документ"/>
    <s v="Блок снабжения и закупок"/>
    <s v="Михайлов Ю.А."/>
    <s v="ЭП"/>
    <s v="До исполнения обязательств"/>
    <d v="2024-04-05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3179"/>
    <s v="Зарегистрирован"/>
    <d v="2021-05-27T00:00:00"/>
    <s v=""/>
    <x v="54"/>
    <s v="7727747172"/>
    <s v="ГЕО-20/10986/00138/Р"/>
    <s v=""/>
    <s v="Задание № 8"/>
    <s v="Нетиповой ДД"/>
    <x v="3"/>
    <s v=""/>
    <s v="00201-21"/>
    <s v=""/>
    <s v="Задание № 8 на оказание супервайзерских услуг по контролю состояния производственной безопасности для проекта «Большая Ачимовка»"/>
    <s v="оказание супервайзерских услуг по контролю состояния производственной безопасности в 2021 году для лицензионных участков Проекта «Большая Ачимовка» (проект «Ачимовка MGI»)"/>
    <s v="Рябикина М.А."/>
    <s v="Анисимов А.Н. - Руководитель региональных проектов по производственной безопасности кластера &quot;Восточная Сибирь и Оренбург&quot;"/>
    <s v="Договорный документ"/>
    <s v="Управление производственной безопасности"/>
    <s v="Власов М.М."/>
    <s v="На бумажном носителе"/>
    <s v="С ограничением по срокам "/>
    <d v="2021-06-17T00:00:00"/>
    <d v="2021-09-15T00:00:00"/>
    <s v=""/>
    <s v="Супервайзинг ПЭБ и ОТ"/>
    <s v="Расходная часть"/>
    <s v="Тарифный"/>
    <s v="20%"/>
    <s v=""/>
    <s v=""/>
    <s v="2 611 408.80"/>
    <s v="2 176 174.00"/>
    <s v="435 234.80"/>
    <s v="нет"/>
    <s v="нет"/>
    <s v=""/>
    <s v=""/>
    <s v=""/>
    <s v=""/>
    <s v="нет"/>
  </r>
  <r>
    <s v="Газпромнефть-ГЕО, ООО"/>
    <s v="0000040952"/>
    <s v="Зарегистрирован"/>
    <d v="2022-04-01T00:00:00"/>
    <s v=""/>
    <x v="207"/>
    <s v="7203126844"/>
    <s v=""/>
    <s v="ГЕО-22/33200/00079"/>
    <s v="ГЕО-22/33200/00079"/>
    <s v="Типовой ДД"/>
    <x v="1"/>
    <s v="33200 Соглашение об электронном документообороте"/>
    <s v="00201-22"/>
    <s v=""/>
    <s v="33200 Соглашение об электронном документообороте"/>
    <s v="Переход на юридически значимый электронный документооборот (ЭДО) в целях повышения эффективности сотрудничества и взаимного снижения издержек. Форма  отличается от типовой"/>
    <s v="Забиров А.А."/>
    <s v="Забиров А.А."/>
    <s v="Договорный документ"/>
    <s v="Производственно-технологический департамент"/>
    <s v="Перфильев Д.А."/>
    <s v="На бумажном носителе"/>
    <s v="До исполнения обязательств"/>
    <d v="2022-04-01T00:00:00"/>
    <s v=""/>
    <s v="Д-61"/>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3563"/>
    <s v="Зарегистрирован"/>
    <d v="2023-05-18T00:00:00"/>
    <s v=""/>
    <x v="120"/>
    <s v="8609322418"/>
    <s v="ГЕО-22/10402/00187/Р"/>
    <s v=""/>
    <s v="4"/>
    <s v="Нетиповой ДД"/>
    <x v="0"/>
    <s v=""/>
    <s v="00201-23"/>
    <s v=""/>
    <s v="ДС №4 к Договору № ГЕО-22/10402/00187/Р с Геолад-СТ"/>
    <s v="Добавление условий по вывозу МТР с ЛУ Лескино"/>
    <s v="Яшкина К.Л."/>
    <s v="Конюх М.В."/>
    <s v="Договорный документ"/>
    <s v="Блок бурения и ВСР"/>
    <s v="Трифонов А.В."/>
    <s v="ЭП"/>
    <s v="С ограничением по срокам "/>
    <d v="2023-05-18T00:00:00"/>
    <d v="2024-07-31T00:00:00"/>
    <s v="Д-33"/>
    <s v="Капитальный ремонт и освоение скважин"/>
    <s v="Не предполагает взаиморасчетов"/>
    <s v="Стоимостной"/>
    <s v=""/>
    <s v=""/>
    <s v=""/>
    <s v=""/>
    <s v=""/>
    <s v=""/>
    <s v="нет"/>
    <s v="нет"/>
    <s v=""/>
    <s v=""/>
    <s v=""/>
    <s v=""/>
    <s v="нет"/>
  </r>
  <r>
    <s v="Газпромнефть-ГЕО, ООО"/>
    <s v="0000074810"/>
    <s v="Зарегистрирован"/>
    <d v="2024-04-15T00:00:00"/>
    <d v="2024-05-16T00:00:00"/>
    <x v="211"/>
    <s v="7714372367"/>
    <s v="ГЕО-23-10000-00173-Р"/>
    <s v=""/>
    <s v="7"/>
    <s v="Нетиповой ДД"/>
    <x v="7"/>
    <s v=""/>
    <s v="00201-24"/>
    <s v=""/>
    <s v="Заявка №7 к договору №ГЕО-23/10000/00173/Р от 01.11.2023 г."/>
    <s v="Заключение в рамках исполнения договора"/>
    <s v="Переслегин М.В."/>
    <s v="Переслегин М.В."/>
    <s v="Договорный документ"/>
    <s v="Проект &quot;Западно-Зимнее&quot;"/>
    <s v="Аксенов М.А."/>
    <s v="ЭП"/>
    <s v="С ограничением по срокам "/>
    <d v="2024-04-15T00:00:00"/>
    <d v="2024-06-20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6 952 939.99"/>
    <s v="5 794 116.66"/>
    <s v="1 158 823.33"/>
    <s v="нет"/>
    <s v="нет"/>
    <s v=""/>
    <s v=""/>
    <s v=""/>
    <s v=""/>
    <s v="нет"/>
  </r>
  <r>
    <s v="Газпромнефть-ГЕО, ООО"/>
    <s v="0000027645"/>
    <s v="Зарегистрирован"/>
    <d v="2021-06-04T00:00:00"/>
    <s v=""/>
    <x v="80"/>
    <s v="5501072608"/>
    <s v=" ГЕО-21/20000/00032/Р/ГСН-21/20000/00474/Д/НС-03.3.2 от 16.03.2021"/>
    <s v=""/>
    <s v="1.2"/>
    <s v="Нетиповой ДД"/>
    <x v="5"/>
    <s v=""/>
    <s v="00202-21"/>
    <s v=""/>
    <s v="Приложение N 1.2 к Агентскому договору   №ГЕО-21/20000/00032/Р от &quot;16&quot; марта 2021 г.  "/>
    <s v="Передача на реализацию товаров по итогам решения ПДК (Очки ЗНД2 ADMIRAL РОСОМЗ/23231)._x000d__x000a_По итогам продажи получим доход за вычетом 6,9% агентского вознаграждения"/>
    <s v="Долгов Д.Г."/>
    <s v="Долгов Д.Г."/>
    <s v="Договорный документ"/>
    <s v="Блок по закупкам"/>
    <s v="Титов А.В."/>
    <s v="На бумажном носителе"/>
    <s v="До исполнения обязательств"/>
    <d v="2021-05-31T00:00:00"/>
    <s v=""/>
    <s v="Д-11"/>
    <s v="Агентский договор"/>
    <s v="Расходная часть"/>
    <s v="Агентский"/>
    <s v="20%"/>
    <s v=""/>
    <s v=""/>
    <s v="60 687.60"/>
    <s v="50 573.00"/>
    <s v="10 114.60"/>
    <s v="нет"/>
    <s v="нет"/>
    <s v=""/>
    <s v=""/>
    <s v=""/>
    <s v=""/>
    <s v="нет"/>
  </r>
  <r>
    <s v="Газпромнефть-ГЕО, ООО"/>
    <s v="0000008602"/>
    <s v="Зарегистрирован"/>
    <d v="2022-03-22T00:00:00"/>
    <s v=""/>
    <x v="32"/>
    <s v="5504036333"/>
    <s v="ГЕО-22/09100/00028 "/>
    <s v=""/>
    <s v="138"/>
    <s v="Нетиповой ДД"/>
    <x v="0"/>
    <s v=""/>
    <s v="00202-22"/>
    <s v=""/>
    <s v="Дополнительное соглашение № 138"/>
    <s v="Об использовании электронного документооборота в рамках ранее заключенного агентского договора"/>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2-03-22T00:00:00"/>
    <s v=""/>
    <s v="Д-66"/>
    <s v="Договор на обучение (тренинги, семинары и проч.)"/>
    <s v="Не предполагает взаиморасчетов"/>
    <s v=""/>
    <s v=""/>
    <s v=""/>
    <s v=""/>
    <s v=""/>
    <s v=""/>
    <s v=""/>
    <s v="нет"/>
    <s v="нет"/>
    <s v=""/>
    <s v=""/>
    <s v=""/>
    <s v=""/>
    <s v="нет"/>
  </r>
  <r>
    <s v="Газпромнефть-ГЕО, ООО"/>
    <s v="0000104605"/>
    <s v="Зарегистрирован"/>
    <d v="2023-04-14T00:00:00"/>
    <s v=""/>
    <x v="55"/>
    <s v="9705112341"/>
    <s v="ГЕО-23/10000/00067/Р"/>
    <s v=""/>
    <s v="1"/>
    <s v="Нетиповой ДД"/>
    <x v="3"/>
    <s v=""/>
    <s v="00202-23"/>
    <s v=""/>
    <s v="Наряд-заказ №1 на оказание услуг по Договору №ГЕО-23/10000/00067/Р от &quot;31&quot; марта 2023г."/>
    <s v="С целью выполнения производственной программы проектов «Южный Оренбург» и «Оморинский»_x000d__x000a_На скважине № 401 Западно-Рубежинского ЛУ (проект Южный Оренбург) и на скважинах № 3, 4 и 4бис (проект Оморинский)._x000d__x000a_"/>
    <s v="Безруков А.А."/>
    <s v="Кузьмин Е.А."/>
    <s v="Договорный документ"/>
    <s v="Блок бурения и ВСР"/>
    <s v="Трифонов А.В."/>
    <s v="ЭП"/>
    <s v="С ограничением по срокам "/>
    <d v="2023-04-14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3 814 760.00"/>
    <s v="11 512 300.00"/>
    <s v="2 302 460.00"/>
    <s v="нет"/>
    <s v="нет"/>
    <s v=""/>
    <s v=""/>
    <s v=""/>
    <s v=""/>
    <s v="нет"/>
  </r>
  <r>
    <s v="Газпромнефть-ГЕО, ООО"/>
    <s v="0000074810"/>
    <s v="Зарегистрирован"/>
    <d v="2024-04-15T00:00:00"/>
    <d v="2024-05-20T00:00:00"/>
    <x v="211"/>
    <s v="7714372367"/>
    <s v="ГЕО/10000/00173/Р"/>
    <s v=""/>
    <s v="8"/>
    <s v="Нетиповой ДД"/>
    <x v="7"/>
    <s v=""/>
    <s v="00202-24"/>
    <s v=""/>
    <s v="Заявка №8 к договору №ГЕО/23/10000/00173/Р от 01.11.2023г."/>
    <s v="Заключение в рамках исполнения договора"/>
    <s v="Переслегин М.В."/>
    <s v="Переслегин М.В."/>
    <s v="Договорный документ"/>
    <s v="Проект &quot;Западно-Зимнее&quot;"/>
    <s v="Аксенов М.А."/>
    <s v="ЭП"/>
    <s v="С ограничением по срокам "/>
    <d v="2024-04-15T00:00:00"/>
    <d v="2024-11-1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9 992 098.97"/>
    <s v="16 660 082.48"/>
    <s v="3 332 016.49"/>
    <s v="нет"/>
    <s v="нет"/>
    <s v=""/>
    <s v=""/>
    <s v=""/>
    <s v=""/>
    <s v="нет"/>
  </r>
  <r>
    <s v="Газпромнефть-ГЕО, ООО"/>
    <s v="0000062701"/>
    <s v="Зарегистрирован"/>
    <d v="2021-05-25T00:00:00"/>
    <s v=""/>
    <x v="212"/>
    <s v="6318166129"/>
    <s v="№ ГЕО-20/11019/00045/Р от 15.03.2020 г."/>
    <s v=""/>
    <s v="Изменение 2 к Н-З №1"/>
    <s v="Типовой ДД"/>
    <x v="3"/>
    <s v="11018, 11019, 11020, 11021, 11022  Наряд-заказ к Договору (рамочному) на выполнение  работ по услугам &quot;Капитальное строительство и ПИР&quot;"/>
    <s v="00203-21"/>
    <s v="№1"/>
    <s v="11018, 11019, 11020, 11021, 11022  Наряд-заказ к Договору (рамочному) на выполнение  работ по услугам &quot;Капитальное строительство и ПИР&quot;"/>
    <s v="Выполнение дополнительных работ по объекту «Строительство поисково-оценочной скважины №341 Солнечного лицензионного участка», с увеличением стоимости работ по наряд-заказу и изменением сроков проектирования"/>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5-25T00:00:00"/>
    <d v="2021-12-30T00:00:00"/>
    <s v="Д-22"/>
    <s v="Капитальное строительство и ПИР"/>
    <s v="Расходная часть"/>
    <s v="Рамочный"/>
    <s v="20%"/>
    <s v=""/>
    <s v=""/>
    <s v="4 482 938.90"/>
    <s v="3 735 782.42"/>
    <s v="747 156.48"/>
    <s v="нет"/>
    <s v="нет"/>
    <s v=""/>
    <s v=""/>
    <s v=""/>
    <s v=""/>
    <s v="нет"/>
  </r>
  <r>
    <s v="Газпромнефть-ГЕО, ООО"/>
    <s v="0000040194"/>
    <s v="Зарегистрирован"/>
    <d v="2022-03-23T00:00:00"/>
    <s v=""/>
    <x v="177"/>
    <s v="7017126251"/>
    <s v=""/>
    <s v="ГЕО-22/33200/00063"/>
    <s v="ГЕО-22/33200/00063"/>
    <s v="Нетиповой ДД"/>
    <x v="1"/>
    <s v=""/>
    <s v="00203-22"/>
    <s v=""/>
    <s v="Соглашение об использовании электронного документооборота "/>
    <s v="Соглашение об использовании электронного документооборота "/>
    <s v="Андреева И.В."/>
    <s v="Андреева И.В."/>
    <s v="Договорный документ"/>
    <s v="Управление экономического планирования и анализа"/>
    <s v="Аксенов М.А."/>
    <s v="На бумажном носителе"/>
    <s v="Без сроков "/>
    <d v="2022-03-23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0408"/>
    <s v="Зарегистрирован"/>
    <d v="2023-04-12T00:00:00"/>
    <s v=""/>
    <x v="104"/>
    <s v="3812043780"/>
    <s v="ГЕО-22/11029/00171/Р"/>
    <s v=""/>
    <s v="3"/>
    <s v="Нетиповой ДД"/>
    <x v="4"/>
    <s v=""/>
    <s v="00203-23"/>
    <s v="1"/>
    <s v="Изм.№3 к наряд-заказу №1 . ...171 СТС, ООО"/>
    <s v="Изм.№3 к наряд-заказу №1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
    <s v="Договорный документ"/>
    <s v="Департамент капитального строительства"/>
    <s v="Трифонов А.В."/>
    <s v="ЭП"/>
    <s v="До исполнения обязательств"/>
    <d v="2023-04-12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73 839 866.00"/>
    <s v="144 866 555.00"/>
    <s v="28 973 311.00"/>
    <s v="нет"/>
    <s v="нет"/>
    <s v=""/>
    <s v=""/>
    <s v=""/>
    <s v=""/>
    <s v="нет"/>
  </r>
  <r>
    <s v="Газпромнефть-ГЕО, ООО"/>
    <s v="0000080408"/>
    <s v="Зарегистрирован"/>
    <d v="2024-04-04T00:00:00"/>
    <s v=""/>
    <x v="104"/>
    <s v="3812043780"/>
    <s v="ГЕО-22/33100/00161"/>
    <s v=""/>
    <s v="1"/>
    <s v="Типовой ДД"/>
    <x v="0"/>
    <s v="33100 Дополнительное соглашение к Соглашениям в  в области производственной безопасности;"/>
    <s v="00203-24"/>
    <s v=""/>
    <s v="ДС 1 к соглашению ПБ №ГЕО-22/33100/00161 от 21 июля 2022г."/>
    <s v="Приказ П-32Актуализация Соглашения ПБ"/>
    <s v="Мормышев А.А."/>
    <s v=""/>
    <s v="Договорный документ"/>
    <s v="Блок снабжения и закупок"/>
    <s v="Ядрышников П.Н."/>
    <s v="ЭП"/>
    <s v="До исполнения обязательств"/>
    <d v="2024-04-04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2701"/>
    <s v="Зарегистрирован"/>
    <d v="2021-05-25T00:00:00"/>
    <s v=""/>
    <x v="212"/>
    <s v="6318166129"/>
    <s v="№ ГЕО-20/11019/00045/Р от 15.03.2020 г."/>
    <s v=""/>
    <s v="Наряд-заказ №3"/>
    <s v="Типовой ДД"/>
    <x v="3"/>
    <s v="11018, 11019, 11020, 11021, 11022  Наряд-заказ к Договору (рамочному) на выполнение  работ по услугам &quot;Капитальное строительство и ПИР&quot;"/>
    <s v="00204-21"/>
    <s v=""/>
    <s v="11018, 11019, 11020, 11021, 11022  Наряд-заказ к Договору (рамочному) на выполнение  работ по услугам &quot;Капитальное строительство и ПИР&quot;"/>
    <s v="Выполнение ПИР по объекту проектирования «Строительство поисково-оценочной скважины №401ПО Западно-Рубеж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5-25T00:00:00"/>
    <d v="2021-12-31T00:00:00"/>
    <s v="Д-22"/>
    <s v="Капитальное строительство и ПИР"/>
    <s v="Расходная часть"/>
    <s v="Рамочный"/>
    <s v="20%"/>
    <s v=""/>
    <s v=""/>
    <s v="13 522 046.05"/>
    <s v="11 268 371.71"/>
    <s v="2 253 674.34"/>
    <s v="нет"/>
    <s v="нет"/>
    <s v=""/>
    <s v=""/>
    <s v=""/>
    <s v=""/>
    <s v="нет"/>
  </r>
  <r>
    <s v="Газпромнефть-ГЕО, ООО"/>
    <s v="0000080408"/>
    <s v="Зарегистрирован"/>
    <d v="2023-04-12T00:00:00"/>
    <s v=""/>
    <x v="104"/>
    <s v="3812043780"/>
    <s v="ГЕО-22/11029/00171/Р"/>
    <s v=""/>
    <s v="2"/>
    <s v="Нетиповой ДД"/>
    <x v="4"/>
    <s v=""/>
    <s v="00204-23"/>
    <s v="3"/>
    <s v="Изм.№2 к наряд-заказу №3 . ...171 СТС, ООО"/>
    <s v="Изм.№2 к наряд-заказу №3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
    <s v="Договорный документ"/>
    <s v="Департамент капитального строительства"/>
    <s v="Трифонов А.В."/>
    <s v="ЭП"/>
    <s v="До исполнения обязательств"/>
    <d v="2023-04-12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205 824 374.40"/>
    <s v="171 520 312.00"/>
    <s v="34 304 062.40"/>
    <s v="нет"/>
    <s v="нет"/>
    <s v=""/>
    <s v=""/>
    <s v=""/>
    <s v=""/>
    <s v="нет"/>
  </r>
  <r>
    <s v="Газпромнефть-ГЕО, ООО"/>
    <s v="0000048878"/>
    <s v="Зарегистрирован"/>
    <d v="2024-06-19T00:00:00"/>
    <d v="2024-07-10T00:00:00"/>
    <x v="29"/>
    <s v="1645019164"/>
    <s v="ГЕО-22/33100/00259"/>
    <s v=""/>
    <s v="2"/>
    <s v="Типовой ДД"/>
    <x v="0"/>
    <s v="33100 Дополнительное соглашение к Соглашениям в  в области производственной безопасности;"/>
    <s v="00204-24"/>
    <s v=""/>
    <s v="ДС №2 к Соглашению по ПБ №ГЕО-22/33100/00259 от 10.10.2022 г."/>
    <s v="Актуализация Соглашения по ПБ"/>
    <s v="Ушакова М.А."/>
    <s v=""/>
    <s v="Договорный документ"/>
    <s v="Блок геологии и разработки"/>
    <s v="Михайлов Ю.А."/>
    <s v="ЭП"/>
    <s v="С ограничением по срокам "/>
    <d v="2024-06-19T00:00:00"/>
    <d v="2026-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5735"/>
    <s v="Зарегистрирован"/>
    <d v="2021-05-25T00:00:00"/>
    <s v=""/>
    <x v="200"/>
    <s v="0274095068"/>
    <s v="№ГЕО-19/11019/00145/Р"/>
    <s v=""/>
    <s v="Изменение 1 к Наряд-Заказу 4"/>
    <s v="Типовой ДД"/>
    <x v="3"/>
    <s v="11018, 11019, 11020, 11021, 11022  Наряд-заказ к Договору (рамочному) на выполнение  работ по услугам &quot;Капитальное строительство и ПИР&quot;"/>
    <s v="00205-21"/>
    <s v="№4"/>
    <s v="11018, 11019, 11020, 11021, 11022  Наряд-заказ к Договору (рамочному) на выполнение  работ по услугам &quot;Капитальное строительство и ПИР&quot;"/>
    <s v="Дополнительные работ на корректировку ОТР с увеличением стоимости работ по Наряд-заказу"/>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5-25T00:00:00"/>
    <d v="2021-06-30T00:00:00"/>
    <s v="Д-22"/>
    <s v="Капитальное строительство и ПИР"/>
    <s v="Расходная часть"/>
    <s v="Рамочный"/>
    <s v="20%"/>
    <s v=""/>
    <s v=""/>
    <s v="159 411.28"/>
    <s v="132 842.73"/>
    <s v="26 568.55"/>
    <s v="нет"/>
    <s v="нет"/>
    <s v=""/>
    <s v=""/>
    <s v=""/>
    <s v=""/>
    <s v="нет"/>
  </r>
  <r>
    <s v="Газпромнефть-ГЕО, ООО"/>
    <s v="0000067067"/>
    <s v="Зарегистрирован"/>
    <d v="2022-03-15T00:00:00"/>
    <s v=""/>
    <x v="24"/>
    <s v="7816483740"/>
    <s v="ГЕО-19/09000/00303/P"/>
    <s v=""/>
    <s v="3"/>
    <s v="Нетиповой ДД"/>
    <x v="0"/>
    <s v=""/>
    <s v="00205-22"/>
    <s v=""/>
    <s v="Дополнительное соглашение №3 к договору № ГЕО-19/09000/00303/P от 15.11.2019"/>
    <s v="Дополнительное соглашение №3 к Договору №ГЕО-19/09000/00303/Р от 15.11.2019г., предусматривает:_x000d__x000a_- включение варианта 2 комплекса телемедицины, серверного оборудования и условий эксплуатации телемедицинского оборудования в Техническое задание;_x000d__x000a_- включение в Приложение №1 ставки «Эксплуатация телемедицинского оборудования»;_x000d__x000a_- перераспределение негарантированных объемов в гарантированные. _x000d__x000a_- изменение реквизитов ООО «СОГАЗ» ПРОФМЕДИЦИНА»._x000d__x000a_"/>
    <s v="Табуева М.А."/>
    <s v="Ядрышников П.Н."/>
    <s v="Договорный документ"/>
    <s v="Управление производственной безопасности"/>
    <s v="Власов М.М."/>
    <s v="На бумажном носителе"/>
    <s v="С ограничением по срокам "/>
    <d v="2022-03-15T00:00:00"/>
    <d v="2024-12-31T00:00:00"/>
    <s v="Д-59"/>
    <s v="Договор возмездного оказания услуг"/>
    <s v="Не предполагает взаиморасчетов"/>
    <s v=""/>
    <s v=""/>
    <s v=""/>
    <s v=""/>
    <s v=""/>
    <s v=""/>
    <s v=""/>
    <s v="нет"/>
    <s v="нет"/>
    <s v=""/>
    <s v=""/>
    <s v=""/>
    <s v=""/>
    <s v="нет"/>
  </r>
  <r>
    <s v="Газпромнефть-ГЕО, ООО"/>
    <s v="0000080408"/>
    <s v="Зарегистрирован"/>
    <d v="2023-04-12T00:00:00"/>
    <s v=""/>
    <x v="104"/>
    <s v="3812043780"/>
    <s v="ГЕО-22/11029/00171/Р"/>
    <s v=""/>
    <s v="1"/>
    <s v="Нетиповой ДД"/>
    <x v="4"/>
    <s v=""/>
    <s v="00205-23"/>
    <s v="2"/>
    <s v="Изм.№1 к наряд-заказу №2 . ...171 СТС, ООО"/>
    <s v="Изм.№1 к наряд-заказу №2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
    <s v="Договорный документ"/>
    <s v="Департамент капитального строительства"/>
    <s v="Трифонов А.В."/>
    <s v="ЭП"/>
    <s v="До исполнения обязательств"/>
    <d v="2023-04-12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85 200 145.20"/>
    <s v="71 000 121.00"/>
    <s v="14 200 024.20"/>
    <s v="нет"/>
    <s v="нет"/>
    <s v=""/>
    <s v=""/>
    <s v=""/>
    <s v=""/>
    <s v="нет"/>
  </r>
  <r>
    <s v="Газпромнефть-ГЕО, ООО"/>
    <s v="0000049141"/>
    <s v="Зарегистрирован"/>
    <d v="2024-05-07T00:00:00"/>
    <d v="2024-05-15T00:00:00"/>
    <x v="181"/>
    <s v="7203215460"/>
    <s v="ГЕО-22/33100/00253"/>
    <s v=""/>
    <s v="1"/>
    <s v="Типовой ДД"/>
    <x v="0"/>
    <s v="33100 Дополнительное соглашение к Соглашениям в  в области производственной безопасности;"/>
    <s v="00205-24"/>
    <s v=""/>
    <s v="ДС №1 к Соглашению по ПБ №ГЕО-22/33100/00253 от 10.10.2022 г. "/>
    <s v="Актуализация Соглашения по ПБ"/>
    <s v="Ушакова М.А."/>
    <s v=""/>
    <s v="Договорный документ"/>
    <s v="Блок геологии и разработки"/>
    <s v="Ядрышников П.Н."/>
    <s v="ЭП"/>
    <s v="С ограничением по срокам "/>
    <d v="2024-05-07T00:00:00"/>
    <d v="2026-12-31T00:00:00"/>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5735"/>
    <s v="Зарегистрирован"/>
    <d v="2021-05-25T00:00:00"/>
    <s v=""/>
    <x v="200"/>
    <s v="0274095068"/>
    <s v="Договор №ГЕО/11019/00145/Р от 19.06.2019"/>
    <s v=""/>
    <s v="НАРЯД-ЗАКАЗ № 5"/>
    <s v="Типовой ДД"/>
    <x v="3"/>
    <s v="11018, 11019, 11020, 11021, 11022  Наряд-заказ к Договору (рамочному) на выполнение  работ по услугам &quot;Капитальное строительство и ПИР&quot;"/>
    <s v="00206-21"/>
    <s v=""/>
    <s v="11018, 11019, 11020, 11021, 11022  Наряд-заказ к Договору (рамочному) на выполнение  работ по услугам &quot;Капитальное строительство и ПИР&quot;"/>
    <s v="Выполнение проектных работ по объекту «Строительство поисково-оценочной скважины №198 Леск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5-25T00:00:00"/>
    <d v="2022-06-30T00:00:00"/>
    <s v="Д-22"/>
    <s v="Капитальное строительство и ПИР"/>
    <s v="Расходная часть"/>
    <s v="Рамочный"/>
    <s v="20%"/>
    <s v=""/>
    <s v=""/>
    <s v="11 482 145.94"/>
    <s v="9 568 454.95"/>
    <s v="1 913 690.99"/>
    <s v="нет"/>
    <s v="нет"/>
    <s v=""/>
    <s v=""/>
    <s v=""/>
    <s v=""/>
    <s v="нет"/>
  </r>
  <r>
    <s v="Газпромнефть-ГЕО, ООО"/>
    <s v="0000085349"/>
    <s v="Зарегистрирован"/>
    <d v="2022-03-31T00:00:00"/>
    <s v=""/>
    <x v="140"/>
    <s v="5610220126"/>
    <s v=""/>
    <s v="ГЕО-22/33200/00062"/>
    <s v="ГЕО-22/33200/00062"/>
    <s v="Типовой ДД"/>
    <x v="1"/>
    <s v="33200 Соглашение об электронном документообороте"/>
    <s v="00206-22"/>
    <s v=""/>
    <s v="33200 Соглашение об электронном документообороте"/>
    <s v="в рамках исполнения приказа 144-П от 23.09.21г."/>
    <s v="Рябикина М.А."/>
    <s v="Бикташев Руслан Станиславович - Руководитель направления по ППН и ППД, Производственно-технологический департамент"/>
    <s v="Договорный документ"/>
    <s v="Блок главного инженера"/>
    <s v="Ковтун М.А."/>
    <s v="На бумажном носителе"/>
    <s v="Без сроков "/>
    <d v="2022-03-31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1259"/>
    <s v="Зарегистрирован"/>
    <d v="2023-04-17T00:00:00"/>
    <s v=""/>
    <x v="142"/>
    <s v="7203159800"/>
    <s v="ГЕО-22/10968/00197/Р"/>
    <s v=""/>
    <s v="2"/>
    <s v="Нетиповой ДД"/>
    <x v="0"/>
    <s v=""/>
    <s v="00206-23"/>
    <s v=""/>
    <s v="Дополнительное соглашение №2"/>
    <s v="Перенос объёмов работ по утилизации отходов бурения с 2022 года на 2023 год и перенос вывоза оборудования с площадки отходов бурения с 2024 года на 2023 год. Увеличение общей стоимости по договору + 508 730,24 руб. без НДС, за счёт разницы ценовых расценок по годам на уровень индексации, без изменения единичных расценок утверждённых Договором. "/>
    <s v="Копылов Е.О."/>
    <s v=""/>
    <s v="Договорный документ"/>
    <s v="Отдел экологической безопасности"/>
    <s v="Михайлов Ю.А."/>
    <s v="ЭП"/>
    <s v="С ограничением по срокам "/>
    <d v="2023-04-17T00:00:00"/>
    <d v="2024-09-30T00:00:00"/>
    <s v="Д-2"/>
    <s v="Вывоз, транспортировка и размещение отходов производственной деятельности"/>
    <s v="Расходная часть"/>
    <s v="Стоимостной"/>
    <s v="20%"/>
    <s v=""/>
    <s v=""/>
    <s v="122 056 741.56"/>
    <s v="101 713 951.30"/>
    <s v="20 342 790.26"/>
    <s v="нет"/>
    <s v="нет"/>
    <s v=""/>
    <s v=""/>
    <s v=""/>
    <s v=""/>
    <s v="нет"/>
  </r>
  <r>
    <s v="Газпромнефть-ГЕО, ООО"/>
    <s v="0000062894"/>
    <s v="Зарегистрирован"/>
    <d v="2024-06-26T00:00:00"/>
    <d v="2024-07-18T00:00:00"/>
    <x v="47"/>
    <s v="7017253595"/>
    <s v="ГЕО-23/33100/00026"/>
    <s v=""/>
    <s v="2"/>
    <s v="Типовой ДД"/>
    <x v="0"/>
    <s v="33100 Дополнительное соглашение к Соглашениям в  в области производственной безопасности;"/>
    <s v="00206-24"/>
    <s v=""/>
    <s v="ДС №2 к Соглашению по ПБ №ГЕО-23/33100/00026 от 10.01.2023 г."/>
    <s v="Актуализация Соглашения по ПБ"/>
    <s v="Ушакова М.А."/>
    <s v=""/>
    <s v="Договорный документ"/>
    <s v="Блок геологии и разработки"/>
    <s v="Михайлов Ю.А."/>
    <s v="ЭП"/>
    <s v="С ограничением по срокам "/>
    <d v="2024-06-26T00:00:00"/>
    <d v="2027-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5789"/>
    <s v="Зарегистрирован"/>
    <d v="2022-03-23T00:00:00"/>
    <s v=""/>
    <x v="16"/>
    <s v="7838395487"/>
    <s v="ГЕО-21/11708/00165/Р"/>
    <s v=""/>
    <s v="НТЦ-03028-21Д-ГЕО"/>
    <s v="Нетиповой ДД"/>
    <x v="3"/>
    <s v=""/>
    <s v="00207-22"/>
    <s v=""/>
    <s v="ГМ Енисей к договору ГЕО-21/11708/00165/Р//НТЦ-21/09000/00768/Д от 12.07.2021"/>
    <s v="Концепт геологии и/или разработки с обоснованием оптимальных программ исследований/с дизайном ГРР и ОПР («Актуализация сейсмогеологической модели проекта &quot;Енисей&quot;»)"/>
    <s v="Коротков С.П."/>
    <s v=""/>
    <s v="Договорный документ"/>
    <s v="Управление по разработке"/>
    <s v="Аксенов М.А."/>
    <s v="На бумажном носителе"/>
    <s v="С ограничением по срокам "/>
    <d v="2022-03-21T00:00:00"/>
    <d v="2022-11-25T00:00:00"/>
    <s v="Д-54"/>
    <s v="Договор на выполнение НИР, ОКР и технологических работ"/>
    <s v="Расходная часть"/>
    <s v="Рамочный"/>
    <s v="20%"/>
    <s v=""/>
    <s v=""/>
    <s v="34 161 120.00"/>
    <s v="28 467 600.00"/>
    <s v="5 693 520.00"/>
    <s v="нет"/>
    <s v="нет"/>
    <s v=""/>
    <s v=""/>
    <s v=""/>
    <s v=""/>
    <s v="нет"/>
  </r>
  <r>
    <s v="Газпромнефть-ГЕО, ООО"/>
    <s v="0000068695"/>
    <s v="Зарегистрирован"/>
    <d v="2023-04-13T00:00:00"/>
    <s v=""/>
    <x v="77"/>
    <s v="1106013435"/>
    <s v="ГЕО-21/10306/00256/Р"/>
    <s v=""/>
    <s v="5"/>
    <s v="Нетиповой ДД"/>
    <x v="0"/>
    <s v=""/>
    <s v="00207-23"/>
    <s v=""/>
    <s v="Дополнительное соглашение № 5 к Договору № ГЕО-21/10306/00256/P от 26.10.2021г. на основании соглашения о перемене лица в обязательстве от 15.05.2022г.  "/>
    <s v="Перераспределение объема услуг по годам без изменения общей стоимости и объема услуг по Договору"/>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3-04-13T00:00:00"/>
    <s v=""/>
    <s v="Д-33"/>
    <s v="Цементирование обсадных колонн и хвостовиков, установка цементных мостов"/>
    <s v="Не предполагает взаиморасчетов"/>
    <s v="Стоимостной"/>
    <s v=""/>
    <s v=""/>
    <s v=""/>
    <s v=""/>
    <s v=""/>
    <s v=""/>
    <s v="нет"/>
    <s v="нет"/>
    <s v=""/>
    <s v=""/>
    <s v=""/>
    <s v=""/>
    <s v="нет"/>
  </r>
  <r>
    <s v="Газпромнефть-ГЕО, ООО"/>
    <s v="0000073273, 0000008602"/>
    <s v="Проект"/>
    <s v=""/>
    <s v=""/>
    <x v="213"/>
    <s v="5610218014, 5504036333"/>
    <s v=""/>
    <s v=""/>
    <s v=""/>
    <s v="Нетиповой ДД"/>
    <x v="1"/>
    <s v=""/>
    <s v="00207-24"/>
    <s v=""/>
    <s v=""/>
    <s v=""/>
    <s v="Герасимова О.А."/>
    <s v=""/>
    <s v="Договорный документ"/>
    <s v="Отдел административной поддержки бизнеса"/>
    <s v="Аксенов М.А."/>
    <s v="На бумажном носителе"/>
    <s v=""/>
    <s v=""/>
    <s v=""/>
    <s v="Д-54"/>
    <s v=""/>
    <s v=""/>
    <s v=""/>
    <s v=""/>
    <s v=""/>
    <s v=""/>
    <s v=""/>
    <s v=""/>
    <s v=""/>
    <s v="нет"/>
    <s v="нет"/>
    <s v=""/>
    <s v=""/>
    <s v=""/>
    <s v=""/>
    <s v="нет"/>
  </r>
  <r>
    <s v="Газпромнефть-ГЕО, ООО"/>
    <s v="0000040878"/>
    <s v="Зарегистрирован"/>
    <d v="2022-03-25T00:00:00"/>
    <s v=""/>
    <x v="40"/>
    <s v="7826711272"/>
    <s v="ДАТ/ГЕО-19/11100/00254/Р"/>
    <s v=""/>
    <s v="3"/>
    <s v="Нетиповой ДД"/>
    <x v="0"/>
    <s v=""/>
    <s v="00208-22"/>
    <s v=""/>
    <s v="Перерасчет арендной платы в Феврале и Марте 2022 (COVID водители)"/>
    <s v="Перерасчет размера арендной платы в Феврале и Марте 2022 года, в связи с оказанием услуг не в полном объеме (болезнь водителей и отсутствие возможности у Арендодателя предоставить замену)"/>
    <s v="Гусаков В.В."/>
    <s v="Гусаков В.В."/>
    <s v="Договорный документ"/>
    <s v="Блок снабжения и закупок"/>
    <s v="Титов А.В."/>
    <s v="На бумажном носителе"/>
    <s v="С ограничением по срокам "/>
    <d v="2022-03-01T00:00:00"/>
    <d v="2022-03-31T00:00:00"/>
    <s v="Д-56"/>
    <s v="Договор возмездного оказания услуг"/>
    <s v="Расходная часть"/>
    <s v="Тарифный"/>
    <s v="20%"/>
    <s v=""/>
    <s v=""/>
    <s v="895 907.95"/>
    <s v="746 589.96"/>
    <s v="149 317.99"/>
    <s v="нет"/>
    <s v="нет"/>
    <s v=""/>
    <s v=""/>
    <s v=""/>
    <s v=""/>
    <s v="нет"/>
  </r>
  <r>
    <s v="Газпромнефть-ГЕО, ООО"/>
    <s v="0000060441"/>
    <s v="Зарегистрирован"/>
    <d v="2023-04-17T00:00:00"/>
    <s v=""/>
    <x v="214"/>
    <s v="7805544260"/>
    <s v=""/>
    <s v="ГЕО-23/24000/00079/Р"/>
    <s v="ГЕО-23/24000/00079/Р"/>
    <s v="Нетиповой ДД"/>
    <x v="2"/>
    <s v=""/>
    <s v="00208-23"/>
    <s v=""/>
    <s v="закупка лицензий криптографичесского ПО и техподдержки"/>
    <s v="закупка лицензий криптографичесского ПО и техподдержки для реализации ЮЗЭДО."/>
    <s v="Разумовский М.В."/>
    <s v="Разумовский М.В."/>
    <s v="Договорный документ"/>
    <s v="Блок геологии и разработки"/>
    <s v="Аксенов М.А."/>
    <s v="На бумажном носителе"/>
    <s v="С ограничением по срокам "/>
    <d v="2023-04-17T00:00:00"/>
    <d v="2024-04-16T00:00:00"/>
    <s v="Д-54"/>
    <s v="Лицензионный договор"/>
    <s v="Расходная часть"/>
    <s v="Стоимостной"/>
    <s v="иное"/>
    <s v=""/>
    <s v=""/>
    <s v="445 002.00"/>
    <s v="430 835.00"/>
    <s v="14 167.00"/>
    <s v="нет"/>
    <s v="нет"/>
    <s v=""/>
    <s v=""/>
    <s v=""/>
    <s v=""/>
    <s v="нет"/>
  </r>
  <r>
    <s v="Газпромнефть-ГЕО, ООО"/>
    <s v="0000062908"/>
    <s v="Закрыт"/>
    <d v="2021-06-01T00:00:00"/>
    <s v=""/>
    <x v="215"/>
    <s v="8603136398"/>
    <s v="ГЕО-21/11505/00115/Р "/>
    <s v=""/>
    <s v="НЗ №1 "/>
    <s v="Нетиповой ДД"/>
    <x v="3"/>
    <s v=""/>
    <s v="00209-21"/>
    <s v=""/>
    <s v="Наряд-заказ к ГЕО-21/11505/00115/Р"/>
    <s v="Выполнение цифровой аэрофотосъемки и воздушно-лазерного сканирования"/>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1-06-01T00:00:00"/>
    <d v="2023-12-31T00:00:00"/>
    <s v=""/>
    <s v="Аэрофотосъемка, космическая съемка. Создание ортофотопланов"/>
    <s v="Расходная часть"/>
    <s v="Рамочный"/>
    <s v="20%"/>
    <s v=""/>
    <s v=""/>
    <s v="19 936 828.00"/>
    <s v="16 614 023.33"/>
    <s v="3 322 804.67"/>
    <s v="нет"/>
    <s v="нет"/>
    <s v=""/>
    <s v=""/>
    <s v=""/>
    <s v=""/>
    <s v="нет"/>
  </r>
  <r>
    <s v="Газпромнефть-ГЕО, ООО"/>
    <s v="0000082130"/>
    <s v="Закрыт"/>
    <d v="2022-03-23T00:00:00"/>
    <s v=""/>
    <x v="17"/>
    <s v="7203027949"/>
    <s v=""/>
    <s v="ГЕО-22/33200/00087"/>
    <s v="ГЕО-22/33200/00087"/>
    <s v="Типовой ДД"/>
    <x v="1"/>
    <s v="33200 Соглашение об электронном документообороте"/>
    <s v="00209-22"/>
    <s v=""/>
    <s v="33200 Соглашение об электронном документообороте"/>
    <s v="Переход на электронный документооборот"/>
    <s v="Лобанов А.А."/>
    <s v="Лобанов А.А."/>
    <s v="Договорный документ"/>
    <s v="Управление по геологии"/>
    <s v="Аксенов М.А."/>
    <s v="На бумажном носителе"/>
    <s v="Без сроков "/>
    <d v="2022-03-23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0408"/>
    <s v="Зарегистрирован"/>
    <d v="2023-04-17T00:00:00"/>
    <s v=""/>
    <x v="104"/>
    <s v="3812043780"/>
    <s v=""/>
    <s v="ГЕО-23/20000/00073/Д"/>
    <s v="ГЕО-23/20000/00073/Д"/>
    <s v="Типовой ДД"/>
    <x v="2"/>
    <s v="20000 Агентский договор на организацию вертолетных авиаперевозок"/>
    <s v="00209-23"/>
    <s v=""/>
    <s v="20000 Агентский договор на организацию вертолетных авиаперевозок ООО «СТС»"/>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4-17T00:00:00"/>
    <d v="2023-12-31T00:00:00"/>
    <s v="Д-56"/>
    <s v="Агентский договор"/>
    <s v="Доходная часть"/>
    <s v="Агентский"/>
    <s v="20%"/>
    <s v=""/>
    <s v=""/>
    <s v="54 421.20"/>
    <s v="45 351.00"/>
    <s v="9 070.20"/>
    <s v="нет"/>
    <s v="нет"/>
    <s v=""/>
    <s v=""/>
    <s v=""/>
    <s v=""/>
    <s v="нет"/>
  </r>
  <r>
    <s v="Газпромнефть-ГЕО, ООО"/>
    <s v="0000047473"/>
    <s v="Зарегистрирован"/>
    <d v="2021-06-01T00:00:00"/>
    <s v=""/>
    <x v="216"/>
    <s v="0276105917"/>
    <s v=""/>
    <s v="ГЕО-21/00000/00134"/>
    <s v="ГЕО-21/00000/00134"/>
    <s v="Типовой ДД"/>
    <x v="1"/>
    <s v="00000 Соглашение об электронном документообороте"/>
    <s v="00210-21"/>
    <s v=""/>
    <s v="00000 Соглашение об электронном документообороте"/>
    <s v="Внедрение Электронного Документооборота"/>
    <s v="Коротков С.П."/>
    <s v=""/>
    <s v="Договорный документ"/>
    <s v="Управление по разработке"/>
    <s v="Аксенов М.А."/>
    <s v="На бумажном носителе"/>
    <s v="Без сроков "/>
    <d v="2021-06-01T00:00:00"/>
    <s v=""/>
    <s v="Д-3"/>
    <s v="ПРОЧИЕ ДОГОВОРЫ"/>
    <s v="Не предполагает взаиморасчетов"/>
    <s v="Рамочный"/>
    <s v=""/>
    <s v=""/>
    <s v=""/>
    <s v=""/>
    <s v=""/>
    <s v=""/>
    <s v="нет"/>
    <s v="нет"/>
    <s v=""/>
    <s v=""/>
    <s v=""/>
    <s v=""/>
    <s v="нет"/>
  </r>
  <r>
    <s v="Газпромнефть-ГЕО, ООО"/>
    <s v="0000080408"/>
    <s v="Зарегистрирован"/>
    <d v="2023-04-15T00:00:00"/>
    <s v=""/>
    <x v="104"/>
    <s v="3812043780"/>
    <s v="ГЕО-22/11029/00172/Р"/>
    <s v=""/>
    <s v="3"/>
    <s v="Нетиповой ДД"/>
    <x v="3"/>
    <s v=""/>
    <s v="00210-23"/>
    <s v=""/>
    <s v="Наряд-заказ №3 ...172 СТС,ООО"/>
    <s v="Наряд-заказ №3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
    <s v="Мормышев А.А."/>
    <s v=""/>
    <s v="Договорный документ"/>
    <s v="Департамент капитального строительства"/>
    <s v="Трифонов А.В."/>
    <s v="ЭП"/>
    <s v="До исполнения обязательств"/>
    <d v="2023-04-15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7 982 126.00"/>
    <s v="14 985 105.00"/>
    <s v="2 997 021.00"/>
    <s v="нет"/>
    <s v="нет"/>
    <s v=""/>
    <s v=""/>
    <s v=""/>
    <s v=""/>
    <s v="нет"/>
  </r>
  <r>
    <s v="Газпромнефть-ГЕО, ООО"/>
    <s v="0000063179"/>
    <s v="Зарегистрирован"/>
    <d v="2021-06-01T00:00:00"/>
    <s v=""/>
    <x v="54"/>
    <s v="7727747172"/>
    <s v="ГЕО-20/10986/00138/Р"/>
    <s v=""/>
    <s v=" 6"/>
    <s v="Нетиповой ДД"/>
    <x v="0"/>
    <s v=""/>
    <s v="00211-21"/>
    <s v=""/>
    <s v="Дс № 6 на внесение изменений в ЛНА, перечень ШС и приведения стоимости Договора к факту исполнения в части НГО и ГО"/>
    <s v="В связи с принятием решения Комитетом по ПБ БРД ПАО «Газпром нефть» по применению сокращённого перечня нарушений и ШС в области ПБ, интеграции стандартов СП в процессы ГПН-ГЕО, а также приведение гарантированных и негарантированных объемов работ по Договору к фактическому распределению "/>
    <s v="Рябикина М.А."/>
    <s v="Анисимов Андрей Николаевич, Руководитель региональных проектов по производственной безопасности кластера &quot;Восточная Сибирь и Оре"/>
    <s v="Договорный документ"/>
    <s v="Управление производственной безопасности"/>
    <s v="Власов М.М."/>
    <s v="На бумажном носителе"/>
    <s v="С ограничением по срокам "/>
    <d v="2021-06-01T00:00:00"/>
    <d v="2024-12-31T00:00:00"/>
    <s v=""/>
    <s v="Супервайзинг ПЭБ и ОТ"/>
    <s v="Расходная часть"/>
    <s v="Тарифный"/>
    <s v="20%"/>
    <s v=""/>
    <s v=""/>
    <n v="0.01"/>
    <n v="0.01"/>
    <n v="0"/>
    <s v="нет"/>
    <s v="нет"/>
    <s v=""/>
    <s v=""/>
    <s v=""/>
    <s v=""/>
    <s v="нет"/>
  </r>
  <r>
    <s v="Газпромнефть-ГЕО, ООО"/>
    <s v="0000098088"/>
    <s v="Зарегистрирован"/>
    <d v="2023-04-20T00:00:00"/>
    <s v=""/>
    <x v="217"/>
    <s v="3015092176"/>
    <s v="ГЕО-22/20000/00233/Д"/>
    <s v=""/>
    <s v="1"/>
    <s v="Нетиповой ДД"/>
    <x v="0"/>
    <s v=""/>
    <s v="00211-23"/>
    <s v=""/>
    <s v="ДС 1 к ГЕО-22/20000/00233/Д ООО &quot;ПВО-Сервис&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3-04-20T00:00:00"/>
    <d v="2024-12-31T00:00:00"/>
    <s v="Д-56"/>
    <s v="Агентский договор"/>
    <s v="Доходная часть"/>
    <s v="Агентский"/>
    <s v="20%"/>
    <s v=""/>
    <s v=""/>
    <s v="192 894.63"/>
    <s v="160 745.52"/>
    <s v="32 149.11"/>
    <s v="нет"/>
    <s v="нет"/>
    <s v=""/>
    <s v=""/>
    <s v=""/>
    <s v=""/>
    <s v="нет"/>
  </r>
  <r>
    <s v="Газпромнефть-ГЕО, ООО"/>
    <s v="0000008602, 0000073273"/>
    <s v="Зарегистрирован"/>
    <d v="2024-06-19T00:00:00"/>
    <s v=""/>
    <x v="218"/>
    <s v="5504036333, 5610218014"/>
    <s v=""/>
    <s v="ГЕО-24/33000/00125"/>
    <s v="ГЕО-24/33000/00125"/>
    <s v="Нетиповой ДД"/>
    <x v="1"/>
    <s v=""/>
    <s v="00211-24"/>
    <s v=""/>
    <s v="Соглашение о распределении обязательств"/>
    <s v="Распределение сбора и предоставления информации и отчетностей по работам между тремя операторами (ПАО &quot;Газпром нефть&quot;, ООО &quot;Газпромнефть-ГЕО&quot;, ООО &quot;Газпромнефть-Оренбург&quot;)."/>
    <s v="Девлешова Н.А."/>
    <s v=""/>
    <s v="Договорный документ"/>
    <s v="Кластер &quot;Восточная Сибирь и Оренбург&quot;"/>
    <s v="Николаев М.Н."/>
    <s v="На бумажном носителе"/>
    <s v="С ограничением по срокам "/>
    <d v="2024-06-19T00:00:00"/>
    <d v="2025-04-20T00:00:00"/>
    <s v="Д-15"/>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91084"/>
    <s v="Закрыт"/>
    <d v="2021-06-01T00:00:00"/>
    <s v=""/>
    <x v="198"/>
    <s v="561003662278"/>
    <s v=""/>
    <s v="ГЕО-21/04300/00133/Р"/>
    <s v="ГЕО-21/04300/00133/Р"/>
    <s v="Нетиповой ДД"/>
    <x v="2"/>
    <s v=""/>
    <s v="00212-21"/>
    <s v=""/>
    <s v="Договор аренды земельных участков"/>
    <s v="аренда земельных участков для размещения промышленных объектов и проезда к ним"/>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1-06-01T00:00:00"/>
    <d v="2022-04-30T00:00:00"/>
    <s v="Д-22"/>
    <s v="Договор аренды недвижимости"/>
    <s v="Расходная часть"/>
    <s v="Стоимостной"/>
    <s v="без НДС"/>
    <s v=""/>
    <s v=""/>
    <s v="27 904.33"/>
    <s v="27 904.33"/>
    <n v="0"/>
    <s v="нет"/>
    <s v="нет"/>
    <s v=""/>
    <s v=""/>
    <s v=""/>
    <s v=""/>
    <s v="нет"/>
  </r>
  <r>
    <s v="Газпромнефть-ГЕО, ООО"/>
    <s v="0000102205, 0000070037"/>
    <s v="Зарегистрирован"/>
    <d v="2022-03-21T00:00:00"/>
    <s v=""/>
    <x v="219"/>
    <s v="9715287189, 7802754982"/>
    <s v="ГЕО-22/11000/00012/Р"/>
    <s v=""/>
    <s v="1"/>
    <s v="Нетиповой ДД"/>
    <x v="0"/>
    <s v=""/>
    <s v="00212-22"/>
    <s v=""/>
    <s v="соглашение о факторинге к Договору №ГЕО-22/11000/00012/Р от 04.01.2022г. с ООО «Сбербанк Факторинг» "/>
    <s v="Уведомление о факторинге к Договору №ГЕО-22/11000/00012/Р от 04.01.2022г."/>
    <s v="Калугина С.Б."/>
    <s v="Калугина С.Б."/>
    <s v="Договорный документ"/>
    <s v="Департамент капитального строительства"/>
    <s v="Перфильев Д.А."/>
    <s v="На бумажном носителе"/>
    <s v="С ограничением по срокам "/>
    <d v="2022-03-21T00:00:00"/>
    <d v="2022-06-10T00:00:00"/>
    <s v="Д-61"/>
    <s v="Капитальное строительство и ПИР"/>
    <s v="Не предполагает взаиморасчетов"/>
    <s v="Стоимостной"/>
    <s v=""/>
    <s v=""/>
    <s v=""/>
    <s v=""/>
    <s v=""/>
    <s v=""/>
    <s v="нет"/>
    <s v="нет"/>
    <s v=""/>
    <s v=""/>
    <s v=""/>
    <s v=""/>
    <s v="нет"/>
  </r>
  <r>
    <s v="Газпромнефть-ГЕО, ООО"/>
    <s v="0000068974"/>
    <s v="Зарегистрирован"/>
    <d v="2023-04-21T00:00:00"/>
    <s v=""/>
    <x v="81"/>
    <s v="3808120671"/>
    <s v="ГЕО-22/09000/00219/Р"/>
    <s v=""/>
    <s v="1"/>
    <s v="Нетиповой ДД"/>
    <x v="10"/>
    <s v=""/>
    <s v="00212-23"/>
    <s v=""/>
    <s v="СОГЛАШЕНИЕ о расторжении Договора на оказание охранных услуг № ГЕО-22/09000/00219/Р от 13.09.2022 года"/>
    <s v="В связи с планируемой в конце апреля 2023 г. демобилизацией ВЖКсо скв. 198 и размещением всего персонала, задействованного на испытании скв. 198 на ББС, учитывая наличие на ББС ЧОП «Барс» (охрана вооружённая, по договору с ГПН-С до 30.09.2024 года), а также с целью экономии бюджета и оптимизации численности персонала - действие договора с ООО ЧОП «СОБР» (по проекту «Енисей») прекратить 30.04.2023 года. "/>
    <s v="Данилов М.В."/>
    <s v="Данилов М.В."/>
    <s v="Договорный документ"/>
    <s v="Блок корпоративной защиты"/>
    <s v="Созинов С.А."/>
    <s v="ЭП"/>
    <s v="Без сроков "/>
    <d v="2023-04-30T00:00:00"/>
    <s v=""/>
    <s v="Д-60"/>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71220"/>
    <s v="Зарегистрирован"/>
    <d v="2024-04-10T00:00:00"/>
    <s v=""/>
    <x v="51"/>
    <s v="5401950707"/>
    <s v="ГЕО-23/33100/00078"/>
    <s v=""/>
    <s v="2"/>
    <s v="Типовой ДД"/>
    <x v="0"/>
    <s v="33100 Дополнительное соглашение к Соглашениям в  в области производственной безопасности;"/>
    <s v="00212-24"/>
    <s v=""/>
    <s v="Дополнительное соглашение №2 к соглашению в области ПБ"/>
    <s v="Актуализация требований КБ и перечня ЛНД"/>
    <s v="Ларионов Е.А."/>
    <s v=""/>
    <s v="Договорный документ"/>
    <s v="Блок производственной безопасности"/>
    <s v="Ядрышников П.Н."/>
    <s v="ЭП"/>
    <s v="Без сроков "/>
    <d v="2024-04-10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8275"/>
    <s v="Зарегистрирован"/>
    <d v="2023-04-17T00:00:00"/>
    <s v=""/>
    <x v="83"/>
    <s v="7709267582"/>
    <s v="ГЕО-22/10951/00165/Р"/>
    <s v=""/>
    <s v="3"/>
    <s v="Нетиповой ДД"/>
    <x v="8"/>
    <s v=""/>
    <s v="00213-23"/>
    <s v=""/>
    <s v="Задание №3 с АО &quot;ЦАСЭО&quot; к ДД № ГЕО-22/10951/00165/Р Енисей"/>
    <s v="Добавление новых объемов "/>
    <s v="Яшкина К.Л."/>
    <s v="Морозов А.В."/>
    <s v="Договорный документ"/>
    <s v="Блок производственной безопасности"/>
    <s v="Михайлов Ю.А."/>
    <s v="ЭП"/>
    <s v="С ограничением по срокам "/>
    <d v="2023-04-27T00:00:00"/>
    <d v="2023-12-15T00:00:00"/>
    <s v="Д-2"/>
    <s v="Профилактика и ликвидация аварийных разливов нефти (услуги аварийно-спасательного формирования)"/>
    <s v="Расходная часть"/>
    <s v="Рамочный"/>
    <s v="20%"/>
    <s v=""/>
    <s v=""/>
    <s v="8 624 239.01"/>
    <s v="7 186 865.84"/>
    <s v="1 437 373.17"/>
    <s v="нет"/>
    <s v="нет"/>
    <s v=""/>
    <s v=""/>
    <s v=""/>
    <s v=""/>
    <s v="нет"/>
  </r>
  <r>
    <s v="Газпромнефть-ГЕО, ООО"/>
    <s v="0000104871"/>
    <s v="Зарегистрирован"/>
    <d v="2024-04-09T00:00:00"/>
    <s v=""/>
    <x v="53"/>
    <s v="7705848410"/>
    <s v="ГЕО-24/33100/00029"/>
    <s v=""/>
    <s v="1"/>
    <s v="Типовой ДД"/>
    <x v="0"/>
    <s v="33100 Дополнительное соглашение к Соглашениям в  в области производственной безопасности;"/>
    <s v="00213-24"/>
    <s v=""/>
    <s v=" Дополнительное соглашение №1  к Соглашению в  в области производственной безопасности;"/>
    <s v="Актуализация требований КБ и перечня ЛНД"/>
    <s v="Ларионов Е.А."/>
    <s v=""/>
    <s v="Договорный документ"/>
    <s v="Блок производственной безопасности"/>
    <s v="Ядрышников П.Н."/>
    <s v="ЭП"/>
    <s v="Без сроков "/>
    <d v="2024-04-09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Закрыт"/>
    <d v="2021-07-02T00:00:00"/>
    <s v=""/>
    <x v="220"/>
    <s v=""/>
    <s v=""/>
    <s v="ГЕО-21/11708/00142/Р"/>
    <s v="ГЕО-21/11708/00142/Р"/>
    <s v="Типовой ДД"/>
    <x v="2"/>
    <s v="11708 Договор на НИОКР, НИР, прочее"/>
    <s v="00214-21"/>
    <s v=""/>
    <s v="11708 Договор на НИОКР, НИР, прочее"/>
    <s v="Обеспечение технологической и экспертной поддержки в части создания концепта ГиР и организации пилота MGI, а также выполнение подбора различных МУН для типовых разрезов ачимовской толщи периметра компании"/>
    <s v="Шабалин С.В."/>
    <s v="Коротков С.П."/>
    <s v="Договорный документ"/>
    <s v="Блок геологии и разработки"/>
    <s v="Аксенов М.А."/>
    <s v="На бумажном носителе"/>
    <s v="С ограничением по срокам "/>
    <d v="2021-07-02T00:00:00"/>
    <d v="2022-12-31T00:00:00"/>
    <s v="Д-3"/>
    <s v="НИОКР, НИР прочие"/>
    <s v="Расходная часть"/>
    <s v="Рамочный"/>
    <s v="20%"/>
    <s v=""/>
    <s v=""/>
    <s v="65 909 928.32"/>
    <s v="54 924 940.27"/>
    <s v="10 984 988.05"/>
    <s v="нет"/>
    <s v="нет"/>
    <s v=""/>
    <s v=""/>
    <s v=""/>
    <s v=""/>
    <s v="нет"/>
  </r>
  <r>
    <s v="Газпромнефть-ГЕО, ООО"/>
    <s v="0000071220"/>
    <s v="Зарегистрирован"/>
    <d v="2023-04-20T00:00:00"/>
    <s v=""/>
    <x v="51"/>
    <s v="5401950707"/>
    <s v=""/>
    <s v="ГЕО-23/20000/00076/Д"/>
    <s v="ГЕО-23/20000/00076/Д"/>
    <s v="Типовой ДД"/>
    <x v="2"/>
    <s v="20000 Агентский договор на организацию вертолетных авиаперевозок"/>
    <s v="00214-23"/>
    <s v=""/>
    <s v="20000 Агентский договор на организацию вертолетных авиаперевозок ООО НППГА «ЛУЧ»"/>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4-20T00:00:00"/>
    <d v="2023-08-31T00:00:00"/>
    <s v="Д-56"/>
    <s v="Агентский договор"/>
    <s v="Доходная часть"/>
    <s v="Агентский"/>
    <s v="20%"/>
    <s v=""/>
    <s v=""/>
    <s v="140 267.52"/>
    <s v="116 889.60"/>
    <s v="23 377.92"/>
    <s v="нет"/>
    <s v="нет"/>
    <s v=""/>
    <s v=""/>
    <s v=""/>
    <s v=""/>
    <s v="нет"/>
  </r>
  <r>
    <s v="Газпромнефть-ГЕО, ООО"/>
    <s v="0000070037"/>
    <s v="Зарегистрирован"/>
    <d v="2024-05-28T00:00:00"/>
    <d v="2024-06-04T00:00:00"/>
    <x v="221"/>
    <s v="7802754982"/>
    <s v=""/>
    <s v="ГЕО-24/20000/00079/Р"/>
    <s v="ГЕО-24/20000/00079/Р"/>
    <s v="Нетиповой ДД"/>
    <x v="2"/>
    <s v=""/>
    <s v="00214-24"/>
    <s v=""/>
    <s v="Агентский договор с ООО &quot;Сбербанк Факторинг&quot;"/>
    <s v="Организация применения факторинга по закупке от ПАО &quot;Газпром нефть&quot;"/>
    <s v="Васильева А.И."/>
    <s v="Чернявский Г.С."/>
    <s v="Договорный документ"/>
    <s v="Блок экономики и финансов"/>
    <s v="Ковтун М.А."/>
    <s v="ЭП"/>
    <s v="До исполнения обязательств"/>
    <d v="2024-05-28T00:00:00"/>
    <s v=""/>
    <s v="Д-62"/>
    <s v="Агентский договор"/>
    <s v="Расходная часть"/>
    <s v="Агентский"/>
    <s v="20%"/>
    <s v=""/>
    <s v=""/>
    <n v="0"/>
    <n v="0"/>
    <n v="0"/>
    <s v="нет"/>
    <s v="нет"/>
    <s v=""/>
    <s v=""/>
    <s v=""/>
    <s v=""/>
    <s v="нет"/>
  </r>
  <r>
    <s v="Газпромнефть-ГЕО, ООО"/>
    <s v="0000043624"/>
    <s v="Зарегистрирован"/>
    <d v="2023-05-01T00:00:00"/>
    <s v=""/>
    <x v="222"/>
    <s v="7728632093"/>
    <s v=""/>
    <s v="ГЕО-23/09000/00091/Р/23/09000/00010/Д"/>
    <s v="ГЕО-23/09000/00091/Р/23/09000/00010/Д"/>
    <s v="Нетиповой ДД"/>
    <x v="2"/>
    <s v=""/>
    <s v="00215-23"/>
    <s v=""/>
    <s v="по развитию системы управления технологическим транспортом БРД (ЦУТ ГПН-Нефтесервис)"/>
    <s v="Развитие системы управления технологическим транспортом БРД (ЦУТ), по услугам: _x000d__x000a_1. Диспетчерское сопровождение системы спутникового мониторинга с режимом 24/7,_x000d__x000a_2. Систематизации и тиражирования лучших практик по транспортным услугам,_x000d__x000a_в соответствии с решениями Протокола ПТ-НК-47/0000010 от 31.03.23 заочного совещания БРД ПАО «Газпром нефть»_x000d__x000a_"/>
    <s v="Гусаков В.В."/>
    <s v="Гусаков В.В."/>
    <s v="Договорный документ"/>
    <s v="Блок снабжения и закупок"/>
    <s v="Титов А.В."/>
    <s v="На бумажном носителе"/>
    <s v="С ограничением по срокам "/>
    <d v="2023-05-01T00:00:00"/>
    <d v="2023-12-31T00:00:00"/>
    <s v="Д-56"/>
    <s v="Договор возмездного оказания услуг"/>
    <s v="Расходная часть"/>
    <s v="Рамочный"/>
    <s v="20%"/>
    <s v=""/>
    <s v=""/>
    <s v="656 406.00"/>
    <s v="547 005.00"/>
    <s v="109 401.00"/>
    <s v="нет"/>
    <s v="нет"/>
    <s v=""/>
    <s v=""/>
    <s v=""/>
    <s v=""/>
    <s v="нет"/>
  </r>
  <r>
    <s v="Газпромнефть-ГЕО, ООО"/>
    <s v="0000115654"/>
    <s v="Зарегистрирован"/>
    <d v="2024-04-15T00:00:00"/>
    <s v=""/>
    <x v="188"/>
    <s v="7813324847"/>
    <s v=""/>
    <s v="ГЕО-24/33200/00073"/>
    <s v="ГЕО-24/33200/00073"/>
    <s v="Типовой ДД"/>
    <x v="1"/>
    <s v="33200 Соглашение об электронном документообороте"/>
    <s v="00215-24"/>
    <s v=""/>
    <s v="33200 Соглашение об электронном документообороте  с ООО &quot;Академика&quot;"/>
    <s v="Организация электронного документооборота с контрагентом ООО &quot;Академика&quot;"/>
    <s v="Васильева А.И."/>
    <s v="Петушкова В.Е."/>
    <s v="Договорный документ"/>
    <s v="Блок производственной безопасности"/>
    <s v="Ковтун М.А."/>
    <s v="ЭП"/>
    <s v="С ограничением по срокам "/>
    <d v="2024-04-15T00:00:00"/>
    <d v="2025-12-31T00:00:00"/>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8974"/>
    <s v="Зарегистрирован"/>
    <d v="2022-03-24T00:00:00"/>
    <s v=""/>
    <x v="81"/>
    <s v="3808120671"/>
    <s v="№ ГЕО-21/09000/00250/Р"/>
    <s v=""/>
    <s v="2"/>
    <s v="Нетиповой ДД"/>
    <x v="3"/>
    <s v=""/>
    <s v="00216-22"/>
    <s v=""/>
    <s v="Заказ к № ГЕО -21/0900/00250/Р от 08.11.2021"/>
    <s v="Оказание услуг охраны"/>
    <s v="Страдымов А.Г."/>
    <s v="Страдымов А.Г."/>
    <s v="Договорный документ"/>
    <s v="Блок корпоративной защиты"/>
    <s v="Созинов С.А."/>
    <s v="На бумажном носителе"/>
    <s v="С ограничением по срокам "/>
    <d v="2022-04-01T00:00:00"/>
    <d v="2022-12-31T00:00:00"/>
    <s v="Д-60"/>
    <s v="Договор возмездного оказания услуг"/>
    <s v="Расходная часть"/>
    <s v="Стоимостной"/>
    <s v="20%"/>
    <s v=""/>
    <s v=""/>
    <s v="3 832 154.70"/>
    <s v="3 193 462.25"/>
    <s v="638 692.45"/>
    <s v="нет"/>
    <s v="нет"/>
    <s v=""/>
    <s v=""/>
    <s v=""/>
    <s v=""/>
    <s v="нет"/>
  </r>
  <r>
    <s v="Газпромнефть-ГЕО, ООО"/>
    <s v="0000081355"/>
    <s v="Зарегистрирован"/>
    <d v="2020-07-27T00:00:00"/>
    <s v=""/>
    <x v="22"/>
    <s v="7721690184"/>
    <s v="ГЕО-20/09000/00122/Р"/>
    <s v=""/>
    <s v="ГЕО-20/09000/00122/Р "/>
    <s v="Нетиповой ДД"/>
    <x v="0"/>
    <s v=""/>
    <s v="00216-23"/>
    <s v=""/>
    <s v="Дополнительное соглашение №1 к договору ГЕО-20/09000/00122/Р от 27.07.2020"/>
    <s v="Увеличение сроков оказания услуг и продление срока действия договора без изменения единичных расценок и общей стоимости Договора"/>
    <s v="Савельева И.И."/>
    <s v="Савельева И.И."/>
    <s v="Договорный документ"/>
    <s v="Отдел административной поддержки бизнеса"/>
    <s v="Буракова О.В."/>
    <s v="ЭП"/>
    <s v="С ограничением по срокам "/>
    <d v="2023-04-24T00:00:00"/>
    <d v="2025-05-14T00:00:00"/>
    <s v="Д-46"/>
    <s v="Договор возмездного оказания услуг"/>
    <s v="Не предполагает взаиморасчетов"/>
    <s v=""/>
    <s v=""/>
    <s v=""/>
    <s v=""/>
    <s v=""/>
    <s v=""/>
    <s v=""/>
    <s v="нет"/>
    <s v="нет"/>
    <s v=""/>
    <s v=""/>
    <s v=""/>
    <s v=""/>
    <s v="нет"/>
  </r>
  <r>
    <s v="Газпромнефть-ГЕО, ООО"/>
    <s v="0000060954"/>
    <s v="Зарегистрирован"/>
    <d v="2024-04-05T00:00:00"/>
    <s v=""/>
    <x v="75"/>
    <s v="5603007580"/>
    <s v="ГЕО-22/10000/00036/Р"/>
    <s v=""/>
    <s v="8"/>
    <s v="Нетиповой ДД"/>
    <x v="0"/>
    <s v=""/>
    <s v="00216-24"/>
    <s v=""/>
    <s v="Дополнительное соглашение №8 к Договору № ГЕО-22/10000/00036/Р от 14.02.2022г."/>
    <s v="Перераспределение объема работ внутри договора"/>
    <s v="Мячина М.В."/>
    <s v="Мячина М.В."/>
    <s v="Договорный документ"/>
    <s v="Отдел подготовительных работ и экономического анализа"/>
    <s v="Трифонов А.В."/>
    <s v="ЭП"/>
    <s v="С ограничением по срокам "/>
    <d v="2024-04-05T00:00:00"/>
    <d v="2024-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37846"/>
    <s v="Зарегистрирован"/>
    <d v="2022-04-07T00:00:00"/>
    <s v=""/>
    <x v="26"/>
    <s v="8905032518"/>
    <s v=""/>
    <s v="ГЕО-22/09000/00071/Р"/>
    <s v="ГЕО-22/09000/00071/Р"/>
    <s v="Нетиповой ДД"/>
    <x v="2"/>
    <s v=""/>
    <s v="00217-22"/>
    <s v=""/>
    <s v="Договор оказания телекоммуникационных услуг"/>
    <s v="Оказание телекоммуникационных услуг на Солнечном ЛУ (проект &quot;Южный Оренбург&quot;)"/>
    <s v="Сорокин И.М."/>
    <s v="Сорокин И.М."/>
    <s v="Договорный документ"/>
    <s v="Блок геологии и разработки"/>
    <s v="Аксенов М.А."/>
    <s v="На бумажном носителе"/>
    <s v="С ограничением по срокам "/>
    <d v="2022-05-01T00:00:00"/>
    <d v="2022-12-31T00:00:00"/>
    <s v="Д-54"/>
    <s v="Договор возмездного оказания услуг"/>
    <s v="Расходная часть"/>
    <s v="Стоимостной"/>
    <s v="20%"/>
    <s v=""/>
    <s v=""/>
    <s v="1 061 375.63"/>
    <s v="884 479.69"/>
    <s v="176 895.94"/>
    <s v="нет"/>
    <s v="нет"/>
    <s v=""/>
    <s v=""/>
    <s v=""/>
    <s v=""/>
    <s v="нет"/>
  </r>
  <r>
    <s v="Газпромнефть-ГЕО, ООО"/>
    <s v="0000068974"/>
    <s v="Зарегистрирован"/>
    <d v="2023-04-21T00:00:00"/>
    <s v=""/>
    <x v="81"/>
    <s v="3808120671"/>
    <s v="ГЕО-21/09000/00250/Р"/>
    <s v=""/>
    <s v="6"/>
    <s v="Нетиповой ДД"/>
    <x v="0"/>
    <s v=""/>
    <s v="00217-23"/>
    <s v=""/>
    <s v="ДОПОЛНИТЕЛЬНОЕ СОГЛАШЕНИЕ №6"/>
    <s v="Перераспределение объёмов услуг, с уменьшением общей стоимости договора и уменьшением сроков действия договора и сроков оказания услуг"/>
    <s v="Данилов М.В."/>
    <s v="Данилов М.В."/>
    <s v="Договорный документ"/>
    <s v="Блок корпоративной защиты"/>
    <s v="Созинов С.А."/>
    <s v="ЭП"/>
    <s v="С ограничением по срокам "/>
    <d v="2023-05-01T00:00:00"/>
    <d v="2023-06-30T00:00:00"/>
    <s v="Д-60"/>
    <s v="Договор возмездного оказания услуг"/>
    <s v="Расходная часть"/>
    <s v="Рамочный"/>
    <s v="без НДС"/>
    <s v=""/>
    <s v=""/>
    <s v="41 025 133.88"/>
    <s v="41 025 133.88"/>
    <n v="0"/>
    <s v="нет"/>
    <s v="нет"/>
    <s v=""/>
    <s v=""/>
    <s v=""/>
    <s v=""/>
    <s v="нет"/>
  </r>
  <r>
    <s v="Газпромнефть-ГЕО, ООО"/>
    <s v="0000070037"/>
    <s v="Зарегистрирован"/>
    <d v="2024-04-16T00:00:00"/>
    <d v="2024-05-06T00:00:00"/>
    <x v="221"/>
    <s v="7802754982"/>
    <s v=""/>
    <s v="ГЕО-24/33200/00076"/>
    <s v="ГЕО-24/33200/00076"/>
    <s v="Типовой ДД"/>
    <x v="1"/>
    <s v="33200 Соглашение об электронном документообороте"/>
    <s v="00217-24"/>
    <s v=""/>
    <s v="33200 Соглашение об электронном документообороте с ООО &quot;Сбербанк Факторинг&quot;"/>
    <s v="Организация электронного документооборота с контрагентом"/>
    <s v="Васильева А.И."/>
    <s v="Чернявский Г.С."/>
    <s v="Договорный документ"/>
    <s v="Блок экономики и финансов"/>
    <s v="Ковтун М.А."/>
    <s v="ЭП"/>
    <s v="До исполнения обязательств"/>
    <d v="2024-04-16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0222"/>
    <s v="Закрыт"/>
    <d v="2022-04-11T00:00:00"/>
    <s v=""/>
    <x v="137"/>
    <s v="7736227885"/>
    <s v=""/>
    <s v="ГЕО-22/01200/00078/Р"/>
    <s v="ГЕО-22/01200/00078/Р"/>
    <s v="Нетиповой ДД"/>
    <x v="2"/>
    <s v=""/>
    <s v="00218-22"/>
    <s v=""/>
    <s v="Договор поставки ключей активации технической поддержки"/>
    <s v="Организация технической поддержки оборудования шифрования С-Терра"/>
    <s v="Сорокин И.М."/>
    <s v="Сорокин И.М."/>
    <s v="Договорный документ"/>
    <s v="Блок геологии и разработки"/>
    <s v="Аксенов М.А."/>
    <s v="На бумажном носителе"/>
    <s v="До исполнения обязательств"/>
    <d v="2022-04-11T00:00:00"/>
    <s v=""/>
    <s v="Д-54"/>
    <s v="Договор поставки/купли продажи движимого имущества"/>
    <s v="Расходная часть"/>
    <s v="Стоимостной"/>
    <s v="20%"/>
    <s v=""/>
    <s v=""/>
    <s v="155 360.00"/>
    <s v="129 466.67"/>
    <s v="25 893.33"/>
    <s v="нет"/>
    <s v="да"/>
    <s v="100"/>
    <s v="155 360,00"/>
    <s v=""/>
    <s v=""/>
    <s v="нет"/>
  </r>
  <r>
    <s v="Газпромнефть-ГЕО, ООО"/>
    <s v="0000063179"/>
    <s v="Зарегистрирован"/>
    <d v="2023-04-28T00:00:00"/>
    <s v=""/>
    <x v="54"/>
    <s v="7727747172"/>
    <s v="№ ГЕО-20/10986/00138/Р от 10.08.2020 г."/>
    <s v=""/>
    <s v="11"/>
    <s v="Нетиповой ДД"/>
    <x v="0"/>
    <s v=""/>
    <s v="00218-23"/>
    <s v=""/>
    <s v="ДС №11 "/>
    <s v="Актуализация Оценочного Листа по услуге 10986"/>
    <s v="Безруков А.А."/>
    <s v="Фокин Е.В."/>
    <s v="Договорный документ"/>
    <s v="Блок производственной безопасности"/>
    <s v="Михайлов Ю.А."/>
    <s v="ЭП"/>
    <s v="До исполнения обязательств"/>
    <d v="2023-04-28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58271"/>
    <s v="Зарегистрирован"/>
    <d v="2024-05-24T00:00:00"/>
    <d v="2024-05-29T00:00:00"/>
    <x v="42"/>
    <s v="7725696878"/>
    <s v=""/>
    <s v="ГЕО-24/33400/00075"/>
    <s v="ГЕО-24/33400/00075"/>
    <s v="Нетиповой ДД"/>
    <x v="1"/>
    <s v=""/>
    <s v="00218-24"/>
    <s v=""/>
    <s v="Соглашение о безопасном использовании ИС ПТ"/>
    <s v="Безопасное использование ИС"/>
    <s v="Коротков С.П."/>
    <s v=""/>
    <s v="Договорный документ"/>
    <s v="Управление по разработке"/>
    <s v="Аксенов М.А."/>
    <s v="ЭП"/>
    <s v="С ограничением по срокам "/>
    <d v="2024-05-24T00:00:00"/>
    <d v="2030-12-31T00:00:00"/>
    <s v="Д-54"/>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37846"/>
    <s v="Зарегистрирован"/>
    <d v="2022-04-01T00:00:00"/>
    <s v=""/>
    <x v="26"/>
    <s v="8905032518"/>
    <s v="ГЕО-19/11216/00165/Р/19-02/39 от 12.07.2019г."/>
    <s v=""/>
    <s v="4"/>
    <s v="Нетиповой ДД"/>
    <x v="0"/>
    <s v=""/>
    <s v="00219-22"/>
    <s v=""/>
    <s v="Дополнительное соглашение об увеличении стоимости договора и переводе негарантированного объема в гарантированный"/>
    <s v="- подключение дополнительных услуг_x000d__x000a_- организация переноса услуг_x000d__x000a_- перевод негарантированного объема в гарантированный"/>
    <s v="Сорокин И.М."/>
    <s v="Сорокин И.М."/>
    <s v="Договорный документ"/>
    <s v="Блок геологии и разработки"/>
    <s v="Аксенов М.А."/>
    <s v="На бумажном носителе"/>
    <s v="С ограничением по срокам "/>
    <d v="2022-04-01T00:00:00"/>
    <d v="2023-09-30T00:00:00"/>
    <s v="Д-54"/>
    <s v="Договор возмездного оказания услуг"/>
    <s v="Расходная часть"/>
    <s v="Стоимостной"/>
    <s v="20%"/>
    <s v=""/>
    <s v=""/>
    <s v="12 512 086.27"/>
    <s v="10 426 738.56"/>
    <s v="2 085 347.71"/>
    <s v="нет"/>
    <s v="нет"/>
    <s v=""/>
    <s v=""/>
    <s v=""/>
    <s v=""/>
    <s v="нет"/>
  </r>
  <r>
    <s v="Газпромнефть-ГЕО, ООО"/>
    <s v="0000057789"/>
    <s v="Зарегистрирован"/>
    <d v="2023-04-24T00:00:00"/>
    <s v=""/>
    <x v="186"/>
    <s v="6319065934"/>
    <s v=""/>
    <s v="ГЕО-23/20000/00077/Д"/>
    <s v="ГЕО-23/20000/00077/Д"/>
    <s v="Типовой ДД"/>
    <x v="2"/>
    <s v="20000 Агентский договор на организацию вертолетных авиаперевозок"/>
    <s v="00219-23"/>
    <s v=""/>
    <s v="20000 Агентский договор на организацию вертолетных авиаперевозок ООО &quot;ТехГеоБур&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5-01T00:00:00"/>
    <d v="2023-06-30T00:00:00"/>
    <s v="Д-56"/>
    <s v="Агентский договор"/>
    <s v="Доходная часть"/>
    <s v="Агентский"/>
    <s v="20%"/>
    <s v=""/>
    <s v=""/>
    <s v="172 629.51"/>
    <s v="143 857.92"/>
    <s v="28 771.59"/>
    <s v="нет"/>
    <s v="нет"/>
    <s v=""/>
    <s v=""/>
    <s v=""/>
    <s v=""/>
    <s v="нет"/>
  </r>
  <r>
    <s v="Газпромнефть-ГЕО, ООО"/>
    <s v="0000076851"/>
    <s v="Зарегистрирован"/>
    <d v="2024-04-08T00:00:00"/>
    <d v="2024-05-14T00:00:00"/>
    <x v="48"/>
    <s v="2466091092"/>
    <s v="ГЕО-22/11000/00274/Р"/>
    <s v=""/>
    <s v="1"/>
    <s v="Нетиповой ДД"/>
    <x v="4"/>
    <s v=""/>
    <s v="00219-24"/>
    <s v="3"/>
    <s v="ИЗМЕНЕНИЕ №1 от 08.04.2024г. к НАРЯД-ЗАКАЗУ №5 к ДОГОВОРУ № ГЕО-22/11000/00274/Р от 14.10.2022г."/>
    <s v="На выполнение проектных работ"/>
    <s v="Шолохова И.А."/>
    <s v="Салахутдинов Р.С."/>
    <s v="Договорный документ"/>
    <s v="Управление проектно-изыскательских работ"/>
    <s v="Трифонов А.В."/>
    <s v="ЭП"/>
    <s v="До исполнения обязательств"/>
    <d v="2024-04-08T00:00:00"/>
    <s v=""/>
    <s v="Д-82"/>
    <s v="Капитальное строительство и ПИР"/>
    <s v="Расходная часть"/>
    <s v="Рамочный"/>
    <s v="20%"/>
    <s v=""/>
    <s v=""/>
    <s v="13 065 835.94"/>
    <s v="10 888 196.62"/>
    <s v="2 177 639.32"/>
    <s v="нет"/>
    <s v="нет"/>
    <s v=""/>
    <s v=""/>
    <s v=""/>
    <s v=""/>
    <s v="нет"/>
  </r>
  <r>
    <s v="Газпромнефть-ГЕО, ООО"/>
    <s v="0000091163"/>
    <s v="Зарегистрирован"/>
    <d v="2022-04-11T00:00:00"/>
    <s v=""/>
    <x v="149"/>
    <s v="5001063958"/>
    <s v="00547-21"/>
    <s v=""/>
    <s v="3"/>
    <s v="Нетиповой ДД"/>
    <x v="3"/>
    <s v=""/>
    <s v="00220-22"/>
    <s v=""/>
    <s v="Наряд-заказ №3"/>
    <s v="Выполнение цифровой аэрофотосъемки (ЦАФС) и воздушно-лазерного сканирования (ВЛС) с пилотируемых воздушных средств на территории Северо-Ямбургского ЛУ (Номер района по ТЗ - 3)"/>
    <s v="Хохлов А.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2-04-11T00:00:00"/>
    <d v="2021-12-31T00:00:00"/>
    <s v="Д-61"/>
    <s v="Аэрофотосъемка, космическая съемка. Создание ортофотопланов"/>
    <s v="Расходная часть"/>
    <s v="Стоимостной"/>
    <s v="0%"/>
    <s v=""/>
    <s v=""/>
    <s v="16 521 300.00"/>
    <s v="16 521 300.00"/>
    <n v="0"/>
    <s v="нет"/>
    <s v="нет"/>
    <s v=""/>
    <s v=""/>
    <s v=""/>
    <s v=""/>
    <s v="нет"/>
  </r>
  <r>
    <s v="Газпромнефть-ГЕО, ООО"/>
    <s v="0000066115"/>
    <s v="Зарегистрирован"/>
    <d v="2023-05-03T00:00:00"/>
    <s v=""/>
    <x v="65"/>
    <s v="8603129231"/>
    <s v=""/>
    <s v="ГЕО-23/20000/00082/Д"/>
    <s v="ГЕО-23/20000/00082/Д"/>
    <s v="Типовой ДД"/>
    <x v="2"/>
    <s v="20000 Агентский договор на организацию вертолетных авиаперевозок"/>
    <s v="00220-23"/>
    <s v=""/>
    <s v="20000 Агентский договор на организацию вертолетных авиаперевозок ООО &quot;УТТ-Югра&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4-24T00:00:00"/>
    <d v="2023-12-31T00:00:00"/>
    <s v="Д-56"/>
    <s v="Агентский договор"/>
    <s v="Доходная часть"/>
    <s v="Агентский"/>
    <s v="20%"/>
    <s v=""/>
    <s v=""/>
    <s v="1 719 210.24"/>
    <s v="1 432 675.20"/>
    <s v="286 535.04"/>
    <s v="нет"/>
    <s v="нет"/>
    <s v=""/>
    <s v=""/>
    <s v=""/>
    <s v=""/>
    <s v="нет"/>
  </r>
  <r>
    <s v="Газпромнефть-ГЕО, ООО"/>
    <s v="0000085689"/>
    <s v="Зарегистрирован"/>
    <d v="2024-04-12T00:00:00"/>
    <s v=""/>
    <x v="15"/>
    <s v="3808219470"/>
    <s v="ГЕО-23/10000/00223/Р"/>
    <s v=""/>
    <s v="3"/>
    <s v="Нетиповой ДД"/>
    <x v="0"/>
    <s v=""/>
    <s v="00220-24"/>
    <s v=""/>
    <s v="Дополнительное соглашение №3 к Договору № ГЕО-23/10000/00223/Р от 18.12.2023 г."/>
    <s v="Дополнительное соглашение №3"/>
    <s v="Гулин В.Д."/>
    <s v="Гулин В.Д."/>
    <s v="Договорный документ"/>
    <s v="Блок геологии и разработки"/>
    <s v="Аксенов М.А."/>
    <s v="ЭП"/>
    <s v="С ограничением по срокам "/>
    <d v="2024-04-12T00:00:00"/>
    <d v="2025-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5789"/>
    <s v="Зарегистрирован"/>
    <d v="2022-03-25T00:00:00"/>
    <s v=""/>
    <x v="16"/>
    <s v="7838395487"/>
    <s v="ГЕО-21/11708/00165/Р"/>
    <s v=""/>
    <s v="НТЦ-00328-22Д-ГЕО"/>
    <s v="Нетиповой ДД"/>
    <x v="3"/>
    <s v=""/>
    <s v="00221-22"/>
    <s v=""/>
    <s v="Ачвел. Зональный и объектный этапы НЗ к договору ГЕО-21/11708/00165/Р//НТЦ-21/09000/00768/Д от 12.07.2021"/>
    <s v="Ачвел. Зональный и объектный этапы"/>
    <s v="Коротков С.П."/>
    <s v=""/>
    <s v="Договорный документ"/>
    <s v="Управление по разработке"/>
    <s v="Аксенов М.А."/>
    <s v="На бумажном носителе"/>
    <s v="С ограничением по срокам "/>
    <d v="2022-03-25T00:00:00"/>
    <d v="2022-12-30T00:00:00"/>
    <s v="Д-54"/>
    <s v="Договор на выполнение НИР, ОКР и технологических работ"/>
    <s v="Расходная часть"/>
    <s v="Рамочный"/>
    <s v="20%"/>
    <s v=""/>
    <s v=""/>
    <s v="161 892 688.80"/>
    <s v="134 910 574.00"/>
    <s v="26 982 114.80"/>
    <s v="нет"/>
    <s v="нет"/>
    <s v=""/>
    <s v=""/>
    <s v=""/>
    <s v=""/>
    <s v="нет"/>
  </r>
  <r>
    <s v="Газпромнефть-ГЕО, ООО"/>
    <s v="0000071220"/>
    <s v="Зарегистрирован"/>
    <d v="2023-04-24T00:00:00"/>
    <s v=""/>
    <x v="51"/>
    <s v="5401950707"/>
    <s v=""/>
    <s v="ГЕО-23/33100/00078"/>
    <s v="ГЕО-23/33100/00078"/>
    <s v="Типовой ДД"/>
    <x v="1"/>
    <s v="33100 Соглашение в области производственной безопасности"/>
    <s v="00221-23"/>
    <s v=""/>
    <s v="33100 Соглашение в области производственной безопасности (ООО НППГА &quot;ЛУЧ&quot;)"/>
    <s v="10308 ГТИ при бурении. ДД №ГЕО-23/10000/00054/Р от 10.03.2023г."/>
    <s v="Мормышев А.А."/>
    <s v="Салихов М.Р."/>
    <s v="Договорный документ"/>
    <s v="Отдел по работе с подрядными организациями и безопасности на транспорте"/>
    <s v="Михайлов Ю.А."/>
    <s v="ЭП"/>
    <s v="До исполнения обязательств"/>
    <d v="2023-04-24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8442"/>
    <s v="Зарегистрирован"/>
    <d v="2024-04-17T00:00:00"/>
    <s v=""/>
    <x v="92"/>
    <s v="5611027573"/>
    <s v="ГЕО-24/33100/00034"/>
    <s v=""/>
    <s v="1"/>
    <s v="Нетиповой ДД"/>
    <x v="0"/>
    <s v=""/>
    <s v="00221-24"/>
    <s v=""/>
    <s v="33100 Соглашение в области производственной безопасности"/>
    <s v="Актуализация Соглашения в области производственной безопасности"/>
    <s v="Страдымов А.Г."/>
    <s v="Страдымов А.Г."/>
    <s v="Договорный документ"/>
    <s v="Блок корпоративной защиты"/>
    <s v="Михайлов Ю.А."/>
    <s v="ЭП"/>
    <s v="До исполнения обязательств"/>
    <d v="2024-04-17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5789"/>
    <s v="Зарегистрирован"/>
    <d v="2022-03-25T00:00:00"/>
    <s v=""/>
    <x v="16"/>
    <s v="7838395487"/>
    <s v="ГЕО-21/11708/00165/Р"/>
    <s v=""/>
    <s v="НТЦ-00485-22Д-ГЕО"/>
    <s v="Нетиповой ДД"/>
    <x v="3"/>
    <s v=""/>
    <s v="00222-22"/>
    <s v=""/>
    <s v="Вынгаяха к договору ГЕО-21/11708/00165/Р//НТЦ-21/09000/00768/Д от 12.07.2021"/>
    <s v="«Подбор оптимальной технологии заканчивания скважин и проведения ГРП для одной из кустовых площадок Вынгаяхинского месторождения»"/>
    <s v="Коротков С.П."/>
    <s v=""/>
    <s v="Договорный документ"/>
    <s v="Управление по разработке"/>
    <s v="Аксенов М.А."/>
    <s v="На бумажном носителе"/>
    <s v="С ограничением по срокам "/>
    <d v="2022-03-25T00:00:00"/>
    <d v="2022-12-30T00:00:00"/>
    <s v="Д-54"/>
    <s v="Договор на выполнение НИР, ОКР и технологических работ"/>
    <s v="Расходная часть"/>
    <s v="Рамочный"/>
    <s v="20%"/>
    <s v=""/>
    <s v=""/>
    <s v="38 427 348.00"/>
    <s v="32 022 790.00"/>
    <s v="6 404 558.00"/>
    <s v="нет"/>
    <s v="нет"/>
    <s v=""/>
    <s v=""/>
    <s v=""/>
    <s v=""/>
    <s v="нет"/>
  </r>
  <r>
    <s v="Газпромнефть-ГЕО, ООО"/>
    <s v="0000073438"/>
    <s v="Зарегистрирован"/>
    <d v="2023-05-02T00:00:00"/>
    <s v=""/>
    <x v="68"/>
    <s v="7720330291"/>
    <s v="ГЕО-21/08000/00296/Р"/>
    <s v=""/>
    <s v="8"/>
    <s v="Нетиповой ДД"/>
    <x v="7"/>
    <s v=""/>
    <s v="00222-23"/>
    <s v=""/>
    <s v="Заявка № 8 на выполнение работ по теме: Составление итоговых аналитических отчетов по результатам выполнения геологоразведочных работ."/>
    <s v="Выполнение работ по:_x000d__x000a_1. Составление отчета о выполненных работах северного кластера проекта Чона (Вакунайский, Тымпучиканский участки)._x000d__x000a_2. Составление отчета о выполненных работах северного кластера проекта Чона (Игнялинский участок)."/>
    <s v="Автеньев М.В."/>
    <s v="Мустафин И.Р."/>
    <s v="Договорный документ"/>
    <s v="Блок геологии и разработки"/>
    <s v="Аксенов М.А."/>
    <s v="ЭП"/>
    <s v="С ограничением по срокам "/>
    <d v="2023-05-02T00:00:00"/>
    <d v="2023-09-25T00:00:00"/>
    <s v="Д-58"/>
    <s v="Договор на выполнение НИР, ОКР и технологических работ"/>
    <s v="Расходная часть"/>
    <s v="Стоимостной"/>
    <s v="20%"/>
    <s v=""/>
    <s v=""/>
    <s v="4 160 646.00"/>
    <s v="3 467 205.00"/>
    <s v="693 441.00"/>
    <s v="нет"/>
    <s v="нет"/>
    <s v=""/>
    <s v=""/>
    <s v=""/>
    <s v=""/>
    <s v="нет"/>
  </r>
  <r>
    <s v="Газпромнефть-ГЕО, ООО"/>
    <s v="0000066314"/>
    <s v="Зарегистрирован"/>
    <d v="2024-06-01T00:00:00"/>
    <d v="2024-06-10T00:00:00"/>
    <x v="74"/>
    <s v="7202242358"/>
    <s v="АНГ-191151300010Р"/>
    <s v=""/>
    <s v="16"/>
    <s v="Нетиповой ДД"/>
    <x v="3"/>
    <s v=""/>
    <s v="00222-24"/>
    <s v=""/>
    <s v="НАРЯД-ЗАКАЗ № 16 к Договору № АНГ-191151300010Р от 18 февраля 2019"/>
    <s v="выполнение комплекса землеустроительных и лесоустроительных работ для оформления 1 договора аренды для проведения полевых сейсморазведочных работ МОГТ ЗД на Холмогорском ЛУ (ЯНАО)_x000a_"/>
    <s v="Расулов И.Ф."/>
    <s v=""/>
    <s v="Договорный документ"/>
    <s v="Управление маркшейдерско-землеустроительных работ"/>
    <s v="Перфильев Д.А."/>
    <s v="ЭП"/>
    <s v="До исполнения обязательств"/>
    <d v="2024-06-01T00:00:00"/>
    <s v=""/>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без НДС"/>
    <s v=""/>
    <s v=""/>
    <s v="1 194 229.51"/>
    <s v="1 194 229.51"/>
    <n v="0"/>
    <s v="нет"/>
    <s v="нет"/>
    <s v=""/>
    <s v=""/>
    <s v=""/>
    <s v=""/>
    <s v="нет"/>
  </r>
  <r>
    <s v="Газпромнефть-ГЕО, ООО"/>
    <s v="0000045789"/>
    <s v="Зарегистрирован"/>
    <d v="2022-03-25T00:00:00"/>
    <s v=""/>
    <x v="16"/>
    <s v="7838395487"/>
    <s v="ГЕО-21/11708/00165/Р"/>
    <s v=""/>
    <s v="НТЦ-00487-22Д-ГЕО"/>
    <s v="Нетиповой ДД"/>
    <x v="3"/>
    <s v=""/>
    <s v="00223-22"/>
    <s v=""/>
    <s v="Карамовка к договору ГЕО-21/11708/00165/Р//НТЦ-21/09000/00768/Д от 12.07.2021"/>
    <s v="«Сопровождение полевых работ по строительству многоствольных скважин по уровню сложности TAML-3 на Карамовском месторождении»"/>
    <s v="Коротков С.П."/>
    <s v=""/>
    <s v="Договорный документ"/>
    <s v="Управление по разработке"/>
    <s v="Аксенов М.А."/>
    <s v="На бумажном носителе"/>
    <s v="С ограничением по срокам "/>
    <d v="2022-03-25T00:00:00"/>
    <d v="2022-12-30T00:00:00"/>
    <s v="Д-54"/>
    <s v="Договор на выполнение НИР, ОКР и технологических работ"/>
    <s v="Расходная часть"/>
    <s v="Рамочный"/>
    <s v="20%"/>
    <s v=""/>
    <s v=""/>
    <s v="13 594 440.00"/>
    <s v="11 328 700.00"/>
    <s v="2 265 740.00"/>
    <s v="нет"/>
    <s v="нет"/>
    <s v=""/>
    <s v=""/>
    <s v=""/>
    <s v=""/>
    <s v="нет"/>
  </r>
  <r>
    <s v="Газпромнефть-ГЕО, ООО"/>
    <s v="0000076283"/>
    <s v="Зарегистрирован"/>
    <d v="2023-04-20T00:00:00"/>
    <s v=""/>
    <x v="28"/>
    <s v="4501174492"/>
    <s v="ГЕО-22/11000/00267/Р"/>
    <s v=""/>
    <s v="2"/>
    <s v="Нетиповой ДД"/>
    <x v="4"/>
    <s v=""/>
    <s v="00223-23"/>
    <s v="1"/>
    <s v="Изм.№2 к наряд-заказу №1 ГЕО-22/11000/00267/Р УГП"/>
    <s v="Изм.№2 к наряд-заказу №1 по договору №ГЕО-22/11000/00267/Р от 10.10.2022 – «на выполнение инженерных изысканий»"/>
    <s v="Мормышев А.А."/>
    <s v=""/>
    <s v="Договорный документ"/>
    <s v="Департамент капитального строительства"/>
    <s v="Трифонов А.В."/>
    <s v="ЭП"/>
    <s v="До исполнения обязательств"/>
    <d v="2023-04-20T00:00:00"/>
    <s v=""/>
    <s v="Д-33"/>
    <s v="Капитальное строительство и ПИР"/>
    <s v="Расходная часть"/>
    <s v="Стоимостной"/>
    <s v="20%"/>
    <s v=""/>
    <s v="65775687.39"/>
    <s v="78 930 824.87"/>
    <s v="65 775 687.39"/>
    <s v="13 155 137.48"/>
    <s v="да"/>
    <s v="нет"/>
    <s v=""/>
    <s v=""/>
    <s v=""/>
    <s v=""/>
    <s v="нет"/>
  </r>
  <r>
    <s v="Газпромнефть-ГЕО, ООО"/>
    <s v="0000068442"/>
    <s v="Проект"/>
    <d v="2024-04-16T00:00:00"/>
    <s v=""/>
    <x v="92"/>
    <s v="5611027573"/>
    <s v=""/>
    <s v=""/>
    <s v="1"/>
    <s v="Типовой ДД"/>
    <x v="0"/>
    <s v="33100 Дополнительное соглашение к Соглашениям в  в области производственной безопасности;"/>
    <s v="00223-24"/>
    <s v="ГЕО-24/33100/00034"/>
    <s v="33100 Дополнительное соглашение к Соглашениям в  в области производственной безопасности;"/>
    <s v="Актуализация Соглашения в области производственной безопасности"/>
    <s v="Страдымов А.Г."/>
    <s v="Страдымов А.Г."/>
    <s v="Договорный документ"/>
    <s v="Блок корпоративной защиты"/>
    <s v="Михайлов Ю.А."/>
    <s v="ЭП"/>
    <s v="До исполнения обязательств"/>
    <d v="2024-04-16T00:00:00"/>
    <s v=""/>
    <s v="Д-2"/>
    <s v=""/>
    <s v="Не предполагает взаиморасчетов"/>
    <s v=""/>
    <s v=""/>
    <s v=""/>
    <s v=""/>
    <s v=""/>
    <s v=""/>
    <s v=""/>
    <s v="нет"/>
    <s v="нет"/>
    <s v=""/>
    <s v=""/>
    <s v=""/>
    <s v=""/>
    <s v="нет"/>
  </r>
  <r>
    <s v="Газпромнефть-ГЕО, ООО"/>
    <s v="0000039295"/>
    <s v="Зарегистрирован"/>
    <d v="2022-03-24T00:00:00"/>
    <s v=""/>
    <x v="90"/>
    <s v="8618006063"/>
    <s v="ГЕО-21/00000/00281/Д"/>
    <s v=""/>
    <s v="1"/>
    <s v="Нетиповой ДД"/>
    <x v="0"/>
    <s v=""/>
    <s v="00224-22"/>
    <s v=""/>
    <s v="Дополнительное соглашение № 1 к договору на выполнение операторских работ и об оказании операторских услуг СРР с ООО &quot;ГПН-Хантос&quot;"/>
    <s v="Дополнительное соглашение № 1 к договору на выполнение операторских работ и об оказании операторских услуг СРР с ООО &quot;ГПН-Хантос&quot;"/>
    <s v="Ахматгалиев С.З."/>
    <s v=""/>
    <s v="Договорный документ"/>
    <s v="Блок геологии и разработки"/>
    <s v="Аксенов М.А."/>
    <s v="На бумажном носителе"/>
    <s v="С ограничением по срокам "/>
    <d v="2022-03-24T00:00:00"/>
    <d v="2026-12-31T00:00:00"/>
    <s v=""/>
    <s v="ПРОЧИЕ ДОГОВОРЫ"/>
    <s v="Не предполагает взаиморасчетов"/>
    <s v="Стоимостной"/>
    <s v=""/>
    <s v=""/>
    <s v=""/>
    <s v=""/>
    <s v=""/>
    <s v=""/>
    <s v="нет"/>
    <s v="нет"/>
    <s v=""/>
    <s v=""/>
    <s v=""/>
    <s v=""/>
    <s v="нет"/>
  </r>
  <r>
    <s v="Газпромнефть-ГЕО, ООО"/>
    <s v="0000073563"/>
    <s v="Зарегистрирован"/>
    <d v="2023-05-01T00:00:00"/>
    <s v=""/>
    <x v="120"/>
    <s v="8609322418"/>
    <s v="ГЕО-22/20000/00211/Д"/>
    <s v=""/>
    <s v="1"/>
    <s v="Нетиповой ДД"/>
    <x v="0"/>
    <s v=""/>
    <s v="00224-23"/>
    <s v=""/>
    <s v="ДС 1 к ГЕО-22/20000/00211/Д ООО &quot;ГеоЛад-СТ&quot;"/>
    <s v="Для уменьшения вероятности признания взаимозачетов (сальдирования) недействительными сделками, уточнение предмета договора, изменение формы отчета Агента, дополнение формой Акта о сальдировании"/>
    <s v="Титова Е.В."/>
    <s v="Титова Е.В."/>
    <s v="Договорный документ"/>
    <s v="Блок снабжения и закупок"/>
    <s v="Титов А.В."/>
    <s v="ЭП"/>
    <s v="С ограничением по срокам "/>
    <d v="2023-05-01T00:00:00"/>
    <d v="2024-12-31T00:00:00"/>
    <s v="Д-56"/>
    <s v="Агентский договор"/>
    <s v="Не предполагает взаиморасчетов"/>
    <s v="Агентский"/>
    <s v=""/>
    <s v=""/>
    <s v=""/>
    <s v=""/>
    <s v=""/>
    <s v=""/>
    <s v="нет"/>
    <s v="нет"/>
    <s v=""/>
    <s v=""/>
    <s v=""/>
    <s v=""/>
    <s v="нет"/>
  </r>
  <r>
    <s v="Газпромнефть-ГЕО, ООО"/>
    <s v="0000084590"/>
    <s v="Зарегистрирован"/>
    <d v="2024-04-12T00:00:00"/>
    <s v=""/>
    <x v="61"/>
    <s v="7708277130"/>
    <s v="ГЕО-23/09000/00149/Р"/>
    <s v=""/>
    <s v="15"/>
    <s v="Нетиповой ДД"/>
    <x v="7"/>
    <s v=""/>
    <s v="00224-24"/>
    <s v=""/>
    <s v="Заявка № 15 к договору о предоставлении труда работников (персонала) № ГЕО-23/09000/00149/Р от 28.08.2023 г."/>
    <s v="Рассмотрение вопроса о возможности заключения Заявки №15 на привлечение супервайзера по производственной безопасности для проекта «Южный Оренбург», скв. № 401, Западно-Рубежинский ЛУ, в рамках Договора № ГЕО-23/09000/00149/Р от «28» августа 2023 г. с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
    <s v="Фокин Е.В."/>
    <s v="Фокин Е.В."/>
    <s v="Договорный документ"/>
    <s v="Управление производственной безопасности"/>
    <s v="Михайлов Ю.А."/>
    <s v="На бумажном носителе"/>
    <s v="С ограничением по срокам "/>
    <d v="2024-04-14T00:00:00"/>
    <d v="2024-07-31T00:00:00"/>
    <s v="Д-2"/>
    <s v="Договор возмездного оказания услуг"/>
    <s v="Расходная часть"/>
    <s v="Рамочный"/>
    <s v="20%"/>
    <s v=""/>
    <s v=""/>
    <s v="2 687 465.48"/>
    <s v="2 239 554.57"/>
    <s v="447 910.91"/>
    <s v="нет"/>
    <s v="нет"/>
    <s v=""/>
    <s v=""/>
    <s v=""/>
    <s v=""/>
    <s v="нет"/>
  </r>
  <r>
    <s v="Газпромнефть-ГЕО, ООО"/>
    <s v="0000067554"/>
    <s v="Зарегистрирован"/>
    <d v="2022-03-28T00:00:00"/>
    <s v=""/>
    <x v="208"/>
    <s v="7204168131"/>
    <s v="ГЕО-20/10924/00055/Р"/>
    <s v=""/>
    <s v="6"/>
    <s v="Нетиповой ДД"/>
    <x v="0"/>
    <s v=""/>
    <s v="00225-22"/>
    <s v=""/>
    <s v="Дополнительное соглашение №6 к Договору на выполнение работ по экологическому мониторингу месторождений № ГЕО-20/10924/00055/Р от 05 марта 2020 г."/>
    <s v="Частичный перевод негарантированного объема услуг 2022 г. в гарантированный"/>
    <s v="Липатова О.И."/>
    <s v="Липатова О.И."/>
    <s v="Договорный документ"/>
    <s v="Отдел экологической безопасности"/>
    <s v="Власов М.М."/>
    <s v="На бумажном носителе"/>
    <s v="С ограничением по срокам "/>
    <d v="2022-03-28T00:00:00"/>
    <d v="2022-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без НДС"/>
    <s v=""/>
    <s v=""/>
    <s v="5 289 765.06"/>
    <s v="5 289 765.06"/>
    <n v="0"/>
    <s v="нет"/>
    <s v="нет"/>
    <s v=""/>
    <s v=""/>
    <s v=""/>
    <s v=""/>
    <s v="нет"/>
  </r>
  <r>
    <s v="Газпромнефть-ГЕО, ООО"/>
    <s v=""/>
    <s v="Проект"/>
    <s v=""/>
    <s v=""/>
    <x v="58"/>
    <s v=""/>
    <s v=""/>
    <s v=""/>
    <s v=""/>
    <s v=""/>
    <x v="6"/>
    <s v=""/>
    <s v="00225-23"/>
    <s v=""/>
    <s v=""/>
    <s v=""/>
    <s v="Буракова О.В."/>
    <s v=""/>
    <s v="Договорный документ"/>
    <s v="Отдел административной поддержки бизнеса"/>
    <s v=""/>
    <s v=""/>
    <s v=""/>
    <s v=""/>
    <s v=""/>
    <s v=""/>
    <s v=""/>
    <s v=""/>
    <s v=""/>
    <s v=""/>
    <s v=""/>
    <s v=""/>
    <s v=""/>
    <s v=""/>
    <s v=""/>
    <s v="нет"/>
    <s v="нет"/>
    <s v=""/>
    <s v=""/>
    <s v=""/>
    <s v=""/>
    <s v="нет"/>
  </r>
  <r>
    <s v="Газпромнефть-ГЕО, ООО"/>
    <s v=""/>
    <s v="Проект"/>
    <s v=""/>
    <s v=""/>
    <x v="58"/>
    <s v=""/>
    <s v=""/>
    <s v=""/>
    <s v=""/>
    <s v=""/>
    <x v="6"/>
    <s v=""/>
    <s v="00225-24"/>
    <s v=""/>
    <s v=""/>
    <s v=""/>
    <s v="Страдымов А.Г."/>
    <s v=""/>
    <s v="Договорный документ"/>
    <s v="Блок корпоративной защиты"/>
    <s v=""/>
    <s v=""/>
    <s v=""/>
    <s v=""/>
    <s v=""/>
    <s v=""/>
    <s v=""/>
    <s v=""/>
    <s v=""/>
    <s v=""/>
    <s v=""/>
    <s v=""/>
    <s v=""/>
    <s v=""/>
    <s v=""/>
    <s v="нет"/>
    <s v="нет"/>
    <s v=""/>
    <s v=""/>
    <s v=""/>
    <s v=""/>
    <s v="нет"/>
  </r>
  <r>
    <s v="Газпромнефть-ГЕО, ООО"/>
    <s v="0000057164"/>
    <s v="Зарегистрирован"/>
    <d v="2022-04-01T00:00:00"/>
    <s v=""/>
    <x v="223"/>
    <s v="7728654530"/>
    <s v=""/>
    <s v="ГЕО-22/09000/00068/Р"/>
    <s v="ГЕО-22/09000/00068/Р"/>
    <s v="Нетиповой ДД"/>
    <x v="2"/>
    <s v=""/>
    <s v="00226-22"/>
    <s v=""/>
    <s v="Договор оказания ИТ-услуг"/>
    <s v="Услуги по сопровождению систем защиты информации: Разработка и актуализация документации по защите персональных данных в ИСПДн"/>
    <s v="Бринкис В.В."/>
    <s v="Бринкис В.В."/>
    <s v="Договорный документ"/>
    <s v="Блок корпоративной защиты"/>
    <s v="Созинов С.А."/>
    <s v="На бумажном носителе"/>
    <s v="С ограничением по срокам "/>
    <d v="2022-04-01T00:00:00"/>
    <d v="2022-12-31T00:00:00"/>
    <s v="Д-60"/>
    <s v="Договор возмездного оказания услуг"/>
    <s v="Расходная часть"/>
    <s v="Стоимостной"/>
    <s v="20%"/>
    <s v=""/>
    <s v=""/>
    <s v="2 041 806.42"/>
    <s v="1 701 505.35"/>
    <s v="340 301.07"/>
    <s v="нет"/>
    <s v="нет"/>
    <s v=""/>
    <s v=""/>
    <s v=""/>
    <s v=""/>
    <s v="нет"/>
  </r>
  <r>
    <s v="Газпромнефть-ГЕО, ООО"/>
    <s v="0000073438"/>
    <s v="Зарегистрирован"/>
    <d v="2023-05-02T00:00:00"/>
    <s v=""/>
    <x v="68"/>
    <s v="7720330291"/>
    <s v="ГЕО-21/08000/00296/Р"/>
    <s v=""/>
    <s v="9"/>
    <s v="Нетиповой ДД"/>
    <x v="7"/>
    <s v=""/>
    <s v="00226-23"/>
    <s v=""/>
    <s v="Заявка № 9 на Разработку проектного документа на геологическое изучение недр (разведочные работы); оперативного подсчета запасов; проекта пробной эксплуатации залежи; отчета о результатах выполненных геологоразведочных работ в РГФ и ТФГИ на Солнечном ЛУ"/>
    <s v="1. Составление отчета об оперативном подсчете запасов залежи пласта Д5-1 мосоловского горизонта месторождения им. В.П. Орлова._x000d__x000a_2. Разработка проекта пробной эксплуатации залежи пласта Д5-1 мосоловского горизонта месторождения им. В.П. Орлова._x000d__x000a_3. Разработка проектной документации на геологическое изучение (проект разведки/доразведки месторождения им. В.П. Орлова)._x000d__x000a_4. Составление и сдача отчета по выполненным геологоразведочным работам (поисковый этап) на Солнечном лицензионном участке"/>
    <s v="Автеньев М.В."/>
    <s v="Мустафин И.Р."/>
    <s v="Договорный документ"/>
    <s v="Блок геологии и разработки"/>
    <s v="Аксенов М.А."/>
    <s v="ЭП"/>
    <s v="С ограничением по срокам "/>
    <d v="2023-05-02T00:00:00"/>
    <d v="2023-11-25T00:00:00"/>
    <s v="Д-58"/>
    <s v="Договор на выполнение НИР, ОКР и технологических работ"/>
    <s v="Расходная часть"/>
    <s v="Стоимостной"/>
    <s v="20%"/>
    <s v=""/>
    <s v=""/>
    <s v="13 686 394.80"/>
    <s v="11 405 329.00"/>
    <s v="2 281 065.80"/>
    <s v="нет"/>
    <s v="нет"/>
    <s v=""/>
    <s v=""/>
    <s v=""/>
    <s v=""/>
    <s v="нет"/>
  </r>
  <r>
    <s v="Газпромнефть-ГЕО, ООО"/>
    <s v="0000084590"/>
    <s v="Зарегистрирован"/>
    <d v="2024-05-01T00:00:00"/>
    <s v=""/>
    <x v="61"/>
    <s v="7708277130"/>
    <s v="ГЕО-23/09000/00149/Р"/>
    <s v=""/>
    <s v="2"/>
    <s v="Нетиповой ДД"/>
    <x v="4"/>
    <s v=""/>
    <s v="00226-24"/>
    <s v="1"/>
    <s v="Изменение № 2 к Заявке № 5 от 01.05.2024 г."/>
    <s v="В связи с производственной необходимостью, возникшей у блока производственной безопасности ООО «ГПН-ГЕО» произвести перевод Теребихина Дмитрия Николаевича, принятого на позицию руководитель группы производственной безопасности в рамках Изменения №1 к Заявке № 5 к договору о предоставлении труда работников (персонала) № ГЕО-23/09000/00149/Р от 28.08.2023 г. с проекта «Оморинский», Камовская площадь (скв. КМ-4, скв КМ-4бис) на проект «Енисей», путём формирования новой Заявки. Таким образом существует потребность замены работника Теребихина Дмитрия Николаевича на Садыкова Рустама Рахимовича, с целью привлечения на проекте «Оморинский», Камовская площадь (скв. КМ-4, скв КМ-4бис). Теребихин Дмитрий Николаевич привлекался в рамках Изменения №1 к Заявке № 5 к договору о предоставлении труда работников (персонала) № ГЕО-23/09000/00149/Р от 28.08.2023 г. Оплата оказанных услуг будет произведена в соответствии с фактически оказанными услугами в рамках действующих договорных отношений._x000a_1._x0009_Изложить раздел 1, Изменения №1 к Заявке № 5 к договору о предоставлении труда работников (персонала) № ГЕО-23/09000/00149/Р от 28.08.2023 г. в части Ф.И.О. работника в следующей редакции:_x000a_- Чинчикеев Аржан Николаевич (привлечение с 30.10.2023 г. по 31.08.2024 г.)_x000a_- Теребихин Дмитрий Николаевич (привлечение с 18.12.2023 г. по 30.04.2024 г.)_x000a_- Садыков Рустам Рахимович (привлечение с 01.05.2024 г. по 31.08.2024 г.)"/>
    <s v="Фокин Е.В."/>
    <s v="Фокин Е.В."/>
    <s v="Договорный документ"/>
    <s v="Управление производственной безопасности"/>
    <s v="Михайлов Ю.А."/>
    <s v="ЭП"/>
    <s v="С ограничением по срокам "/>
    <d v="2024-05-01T00:00:00"/>
    <d v="2024-08-31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
    <s v="Зарегистрирован"/>
    <d v="2022-03-30T00:00:00"/>
    <s v=""/>
    <x v="224"/>
    <s v=""/>
    <s v=""/>
    <s v="ГЕО-22/09000/00066/Р"/>
    <s v="ГЕО-22/09000/00066/Р"/>
    <s v="Типовой ДД"/>
    <x v="2"/>
    <s v="10306 Договор на выполнение работ по цементированию обсадных колонн и хвостовиков, установке цементных мостов"/>
    <s v="00227-22"/>
    <s v=""/>
    <s v="10306 Договор на выполнение работ по цементированию обсадных колонн и хвостовиков, установке цементных мостов"/>
    <s v="Заключение договора для проекта &quot;Титан&quot;"/>
    <s v="Лопарев В.В."/>
    <s v="Веселкин А.С."/>
    <s v="Договорный документ"/>
    <s v="Блок бурения и ВСР"/>
    <s v="Гаврилов С.В."/>
    <s v="На бумажном носителе"/>
    <s v="С ограничением по срокам "/>
    <d v="2022-03-30T00:00:00"/>
    <d v="2023-03-15T00:00:00"/>
    <s v="Д-58"/>
    <s v="Договор возмездного оказания услуг"/>
    <s v="Расходная часть"/>
    <s v="Стоимостной"/>
    <s v="20%"/>
    <s v=""/>
    <s v=""/>
    <s v="158 375 767.98"/>
    <s v="131 979 806.65"/>
    <s v="26 395 961.33"/>
    <s v="нет"/>
    <s v="нет"/>
    <s v=""/>
    <s v=""/>
    <s v=""/>
    <s v=""/>
    <s v="нет"/>
  </r>
  <r>
    <s v="Газпромнефть-ГЕО, ООО"/>
    <s v="0000108565"/>
    <s v="Зарегистрирован"/>
    <d v="2023-05-01T00:00:00"/>
    <s v=""/>
    <x v="193"/>
    <s v="344313434712"/>
    <s v=""/>
    <s v="ГЕО-23/25000/00080/Р"/>
    <s v="ГЕО-23/25000/00080/Р"/>
    <s v="Типовой ДД"/>
    <x v="2"/>
    <s v="25000 Договор об оказании услуг физическим лицом (без выезда на Лицензионные участки Заказчика)"/>
    <s v="00227-23"/>
    <s v=""/>
    <s v="25000 Договор об оказании услуг физическим лицом (без выезда на Лицензионные участки Заказчика)"/>
    <s v="Заключение договора возмездного оказания услуг по автоматизации маркшейдерских и землеустроительных задач в геоинформационной системе"/>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3-05-01T00:00:00"/>
    <d v="2023-11-30T00:00:00"/>
    <s v=""/>
    <s v="Договор оказания услуг с физическим лицом"/>
    <s v="Расходная часть"/>
    <s v="Стоимостной"/>
    <s v="13%"/>
    <s v=""/>
    <s v=""/>
    <s v="140 000.00"/>
    <s v="121 800.00"/>
    <s v="18 200.00"/>
    <s v="нет"/>
    <s v="нет"/>
    <s v=""/>
    <s v=""/>
    <s v=""/>
    <s v=""/>
    <s v="нет"/>
  </r>
  <r>
    <s v="Газпромнефть-ГЕО, ООО"/>
    <s v="0000084590"/>
    <s v="Зарегистрирован"/>
    <d v="2024-05-01T00:00:00"/>
    <s v=""/>
    <x v="61"/>
    <s v="7708277130"/>
    <s v="ГЕО-23/09000/00149/Р"/>
    <s v=""/>
    <s v="2"/>
    <s v="Нетиповой ДД"/>
    <x v="4"/>
    <s v=""/>
    <s v="00227-24"/>
    <s v="11"/>
    <s v="Изменение №2 к Заявке № 11 к Договору № ГЕО-23/09000/00149/Р от 28.08.2023 г."/>
    <s v="1._x0009_Изложить раздел 1, Заявки № 11 к Договору № ГЕО-23/09000/00149/Р от 28.08.2023 г. в части Ф.И.О. работника в следующей редакции:_x000a_- Кочетков Сергей Сергеевич._x000a_- Губанов Евгений Сергеевич."/>
    <s v="Фокин Е.В."/>
    <s v="Фокин Е.В."/>
    <s v="Договорный документ"/>
    <s v="Управление производственной безопасности"/>
    <s v="Михайлов Ю.А."/>
    <s v="ЭП"/>
    <s v="С ограничением по срокам "/>
    <d v="2024-05-01T00:00:00"/>
    <d v="2024-06-30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66687"/>
    <s v="Зарегистрирован"/>
    <d v="2022-04-01T00:00:00"/>
    <s v=""/>
    <x v="161"/>
    <s v="9909012867"/>
    <s v="ГЕО-21/20000/00286/Д"/>
    <s v=""/>
    <s v="1"/>
    <s v="Нетиповой ДД"/>
    <x v="0"/>
    <s v=""/>
    <s v="00228-22"/>
    <s v=""/>
    <s v="ДС №1 к АД ГЕО-21/20000/00286/Д от 16.12.2021 Шлюмберже Лод."/>
    <s v="Увеличение срока оплаты по договору"/>
    <s v="Титова Е.В."/>
    <s v="Титова Е.В."/>
    <s v="Договорный документ"/>
    <s v="Блок снабжения и закупок"/>
    <s v="Титов А.В."/>
    <s v="На бумажном носителе"/>
    <s v="До исполнения обязательств"/>
    <d v="2022-02-20T00:00:00"/>
    <s v=""/>
    <s v="Д-56"/>
    <s v="Агентский договор"/>
    <s v="Не предполагает взаиморасчетов"/>
    <s v="Агентский"/>
    <s v=""/>
    <s v=""/>
    <s v=""/>
    <s v=""/>
    <s v=""/>
    <s v=""/>
    <s v="нет"/>
    <s v="нет"/>
    <s v=""/>
    <s v=""/>
    <s v=""/>
    <s v=""/>
    <s v="нет"/>
  </r>
  <r>
    <s v="Газпромнефть-ГЕО, ООО"/>
    <s v="0000073438"/>
    <s v="Зарегистрирован"/>
    <d v="2023-05-02T00:00:00"/>
    <s v=""/>
    <x v="68"/>
    <s v="7720330291"/>
    <s v="ГЕО-21/08000/00296/Р"/>
    <s v=""/>
    <s v="10"/>
    <s v="Нетиповой ДД"/>
    <x v="7"/>
    <s v=""/>
    <s v="00228-23"/>
    <s v=""/>
    <s v="Заявка № 10 на оказание услуг по информационно-аналитическому и практическому ведению недропользования на участках недр в периметре лицензионного портфеля"/>
    <s v="1. Подписка на актуализацию карт лицензирования и недропользования, анализ тенденций по фонду недр РФ, разработка рекомендаций на основании мониторинга лицензирования на углеводородное сырье по приоритетным для Компании участкам_x000d__x000a_2. Геолого-экономическая оценка ресурсов участков, планируемых к лицензированию (оценка нераспределенного фонда): новые поисковые зоны, прирезки, фланги. Подготовка обоснований и сопровождение заявочной документации на внесение изменений в лицензии (прирезки, фланги, снятие рисков)._x000d__x000a_3. Создание и актуализация банка данных по аукционам, конкурсам и перечням на ГИ, проводимых в РФ за последние 10 лет._x000d__x000a__x000d__x000a_"/>
    <s v="Автеньев М.В."/>
    <s v="Мустафин И.Р."/>
    <s v="Договорный документ"/>
    <s v="Блок геологии и разработки"/>
    <s v="Аксенов М.А."/>
    <s v="ЭП"/>
    <s v="С ограничением по срокам "/>
    <d v="2023-05-02T00:00:00"/>
    <d v="2023-12-31T00:00:00"/>
    <s v="Д-58"/>
    <s v="Договор на выполнение НИР, ОКР и технологических работ"/>
    <s v="Расходная часть"/>
    <s v="Стоимостной"/>
    <s v="20%"/>
    <s v=""/>
    <s v=""/>
    <s v="48 762 000.00"/>
    <s v="40 635 000.00"/>
    <s v="8 127 000.00"/>
    <s v="нет"/>
    <s v="нет"/>
    <s v=""/>
    <s v=""/>
    <s v=""/>
    <s v=""/>
    <s v="нет"/>
  </r>
  <r>
    <s v="Газпромнефть-ГЕО, ООО"/>
    <s v="0000039714"/>
    <s v="Зарегистрирован"/>
    <d v="2024-04-08T00:00:00"/>
    <s v=""/>
    <x v="1"/>
    <s v="7734033757"/>
    <s v="ГЕО-21/10114/00257/Р"/>
    <s v=""/>
    <s v="10"/>
    <s v="Нетиповой ДД"/>
    <x v="0"/>
    <s v=""/>
    <s v="00228-24"/>
    <s v=""/>
    <s v="Дополнительное соглашение №10 к Договору ГЕО-21/10114/00257 от 22.11.2021"/>
    <s v="изменение срока выполнения работ в рамках ДС"/>
    <s v="Дакиров В.С."/>
    <s v=""/>
    <s v="Договорный документ"/>
    <s v="Управление сейсморазведочных работ"/>
    <s v="Аксенов М.А."/>
    <s v="ЭП"/>
    <s v="До исполнения обязательств"/>
    <d v="2024-04-08T00:00:00"/>
    <s v=""/>
    <s v=""/>
    <s v="Супервайзерские услуги полевых работ площадными геофизическими методами"/>
    <s v="Расходная часть"/>
    <s v="Стоимостной"/>
    <s v="20%"/>
    <s v=""/>
    <s v=""/>
    <s v="2 693 460.00"/>
    <s v="2 244 550.00"/>
    <s v="448 910.00"/>
    <s v="нет"/>
    <s v="нет"/>
    <s v=""/>
    <s v=""/>
    <s v=""/>
    <s v=""/>
    <s v="нет"/>
  </r>
  <r>
    <s v="Газпромнефть-ГЕО, ООО"/>
    <s v="0000073438"/>
    <s v="Зарегистрирован"/>
    <d v="2023-05-02T00:00:00"/>
    <s v=""/>
    <x v="68"/>
    <s v="7720330291"/>
    <s v="ГЕО-21/08000/00296/Р"/>
    <s v=""/>
    <s v="11"/>
    <s v="Нетиповой ДД"/>
    <x v="7"/>
    <s v=""/>
    <s v="00229-23"/>
    <s v=""/>
    <s v="Заявка № 11 на выполнение работ по разработке проектной документации по геологическому изучению недр включая поиски и оценку месторождений (залежей) УВС в пределах Нижнепуринской группы лицензионных участков. "/>
    <s v="1. Результаты выполненных работ оформляются на бумажных и электронных носителях в виде отчета, включающего в себя текстовую часть, графические и текстовые приложения _x000d__x000a_2. Положительные заключения ФГКУ «Росгеолэкспертиза»"/>
    <s v="Автеньев М.В."/>
    <s v="Мустафин И.Р."/>
    <s v="Договорный документ"/>
    <s v="Блок геологии и разработки"/>
    <s v="Аксенов М.А."/>
    <s v="ЭП"/>
    <s v="С ограничением по срокам "/>
    <d v="2023-05-02T00:00:00"/>
    <d v="2023-06-01T00:00:00"/>
    <s v="Д-58"/>
    <s v="Договор на выполнение НИР, ОКР и технологических работ"/>
    <s v="Расходная часть"/>
    <s v="Стоимостной"/>
    <s v="20%"/>
    <s v=""/>
    <s v=""/>
    <s v="16 581 823.61"/>
    <s v="13 818 186.34"/>
    <s v="2 763 637.27"/>
    <s v="нет"/>
    <s v="нет"/>
    <s v=""/>
    <s v=""/>
    <s v=""/>
    <s v=""/>
    <s v="нет"/>
  </r>
  <r>
    <s v="Газпромнефть-ГЕО, ООО"/>
    <s v="0000051953"/>
    <s v="Подписание ЭП контрагентом"/>
    <d v="2024-08-26T00:00:00"/>
    <s v=""/>
    <x v="225"/>
    <s v="7728168971"/>
    <s v=""/>
    <s v="ГЕО-24/20000/00153/Р"/>
    <s v="ГЕО-24/20000/00153/Р"/>
    <s v="Нетиповой ДД"/>
    <x v="2"/>
    <s v=""/>
    <s v="00229-24"/>
    <s v=""/>
    <s v="Агентский ДД с АО &quot;Альфа-Банк&quot;"/>
    <s v="Организация применения факторинга по закупке от ПАО &quot;Газпром нефть&quot;"/>
    <s v="Васильева А.И."/>
    <s v="Чернявский Г.С."/>
    <s v="Договорный документ"/>
    <s v="Блок экономики и финансов"/>
    <s v="Ковтун М.А."/>
    <s v="ЭП"/>
    <s v="До исполнения обязательств"/>
    <d v="2024-08-26T00:00:00"/>
    <s v=""/>
    <s v="Д-62"/>
    <s v="Агентский договор"/>
    <s v="Расходная часть"/>
    <s v="Агентский"/>
    <s v="20%"/>
    <s v=""/>
    <s v=""/>
    <n v="0"/>
    <n v="0"/>
    <n v="0"/>
    <s v="нет"/>
    <s v="нет"/>
    <s v=""/>
    <s v=""/>
    <s v=""/>
    <s v=""/>
    <s v="нет"/>
  </r>
  <r>
    <s v="Газпромнефть-ГЕО, ООО"/>
    <s v="0000087378"/>
    <s v="Зарегистрирован"/>
    <d v="2019-03-28T00:00:00"/>
    <s v=""/>
    <x v="97"/>
    <s v="7204203139"/>
    <s v="ГЕО-19/10156/00057/Р "/>
    <s v=""/>
    <s v="4"/>
    <s v="Нетиповой ДД"/>
    <x v="0"/>
    <s v=""/>
    <s v="00230-22"/>
    <s v=""/>
    <s v="Дополнительное соглашение №4 "/>
    <s v="Переввод негарантированного объёма 2022 года в гарантированный без изменения стоимости Договора"/>
    <s v="Ябиров Р.З."/>
    <s v=""/>
    <s v="Договорный документ"/>
    <s v="Блок геологии и разработки"/>
    <s v="Аксенов М.А."/>
    <s v="На бумажном носителе"/>
    <s v="С ограничением по срокам "/>
    <d v="2022-03-28T00:00:00"/>
    <d v="2024-12-31T00:00:00"/>
    <s v="Д-54"/>
    <s v="Договор на выполнение НИР, ОКР и технологических работ"/>
    <s v="Не предполагает взаиморасчетов"/>
    <s v="Рамочный"/>
    <s v=""/>
    <s v=""/>
    <s v=""/>
    <s v=""/>
    <s v=""/>
    <s v=""/>
    <s v="нет"/>
    <s v="нет"/>
    <s v=""/>
    <s v=""/>
    <s v=""/>
    <s v=""/>
    <s v="нет"/>
  </r>
  <r>
    <s v="Газпромнефть-ГЕО, ООО"/>
    <s v="0000073438"/>
    <s v="Зарегистрирован"/>
    <d v="2023-05-02T00:00:00"/>
    <s v=""/>
    <x v="68"/>
    <s v="7720330291"/>
    <s v="ГЕО-21/08000/00296/Р"/>
    <s v=""/>
    <s v="12"/>
    <s v="Нетиповой ДД"/>
    <x v="7"/>
    <s v=""/>
    <s v="00230-23"/>
    <s v=""/>
    <s v="Заявка № 12 на выполнение работ по разработке проектной документации по геологическому изучению недр включая поиски и оценку месторождений (залежей) УВС в пределах Таймырской группы лицензионных участков. "/>
    <s v="1. Разработка проектной документации на геологическое изучение в пределах Таймырской группы лицензионных участков (поиск и оценка месторождений и залежей УВС)_x000d__x000a_2. Получение положительного экспертного заключение ФГКУ «Росгеолэкспертиза»"/>
    <s v="Автеньев М.В."/>
    <s v="Мустафин И.Р."/>
    <s v="Договорный документ"/>
    <s v="Блок геологии и разработки"/>
    <s v="Аксенов М.А."/>
    <s v="ЭП"/>
    <s v="С ограничением по срокам "/>
    <d v="2023-05-02T00:00:00"/>
    <d v="2023-06-01T00:00:00"/>
    <s v="Д-58"/>
    <s v="Договор на выполнение НИР, ОКР и технологических работ"/>
    <s v="Расходная часть"/>
    <s v="Стоимостной"/>
    <s v="20%"/>
    <s v=""/>
    <s v=""/>
    <s v="11 324 172.22"/>
    <s v="9 436 810.18"/>
    <s v="1 887 362.04"/>
    <s v="нет"/>
    <s v="нет"/>
    <s v=""/>
    <s v=""/>
    <s v=""/>
    <s v=""/>
    <s v="нет"/>
  </r>
  <r>
    <s v="Газпромнефть-ГЕО, ООО"/>
    <s v="0000067067"/>
    <s v="Зарегистрирован"/>
    <d v="2024-04-01T00:00:00"/>
    <s v=""/>
    <x v="85"/>
    <s v="7816483740"/>
    <s v="ГЕО-19/09000/00303/Р"/>
    <s v=""/>
    <s v="6"/>
    <s v="Нетиповой ДД"/>
    <x v="8"/>
    <s v=""/>
    <s v="00230-24"/>
    <s v=""/>
    <s v="Наряд-задание № 6 к договору ГЕО-19/09000/00303/Р от 15.11.2019"/>
    <s v="Организации и содержанию медицинского здравпункта на проекте Оморинский (Салаирское месторождение (скв.3ПО), Вахтовый городок «СТС»)"/>
    <s v="Покатов О.Н."/>
    <s v=""/>
    <s v="Договорный документ"/>
    <s v="Управление производственной безопасности"/>
    <s v="Михайлов Ю.А."/>
    <s v="ЭП"/>
    <s v="До исполнения обязательств"/>
    <d v="2024-04-01T00:00:00"/>
    <s v=""/>
    <s v="Д-2"/>
    <s v="Договор возмездного оказания услуг"/>
    <s v="Расходная часть"/>
    <s v="Стоимостной"/>
    <s v="20%"/>
    <s v=""/>
    <s v=""/>
    <s v="9 556 608.61"/>
    <s v="7 963 840.51"/>
    <s v="1 592 768.10"/>
    <s v="нет"/>
    <s v="нет"/>
    <s v=""/>
    <s v=""/>
    <s v=""/>
    <s v=""/>
    <s v="нет"/>
  </r>
  <r>
    <s v="Газпромнефть-ГЕО, ООО"/>
    <s v="0000027645"/>
    <s v="Зарегистрирован"/>
    <d v="2022-03-31T00:00:00"/>
    <s v=""/>
    <x v="80"/>
    <s v="5501072608"/>
    <s v="ГЕО-19/10001/00157/Р/ГСН-19/10001/00829/Д/ТМН-15 от 15.07.2019г."/>
    <s v=""/>
    <s v="14"/>
    <s v="Нетиповой ДД"/>
    <x v="0"/>
    <s v=""/>
    <s v="00231-22"/>
    <s v=""/>
    <s v="ДС № 14 к договору СТЛ ЕНИСЕЙ № ГЕО-19/10001/00157/Р/ГСН-19/10001/00829/Д/ТМН-15 от 15.07.2019г."/>
    <s v="Увеличение стоимости ДД в 2022 году для обеспечения выполнения производственной программы по ГРР 2ПО (скважина 198) на 987 161 465,26 рублей без НДС."/>
    <s v="Рябикина М.А."/>
    <s v="Нежальских В.А."/>
    <s v="Договорный документ"/>
    <s v="Блок снабжения и закупок"/>
    <s v="Титов А.В."/>
    <s v="На бумажном носителе"/>
    <s v="С ограничением по срокам "/>
    <d v="2022-04-01T00:00:00"/>
    <d v="2022-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987161465.26"/>
    <s v="987 161 465.26"/>
    <s v="822 634 554.38"/>
    <s v="164 526 910.88"/>
    <s v="да"/>
    <s v="нет"/>
    <s v=""/>
    <s v=""/>
    <s v=""/>
    <s v=""/>
    <s v="нет"/>
  </r>
  <r>
    <s v="Газпромнефть-ГЕО, ООО"/>
    <s v=""/>
    <s v="Проект"/>
    <s v=""/>
    <s v=""/>
    <x v="58"/>
    <s v=""/>
    <s v=""/>
    <s v=""/>
    <s v=""/>
    <s v=""/>
    <x v="6"/>
    <s v=""/>
    <s v="00231-23"/>
    <s v=""/>
    <s v=""/>
    <s v=""/>
    <s v="Буракова О.В."/>
    <s v=""/>
    <s v="Договорный документ"/>
    <s v="Отдел административной поддержки бизнеса"/>
    <s v=""/>
    <s v=""/>
    <s v=""/>
    <s v=""/>
    <s v=""/>
    <s v=""/>
    <s v=""/>
    <s v=""/>
    <s v=""/>
    <s v=""/>
    <s v=""/>
    <s v=""/>
    <s v=""/>
    <s v=""/>
    <s v=""/>
    <s v="нет"/>
    <s v="нет"/>
    <s v=""/>
    <s v=""/>
    <s v=""/>
    <s v=""/>
    <s v="нет"/>
  </r>
  <r>
    <s v="Газпромнефть-ГЕО, ООО"/>
    <s v="0000068974"/>
    <s v="Зарегистрирован"/>
    <d v="2024-04-23T00:00:00"/>
    <s v=""/>
    <x v="81"/>
    <s v="3808120671"/>
    <s v="ГЕО-22/09000/00287/Р"/>
    <s v=""/>
    <s v="6"/>
    <s v="Нетиповой ДД"/>
    <x v="0"/>
    <s v=""/>
    <s v="00231-24"/>
    <s v=""/>
    <s v="ДС № 6 к ДОГОВОРУ № ГЕО-22/09000/00287/Р от 03.11.2022 г."/>
    <s v="Раскрытие негарантированного объема услуг 2024 года по организации охраны контрольно­ пропускного пункта в доп. объеме 123 суток на Сал 3 Оморинского ЛУ до 31.08.2024г"/>
    <s v="Страдымов А.Г."/>
    <s v="Страдымов А.Г."/>
    <s v="Договорный документ"/>
    <s v="Блок корпоративной защиты"/>
    <s v="Созинов С.А."/>
    <s v="ЭП"/>
    <s v="С ограничением по срокам "/>
    <d v="2024-05-01T00:00:00"/>
    <d v="2025-02-28T00:00:00"/>
    <s v="Д-60"/>
    <s v="Договор возмездного оказания услуг"/>
    <s v="Расходная часть"/>
    <s v="Стоимостной"/>
    <s v="без НДС"/>
    <s v=""/>
    <s v=""/>
    <s v="145 311 289.07"/>
    <s v="145 311 289.07"/>
    <n v="0"/>
    <s v="нет"/>
    <s v="нет"/>
    <s v=""/>
    <s v=""/>
    <s v=""/>
    <s v=""/>
    <s v="нет"/>
  </r>
  <r>
    <s v="Газпромнефть-ГЕО, ООО"/>
    <s v="0000060954"/>
    <s v="Зарегистрирован"/>
    <d v="2022-03-01T00:00:00"/>
    <s v=""/>
    <x v="75"/>
    <s v="5603007580"/>
    <s v="ГЕО-22/10000/00036/Р"/>
    <s v=""/>
    <s v="1"/>
    <s v="Нетиповой ДД"/>
    <x v="0"/>
    <s v=""/>
    <s v="00232-22"/>
    <s v=""/>
    <s v="ДС №1 к Договору № ГЕО-22/10000/00036/Р от 14.02.2022г."/>
    <s v="1. Изменение сроков оплаты на 30 дней._x000d__x000a_2. Изменение арбитражной оговорки на оригинальную формулировку размещённую при проведении конкурентного отбора."/>
    <s v="Быков Н.В."/>
    <s v="Дунаев Э.В."/>
    <s v="Договорный документ"/>
    <s v="Блок бурения и ВСР"/>
    <s v="Гаврилов С.В."/>
    <s v="На бумажном носителе"/>
    <s v="С ограничением по срокам "/>
    <d v="2022-03-01T00:00:00"/>
    <d v="2024-12-31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
    <s v="Проект"/>
    <s v=""/>
    <s v=""/>
    <x v="58"/>
    <s v=""/>
    <s v=""/>
    <s v=""/>
    <s v=""/>
    <s v=""/>
    <x v="6"/>
    <s v=""/>
    <s v="00232-23"/>
    <s v=""/>
    <s v=""/>
    <s v=""/>
    <s v="Буракова О.В."/>
    <s v=""/>
    <s v="Договорный документ"/>
    <s v="Отдел административной поддержки бизнеса"/>
    <s v=""/>
    <s v=""/>
    <s v=""/>
    <s v=""/>
    <s v=""/>
    <s v=""/>
    <s v=""/>
    <s v=""/>
    <s v=""/>
    <s v=""/>
    <s v=""/>
    <s v=""/>
    <s v=""/>
    <s v=""/>
    <s v=""/>
    <s v="нет"/>
    <s v="нет"/>
    <s v=""/>
    <s v=""/>
    <s v=""/>
    <s v=""/>
    <s v="нет"/>
  </r>
  <r>
    <s v="Газпромнефть-ГЕО, ООО"/>
    <s v="0000061428"/>
    <s v="Подписание ЭП контрагентом"/>
    <d v="2024-04-25T00:00:00"/>
    <s v=""/>
    <x v="10"/>
    <s v="7705907626"/>
    <s v="ГЕО-24/33100/00009"/>
    <s v=""/>
    <s v="1"/>
    <s v="Типовой ДД"/>
    <x v="0"/>
    <s v="33100 Дополнительное соглашение к Соглашениям в  в области производственной безопасности;"/>
    <s v="00232-24"/>
    <s v=""/>
    <s v="ДС 1 к соглашению ПБ №ГЕО-24/33100/00009 от 15.01.2024"/>
    <s v="Приказ П-32 Актуализация Соглашения ПБ"/>
    <s v="Мормышев А.А."/>
    <s v="Михайлов Ю.А."/>
    <s v="Договорный документ"/>
    <s v="Блок снабжения и закупок"/>
    <s v="Ядрышников П.Н."/>
    <s v="ЭП"/>
    <s v="До исполнения обязательств"/>
    <d v="2024-04-25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5789"/>
    <s v="Зарегистрирован"/>
    <d v="2022-04-13T00:00:00"/>
    <s v=""/>
    <x v="16"/>
    <s v="7838395487"/>
    <s v="ГЕО-21/11708/00165/Р"/>
    <s v=""/>
    <s v="НТЦ-00313-22Д-ГЕО"/>
    <s v="Нетиповой ДД"/>
    <x v="3"/>
    <s v=""/>
    <s v="00233-22"/>
    <s v=""/>
    <s v="Заключение НЗ к Рамочному Договору по Проекту &quot;Титан&quot;"/>
    <s v="Обработка и интерпретация сейсморазведочных данных 3Д в пределах Северо-Ямбургского лицензионного участка ПАО «Газпром нефть» в 2022-2023 гг."/>
    <s v="Ябиров Р.З."/>
    <s v=""/>
    <s v="Договорный документ"/>
    <s v="Блок геологии и разработки"/>
    <s v="Аксенов М.А."/>
    <s v="На бумажном носителе"/>
    <s v="С ограничением по срокам "/>
    <d v="2022-03-30T00:00:00"/>
    <d v="2023-03-31T00:00:00"/>
    <s v="Д-54"/>
    <s v="Договор на выполнение НИР, ОКР и технологических работ"/>
    <s v="Расходная часть"/>
    <s v="Рамочный"/>
    <s v="20%"/>
    <s v=""/>
    <s v=""/>
    <s v="55 995 876.00"/>
    <s v="46 663 230.00"/>
    <s v="9 332 646.00"/>
    <s v="нет"/>
    <s v="нет"/>
    <s v=""/>
    <s v=""/>
    <s v=""/>
    <s v=""/>
    <s v="нет"/>
  </r>
  <r>
    <s v="Газпромнефть-ГЕО, ООО"/>
    <s v=""/>
    <s v="Проект"/>
    <s v=""/>
    <s v=""/>
    <x v="58"/>
    <s v=""/>
    <s v=""/>
    <s v=""/>
    <s v=""/>
    <s v="Нетиповой ДД"/>
    <x v="6"/>
    <s v=""/>
    <s v="00233-23"/>
    <s v=""/>
    <s v=""/>
    <s v=""/>
    <s v="Буракова О.В."/>
    <s v=""/>
    <s v="Договорный документ"/>
    <s v="Отдел административной поддержки бизнеса"/>
    <s v=""/>
    <s v=""/>
    <s v=""/>
    <s v=""/>
    <s v=""/>
    <s v=""/>
    <s v=""/>
    <s v=""/>
    <s v=""/>
    <s v=""/>
    <s v=""/>
    <s v=""/>
    <s v=""/>
    <s v=""/>
    <s v=""/>
    <s v="нет"/>
    <s v="нет"/>
    <s v=""/>
    <s v=""/>
    <s v=""/>
    <s v=""/>
    <s v="нет"/>
  </r>
  <r>
    <s v="Газпромнефть-ГЕО, ООО"/>
    <s v="0000045789"/>
    <s v="Зарегистрирован"/>
    <d v="2022-03-30T00:00:00"/>
    <s v=""/>
    <x v="16"/>
    <s v="7838395487"/>
    <s v="ГЕО-21/11708/00165/Р"/>
    <s v=""/>
    <s v="НТЦ-00316-22Д-ГЕО"/>
    <s v="Нетиповой ДД"/>
    <x v="3"/>
    <s v=""/>
    <s v="00234-22"/>
    <s v=""/>
    <s v="Заключение НЗ к Рамочному Договору по Проекту &quot;Титан&quot;"/>
    <s v="Концепт геологии, разработки и обустройства с обоснованием оптимальных программ исследований с дизайном ГРР и ОПР Северо-Ямбургского лицензионного участка ПАО «Газпром нефть» в 2022-2023 гг."/>
    <s v="Ябиров Р.З."/>
    <s v=""/>
    <s v="Договорный документ"/>
    <s v="Блок геологии и разработки"/>
    <s v="Аксенов М.А."/>
    <s v="На бумажном носителе"/>
    <s v="С ограничением по срокам "/>
    <d v="2022-03-30T00:00:00"/>
    <d v="2023-12-30T00:00:00"/>
    <s v="Д-54"/>
    <s v="Договор на выполнение НИР, ОКР и технологических работ"/>
    <s v="Расходная часть"/>
    <s v="Рамочный"/>
    <s v="20%"/>
    <s v=""/>
    <s v=""/>
    <s v="56 234 816.40"/>
    <s v="46 862 347.00"/>
    <s v="9 372 469.40"/>
    <s v="нет"/>
    <s v="нет"/>
    <s v=""/>
    <s v=""/>
    <s v=""/>
    <s v=""/>
    <s v="нет"/>
  </r>
  <r>
    <s v="Газпромнефть-ГЕО, ООО"/>
    <s v="0000076851"/>
    <s v="Зарегистрирован"/>
    <d v="2023-04-21T00:00:00"/>
    <s v=""/>
    <x v="48"/>
    <s v="2466091092"/>
    <s v="ГЕО-22/11000/00274/Р"/>
    <s v=""/>
    <s v="1"/>
    <s v="Нетиповой ДД"/>
    <x v="4"/>
    <s v=""/>
    <s v="00234-23"/>
    <s v="№1"/>
    <s v="Изменение №1 от 21.04.2023г. к Наряд-заказу №1 к Договору №ГЕО-22/11000/00274/Р от 14.10.2022г."/>
    <s v="На выполнение проектных работ"/>
    <s v="Шолохова И.А."/>
    <s v=""/>
    <s v="Договорный документ"/>
    <s v="Управление проектно-изыскательских работ"/>
    <s v="Трифонов А.В."/>
    <s v="ЭП"/>
    <s v="До исполнения обязательств"/>
    <d v="2023-04-21T00:00:00"/>
    <s v=""/>
    <s v="Д-33"/>
    <s v="Капитальное строительство и ПИР"/>
    <s v="Расходная часть"/>
    <s v="Рамочный"/>
    <s v="20%"/>
    <s v=""/>
    <s v=""/>
    <s v="16 326 436.63"/>
    <s v="13 605 363.86"/>
    <s v="2 721 072.77"/>
    <s v="нет"/>
    <s v="нет"/>
    <s v=""/>
    <s v=""/>
    <s v=""/>
    <s v=""/>
    <s v="нет"/>
  </r>
  <r>
    <s v="Газпромнефть-ГЕО, ООО"/>
    <s v="0000044114"/>
    <s v="Закрыт"/>
    <d v="2021-12-22T00:00:00"/>
    <s v=""/>
    <x v="226"/>
    <s v="7728639370"/>
    <s v=""/>
    <s v="ГЕО-21/26000/00315"/>
    <s v="ГЕО-21/26000/00315"/>
    <s v="Типовой ДД"/>
    <x v="1"/>
    <s v="26000 Соглашение о конфиденциальности с дочерним обществом ГК ГПН"/>
    <s v="00235-22"/>
    <s v=""/>
    <s v="26000 Соглашение о конфиденциальности с дочерним обществом ГК ГПН"/>
    <s v="Соблюдение условий конфиденциальности в случае передачи конфиденциальной информации "/>
    <s v="Григоренко Е.А."/>
    <s v="Григоренко Е.А."/>
    <s v="Договорный документ"/>
    <s v="Управление проектно-изыскательских работ"/>
    <s v="Созинов С.А."/>
    <s v="На бумажном носителе"/>
    <s v="До исполнения обязательств"/>
    <d v="2021-12-24T00:00:00"/>
    <s v=""/>
    <s v="Д-60"/>
    <s v="Соглашение о конфиденциальности"/>
    <s v="Не предполагает взаиморасчетов"/>
    <s v=""/>
    <s v=""/>
    <s v=""/>
    <s v=""/>
    <s v=""/>
    <s v=""/>
    <s v=""/>
    <s v="нет"/>
    <s v="нет"/>
    <s v=""/>
    <s v=""/>
    <s v=""/>
    <s v=""/>
    <s v="нет"/>
  </r>
  <r>
    <s v="Газпромнефть-ГЕО, ООО"/>
    <s v=""/>
    <s v="Проект"/>
    <s v=""/>
    <s v=""/>
    <x v="58"/>
    <s v=""/>
    <s v=""/>
    <s v=""/>
    <s v=""/>
    <s v="Нетиповой ДД"/>
    <x v="6"/>
    <s v=""/>
    <s v="00235-23"/>
    <s v=""/>
    <s v=""/>
    <s v=""/>
    <s v="Буракова О.В."/>
    <s v=""/>
    <s v="Договорный документ"/>
    <s v="Отдел административной поддержки бизнеса"/>
    <s v=""/>
    <s v=""/>
    <s v=""/>
    <s v=""/>
    <s v=""/>
    <s v=""/>
    <s v=""/>
    <s v=""/>
    <s v=""/>
    <s v=""/>
    <s v=""/>
    <s v=""/>
    <s v=""/>
    <s v=""/>
    <s v=""/>
    <s v="нет"/>
    <s v="нет"/>
    <s v=""/>
    <s v=""/>
    <s v=""/>
    <s v=""/>
    <s v="нет"/>
  </r>
  <r>
    <s v="Газпромнефть-ГЕО, ООО"/>
    <s v="0000065735"/>
    <s v="Зарегистрирован"/>
    <d v="2022-04-01T00:00:00"/>
    <s v=""/>
    <x v="200"/>
    <s v="0274095068"/>
    <s v="№ ГЕО-19/11019/00145/Р "/>
    <s v=""/>
    <s v="6"/>
    <s v="Типовой ДД"/>
    <x v="3"/>
    <s v="11018, 11019, 11020, 11021, 11022  Наряд-заказ к Договору (рамочному) на выполнение  работ по услугам &quot;Капитальное строительство и ПИР&quot;"/>
    <s v="00236-22"/>
    <s v=""/>
    <s v="11018, 11019, 11020, 11021, 11022  Наряд-заказ к Договору (рамочному) на выполнение  работ по услугам &quot;Капитальное строительство и ПИР&quot;"/>
    <s v="Выполнение проектных работ по объекту «Строительство поисковой скважины Сал-3П Салаирской площади Омор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4-01T00:00:00"/>
    <d v="2022-05-30T00:00:00"/>
    <s v="Д-61"/>
    <s v="Капитальное строительство и ПИР"/>
    <s v="Расходная часть"/>
    <s v="Рамочный"/>
    <s v="20%"/>
    <s v=""/>
    <s v=""/>
    <s v="322 799.76"/>
    <s v="268 999.80"/>
    <s v="53 799.96"/>
    <s v="нет"/>
    <s v="нет"/>
    <s v=""/>
    <s v=""/>
    <s v=""/>
    <s v=""/>
    <s v="нет"/>
  </r>
  <r>
    <s v="Газпромнефть-ГЕО, ООО"/>
    <s v="0000080408"/>
    <s v="Зарегистрирован"/>
    <d v="2023-05-01T00:00:00"/>
    <s v=""/>
    <x v="104"/>
    <s v="3812043780"/>
    <s v="ГЕО-22/11029/00171/Р"/>
    <s v=""/>
    <s v="4"/>
    <s v="Нетиповой ДД"/>
    <x v="3"/>
    <s v=""/>
    <s v="00236-23"/>
    <s v=""/>
    <s v="Наряд-заказ №4 . ...171 СТС, ООО"/>
    <s v="Наряд-заказ №4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
    <s v="Договорный документ"/>
    <s v="Департамент капитального строительства"/>
    <s v="Трифонов А.В."/>
    <s v="ЭП"/>
    <s v="До исполнения обязательств"/>
    <d v="2023-05-01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43 307 510.40"/>
    <s v="36 089 592.00"/>
    <s v="7 217 918.40"/>
    <s v="нет"/>
    <s v="нет"/>
    <s v=""/>
    <s v=""/>
    <s v=""/>
    <s v=""/>
    <s v="нет"/>
  </r>
  <r>
    <s v="Газпромнефть-ГЕО, ООО"/>
    <s v="0000025354"/>
    <s v="Зарегистрирован"/>
    <d v="2024-06-03T00:00:00"/>
    <d v="2024-06-11T00:00:00"/>
    <x v="111"/>
    <s v="5003026493"/>
    <s v="ГЕО-21/07000/00283/Р"/>
    <s v=""/>
    <s v="6"/>
    <s v="Нетиповой ДД"/>
    <x v="0"/>
    <s v=""/>
    <s v="00236-24"/>
    <s v=""/>
    <s v="ДС №6 к Договору ГЕО-21/07000/00283/Р от 20.12.21 г"/>
    <s v="Перераспределение объемов, добавление физики в ГО 2024"/>
    <s v="Яшкина К.Л."/>
    <s v="Асюлев К.С."/>
    <s v="Договорный документ"/>
    <s v="Блок бурения и ВСР"/>
    <s v="Трифонов А.В."/>
    <s v="ЭП"/>
    <s v="До исполнения обязательств"/>
    <d v="2024-06-03T00:00:00"/>
    <s v=""/>
    <s v="Д-82"/>
    <s v="Договор подряда"/>
    <s v="Расходная часть"/>
    <s v="Рамочный"/>
    <s v="20%"/>
    <s v=""/>
    <s v=""/>
    <s v="31 074 286.26"/>
    <s v="25 895 238.55"/>
    <s v="5 179 047.71"/>
    <s v="нет"/>
    <s v="нет"/>
    <s v=""/>
    <s v=""/>
    <s v=""/>
    <s v=""/>
    <s v="нет"/>
  </r>
  <r>
    <s v="Газпромнефть-ГЕО, ООО"/>
    <s v="0000096994"/>
    <s v="Зарегистрирован"/>
    <d v="2023-05-03T00:00:00"/>
    <s v=""/>
    <x v="102"/>
    <s v="6316103250"/>
    <s v=""/>
    <s v="ГЕО-23/20000/00081/Д"/>
    <s v="ГЕО-23/20000/00081/Д"/>
    <s v="Типовой ДД"/>
    <x v="2"/>
    <s v="20000 Агентский договор на организацию вертолетных авиаперевозок"/>
    <s v="00237-23"/>
    <s v=""/>
    <s v="20000 Агентский договор на организацию вертолетных авиаперевозок ООО «БАРБУС»"/>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5-01T00:00:00"/>
    <d v="2023-12-31T00:00:00"/>
    <s v="Д-56"/>
    <s v="Агентский договор"/>
    <s v="Доходная часть"/>
    <s v="Агентский"/>
    <s v="20%"/>
    <s v=""/>
    <s v=""/>
    <s v="14 147.90"/>
    <s v="11 789.92"/>
    <s v="2 357.98"/>
    <s v="нет"/>
    <s v="нет"/>
    <s v=""/>
    <s v=""/>
    <s v=""/>
    <s v=""/>
    <s v="нет"/>
  </r>
  <r>
    <s v="Газпромнефть-ГЕО, ООО"/>
    <s v="0000052955"/>
    <s v="Зарегистрирован"/>
    <d v="2022-03-30T00:00:00"/>
    <s v=""/>
    <x v="127"/>
    <s v="8602068466"/>
    <s v="ГЕО-21/11031/00040/Р"/>
    <s v=""/>
    <s v="2"/>
    <s v="Нетиповой ДД"/>
    <x v="0"/>
    <s v=""/>
    <s v="00238-22"/>
    <s v=""/>
    <s v="Дополнительное соглашение №2 к Договору № ГЕО-21/11031/00040/Р от 01.03.2021 года"/>
    <s v="О внесении изменений в содержание Наряд-заказа №1. Без увеличения общей цены договора. Выделение подэтапа 1.7 «Проект горного отвода и получение в Ростехнадзоре акта горного отвода на добычу общераспространенных полезных ископаемых (ОПИ)» Сводной сметы наряд-заказа №1 (Приложение №3 к наряд-заказу №1) из этапа 1 в отдельный Этап №4 по Наряд-заказу №1 со сроком выполнения работ - 30.09.2022г. на следующих условиях:"/>
    <s v="Крутова Е.С."/>
    <s v="Крутова Е.С."/>
    <s v="Договорный документ"/>
    <s v="Департамент капитального строительства"/>
    <s v="Перфильев Д.А."/>
    <s v="На бумажном носителе"/>
    <s v="До исполнения обязательств"/>
    <d v="2022-03-30T00:00:00"/>
    <s v=""/>
    <s v="Д-61"/>
    <s v="Капитальное строительство и ПИР"/>
    <s v="Не предполагает взаиморасчетов"/>
    <s v="Стоимостной"/>
    <s v=""/>
    <s v=""/>
    <s v=""/>
    <s v=""/>
    <s v=""/>
    <s v=""/>
    <s v="нет"/>
    <s v="нет"/>
    <s v=""/>
    <s v=""/>
    <s v=""/>
    <s v=""/>
    <s v="нет"/>
  </r>
  <r>
    <s v="Газпромнефть-ГЕО, ООО"/>
    <s v="0000068974"/>
    <s v="Зарегистрирован"/>
    <d v="2023-04-27T00:00:00"/>
    <s v=""/>
    <x v="81"/>
    <s v="3808120671"/>
    <s v="ГЕО-21/09000/00250/Р"/>
    <s v=""/>
    <s v="4"/>
    <s v="Нетиповой ДД"/>
    <x v="3"/>
    <s v=""/>
    <s v="00238-23"/>
    <s v="6"/>
    <s v="Наряд-Заказ № 4"/>
    <s v="В соответствии с п. 1.2. Договора № ГЕО-21/09000/00250/Р от 08.11.2021 г., Заказчик поручает Исполнителю выполнить ниже перечисленный перечень услуг (работ) для Заказчика в период с 01.05.2023 г. по 30.06.2023 г.:_x000d__x000a__x000d__x000a_"/>
    <s v="Данилов М.В."/>
    <s v="Данилов М.В."/>
    <s v="Договорный документ"/>
    <s v="Блок корпоративной защиты"/>
    <s v="Созинов С.А."/>
    <s v="ЭП"/>
    <s v="С ограничением по срокам "/>
    <d v="2023-05-01T00:00:00"/>
    <d v="2023-06-30T00:00:00"/>
    <s v="Д-60"/>
    <s v="Договор возмездного оказания услуг"/>
    <s v="Расходная часть"/>
    <s v="Рамочный"/>
    <s v="без НДС"/>
    <s v=""/>
    <s v=""/>
    <s v="4 734 974.33"/>
    <s v="4 734 974.33"/>
    <n v="0"/>
    <s v="нет"/>
    <s v="нет"/>
    <s v=""/>
    <s v=""/>
    <s v=""/>
    <s v=""/>
    <s v="нет"/>
  </r>
  <r>
    <s v="Газпромнефть-ГЕО, ООО"/>
    <s v="0000045789"/>
    <s v="Зарегистрирован"/>
    <d v="2022-03-30T00:00:00"/>
    <s v=""/>
    <x v="16"/>
    <s v="7838395487"/>
    <s v="ГЕО-21/11708/00165/Р"/>
    <s v=""/>
    <s v="НТЦ-03419-21Д-ГЕО"/>
    <s v="Нетиповой ДД"/>
    <x v="3"/>
    <s v=""/>
    <s v="00239-22"/>
    <s v=""/>
    <s v="Геомеханическая модель с обоснованием ОТР проекта &quot;Титан&quot;"/>
    <s v="Цель – повышение эффективности решений по вскрытию разреза месторождения Северо-Ямбург."/>
    <s v="Ябиров Р.З."/>
    <s v=""/>
    <s v="Договорный документ"/>
    <s v="Блок геологии и разработки"/>
    <s v="Аксенов М.А."/>
    <s v="На бумажном носителе"/>
    <s v="С ограничением по срокам "/>
    <d v="2022-03-30T00:00:00"/>
    <d v="2022-12-30T00:00:00"/>
    <s v="Д-54"/>
    <s v="Договор на выполнение НИР, ОКР и технологических работ"/>
    <s v="Расходная часть"/>
    <s v="Рамочный"/>
    <s v="20%"/>
    <s v=""/>
    <s v=""/>
    <s v="17 999 100.00"/>
    <s v="14 999 250.00"/>
    <s v="2 999 850.00"/>
    <s v="нет"/>
    <s v="нет"/>
    <s v=""/>
    <s v=""/>
    <s v=""/>
    <s v=""/>
    <s v="нет"/>
  </r>
  <r>
    <s v="Газпромнефть-ГЕО, ООО"/>
    <s v="0000066314"/>
    <s v="Зарегистрирован"/>
    <d v="2023-04-24T00:00:00"/>
    <s v=""/>
    <x v="74"/>
    <s v="7202242358"/>
    <s v="№ АНГ-19/11513/00010/Р "/>
    <s v=""/>
    <s v="5"/>
    <s v="Типовой ДД"/>
    <x v="0"/>
    <s v="00000 ДС на изменение реквизитов контрагента (адрес, счет)"/>
    <s v="00239-23"/>
    <s v=""/>
    <s v="00000 ДС на изменение реквизитов контрагента (адрес, счет)"/>
    <s v="изменение реквизитов К/А"/>
    <s v="Горев М.А."/>
    <s v=""/>
    <s v="Договорный документ"/>
    <s v="Управление маркшейдерско-землеустроительных работ"/>
    <s v="Трифонов А.В."/>
    <s v="ЭП"/>
    <s v="С ограничением по срокам "/>
    <d v="2023-04-24T00:00:00"/>
    <d v="2024-12-31T00:00:00"/>
    <s v="Д-33"/>
    <s v="Выполнение комплекса топографо-геодезических, землеустроительных и лесоустроительных  работ "/>
    <s v="Не предполагает взаиморасчетов"/>
    <s v="Рамочный"/>
    <s v=""/>
    <s v=""/>
    <s v=""/>
    <s v=""/>
    <s v=""/>
    <s v=""/>
    <s v="нет"/>
    <s v="нет"/>
    <s v=""/>
    <s v=""/>
    <s v=""/>
    <s v=""/>
    <s v="нет"/>
  </r>
  <r>
    <s v="Газпромнефть-ГЕО, ООО"/>
    <s v="0000115200"/>
    <s v="Зарегистрирован"/>
    <d v="2024-04-11T00:00:00"/>
    <d v="2024-05-15T00:00:00"/>
    <x v="156"/>
    <s v="7841070190"/>
    <s v=""/>
    <s v="ГЕО-24/33200/00078"/>
    <s v="ГЕО-24/33200/00078"/>
    <s v="Типовой ДД"/>
    <x v="1"/>
    <s v="33200 Соглашение об электронном документообороте"/>
    <s v="00239-24"/>
    <s v=""/>
    <s v="33200 Соглашение об электронном документообороте"/>
    <s v="Принятие объемов оказанных услуг с использованием электронного документооборота "/>
    <s v="Табуева М.А."/>
    <s v="Ядрышников П.Н."/>
    <s v="Договорный документ"/>
    <s v="Программы проектов производственной безопасности в ГРР"/>
    <s v="Аксенов М.А."/>
    <s v="ЭП"/>
    <s v="До исполнения обязательств"/>
    <d v="2024-04-11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7565"/>
    <s v="Зарегистрирован"/>
    <d v="2022-03-31T00:00:00"/>
    <s v=""/>
    <x v="227"/>
    <s v="8603087486"/>
    <s v="ГЕО-19/11019/00293/Р/2075-19АН"/>
    <s v=""/>
    <s v="3"/>
    <s v="Нетиповой ДД"/>
    <x v="0"/>
    <s v=""/>
    <s v="00240-22"/>
    <s v=""/>
    <s v="Дополнительное соглашение №3"/>
    <s v="Продление сроков оказаняи услуг и срока действия договора "/>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3-31T00:00:00"/>
    <d v="2023-03-31T00:00:00"/>
    <s v="Д-61"/>
    <s v="Капитальное строительство и ПИР"/>
    <s v="Не предполагает взаиморасчетов"/>
    <s v=""/>
    <s v=""/>
    <s v=""/>
    <s v=""/>
    <s v=""/>
    <s v=""/>
    <s v=""/>
    <s v="нет"/>
    <s v="нет"/>
    <s v=""/>
    <s v=""/>
    <s v=""/>
    <s v=""/>
    <s v="нет"/>
  </r>
  <r>
    <s v="Газпромнефть-ГЕО, ООО"/>
    <s v="0000073438"/>
    <s v="Зарегистрирован"/>
    <d v="2023-05-02T00:00:00"/>
    <s v=""/>
    <x v="68"/>
    <s v="7720330291"/>
    <s v="ГЕО-21/08000/00296/Р"/>
    <s v=""/>
    <s v="6"/>
    <s v="Нетиповой ДД"/>
    <x v="0"/>
    <s v=""/>
    <s v="00240-23"/>
    <s v=""/>
    <s v="Дополнительное соглашение № 6 к Договору № ГЕО-21/08000/00296/Р от «28» декабря 2021 г."/>
    <s v="перераспределение объемов из НГО в ГО, в том числе между ставками."/>
    <s v="Автеньев М.В."/>
    <s v="Мустафин И.Р."/>
    <s v="Договорный документ"/>
    <s v="Блок геологии и разработки"/>
    <s v="Аксенов М.А."/>
    <s v="ЭП"/>
    <s v="С ограничением по срокам "/>
    <d v="2023-05-02T00:00:00"/>
    <d v="2026-12-31T00:00:00"/>
    <s v="Д-58"/>
    <s v="Договор на выполнение НИР, ОКР и технологических работ"/>
    <s v="Расходная часть"/>
    <s v="Стоимостной"/>
    <s v="20%"/>
    <s v=""/>
    <s v=""/>
    <s v="94 515 036.62"/>
    <s v="78 762 530.52"/>
    <s v="15 752 506.10"/>
    <s v="нет"/>
    <s v="нет"/>
    <s v=""/>
    <s v=""/>
    <s v=""/>
    <s v=""/>
    <s v="нет"/>
  </r>
  <r>
    <s v="Газпромнефть-ГЕО, ООО"/>
    <s v="0000039714"/>
    <s v="Зарегистрирован"/>
    <d v="2024-04-19T00:00:00"/>
    <s v=""/>
    <x v="1"/>
    <s v="7734033757"/>
    <s v="ГЕО-21/10114/00257/Р"/>
    <s v=""/>
    <s v="Изменение №1 к наряд-заказу №8"/>
    <s v="Нетиповой ДД"/>
    <x v="3"/>
    <s v=""/>
    <s v="00240-24"/>
    <s v=""/>
    <s v="ИЗМЕНЕНИЕ №1 НАРЯД-ЗАКАЗА № 8"/>
    <s v="Изменение срока окончания работ по ранее выданному Н-З №8 в связи с отклонением от КП производственных СРР."/>
    <s v="Дакиров В.С."/>
    <s v=""/>
    <s v="Договорный документ"/>
    <s v="Управление сейсморазведочных работ"/>
    <s v="Аксенов М.А."/>
    <s v="ЭП"/>
    <s v="С ограничением по срокам "/>
    <d v="2024-04-19T00:00:00"/>
    <d v="2024-05-30T00:00:00"/>
    <s v=""/>
    <s v="Супервайзерские услуги полевых работ площадными геофизическими методами"/>
    <s v="Расходная часть"/>
    <s v="Стоимостной"/>
    <s v="20%"/>
    <s v=""/>
    <s v=""/>
    <s v="2 693 460.00"/>
    <s v="2 244 550.00"/>
    <s v="448 910.00"/>
    <s v="нет"/>
    <s v="нет"/>
    <s v=""/>
    <s v=""/>
    <s v=""/>
    <s v=""/>
    <s v="нет"/>
  </r>
  <r>
    <s v="Газпромнефть-ГЕО, ООО"/>
    <s v="0000045789"/>
    <s v="Зарегистрирован"/>
    <d v="2022-03-31T00:00:00"/>
    <s v=""/>
    <x v="16"/>
    <s v="7838395487"/>
    <s v="ГЕО-21/11708/00165/Р"/>
    <s v=""/>
    <s v="НТЦ-00196-22Д-ГЕО"/>
    <s v="Нетиповой ДД"/>
    <x v="3"/>
    <s v=""/>
    <s v="00241-22"/>
    <s v=""/>
    <s v="Инженерно-технологическое сопровождение бурения скважин (проект Титан)"/>
    <s v="Инженерно-технологическое сопровождение бурения скважин на Северо- Ямбургском лицензионном участке (проект Титан)"/>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6-01T00:00:00"/>
    <d v="2022-12-30T00:00:00"/>
    <s v="Д-58"/>
    <s v="Договор на выполнение НИР, ОКР и технологических работ"/>
    <s v="Расходная часть"/>
    <s v="Стоимостной"/>
    <s v="20%"/>
    <s v=""/>
    <s v=""/>
    <s v="6 346 800.00"/>
    <s v="5 289 000.00"/>
    <s v="1 057 800.00"/>
    <s v="нет"/>
    <s v="нет"/>
    <s v=""/>
    <s v=""/>
    <s v=""/>
    <s v=""/>
    <s v="нет"/>
  </r>
  <r>
    <s v="Газпромнефть-ГЕО, ООО"/>
    <s v="0000087378"/>
    <s v="Зарегистрирован"/>
    <d v="2023-04-28T00:00:00"/>
    <s v=""/>
    <x v="97"/>
    <s v="7204203139"/>
    <s v="ГЕО-21/08000/00297/Р"/>
    <s v=""/>
    <s v="4/23-297"/>
    <s v="Нетиповой ДД"/>
    <x v="3"/>
    <s v=""/>
    <s v="00241-23"/>
    <s v=""/>
    <s v="Заключение НЗ по теме: &quot;Комплексные исследования керна скважины 198 Лескинского ЛУ (интервалы отбора керна 1600.00-3071.80м.)&quot;"/>
    <s v="Исследования керна скв №198 Лескинского ЛУ"/>
    <s v="Ябиров Р.З."/>
    <s v=""/>
    <s v="Договорный документ"/>
    <s v="Блок геологии и разработки"/>
    <s v="Аксенов М.А."/>
    <s v="На бумажном носителе"/>
    <s v="С ограничением по срокам "/>
    <d v="2023-04-28T00:00:00"/>
    <d v="2023-08-25T00:00:00"/>
    <s v="Д-54"/>
    <s v="Договор на выполнение НИР, ОКР и технологических работ"/>
    <s v="Расходная часть"/>
    <s v="Рамочный"/>
    <s v="20%"/>
    <s v=""/>
    <s v=""/>
    <s v="10 964 921.72"/>
    <s v="9 137 434.77"/>
    <s v="1 827 486.95"/>
    <s v="нет"/>
    <s v="нет"/>
    <s v=""/>
    <s v=""/>
    <s v=""/>
    <s v=""/>
    <s v="нет"/>
  </r>
  <r>
    <s v="Газпромнефть-ГЕО, ООО"/>
    <s v="0000011433"/>
    <s v="Зарегистрирован"/>
    <d v="2024-04-19T00:00:00"/>
    <d v="2024-05-15T00:00:00"/>
    <x v="174"/>
    <s v="8604005359"/>
    <s v="ГЕО-20/11104/00210/Р от 31.12.2020 г."/>
    <s v=""/>
    <s v="6"/>
    <s v="Нетиповой ДД"/>
    <x v="0"/>
    <s v=""/>
    <s v="00241-24"/>
    <s v=""/>
    <s v="ДС №6 к Договору ГЕО-20/11104/00210/Р от 31.12.2020 г."/>
    <s v="индексация тарифов, раскрытие НГО"/>
    <s v="Яшкина К.Л."/>
    <s v="Бабиков Н.В."/>
    <s v="Договорный документ"/>
    <s v="Блок снабжения и закупок"/>
    <s v="Титов А.В."/>
    <s v="ЭП"/>
    <s v="До исполнения обязательств"/>
    <d v="2024-04-19T00:00:00"/>
    <s v=""/>
    <s v="Д-56"/>
    <s v="Договор подряда"/>
    <s v="Расходная часть"/>
    <s v="Тарифный"/>
    <s v="20%"/>
    <s v=""/>
    <s v=""/>
    <s v="13 182 693.60"/>
    <s v="10 985 578.00"/>
    <s v="2 197 115.60"/>
    <s v="нет"/>
    <s v="нет"/>
    <s v=""/>
    <s v=""/>
    <s v=""/>
    <s v=""/>
    <s v="нет"/>
  </r>
  <r>
    <s v="Газпромнефть-ГЕО, ООО"/>
    <s v="0000045789"/>
    <s v="Зарегистрирован"/>
    <d v="2022-03-31T00:00:00"/>
    <s v=""/>
    <x v="16"/>
    <s v="7838395487"/>
    <s v="ГЕО-21/11708/00165/Р"/>
    <s v=""/>
    <s v="НТЦ-00194-22Д-ГЕО"/>
    <s v="Нетиповой ДД"/>
    <x v="3"/>
    <s v=""/>
    <s v="00242-22"/>
    <s v=""/>
    <s v="Инженерно-технологическое сопровождение бурения скважин "/>
    <s v="Инженерно-технологическое сопровождение бурения скважин на Солнечном лицензионном участке (проект Южный Оренбург) "/>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3-31T00:00:00"/>
    <d v="2022-07-31T00:00:00"/>
    <s v="Д-58"/>
    <s v="Договор на выполнение НИР, ОКР и технологических работ"/>
    <s v="Расходная часть"/>
    <s v="Стоимостной"/>
    <s v="20%"/>
    <s v=""/>
    <s v=""/>
    <s v="3 911 400.00"/>
    <s v="3 259 500.00"/>
    <s v="651 900.00"/>
    <s v="нет"/>
    <s v="нет"/>
    <s v=""/>
    <s v=""/>
    <s v=""/>
    <s v=""/>
    <s v="нет"/>
  </r>
  <r>
    <s v="Газпромнефть-ГЕО, ООО"/>
    <s v="0000098088"/>
    <s v="Зарегистрирован"/>
    <d v="2023-05-03T00:00:00"/>
    <s v=""/>
    <x v="217"/>
    <s v="3015092176"/>
    <s v="ГЕО-22/10000/00210/Р"/>
    <s v=""/>
    <s v="2"/>
    <s v="Нетиповой ДД"/>
    <x v="0"/>
    <s v=""/>
    <s v="00242-23"/>
    <s v=""/>
    <s v="Дополнительное соглашение №2"/>
    <s v="Уточнение формулировок Технического задания"/>
    <s v="Рымаренко А.А."/>
    <s v="Рымаренко А.А."/>
    <s v="Договорный документ"/>
    <s v="Управление внутрискважинных работ"/>
    <s v="Трифонов А.В."/>
    <s v="ЭП"/>
    <s v="До исполнения обязательств"/>
    <d v="2023-05-03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11433"/>
    <s v="Зарегистрирован"/>
    <d v="2024-04-19T00:00:00"/>
    <d v="2024-05-15T00:00:00"/>
    <x v="174"/>
    <s v="8604005359"/>
    <s v="ГЕО-21/11104/00291/Р"/>
    <s v=""/>
    <s v="4"/>
    <s v="Нетиповой ДД"/>
    <x v="0"/>
    <s v=""/>
    <s v="00242-24"/>
    <s v=""/>
    <s v="ДС №4 Договору №ГЕО-21/11104/00291/Р от 24.12.2021 г."/>
    <s v="Индексация тарифов"/>
    <s v="Яшкина К.Л."/>
    <s v="Бабиков Н.В."/>
    <s v="Договорный документ"/>
    <s v="Блок снабжения и закупок"/>
    <s v="Титов А.В."/>
    <s v="ЭП"/>
    <s v="До исполнения обязательств"/>
    <d v="2024-04-19T00:00:00"/>
    <s v=""/>
    <s v="Д-56"/>
    <s v="Авиационное обслуживание (вертолеты)"/>
    <s v="Расходная часть"/>
    <s v="Тарифный"/>
    <s v="20%"/>
    <s v=""/>
    <s v=""/>
    <n v="0"/>
    <n v="0"/>
    <n v="0"/>
    <s v="нет"/>
    <s v="нет"/>
    <s v=""/>
    <s v=""/>
    <s v=""/>
    <s v=""/>
    <s v="нет"/>
  </r>
  <r>
    <s v="Газпромнефть-ГЕО, ООО"/>
    <s v="0000084033"/>
    <s v="Зарегистрирован"/>
    <d v="2023-05-19T00:00:00"/>
    <s v=""/>
    <x v="228"/>
    <s v="8903008982"/>
    <s v=""/>
    <s v="ГЕО-23/33000/00084/Р"/>
    <s v="ГЕО-23/33000/00084/Р"/>
    <s v="Нетиповой ДД"/>
    <x v="1"/>
    <s v=""/>
    <s v="00243-23"/>
    <s v=""/>
    <s v="Соглашение о возмещении убытков, в том числе упущенной выгоды"/>
    <s v="возместить Землепользователю убытки, в том числе упущенную выгоду (далее - убытки), в полном объеме, при изъятии Предприятием земельных участков, для размещения объектов «Поисково-оценочная скважина № 2 Северо-Ямбургского лицензионного участка», «Поисково-оценочная скважина № 3 Северо-Ямбургского лицензионного участка»"/>
    <s v="Титаева И.А."/>
    <s v="Титаева И.А."/>
    <s v="Договорный документ"/>
    <s v="Управление маркшейдерско-землеустроительных работ"/>
    <s v="Трифонов А.В."/>
    <s v="На бумажном носителе"/>
    <s v="До исполнения обязательств"/>
    <d v="2023-05-19T00:00:00"/>
    <s v=""/>
    <s v="Д-33"/>
    <s v="Соглашение участников хозяйственных обществ (юридических лиц)"/>
    <s v="Расходная часть"/>
    <s v="Стоимостной"/>
    <s v="без НДС"/>
    <s v=""/>
    <s v=""/>
    <s v="8 431 253.00"/>
    <s v="8 431 253.00"/>
    <n v="0"/>
    <s v="нет"/>
    <s v="нет"/>
    <s v=""/>
    <s v=""/>
    <s v=""/>
    <s v=""/>
    <s v="нет"/>
  </r>
  <r>
    <s v="Газпромнефть-ГЕО, ООО"/>
    <s v="0000058271"/>
    <s v="Зарегистрирован"/>
    <d v="2024-04-19T00:00:00"/>
    <s v=""/>
    <x v="42"/>
    <s v="7725696878"/>
    <s v="ГЕО-24/10000/00053/Р"/>
    <s v=""/>
    <s v="1"/>
    <s v="Нетиповой ДД"/>
    <x v="3"/>
    <s v=""/>
    <s v="00243-24"/>
    <s v=""/>
    <s v="Заказ-Наряд №1 к Договору ГЕО-24/10000/00053/Р от 18.03.2024 г."/>
    <s v="Выполнение работ по проекту &quot;Нерутинский&quot; "/>
    <s v="Безруков А.А."/>
    <s v="Игревский И.В."/>
    <s v="Договорный документ"/>
    <s v="Блок геологии и разработки"/>
    <s v="Николаев М.Н."/>
    <s v="На бумажном носителе"/>
    <s v="С ограничением по срокам "/>
    <d v="2024-04-19T00:00:00"/>
    <d v="2025-09-22T00:00:00"/>
    <s v="Д-57"/>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701 951 860.80"/>
    <s v="584 959 884.00"/>
    <s v="116 991 976.80"/>
    <s v="нет"/>
    <s v="нет"/>
    <s v=""/>
    <s v=""/>
    <s v=""/>
    <s v=""/>
    <s v="да"/>
  </r>
  <r>
    <s v="Газпромнефть-ГЕО, ООО"/>
    <s v="0000071795"/>
    <s v="Зарегистрирован"/>
    <d v="2022-03-31T00:00:00"/>
    <s v=""/>
    <x v="125"/>
    <s v="8913008090"/>
    <s v="ГЕО-22/11029/00004/Р"/>
    <s v=""/>
    <s v="1"/>
    <s v="Нетиповой ДД"/>
    <x v="0"/>
    <s v=""/>
    <s v="00244-22"/>
    <s v=""/>
    <s v="Дополнительное соглашение №1 к Договору №ГЕО-22/11029/00004/Р от 10.01.2022г."/>
    <s v="Оплата не  позднее 30 дней"/>
    <s v="Крутова Е.С."/>
    <s v="Крутова Е.С."/>
    <s v="Договорный документ"/>
    <s v="Департамент капитального строительства"/>
    <s v="Перфильев Д.А."/>
    <s v="На бумажном носителе"/>
    <s v="До исполнения обязательств"/>
    <d v="2022-03-31T00:00:00"/>
    <s v=""/>
    <s v="Д-61"/>
    <s v="Капитальное строительство и ПИР"/>
    <s v="Не предполагает взаиморасчетов"/>
    <s v=""/>
    <s v=""/>
    <s v=""/>
    <s v=""/>
    <s v=""/>
    <s v=""/>
    <s v=""/>
    <s v="нет"/>
    <s v="нет"/>
    <s v=""/>
    <s v=""/>
    <s v=""/>
    <s v=""/>
    <s v="нет"/>
  </r>
  <r>
    <s v="Газпромнефть-ГЕО, ООО"/>
    <s v="0000025354"/>
    <s v="Зарегистрирован"/>
    <d v="2023-05-15T00:00:00"/>
    <s v=""/>
    <x v="111"/>
    <s v="5003026493"/>
    <s v="ГЕО-19/11104/00153/Д"/>
    <s v=""/>
    <s v="5"/>
    <s v="Нетиповой ДД"/>
    <x v="0"/>
    <s v=""/>
    <s v="00244-23"/>
    <s v=""/>
    <s v="ДС 5 к ГЕО-19/11104/00153/Д ООО &quot;Газпром Бурение&quot;"/>
    <s v="Увеличение стоимости договора, включение стандартной оговорки УКЭП, дополнение формой Акта о сальдировании"/>
    <s v="Титова Е.В."/>
    <s v="Титова Е.В."/>
    <s v="Договорный документ"/>
    <s v="Блок снабжения и закупок"/>
    <s v="Титов А.В."/>
    <s v="ЭП"/>
    <s v="С ограничением по срокам "/>
    <d v="2023-05-15T00:00:00"/>
    <d v="2025-12-31T00:00:00"/>
    <s v="Д-56"/>
    <s v="Агентский договор"/>
    <s v="Доходная часть"/>
    <s v="Агентский"/>
    <s v="20%"/>
    <s v=""/>
    <s v=""/>
    <s v="5 065 314.38"/>
    <s v="4 221 095.32"/>
    <s v="844 219.06"/>
    <s v="нет"/>
    <s v="нет"/>
    <s v=""/>
    <s v=""/>
    <s v=""/>
    <s v=""/>
    <s v="нет"/>
  </r>
  <r>
    <s v="Газпромнефть-ГЕО, ООО"/>
    <s v="0000011433"/>
    <s v="Зарегистрирован"/>
    <d v="2024-04-19T00:00:00"/>
    <d v="2024-05-15T00:00:00"/>
    <x v="174"/>
    <s v="8604005359"/>
    <s v="ГЕО-21/11104/00292/Р"/>
    <s v=""/>
    <s v="7"/>
    <s v="Нетиповой ДД"/>
    <x v="0"/>
    <s v=""/>
    <s v="00244-24"/>
    <s v=""/>
    <s v="№7 к Договору № ГЕО-21/11104/00292/Р от 24.12.2021 г."/>
    <s v="Индексация летных тарифов"/>
    <s v="Яшкина К.Л."/>
    <s v="Бабиков Н.В."/>
    <s v="Договорный документ"/>
    <s v="Блок снабжения и закупок"/>
    <s v="Титов А.В."/>
    <s v="ЭП"/>
    <s v="До исполнения обязательств"/>
    <d v="2024-04-19T00:00:00"/>
    <s v=""/>
    <s v="Д-56"/>
    <s v="Авиационное обслуживание (вертолеты)"/>
    <s v="Расходная часть"/>
    <s v="Рамочный"/>
    <s v="20%"/>
    <s v=""/>
    <s v=""/>
    <n v="0"/>
    <n v="0"/>
    <n v="0"/>
    <s v="нет"/>
    <s v="нет"/>
    <s v=""/>
    <s v=""/>
    <s v=""/>
    <s v=""/>
    <s v="нет"/>
  </r>
  <r>
    <s v="Газпромнефть-ГЕО, ООО"/>
    <s v="0000045789"/>
    <s v="Зарегистрирован"/>
    <d v="2022-03-31T00:00:00"/>
    <s v=""/>
    <x v="16"/>
    <s v="7838395487"/>
    <s v="ГЕО-21/11708/00165/Р"/>
    <s v=""/>
    <s v="НТЦ-00195-22Д-ГЕО"/>
    <s v="Нетиповой ДД"/>
    <x v="3"/>
    <s v=""/>
    <s v="00245-22"/>
    <s v=""/>
    <s v="Инженерно-технологическое сопровождение бурения скважины (проект Енисей) "/>
    <s v="Инженерно-технологическое сопровождение бурения скважины на Лескинском лицензионном участке (проект Енисей) ООО «ГПН-ГЕО»"/>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6-01T00:00:00"/>
    <d v="2022-12-30T00:00:00"/>
    <s v="Д-58"/>
    <s v="Договор на выполнение НИР, ОКР и технологических работ"/>
    <s v="Расходная часть"/>
    <s v="Стоимостной"/>
    <s v="20%"/>
    <s v=""/>
    <s v=""/>
    <s v="4 944 600.00"/>
    <s v="4 120 500.00"/>
    <s v="824 100.00"/>
    <s v="нет"/>
    <s v="нет"/>
    <s v=""/>
    <s v=""/>
    <s v=""/>
    <s v=""/>
    <s v="нет"/>
  </r>
  <r>
    <s v="Газпромнефть-ГЕО, ООО"/>
    <s v="0000080408"/>
    <s v="Зарегистрирован"/>
    <d v="2023-05-05T00:00:00"/>
    <s v=""/>
    <x v="104"/>
    <s v="3812043780"/>
    <s v="ГЕО-22/11029/00171/Р"/>
    <s v=""/>
    <s v="4"/>
    <s v="Нетиповой ДД"/>
    <x v="0"/>
    <s v=""/>
    <s v="00245-23"/>
    <s v=""/>
    <s v="ДС№4 дополнение ДД ГЕО-22/11029/00171/Р САЛ.3"/>
    <s v="Каталогом КТ-530 «Изменение, дополнение, расторжение договора, заключенного по результатам закупки» предусмотрены пункты для внесения изменений в Договоры: _x000d__x000a_2.12. «Техническая корректировка предмета договора без изменения вида, объема, состава, стоимости товаров, работ, услуг, в частности: исправление опечаток, изменение названий в связи с переименованием объектов, устранение противоречий.»;_x000d__x000a_2.14. «Внедрение новых и изменение действующих локальных нормативных документов ПАО «Газпром нефть» или Обществ Газпром нефть.»; _x000d__x000a_2.22. «Иные изменения, не поименованные в настоящем каталоге, не являющиеся существенными."/>
    <s v="Мормышев А.А."/>
    <s v="Бабаев Д.Г."/>
    <s v="Договорный документ"/>
    <s v="Департамент капитального строительства"/>
    <s v="Перфильев Д.А."/>
    <s v="ЭП"/>
    <s v="До исполнения обязательств"/>
    <d v="2023-05-05T00:00:00"/>
    <s v=""/>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Не предполагает взаиморасчетов"/>
    <s v="Рамочный"/>
    <s v=""/>
    <s v=""/>
    <s v=""/>
    <s v=""/>
    <s v=""/>
    <s v=""/>
    <s v="нет"/>
    <s v="нет"/>
    <s v=""/>
    <s v=""/>
    <s v=""/>
    <s v=""/>
    <s v="нет"/>
  </r>
  <r>
    <s v="Газпромнефть-ГЕО, ООО"/>
    <s v="0000085349"/>
    <s v="Зарегистрирован"/>
    <d v="2024-04-24T00:00:00"/>
    <d v="2024-05-27T00:00:00"/>
    <x v="140"/>
    <s v="5610220126"/>
    <s v=""/>
    <s v="ГЕО-24/33100/00082"/>
    <s v="ГЕО-24/33100/00082"/>
    <s v="Типовой ДД"/>
    <x v="1"/>
    <s v="33100 Соглашение в области производственной безопасности"/>
    <s v="00245-24"/>
    <s v=""/>
    <s v="33100 Соглашение в области производственной безопасности с ООО Октан-Сервис"/>
    <s v="Организация безопасности проведения работ согласно обновлённой политике компании в области ПБ"/>
    <s v="Васильева А.И."/>
    <s v="Бикташев Р.С."/>
    <s v="Договорный документ"/>
    <s v="Блок главного инженера"/>
    <s v="Михайлов Ю.А."/>
    <s v="ЭП"/>
    <s v="Без сроков "/>
    <d v="2024-04-24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7541"/>
    <s v="Зарегистрирован"/>
    <d v="2022-04-01T00:00:00"/>
    <s v=""/>
    <x v="229"/>
    <s v="7826732280"/>
    <s v="АНГ-18/10926/00226/Р "/>
    <s v=""/>
    <s v="2"/>
    <s v="Нетиповой ДД"/>
    <x v="0"/>
    <s v=""/>
    <s v="00246-22"/>
    <s v=""/>
    <s v="Дополнительное соглашение № 2 к Договору № АНГ-18/10926/00226/Р от 29.10.2018 г."/>
    <s v="Изменение наименования учебной программы в соответствии с вступлением 01.03.2022 г. в силу приказа МЧС России от 18 ноября 2021 г. № 806 «Об определении Порядка, видов, сроков обучения лиц, осуществляющих трудовую или служебную деятельность в организациях, по программам противопожарного инструктажа, требований к содержанию указанных программ и категорий лиц, проходящих обучение по дополнительным профессиональным программам в области пожарной безопасности»."/>
    <s v="Петушкова В.Е."/>
    <s v="Петушкова В.Е."/>
    <s v="Договорный документ"/>
    <s v="Управление производственной безопасности"/>
    <s v="Власов М.М."/>
    <s v="На бумажном носителе"/>
    <s v="С ограничением по срокам "/>
    <d v="2022-04-01T00:00:00"/>
    <d v="2022-12-31T00:00:00"/>
    <s v="Д-59"/>
    <s v="Договор на обучение (тренинги, семинары и проч.)"/>
    <s v="Не предполагает взаиморасчетов"/>
    <s v=""/>
    <s v=""/>
    <s v=""/>
    <s v=""/>
    <s v=""/>
    <s v=""/>
    <s v=""/>
    <s v="нет"/>
    <s v="нет"/>
    <s v=""/>
    <s v=""/>
    <s v=""/>
    <s v=""/>
    <s v="нет"/>
  </r>
  <r>
    <s v="Газпромнефть-ГЕО, ООО"/>
    <s v="0000080408"/>
    <s v="Зарегистрирован"/>
    <d v="2023-05-05T00:00:00"/>
    <s v=""/>
    <x v="104"/>
    <s v="3812043780"/>
    <s v="ГЕО-22/11029/00172/Р"/>
    <s v=""/>
    <s v="4"/>
    <s v="Нетиповой ДД"/>
    <x v="0"/>
    <s v=""/>
    <s v="00246-23"/>
    <s v=""/>
    <s v="ДС№4 дополнение ДД ГЕО-22/11029/00172/Р КМ.4"/>
    <s v="Каталогом КТ-530 «Изменение, дополнение, расторжение договора, заключенного по результатам закупки» предусмотрены пункты для внесения изменений в Договоры: _x000d__x000a_2.12. «Техническая корректировка предмета договора без изменения вида, объема, состава, стоимости товаров, работ, услуг, в частности: исправление опечаток, изменение названий в связи с переименованием объектов, устранение противоречий.»;_x000d__x000a_2.14. «Внедрение новых и изменение действующих локальных нормативных документов ПАО «Газпром нефть» или Обществ Газпром нефть.»; _x000d__x000a_2.22. «Иные изменения, не поименованные в настоящем каталоге, не являющиеся существенными."/>
    <s v="Мормышев А.А."/>
    <s v="Бабаев Д.Г."/>
    <s v="Договорный документ"/>
    <s v="Департамент капитального строительства"/>
    <s v="Перфильев Д.А."/>
    <s v="ЭП"/>
    <s v="До исполнения обязательств"/>
    <d v="2023-05-05T00:00:00"/>
    <s v=""/>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Не предполагает взаиморасчетов"/>
    <s v="Рамочный"/>
    <s v=""/>
    <s v=""/>
    <s v=""/>
    <s v=""/>
    <s v=""/>
    <s v=""/>
    <s v="нет"/>
    <s v="нет"/>
    <s v=""/>
    <s v=""/>
    <s v=""/>
    <s v=""/>
    <s v="нет"/>
  </r>
  <r>
    <s v="Газпромнефть-ГЕО, ООО"/>
    <s v="0000115916"/>
    <s v="Зарегистрирован"/>
    <d v="2024-04-26T00:00:00"/>
    <s v=""/>
    <x v="230"/>
    <s v="280795166589"/>
    <s v=""/>
    <s v="ГЕО-24/25000/00083/Р"/>
    <s v="ГЕО-24/25000/00083/Р"/>
    <s v="Нетиповой ДД"/>
    <x v="2"/>
    <s v=""/>
    <s v="00246-24"/>
    <s v=""/>
    <s v="Договор возмездного оказания услуг"/>
    <s v="Договор возмездного оказания услуг для обеспечения эффективности и совершенствования процессов, связанных с реализацией операторских и прочих работ/услуг Общества "/>
    <s v="Титиевский Е.Н."/>
    <s v="Титиевский Е.Н."/>
    <s v="Договорный документ"/>
    <s v="Управление экономического планирования и анализа"/>
    <s v="Масалкин Ю.В."/>
    <s v="На бумажном носителе"/>
    <s v="С ограничением по срокам "/>
    <d v="2024-04-26T00:00:00"/>
    <d v="2024-12-27T00:00:00"/>
    <s v=""/>
    <s v="Договор оказания услуг с физическим лицом"/>
    <s v="Расходная часть"/>
    <s v="Стоимостной"/>
    <s v="13%"/>
    <s v=""/>
    <s v=""/>
    <s v="833 000.00"/>
    <s v="724 710.00"/>
    <s v="108 290.00"/>
    <s v="нет"/>
    <s v="нет"/>
    <s v=""/>
    <s v=""/>
    <s v=""/>
    <s v=""/>
    <s v="нет"/>
  </r>
  <r>
    <s v="Газпромнефть-ГЕО, ООО"/>
    <s v="0000044973"/>
    <s v="Зарегистрирован"/>
    <d v="2023-05-11T00:00:00"/>
    <s v=""/>
    <x v="158"/>
    <s v="7709413265"/>
    <s v="ГЕО-22/20000/00148/Д"/>
    <s v=""/>
    <s v="1"/>
    <s v="Нетиповой ДД"/>
    <x v="0"/>
    <s v=""/>
    <s v="00247-23"/>
    <s v=""/>
    <s v="ДС 1 к ГЕО-22/20000/00148/Д ООО &quot;Технологическая Компания Шлюмберже&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3-05-15T00:00:00"/>
    <d v="2024-05-15T00:00:00"/>
    <s v="Д-56"/>
    <s v="Агентский договор"/>
    <s v="Доходная часть"/>
    <s v="Агентский"/>
    <s v="20%"/>
    <s v=""/>
    <s v=""/>
    <s v="93 512.45"/>
    <s v="77 927.04"/>
    <s v="15 585.41"/>
    <s v="нет"/>
    <s v="нет"/>
    <s v=""/>
    <s v=""/>
    <s v=""/>
    <s v=""/>
    <s v="нет"/>
  </r>
  <r>
    <s v="Газпромнефть-ГЕО, ООО"/>
    <s v="0000085349"/>
    <s v="Зарегистрирован"/>
    <d v="2024-04-24T00:00:00"/>
    <d v="2024-05-27T00:00:00"/>
    <x v="140"/>
    <s v="5610220126"/>
    <s v="ГЕО-22/10000/00065/Р"/>
    <s v=""/>
    <s v="ДС №7"/>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47-24"/>
    <s v=""/>
    <s v="ДС №7 к ДД № ГЕО-22/10000/00065/Р_x0009_"/>
    <s v="Внесение изменений в Договор согласно требованиям приказа № 31-П от 19.03.2024"/>
    <s v="Васильева А.И."/>
    <s v="Бикташев Р.С."/>
    <s v="Договорный документ"/>
    <s v="Блок главного инженера"/>
    <s v="Трифонов А.В."/>
    <s v="ЭП"/>
    <s v="С ограничением по срокам "/>
    <d v="2024-04-24T00:00:00"/>
    <d v="2024-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0000102205"/>
    <s v="Зарегистрирован"/>
    <d v="2022-04-01T00:00:00"/>
    <s v=""/>
    <x v="14"/>
    <s v="9715287189"/>
    <s v="ГЕО-22/11000/00012/Р "/>
    <s v=""/>
    <s v="1"/>
    <s v="Нетиповой ДД"/>
    <x v="0"/>
    <s v=""/>
    <s v="00248-22"/>
    <s v=""/>
    <s v="ДД №1"/>
    <s v="о переносе сроков оплаты не позднее 30 (тридцати) дней"/>
    <s v="Калугина С.Б."/>
    <s v="Калугина С.Б."/>
    <s v="Договорный документ"/>
    <s v="Департамент капитального строительства"/>
    <s v="Перфильев Д.А."/>
    <s v="На бумажном носителе"/>
    <s v="До исполнения обязательств"/>
    <d v="2022-04-01T00:00:00"/>
    <s v=""/>
    <s v="Д-61"/>
    <s v="Капитальное строительство и ПИР"/>
    <s v="Не предполагает взаиморасчетов"/>
    <s v="Стоимостной"/>
    <s v=""/>
    <s v=""/>
    <s v=""/>
    <s v=""/>
    <s v=""/>
    <s v=""/>
    <s v="нет"/>
    <s v="нет"/>
    <s v=""/>
    <s v=""/>
    <s v=""/>
    <s v=""/>
    <s v="нет"/>
  </r>
  <r>
    <s v="Газпромнефть-ГЕО, ООО"/>
    <s v="0000107378"/>
    <s v="Зарегистрирован"/>
    <d v="2023-05-02T00:00:00"/>
    <s v=""/>
    <x v="11"/>
    <s v="471200460370"/>
    <s v="ГЕО-23/25000/00007/Р"/>
    <s v=""/>
    <s v="СОР"/>
    <s v="Нетиповой ДД"/>
    <x v="10"/>
    <s v=""/>
    <s v="00248-23"/>
    <s v=""/>
    <s v="Соглашение о расторжении договора № ГЕО-23/25000/00007/Р от 10.01.2023 Г. "/>
    <s v="Досрочное расторжение договора на оказание услуг"/>
    <s v="Сергель О.Г."/>
    <s v="Буракова О.В."/>
    <s v="Договорный документ"/>
    <s v="Отдел административной поддержки бизнеса"/>
    <s v="Масалкин Ю.В."/>
    <s v="На бумажном носителе"/>
    <s v="До исполнения обязательств"/>
    <d v="2023-05-02T00:00:00"/>
    <s v=""/>
    <s v=""/>
    <s v="Договор оказания услуг с физическим лицом"/>
    <s v="Не предполагает взаиморасчетов"/>
    <s v="Стоимостной"/>
    <s v=""/>
    <s v=""/>
    <s v=""/>
    <s v=""/>
    <s v=""/>
    <s v=""/>
    <s v="нет"/>
    <s v="нет"/>
    <s v=""/>
    <s v=""/>
    <s v=""/>
    <s v=""/>
    <s v="нет"/>
  </r>
  <r>
    <s v="Газпромнефть-ГЕО, ООО"/>
    <s v="0000109515"/>
    <s v="Зарегистрирован"/>
    <d v="2024-04-22T00:00:00"/>
    <s v=""/>
    <x v="194"/>
    <s v="7706677277"/>
    <s v=""/>
    <s v="ГЕО-24/26000/00080"/>
    <s v="ГЕО-24/26000/00080"/>
    <s v="Типовой ДД"/>
    <x v="1"/>
    <s v="26000 Соглашение о конфиденциальности с российским контрагентом"/>
    <s v="00248-24"/>
    <s v=""/>
    <s v="26000 Соглашение о конфиденциальности с российским контрагентом"/>
    <s v="Заключение СОКа для возможной передачи конфиденциальной информации в ходе заключения Агентского договора между двумя организациями."/>
    <s v="Коростелев И.С."/>
    <s v="Коростелев И.С."/>
    <s v="Договорный документ"/>
    <s v="Финансовое управление"/>
    <s v="Созинов С.А."/>
    <s v="ЭП"/>
    <s v="С ограничением по срокам "/>
    <d v="2024-04-22T00:00:00"/>
    <d v="2029-04-21T00:00:00"/>
    <s v="Д-60"/>
    <s v="Соглашение о конфиденциальности"/>
    <s v="Не предполагает взаиморасчетов"/>
    <s v=""/>
    <s v=""/>
    <s v=""/>
    <s v=""/>
    <s v=""/>
    <s v=""/>
    <s v=""/>
    <s v="нет"/>
    <s v="нет"/>
    <s v=""/>
    <s v=""/>
    <s v=""/>
    <s v=""/>
    <s v="нет"/>
  </r>
  <r>
    <s v="Газпромнефть-ГЕО, ООО"/>
    <s v="0000037846"/>
    <s v="Зарегистрирован"/>
    <d v="2022-03-31T00:00:00"/>
    <s v=""/>
    <x v="26"/>
    <s v="8905032518"/>
    <s v=""/>
    <s v="ГЕО-22/09000/00067/Р"/>
    <s v="ГЕО-22/09000/00067/Р"/>
    <s v="Нетиповой ДД"/>
    <x v="2"/>
    <s v=""/>
    <s v="00249-22"/>
    <s v=""/>
    <s v="Сбор и передача данных, формирование отчетности, архивирование, визуализация, предоставление каналов связи на ЛУ проекта Енисей, в т.ч. Лескинский ЛУ"/>
    <s v="Сбор и передача данных, формирование отчетности, архивирование, визуализация, предоставление каналов связи на ЛУ проекта Енисей, в т.ч. Лескинский ЛУ"/>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5-15T00:00:00"/>
    <d v="2022-12-31T00:00:00"/>
    <s v="Д-58"/>
    <s v="Договор возмездного оказания услуг"/>
    <s v="Расходная часть"/>
    <s v="Стоимостной"/>
    <s v="20%"/>
    <s v=""/>
    <s v=""/>
    <s v="1 685 376.00"/>
    <s v="1 404 480.00"/>
    <s v="280 896.00"/>
    <s v="нет"/>
    <s v="нет"/>
    <s v=""/>
    <s v=""/>
    <s v=""/>
    <s v=""/>
    <s v="нет"/>
  </r>
  <r>
    <s v="Газпромнефть-ГЕО, ООО"/>
    <s v="0000057796"/>
    <s v="Зарегистрирован"/>
    <d v="2023-06-01T00:00:00"/>
    <s v=""/>
    <x v="109"/>
    <s v="5003028148"/>
    <s v=""/>
    <s v="ГЕО-23/10000/00093/Р+ ПР"/>
    <s v="ГЕО-23/10000/00093/Р+ ПР"/>
    <s v="Нетиповой ДД"/>
    <x v="2"/>
    <s v=""/>
    <s v="00249-23"/>
    <s v=""/>
    <s v="Договор на оказание услуг по обеспечению противофонтанной и газовой безопасности на скважинах (объектах) ООО «ГПН-ГЕО» "/>
    <s v="предупреждение газонефтеводопроявлений и открытых фонтанов"/>
    <s v="Мормышев А.А."/>
    <s v="Хабибуллин Т.Ф."/>
    <s v="Договорный документ"/>
    <s v="Блок производственной безопасности"/>
    <s v="Михайлов Ю.А."/>
    <s v="На бумажном носителе"/>
    <s v="С ограничением по срокам "/>
    <d v="2023-06-01T00:00:00"/>
    <d v="2026-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662 680 969.20"/>
    <s v="552 234 141.00"/>
    <s v="110 446 828.20"/>
    <s v="нет"/>
    <s v="нет"/>
    <s v=""/>
    <s v=""/>
    <s v=""/>
    <s v=""/>
    <s v="нет"/>
  </r>
  <r>
    <s v="Газпромнефть-ГЕО, ООО"/>
    <s v="0000104605"/>
    <s v="Зарегистрирован"/>
    <d v="2024-04-23T00:00:00"/>
    <d v="2024-05-04T00:00:00"/>
    <x v="55"/>
    <s v="9705112341"/>
    <s v="ГЕО-23/10000/00067/Р"/>
    <s v=""/>
    <s v="6"/>
    <s v="Нетиповой ДД"/>
    <x v="0"/>
    <s v=""/>
    <s v="00249-24"/>
    <s v=""/>
    <s v="ДС №6 к Договору №ГЕО-23/10000/00067/Р "/>
    <s v="Раскрытие негарантированного объема"/>
    <s v="Кузьмин Е.А."/>
    <s v="Кузьмин Е.А."/>
    <s v="Договорный документ"/>
    <s v="Управление инжиниринга бурения"/>
    <s v="Трифонов А.В."/>
    <s v="ЭП"/>
    <s v="С ограничением по срокам "/>
    <d v="2024-04-23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31833946"/>
    <s v="97 697 383.33"/>
    <s v="81 414 486.11"/>
    <s v="16 282 897.22"/>
    <s v="да"/>
    <s v="нет"/>
    <s v=""/>
    <s v=""/>
    <s v=""/>
    <s v=""/>
    <s v="нет"/>
  </r>
  <r>
    <s v="Газпромнефть-ГЕО, ООО"/>
    <s v="0000072857"/>
    <s v="Зарегистрирован"/>
    <d v="2022-04-01T00:00:00"/>
    <s v=""/>
    <x v="27"/>
    <s v="6679052232"/>
    <s v="ГЕО-21/10985/00168/Р"/>
    <s v=""/>
    <s v="1"/>
    <s v="Нетиповой ДД"/>
    <x v="0"/>
    <s v=""/>
    <s v="00250-22"/>
    <s v=""/>
    <s v="ДД №1"/>
    <s v="о переносе сроков оплаты не позднее 30 (тридцати) дней"/>
    <s v="Калугина С.Б."/>
    <s v="Калугина С.Б."/>
    <s v="Договорный документ"/>
    <s v="Департамент капитального строительства"/>
    <s v="Перфильев Д.А."/>
    <s v="На бумажном носителе"/>
    <s v="С ограничением по срокам "/>
    <d v="2022-04-01T00:00:00"/>
    <d v="2022-12-31T00:00:00"/>
    <s v="Д-61"/>
    <s v="Капитальное строительство и ПИР"/>
    <s v="Не предполагает взаиморасчетов"/>
    <s v=""/>
    <s v=""/>
    <s v=""/>
    <s v=""/>
    <s v=""/>
    <s v=""/>
    <s v=""/>
    <s v="нет"/>
    <s v="нет"/>
    <s v=""/>
    <s v=""/>
    <s v=""/>
    <s v=""/>
    <s v="нет"/>
  </r>
  <r>
    <s v="Газпромнефть-ГЕО, ООО"/>
    <s v="0000063179"/>
    <s v="Зарегистрирован"/>
    <d v="2023-05-15T00:00:00"/>
    <s v=""/>
    <x v="54"/>
    <s v="7727747172"/>
    <s v="ГЕО-20/10986/00138/Р"/>
    <s v=""/>
    <s v="37"/>
    <s v="Нетиповой ДД"/>
    <x v="8"/>
    <s v=""/>
    <s v="00250-23"/>
    <s v=""/>
    <s v="Задание № 37"/>
    <s v="Оказание супревайзинга ПБ и БДД на проекте Оморинский"/>
    <s v="Автеньев М.В."/>
    <s v="Фокин Е.В."/>
    <s v="Договорный документ"/>
    <s v="Блок производственной безопасности"/>
    <s v="Михайлов Ю.А."/>
    <s v="ЭП"/>
    <s v="С ограничением по срокам "/>
    <d v="2023-05-15T00:00:00"/>
    <d v="2023-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9 981 972.00"/>
    <s v="8 318 310.00"/>
    <s v="1 663 662.00"/>
    <s v="нет"/>
    <s v="нет"/>
    <s v=""/>
    <s v=""/>
    <s v=""/>
    <s v=""/>
    <s v="нет"/>
  </r>
  <r>
    <s v="Газпромнефть-ГЕО, ООО"/>
    <s v="0000066115"/>
    <s v="Зарегистрирован"/>
    <d v="2024-04-26T00:00:00"/>
    <d v="2024-06-25T00:00:00"/>
    <x v="65"/>
    <s v="8603129231"/>
    <s v=""/>
    <s v="ГЕО-24/20000/00085/Д"/>
    <s v="ГЕО-24/20000/00085/Д"/>
    <s v="Типовой ДД"/>
    <x v="2"/>
    <s v="20000 Агентский договор на организацию вертолетных авиаперевозок"/>
    <s v="00250-24"/>
    <s v=""/>
    <s v="20000 Агентский договор на организацию вертолетных авиаперевозок ООО &quot;УТТ-Югра&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4-04-26T00:00:00"/>
    <d v="2024-12-31T00:00:00"/>
    <s v="Д-56"/>
    <s v="Агентский договор"/>
    <s v="Доходная часть"/>
    <s v="Агентский"/>
    <s v="20%"/>
    <s v=""/>
    <s v=""/>
    <s v="183 076.99"/>
    <s v="152 564.16"/>
    <s v="30 512.83"/>
    <s v="нет"/>
    <s v="нет"/>
    <s v=""/>
    <s v=""/>
    <s v=""/>
    <s v=""/>
    <s v="нет"/>
  </r>
  <r>
    <s v="Газпромнефть-ГЕО, ООО"/>
    <s v="0000067121, 0000027605"/>
    <s v="Закрыт"/>
    <d v="2022-03-22T00:00:00"/>
    <s v=""/>
    <x v="231"/>
    <s v="7202171361, 8605003932"/>
    <s v=""/>
    <s v="ГЕО-22/10000/00076/Р"/>
    <s v="ГЕО-22/10000/00076/Р"/>
    <s v="Нетиповой ДД"/>
    <x v="1"/>
    <s v=""/>
    <s v="00251-22"/>
    <s v=""/>
    <s v="Соглашение о частичной передаче прав и обязанностей поДоговору № ВР-69-10110/20/23 от 30.09.2020 на проведение полевых сейсморазведочных работ МОГТ ЗД с применением технологии «Зеленая сейсмика ©» на лицензионных участках работ ПАО «СН-МНГ» в 2020-2023гг. "/>
    <s v="Частичная передача прав и обязанностей поДоговору № ВР-69-10110/20/23 от 30.09.2020 на проведение полевых сейсморазведочных работ МОГТ ЗД с применением технологии «Зеленая сейсмика ©» на лицензионных участках работ ПАО «СН-МНГ» в 2020-2023гг. "/>
    <s v="Ахматгалиев С.З."/>
    <s v=""/>
    <s v="Договорный документ"/>
    <s v="Блок геологии и разработки"/>
    <s v="Аксенов М.А."/>
    <s v="На бумажном носителе"/>
    <s v="С ограничением по срокам "/>
    <d v="2022-03-22T00:00:00"/>
    <d v="2022-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88 755 279.39"/>
    <s v="157 296 066.16"/>
    <s v="31 459 213.23"/>
    <s v="нет"/>
    <s v="нет"/>
    <s v=""/>
    <s v=""/>
    <s v=""/>
    <s v=""/>
    <s v="нет"/>
  </r>
  <r>
    <s v="Газпромнефть-ГЕО, ООО"/>
    <s v="0000110339"/>
    <s v="Зарегистрирован"/>
    <d v="2023-06-01T00:00:00"/>
    <s v=""/>
    <x v="232"/>
    <s v="563902495616"/>
    <s v=""/>
    <s v="ГЕО-23/40000/00087/Р"/>
    <s v="ГЕО-23/40000/00087/Р"/>
    <s v="Нетиповой ДД"/>
    <x v="1"/>
    <s v=""/>
    <s v="00251-23"/>
    <s v=""/>
    <s v="Соглашение об установлении сервитута земельного участка"/>
    <s v="право ограниченного пользования (сервитут) на часть земельного участка с кадастровым номером 56:22:0000000:2616 для размещения подъездного пути к скважине 401ПО Западно-Рубежинск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3-06-01T00:00:00"/>
    <d v="2024-04-30T00:00:00"/>
    <s v="Д-61"/>
    <s v="Соглашение о сервитуте"/>
    <s v="Расходная часть"/>
    <s v="Стоимостной"/>
    <s v="13%"/>
    <s v=""/>
    <s v=""/>
    <s v="136 235.00"/>
    <s v="118 524.00"/>
    <s v="17 711.00"/>
    <s v="нет"/>
    <s v="нет"/>
    <s v=""/>
    <s v=""/>
    <s v=""/>
    <s v=""/>
    <s v="нет"/>
  </r>
  <r>
    <s v="Газпромнефть-ГЕО, ООО"/>
    <s v="0000084590"/>
    <s v="Зарегистрирован"/>
    <d v="2024-04-26T00:00:00"/>
    <s v=""/>
    <x v="61"/>
    <s v="7708277130"/>
    <s v="ГЕО-23/09000/00149/Р"/>
    <s v=""/>
    <s v="16"/>
    <s v="Нетиповой ДД"/>
    <x v="3"/>
    <s v=""/>
    <s v="00251-24"/>
    <s v=""/>
    <s v="Заявка № 16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Енисей», скв. № 178, скв. № 198, ББС &quot;Енисей&quot;, Лескинского ЛУ"/>
    <s v="Фокин Е.В."/>
    <s v="Фокин Е.В."/>
    <s v="Договорный документ"/>
    <s v="Управление производственной безопасности"/>
    <s v="Михайлов Ю.А."/>
    <s v="ЭП"/>
    <s v="С ограничением по срокам "/>
    <d v="2024-05-15T00:00:00"/>
    <d v="2024-10-15T00:00:00"/>
    <s v="Д-2"/>
    <s v="Договор возмездного оказания услуг"/>
    <s v="Расходная часть"/>
    <s v="Рамочный"/>
    <s v="20%"/>
    <s v=""/>
    <s v=""/>
    <s v="5 958 406.85"/>
    <s v="4 965 339.04"/>
    <s v="993 067.81"/>
    <s v="нет"/>
    <s v="нет"/>
    <s v=""/>
    <s v=""/>
    <s v=""/>
    <s v=""/>
    <s v="нет"/>
  </r>
  <r>
    <s v="Газпромнефть-ГЕО, ООО"/>
    <s v="0000058271"/>
    <s v="Зарегистрирован"/>
    <d v="2022-04-04T00:00:00"/>
    <s v=""/>
    <x v="42"/>
    <s v="7725696878"/>
    <s v="ГЕО-19/11708/00133/Р от 25.06.2019"/>
    <s v=""/>
    <s v="17"/>
    <s v="Нетиповой ДД"/>
    <x v="3"/>
    <s v=""/>
    <s v="00252-22"/>
    <s v=""/>
    <s v="Заказ-Наряд №17 к договору №ГЕО-19/11708/00133/Р от 25.06.2019"/>
    <s v="Переобработка сейсмических материалов МОГТ-2D и МОГТ-3D на Западно-Юбилейных лицензионных участках"/>
    <s v="Коротков С.П."/>
    <s v=""/>
    <s v="Договорный документ"/>
    <s v="Управление по разработке"/>
    <s v="Аксенов М.А."/>
    <s v="На бумажном носителе"/>
    <s v="С ограничением по срокам "/>
    <d v="2022-04-04T00:00:00"/>
    <d v="2022-08-25T00:00:00"/>
    <s v="Д-54"/>
    <s v="НИОКР, НИР прочие"/>
    <s v="Расходная часть"/>
    <s v="Рамочный"/>
    <s v="20%"/>
    <s v=""/>
    <s v=""/>
    <s v="31 635 436.80"/>
    <s v="26 362 864.00"/>
    <s v="5 272 572.80"/>
    <s v="нет"/>
    <s v="нет"/>
    <s v=""/>
    <s v=""/>
    <s v=""/>
    <s v=""/>
    <s v="нет"/>
  </r>
  <r>
    <s v="Газпромнефть-ГЕО, ООО"/>
    <s v=""/>
    <s v="Зарегистрирован"/>
    <d v="2023-05-22T00:00:00"/>
    <s v=""/>
    <x v="233"/>
    <s v=""/>
    <s v=""/>
    <s v="ГЕО-23/25000/00085/Р"/>
    <s v="ГЕО-23/25000/00085/Р"/>
    <s v="Типовой ДД"/>
    <x v="2"/>
    <s v="25000 Договор об оказании услуг физическим лицом (без выезда на Лицензионные участки Заказчика)"/>
    <s v="00252-23"/>
    <s v=""/>
    <s v="25000 Договор об оказании услуг физическим лицом (без выезда на Лицензионные участки Заказчика)"/>
    <s v="Договор на оказание услуг по организации отправки/встречи авиарейсов (вертолеты) на п/п Богучаны"/>
    <s v="Бабиков Н.В."/>
    <s v="Бабиков Н.В."/>
    <s v="Договорный документ"/>
    <s v="Блок снабжения и закупок"/>
    <s v="Масалкин Ю.В."/>
    <s v="На бумажном носителе"/>
    <s v="С ограничением по срокам "/>
    <d v="2023-05-22T00:00:00"/>
    <d v="2023-12-31T00:00:00"/>
    <s v=""/>
    <s v="Договор оказания услуг с физическим лицом"/>
    <s v="Расходная часть"/>
    <s v="Тарифный"/>
    <s v="13%"/>
    <s v=""/>
    <s v=""/>
    <s v="497 105.84"/>
    <s v="432 481.84"/>
    <s v="64 624.00"/>
    <s v="нет"/>
    <s v="нет"/>
    <s v=""/>
    <s v=""/>
    <s v=""/>
    <s v=""/>
    <s v="нет"/>
  </r>
  <r>
    <s v="Газпромнефть-ГЕО, ООО"/>
    <s v="0000071739"/>
    <s v="Зарегистрирован"/>
    <d v="2024-04-25T00:00:00"/>
    <d v="2024-06-18T00:00:00"/>
    <x v="13"/>
    <s v="7710497816"/>
    <s v="ГЕО-22/09000/00014/Р"/>
    <s v=""/>
    <s v="7"/>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52-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Актуализация перечня нарушений и штрафных санкций, раздела по мотивации, формы расчета мотивации и раздела УЭДК"/>
    <s v="Покатов О.Н."/>
    <s v=""/>
    <s v="Договорный документ"/>
    <s v="Блок главного инженера"/>
    <s v="Трифонов А.В."/>
    <s v="ЭП"/>
    <s v="До исполнения обязательств"/>
    <d v="2024-04-25T00:00:00"/>
    <s v=""/>
    <s v="Д-82"/>
    <s v="Договор возмездного оказания услуг"/>
    <s v="Не предполагает взаиморасчетов"/>
    <s v=""/>
    <s v=""/>
    <s v=""/>
    <s v=""/>
    <s v=""/>
    <s v=""/>
    <s v=""/>
    <s v="нет"/>
    <s v="нет"/>
    <s v=""/>
    <s v=""/>
    <s v=""/>
    <s v=""/>
    <s v="нет"/>
  </r>
  <r>
    <s v="Газпромнефть-ГЕО, ООО"/>
    <s v="0000071739"/>
    <s v="Зарегистрирован"/>
    <d v="2022-04-05T00:00:00"/>
    <s v=""/>
    <x v="13"/>
    <s v="7710497816"/>
    <s v="ГЕО-22/09000/00014/Р"/>
    <s v=""/>
    <s v="1"/>
    <s v="Нетиповой ДД"/>
    <x v="0"/>
    <s v=""/>
    <s v="00253-22"/>
    <s v=""/>
    <s v="Дополнительное соглашение №1 к Договору ГЕО-22/09000/00014/Р"/>
    <s v="О заключении ДС №1 к договору ГЕО-22/09000/00014/Р, предусматривающего изменение сроков оплаты на 14 календарных дней_x000d__x000a__x000d__x000a_"/>
    <s v="Шкателов А.А."/>
    <s v="Шкателов А.А."/>
    <s v="Договорный документ"/>
    <s v="Блок бурения и ВСР"/>
    <s v="Гаврилов С.В."/>
    <s v="На бумажном носителе"/>
    <s v="С ограничением по срокам "/>
    <d v="2022-04-05T00:00:00"/>
    <d v="2024-12-31T00:00:00"/>
    <s v="Д-58"/>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108565"/>
    <s v="Зарегистрирован"/>
    <d v="2023-05-01T00:00:00"/>
    <s v=""/>
    <x v="193"/>
    <s v="344313434712"/>
    <s v=""/>
    <s v="ГЕО-23/26000/00083"/>
    <s v="ГЕО-23/26000/00083"/>
    <s v="Типовой ДД"/>
    <x v="1"/>
    <s v="26000 Договор о конфиденциальности с физическим лицом"/>
    <s v="00253-23"/>
    <s v=""/>
    <s v="26000 Договор о конфиденциальности с физическим лицом"/>
    <s v="Заключение договора о конфиденциальности, в связи с заключением договора возмездного оказания услуги по автоматизации маркшейдерских и землеустроительных задач в геоинформационной системе."/>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3-05-01T00:00:00"/>
    <d v="2023-11-30T00:00:00"/>
    <s v=""/>
    <s v="Соглашение о конфиденциальности"/>
    <s v="Не предполагает взаиморасчетов"/>
    <s v="Стоимостной"/>
    <s v=""/>
    <s v=""/>
    <s v=""/>
    <s v=""/>
    <s v=""/>
    <s v=""/>
    <s v="нет"/>
    <s v="нет"/>
    <s v=""/>
    <s v=""/>
    <s v=""/>
    <s v=""/>
    <s v="нет"/>
  </r>
  <r>
    <s v="Газпромнефть-ГЕО, ООО"/>
    <s v="0000061621"/>
    <s v="Подписание ЭП контрагентом"/>
    <d v="2024-04-26T00:00:00"/>
    <s v=""/>
    <x v="57"/>
    <s v="6381010888"/>
    <s v="ГЕО-21/10301/00259/Р"/>
    <s v=""/>
    <s v="5"/>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53-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Актуализация перечня нарушений и штрафных санкций, раздела по мотивации, формы расчета мотивации и раздела УЭДК"/>
    <s v="Покатов О.Н."/>
    <s v=""/>
    <s v="Договорный документ"/>
    <s v="Блок главного инженера"/>
    <s v="Трифонов А.В."/>
    <s v="ЭП"/>
    <s v="До исполнения обязательств"/>
    <d v="2024-04-26T00:00:00"/>
    <s v=""/>
    <s v="Д-82"/>
    <s v="Технологическое сопровождение (прокат) буровых долот"/>
    <s v="Не предполагает взаиморасчетов"/>
    <s v=""/>
    <s v=""/>
    <s v=""/>
    <s v=""/>
    <s v=""/>
    <s v=""/>
    <s v=""/>
    <s v="нет"/>
    <s v="нет"/>
    <s v=""/>
    <s v=""/>
    <s v=""/>
    <s v=""/>
    <s v="нет"/>
  </r>
  <r>
    <s v="Газпромнефть-ГЕО, ООО"/>
    <s v="0000104605"/>
    <s v="Зарегистрирован"/>
    <d v="2023-05-15T00:00:00"/>
    <s v=""/>
    <x v="55"/>
    <s v="9705112341"/>
    <s v="ГЕО-23/10000/00067/Р"/>
    <s v=""/>
    <s v="1"/>
    <s v="Нетиповой ДД"/>
    <x v="0"/>
    <s v=""/>
    <s v="00254-23"/>
    <s v=""/>
    <s v="ДОПОЛНИТЕЛЬНОЕ СОГЛАШЕНИЕ №1 к ДОГОВОРУ №ГЕО-23/10000/00067/Р от 31.03.2023 г. на 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 "/>
    <s v="Перевод негарантированного объема услуг в гарантированный, а также перераспределение объёмов услуг, с уменьшением общей стоимости договора"/>
    <s v="Кузьмин Е.А."/>
    <s v="Кузьмин Е.А."/>
    <s v="Договорный документ"/>
    <s v="Управление инжиниринга бурения"/>
    <s v="Трифонов А.В."/>
    <s v="ЭП"/>
    <s v="С ограничением по срокам "/>
    <d v="2023-05-15T00:00:00"/>
    <d v="2025-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30409100"/>
    <s v="97 715 088.13"/>
    <s v="81 429 240.11"/>
    <s v="16 285 848.02"/>
    <s v="да"/>
    <s v="нет"/>
    <s v=""/>
    <s v=""/>
    <s v=""/>
    <s v=""/>
    <s v="нет"/>
  </r>
  <r>
    <s v="Газпромнефть-ГЕО, ООО"/>
    <s v="0000068695"/>
    <s v="Подписание ЭП контрагентом"/>
    <d v="2024-04-26T00:00:00"/>
    <s v=""/>
    <x v="77"/>
    <s v="1106013435"/>
    <s v="ГЕО-21/10306/00256/Р"/>
    <s v=""/>
    <s v="7"/>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54-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Актуализация перечня нарушений и штрафных санкций, раздела по мотивации, формы расчета мотивации и раздела УЭДК"/>
    <s v="Покатов О.Н."/>
    <s v=""/>
    <s v="Договорный документ"/>
    <s v="Блок главного инженера"/>
    <s v="Трифонов А.В."/>
    <s v="ЭП"/>
    <s v="До исполнения обязательств"/>
    <d v="2024-04-26T00:00:00"/>
    <s v=""/>
    <s v="Д-82"/>
    <s v="Цементирование обсадных колонн и хвостовиков, установка цементных мостов"/>
    <s v="Не предполагает взаиморасчетов"/>
    <s v=""/>
    <s v=""/>
    <s v=""/>
    <s v=""/>
    <s v=""/>
    <s v=""/>
    <s v=""/>
    <s v="нет"/>
    <s v="нет"/>
    <s v=""/>
    <s v=""/>
    <s v=""/>
    <s v=""/>
    <s v="нет"/>
  </r>
  <r>
    <s v="Газпромнефть-ГЕО, ООО"/>
    <s v=""/>
    <s v="Закрыт"/>
    <d v="2021-04-01T00:00:00"/>
    <s v=""/>
    <x v="234"/>
    <s v=""/>
    <s v="ГЕО-21/09000/00043/Д"/>
    <s v=""/>
    <s v="1"/>
    <s v="Нетиповой ДД"/>
    <x v="0"/>
    <s v=""/>
    <s v="00255-21"/>
    <s v=""/>
    <s v="Внедрение в региональную модель Ачимовской толщи Западной Сибири новых геолого-геофизических данных и результатов работ зональных проектов"/>
    <s v="Увеличение суммы и продление срока действия договора"/>
    <s v="Андреева И.В."/>
    <s v="Ибрагимов А.М."/>
    <s v="Договорный документ"/>
    <s v="Управление экономического планирования и анализа"/>
    <s v="Ковтун М.А."/>
    <s v="На бумажном носителе"/>
    <s v="С ограничением по срокам "/>
    <d v="2021-04-01T00:00:00"/>
    <d v="2023-12-31T00:00:00"/>
    <s v="Д-5"/>
    <s v="Договор возмездного оказания услуг"/>
    <s v="Доходная часть"/>
    <s v="Стоимостной"/>
    <s v="20%"/>
    <s v=""/>
    <s v=""/>
    <s v="117 564 364.72"/>
    <s v="97 970 303.93"/>
    <s v="19 594 060.79"/>
    <s v="нет"/>
    <s v="нет"/>
    <s v=""/>
    <s v=""/>
    <s v=""/>
    <s v=""/>
    <s v="нет"/>
  </r>
  <r>
    <s v="Газпромнефть-ГЕО, ООО"/>
    <s v="0000070869"/>
    <s v="Закрыт"/>
    <d v="2022-04-08T00:00:00"/>
    <s v=""/>
    <x v="107"/>
    <s v="5611035905"/>
    <s v=""/>
    <s v="ГЕО-22/09000/00074/Р"/>
    <s v="ГЕО-22/09000/00074/Р"/>
    <s v="Нетиповой ДД"/>
    <x v="2"/>
    <s v=""/>
    <s v="00255-22"/>
    <s v=""/>
    <s v="На проведение кадастровых работ"/>
    <s v="Исполнитель обязуется по заданию Заказчика осуществить кадастровые работы в отношении объекта недвижимого имущества – эксплуатационной скважины №9 Игнялинского лицензионного участка, расположенной в Катангском районе Иркутской области."/>
    <s v="Буракова О.В."/>
    <s v="Буракова О.В."/>
    <s v="Договорный документ"/>
    <s v="Отдел административной поддержки бизнеса"/>
    <s v="Шакирзянов Л.Н."/>
    <s v="На бумажном носителе"/>
    <s v="До исполнения обязательств"/>
    <d v="2022-04-05T00:00:00"/>
    <s v=""/>
    <s v="Д-53"/>
    <s v="Договор возмездного оказания услуг"/>
    <s v="Расходная часть"/>
    <s v="Стоимостной"/>
    <s v="без НДС"/>
    <s v=""/>
    <s v=""/>
    <s v="16 000.00"/>
    <s v="16 000.00"/>
    <n v="0"/>
    <s v="нет"/>
    <s v="нет"/>
    <s v=""/>
    <s v=""/>
    <s v=""/>
    <s v=""/>
    <s v="нет"/>
  </r>
  <r>
    <s v="Газпромнефть-ГЕО, ООО"/>
    <s v="0000105643"/>
    <s v="Зарегистрирован"/>
    <d v="2023-05-01T00:00:00"/>
    <s v=""/>
    <x v="25"/>
    <s v="7717693190"/>
    <s v="ГЕО-22/20000/00337/Д"/>
    <s v=""/>
    <s v="1"/>
    <s v="Нетиповой ДД"/>
    <x v="0"/>
    <s v=""/>
    <s v="00255-23"/>
    <s v=""/>
    <s v="ДС 1 к ГЕО-22/20000/00337/Д ООО &quot;НТЦ &quot;Геомеханика&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3-05-01T00:00:00"/>
    <d v="2024-04-30T00:00:00"/>
    <s v="Д-56"/>
    <s v="Агентский договор"/>
    <s v="Доходная часть"/>
    <s v="Агентский"/>
    <s v="20%"/>
    <s v=""/>
    <s v=""/>
    <s v="64 743.74"/>
    <s v="53 953.12"/>
    <s v="10 790.62"/>
    <s v="нет"/>
    <s v="нет"/>
    <s v=""/>
    <s v=""/>
    <s v=""/>
    <s v=""/>
    <s v="нет"/>
  </r>
  <r>
    <s v="Газпромнефть-ГЕО, ООО"/>
    <s v="0000060716"/>
    <s v="Зарегистрирован"/>
    <d v="2024-04-26T00:00:00"/>
    <d v="2024-05-21T00:00:00"/>
    <x v="18"/>
    <s v="7728803870"/>
    <s v="ГЕО-21/10303/00204/Р"/>
    <s v=""/>
    <s v="14"/>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55-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Актуализация перечня нарушений и штрафных санкций, раздела по мотивации, формы расчета мотивации и раздела УЭДК"/>
    <s v="Покатов О.Н."/>
    <s v=""/>
    <s v="Договорный документ"/>
    <s v="Блок главного инженера"/>
    <s v="Трифонов А.В."/>
    <s v="ЭП"/>
    <s v="До исполнения обязательств"/>
    <d v="2024-04-26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74750"/>
    <s v="Закрыт"/>
    <d v="2022-04-05T00:00:00"/>
    <s v=""/>
    <x v="66"/>
    <s v="8905062456"/>
    <s v="ГЕО-21/10120/00148/Р "/>
    <s v=""/>
    <s v="1"/>
    <s v="Нетиповой ДД"/>
    <x v="0"/>
    <s v=""/>
    <s v="00256-22"/>
    <s v=""/>
    <s v="Проведение гидродинамических исследований/проведение промысловых геофизических исследований скважин при контроле за разработкой"/>
    <s v="Перевод негарантированного объёма в гарантированный "/>
    <s v="Ябиров Р.З."/>
    <s v="Ябиров Р.З."/>
    <s v="Договорный документ"/>
    <s v="Блок геологии и разработки"/>
    <s v="Аксенов М.А."/>
    <s v="На бумажном носителе"/>
    <s v="С ограничением по срокам "/>
    <d v="2022-04-05T00:00:00"/>
    <d v="2022-12-31T00:00:00"/>
    <s v="Д-54"/>
    <s v="Договор на выполнение НИР, ОКР и технологических работ"/>
    <s v="Расходная часть"/>
    <s v="Рамочный"/>
    <s v="20%"/>
    <s v=""/>
    <s v=""/>
    <s v="9 369 477.74"/>
    <s v="7 807 898.12"/>
    <s v="1 561 579.62"/>
    <s v="нет"/>
    <s v="нет"/>
    <s v=""/>
    <s v=""/>
    <s v=""/>
    <s v=""/>
    <s v="нет"/>
  </r>
  <r>
    <s v="Газпромнефть-ГЕО, ООО"/>
    <s v="0000088498"/>
    <s v="Зарегистрирован"/>
    <d v="2023-05-16T00:00:00"/>
    <s v=""/>
    <x v="95"/>
    <s v="3023006808"/>
    <s v="ГЕО-22/10000/00312/Р"/>
    <s v=""/>
    <s v="2"/>
    <s v="Нетиповой ДД"/>
    <x v="0"/>
    <s v=""/>
    <s v="00256-23"/>
    <s v=""/>
    <s v="Дополнительное соглашение №2"/>
    <s v="Перевод негарантированного объема услуг 2023-2024 гг. в гарантированный объем 2023 года."/>
    <s v="Рымаренко А.А."/>
    <s v="Рымаренко А.А."/>
    <s v="Договорный документ"/>
    <s v="Управление внутрискважинных работ"/>
    <s v="Аксенов М.А."/>
    <s v="ЭП"/>
    <s v="До исполнения обязательств"/>
    <d v="2023-05-16T00:00:00"/>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27022716.2"/>
    <s v="79 994 977.67"/>
    <s v="66 662 481.39"/>
    <s v="13 332 496.28"/>
    <s v="да"/>
    <s v="нет"/>
    <s v=""/>
    <s v=""/>
    <s v=""/>
    <s v=""/>
    <s v="нет"/>
  </r>
  <r>
    <s v="Газпромнефть-ГЕО, ООО"/>
    <s v="0000069013"/>
    <s v="Зарегистрирован"/>
    <d v="2022-03-15T00:00:00"/>
    <s v=""/>
    <x v="114"/>
    <s v="7203218005"/>
    <s v="ГЕО-21/10924/00124/Р"/>
    <s v=""/>
    <s v="3 "/>
    <s v="Нетиповой ДД"/>
    <x v="0"/>
    <s v=""/>
    <s v="00257-22"/>
    <s v=""/>
    <s v="Дополнительное соглашение №3 к Договору №ГЕО-21/10924/00124/Р от 12.05.2021 г. на оказание услуг Экологического мониторинга месторождений"/>
    <s v="Заключение Дополнительного соглашения №3 к Договору необходимо с целью внесения в Договор изменений касаемо частичного перевода негарантированного объема услуг в гарантированный в 2022 г. по Сибирскому, Дальневосточному, Приволжскому и Уральскому федеральных округах, а также частичного перевода гарантированного объема услуг в негарантированный в 2022 г. по Уральскому федеральному округу без изменения единичных расценок и общей  суммы договора."/>
    <s v="Липатова О.И."/>
    <s v="Липатова О.И."/>
    <s v="Договорный документ"/>
    <s v="Отдел экологической безопасности"/>
    <s v="Власов М.М."/>
    <s v="На бумажном носителе"/>
    <s v="С ограничением по срокам "/>
    <d v="2022-03-15T00:00:00"/>
    <d v="2024-12-31T00:00:00"/>
    <s v="Д-59"/>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80408"/>
    <s v="Зарегистрирован"/>
    <d v="2023-05-16T00:00:00"/>
    <s v=""/>
    <x v="104"/>
    <s v="3812043780"/>
    <s v="ГЕО-22/11029/00172/Р"/>
    <s v=""/>
    <s v="3"/>
    <s v="Нетиповой ДД"/>
    <x v="0"/>
    <s v=""/>
    <s v="00257-23"/>
    <s v=""/>
    <s v="ДС№3 уточнение срока ДД ГЕО-22/11029/00172/Р"/>
    <s v="Каталогом КТ-530 «Изменение, дополнение, расторжение договора, заключенного по результатам закупки» предусмотрены пункты для внесения изменений в Договоры: _x000d__x000a_2.12. «Техническая корректировка предмета договора без изменения вида, объема, состава, стоимости товаров, работ, услуг, в частности: исправление опечаток, изменение названий в связи с переименованием объектов, устранение противоречий.»;_x000d__x000a_2.14. «Внедрение новых и изменение действующих локальных нормативных документов ПАО «Газпром нефть» или Обществ Газпром нефть.»; _x000d__x000a_2.22. «Иные изменения, не поименованные в настоящем каталоге, не являющиеся существенными."/>
    <s v="Мормышев А.А."/>
    <s v="Бабаев Д.Г."/>
    <s v="Договорный документ"/>
    <s v="Департамент капитального строительства"/>
    <s v="Трифонов А.В."/>
    <s v="ЭП"/>
    <s v="До исполнения обязательств"/>
    <d v="2023-05-16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Не предполагает взаиморасчетов"/>
    <s v="Рамочный"/>
    <s v=""/>
    <s v=""/>
    <s v=""/>
    <s v=""/>
    <s v=""/>
    <s v=""/>
    <s v="нет"/>
    <s v="нет"/>
    <s v=""/>
    <s v=""/>
    <s v=""/>
    <s v=""/>
    <s v="нет"/>
  </r>
  <r>
    <s v="Газпромнефть-ГЕО, ООО"/>
    <s v="0000061903"/>
    <s v="На подписании"/>
    <d v="2024-04-25T00:00:00"/>
    <s v=""/>
    <x v="180"/>
    <s v="9909012867"/>
    <s v="ГЕО-21/10301/00261/Р"/>
    <s v=""/>
    <s v="5"/>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57-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Актуализация перечня нарушений и штрафных санкций, раздела по мотивации, формы расчета мотивации и раздела УЭДК"/>
    <s v="Покатов О.Н."/>
    <s v=""/>
    <s v="Договорный документ"/>
    <s v="Блок главного инженера"/>
    <s v="Трифонов А.В."/>
    <s v="На бумажном носителе"/>
    <s v="До исполнения обязательств"/>
    <d v="2024-04-25T00:00:00"/>
    <s v=""/>
    <s v="Д-82"/>
    <s v="Технологическое сопровождение (прокат) буровых долот"/>
    <s v="Не предполагает взаиморасчетов"/>
    <s v=""/>
    <s v=""/>
    <s v=""/>
    <s v=""/>
    <s v=""/>
    <s v=""/>
    <s v=""/>
    <s v="нет"/>
    <s v="нет"/>
    <s v=""/>
    <s v=""/>
    <s v=""/>
    <s v=""/>
    <s v="нет"/>
  </r>
  <r>
    <s v="Газпромнефть-ГЕО, ООО"/>
    <s v="0000011433"/>
    <s v="Зарегистрирован"/>
    <d v="2022-04-01T00:00:00"/>
    <s v=""/>
    <x v="174"/>
    <s v="8604005359"/>
    <s v="ГЕО-21/11104/00292/Р"/>
    <s v=""/>
    <s v="1"/>
    <s v="Нетиповой ДД"/>
    <x v="0"/>
    <s v=""/>
    <s v="00258-22"/>
    <s v=""/>
    <s v="ДС на сокращение сроков оплаты "/>
    <s v="ДС на сокращение сроков оплаты в соответствии с решениями Протокола ЭС по управлению взаимоотношениями с контрагентами БРД ПАО «Газпром нефть»  №ПТ-100.0364/0000021 от 15.03.2022г. и Протокола СК ООО &quot;ГПН-ГЕО&quot; №ПТ-СК/0000007 от 30.03.2022"/>
    <s v="Ушакова М.А."/>
    <s v="Ушакова М.А."/>
    <s v="Договорный документ"/>
    <s v="Блок снабжения и закупок"/>
    <s v="Титов А.В."/>
    <s v="На бумажном носителе"/>
    <s v="С ограничением по срокам "/>
    <d v="2022-04-01T00:00:00"/>
    <d v="2024-12-31T00:00:00"/>
    <s v="Д-56"/>
    <s v="Авиационное обслуживание (вертолеты)"/>
    <s v="Не предполагает взаиморасчетов"/>
    <s v="Рамочный"/>
    <s v=""/>
    <s v=""/>
    <s v=""/>
    <s v=""/>
    <s v=""/>
    <s v=""/>
    <s v="нет"/>
    <s v="нет"/>
    <s v=""/>
    <s v=""/>
    <s v=""/>
    <s v=""/>
    <s v="нет"/>
  </r>
  <r>
    <s v="Газпромнефть-ГЕО, ООО"/>
    <s v="0000011433"/>
    <s v="Зарегистрирован"/>
    <d v="2023-06-16T00:00:00"/>
    <s v=""/>
    <x v="174"/>
    <s v="8604005359"/>
    <s v="№ГЕО-20/11104/00210/Р "/>
    <s v=""/>
    <s v="5"/>
    <s v="Нетиповой ДД"/>
    <x v="0"/>
    <s v=""/>
    <s v="00258-23"/>
    <s v=""/>
    <s v="ДС №5 к Договору №ГЕО-20/11104/00210/Р от 31.12.2020 г.  на оказание авиационных услуг с использованием вертолетов "/>
    <s v="Раскрытие ГО "/>
    <s v="Яшкина К.Л."/>
    <s v="Бабиков Н.В."/>
    <s v="Договорный документ"/>
    <s v="Блок снабжения и закупок"/>
    <s v="Титов А.В."/>
    <s v="ЭП"/>
    <s v="С ограничением по срокам "/>
    <d v="2023-06-23T00:00:00"/>
    <d v="2025-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5 049 349.68"/>
    <s v="29 207 791.40"/>
    <s v="5 841 558.28"/>
    <s v="нет"/>
    <s v="нет"/>
    <s v=""/>
    <s v=""/>
    <s v=""/>
    <s v=""/>
    <s v="нет"/>
  </r>
  <r>
    <s v="Газпромнефть-ГЕО, ООО"/>
    <s v="0000093917"/>
    <s v="Зарегистрирован"/>
    <d v="2024-04-23T00:00:00"/>
    <s v=""/>
    <x v="9"/>
    <s v="5609193118"/>
    <s v="ГЕО-23/09000/00041/Р"/>
    <s v=""/>
    <s v="3"/>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58-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Актуализация перечня нарушений и штрафных санкций, раздела по мотивации, формы расчета мотивации и раздела УЭДК_x000a_"/>
    <s v="Покатов О.Н."/>
    <s v=""/>
    <s v="Договорный документ"/>
    <s v="Управление производственной безопасности"/>
    <s v="Ядрышников П.Н."/>
    <s v="ЭП"/>
    <s v="До исполнения обязательств"/>
    <d v="2024-04-23T00:00:00"/>
    <s v=""/>
    <s v="Д-51"/>
    <s v="Договор возмездного оказания услуг"/>
    <s v="Не предполагает взаиморасчетов"/>
    <s v=""/>
    <s v=""/>
    <s v=""/>
    <s v=""/>
    <s v=""/>
    <s v=""/>
    <s v=""/>
    <s v="нет"/>
    <s v="нет"/>
    <s v=""/>
    <s v=""/>
    <s v=""/>
    <s v=""/>
    <s v="нет"/>
  </r>
  <r>
    <s v="Газпромнефть-ГЕО, ООО"/>
    <s v="0000069013"/>
    <s v="Зарегистрирован"/>
    <d v="2022-03-15T00:00:00"/>
    <s v=""/>
    <x v="114"/>
    <s v="7203218005"/>
    <s v="ГЕО-21/10924/00124/Р "/>
    <s v=""/>
    <s v="2"/>
    <s v="Нетиповой ДД"/>
    <x v="3"/>
    <s v=""/>
    <s v="00259-22"/>
    <s v=""/>
    <s v="Наряд-заказ № 2 к договору № ГЕО-21/10924/00124/Р от 12.05.2021 г. на выполнение работ по экологическому мониторингу месторождений "/>
    <s v="Выполнение работ по экологическому мониторингу месторождей в 2022 г."/>
    <s v="Липатова О.И."/>
    <s v="Липатова О.И."/>
    <s v="Договорный документ"/>
    <s v="Отдел экологической безопасности"/>
    <s v="Власов М.М."/>
    <s v="На бумажном носителе"/>
    <s v="С ограничением по срокам "/>
    <d v="2022-03-15T00:00:00"/>
    <d v="2022-12-31T00:00:00"/>
    <s v="Д-59"/>
    <s v="Договор возмездного оказания услуг"/>
    <s v="Расходная часть"/>
    <s v="Стоимостной"/>
    <s v="без НДС"/>
    <s v=""/>
    <s v=""/>
    <s v="9 679 994.14"/>
    <s v="9 679 994.14"/>
    <n v="0"/>
    <s v="нет"/>
    <s v="нет"/>
    <s v=""/>
    <s v=""/>
    <s v=""/>
    <s v=""/>
    <s v="нет"/>
  </r>
  <r>
    <s v="Газпромнефть-ГЕО, ООО"/>
    <s v="0000081209"/>
    <s v="Зарегистрирован"/>
    <d v="2023-05-18T00:00:00"/>
    <s v=""/>
    <x v="235"/>
    <s v="7813273215"/>
    <s v=""/>
    <s v="ГЕО-23/33200/00086"/>
    <s v="ГЕО-23/33200/00086"/>
    <s v="Типовой ДД"/>
    <x v="1"/>
    <s v="33200 Соглашение об электронном документообороте"/>
    <s v="00259-23"/>
    <s v=""/>
    <s v="33200 Соглашение об электронном документообороте"/>
    <s v="Соглашение об электронном документообороте"/>
    <s v="Хохлов А.А."/>
    <s v="Хохлов А.А."/>
    <s v="Договорный документ"/>
    <s v="Управление маркшейдерско-землеустроительных работ"/>
    <s v="Трифонов А.В."/>
    <s v="На бумажном носителе"/>
    <s v="С ограничением по срокам "/>
    <d v="2023-05-22T00:00:00"/>
    <d v="2026-05-22T00:00:00"/>
    <s v="Д-33"/>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96994"/>
    <s v="Зарегистрирован"/>
    <d v="2024-04-24T00:00:00"/>
    <s v=""/>
    <x v="102"/>
    <s v="6316103250"/>
    <s v="ГЕО-22/10000/00318/Р"/>
    <s v=""/>
    <s v="2"/>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59-24"/>
    <s v=""/>
    <s v="ДС 2 к №ГЕО-22/10000/00318/Р от 05.12.2022г с БАРБУС,ООО"/>
    <s v="актуализация перечня ШС"/>
    <s v="Мормышев А.А."/>
    <s v="Дунаев Э.В."/>
    <s v="Договорный документ"/>
    <s v="Блок бурения и ВСР"/>
    <s v="Михайлов Ю.А."/>
    <s v="ЭП"/>
    <s v="До исполнения обязательств"/>
    <d v="2024-04-25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57554"/>
    <s v="Зарегистрирован"/>
    <d v="2022-04-01T00:00:00"/>
    <s v=""/>
    <x v="209"/>
    <s v="3811089799"/>
    <s v="ГЕО-20/11104/00201/Р "/>
    <s v=""/>
    <s v="2"/>
    <s v="Нетиповой ДД"/>
    <x v="0"/>
    <s v=""/>
    <s v="00260-22"/>
    <s v=""/>
    <s v="ДС на сокращение сроков оплаты"/>
    <s v="ДС на сокращение сроков оплаты в соответствии с решениями Протокола ЭС по управлению взаимоотношениями с контрагентами БРД ПАО «Газпром нефть»  №ПТ-100.0364/0000021 от 15.03.2022г. и Протокола СК ООО &quot;ГПН-ГЕО&quot; №ПТ-СК/0000007 от 30.03.2022"/>
    <s v="Ушакова М.А."/>
    <s v="Ушакова М.А."/>
    <s v="Договорный документ"/>
    <s v="Блок снабжения и закупок"/>
    <s v="Титов А.В."/>
    <s v="На бумажном носителе"/>
    <s v="С ограничением по срокам "/>
    <d v="2022-04-01T00:00:00"/>
    <d v="2025-12-31T00:00:00"/>
    <s v="Д-56"/>
    <s v="Договор возмездного оказания услуг"/>
    <s v="Не предполагает взаиморасчетов"/>
    <s v=""/>
    <s v=""/>
    <s v=""/>
    <s v=""/>
    <s v=""/>
    <s v=""/>
    <s v=""/>
    <s v="нет"/>
    <s v="нет"/>
    <s v=""/>
    <s v=""/>
    <s v=""/>
    <s v=""/>
    <s v="нет"/>
  </r>
  <r>
    <s v="Газпромнефть-ГЕО, ООО"/>
    <s v="0000086565"/>
    <s v="Зарегистрирован"/>
    <d v="2023-05-22T00:00:00"/>
    <s v=""/>
    <x v="106"/>
    <s v="0278127289"/>
    <s v="№ ГЕО-21/101108/00193/Р"/>
    <s v=""/>
    <s v="5"/>
    <s v="Нетиповой ДД"/>
    <x v="3"/>
    <s v=""/>
    <s v="00260-23"/>
    <s v=""/>
    <s v="Заказ №5 к договору № ГЕО-21/101108/00193/Р"/>
    <s v="Проведение комплекса лабораторных исследований проб пластовых флюидов, направленного на изучение процессов образования АСПО в пластовых условиях. "/>
    <s v="Лобанов А.А."/>
    <s v="Лобанов А.А."/>
    <s v="Договорный документ"/>
    <s v="Управление по геологии"/>
    <s v="Ковтун М.А."/>
    <s v="ЭП"/>
    <s v="До исполнения обязательств"/>
    <d v="2023-05-22T00:00:00"/>
    <s v=""/>
    <s v="Д-62"/>
    <s v="Договор на выполнение НИР, ОКР и технологических работ"/>
    <s v="Расходная часть"/>
    <s v="Рамочный"/>
    <s v="20%"/>
    <s v=""/>
    <s v=""/>
    <s v="2 277 561.64"/>
    <s v="1 897 968.03"/>
    <s v="379 593.61"/>
    <s v="нет"/>
    <s v="нет"/>
    <s v=""/>
    <s v=""/>
    <s v=""/>
    <s v=""/>
    <s v="нет"/>
  </r>
  <r>
    <s v="Газпромнефть-ГЕО, ООО"/>
    <s v="0000096994"/>
    <s v="Зарегистрирован"/>
    <d v="2024-04-24T00:00:00"/>
    <s v=""/>
    <x v="102"/>
    <s v="6316103250"/>
    <s v="ГЕО-22/33100/00321"/>
    <s v=""/>
    <s v="1"/>
    <s v="Типовой ДД"/>
    <x v="0"/>
    <s v="33100 Дополнительное соглашение к Соглашениям в  в области производственной безопасности;"/>
    <s v="00260-24"/>
    <s v=""/>
    <s v="ДС 1 к соглашению ПБ №ГЕО-22/33100/00321 от 05.12.2022г. c БАРБУС, ООО"/>
    <s v="Приказ П-32 Актуализация Соглашения ПБ"/>
    <s v="Мормышев А.А."/>
    <s v="Анисимов А.Н."/>
    <s v="Договорный документ"/>
    <s v="Блок производственной безопасности"/>
    <s v="Михайлов Ю.А."/>
    <s v="ЭП"/>
    <s v="До исполнения обязательств"/>
    <d v="2024-04-24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5671"/>
    <s v="Зарегистрирован"/>
    <d v="2021-06-01T00:00:00"/>
    <s v=""/>
    <x v="71"/>
    <s v="8905039143"/>
    <s v="ГЕО-20/09000/00058/Р ОТ 15.03.2020 "/>
    <s v=""/>
    <s v="ДС №2 "/>
    <s v="Нетиповой ДД"/>
    <x v="0"/>
    <s v=""/>
    <s v="00261-21"/>
    <s v="ДС № 1"/>
    <s v="Оказание услуг по содержанию Вахтового жилого комплекса (в т.ч. питание, клининг, химчистка) на Лицензионных участках ООО «ГПН-ГЕО»"/>
    <s v="1. Перевод из негарантированного объема работ в гарантированный 120 суток услуг по уборке, содержанию и текущему ремонту, техническому обслуживанию, эксплуатации внутренних инженерных сетей и технологического оборудования._x000d__x000a_2. Уменьшение суточных ставок в 2021г. в связи с уменьшением численности персонала, предусмотренного техническим заданием на период смарт-паузы._x000d__x000a_3. В связи со снижением ставок на период смарт-паузы стоимость договора снизится на -631 626,28 руб. без НДС, -757 951,54 руб. с НДС. _x000d__x000a_4. Перераспределение гарантированного объема услуг организации горячего питания в негарантированный объем работ 2021г. в связи со снижением численности Заказчика в 2021г._x000d__x000a_"/>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1-06-01T00:00:00"/>
    <d v="2022-12-31T00:00:00"/>
    <s v="Д-11"/>
    <s v="Договор возмездного оказания услуг"/>
    <s v="Расходная часть"/>
    <s v="Стоимостной"/>
    <s v="20%"/>
    <s v=""/>
    <s v=""/>
    <n v="0.01"/>
    <s v="7 331 251.83"/>
    <s v="1 466 250.37"/>
    <s v="нет"/>
    <s v="нет"/>
    <s v=""/>
    <s v=""/>
    <s v=""/>
    <s v=""/>
    <s v="нет"/>
  </r>
  <r>
    <s v="Газпромнефть-ГЕО, ООО"/>
    <s v="0000040642"/>
    <s v="Зарегистрирован"/>
    <d v="2022-04-01T00:00:00"/>
    <s v=""/>
    <x v="4"/>
    <s v="7736035485"/>
    <s v=""/>
    <s v="ГЕО-22/17000/00081/Р"/>
    <s v="ГЕО-22/17000/00081/Р"/>
    <s v="Нетиповой ДД"/>
    <x v="2"/>
    <s v=""/>
    <s v="00261-22"/>
    <s v=""/>
    <s v="Договор добровольного медицинского страхования"/>
    <s v="Добровольное медцинское страхование рабоников ООО ГПН-ГЕО"/>
    <s v="Курашко М.В."/>
    <s v="Курашко М.В."/>
    <s v="Договорный документ"/>
    <s v="Управление по работе с персоналом"/>
    <s v="Игнатова Ю.В."/>
    <s v="На бумажном носителе"/>
    <s v="С ограничением по срокам "/>
    <d v="2022-04-01T00:00:00"/>
    <d v="2023-03-31T00:00:00"/>
    <s v="Д-66"/>
    <s v="Договор страхования"/>
    <s v="Расходная часть"/>
    <s v="Рамочный"/>
    <s v="без НДС"/>
    <s v=""/>
    <s v=""/>
    <s v="18 825 974.00"/>
    <s v="18 825 974.00"/>
    <n v="0"/>
    <s v="нет"/>
    <s v="нет"/>
    <s v=""/>
    <s v=""/>
    <s v=""/>
    <s v=""/>
    <s v="нет"/>
  </r>
  <r>
    <s v="Газпромнефть-ГЕО, ООО"/>
    <s v="0000085548"/>
    <s v="Зарегистрирован"/>
    <d v="2021-05-28T00:00:00"/>
    <s v=""/>
    <x v="236"/>
    <s v="7204036671"/>
    <s v="ГЕО-20/10100/00080/Р"/>
    <s v=""/>
    <s v="№ 1/21-080"/>
    <s v="Нетиповой ДД"/>
    <x v="3"/>
    <s v=""/>
    <s v="00262-21"/>
    <s v=""/>
    <s v="Оценка влияния водогазового переменного воздействия (WAG) на образцы керна Игнялинского ЛУ."/>
    <s v="Цель проведения работ вызвана необходимостью лабораторного подтверждения коэффициента вытеснения нефти водой для внесения в гидродинамическую модель месторождения и проведения расчётов добычи нефти"/>
    <s v="Ябиров Р.З."/>
    <s v="Ябиров Р.З"/>
    <s v="Договорный документ"/>
    <s v="Блок геологии и разработки"/>
    <s v="Аксенов М.А."/>
    <s v="На бумажном носителе"/>
    <s v="С ограничением по срокам "/>
    <d v="2021-05-28T00:00:00"/>
    <d v="2021-07-30T00:00:00"/>
    <s v="Д-3"/>
    <s v="Услуги по специальным лабораторным исследованиям керна и пластовых флюидов (в том числе уникальные исследования, новые технологии исследований)"/>
    <s v="Расходная часть"/>
    <s v="Рамочный"/>
    <s v="20%"/>
    <s v=""/>
    <s v=""/>
    <s v="1 767 541.20"/>
    <s v="1 472 951.00"/>
    <s v="294 590.20"/>
    <s v="нет"/>
    <s v="нет"/>
    <s v=""/>
    <s v=""/>
    <s v=""/>
    <s v=""/>
    <s v="нет"/>
  </r>
  <r>
    <s v="Газпромнефть-ГЕО, ООО"/>
    <s v="0000056917"/>
    <s v="Зарегистрирован"/>
    <d v="2023-05-22T00:00:00"/>
    <s v=""/>
    <x v="237"/>
    <s v="7802076166"/>
    <s v=""/>
    <s v="ГЕО-23/09000/00089/Р"/>
    <s v="ГЕО-23/09000/00089/Р"/>
    <s v="Нетиповой ДД"/>
    <x v="2"/>
    <s v=""/>
    <s v="00262-23"/>
    <s v=""/>
    <s v="На проведение аттестации защищаемого помещения"/>
    <s v="Аттестация защищаемого помещения"/>
    <s v="Аршинина М.Н."/>
    <s v="Аршинина М.Н."/>
    <s v="Договорный документ"/>
    <s v="Блок корпоративной защиты"/>
    <s v="Созинов С.А."/>
    <s v="На бумажном носителе"/>
    <s v="С ограничением по срокам "/>
    <d v="2023-05-22T00:00:00"/>
    <d v="2023-08-04T00:00:00"/>
    <s v="Д-60"/>
    <s v="Договор возмездного оказания услуг"/>
    <s v="Расходная часть"/>
    <s v="Стоимостной"/>
    <s v="20%"/>
    <s v=""/>
    <s v=""/>
    <s v="158 400.00"/>
    <s v="132 000.00"/>
    <s v="26 400.00"/>
    <s v="нет"/>
    <s v="нет"/>
    <s v=""/>
    <s v=""/>
    <s v=""/>
    <s v=""/>
    <s v="нет"/>
  </r>
  <r>
    <s v="Газпромнефть-ГЕО, ООО"/>
    <s v="0000085548"/>
    <s v="Зарегистрирован"/>
    <d v="2021-05-28T00:00:00"/>
    <s v=""/>
    <x v="236"/>
    <s v="7204036671"/>
    <s v="ГЕО-20/10100/00080/Р"/>
    <s v=""/>
    <s v="2/21-080"/>
    <s v="Нетиповой ДД"/>
    <x v="3"/>
    <s v=""/>
    <s v="00263-21"/>
    <s v=""/>
    <s v="Оценка влияния водогазового переменного воздействия (WAG) на образцы керна Камовского месторождения"/>
    <s v="Цель проведения работ вызвана необходимостью лабораторного подтверждения коэффициента вытеснения нефти водой для внесения в гидродинамическую модель месторождения и проведения расчётов добычи нефти"/>
    <s v="Ябиров Р.З."/>
    <s v="Ябиров Р.З."/>
    <s v="Договорный документ"/>
    <s v="Газпромнефть-ГЕО, ООО"/>
    <s v="Аксенов М.А."/>
    <s v="На бумажном носителе"/>
    <s v="С ограничением по срокам "/>
    <d v="2021-05-28T00:00:00"/>
    <d v="2021-07-30T00:00:00"/>
    <s v="Д-3"/>
    <s v="Услуги по специальным лабораторным исследованиям керна и пластовых флюидов (в том числе уникальные исследования, новые технологии исследований)"/>
    <s v="Расходная часть"/>
    <s v="Рамочный"/>
    <s v="20%"/>
    <s v=""/>
    <s v=""/>
    <s v="917 618.28"/>
    <s v="764 681.90"/>
    <s v="152 936.38"/>
    <s v="нет"/>
    <s v="нет"/>
    <s v=""/>
    <s v=""/>
    <s v=""/>
    <s v=""/>
    <s v="нет"/>
  </r>
  <r>
    <s v="Газпромнефть-ГЕО, ООО"/>
    <s v="0000064025"/>
    <s v="Зарегистрирован"/>
    <d v="2022-04-26T00:00:00"/>
    <s v=""/>
    <x v="134"/>
    <s v="7728720448"/>
    <s v=""/>
    <s v="ГЕО-22/20000/00094/Д"/>
    <s v="ГЕО-22/20000/00094/Д"/>
    <s v="Нетиповой ДД"/>
    <x v="2"/>
    <s v=""/>
    <s v="00263-22"/>
    <s v=""/>
    <s v="Предварительное согласование проекта договора с ВЗЛ ООО &quot;Газпромнефть-Заполярье&quot;"/>
    <s v="Договор на выполнение работ по аэрофотосъемке, воздушному лазерному сканированию и геофизической съемке на территории Чаяндинского, Тас-Юряхского и Верхневилючанского лицензионных участков для ООО «Газпромнефть-Заполярье» в 2022 - 2023 году"/>
    <s v="Хохлов А.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2-05-09T00:00:00"/>
    <d v="2023-11-30T00:00:00"/>
    <s v="Д-61"/>
    <s v="Агентский договор"/>
    <s v="Доходная часть"/>
    <s v="Агентский"/>
    <s v="20%"/>
    <s v=""/>
    <s v=""/>
    <s v="58 970 798.02"/>
    <s v="49 142 331.68"/>
    <s v="9 828 466.34"/>
    <s v="нет"/>
    <s v="нет"/>
    <s v=""/>
    <s v=""/>
    <s v=""/>
    <s v=""/>
    <s v="нет"/>
  </r>
  <r>
    <s v="Газпромнефть-ГЕО, ООО"/>
    <s v="0000061300"/>
    <s v="Зарегистрирован"/>
    <d v="2023-05-18T00:00:00"/>
    <s v=""/>
    <x v="191"/>
    <s v="5603011386"/>
    <s v="ГЕО-22/09000/00066/Р"/>
    <s v=""/>
    <s v="6"/>
    <s v="Типовой ДД"/>
    <x v="0"/>
    <s v="00000 ДС на изменение реквизитов контрагента (адрес, счет)"/>
    <s v="00263-23"/>
    <s v=""/>
    <s v="00000 ДС на изменение реквизитов контрагента (адрес, счет)"/>
    <s v="Изменение банковских реквизитов КА"/>
    <s v="Раковица Д.К."/>
    <s v="Раковица Д.К."/>
    <s v="Договорный документ"/>
    <s v="Отдел подготовительных работ и экономического анализа"/>
    <s v="Аксенов М.А."/>
    <s v="ЭП"/>
    <s v="Без сроков "/>
    <d v="2023-05-18T00:00:00"/>
    <s v=""/>
    <s v=""/>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51935"/>
    <s v="Зарегистрирован"/>
    <d v="2024-04-24T00:00:00"/>
    <d v="2024-06-19T00:00:00"/>
    <x v="50"/>
    <s v="7709832820"/>
    <s v="ГЕО-23/10000/00023/Р"/>
    <s v=""/>
    <s v="4"/>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63-24"/>
    <s v=""/>
    <s v="ДС 4 к №ГЕО-23/10000/00023/Р от 30.01.2023г. с НьюТек Сервисез,ООО"/>
    <s v="актуализация перечня ШС"/>
    <s v="Мормышев А.А."/>
    <s v="Дунаев Э.В."/>
    <s v="Договорный документ"/>
    <s v="Блок бурения и ВСР"/>
    <s v="Трифонов А.В."/>
    <s v="ЭП"/>
    <s v="До исполнения обязательств"/>
    <d v="2024-04-24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91163"/>
    <s v="Зарегистрирован"/>
    <d v="2022-04-15T00:00:00"/>
    <s v=""/>
    <x v="149"/>
    <s v="5001063958"/>
    <s v="ГЕО-21/11505/00195/Р"/>
    <s v=""/>
    <s v="2"/>
    <s v="Нетиповой ДД"/>
    <x v="3"/>
    <s v=""/>
    <s v="00264-22"/>
    <s v=""/>
    <s v="Наряд-заказ №2"/>
    <s v="Выполнение цифровой аэрофотосъемки (ЦАФС) и воздушно-лазерного сканирования (ВЛС) пилотируемым воздушным судном на территории Хамбатейского ЛУ (ЯНАО, Ямальский район. Номер района по ТЗ - 4)"/>
    <s v="Хохлов А.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2-04-15T00:00:00"/>
    <d v="2022-12-31T00:00:00"/>
    <s v="Д-61"/>
    <s v="Аэрофотосъемка, космическая съемка. Создание ортофотопланов"/>
    <s v="Расходная часть"/>
    <s v="Рамочный"/>
    <s v="0%"/>
    <s v=""/>
    <s v=""/>
    <s v="3 027 271.00"/>
    <s v="3 027 271.00"/>
    <n v="0"/>
    <s v="нет"/>
    <s v="нет"/>
    <s v=""/>
    <s v=""/>
    <s v=""/>
    <s v=""/>
    <s v="нет"/>
  </r>
  <r>
    <s v="Газпромнефть-ГЕО, ООО"/>
    <s v="0000018995"/>
    <s v="Зарегистрирован"/>
    <d v="2023-06-27T00:00:00"/>
    <s v=""/>
    <x v="238"/>
    <s v="7740000076"/>
    <s v=""/>
    <s v="ГЕО-23/09000/00101/Р"/>
    <s v="ГЕО-23/09000/00101/Р"/>
    <s v="Нетиповой ДД"/>
    <x v="2"/>
    <s v=""/>
    <s v="00264-23"/>
    <s v=""/>
    <s v="Договор об оказании услуг связи"/>
    <s v="улучшение качества сотовой связи на площадках Оморинского ЛУ (проект &quot;Оморинка&quot;)"/>
    <s v="Сорокин И.М."/>
    <s v="Сорокин И.М."/>
    <s v="Договорный документ"/>
    <s v="Блок геологии и разработки"/>
    <s v="Аксенов М.А."/>
    <s v="ЭП"/>
    <s v="С ограничением по срокам "/>
    <d v="2023-06-27T00:00:00"/>
    <d v="2027-12-31T00:00:00"/>
    <s v="Д-54"/>
    <s v="Договор возмездного оказания услуг"/>
    <s v="Расходная часть"/>
    <s v="Стоимостной"/>
    <s v="20%"/>
    <s v=""/>
    <s v=""/>
    <s v="1 497 600.00"/>
    <s v="1 248 000.00"/>
    <s v="249 600.00"/>
    <s v="нет"/>
    <s v="нет"/>
    <s v=""/>
    <s v=""/>
    <s v=""/>
    <s v=""/>
    <s v="нет"/>
  </r>
  <r>
    <s v="Газпромнефть-ГЕО, ООО"/>
    <s v="0000051935"/>
    <s v="Зарегистрирован"/>
    <d v="2024-04-24T00:00:00"/>
    <d v="2024-06-19T00:00:00"/>
    <x v="50"/>
    <s v="7709832820"/>
    <s v="ГЕО-23/33100/00024"/>
    <s v=""/>
    <s v="2"/>
    <s v="Типовой ДД"/>
    <x v="0"/>
    <s v="33100 Дополнительное соглашение к Соглашениям в  в области производственной безопасности;"/>
    <s v="00264-24"/>
    <s v=""/>
    <s v="ДС 2 к соглашению ПБ №ГЕО-23/33100/00024 от 30.01.2023г. c НьюТек Сервисез, ООО"/>
    <s v="Приказ П-32 Актуализация Соглашения ПБ"/>
    <s v="Мормышев А.А."/>
    <s v="Анисимов А.Н."/>
    <s v="Договорный документ"/>
    <s v="Блок производственной безопасности"/>
    <s v="Михайлов Ю.А."/>
    <s v="ЭП"/>
    <s v="До исполнения обязательств"/>
    <d v="2024-04-24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52955"/>
    <s v="Зарегистрирован"/>
    <d v="2022-03-30T00:00:00"/>
    <s v=""/>
    <x v="127"/>
    <s v="8602068466"/>
    <s v="№ГЕО-21/11031/00040/Р"/>
    <s v=""/>
    <s v="3"/>
    <s v="Нетиповой ДД"/>
    <x v="0"/>
    <s v=""/>
    <s v="00265-22"/>
    <s v=""/>
    <s v="Дополнительное соглашение №3 к Договору № ГЕО-21/11031/00040/Р от 01.03.2021 года"/>
    <s v="Оплата не  позднее 30 дней"/>
    <s v="Крутова Е.С."/>
    <s v=""/>
    <s v="Договорный документ"/>
    <s v="Департамент капитального строительства"/>
    <s v="Перфильев Д.А."/>
    <s v="На бумажном носителе"/>
    <s v="До исполнения обязательств"/>
    <d v="2022-03-30T00:00:00"/>
    <s v=""/>
    <s v="Д-61"/>
    <s v="Капитальное строительство и ПИР"/>
    <s v="Не предполагает взаиморасчетов"/>
    <s v=""/>
    <s v=""/>
    <s v=""/>
    <s v=""/>
    <s v=""/>
    <s v=""/>
    <s v=""/>
    <s v="нет"/>
    <s v="нет"/>
    <s v=""/>
    <s v=""/>
    <s v=""/>
    <s v=""/>
    <s v="нет"/>
  </r>
  <r>
    <s v="Газпромнефть-ГЕО, ООО"/>
    <s v="0000104605"/>
    <s v="Зарегистрирован"/>
    <d v="2023-05-15T00:00:00"/>
    <s v=""/>
    <x v="55"/>
    <s v="9705112341"/>
    <s v="ГЕО-23/10000/00067/Р"/>
    <s v=""/>
    <s v="2"/>
    <s v="Нетиповой ДД"/>
    <x v="3"/>
    <s v=""/>
    <s v="00265-23"/>
    <s v=""/>
    <s v="Наряд-заказ №2 к ДОГОВОРУ №ГЕО-23/10000/00067/Р от 31.03.2023 г. на 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Раскрытие негарантированного объема услуг 2023 г. и перераспределение объема работ на Проектах"/>
    <s v="Кузьмин Е.А."/>
    <s v="Окунев В.Н."/>
    <s v="Договорный документ"/>
    <s v="Управление инжиниринга бурения"/>
    <s v="Ковтун М.А."/>
    <s v="ЭП"/>
    <s v="С ограничением по срокам "/>
    <d v="2023-05-15T00:00:00"/>
    <d v="2023-12-31T00:00:00"/>
    <s v="Д-6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30409100"/>
    <s v="97 715 088.00"/>
    <s v="81 429 240.00"/>
    <s v="16 285 848.00"/>
    <s v="да"/>
    <s v="нет"/>
    <s v=""/>
    <s v=""/>
    <s v=""/>
    <s v=""/>
    <s v="нет"/>
  </r>
  <r>
    <s v="Газпромнефть-ГЕО, ООО"/>
    <s v="0000085689"/>
    <s v="Зарегистрирован"/>
    <d v="2024-04-24T00:00:00"/>
    <s v=""/>
    <x v="15"/>
    <s v="3808219470"/>
    <s v="ГЕО-23/33100/00228"/>
    <s v=""/>
    <s v="1"/>
    <s v="Типовой ДД"/>
    <x v="0"/>
    <s v="33100 Дополнительное соглашение к Соглашениям в  в области производственной безопасности;"/>
    <s v="00265-24"/>
    <s v=""/>
    <s v="33100 Дополнительное соглашение к Соглашениям в  в области производственной безопасности;"/>
    <s v="Актуализация требований ПБ в соответствии с Приказом 32-П"/>
    <s v="Ушакова М.А."/>
    <s v=""/>
    <s v="Договорный документ"/>
    <s v="Блок геологии и разработки"/>
    <s v="Михайлов Ю.А."/>
    <s v="ЭП"/>
    <s v="С ограничением по срокам "/>
    <d v="2024-04-24T00:00:00"/>
    <d v="2025-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0222"/>
    <s v="Зарегистрирован"/>
    <d v="2022-04-11T00:00:00"/>
    <s v=""/>
    <x v="239"/>
    <s v="7736227885"/>
    <s v=""/>
    <s v="ГЕО-22/33200/00077"/>
    <s v="ГЕО-22/33200/00077"/>
    <s v="Типовой ДД"/>
    <x v="1"/>
    <s v="33200 Соглашение об электронном документообороте"/>
    <s v="00266-22"/>
    <s v=""/>
    <s v="33200 Соглашение об электронном документообороте"/>
    <s v="Переход на ЭДО"/>
    <s v="Сорокин И.М."/>
    <s v=""/>
    <s v="Договорный документ"/>
    <s v="Блок геологии и разработки"/>
    <s v="Аксенов М.А."/>
    <s v="На бумажном носителе"/>
    <s v="Без сроков "/>
    <d v="2022-04-11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93917"/>
    <s v="Зарегистрирован"/>
    <d v="2023-05-29T00:00:00"/>
    <s v=""/>
    <x v="9"/>
    <s v="5609193118"/>
    <s v="ГЕО-23/09000/00041/Р"/>
    <s v=""/>
    <s v="4"/>
    <s v="Нетиповой ДД"/>
    <x v="3"/>
    <s v=""/>
    <s v="00266-23"/>
    <s v=""/>
    <s v="Наряд-Заказ № 4 к Договоруу с ООО &quot;Акбарыс&quot;"/>
    <s v="Обеспечение безопасных условий труда на объектах с содержанием сероводорода"/>
    <s v="Автеньев М.В."/>
    <s v="Хабибуллин Т.Ф."/>
    <s v="Договорный документ"/>
    <s v="Блок производственной безопасности"/>
    <s v="Михайлов Ю.А."/>
    <s v="ЭП"/>
    <s v="С ограничением по срокам "/>
    <d v="2023-06-01T00:00:00"/>
    <d v="2023-12-31T00:00:00"/>
    <s v="Д-2"/>
    <s v="Договор возмездного оказания услуг"/>
    <s v="Расходная часть"/>
    <s v="Стоимостной"/>
    <s v="20%"/>
    <s v=""/>
    <s v=""/>
    <s v="49 165 764.00"/>
    <s v="40 971 470.00"/>
    <s v="8 194 294.00"/>
    <s v="нет"/>
    <s v="нет"/>
    <s v=""/>
    <s v=""/>
    <s v=""/>
    <s v=""/>
    <s v="нет"/>
  </r>
  <r>
    <s v="Газпромнефть-ГЕО, ООО"/>
    <s v="0000058271"/>
    <s v="Зарегистрирован"/>
    <d v="2024-04-22T00:00:00"/>
    <d v="2024-05-14T00:00:00"/>
    <x v="42"/>
    <s v="7725696878"/>
    <s v="ГЕО-24/10000/00053/Р"/>
    <s v=""/>
    <s v="1"/>
    <s v="Нетиповой ДД"/>
    <x v="0"/>
    <s v=""/>
    <s v="00266-24"/>
    <s v=""/>
    <s v="ДС №1 к договору №ГЕО-24/10000/00053/Р от 18.03.2024 г."/>
    <s v="Перераспределение объема работ без изменения стоимости договора. "/>
    <s v="Безруков А.А."/>
    <s v="Коротков С.П."/>
    <s v="Договорный документ"/>
    <s v="Блок геологии и разработки"/>
    <s v="Трифонов А.В."/>
    <s v="ЭП"/>
    <s v="До исполнения обязательств"/>
    <d v="2024-04-22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45645"/>
    <s v="Зарегистрирован"/>
    <d v="2023-06-22T00:00:00"/>
    <s v=""/>
    <x v="240"/>
    <s v="7801021076"/>
    <s v=""/>
    <s v="ГЕО-23/09600/00099"/>
    <s v="ГЕО-23/09600/00099"/>
    <s v="Нетиповой ДД"/>
    <x v="2"/>
    <s v=""/>
    <s v="00267-23"/>
    <s v=""/>
    <s v="Договор на организацию практической подготовки обучающихся при проведении практик "/>
    <s v="Договор на организацию практической подготовки обучающихся при проведении практик"/>
    <s v="Гулин В.Д."/>
    <s v="Гулин В.Д."/>
    <s v="Договорный документ"/>
    <s v="Блок геологии и разработки"/>
    <s v="Аксенов М.А."/>
    <s v="На бумажном носителе"/>
    <s v="С ограничением по срокам "/>
    <d v="2023-06-22T00:00:00"/>
    <d v="2023-07-24T00:00:00"/>
    <s v="Д-54"/>
    <s v="Договор на прохождение практики студентами"/>
    <s v="Не предполагает взаиморасчетов"/>
    <s v=""/>
    <s v=""/>
    <s v=""/>
    <s v=""/>
    <s v=""/>
    <s v=""/>
    <s v=""/>
    <s v="нет"/>
    <s v="нет"/>
    <s v=""/>
    <s v=""/>
    <s v=""/>
    <s v=""/>
    <s v="нет"/>
  </r>
  <r>
    <s v="Газпромнефть-ГЕО, ООО"/>
    <s v="0000061428"/>
    <s v="Зарегистрирован"/>
    <d v="2024-04-26T00:00:00"/>
    <d v="2024-06-13T00:00:00"/>
    <x v="10"/>
    <s v="7705907626"/>
    <s v="ГЕО-24/10000/00003/Р"/>
    <s v=""/>
    <s v="1"/>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67-24"/>
    <s v=""/>
    <s v="ДС 1 к №№ГЕО-24/10000/00003/Р от 15.01.2024г. с РИМЕРА-Сервис, ООО"/>
    <s v="актуализация ДД"/>
    <s v="Мормышев А.А."/>
    <s v="Николаев Ю.М."/>
    <s v="Договорный документ"/>
    <s v="Производственно-технологический департамент"/>
    <s v="Перфильев Д.А."/>
    <s v="ЭП"/>
    <s v="До исполнения обязательств"/>
    <d v="2024-04-26T00:00:00"/>
    <s v=""/>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Зарегистрирован"/>
    <d v="2023-06-23T00:00:00"/>
    <s v=""/>
    <x v="241"/>
    <s v=""/>
    <s v=""/>
    <s v="ГЕО-23/26000/00088"/>
    <s v="ГЕО-23/26000/00088"/>
    <s v="Нетиповой ДД"/>
    <x v="1"/>
    <s v=""/>
    <s v="00268-23"/>
    <s v=""/>
    <s v="Соглашение о конфиденциальности"/>
    <s v="СОК в целях заключения Договора на выполнение геологоразведочных работ на Ямбургском месторождении принимают на себя обязательства по предоставлению друг другу и неразглашению информации, составляющей коммерческую тайну, и иной конфиденциальной информации"/>
    <s v="Блинова Д.М."/>
    <s v="Блинова Д.М."/>
    <s v="Договорный документ"/>
    <s v="Управление экономического планирования и анализа"/>
    <s v="Созинов С.А."/>
    <s v="На бумажном носителе"/>
    <s v="С ограничением по срокам "/>
    <d v="2023-06-23T00:00:00"/>
    <d v="2025-12-31T00:00:00"/>
    <s v="Д-60"/>
    <s v="Соглашение о конфиденциальности"/>
    <s v="Не предполагает взаиморасчетов"/>
    <s v="Рамочный"/>
    <s v=""/>
    <s v=""/>
    <s v=""/>
    <s v=""/>
    <s v=""/>
    <s v=""/>
    <s v="нет"/>
    <s v="нет"/>
    <s v=""/>
    <s v=""/>
    <s v=""/>
    <s v=""/>
    <s v="нет"/>
  </r>
  <r>
    <s v="Газпромнефть-ГЕО, ООО"/>
    <s v="0000104605"/>
    <s v="Зарегистрирован"/>
    <d v="2024-04-25T00:00:00"/>
    <d v="2024-05-04T00:00:00"/>
    <x v="55"/>
    <s v="9705112341"/>
    <s v="ГЕО-23/10000/00067/Р"/>
    <s v=""/>
    <s v="2"/>
    <s v="Нетиповой ДД"/>
    <x v="4"/>
    <s v=""/>
    <s v="00268-24"/>
    <s v="1"/>
    <s v="Изменение №2 к Наряд-заказу №1 на оказание услуг к Договору №ГЕО-23/10000/00067/Р от 31.03.2023 "/>
    <s v="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Кузьмин Е.А."/>
    <s v="Кузьмин Е.А."/>
    <s v="Договорный документ"/>
    <s v="Управление инжиниринга бурения"/>
    <s v="Трифонов А.В."/>
    <s v="ЭП"/>
    <s v="С ограничением по срокам "/>
    <d v="2024-04-25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22489596"/>
    <s v="26 987 515.20"/>
    <s v="22 489 596.00"/>
    <s v="4 497 919.20"/>
    <s v="да"/>
    <s v="нет"/>
    <s v=""/>
    <s v=""/>
    <s v=""/>
    <s v=""/>
    <s v="нет"/>
  </r>
  <r>
    <s v="Газпромнефть-ГЕО, ООО"/>
    <s v="0000039463"/>
    <s v="Зарегистрирован"/>
    <d v="2021-06-01T00:00:00"/>
    <s v=""/>
    <x v="39"/>
    <s v="8905034804"/>
    <s v="АНГ-18/09000/00186/Р от 24.09.2018г. "/>
    <s v=""/>
    <s v="Дополнительное соглашение №8"/>
    <s v="Нетиповой ДД"/>
    <x v="0"/>
    <s v=""/>
    <s v="00269-21"/>
    <s v=""/>
    <s v="Дополнительное соглашение №8 к Договору о выполнении операторских работ и оказании операторских услуг (проект Чона)"/>
    <s v="перевод негарантированного объема (частично) в гарантированный (после получения инвест. решения). Без изменения общей стоимости "/>
    <s v="Частухина Е.В."/>
    <s v="Частухина Е.В."/>
    <s v="Договорный документ"/>
    <s v="Управление экономического планирования и анализа"/>
    <s v="Шакирзянов Л.Н."/>
    <s v="На бумажном носителе"/>
    <s v="С ограничением по срокам "/>
    <d v="2021-01-01T00:00:00"/>
    <d v="2021-12-31T00:00:00"/>
    <s v="Д-18"/>
    <s v="ПРОЧИЕ ДОГОВОРЫ"/>
    <s v="Доходная часть"/>
    <s v="Стоимостной"/>
    <s v="20%"/>
    <s v=""/>
    <s v=""/>
    <s v="1 171 374 160.56"/>
    <s v="976 145 133.80"/>
    <s v="195 229 026.76"/>
    <s v="нет"/>
    <s v="нет"/>
    <s v=""/>
    <s v=""/>
    <s v=""/>
    <s v=""/>
    <s v="нет"/>
  </r>
  <r>
    <s v="Газпромнефть-ГЕО, ООО"/>
    <s v="0000068442"/>
    <s v="Зарегистрирован"/>
    <d v="2022-04-08T00:00:00"/>
    <s v=""/>
    <x v="92"/>
    <s v="5611027573"/>
    <s v="ГЕО-21/09000/00198/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69-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Страдымов А.Г."/>
    <s v="Страдымов А.Г."/>
    <s v="Договорный документ"/>
    <s v="Блок корпоративной защиты"/>
    <s v="Созинов С.А."/>
    <s v="На бумажном носителе"/>
    <s v="Без сроков "/>
    <d v="2022-04-08T00:00:00"/>
    <s v=""/>
    <s v="Д-60"/>
    <s v="Договор возмездного оказания услуг"/>
    <s v="Не предполагает взаиморасчетов"/>
    <s v=""/>
    <s v=""/>
    <s v=""/>
    <s v=""/>
    <s v=""/>
    <s v=""/>
    <s v=""/>
    <s v="нет"/>
    <s v="нет"/>
    <s v=""/>
    <s v=""/>
    <s v=""/>
    <s v=""/>
    <s v="нет"/>
  </r>
  <r>
    <s v="Газпромнефть-ГЕО, ООО"/>
    <s v="0000063179"/>
    <s v="Зарегистрирован"/>
    <d v="2023-05-20T00:00:00"/>
    <s v=""/>
    <x v="54"/>
    <s v="7727747172"/>
    <s v="№ГЕО-20/10986/00138/Р"/>
    <s v=""/>
    <s v="38"/>
    <s v="Нетиповой ДД"/>
    <x v="8"/>
    <s v=""/>
    <s v="00269-23"/>
    <s v=""/>
    <s v="ЗАДАНИЕ НА ОКАЗАНИЕ УСЛУГ № 38 к Договору № ГЕО-20/10986/00138/Р "/>
    <s v="оказание супервайзерских услуг по контролю состояния производственной безопасности на объектах ООО &quot;ГПН-ГЕО&quot;"/>
    <s v="Автеньев М.В."/>
    <s v="Фокин Е.В."/>
    <s v="Договорный документ"/>
    <s v="Блок производственной безопасности"/>
    <s v="Михайлов Ю.А."/>
    <s v="ЭП"/>
    <s v="С ограничением по срокам "/>
    <d v="2023-05-20T00:00:00"/>
    <d v="2023-07-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 287 265.60"/>
    <s v="2 739 388.00"/>
    <s v="547 877.60"/>
    <s v="нет"/>
    <s v="нет"/>
    <s v=""/>
    <s v=""/>
    <s v=""/>
    <s v=""/>
    <s v="нет"/>
  </r>
  <r>
    <s v="Газпромнефть-ГЕО, ООО"/>
    <s v="0000104605"/>
    <s v="Зарегистрирован"/>
    <d v="2024-04-25T00:00:00"/>
    <d v="2024-05-04T00:00:00"/>
    <x v="55"/>
    <s v="9705112341"/>
    <s v="ГЕО-23/10000/00067/Р"/>
    <s v=""/>
    <s v="1"/>
    <s v="Нетиповой ДД"/>
    <x v="4"/>
    <s v=""/>
    <s v="00269-24"/>
    <s v="3"/>
    <s v="Изменение №1 к Наряд-Заказу №3 к Договору №ГЕО-23/10000/00067/Р от 31.03.2023 г. "/>
    <s v="Оказание супервайзерских услуг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Кузьмин Е.А."/>
    <s v="Кузьмин Е.А."/>
    <s v="Договорный документ"/>
    <s v="Управление инжиниринга бурения"/>
    <s v="Трифонов А.В."/>
    <s v="ЭП"/>
    <s v="С ограничением по срокам "/>
    <d v="2023-11-01T00:00:00"/>
    <d v="2024-04-25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 765 920.00"/>
    <s v="1 471 600.00"/>
    <s v="294 320.00"/>
    <s v="нет"/>
    <s v="нет"/>
    <s v=""/>
    <s v=""/>
    <s v=""/>
    <s v=""/>
    <s v="нет"/>
  </r>
  <r>
    <s v="Газпромнефть-ГЕО, ООО"/>
    <s v="0000073305"/>
    <s v="Зарегистрирован"/>
    <d v="2022-04-08T00:00:00"/>
    <s v=""/>
    <x v="64"/>
    <s v="8904080406"/>
    <s v="ГЕО-21/11031/00101/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70-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я усиленной квалифицированной электронной подписи (УКЭП) при подписании ДД"/>
    <s v="Крутова Е.С."/>
    <s v=""/>
    <s v="Договорный документ"/>
    <s v="Департамент капитального строительства"/>
    <s v="Перфильев Д.А."/>
    <s v="На бумажном носителе"/>
    <s v="До исполнения обязательств"/>
    <d v="2022-04-08T00:00:00"/>
    <s v=""/>
    <s v="Д-61"/>
    <s v="СМР Комплекс работ по разработке карьеров_x000a_(примечание: разработка карьеров грунта, в т.ч. гидронамывным способом)"/>
    <s v="Не предполагает взаиморасчетов"/>
    <s v="Тарифный"/>
    <s v=""/>
    <s v=""/>
    <s v=""/>
    <s v=""/>
    <s v=""/>
    <s v=""/>
    <s v="нет"/>
    <s v="нет"/>
    <s v=""/>
    <s v=""/>
    <s v=""/>
    <s v=""/>
    <s v="нет"/>
  </r>
  <r>
    <s v="Газпромнефть-ГЕО, ООО"/>
    <s v="0000048216"/>
    <s v="Зарегистрирован"/>
    <d v="2023-05-19T00:00:00"/>
    <s v=""/>
    <x v="38"/>
    <s v="8605013881"/>
    <s v="ГЕО-22/10000/00055/Р"/>
    <s v=""/>
    <s v="7"/>
    <s v="Нетиповой ДД"/>
    <x v="0"/>
    <s v=""/>
    <s v="00270-23"/>
    <s v=""/>
    <s v="ДС №7 к Договору №ГЕО-22/10000/00055/Р от 17.03.2022 г."/>
    <s v="Перераспределение объемов работ, с уменьшением общей стоимости по договору"/>
    <s v="Ушакова М.А."/>
    <s v=""/>
    <s v="Договорный документ"/>
    <s v="Блок геологии и разработки"/>
    <s v="Волков Г.В."/>
    <s v="ЭП"/>
    <s v="С ограничением по срокам "/>
    <d v="2023-05-19T00:00:00"/>
    <d v="2024-12-31T00:00:00"/>
    <s v="Д-1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02 857 816.40"/>
    <s v="252 381 513.67"/>
    <s v="50 476 302.73"/>
    <s v="нет"/>
    <s v="нет"/>
    <s v=""/>
    <s v=""/>
    <s v=""/>
    <s v=""/>
    <s v="нет"/>
  </r>
  <r>
    <s v="Газпромнефть-ГЕО, ООО"/>
    <s v="0000057554"/>
    <s v="Зарегистрирован"/>
    <d v="2024-04-26T00:00:00"/>
    <d v="2024-06-20T00:00:00"/>
    <x v="209"/>
    <s v="3811089799"/>
    <s v="ГЕО-20/11104/00201/Р от 31.12.2020"/>
    <s v=""/>
    <s v="5"/>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70-24"/>
    <s v=""/>
    <s v="№ 5 к Договору № ГЕО-20/11104/00201/Р от 31.12.2020 г. с АО «Авиакомпания «Ангара» на оказание авиационных услуг с использованием вертолетов"/>
    <s v="Включение обновленного ОЛ по услуге 11104"/>
    <s v="Яшкина К.Л."/>
    <s v="Леденев Ю.А."/>
    <s v="Договорный документ"/>
    <s v="Блок снабжения и закупок"/>
    <s v="Титов А.В."/>
    <s v="ЭП"/>
    <s v="До исполнения обязательств"/>
    <d v="2024-04-26T00:00:00"/>
    <s v=""/>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19598"/>
    <s v="Зарегистрирован"/>
    <d v="2022-04-05T00:00:00"/>
    <s v=""/>
    <x v="63"/>
    <s v="9909012867"/>
    <s v="ГЕО-19/11708/00134/Р "/>
    <s v=""/>
    <s v="1"/>
    <s v="Нетиповой ДД"/>
    <x v="0"/>
    <s v=""/>
    <s v="00271-22"/>
    <s v="11"/>
    <s v="Дополнительное соглашение №1 к Наряд-Заказу №11 с Шлюмберже Лоджелко Инк."/>
    <s v="Увеличение срока действия договора без увеличения стоимости"/>
    <s v="Ябиров Р.З."/>
    <s v="Ябиров Р.З."/>
    <s v="Договорный документ"/>
    <s v="Блок геологии и разработки"/>
    <s v="Аксенов М.А."/>
    <s v="На бумажном носителе"/>
    <s v="С ограничением по срокам "/>
    <d v="2022-04-05T00:00:00"/>
    <d v="2022-06-25T00:00:00"/>
    <s v="Д-54"/>
    <s v="Договор на выполнение НИР, ОКР и технологических работ"/>
    <s v="Не предполагает взаиморасчетов"/>
    <s v=""/>
    <s v=""/>
    <s v=""/>
    <s v=""/>
    <s v=""/>
    <s v=""/>
    <s v=""/>
    <s v="нет"/>
    <s v="нет"/>
    <s v=""/>
    <s v=""/>
    <s v=""/>
    <s v=""/>
    <s v="нет"/>
  </r>
  <r>
    <s v="Газпромнефть-ГЕО, ООО"/>
    <s v="0000062894"/>
    <s v="Зарегистрирован"/>
    <d v="2023-05-19T00:00:00"/>
    <s v=""/>
    <x v="47"/>
    <s v="7017253595"/>
    <s v="ГЕО-23/10150/00017/Р"/>
    <s v=""/>
    <s v="2"/>
    <s v="Нетиповой ДД"/>
    <x v="0"/>
    <s v=""/>
    <s v="00271-23"/>
    <s v=""/>
    <s v="ДС №2 к Договору №ГЕО-23/10150/00017/Р от «10» января 2023 г. с ООО «ИЦ ГазИнформПласт» "/>
    <s v="Перераспределение объемов работ, а также включение новых ставок на консервацию оборудования, без увеличения стоимости по договору"/>
    <s v="Ушакова М.А."/>
    <s v=""/>
    <s v="Договорный документ"/>
    <s v="Блок геологии и разработки"/>
    <s v="Волков Г.В."/>
    <s v="ЭП"/>
    <s v="С ограничением по срокам "/>
    <d v="2023-05-19T00:00:00"/>
    <d v="2025-12-31T00:00:00"/>
    <s v="Д-16"/>
    <s v="Газодинамические исследования"/>
    <s v="Расходная часть"/>
    <s v="Рамочный"/>
    <s v="20%"/>
    <s v=""/>
    <s v=""/>
    <s v="27 022 619.96"/>
    <s v="22 518 849.97"/>
    <s v="4 503 769.99"/>
    <s v="нет"/>
    <s v="нет"/>
    <s v=""/>
    <s v=""/>
    <s v=""/>
    <s v=""/>
    <s v="нет"/>
  </r>
  <r>
    <s v="Газпромнефть-ГЕО, ООО"/>
    <s v="0000063129"/>
    <s v="Зарегистрирован"/>
    <d v="2024-04-26T00:00:00"/>
    <d v="2024-05-21T00:00:00"/>
    <x v="94"/>
    <s v="5603032851"/>
    <s v="ГЕО-22/10968/00279/Р"/>
    <s v=""/>
    <s v="3"/>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71-24"/>
    <s v=""/>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Актуализация перечня нарушений и штрафных санкций, раздела по мотивации, формы расчета мотивации и раздела УЭДК"/>
    <s v="Покатов О.Н."/>
    <s v=""/>
    <s v="Договорный документ"/>
    <s v="Блок производственной безопасности"/>
    <s v="Ядрышников П.Н."/>
    <s v="ЭП"/>
    <s v="До исполнения обязательств"/>
    <d v="2024-04-26T00:00:00"/>
    <s v=""/>
    <s v="Д-51"/>
    <s v="Вывоз, транспортировка и размещение отходов производственной деятельности"/>
    <s v="Не предполагает взаиморасчетов"/>
    <s v=""/>
    <s v=""/>
    <s v=""/>
    <s v=""/>
    <s v=""/>
    <s v=""/>
    <s v=""/>
    <s v="нет"/>
    <s v="нет"/>
    <s v=""/>
    <s v=""/>
    <s v=""/>
    <s v=""/>
    <s v="нет"/>
  </r>
  <r>
    <s v="Газпромнефть-ГЕО, ООО"/>
    <s v="0000061621"/>
    <s v="Зарегистрирован"/>
    <d v="2022-04-08T00:00:00"/>
    <s v=""/>
    <x v="57"/>
    <s v="6381010888"/>
    <s v="ГЕО-21/10301/00259/Р"/>
    <s v=""/>
    <s v="1"/>
    <s v="Нетиповой ДД"/>
    <x v="0"/>
    <s v=""/>
    <s v="00272-22"/>
    <s v=""/>
    <s v="Дополнительное соглашение №1 к Договору ГЕО-21/10301/00259/Р"/>
    <s v="О заключении ДС №1 к договору ГЕО-21/10301/00259/Р, предусматривающего изменение сроков оплаты на 30 календарных дней_x000d__x000a__x000d__x000a_"/>
    <s v="Шкателов А.А."/>
    <s v="Шкателов А.А."/>
    <s v="Договорный документ"/>
    <s v="Блок бурения и ВСР"/>
    <s v="Гаврилов С.В."/>
    <s v="На бумажном носителе"/>
    <s v="С ограничением по срокам "/>
    <d v="2022-04-08T00:00:00"/>
    <d v="2025-03-31T00:00:00"/>
    <s v="Д-58"/>
    <s v="Технологическое сопровождение (прокат) буровых долот"/>
    <s v="Не предполагает взаиморасчетов"/>
    <s v="Стоимостной"/>
    <s v=""/>
    <s v=""/>
    <s v=""/>
    <s v=""/>
    <s v=""/>
    <s v=""/>
    <s v="нет"/>
    <s v="нет"/>
    <s v=""/>
    <s v=""/>
    <s v=""/>
    <s v=""/>
    <s v="нет"/>
  </r>
  <r>
    <s v="Газпромнефть-ГЕО, ООО"/>
    <s v="0000105643"/>
    <s v="Зарегистрирован"/>
    <d v="2024-04-26T00:00:00"/>
    <s v=""/>
    <x v="25"/>
    <s v="7717693190"/>
    <s v="ГЕО-22/33100/00207"/>
    <s v=""/>
    <s v="1"/>
    <s v="Типовой ДД"/>
    <x v="0"/>
    <s v="33100 Дополнительное соглашение к Соглашениям в  в области производственной безопасности;"/>
    <s v="00272-24"/>
    <s v=""/>
    <s v="33100 Дополнительное соглашение к Соглашениям в  в области производственной безопасности;"/>
    <s v="Актуализация Соглашения по ПБ"/>
    <s v="Ушакова М.А."/>
    <s v=""/>
    <s v="Договорный документ"/>
    <s v="Блок геологии и разработки"/>
    <s v="Михайлов Ю.А."/>
    <s v="ЭП"/>
    <s v="С ограничением по срокам "/>
    <d v="2024-04-26T00:00:00"/>
    <d v="2027-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25354"/>
    <s v="Зарегистрирован"/>
    <d v="2021-06-04T00:00:00"/>
    <s v=""/>
    <x v="111"/>
    <s v="5003026493"/>
    <s v="№ АНГ-18/10204/00243/Р от 19.11.2018г."/>
    <s v=""/>
    <s v="Наряд-заказ № 1"/>
    <s v="Нетиповой ДД"/>
    <x v="3"/>
    <s v=""/>
    <s v="00273-21"/>
    <s v=""/>
    <s v="Наряд-заказ № 1 к Договору № АНГ-18/10204/00243/Р от 19.11.2018г."/>
    <s v="Выполнение работ в 2021г. по Договору № АНГ-18/10204/00243/Р от 19.11.2018г."/>
    <s v="Мячина М.В."/>
    <s v=""/>
    <s v="Договорный документ"/>
    <s v="Отдел подготовительных работ и экономического анализа"/>
    <s v="Гаврилов С.В."/>
    <s v="На бумажном носителе"/>
    <s v="С ограничением по срокам "/>
    <d v="2021-06-14T00:00:00"/>
    <d v="2021-12-31T00:00:00"/>
    <s v=""/>
    <s v="Бурение эксплуатационных скважин по суточной ставке или фиксированной ставке (в т.ч. Мобильными установками)"/>
    <s v="Расходная часть"/>
    <s v="Стоимостной"/>
    <s v="20%"/>
    <s v=""/>
    <s v=""/>
    <s v="13 104 000.00"/>
    <s v="10 920 000.00"/>
    <s v="2 184 000.00"/>
    <s v="нет"/>
    <s v="нет"/>
    <s v=""/>
    <s v=""/>
    <s v=""/>
    <s v=""/>
    <s v="нет"/>
  </r>
  <r>
    <s v="Газпромнефть-ГЕО, ООО"/>
    <s v=""/>
    <s v="Зарегистрирован"/>
    <d v="2023-06-01T00:00:00"/>
    <s v=""/>
    <x v="242"/>
    <s v=""/>
    <s v=""/>
    <s v="ГЕО-23/10000/00094/Р"/>
    <s v="ГЕО-23/10000/00094/Р"/>
    <s v="Нетиповой ДД"/>
    <x v="2"/>
    <s v=""/>
    <s v="00273-23"/>
    <s v=""/>
    <s v="Договор на выполнение комплекса землеустроительных и лесоустроительных работ"/>
    <s v="Выполнение комплекса землеустроительных и лесоустроительных работ на территории Российской Федерации для нужд ООО &quot;ГПН-ГЕО&quot; в 2023-2024 г."/>
    <s v="Безруков А.А."/>
    <s v="Горев М.А."/>
    <s v="Договорный документ"/>
    <s v="Управление маркшейдерско-землеустроительных работ"/>
    <s v="Трифонов А.В."/>
    <s v="На бумажном носителе"/>
    <s v="С ограничением по срокам "/>
    <d v="2023-06-01T00:00:00"/>
    <d v="2025-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85 527 720.00"/>
    <s v="71 273 100.00"/>
    <s v="14 254 620.00"/>
    <s v="нет"/>
    <s v="нет"/>
    <s v=""/>
    <s v=""/>
    <s v=""/>
    <s v=""/>
    <s v="нет"/>
  </r>
  <r>
    <s v="Газпромнефть-ГЕО, ООО"/>
    <s v="0000057750"/>
    <s v="Проект"/>
    <d v="2024-06-22T00:00:00"/>
    <s v=""/>
    <x v="182"/>
    <s v="0814118403"/>
    <s v="ГЕО-22/10000/00225/Р"/>
    <s v=""/>
    <s v=""/>
    <s v="Нетиповой ДД"/>
    <x v="0"/>
    <s v=""/>
    <s v="00273-24"/>
    <s v=""/>
    <s v="ДС№5 к Договору №ГЕО-22/10000/00225/Р от 20.09.2022   "/>
    <s v="Дополнительное соглашение №5 к Договору №ГЕО-22/10000/00225/Р от 20.09.2022 &quot;на бурение геологоразведочных скважин по суточной ставке или фиксированной ставке (в т.ч. мобильными установками)&quot;. Камовская площадь. Вырезка &quot;окна&quot;."/>
    <s v="Мормышев А.А."/>
    <s v="Чупров В.В."/>
    <s v="Договорный документ"/>
    <s v="Блок бурения и ВСР"/>
    <s v="Трифонов А.В."/>
    <s v="На бумажном носителе"/>
    <s v="До исполнения обязательств"/>
    <d v="2024-06-22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105643"/>
    <s v="Зарегистрирован"/>
    <d v="2023-05-19T00:00:00"/>
    <s v=""/>
    <x v="25"/>
    <s v="7717693190"/>
    <s v="ГЕО-22/10120/00208/Р"/>
    <s v=""/>
    <s v="3"/>
    <s v="Нетиповой ДД"/>
    <x v="0"/>
    <s v=""/>
    <s v="00274-23"/>
    <s v=""/>
    <s v="ДС №3 к Договору №ГЕО-22/10120/00208/Р от 18.08.2022 г. с ООО «НТЦ «ГЕОМЕХАНИКА» "/>
    <s v="Перераспределение объемов работ"/>
    <s v="Ушакова М.А."/>
    <s v=""/>
    <s v="Договорный документ"/>
    <s v="Блок геологии и разработки"/>
    <s v="Волков Г.В."/>
    <s v="ЭП"/>
    <s v="С ограничением по срокам "/>
    <d v="2023-05-19T00:00:00"/>
    <d v="2025-12-31T00:00:00"/>
    <s v="Д-16"/>
    <s v="Гидродинамические исследования"/>
    <s v="Расходная часть"/>
    <s v="Стоимостной"/>
    <s v="20%"/>
    <s v=""/>
    <s v=""/>
    <s v="73 787 703.60"/>
    <s v="61 489 753.00"/>
    <s v="12 297 950.60"/>
    <s v="нет"/>
    <s v="нет"/>
    <s v=""/>
    <s v=""/>
    <s v=""/>
    <s v=""/>
    <s v="нет"/>
  </r>
  <r>
    <s v="Газпромнефть-ГЕО, ООО"/>
    <s v="0000086584"/>
    <s v="Зарегистрирован"/>
    <d v="2024-04-23T00:00:00"/>
    <d v="2024-05-22T00:00:00"/>
    <x v="113"/>
    <s v="5609077986"/>
    <s v="ГЕО-18/00000/00025Д "/>
    <s v=""/>
    <s v="13"/>
    <s v="Нетиповой ДД"/>
    <x v="0"/>
    <s v=""/>
    <s v="00274-24"/>
    <s v=""/>
    <s v="Дополнительное соглашение № 13 к Операторскому Договору № ГГЕО-18/00000/00025Д от 02 октября 2018 г. "/>
    <s v="Дополнительное соглашение для включения условия договора по компенсации фактически понесенных расходов Оператора на уплату суммы вознаграждения банкам по договорам факторинга в целях выполнении операторских работ и оказания операторских услуг"/>
    <s v="Блинова Д.М."/>
    <s v="Блинова Д.М."/>
    <s v="Договорный документ"/>
    <s v="Управление экономического планирования и анализа"/>
    <s v="Николаев М.Н."/>
    <s v="ЭП"/>
    <s v="До исполнения обязательств"/>
    <d v="2024-04-23T00:00:00"/>
    <s v=""/>
    <s v="Д-15"/>
    <s v="Договор возмездного оказания услуг"/>
    <s v="Не предполагает взаиморасчетов"/>
    <s v=""/>
    <s v=""/>
    <s v=""/>
    <s v=""/>
    <s v=""/>
    <s v=""/>
    <s v=""/>
    <s v="нет"/>
    <s v="нет"/>
    <s v=""/>
    <s v=""/>
    <s v=""/>
    <s v=""/>
    <s v="нет"/>
  </r>
  <r>
    <s v="Газпромнефть-ГЕО, ООО"/>
    <s v="0000048878"/>
    <s v="Зарегистрирован"/>
    <d v="2022-03-30T00:00:00"/>
    <s v=""/>
    <x v="29"/>
    <s v="1645019164"/>
    <s v="ГЕО-19/10111/00120/Р"/>
    <s v=""/>
    <s v="7"/>
    <s v="Нетиповой ДД"/>
    <x v="0"/>
    <s v=""/>
    <s v="00275-22"/>
    <s v=""/>
    <s v="Дополнительное соглашение 7 к договору ГЕО-19/10111/00120/Р от 15.05.2019 г. на измнение срока оплаты на 30 к.д."/>
    <s v="измнение срока оплаты на 30 к.д."/>
    <s v="Ахматгалиев С.З."/>
    <s v=""/>
    <s v="Договорный документ"/>
    <s v="Блок геологии и разработки"/>
    <s v="Аксенов М.А."/>
    <s v="На бумажном носителе"/>
    <s v="С ограничением по срокам "/>
    <d v="2022-03-30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5349"/>
    <s v="Зарегистрирован"/>
    <d v="2023-05-23T00:00:00"/>
    <s v=""/>
    <x v="140"/>
    <s v="5610220126"/>
    <s v=""/>
    <s v="ГЕО-23/33400/00092"/>
    <s v="ГЕО-23/33400/00092"/>
    <s v="Нетиповой ДД"/>
    <x v="1"/>
    <s v=""/>
    <s v="00275-23"/>
    <s v=""/>
    <s v="Соглашение о безопасном использовании информационных систем"/>
    <s v="Сторона-1 в связи с заключенным(и) со Стороной-2 договором(ами) на выполнение работ (оказание услуг) обязуется в рамках ст. 718 Гражданского кодекса РФ предоставить доступ к автоматизированной информационной системе «СУДИР» (далее – «СУДИР») и к информационным ресурсам через СУДИР (далее – «ИР») сотрудникам Стороны-2 без ограничений по количеству предоставляемых доступов к СУДИР."/>
    <s v="Бикташев Р.С."/>
    <s v="Бикташев Р.С."/>
    <s v="Договорный документ"/>
    <s v="Производственно-технологический департамент"/>
    <s v="Аксенов М.А."/>
    <s v="ЭП"/>
    <s v="Без сроков "/>
    <d v="2023-05-23T00:00:00"/>
    <s v=""/>
    <s v=""/>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51935"/>
    <s v="Зарегистрирован"/>
    <d v="2024-04-25T00:00:00"/>
    <d v="2024-05-06T00:00:00"/>
    <x v="50"/>
    <s v="7709832820"/>
    <s v="ГЕО-24/20000/00048/Д"/>
    <s v=""/>
    <s v="1"/>
    <s v="Типовой ДД"/>
    <x v="0"/>
    <s v="00000 ДС на изменение реквизитов контрагента (адрес, счет)"/>
    <s v="00275-24"/>
    <s v=""/>
    <s v="00000 ДС на изменение реквизитов контрагента (адрес, счет)"/>
    <s v="Приведение в соответствие КПП Принципала "/>
    <s v="Титова Е.В."/>
    <s v="Титова Е.В."/>
    <s v="Договорный документ"/>
    <s v="Блок снабжения и закупок"/>
    <s v="Титов А.В."/>
    <s v="ЭП"/>
    <s v="До исполнения обязательств"/>
    <d v="2024-04-25T00:00:00"/>
    <s v=""/>
    <s v="Д-56"/>
    <s v="Агентский договор"/>
    <s v="Не предполагает взаиморасчетов"/>
    <s v="Агентский"/>
    <s v=""/>
    <s v=""/>
    <s v=""/>
    <s v=""/>
    <s v=""/>
    <s v=""/>
    <s v="нет"/>
    <s v="нет"/>
    <s v=""/>
    <s v=""/>
    <s v=""/>
    <s v=""/>
    <s v="нет"/>
  </r>
  <r>
    <s v="Газпромнефть-ГЕО, ООО"/>
    <s v="0000039714"/>
    <s v="Зарегистрирован"/>
    <d v="2023-05-30T00:00:00"/>
    <s v=""/>
    <x v="1"/>
    <s v="7734033757"/>
    <s v="ГЕО-21/10114/00257/Р"/>
    <s v=""/>
    <s v="7"/>
    <s v="Нетиповой ДД"/>
    <x v="0"/>
    <s v=""/>
    <s v="00276-23"/>
    <s v=""/>
    <s v="Дополнительное соглашение №7 к договору № ГЕО-21/10114/00257/Р от 22.11.2021 г."/>
    <s v="Перевод 100 суток работы супервайзеров из НГО в ГО в рамках 2023 года"/>
    <s v="Безруков А.А."/>
    <s v="Дакиров В.С."/>
    <s v="Договорный документ"/>
    <s v="Блок геологии и разработки"/>
    <s v="Аксенов М.А."/>
    <s v="ЭП"/>
    <s v="До исполнения обязательств"/>
    <d v="2023-05-30T00:00:00"/>
    <s v=""/>
    <s v="Д-54"/>
    <s v="Супервайзерские услуги полевых работ площадными геофизическими методами"/>
    <s v="Расходная часть"/>
    <s v="Стоимостной"/>
    <s v="20%"/>
    <s v=""/>
    <s v=""/>
    <s v="998 874.00"/>
    <s v="832 395.00"/>
    <s v="166 479.00"/>
    <s v="нет"/>
    <s v="нет"/>
    <s v=""/>
    <s v=""/>
    <s v=""/>
    <s v=""/>
    <s v="нет"/>
  </r>
  <r>
    <s v="Газпромнефть-ГЕО, ООО"/>
    <s v="0000048356"/>
    <s v="Зарегистрирован"/>
    <d v="2024-04-30T00:00:00"/>
    <d v="2024-07-16T00:00:00"/>
    <x v="152"/>
    <s v="8601034898"/>
    <s v="ГЕО-22/33100/00145"/>
    <s v=""/>
    <s v="1"/>
    <s v="Типовой ДД"/>
    <x v="0"/>
    <s v="33100 Дополнительное соглашение к Соглашениям в  в области производственной безопасности;"/>
    <s v="00276-24"/>
    <s v=""/>
    <s v="ДС 1 к согл ПБ №ГЕО-22/33100/00145 от 27.06.2022г. c Защита Югры, ООО"/>
    <s v="Приказ П-32 Актуализация Соглашения ПБ"/>
    <s v="Мормышев А.А."/>
    <s v="Белоусов О.В."/>
    <s v="Договорный документ"/>
    <s v="Блок производственной безопасности"/>
    <s v="Ядрышников П.Н."/>
    <s v="ЭП"/>
    <s v="До исполнения обязательств"/>
    <d v="2024-04-30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5789"/>
    <s v="Зарегистрирован"/>
    <d v="2021-05-18T00:00:00"/>
    <s v=""/>
    <x v="16"/>
    <s v="7838395487"/>
    <s v="ГЕО-21/00000/00123/Д"/>
    <s v=""/>
    <s v="НТЦ-00808-21Р"/>
    <s v="Нетиповой ДД"/>
    <x v="3"/>
    <s v=""/>
    <s v="00277-21"/>
    <s v=""/>
    <s v="Методическое и экспертное сопровождение реализации технологических проектов Технологической стратегии БРД"/>
    <s v="Разработка методического документа «Требования к выполнению полевых сейсморазведочных работ МОГТ 3Д по линиям возбуждения сейсмического сигнала с применением технологии «Зелёная сейсмика»» в рамках технологического проекта I17PRD0845 «Зеленая сейсмика 2.0»."/>
    <s v="Кошелева Ю.В."/>
    <s v=""/>
    <s v="Договорный документ"/>
    <s v="Блок перспективного планирования"/>
    <s v="Агеев П.А."/>
    <s v="На бумажном носителе"/>
    <s v="С ограничением по срокам "/>
    <d v="2021-06-01T00:00:00"/>
    <d v="2021-06-30T00:00:00"/>
    <s v="Д-2"/>
    <s v="ПРОЧИЕ ДОГОВОРЫ"/>
    <s v="Доходная часть"/>
    <s v="Стоимостной"/>
    <s v="20%"/>
    <s v=""/>
    <s v=""/>
    <s v="2 402 785.20"/>
    <s v="2 002 321.00"/>
    <s v="400 464.20"/>
    <s v="нет"/>
    <s v="нет"/>
    <s v=""/>
    <s v=""/>
    <s v=""/>
    <s v=""/>
    <s v="нет"/>
  </r>
  <r>
    <s v="Газпромнефть-ГЕО, ООО"/>
    <s v="0000055382"/>
    <s v="Зарегистрирован"/>
    <d v="2022-04-11T00:00:00"/>
    <s v=""/>
    <x v="176"/>
    <s v="7718554537"/>
    <s v="№ ГЕО-19/09000/00292/Р от 04.12.2019г."/>
    <s v=""/>
    <s v="5"/>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77-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Страдымов А.Г."/>
    <s v="Страдымов А.Г."/>
    <s v="Договорный документ"/>
    <s v="Блок корпоративной защиты"/>
    <s v="Созинов С.А."/>
    <s v="На бумажном носителе"/>
    <s v="Без сроков "/>
    <d v="2022-04-11T00:00:00"/>
    <s v=""/>
    <s v="Д-60"/>
    <s v="Договор возмездного оказания услуг"/>
    <s v="Не предполагает взаиморасчетов"/>
    <s v=""/>
    <s v=""/>
    <s v=""/>
    <s v=""/>
    <s v=""/>
    <s v=""/>
    <s v=""/>
    <s v="нет"/>
    <s v="нет"/>
    <s v=""/>
    <s v=""/>
    <s v=""/>
    <s v=""/>
    <s v="нет"/>
  </r>
  <r>
    <s v="Газпромнефть-ГЕО, ООО"/>
    <s v="0000057750"/>
    <s v="Зарегистрирован"/>
    <d v="2023-06-01T00:00:00"/>
    <s v=""/>
    <x v="182"/>
    <s v="0814118403"/>
    <s v="ГЕО-22/10000/00225/Р"/>
    <s v=""/>
    <s v="2"/>
    <s v="Нетиповой ДД"/>
    <x v="0"/>
    <s v=""/>
    <s v="00277-23"/>
    <s v=""/>
    <s v="ДС№2 к Договору №ГЕО-22/10000/00225/Р от 20.09.2022 "/>
    <s v="Дополнительное соглашение №2 к Договору №ГЕО-22/10000/00225/Р от 20.09.2022 &quot;на бурение геологоразведочных скважин по суточной ставке или фиксированной ставке (в т.ч. мобильными установками)&quot;. Камовская площадь.  Изм в ТЗ и утверждение ед. рсценок. КМ.4 Камовская площадь."/>
    <s v="Мормышев А.А."/>
    <s v=""/>
    <s v="Договорный документ"/>
    <s v="Блок бурения и ВСР"/>
    <s v="Трифонов А.В."/>
    <s v="На бумажном носителе"/>
    <s v="До исполнения обязательств"/>
    <d v="2023-06-0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4590"/>
    <s v="Зарегистрирован"/>
    <d v="2024-04-30T00:00:00"/>
    <s v=""/>
    <x v="61"/>
    <s v="7708277130"/>
    <s v="ГЕО-23/09000/00149/Р"/>
    <s v=""/>
    <s v="1"/>
    <s v="Нетиповой ДД"/>
    <x v="4"/>
    <s v=""/>
    <s v="00277-24"/>
    <s v="6"/>
    <s v="Изменение №1 к Заявке № 6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и супервайзера по производственной безопасности на проекте «Южный Ямал», Южно-Новопортовская площадь (СРР)"/>
    <s v="Фокин Е.В."/>
    <s v="Фокин Е.В."/>
    <s v="Договорный документ"/>
    <s v="Управление производственной безопасности"/>
    <s v="Михайлов Ю.А."/>
    <s v="На бумажном носителе"/>
    <s v="С ограничением по срокам "/>
    <d v="2023-12-19T00:00:00"/>
    <d v="2024-05-30T00:00:00"/>
    <s v="Д-2"/>
    <s v="Договор возмездного оказания услуг"/>
    <s v="Расходная часть"/>
    <s v="Рамочный"/>
    <s v="20%"/>
    <s v=""/>
    <s v=""/>
    <s v="7 061 690.96"/>
    <s v="5 884 742.47"/>
    <s v="1 176 948.49"/>
    <s v="нет"/>
    <s v="нет"/>
    <s v=""/>
    <s v=""/>
    <s v=""/>
    <s v=""/>
    <s v="нет"/>
  </r>
  <r>
    <s v="Газпромнефть-ГЕО, ООО"/>
    <s v="0000045789"/>
    <s v="Зарегистрирован"/>
    <d v="2021-06-04T00:00:00"/>
    <s v=""/>
    <x v="16"/>
    <s v="7838395487"/>
    <s v="НТЦ-18/29000/01335/Д-ГЕО/ГЕО-19/10124/00001"/>
    <s v=""/>
    <s v="1"/>
    <s v="Нетиповой ДД"/>
    <x v="0"/>
    <s v=""/>
    <s v="00278-21"/>
    <s v="Заказу № НТЦ-19/09000/02245/Д-ГЕО от 21 февраля 2020г."/>
    <s v="Геологическое изучение перспектив нефтегазоносности Западного кластера АТ"/>
    <s v="Дополнительное соглашение №1 по причине актуализации объёмов и периметра работ по геологическому изучению перспектив нефтеносносности Западного кластера Ачимовской толщи"/>
    <s v="Ябиров Р.З."/>
    <s v="Ябиров Р.З."/>
    <s v="Договорный документ"/>
    <s v="Блок геологии и разработки"/>
    <s v="Аксенов М.А."/>
    <s v="На бумажном носителе"/>
    <s v="С ограничением по срокам "/>
    <d v="2021-06-04T00:00:00"/>
    <d v="2021-12-31T00:00:00"/>
    <s v="Д-3"/>
    <s v="НИОКР, НИР в области геологии и разработки месторождений"/>
    <s v="Расходная часть"/>
    <s v="Рамочный"/>
    <s v="20%"/>
    <s v=""/>
    <s v=""/>
    <s v="130 154 436.00"/>
    <s v="108 462 030.00"/>
    <s v="21 692 406.00"/>
    <s v="нет"/>
    <s v="нет"/>
    <s v=""/>
    <s v=""/>
    <s v=""/>
    <s v=""/>
    <s v="нет"/>
  </r>
  <r>
    <s v="Газпромнефть-ГЕО, ООО"/>
    <s v="0000055382"/>
    <s v="Зарегистрирован"/>
    <d v="2022-04-11T00:00:00"/>
    <s v=""/>
    <x v="176"/>
    <s v="7718554537"/>
    <s v="№ ГЕО-19/09000/00038/Р от 14.03.2019г."/>
    <s v=""/>
    <s v="5"/>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78-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Страдымов А.Г."/>
    <s v="Страдымов А.Г."/>
    <s v="Договорный документ"/>
    <s v="Блок корпоративной защиты"/>
    <s v="Созинов С.А."/>
    <s v="На бумажном носителе"/>
    <s v="Без сроков "/>
    <d v="2022-04-11T00:00:00"/>
    <s v=""/>
    <s v="Д-60"/>
    <s v="Договор возмездного оказания услуг"/>
    <s v="Не предполагает взаиморасчетов"/>
    <s v=""/>
    <s v=""/>
    <s v=""/>
    <s v=""/>
    <s v=""/>
    <s v=""/>
    <s v=""/>
    <s v="нет"/>
    <s v="нет"/>
    <s v=""/>
    <s v=""/>
    <s v=""/>
    <s v=""/>
    <s v="нет"/>
  </r>
  <r>
    <s v="Газпромнефть-ГЕО, ООО"/>
    <s v="0000057750"/>
    <s v="Зарегистрирован"/>
    <d v="2023-06-01T00:00:00"/>
    <s v=""/>
    <x v="182"/>
    <s v="0814118403"/>
    <s v="ГЕО-22/10000/00226/Р"/>
    <s v=""/>
    <s v="2"/>
    <s v="Нетиповой ДД"/>
    <x v="0"/>
    <s v=""/>
    <s v="00278-23"/>
    <s v=""/>
    <s v="ДС№2 к Договору №ГЕО-22/10000/00226/Р от 20.09.2022   "/>
    <s v="Дополнительное соглашение №2 к Договору №ГЕО-22/10000/00226/Р от 20.09.2022 &quot;на бурение геологоразведочных скважин по суточной ставке или фиксированной ставке (в т.ч. мобильными установками)&quot;. Камовская площадь. ДД...226 ТФ ССК, АО. Изм в ТЗ и утверждение ед. рсценок. САЛ.3 Салаирская площадь"/>
    <s v="Мормышев А.А."/>
    <s v=""/>
    <s v="Договорный документ"/>
    <s v="Блок бурения и ВСР"/>
    <s v="Трифонов А.В."/>
    <s v="На бумажном носителе"/>
    <s v="До исполнения обязательств"/>
    <d v="2023-06-0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8695"/>
    <s v="Зарегистрирован"/>
    <d v="2024-04-30T00:00:00"/>
    <d v="2024-07-25T00:00:00"/>
    <x v="77"/>
    <s v="1106013435"/>
    <s v="ГЕО-23/33100/00043"/>
    <s v=""/>
    <s v="2"/>
    <s v="Типовой ДД"/>
    <x v="0"/>
    <s v="33100 Дополнительное соглашение к Соглашениям в  в области производственной безопасности;"/>
    <s v="00278-24"/>
    <s v=""/>
    <s v="ДС 2 к согл ПБ №ГЕО-23/33100/00043 от 17.02.2023г.. c БурСервис, ООО"/>
    <s v="Приказ П-32 Актуализация Соглашения ПБ"/>
    <s v="Мормышев А.А."/>
    <s v="Дунаев Э.В."/>
    <s v="Договорный документ"/>
    <s v="Блок производственной безопасности"/>
    <s v="Михайлов Ю.А."/>
    <s v="ЭП"/>
    <s v="До исполнения обязательств"/>
    <d v="2024-04-3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Закрыт"/>
    <d v="2021-06-04T00:00:00"/>
    <s v=""/>
    <x v="243"/>
    <s v=""/>
    <s v=""/>
    <s v="ГЕО-21/11104/00140/Д"/>
    <s v="ГЕО-21/11104/00140/Д"/>
    <s v="Нетиповой ДД"/>
    <x v="2"/>
    <s v=""/>
    <s v="00279-21"/>
    <s v=""/>
    <s v="Агентской договор на организацию вертолетных авиаперевозок"/>
    <s v="Авиаперевозка персонала и грузов Контрагента"/>
    <s v="Титова Е.В."/>
    <s v="Титова Екатерина Владимировна"/>
    <s v="Договорный документ"/>
    <s v="Блок по закупкам"/>
    <s v="Титов А.В."/>
    <s v="На бумажном носителе"/>
    <s v="С ограничением по срокам "/>
    <d v="2021-06-04T00:00:00"/>
    <d v="2021-12-31T00:00:00"/>
    <s v="Д-11"/>
    <s v="Авиационное обслуживание (вертолеты)"/>
    <s v="Доходная часть"/>
    <s v="Агентский"/>
    <s v="20%"/>
    <s v=""/>
    <s v=""/>
    <s v="65 577.56"/>
    <s v="54 647.97"/>
    <s v="10 929.59"/>
    <s v="нет"/>
    <s v="нет"/>
    <s v=""/>
    <s v=""/>
    <s v=""/>
    <s v=""/>
    <s v="нет"/>
  </r>
  <r>
    <s v="Газпромнефть-ГЕО, ООО"/>
    <s v="0000048878"/>
    <s v="Зарегистрирован"/>
    <d v="2022-04-11T00:00:00"/>
    <s v=""/>
    <x v="29"/>
    <s v="1645019164"/>
    <s v="ГЕО-21/10110/00239/Р"/>
    <s v=""/>
    <s v="1"/>
    <s v="Нетиповой ДД"/>
    <x v="0"/>
    <s v=""/>
    <s v="00279-22"/>
    <s v=""/>
    <s v="Дополнительное соглашение 1 к договору ГЕО-21/10110/00239/Р от 18.10.2021 на изменение сроков оплаты на 30 кд. и включение условий о гостайне"/>
    <s v="изменение сроков оплаты на 30 кд. и включение условий о гостайне"/>
    <s v="Ахматгалиев С.З."/>
    <s v=""/>
    <s v="Договорный документ"/>
    <s v="Блок геологии и разработки"/>
    <s v="Аксенов М.А."/>
    <s v="На бумажном носителе"/>
    <s v="С ограничением по срокам "/>
    <d v="2022-04-11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8695"/>
    <s v="Зарегистрирован"/>
    <d v="2024-04-30T00:00:00"/>
    <d v="2024-06-19T00:00:00"/>
    <x v="77"/>
    <s v="1106013435"/>
    <s v="ГЕО-23/10000/00032/Р +ПР + ПУР"/>
    <s v=""/>
    <s v="2"/>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79-24"/>
    <s v=""/>
    <s v="ДС№2 к №ГЕО-23/10000/00032/Р от 06.02.2023г. с БурСервис, ООО"/>
    <s v="актуализация перечня ШС"/>
    <s v="Мормышев А.А."/>
    <s v="Дунаев Э.В."/>
    <s v="Договорный документ"/>
    <s v="Блок бурения и ВСР"/>
    <s v="Трифонов А.В."/>
    <s v="ЭП"/>
    <s v="До исполнения обязательств"/>
    <d v="2024-04-30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2701"/>
    <s v="Зарегистрирован"/>
    <d v="2021-06-07T00:00:00"/>
    <s v=""/>
    <x v="212"/>
    <s v="6318166129"/>
    <s v="№ ГЕО-20/11019/00045/Р от 15.03.2020 г."/>
    <s v=""/>
    <s v="Наряд-заказ №4"/>
    <s v="Типовой ДД"/>
    <x v="3"/>
    <s v="11018, 11019, 11020, 11021, 11022  Наряд-заказ к Договору (рамочному) на выполнение  работ по услугам &quot;Капитальное строительство и ПИР&quot;"/>
    <s v="00280-21"/>
    <s v=""/>
    <s v="11018, 11019, 11020, 11021, 11022  Наряд-заказ к Договору (рамочному) на выполнение  работ по услугам &quot;Капитальное строительство и ПИР&quot;"/>
    <s v="Выполнение проектно-изыскательских работ по объекту проектирования  «Строительство поисково-оценочной скважины № 201 Надежд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6-07T00:00:00"/>
    <d v="2021-12-30T00:00:00"/>
    <s v="Д-22"/>
    <s v="Капитальное строительство и ПИР"/>
    <s v="Расходная часть"/>
    <s v="Рамочный"/>
    <s v="20%"/>
    <s v=""/>
    <s v=""/>
    <s v="6 144 557.12"/>
    <s v="5 120 464.27"/>
    <s v="1 024 092.85"/>
    <s v="нет"/>
    <s v="нет"/>
    <s v=""/>
    <s v=""/>
    <s v=""/>
    <s v=""/>
    <s v="нет"/>
  </r>
  <r>
    <s v="Газпромнефть-ГЕО, ООО"/>
    <s v="0000066582"/>
    <s v="Зарегистрирован"/>
    <d v="2022-04-20T00:00:00"/>
    <s v=""/>
    <x v="197"/>
    <s v="7451365960"/>
    <s v=""/>
    <s v="ГЕО-22/29000/00084/Р"/>
    <s v="ГЕО-22/29000/00084/Р"/>
    <s v="Нетиповой ДД"/>
    <x v="2"/>
    <s v=""/>
    <s v="00280-22"/>
    <s v=""/>
    <s v="Выполнение шеф-монтажных работ устьевого оборудования "/>
    <s v="Выполнение шеф-монтажных работ устьевого оборудования на проекте &quot;Титан&quot;"/>
    <s v="Веселкин А.С."/>
    <s v="Веселкин А.С."/>
    <s v="Договорный документ"/>
    <s v="Блок бурения и ВСР"/>
    <s v="Гаврилов С.В."/>
    <s v="На бумажном носителе"/>
    <s v="До исполнения обязательств"/>
    <d v="2022-05-01T00:00:00"/>
    <s v=""/>
    <s v="Д-58"/>
    <s v="Смешанный договор"/>
    <s v="Расходная часть"/>
    <s v="Стоимостной"/>
    <s v="20%"/>
    <s v=""/>
    <s v=""/>
    <s v="2 970 000.00"/>
    <s v="2 475 000.00"/>
    <s v="495 000.00"/>
    <s v="нет"/>
    <s v="нет"/>
    <s v=""/>
    <s v=""/>
    <s v=""/>
    <s v=""/>
    <s v="нет"/>
  </r>
  <r>
    <s v="Газпромнефть-ГЕО, ООО"/>
    <s v="0000057796"/>
    <s v="Зарегистрирован"/>
    <d v="2023-05-29T00:00:00"/>
    <s v=""/>
    <x v="109"/>
    <s v="5003028148"/>
    <s v="00658"/>
    <s v=""/>
    <s v="5"/>
    <s v="Нетиповой ДД"/>
    <x v="0"/>
    <s v=""/>
    <s v="00280-23"/>
    <s v=""/>
    <s v="Дополнительное соглашение №5"/>
    <s v="Увеличение гарантированного объёма услуг."/>
    <s v="Хабибуллин Т.Ф."/>
    <s v="Хабибуллин Т.Ф."/>
    <s v="Договорный документ"/>
    <s v="Отдел по промышленной и пожарной безопасности"/>
    <s v="Михайлов Ю.А."/>
    <s v="На бумажном носителе"/>
    <s v="До исполнения обязательств"/>
    <d v="2023-06-01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40 518 282.00"/>
    <s v="33 765 235.00"/>
    <s v="6 753 047.00"/>
    <s v="нет"/>
    <s v="нет"/>
    <s v=""/>
    <s v=""/>
    <s v=""/>
    <s v=""/>
    <s v="нет"/>
  </r>
  <r>
    <s v="Газпромнефть-ГЕО, ООО"/>
    <s v="0000048878"/>
    <s v="Зарегистрирован"/>
    <d v="2024-04-27T00:00:00"/>
    <d v="2024-05-17T00:00:00"/>
    <x v="29"/>
    <s v="1645019164"/>
    <s v="ГЕО-22/10000/00271/Р"/>
    <s v=""/>
    <s v="1"/>
    <s v="Нетиповой ДД"/>
    <x v="4"/>
    <s v=""/>
    <s v="00280-24"/>
    <s v="3"/>
    <s v="Изменение №1 к Наряд-заказу №3 к Договору №ГЕО-22/10000/00271/Р от «10» октября 2022 г. с ООО «ТНГ-Групп» "/>
    <s v="Изменение срока выполнения работ по этапу &quot;Полевые работы МОГТ 3Д ШП&quot; без изменения общего срока выполнения работ по Наряд-заказу №3"/>
    <s v="Ушакова М.А."/>
    <s v=""/>
    <s v="Договорный документ"/>
    <s v="Блок геологии и разработки"/>
    <s v="Аксенов М.А."/>
    <s v="ЭП"/>
    <s v="С ограничением по срокам "/>
    <d v="2024-04-27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62701"/>
    <s v="Зарегистрирован"/>
    <d v="2021-06-07T00:00:00"/>
    <s v=""/>
    <x v="212"/>
    <s v="6318166129"/>
    <s v="№ ГЕО-20/11019/00045/Р от 15.03.2020 г."/>
    <s v=""/>
    <s v="Наряд-заказ №5"/>
    <s v="Типовой ДД"/>
    <x v="3"/>
    <s v="11018, 11019, 11020, 11021, 11022  Наряд-заказ к Договору (рамочному) на выполнение  работ по услугам &quot;Капитальное строительство и ПИР&quot;"/>
    <s v="00281-21"/>
    <s v=""/>
    <s v="11018, 11019, 11020, 11021, 11022  Наряд-заказ к Договору (рамочному) на выполнение  работ по услугам &quot;Капитальное строительство и ПИР&quot;"/>
    <s v="Выполнение проектно-изыскательских работ по объекту проектирования  «Строительство поисково-оценочной скважины №501ПО Корнавар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6-07T00:00:00"/>
    <d v="2021-12-30T00:00:00"/>
    <s v="Д-22"/>
    <s v="Капитальное строительство и ПИР"/>
    <s v="Расходная часть"/>
    <s v="Рамочный"/>
    <s v="20%"/>
    <s v=""/>
    <s v=""/>
    <s v="7 402 266.58"/>
    <s v="6 168 555.48"/>
    <s v="1 233 711.10"/>
    <s v="нет"/>
    <s v="нет"/>
    <s v=""/>
    <s v=""/>
    <s v=""/>
    <s v=""/>
    <s v="нет"/>
  </r>
  <r>
    <s v="Газпромнефть-ГЕО, ООО"/>
    <s v="0000048216"/>
    <s v="Зарегистрирован"/>
    <d v="2022-04-11T00:00:00"/>
    <s v=""/>
    <x v="38"/>
    <s v="8605013881"/>
    <s v="ГЕО-21/10308/00236/Р"/>
    <s v=""/>
    <s v="2"/>
    <s v="Нетиповой ДД"/>
    <x v="0"/>
    <s v=""/>
    <s v="00281-22"/>
    <s v=""/>
    <s v="ДС к № 2 к Договору на проведение геолого-технологического исследования скважин при бурении № ГЕО-21/10308/00236/Р от «04» октября 2021 года "/>
    <s v="Сокращение сроков оплаты "/>
    <s v="Ушакова М.А."/>
    <s v="Ушакова М.А."/>
    <s v="Договорный документ"/>
    <s v="Блок геологии и разработки"/>
    <s v="Аксенов М.А."/>
    <s v="На бумажном носителе"/>
    <s v="С ограничением по срокам "/>
    <d v="2022-04-11T00:00:00"/>
    <d v="2024-12-31T00:00:00"/>
    <s v=""/>
    <s v="ГТИ при бурении"/>
    <s v="Не предполагает взаиморасчетов"/>
    <s v="Рамочный"/>
    <s v=""/>
    <s v=""/>
    <s v=""/>
    <s v=""/>
    <s v=""/>
    <s v=""/>
    <s v="нет"/>
    <s v="нет"/>
    <s v=""/>
    <s v=""/>
    <s v=""/>
    <s v=""/>
    <s v="нет"/>
  </r>
  <r>
    <s v="Газпромнефть-ГЕО, ООО"/>
    <s v="0000048878"/>
    <s v="Зарегистрирован"/>
    <d v="2023-05-30T00:00:00"/>
    <s v=""/>
    <x v="29"/>
    <s v="1645019164"/>
    <s v="ГЕО-22/10000/00271/Р"/>
    <s v=""/>
    <s v="2"/>
    <s v="Нетиповой ДД"/>
    <x v="3"/>
    <s v=""/>
    <s v="00281-23"/>
    <s v=""/>
    <s v="Наряд – Заказ №2 к Договору №ГЕО-22/10000/00271/Р от «10» октября 2022 г. с ООО &quot;ТНГ-Групп&quot;"/>
    <s v="Выполнение СРР работ на Ягодном ЛУ в рамках операторского договора №ОРН-22/10000/00003/Р/15/02/ГЕО-Д/3/ВГС от «13» октября 2022 года с ГПН-Оренбург"/>
    <s v="Ушакова М.А."/>
    <s v=""/>
    <s v="Договорный документ"/>
    <s v="Блок геологии и разработки"/>
    <s v="Аксенов М.А."/>
    <s v="ЭП"/>
    <s v="С ограничением по срокам "/>
    <d v="2023-05-30T00:00:00"/>
    <d v="2026-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85 220 000.00"/>
    <s v="154 350 000.00"/>
    <s v="30 870 000.00"/>
    <s v="нет"/>
    <s v="нет"/>
    <s v=""/>
    <s v=""/>
    <s v=""/>
    <s v=""/>
    <s v="нет"/>
  </r>
  <r>
    <s v="Газпромнефть-ГЕО, ООО"/>
    <s v="0000068442"/>
    <s v="Зарегистрирован"/>
    <d v="2024-05-02T00:00:00"/>
    <d v="2024-05-13T00:00:00"/>
    <x v="92"/>
    <s v="5611027573"/>
    <s v="ГЕО-21/09000/00198/Р"/>
    <s v=""/>
    <s v="10"/>
    <s v="Нетиповой ДД"/>
    <x v="0"/>
    <s v=""/>
    <s v="00281-24"/>
    <s v=""/>
    <s v="ДОПОЛНИТЕЛЬНОЕ СОГЛАШЕНИЕ № 10 К ДОГОВОРУ № ГЕО-21/09000/00198/Р от 06.09.2021 г.  возмездного оказания услуг по охране объектов"/>
    <s v="Продление срока действия Договора и сроков оказания услуг до 31.07.2024 г._x000a_Перераспределение объёмов услуг между статьями затрат, с уменьшением общей стоимости договора."/>
    <s v="Страдымов А.Г."/>
    <s v="Страдымов А.Г."/>
    <s v="Договорный документ"/>
    <s v="Блок корпоративной защиты"/>
    <s v="Созинов С.А."/>
    <s v="ЭП"/>
    <s v="С ограничением по срокам "/>
    <d v="2024-05-16T00:00:00"/>
    <d v="2024-07-31T00:00:00"/>
    <s v="Д-60"/>
    <s v="Договор возмездного оказания услуг"/>
    <s v="Расходная часть"/>
    <s v="Рамочный"/>
    <s v="без НДС"/>
    <s v=""/>
    <s v=""/>
    <s v="39 393 810.52"/>
    <s v="39 393 810.52"/>
    <n v="0"/>
    <s v="нет"/>
    <s v="нет"/>
    <s v=""/>
    <s v=""/>
    <s v=""/>
    <s v=""/>
    <s v="нет"/>
  </r>
  <r>
    <s v="Газпромнефть-ГЕО, ООО"/>
    <s v="0000062701"/>
    <s v="Зарегистрирован"/>
    <d v="2021-06-07T00:00:00"/>
    <s v=""/>
    <x v="212"/>
    <s v="6318166129"/>
    <s v="№ ГЕО-20/11019/00045/Р от 15.03.2020 г."/>
    <s v=""/>
    <s v="Наряд-заказ №6"/>
    <s v="Типовой ДД"/>
    <x v="3"/>
    <s v="11018, 11019, 11020, 11021, 11022  Наряд-заказ к Договору (рамочному) на выполнение  работ по услугам &quot;Капитальное строительство и ПИР&quot;"/>
    <s v="00282-21"/>
    <s v=""/>
    <s v="11018, 11019, 11020, 11021, 11022  Наряд-заказ к Договору (рамочному) на выполнение  работ по услугам &quot;Капитальное строительство и ПИР&quot;"/>
    <s v="Выполнение проектно-изыскательских работ по объекту проектирования  «Строительство поисково-оценочной скважины №502ПО Корнавар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6-07T00:00:00"/>
    <d v="2021-12-30T00:00:00"/>
    <s v="Д-22"/>
    <s v="Капитальное строительство и ПИР"/>
    <s v="Расходная часть"/>
    <s v="Рамочный"/>
    <s v="20%"/>
    <s v=""/>
    <s v=""/>
    <s v="9 034 048.27"/>
    <s v="7 528 373.56"/>
    <s v="1 505 674.71"/>
    <s v="нет"/>
    <s v="нет"/>
    <s v=""/>
    <s v=""/>
    <s v=""/>
    <s v=""/>
    <s v="нет"/>
  </r>
  <r>
    <s v="Газпромнефть-ГЕО, ООО"/>
    <s v="0000048216"/>
    <s v="Зарегистрирован"/>
    <d v="2022-04-11T00:00:00"/>
    <s v=""/>
    <x v="38"/>
    <s v="8605013881"/>
    <s v="ГЕО-22/10000/00055/Р"/>
    <s v=""/>
    <s v="1"/>
    <s v="Нетиповой ДД"/>
    <x v="0"/>
    <s v=""/>
    <s v="00282-22"/>
    <s v=""/>
    <s v="ДС к № 1 к Договору на проведение геолого-технологического исследования скважин при бурении № ГЕО-22/10000/00055/Р от 17.03.2022 г."/>
    <s v="Сокращение сроков оплаты"/>
    <s v="Ушакова М.А."/>
    <s v=""/>
    <s v="Договорный документ"/>
    <s v="Блок геологии и разработки"/>
    <s v="Аксенов М.А."/>
    <s v="На бумажном носителе"/>
    <s v="С ограничением по срокам "/>
    <d v="2022-04-11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80408"/>
    <s v="Зарегистрирован"/>
    <d v="2023-06-01T00:00:00"/>
    <s v=""/>
    <x v="104"/>
    <s v="3812043780"/>
    <s v=""/>
    <s v="ГЕО-23/27100/00096/Д"/>
    <s v="ГЕО-23/27100/00096/Д"/>
    <s v="Нетиповой ДД"/>
    <x v="2"/>
    <s v=""/>
    <s v="00282-23"/>
    <s v=""/>
    <s v="Договор поставки ДТ"/>
    <s v="поставить топливо дизельное ЕВРО кл.2 ДТ-З-К5 (770000796580) "/>
    <s v="Калугина С.Б."/>
    <s v="Бабаев Д.Г."/>
    <s v="Договорный документ"/>
    <s v="Департамент капитального строительства"/>
    <s v="Шакирзянов Л.Н."/>
    <s v="ЭП"/>
    <s v="До исполнения обязательств"/>
    <d v="2023-06-01T00:00:00"/>
    <s v=""/>
    <s v="Д-20"/>
    <s v="Договор поставки нефтепродуктов (рубли)"/>
    <s v="Доходная часть"/>
    <s v="Стоимостной"/>
    <s v="20%"/>
    <s v=""/>
    <s v=""/>
    <s v="545 586.26"/>
    <s v="454 655.22"/>
    <s v="90 931.04"/>
    <s v="нет"/>
    <s v="нет"/>
    <s v=""/>
    <s v=""/>
    <s v=""/>
    <s v=""/>
    <s v="нет"/>
  </r>
  <r>
    <s v="Газпромнефть-ГЕО, ООО"/>
    <s v="0000067121"/>
    <s v="Зарегистрирован"/>
    <d v="2024-04-27T00:00:00"/>
    <s v=""/>
    <x v="62"/>
    <s v="7202171361"/>
    <s v="№ ХНТ-20/10110/967/Р/60/ГЕО-20/10110/00198/Р"/>
    <s v=""/>
    <s v="9"/>
    <s v="Нетиповой ДД"/>
    <x v="0"/>
    <s v=""/>
    <s v="00282-24"/>
    <s v=""/>
    <s v="ДС №9 к Договору №ХНТ-20/10110/967/Р/60/ГЕО-20/10110/00198/Р от 06.10.2020 г."/>
    <s v="Увеличение размера материальной мотивации с одновременным уменьшением объема невостребованных ставок негарантированного объема, без увеличения стоимости договора"/>
    <s v="Ушакова М.А."/>
    <s v=""/>
    <s v="Договорный документ"/>
    <s v="Блок геологии и разработки"/>
    <s v="Аксенов М.А."/>
    <s v="На бумажном носителе"/>
    <s v="С ограничением по срокам "/>
    <d v="2024-04-27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19598"/>
    <s v="Зарегистрирован"/>
    <d v="2022-04-11T00:00:00"/>
    <s v=""/>
    <x v="63"/>
    <s v="9909012867"/>
    <s v="ГЕО-21/10430/00237/Р"/>
    <s v=""/>
    <s v="2"/>
    <s v="Нетиповой ДД"/>
    <x v="0"/>
    <s v=""/>
    <s v="00283-22"/>
    <s v=""/>
    <s v="Дополнительное соглашение №2 к Договору ГЕО-21/10430/00237/Р от 25.10.2021"/>
    <s v="О заключении ДС №1 к Договору ГЕО-21/10430/00237/Р от 25.10.2021, предусматривающего изменение сроков оплаты на 14 календарных дней_x000d__x000a__x000d__x000a_"/>
    <s v="Шкателов А.А."/>
    <s v="Шкателов А.А."/>
    <s v="Договорный документ"/>
    <s v="Блок бурения и ВСР"/>
    <s v="Гаврилов С.В."/>
    <s v="На бумажном носителе"/>
    <s v="С ограничением по срокам "/>
    <d v="2022-04-11T00:00:00"/>
    <d v="2024-12-31T00:00:00"/>
    <s v="Д-58"/>
    <s v="Инженерное и технологическое сопровождение работ при текущем и капитальном ремонте скважин (ТКРС)"/>
    <s v="Не предполагает взаиморасчетов"/>
    <s v="Стоимостной"/>
    <s v=""/>
    <s v=""/>
    <s v=""/>
    <s v=""/>
    <s v=""/>
    <s v=""/>
    <s v="нет"/>
    <s v="нет"/>
    <s v=""/>
    <s v=""/>
    <s v=""/>
    <s v=""/>
    <s v="нет"/>
  </r>
  <r>
    <s v="Газпромнефть-ГЕО, ООО"/>
    <s v="0000073563"/>
    <s v="Зарегистрирован"/>
    <d v="2023-05-25T00:00:00"/>
    <s v=""/>
    <x v="120"/>
    <s v="8609322418"/>
    <s v="ГЕО-22/10402/00187/Р"/>
    <s v=""/>
    <s v="5"/>
    <s v="Нетиповой ДД"/>
    <x v="0"/>
    <s v=""/>
    <s v="00283-23"/>
    <s v=""/>
    <s v="ДОПОЛНИТЕЛЬНОЕ СОГЛАШЕНИЕ № 5 к договору от 03.08.2022 № ГЕО-22/10402/00187/Р с Геолад-СТ"/>
    <s v="включение в Приложение №3.1. «Таблицы ставок по договору» дополнительной ставки в 2023г. «Ставка технологического дежурства (по техническим причинам) 90% от стоимости бригадо-часа»."/>
    <s v="Яшкина К.Л."/>
    <s v="Конюх М.В."/>
    <s v="Договорный документ"/>
    <s v="Блок бурения и ВСР"/>
    <s v="Аксенов М.А."/>
    <s v="ЭП"/>
    <s v="С ограничением по срокам "/>
    <d v="2023-04-01T00:00:00"/>
    <d v="2024-07-31T00:00:00"/>
    <s v=""/>
    <s v="Капитальный ремонт и освоение скважин"/>
    <s v="Не предполагает взаиморасчетов"/>
    <s v="Стоимостной"/>
    <s v=""/>
    <s v=""/>
    <s v=""/>
    <s v=""/>
    <s v=""/>
    <s v=""/>
    <s v="нет"/>
    <s v="нет"/>
    <s v=""/>
    <s v=""/>
    <s v=""/>
    <s v=""/>
    <s v="нет"/>
  </r>
  <r>
    <s v="Газпромнефть-ГЕО, ООО"/>
    <s v="0000068695"/>
    <s v="Зарегистрирован"/>
    <d v="2024-04-30T00:00:00"/>
    <d v="2024-07-22T00:00:00"/>
    <x v="77"/>
    <s v="1106013435"/>
    <s v="ГЕО-23/10000/00035/Р +ПР + ПУР"/>
    <s v=""/>
    <s v="2"/>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83-24"/>
    <s v=""/>
    <s v="ДС№2 к №ГЕО-23/10000/00035/Р от 10.02.2023г. с БурСервис, ООО"/>
    <s v="актуализация перечня ШС"/>
    <s v="Мормышев А.А."/>
    <s v="Дунаев Э.В."/>
    <s v="Договорный документ"/>
    <s v="Блок бурения и ВСР"/>
    <s v="Трифонов А.В."/>
    <s v="ЭП"/>
    <s v="До исполнения обязательств"/>
    <d v="2024-04-30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19598"/>
    <s v="Зарегистрирован"/>
    <d v="2022-04-11T00:00:00"/>
    <s v=""/>
    <x v="63"/>
    <s v="9909012867"/>
    <s v="ГЕО-21/10301/00261/Р"/>
    <s v=""/>
    <s v="1"/>
    <s v="Нетиповой ДД"/>
    <x v="0"/>
    <s v=""/>
    <s v="00284-22"/>
    <s v=""/>
    <s v="Дополнительное соглашение №1 к Договору ГЕО-21/10301/00261/Р от 08.11.2021"/>
    <s v="О заключении ДС №1 к Договору ГЕО-21/10301/00261/Р от 08.11.2021, предусматривающего изменение сроков оплаты на 14 календарных дней_x000d__x000a__x000d__x000a_"/>
    <s v="Шкателов А.А."/>
    <s v="Шкателов А.А."/>
    <s v="Договорный документ"/>
    <s v="Блок бурения и ВСР"/>
    <s v="Гаврилов С.В."/>
    <s v="На бумажном носителе"/>
    <s v="С ограничением по срокам "/>
    <d v="2022-04-11T00:00:00"/>
    <d v="2024-12-31T00:00:00"/>
    <s v="Д-58"/>
    <s v="Технологическое сопровождение (прокат) буровых долот"/>
    <s v="Не предполагает взаиморасчетов"/>
    <s v="Стоимостной"/>
    <s v=""/>
    <s v=""/>
    <s v=""/>
    <s v=""/>
    <s v=""/>
    <s v=""/>
    <s v="нет"/>
    <s v="нет"/>
    <s v=""/>
    <s v=""/>
    <s v=""/>
    <s v=""/>
    <s v="нет"/>
  </r>
  <r>
    <s v="Газпромнефть-ГЕО, ООО"/>
    <s v="0000068974"/>
    <s v="Зарегистрирован"/>
    <d v="2023-05-25T00:00:00"/>
    <s v=""/>
    <x v="81"/>
    <s v="3808120671"/>
    <s v="ГЕО-22/09000/00287/Р"/>
    <s v=""/>
    <s v="3"/>
    <s v="Нетиповой ДД"/>
    <x v="0"/>
    <s v=""/>
    <s v="00284-23"/>
    <s v=""/>
    <s v="ДС-3 к договору № ГЕО-22/09000/00287/Р от 03.11.2022 г"/>
    <s v="С целью мониторинга и оперативного реагирования на сложившуюся ситуацию в пожароопасный период 2023 года возникла необходимость в обеспечении усиления принимаемых мер на охраняемых объектах Оморинского ЛУ путем увеличения вахтового персонала ЧОП «СОБР» на 2 человека (с оружием и боеприпасами) в вахту для каждого КПП Оморинского ЛУ (итого 4 человека на два КПП) "/>
    <s v="Данилов М.В."/>
    <s v="Данилов М.В."/>
    <s v="Договорный документ"/>
    <s v="Блок корпоративной защиты"/>
    <s v="Созинов С.А."/>
    <s v="ЭП"/>
    <s v="С ограничением по срокам "/>
    <d v="2023-05-25T00:00:00"/>
    <d v="2025-02-28T00:00:00"/>
    <s v="Д-60"/>
    <s v="Договор возмездного оказания услуг"/>
    <s v="Расходная часть"/>
    <s v="Стоимостной"/>
    <s v="без НДС"/>
    <s v=""/>
    <s v=""/>
    <s v="145 311 289.07"/>
    <s v="145 311 289.07"/>
    <n v="0"/>
    <s v="нет"/>
    <s v="нет"/>
    <s v=""/>
    <s v=""/>
    <s v=""/>
    <s v=""/>
    <s v="нет"/>
  </r>
  <r>
    <s v="Газпромнефть-ГЕО, ООО"/>
    <s v="0000070037"/>
    <s v="Зарегистрирован"/>
    <d v="2024-04-22T00:00:00"/>
    <d v="2024-05-13T00:00:00"/>
    <x v="221"/>
    <s v="7802754982"/>
    <s v=""/>
    <s v="ГЕО-24/26000/00087"/>
    <s v="ГЕО-24/26000/00087"/>
    <s v="Типовой ДД"/>
    <x v="1"/>
    <s v="26000 Соглашение о конфиденциальности с российским контрагентом"/>
    <s v="00284-24"/>
    <s v=""/>
    <s v="26000 Соглашение о конфиденциальности с российским контрагентом"/>
    <s v="Заключение СОКа для возможной передачи конфиденциальной информации в ходе заключения Агентского договора между двумя организациями."/>
    <s v="Коростелев И.С."/>
    <s v="Коростелев И.С."/>
    <s v="Договорный документ"/>
    <s v="Финансовое управление"/>
    <s v="Созинов С.А."/>
    <s v="ЭП"/>
    <s v="С ограничением по срокам "/>
    <d v="2024-04-22T00:00:00"/>
    <d v="2029-04-26T00:00:00"/>
    <s v="Д-60"/>
    <s v="Соглашение о конфиденциальности"/>
    <s v="Не предполагает взаиморасчетов"/>
    <s v=""/>
    <s v=""/>
    <s v=""/>
    <s v=""/>
    <s v=""/>
    <s v=""/>
    <s v=""/>
    <s v="нет"/>
    <s v="нет"/>
    <s v=""/>
    <s v=""/>
    <s v=""/>
    <s v=""/>
    <s v="нет"/>
  </r>
  <r>
    <s v="Газпромнефть-ГЕО, ООО"/>
    <s v="0000037860"/>
    <s v="Зарегистрирован"/>
    <d v="2022-04-11T00:00:00"/>
    <s v=""/>
    <x v="189"/>
    <s v="7714024384"/>
    <s v="ГЕО-21/10318/00258/Р"/>
    <s v=""/>
    <s v="1"/>
    <s v="Нетиповой ДД"/>
    <x v="0"/>
    <s v=""/>
    <s v="00286-22"/>
    <s v=""/>
    <s v="Дополнительное соглашение №1 к Договору ГЕО-21/10318/00258/Р от 08.11.2021"/>
    <s v="О заключении ДС №1 к Договору ГЕО-21/10318/00258/Р от 08.11.2021, предусматривающего изменение сроков оплаты на 14 календарных дней_x000d__x000a__x000d__x000a_"/>
    <s v="Шкателов А.А."/>
    <s v="Шкателов А.А."/>
    <s v="Договорный документ"/>
    <s v="Блок бурения и ВСР"/>
    <s v="Гаврилов С.В."/>
    <s v="На бумажном носителе"/>
    <s v="С ограничением по срокам "/>
    <d v="2022-04-11T00:00:00"/>
    <d v="2024-12-31T00:00:00"/>
    <s v="Д-58"/>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062894"/>
    <s v="Зарегистрирован"/>
    <d v="2023-05-19T00:00:00"/>
    <s v=""/>
    <x v="47"/>
    <s v="7017253595"/>
    <s v="ГЕО-23/10150/00017/Р"/>
    <s v=""/>
    <s v="1"/>
    <s v="Нетиповой ДД"/>
    <x v="4"/>
    <s v=""/>
    <s v="00286-23"/>
    <s v="1"/>
    <s v="Изменение №1 к Заявке на оказание услуг №1 к Договору №ГЕО-23/10150/00017/Р от «10» января 2023 г."/>
    <s v="Корректировка выданных ранее объемов в связи с изменением производственной программы"/>
    <s v="Ушакова М.А."/>
    <s v=""/>
    <s v="Договорный документ"/>
    <s v="Блок геологии и разработки"/>
    <s v="Волков Г.В."/>
    <s v="ЭП"/>
    <s v="С ограничением по срокам "/>
    <d v="2023-05-19T00:00:00"/>
    <d v="2025-12-31T00:00:00"/>
    <s v="Д-16"/>
    <s v="Газодинамические исследования"/>
    <s v="Расходная часть"/>
    <s v="Рамочный"/>
    <s v="20%"/>
    <s v=""/>
    <s v=""/>
    <s v="85 711 023.85"/>
    <s v="71 425 853.21"/>
    <s v="14 285 170.64"/>
    <s v="нет"/>
    <s v="нет"/>
    <s v=""/>
    <s v=""/>
    <s v=""/>
    <s v=""/>
    <s v="нет"/>
  </r>
  <r>
    <s v="Газпромнефть-ГЕО, ООО"/>
    <s v="0000058271"/>
    <s v="Зарегистрирован"/>
    <d v="2024-04-26T00:00:00"/>
    <d v="2024-05-15T00:00:00"/>
    <x v="42"/>
    <s v="7725696878"/>
    <s v="ГЕО-24/10000/00053/Р"/>
    <s v=""/>
    <s v="2"/>
    <s v="Нетиповой ДД"/>
    <x v="3"/>
    <s v=""/>
    <s v="00286-24"/>
    <s v=""/>
    <s v="Заказ-Наряд №2 к Договору ГЕО-24/10000/00053/Р от 18.03.2024 г."/>
    <s v="Создание единой сейсмогеологической модели на основе объединенной полноазимутальной обработки материалов полевых сейсморазведочных работ сезонов 2018-2021 годов на Центрально- Ямбургской площади и 2021-2023 годов на Восточно-Ямбургском участке в объеме 3420 км.кв» часть 2"/>
    <s v="Безруков А.А."/>
    <s v="Толмачев Е.О."/>
    <s v="Договорный документ"/>
    <s v="Блок геологии и разработки"/>
    <s v="Аксенов М.А."/>
    <s v="ЭП"/>
    <s v="До исполнения обязательств"/>
    <d v="2024-04-26T00:00:00"/>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01 962 524.00"/>
    <s v="84 968 770.00"/>
    <s v="16 993 754.00"/>
    <s v="нет"/>
    <s v="нет"/>
    <s v=""/>
    <s v=""/>
    <s v=""/>
    <s v=""/>
    <s v="да"/>
  </r>
  <r>
    <s v="Газпромнефть-ГЕО, ООО"/>
    <s v="0000011433"/>
    <s v="Зарегистрирован"/>
    <d v="2022-04-01T00:00:00"/>
    <s v=""/>
    <x v="174"/>
    <s v="8604005359"/>
    <s v="ГЕО-21/11104/00291/Р"/>
    <s v=""/>
    <s v="1"/>
    <s v="Нетиповой ДД"/>
    <x v="0"/>
    <s v=""/>
    <s v="00287-22"/>
    <s v=""/>
    <s v="ДС №1 к Договору №ГЕО-21/11104/00291/Р от 24.12.2021 г. на оказание авиационных услуг с использованием вертолетов "/>
    <s v="Сокращение сроков оплаты"/>
    <s v="Ушакова М.А."/>
    <s v="Ушакова М.А."/>
    <s v="Договорный документ"/>
    <s v="Блок снабжения и закупок"/>
    <s v="Титов А.В."/>
    <s v="На бумажном носителе"/>
    <s v="С ограничением по срокам "/>
    <d v="2022-04-01T00:00:00"/>
    <d v="2024-12-31T00:00:00"/>
    <s v="Д-56"/>
    <s v="Авиационное обслуживание (вертолеты)"/>
    <s v="Не предполагает взаиморасчетов"/>
    <s v="Стоимостной"/>
    <s v=""/>
    <s v=""/>
    <s v=""/>
    <s v=""/>
    <s v=""/>
    <s v=""/>
    <s v="нет"/>
    <s v="нет"/>
    <s v=""/>
    <s v=""/>
    <s v=""/>
    <s v=""/>
    <s v="нет"/>
  </r>
  <r>
    <s v="Газпромнефть-ГЕО, ООО"/>
    <s v=""/>
    <s v="Зарегистрирован"/>
    <d v="2023-07-04T00:00:00"/>
    <s v=""/>
    <x v="244"/>
    <s v=""/>
    <s v=""/>
    <s v="ГЕО-23/09000/00105/Р"/>
    <s v="ГЕО-23/09000/00105/Р"/>
    <s v="Нетиповой ДД"/>
    <x v="2"/>
    <s v=""/>
    <s v="00287-23"/>
    <s v=""/>
    <s v="подключение к приложению ГИД"/>
    <s v="подключение к приложению ГИД"/>
    <s v="Разумовский М.В."/>
    <s v="Разумовский М.В."/>
    <s v="Договорный документ"/>
    <s v="Блок геологии и разработки"/>
    <s v="Аксенов М.А."/>
    <s v="На бумажном носителе"/>
    <s v="С ограничением по срокам "/>
    <d v="2023-07-04T00:00:00"/>
    <d v="2024-07-04T00:00:00"/>
    <s v="Д-54"/>
    <s v="Договор возмездного оказания услуг"/>
    <s v="Расходная часть"/>
    <s v="Стоимостной"/>
    <s v="20%"/>
    <s v=""/>
    <s v=""/>
    <s v="3 900.00"/>
    <s v="3 250.00"/>
    <n v="650"/>
    <s v="нет"/>
    <s v="нет"/>
    <s v=""/>
    <s v=""/>
    <s v=""/>
    <s v=""/>
    <s v="нет"/>
  </r>
  <r>
    <s v="Газпромнефть-ГЕО, ООО"/>
    <s v="0000062421"/>
    <s v="Зарегистрирован"/>
    <d v="2024-05-05T00:00:00"/>
    <d v="2024-06-05T00:00:00"/>
    <x v="245"/>
    <s v="6924010964"/>
    <s v="ГЕО-22/11104/00265/Р"/>
    <s v=""/>
    <s v="4"/>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287-24"/>
    <s v=""/>
    <s v="ДС 4 к №ГЕО-22/11104/00265/Р от 15.10.2022г. с Авиакомпания Конверс Авиа, АО"/>
    <s v="актуализация ДД"/>
    <s v="Мормышев А.А."/>
    <s v="Леденев Ю.А."/>
    <s v="Договорный документ"/>
    <s v="Блок снабжения и закупок"/>
    <s v="Титов А.В."/>
    <s v="ЭП"/>
    <s v="До исполнения обязательств"/>
    <d v="2024-05-05T00:00:00"/>
    <s v=""/>
    <s v="Д-56"/>
    <s v="Авиационное обслуживание (вертолеты)"/>
    <s v="Не предполагает взаиморасчетов"/>
    <s v=""/>
    <s v=""/>
    <s v=""/>
    <s v=""/>
    <s v=""/>
    <s v=""/>
    <s v=""/>
    <s v="нет"/>
    <s v="нет"/>
    <s v=""/>
    <s v=""/>
    <s v=""/>
    <s v=""/>
    <s v="нет"/>
  </r>
  <r>
    <s v="Газпромнефть-ГЕО, ООО"/>
    <s v="0000019598"/>
    <s v="Зарегистрирован"/>
    <d v="2022-04-12T00:00:00"/>
    <s v=""/>
    <x v="63"/>
    <s v="9909012867"/>
    <s v=" ГЕО-19/11708/00134/Р"/>
    <s v=""/>
    <s v="1"/>
    <s v="Нетиповой ДД"/>
    <x v="0"/>
    <s v=""/>
    <s v="00288-22"/>
    <s v=""/>
    <s v="Дополнительное соглашение к Рамочному договору"/>
    <s v="Изменение срока оплаты"/>
    <s v="Ябиров Р.З."/>
    <s v="Ябиров Р.З."/>
    <s v="Договорный документ"/>
    <s v="Блок геологии и разработки"/>
    <s v="Аксенов М.А."/>
    <s v="На бумажном носителе"/>
    <s v="С ограничением по срокам "/>
    <d v="2022-04-12T00:00:00"/>
    <d v="2023-12-31T00:00:00"/>
    <s v="Д-54"/>
    <s v="Договор на выполнение НИР, ОКР и технологических работ"/>
    <s v="Не предполагает взаиморасчетов"/>
    <s v=""/>
    <s v=""/>
    <s v=""/>
    <s v=""/>
    <s v=""/>
    <s v=""/>
    <s v=""/>
    <s v="нет"/>
    <s v="нет"/>
    <s v=""/>
    <s v=""/>
    <s v=""/>
    <s v=""/>
    <s v="нет"/>
  </r>
  <r>
    <s v="Газпромнефть-ГЕО, ООО"/>
    <s v="0000104605"/>
    <s v="Зарегистрирован"/>
    <d v="2023-06-01T00:00:00"/>
    <s v=""/>
    <x v="55"/>
    <s v="9705112341"/>
    <s v="ГЕО-23/10000/00067/Р"/>
    <s v=""/>
    <s v="2"/>
    <s v="Типовой ДД"/>
    <x v="0"/>
    <s v="00000 ДС на изменение реквизитов контрагента (адрес, счет)"/>
    <s v="00288-23"/>
    <s v=""/>
    <s v="ДС №2 на изменение реквизитов контрагента "/>
    <s v="Внесение изменений в банковские реквизиты Исполнителя раздел 20 договора &quot;Реквизиты и подписи сторон&quot; "/>
    <s v="Безруков А.А."/>
    <s v="Кузьмин Е.А."/>
    <s v="Договорный документ"/>
    <s v="Блок бурения и ВСР"/>
    <s v="Аксенов М.А."/>
    <s v="ЭП"/>
    <s v="До исполнения обязательств"/>
    <d v="2023-06-01T00:00:00"/>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
    <s v="Проект"/>
    <s v=""/>
    <s v=""/>
    <x v="246"/>
    <s v=""/>
    <s v=""/>
    <s v=""/>
    <s v=""/>
    <s v="Нетиповой ДД"/>
    <x v="2"/>
    <s v=""/>
    <s v="00288-24"/>
    <s v=""/>
    <s v="Экспертно-методическое сопровождение работ по отбору проб пластовых флюидов под давлением"/>
    <s v="Выполнение услуг по экспертно-методическому сопровождению работ по отбору проб пластовых флюидов под давлением"/>
    <s v="Блинова Д.М."/>
    <s v="Блинова Д.М."/>
    <s v="Договорный документ"/>
    <s v="Управление экономического планирования и анализа"/>
    <s v="Аксенов М.А."/>
    <s v=""/>
    <s v="До исполнения обязательств"/>
    <d v="2024-05-02T00:00:00"/>
    <s v=""/>
    <s v="Д-54"/>
    <s v="Договор возмездного оказания услуг"/>
    <s v="Доходная часть"/>
    <s v="Рамочный"/>
    <s v="20%"/>
    <s v=""/>
    <s v=""/>
    <s v="24 060 579.12"/>
    <s v="20 050 482.60"/>
    <s v="4 010 096.52"/>
    <s v="нет"/>
    <s v="нет"/>
    <s v=""/>
    <s v=""/>
    <s v=""/>
    <s v=""/>
    <s v="нет"/>
  </r>
  <r>
    <s v="Газпромнефть-ГЕО, ООО"/>
    <s v="0000045789"/>
    <s v="Зарегистрирован"/>
    <d v="2022-04-12T00:00:00"/>
    <s v=""/>
    <x v="16"/>
    <s v="7838395487"/>
    <s v="ГЕО-21/11708/00165/Р"/>
    <s v=""/>
    <s v="НТЦ-03007-21Д-ГЕО"/>
    <s v="Нетиповой ДД"/>
    <x v="3"/>
    <s v=""/>
    <s v="00289-22"/>
    <s v=""/>
    <s v="Сервис по управлению геолого-геофизическими и геолого-промысловыми данными по проектам ООО «Газпромнефть-ГЕО»"/>
    <s v="Сопровождение информационных систем и баз данных сейсморазведочных работ"/>
    <s v="Ябиров Р.З."/>
    <s v="Ябиров Р.З."/>
    <s v="Договорный документ"/>
    <s v="Блок геологии и разработки"/>
    <s v="Аксенов М.А."/>
    <s v="На бумажном носителе"/>
    <s v="С ограничением по срокам "/>
    <d v="2022-04-12T00:00:00"/>
    <d v="2022-12-30T00:00:00"/>
    <s v="Д-54"/>
    <s v="НИОКР, НИР прочие"/>
    <s v="Расходная часть"/>
    <s v="Рамочный"/>
    <s v="20%"/>
    <s v=""/>
    <s v=""/>
    <s v="8 290 132.80"/>
    <s v="6 908 444.00"/>
    <s v="1 381 688.80"/>
    <s v="нет"/>
    <s v="нет"/>
    <s v=""/>
    <s v=""/>
    <s v=""/>
    <s v=""/>
    <s v="нет"/>
  </r>
  <r>
    <s v="Газпромнефть-ГЕО, ООО"/>
    <s v="0000052955"/>
    <s v="Зарегистрирован"/>
    <d v="2023-05-24T00:00:00"/>
    <s v=""/>
    <x v="127"/>
    <s v="8602068466"/>
    <s v="№ГЕО-21 /11031 /00040/Р"/>
    <s v=""/>
    <s v="9"/>
    <s v="Нетиповой ДД"/>
    <x v="0"/>
    <s v=""/>
    <s v="00289-23"/>
    <s v=""/>
    <s v="ДС №9 к Договору № ГЕО-21/11031/00040/Р от 01.03.2023г."/>
    <s v="Продление срока выполнения работ, срока действия договора без изменения общей стоимости по Договору (с корректировкой ранее выданного Наряд-заказа), а также дополнение Договора Приложением №16 «Оценочный лист эффективности деятельности контрагента»."/>
    <s v="Крутова Е.С."/>
    <s v="Кукленков М.А."/>
    <s v="Договорный документ"/>
    <s v="Департамент капитального строительства"/>
    <s v="Перфильев Д.А."/>
    <s v="На бумажном носителе"/>
    <s v="До исполнения обязательств"/>
    <d v="2023-05-24T00:00:00"/>
    <s v=""/>
    <s v="Д-61"/>
    <s v="Капитальное строительство и ПИР"/>
    <s v="Не предполагает взаиморасчетов"/>
    <s v=""/>
    <s v=""/>
    <s v=""/>
    <s v=""/>
    <s v=""/>
    <s v=""/>
    <s v=""/>
    <s v="нет"/>
    <s v="нет"/>
    <s v=""/>
    <s v=""/>
    <s v=""/>
    <s v=""/>
    <s v="нет"/>
  </r>
  <r>
    <s v="Газпромнефть-ГЕО, ООО"/>
    <s v="0000085349"/>
    <s v="Проект"/>
    <d v="2024-05-02T00:00:00"/>
    <s v=""/>
    <x v="140"/>
    <s v="5610220126"/>
    <s v="ГЕО-22/10000/00065/Р"/>
    <s v=""/>
    <s v="8"/>
    <s v="Нетиповой ДД"/>
    <x v="0"/>
    <s v=""/>
    <s v="00289-24"/>
    <s v=""/>
    <s v="О исключении банковского сопровождения"/>
    <s v="Исключить Банковское сопровождение из Договора "/>
    <s v="Бикташев Р.С."/>
    <s v="Бикташев Р.С."/>
    <s v="Договорный документ"/>
    <s v="Производственно-технологический департамент"/>
    <s v="Трифонов А.В."/>
    <s v="ЭП"/>
    <s v="Без сроков "/>
    <s v=""/>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0000037846"/>
    <s v="Зарегистрирован"/>
    <d v="2022-05-01T00:00:00"/>
    <s v=""/>
    <x v="26"/>
    <s v="8905032518"/>
    <s v="ГЕО-22/09000/00020/Р"/>
    <s v=""/>
    <s v="1"/>
    <s v="Нетиповой ДД"/>
    <x v="0"/>
    <s v=""/>
    <s v="00290-22"/>
    <s v=""/>
    <s v="Дополнительное соглашение о перераспределении гарантированного и негарантированного объема"/>
    <s v="- перевод части гарантированного объема в негарантированный_x000d__x000a_- ввод новой ставки (расценки) за промежуточное решение по услугам связи"/>
    <s v="Сорокин И.М."/>
    <s v="Сорокин И.М."/>
    <s v="Договорный документ"/>
    <s v="Блок геологии и разработки"/>
    <s v="Аксенов М.А."/>
    <s v="На бумажном носителе"/>
    <s v="С ограничением по срокам "/>
    <d v="2022-05-01T00:00:00"/>
    <d v="2026-12-31T00:00:00"/>
    <s v="Д-54"/>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39714"/>
    <s v="Зарегистрирован"/>
    <d v="2023-06-01T00:00:00"/>
    <s v=""/>
    <x v="1"/>
    <s v="7734033757"/>
    <s v="ГЕО-21/10114/00257/Р"/>
    <s v=""/>
    <s v="7"/>
    <s v="Нетиповой ДД"/>
    <x v="3"/>
    <s v=""/>
    <s v="00290-23"/>
    <s v=""/>
    <s v="Наряд-заказ №7 на оказание услуг по Договору № ГЕО-21/10114/00257/Р от 22.11.2021г. "/>
    <s v="Оказание услуг по супервайзерскому контролю технологии полевых сейсморазведочных работ на Ягодном лицензионном участке."/>
    <s v="Безруков А.А."/>
    <s v="Дакиров В.С."/>
    <s v="Договорный документ"/>
    <s v="Блок геологии и разработки"/>
    <s v="Аксенов М.А."/>
    <s v="ЭП"/>
    <s v="До исполнения обязательств"/>
    <d v="2023-06-01T00:00:00"/>
    <s v=""/>
    <s v="Д-54"/>
    <s v="Супервайзерские услуги полевых работ площадными геофизическими методами"/>
    <s v="Расходная часть"/>
    <s v="Стоимостной"/>
    <s v="20%"/>
    <s v=""/>
    <s v=""/>
    <s v="998 874.00"/>
    <s v="832 395.00"/>
    <s v="166 479.00"/>
    <s v="нет"/>
    <s v="нет"/>
    <s v=""/>
    <s v=""/>
    <s v=""/>
    <s v=""/>
    <s v="нет"/>
  </r>
  <r>
    <s v="Газпромнефть-ГЕО, ООО"/>
    <s v="0000085349"/>
    <s v="Зарегистрирован"/>
    <d v="2024-05-02T00:00:00"/>
    <d v="2024-05-16T00:00:00"/>
    <x v="140"/>
    <s v="5610220126"/>
    <s v="ГЕО-22/10000/00065/Р"/>
    <s v=""/>
    <s v="8"/>
    <s v="Нетиповой ДД"/>
    <x v="0"/>
    <s v=""/>
    <s v="00290-24"/>
    <s v=""/>
    <s v="ДС № 8 к договору на оказание услуг по испытанию геологоразведочных скважин № ГЕО-22/10000/00065/Р от 31.03.2022 г."/>
    <s v="Об исключении банковского сопровождения "/>
    <s v="Бикташев Р.С."/>
    <s v="Бикташев Р.С."/>
    <s v="Договорный документ"/>
    <s v="Производственно-технологический департамент"/>
    <s v="Перфильев Д.А."/>
    <s v="ЭП"/>
    <s v="С ограничением по срокам "/>
    <d v="2024-05-02T00:00:00"/>
    <d v="2024-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0000068974"/>
    <s v="Зарегистрирован"/>
    <d v="2022-04-12T00:00:00"/>
    <s v=""/>
    <x v="81"/>
    <s v="3808120671"/>
    <s v="№ ГЕО-19/09000/00180/Р от 05.08.2019г. на оказание охранных услуг"/>
    <s v=""/>
    <s v="9"/>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91-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Страдымов А.Г."/>
    <s v="Страдымов А.Г."/>
    <s v="Договорный документ"/>
    <s v="Блок корпоративной защиты"/>
    <s v="Созинов С.А."/>
    <s v="На бумажном носителе"/>
    <s v="Без сроков "/>
    <d v="2022-04-12T00:00:00"/>
    <s v=""/>
    <s v="Д-60"/>
    <s v="Договор возмездного оказания услуг"/>
    <s v="Не предполагает взаиморасчетов"/>
    <s v=""/>
    <s v=""/>
    <s v=""/>
    <s v=""/>
    <s v=""/>
    <s v=""/>
    <s v=""/>
    <s v="нет"/>
    <s v="нет"/>
    <s v=""/>
    <s v=""/>
    <s v=""/>
    <s v=""/>
    <s v="нет"/>
  </r>
  <r>
    <s v="Газпромнефть-ГЕО, ООО"/>
    <s v="0000107705"/>
    <s v="Зарегистрирован"/>
    <d v="2023-05-26T00:00:00"/>
    <s v=""/>
    <x v="247"/>
    <s v="470517442466"/>
    <s v="ГЕО-22/25000/00302/Р"/>
    <s v=""/>
    <s v="СОР"/>
    <s v="Нетиповой ДД"/>
    <x v="10"/>
    <s v=""/>
    <s v="00291-23"/>
    <s v=""/>
    <s v="Соглашение о расторжении Договора возмездного оказания услуг № ГЕО-22/25000/00302/Р от 23.11.2022 г."/>
    <s v="Досрочное расторжение договора на оказание услуг"/>
    <s v="Аршинина М.Н."/>
    <s v="Аршинина М.Н."/>
    <s v="Договорный документ"/>
    <s v="Блок корпоративной защиты"/>
    <s v="Масалкин Ю.В."/>
    <s v="На бумажном носителе"/>
    <s v="До исполнения обязательств"/>
    <d v="2023-05-25T00:00:00"/>
    <s v=""/>
    <s v=""/>
    <s v="Договор оказания услуг с физическим лицом"/>
    <s v="Не предполагает взаиморасчетов"/>
    <s v="Стоимостной"/>
    <s v=""/>
    <s v=""/>
    <s v=""/>
    <s v=""/>
    <s v=""/>
    <s v=""/>
    <s v="нет"/>
    <s v="нет"/>
    <s v=""/>
    <s v=""/>
    <s v=""/>
    <s v=""/>
    <s v="нет"/>
  </r>
  <r>
    <s v="Газпромнефть-ГЕО, ООО"/>
    <s v="0000040642"/>
    <s v="Зарегистрирован"/>
    <d v="2024-05-13T00:00:00"/>
    <s v=""/>
    <x v="4"/>
    <s v="7736035485"/>
    <s v="ГЕО-23/17000/00231/Р"/>
    <s v=""/>
    <s v="1"/>
    <s v="Нетиповой ДД"/>
    <x v="0"/>
    <s v=""/>
    <s v="00291-24"/>
    <s v=""/>
    <s v="Дополнительное соглашение №1 к договору страхования от несчастных случаев и болезней 0624 LA 000079/ГЕО-23/17000/00231/Р от «29» декабря 2023 г"/>
    <s v="Пересмотр численности застрахованных лиц по договору, в связи приемом новых сотрудников и увольнением сотрудников ООО &quot;ГПН-ГЕО&quot;"/>
    <s v="Северюхина Н.В."/>
    <s v="Северюхина Н.В."/>
    <s v="Договорный документ"/>
    <s v="Управление по работе с персоналом"/>
    <s v="Николаев М.Н."/>
    <s v="На бумажном носителе"/>
    <s v="С ограничением по срокам "/>
    <d v="2024-05-13T00:00:00"/>
    <d v="2024-12-31T00:00:00"/>
    <s v="Д-15"/>
    <s v="Договор страхования"/>
    <s v="Расходная часть"/>
    <s v="Агентский"/>
    <s v="без НДС"/>
    <s v=""/>
    <s v=""/>
    <s v="1 398.04"/>
    <s v="1 398.04"/>
    <n v="0"/>
    <s v="нет"/>
    <s v="нет"/>
    <s v=""/>
    <s v=""/>
    <s v=""/>
    <s v=""/>
    <s v="нет"/>
  </r>
  <r>
    <s v="Газпромнефть-ГЕО, ООО"/>
    <s v="0000068974"/>
    <s v="Зарегистрирован"/>
    <d v="2022-04-12T00:00:00"/>
    <s v=""/>
    <x v="81"/>
    <s v="3808120671"/>
    <s v="№ ГЕО-20/09000/00050/Р от 31.03.2020г."/>
    <s v=""/>
    <s v="9"/>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92-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Страдымов А.Г."/>
    <s v="Страдымов А.Г."/>
    <s v="Договорный документ"/>
    <s v="Блок корпоративной защиты"/>
    <s v="Созинов С.А."/>
    <s v="На бумажном носителе"/>
    <s v="Без сроков "/>
    <d v="2022-04-12T00:00:00"/>
    <s v=""/>
    <s v="Д-60"/>
    <s v="Договор возмездного оказания услуг"/>
    <s v="Не предполагает взаиморасчетов"/>
    <s v=""/>
    <s v=""/>
    <s v=""/>
    <s v=""/>
    <s v=""/>
    <s v=""/>
    <s v=""/>
    <s v="нет"/>
    <s v="нет"/>
    <s v=""/>
    <s v=""/>
    <s v=""/>
    <s v=""/>
    <s v="нет"/>
  </r>
  <r>
    <s v="Газпромнефть-ГЕО, ООО"/>
    <s v="0000066687"/>
    <s v="Проект"/>
    <s v=""/>
    <s v=""/>
    <x v="161"/>
    <s v="9909012867"/>
    <s v=""/>
    <s v=""/>
    <s v=""/>
    <s v="Нетиповой ДД"/>
    <x v="1"/>
    <s v=""/>
    <s v="00292-23"/>
    <s v=""/>
    <s v="Соглашение о безопасном использовании информационных систем"/>
    <s v="Соглашение о безопасном использовании информационных систем_x000d__x000a_"/>
    <s v="Бикташев Р.С."/>
    <s v="Бикташев Р.С."/>
    <s v="Договорный документ"/>
    <s v="Производственно-технологический департамент"/>
    <s v="Перфильев Д.А."/>
    <s v="ЭП"/>
    <s v="С ограничением по срокам "/>
    <d v="2023-05-30T00:00:00"/>
    <d v="2026-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1627"/>
    <s v="Зарегистрирован"/>
    <d v="2020-06-17T00:00:00"/>
    <s v=""/>
    <x v="79"/>
    <s v="7728606167"/>
    <s v="ГЕО-20/09000/00093/Д"/>
    <s v=""/>
    <s v="1"/>
    <s v="Нетиповой ДД"/>
    <x v="0"/>
    <s v=""/>
    <s v="00293-21"/>
    <s v=""/>
    <s v="ДС №1 к договору об оказании услуг"/>
    <s v="Изменение стоиости договора"/>
    <s v="Мусолов С.Н."/>
    <s v=""/>
    <s v="Договорный документ"/>
    <s v="Кластер «Интеграция, совместные предприятия, зарубежные активы»"/>
    <s v="Масалкин Ю.В."/>
    <s v="На бумажном носителе"/>
    <s v="До исполнения обязательств"/>
    <d v="2020-10-26T00:00:00"/>
    <s v=""/>
    <s v=""/>
    <s v="Договор возмездного оказания услуг"/>
    <s v="Доходная часть"/>
    <s v="Стоимостной"/>
    <s v="20%"/>
    <s v=""/>
    <s v=""/>
    <s v="62 448 000.00"/>
    <s v="52 040 000.00"/>
    <s v="10 408 000.00"/>
    <s v="нет"/>
    <s v="нет"/>
    <s v=""/>
    <s v=""/>
    <s v=""/>
    <s v=""/>
    <s v="нет"/>
  </r>
  <r>
    <s v="Газпромнефть-ГЕО, ООО"/>
    <s v="0000068974"/>
    <s v="Зарегистрирован"/>
    <d v="2022-04-12T00:00:00"/>
    <s v=""/>
    <x v="81"/>
    <s v="3808120671"/>
    <s v="№ ГЕО-21/09000/00250/Р от 08.11.2021г."/>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93-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Страдымов А.Г."/>
    <s v="Страдымов А.Г."/>
    <s v="Договорный документ"/>
    <s v="Блок корпоративной защиты"/>
    <s v="Созинов С.А."/>
    <s v="На бумажном носителе"/>
    <s v="Без сроков "/>
    <d v="2022-04-12T00:00:00"/>
    <s v=""/>
    <s v="Д-60"/>
    <s v="Договор возмездного оказания услуг"/>
    <s v="Не предполагает взаиморасчетов"/>
    <s v=""/>
    <s v=""/>
    <s v=""/>
    <s v=""/>
    <s v=""/>
    <s v=""/>
    <s v=""/>
    <s v="нет"/>
    <s v="нет"/>
    <s v=""/>
    <s v=""/>
    <s v=""/>
    <s v=""/>
    <s v="нет"/>
  </r>
  <r>
    <s v="Газпромнефть-ГЕО, ООО"/>
    <s v="0000104605"/>
    <s v="Зарегистрирован"/>
    <d v="2023-06-01T00:00:00"/>
    <s v=""/>
    <x v="55"/>
    <s v="9705112341"/>
    <s v=""/>
    <s v="ГЕО-23/33400/00095"/>
    <s v="ГЕО-23/33400/00095"/>
    <s v="Нетиповой ДД"/>
    <x v="1"/>
    <s v=""/>
    <s v="00293-23"/>
    <s v=""/>
    <s v="Соглашение о безопасном использовании информационных систем"/>
    <s v="Предоставление доступа к автоматизированной информационной системе «СУДИР» (далее – «СУДИР»)"/>
    <s v="Мячина М.В."/>
    <s v="Мячина М.В."/>
    <s v="Договорный документ"/>
    <s v="Отдел подготовительных работ и экономического анализа"/>
    <s v="Шакирзянов Л.Н."/>
    <s v="ЭП"/>
    <s v="С ограничением по срокам "/>
    <d v="2023-06-01T00:00:00"/>
    <d v="2025-12-31T00:00:00"/>
    <s v="Д-2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71795"/>
    <s v="Зарегистрирован"/>
    <d v="2022-04-11T00:00:00"/>
    <s v=""/>
    <x v="125"/>
    <s v="8913008090"/>
    <s v="ГЕО-22/11029/00004/Р "/>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94-22"/>
    <s v="1"/>
    <s v="Дополнительное соглашение (ДС) №2  к договору, содержащее условия применения усиленной квалифицированной электронной подписи (УКЭП) при подписании ДД (ЭД в части ДД)"/>
    <s v="Применения усиленной квалифицированной электронной подписи (УКЭП) при подписании ДД"/>
    <s v="Крутова Е.С."/>
    <s v="Крутова Е.С."/>
    <s v="Договорный документ"/>
    <s v="Департамент капитального строительства"/>
    <s v="Перфильев Д.А."/>
    <s v="На бумажном носителе"/>
    <s v="До исполнения обязательств"/>
    <d v="2022-04-11T00:00:00"/>
    <s v=""/>
    <s v="Д-61"/>
    <s v="Капитальное строительство и ПИР"/>
    <s v="Не предполагает взаиморасчетов"/>
    <s v=""/>
    <s v=""/>
    <s v=""/>
    <s v=""/>
    <s v=""/>
    <s v=""/>
    <s v=""/>
    <s v="нет"/>
    <s v="нет"/>
    <s v=""/>
    <s v=""/>
    <s v=""/>
    <s v=""/>
    <s v="нет"/>
  </r>
  <r>
    <s v="Газпромнефть-ГЕО, ООО"/>
    <s v="0000105643"/>
    <s v="Зарегистрирован"/>
    <d v="2023-05-19T00:00:00"/>
    <s v=""/>
    <x v="25"/>
    <s v="7717693190"/>
    <s v="ГЕО-22/10120/00208/Р"/>
    <s v=""/>
    <s v="1"/>
    <s v="Нетиповой ДД"/>
    <x v="4"/>
    <s v=""/>
    <s v="00294-23"/>
    <s v="1"/>
    <s v="Изменение №1 к Наряд-заказу на производство работ №1 к Договору №ГЕО-22/10120/00208/Р от «18» августа 2022г."/>
    <s v="Корректировка ранее выданных объемов в связи с изменением производственной программы "/>
    <s v="Ушакова М.А."/>
    <s v=""/>
    <s v="Договорный документ"/>
    <s v="Блок геологии и разработки"/>
    <s v="Волков Г.В."/>
    <s v="ЭП"/>
    <s v="С ограничением по срокам "/>
    <d v="2023-05-19T00:00:00"/>
    <d v="2025-12-31T00:00:00"/>
    <s v="Д-16"/>
    <s v="Гидродинамические исследования"/>
    <s v="Расходная часть"/>
    <s v="Стоимостной"/>
    <s v="20%"/>
    <s v=""/>
    <s v=""/>
    <s v="257 845 090.80"/>
    <s v="214 870 909.00"/>
    <s v="42 974 181.80"/>
    <s v="нет"/>
    <s v="нет"/>
    <s v=""/>
    <s v=""/>
    <s v=""/>
    <s v=""/>
    <s v="нет"/>
  </r>
  <r>
    <s v="Газпромнефть-ГЕО, ООО"/>
    <s v="0000074858"/>
    <s v="Зарегистрирован"/>
    <d v="2021-06-01T00:00:00"/>
    <s v=""/>
    <x v="248"/>
    <s v="5609097622"/>
    <s v=""/>
    <s v="ГЕО-21/00000/00139"/>
    <s v="ГЕО-21/00000/00139"/>
    <s v="Типовой ДД"/>
    <x v="1"/>
    <s v="00000 Соглашение об электронном документообороте"/>
    <s v="00295-21"/>
    <s v=""/>
    <s v="00000 Соглашение об электронном документообороте"/>
    <s v="Переход на ЭДО"/>
    <s v="Титова Е.В."/>
    <s v="Титова Екатерина Владимировна"/>
    <s v="Договорный документ"/>
    <s v="Блок по закупкам"/>
    <s v="Титов А.В."/>
    <s v="На бумажном носителе"/>
    <s v="До исполнения обязательств"/>
    <d v="2021-06-01T00:00:00"/>
    <s v=""/>
    <s v="Д-11"/>
    <s v="ПРОЧИЕ ДОГОВОРЫ"/>
    <s v="Не предполагает взаиморасчетов"/>
    <s v=""/>
    <s v=""/>
    <s v=""/>
    <s v=""/>
    <s v=""/>
    <s v=""/>
    <s v=""/>
    <s v="нет"/>
    <s v="нет"/>
    <s v=""/>
    <s v=""/>
    <s v=""/>
    <s v=""/>
    <s v="нет"/>
  </r>
  <r>
    <s v="Газпромнефть-ГЕО, ООО"/>
    <s v="0000040878"/>
    <s v="Закрыт"/>
    <d v="2022-04-30T00:00:00"/>
    <s v=""/>
    <x v="40"/>
    <s v="7826711272"/>
    <s v=""/>
    <s v="ГЕО-22/01200/00095/Р"/>
    <s v="ГЕО-22/01200/00095/Р"/>
    <s v="Нетиповой ДД"/>
    <x v="2"/>
    <s v=""/>
    <s v="00295-22"/>
    <s v=""/>
    <s v="Договор поставки кспресс - тестов на COVID 19 GeneFinder 25 000 штук"/>
    <s v="Поставка экспресс - тестов на COVID 19 GeneFinder 25 000 штук"/>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4-30T00:00:00"/>
    <d v="2022-12-31T00:00:00"/>
    <s v="Д-56"/>
    <s v="Договор поставки/купли продажи движимого имущества"/>
    <s v="Расходная часть"/>
    <s v="Стоимостной"/>
    <s v="10%"/>
    <s v=""/>
    <s v=""/>
    <s v="17 722 650.00"/>
    <s v="16 111 500.00"/>
    <s v="1 611 150.00"/>
    <s v="нет"/>
    <s v="нет"/>
    <s v=""/>
    <s v=""/>
    <s v=""/>
    <s v=""/>
    <s v="нет"/>
  </r>
  <r>
    <s v="Газпромнефть-ГЕО, ООО"/>
    <s v="0000047295"/>
    <s v="Зарегистрирован"/>
    <d v="2023-05-31T00:00:00"/>
    <s v=""/>
    <x v="150"/>
    <s v="7708639661"/>
    <s v="ГЕО-22/10419/00039/Р"/>
    <s v=""/>
    <s v="5"/>
    <s v="Нетиповой ДД"/>
    <x v="0"/>
    <s v=""/>
    <s v="00295-23"/>
    <s v=""/>
    <s v="Дополнительное соглашение к действующему договору"/>
    <s v="Увеличение объема работ и продление сроков действия"/>
    <s v="Раковица Д.К."/>
    <s v="Раковица Д.К."/>
    <s v="Договорный документ"/>
    <s v="Отдел подготовительных работ и экономического анализа"/>
    <s v="Волков Г.В."/>
    <s v="ЭП"/>
    <s v="До исполнения обязательств"/>
    <d v="2023-05-01T00:00:00"/>
    <s v=""/>
    <s v="Д-16"/>
    <s v="Услуги  по свинчиванию и спуску труб и НКТ, включая оборудование, инженерную поддержку и инструменты. Запись и предоставлнение момента свинчивания в цифровом виде"/>
    <s v="Расходная часть"/>
    <s v="Стоимостной"/>
    <s v="20%"/>
    <s v=""/>
    <s v=""/>
    <s v="36 600 000.00"/>
    <s v="30 500 000.00"/>
    <s v="6 100 000.00"/>
    <s v="нет"/>
    <s v="нет"/>
    <s v=""/>
    <s v=""/>
    <s v=""/>
    <s v=""/>
    <s v="нет"/>
  </r>
  <r>
    <s v="Газпромнефть-ГЕО, ООО"/>
    <s v="0000048356"/>
    <s v="Зарегистрирован"/>
    <d v="2023-05-31T00:00:00"/>
    <s v=""/>
    <x v="152"/>
    <s v="8601034898"/>
    <s v="ГЕО-22/10000/00144/Р"/>
    <s v=""/>
    <s v="7"/>
    <s v="Нетиповой ДД"/>
    <x v="3"/>
    <s v=""/>
    <s v="00296-23"/>
    <s v=""/>
    <s v="Наряд - заказ № 7 к ДОГОВОРУ № ГЕО-22/10000/00144/Р от 27.06.2022г."/>
    <s v="оказание услуг в области пожарной безопасности по проекту «Южный Оренбург» (Западно - Рубежинского ЛУ; скважина № 401)."/>
    <s v="Автеньев М.В."/>
    <s v="Белоусов О.В."/>
    <s v="Договорный документ"/>
    <s v="Блок производственной безопасности"/>
    <s v="Ядрышников П.Н."/>
    <s v="ЭП"/>
    <s v="С ограничением по срокам "/>
    <d v="2023-06-08T00:00:00"/>
    <d v="2023-08-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 172 043.08"/>
    <s v="1 810 035.90"/>
    <s v="362 007.18"/>
    <s v="нет"/>
    <s v="нет"/>
    <s v=""/>
    <s v=""/>
    <s v=""/>
    <s v=""/>
    <s v="нет"/>
  </r>
  <r>
    <s v="Газпромнефть-ГЕО, ООО"/>
    <s v="0000073438"/>
    <s v="Зарегистрирован"/>
    <d v="2021-04-28T00:00:00"/>
    <s v=""/>
    <x v="68"/>
    <s v="7720330291"/>
    <s v="ГЕО-19/10187/00123/Р от «30» мая 2019 г."/>
    <s v=""/>
    <s v="ДС №6 к Договору № ГЕО-19/10187/00123/Р от «30» мая 2019 г."/>
    <s v="Нетиповой ДД"/>
    <x v="0"/>
    <s v=""/>
    <s v="00297-21"/>
    <s v=""/>
    <s v="ДС №6 к Договору № ГЕО-19/10187/00123/Р от «30» мая 2019 г."/>
    <s v="Перевод негарантированного объема в гарантированный"/>
    <s v="Коротков С.П."/>
    <s v=""/>
    <s v="Договорный документ"/>
    <s v="Управление по разработке"/>
    <s v="Аксенов М.А."/>
    <s v="На бумажном носителе"/>
    <s v="С ограничением по срокам "/>
    <d v="2021-05-28T00:00:00"/>
    <d v="2021-12-31T00:00:00"/>
    <s v="Д-3"/>
    <s v="Оценка ресурсов участков, планируемых к лицензированию"/>
    <s v="Расходная часть"/>
    <s v="Рамочный"/>
    <s v="20%"/>
    <s v=""/>
    <s v=""/>
    <n v="0.01"/>
    <n v="0.01"/>
    <n v="0"/>
    <s v="нет"/>
    <s v="нет"/>
    <s v=""/>
    <s v=""/>
    <s v=""/>
    <s v=""/>
    <s v="нет"/>
  </r>
  <r>
    <s v="Газпромнефть-ГЕО, ООО"/>
    <s v="0000048356"/>
    <s v="Зарегистрирован"/>
    <d v="2023-05-31T00:00:00"/>
    <s v=""/>
    <x v="152"/>
    <s v="8601034898"/>
    <s v="ГЕО-22/10000/00144/Р"/>
    <s v=""/>
    <s v="8"/>
    <s v="Нетиповой ДД"/>
    <x v="3"/>
    <s v=""/>
    <s v="00297-23"/>
    <s v=""/>
    <s v="Наряд-Заказ № 8 к ДОГОВОРУ № ГЕО-22/10000/00144/Р от 27.06.2022г."/>
    <s v="оказание услуг в области пожарной безопасности по проекту «Чона» (ОПО «Нефтеналив»)."/>
    <s v="Автеньев М.В."/>
    <s v="Белоусов О.В."/>
    <s v="Договорный документ"/>
    <s v="Блок производственной безопасности"/>
    <s v="Ядрышников П.Н."/>
    <s v="ЭП"/>
    <s v="С ограничением по срокам "/>
    <d v="2023-06-01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5 270 198.40"/>
    <s v="12 725 165.33"/>
    <s v="2 545 033.07"/>
    <s v="нет"/>
    <s v="нет"/>
    <s v=""/>
    <s v=""/>
    <s v=""/>
    <s v=""/>
    <s v="нет"/>
  </r>
  <r>
    <s v="Газпромнефть-ГЕО, ООО"/>
    <s v="0000084590"/>
    <s v="Зарегистрирован"/>
    <d v="2024-06-01T00:00:00"/>
    <d v="2024-05-17T00:00:00"/>
    <x v="61"/>
    <s v="7708277130"/>
    <s v="ГЕО-23/09000/00149/Р"/>
    <s v=""/>
    <s v="17"/>
    <s v="Нетиповой ДД"/>
    <x v="3"/>
    <s v=""/>
    <s v="00297-24"/>
    <s v=""/>
    <s v="Заявка № 17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е «Южный Оренбург», скв. № 401, Западно-Рубежинский ЛУ."/>
    <s v="Фокин Е.В."/>
    <s v="Фокин Е.В."/>
    <s v="Договорный документ"/>
    <s v="Управление производственной безопасности"/>
    <s v="Ядрышников П.Н."/>
    <s v="ЭП"/>
    <s v="С ограничением по срокам "/>
    <d v="2024-06-01T00:00:00"/>
    <d v="2024-07-31T00:00:00"/>
    <s v="Д-51"/>
    <s v="Договор возмездного оказания услуг"/>
    <s v="Расходная часть"/>
    <s v="Рамочный"/>
    <s v="20%"/>
    <s v=""/>
    <s v=""/>
    <s v="1 955 542.15"/>
    <s v="1 629 618.46"/>
    <s v="325 923.69"/>
    <s v="нет"/>
    <s v="нет"/>
    <s v=""/>
    <s v=""/>
    <s v=""/>
    <s v=""/>
    <s v="нет"/>
  </r>
  <r>
    <s v="Газпромнефть-ГЕО, ООО"/>
    <s v="0000067167"/>
    <s v="Зарегистрирован"/>
    <d v="2022-04-14T00:00:00"/>
    <s v=""/>
    <x v="145"/>
    <s v="7719520026"/>
    <s v="ГЕО-20/11014/00070/Р "/>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298-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одписание усиленной квалифицированной электронной подписью документов "/>
    <s v="Калугина С.Б."/>
    <s v="Бабаев Д.Г."/>
    <s v="Договорный документ"/>
    <s v="Департамент капитального строительства"/>
    <s v="Перфильев Д.А."/>
    <s v="На бумажном носителе"/>
    <s v="До исполнения обязательств"/>
    <d v="2022-04-12T00:00:00"/>
    <s v=""/>
    <s v="Д-61"/>
    <s v="Капитальное строительство и ПИР"/>
    <s v="Не предполагает взаиморасчетов"/>
    <s v=""/>
    <s v=""/>
    <s v=""/>
    <s v=""/>
    <s v=""/>
    <s v=""/>
    <s v=""/>
    <s v="нет"/>
    <s v="нет"/>
    <s v=""/>
    <s v=""/>
    <s v=""/>
    <s v=""/>
    <s v="нет"/>
  </r>
  <r>
    <s v="Газпромнефть-ГЕО, ООО"/>
    <s v="0000044973"/>
    <s v="Зарегистрирован"/>
    <d v="2023-06-01T00:00:00"/>
    <s v=""/>
    <x v="158"/>
    <s v="7709413265"/>
    <s v="ГЕО-22/07100/00042/Р"/>
    <s v=""/>
    <s v="5"/>
    <s v="Нетиповой ДД"/>
    <x v="0"/>
    <s v=""/>
    <s v="00298-23"/>
    <s v=""/>
    <s v="Дополнительное соглашение №5 с ТКШ"/>
    <s v="Раскрытие ГО, перераспределение объемов, пролонгация на 2024 "/>
    <s v="Яшкина К.Л."/>
    <s v="Веселкин А.С."/>
    <s v="Договорный документ"/>
    <s v="Блок бурения и ВСР"/>
    <s v="Трифонов А.В."/>
    <s v="ЭП"/>
    <s v="С ограничением по срокам "/>
    <d v="2023-06-01T00:00:00"/>
    <d v="2024-05-0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4 642 472.01"/>
    <s v="12 202 060.01"/>
    <s v="2 440 412.00"/>
    <s v="нет"/>
    <s v="нет"/>
    <s v=""/>
    <s v=""/>
    <s v=""/>
    <s v=""/>
    <s v="нет"/>
  </r>
  <r>
    <s v="Газпромнефть-ГЕО, ООО"/>
    <s v="0000019598"/>
    <s v="Зарегистрирован"/>
    <d v="2024-05-01T00:00:00"/>
    <s v=""/>
    <x v="63"/>
    <s v="9909012867"/>
    <s v="ГЕО-19/11708/00134/Р"/>
    <s v=""/>
    <s v="17"/>
    <s v="Нетиповой ДД"/>
    <x v="3"/>
    <s v=""/>
    <s v="00298-24"/>
    <s v=""/>
    <s v="ЗН №17 к Договору № ГЕО-19/11708/00134/Р от «25» июня 2019 г. "/>
    <s v="Выполнение обработки сейсморазведочных данных МОГТ 3Д в пределах Западно-Усть-Балыкского ЛУ для исполнения обязательств перед СН-МНГ"/>
    <s v="Мурзин Р.Р."/>
    <s v="Мурзин Р.Р."/>
    <s v="Договорный документ"/>
    <s v="Управление сейсморазведочных работ"/>
    <s v="Аксенов М.А."/>
    <s v="На бумажном носителе"/>
    <s v="С ограничением по срокам "/>
    <d v="2024-05-01T00:00:00"/>
    <d v="2024-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9 981 400.00"/>
    <s v="24 984 500.00"/>
    <s v="4 996 900.00"/>
    <s v="нет"/>
    <s v="нет"/>
    <s v=""/>
    <s v=""/>
    <s v=""/>
    <s v=""/>
    <s v="нет"/>
  </r>
  <r>
    <s v="Газпромнефть-ГЕО, ООО"/>
    <s v="0000073438"/>
    <s v="Зарегистрирован"/>
    <d v="2021-05-28T00:00:00"/>
    <s v=""/>
    <x v="68"/>
    <s v="7720330291"/>
    <s v="ГЕО-19/10187/00123/Р"/>
    <s v=""/>
    <s v=" Заказ №14"/>
    <s v="Нетиповой ДД"/>
    <x v="3"/>
    <s v=""/>
    <s v="00299-21"/>
    <s v=""/>
    <s v="Заказ №14 к к Договору № ГЕО-19/10187/00123/Р от «30» мая 2019 г."/>
    <s v="Разработка проектов ГИН"/>
    <s v="Коротков С.П."/>
    <s v=""/>
    <s v="Договорный документ"/>
    <s v="Управление по разработке"/>
    <s v="Аксенов М.А."/>
    <s v="На бумажном носителе"/>
    <s v="С ограничением по срокам "/>
    <d v="2021-05-28T00:00:00"/>
    <d v="2021-11-30T00:00:00"/>
    <s v="Д-3"/>
    <s v="НИОКР, НИР прочие"/>
    <s v="Расходная часть"/>
    <s v="Рамочный"/>
    <s v="20%"/>
    <s v=""/>
    <s v=""/>
    <s v="14 928 000.00"/>
    <s v="12 440 000.00"/>
    <s v="2 488 000.00"/>
    <s v="нет"/>
    <s v="нет"/>
    <s v=""/>
    <s v=""/>
    <s v=""/>
    <s v=""/>
    <s v="нет"/>
  </r>
  <r>
    <s v="Газпромнефть-ГЕО, ООО"/>
    <s v="0000060716"/>
    <s v="Зарегистрирован"/>
    <d v="2023-06-01T00:00:00"/>
    <s v=""/>
    <x v="18"/>
    <s v="7728803870"/>
    <s v="ГЕО-21/10303/00204/Р"/>
    <s v=""/>
    <s v="11"/>
    <s v="Нетиповой ДД"/>
    <x v="0"/>
    <s v=""/>
    <s v="00299-23"/>
    <s v=""/>
    <s v="Дополнительное соглашение № 11 к Договору № ОРН-18/10303/03693/Р от 20.12.2018г. "/>
    <s v="Перераспределение работ по договору без изменения объема работ и стоимости по Договору"/>
    <s v="Мячина М.В."/>
    <s v="Мячина М.В."/>
    <s v="Договорный документ"/>
    <s v="Отдел подготовительных работ и экономического анализа"/>
    <s v="Шакирзянов Л.Н."/>
    <s v="ЭП"/>
    <s v="С ограничением по срокам "/>
    <d v="2023-06-01T00:00:00"/>
    <d v="2024-12-31T00:00:00"/>
    <s v="Д-20"/>
    <s v="Приготовление и инженерное сопровождение буровых растворов"/>
    <s v="Не предполагает взаиморасчетов"/>
    <s v="Стоимостной"/>
    <s v=""/>
    <s v=""/>
    <s v=""/>
    <s v=""/>
    <s v=""/>
    <s v=""/>
    <s v="нет"/>
    <s v="нет"/>
    <s v=""/>
    <s v=""/>
    <s v=""/>
    <s v=""/>
    <s v="нет"/>
  </r>
  <r>
    <s v="Газпромнефть-ГЕО, ООО"/>
    <s v="0000068442"/>
    <s v="Зарегистрирован"/>
    <d v="2024-05-14T00:00:00"/>
    <d v="2024-05-17T00:00:00"/>
    <x v="92"/>
    <s v="5611027573"/>
    <s v="ГЕО-21/09000/00198/Р"/>
    <s v=""/>
    <s v="7"/>
    <s v="Нетиповой ДД"/>
    <x v="3"/>
    <s v=""/>
    <s v="00299-24"/>
    <s v=""/>
    <s v="Наряд-заказ № 7 к по Договору № ГЕО-21/09000/00198/Р от 06.09.2021 г."/>
    <s v="Продление срока действия Договора и сроков оказания услуг до 31.07.2024 г._x000a_Перераспределение объёмов услуг между статьями затрат, с уменьшением общей стоимости договора."/>
    <s v="Страдымов А.Г."/>
    <s v="Страдымов А.Г."/>
    <s v="Договорный документ"/>
    <s v="Блок корпоративной защиты"/>
    <s v="Созинов С.А."/>
    <s v="ЭП"/>
    <s v="С ограничением по срокам "/>
    <d v="2024-05-16T00:00:00"/>
    <d v="2024-07-31T00:00:00"/>
    <s v="Д-60"/>
    <s v="Договор возмездного оказания услуг"/>
    <s v="Расходная часть"/>
    <s v="Рамочный"/>
    <s v="без НДС"/>
    <s v=""/>
    <s v=""/>
    <s v="2 127 882.68"/>
    <s v="2 127 882.68"/>
    <n v="0"/>
    <s v="нет"/>
    <s v="нет"/>
    <s v=""/>
    <s v=""/>
    <s v=""/>
    <s v=""/>
    <s v="нет"/>
  </r>
  <r>
    <s v="Газпромнефть-ГЕО, ООО"/>
    <s v="0000073438"/>
    <s v="Зарегистрирован"/>
    <d v="2021-05-28T00:00:00"/>
    <s v=""/>
    <x v="68"/>
    <s v="7720330291"/>
    <s v="ГЕО-19/10187/00123/Р"/>
    <s v=""/>
    <s v=" Заказ №15"/>
    <s v="Нетиповой ДД"/>
    <x v="3"/>
    <s v=""/>
    <s v="00300-21"/>
    <s v=""/>
    <s v="Заказ №15 к к Договору № ГЕО-19/10187/00123/Р от «30» мая 2019 г."/>
    <s v="Оказание услуг по информационно-аналитическому и практическому ведению недропользования"/>
    <s v="Коротков С.П."/>
    <s v=""/>
    <s v="Договорный документ"/>
    <s v="Управление по разработке"/>
    <s v="Аксенов М.А."/>
    <s v="На бумажном носителе"/>
    <s v="С ограничением по срокам "/>
    <d v="2021-05-28T00:00:00"/>
    <d v="2021-12-31T00:00:00"/>
    <s v="Д-3"/>
    <s v="Оценка ресурсов участков, планируемых к лицензированию"/>
    <s v="Расходная часть"/>
    <s v="Рамочный"/>
    <s v="20%"/>
    <s v=""/>
    <s v=""/>
    <s v="61 920 000.00"/>
    <s v="51 600 000.00"/>
    <s v="10 320 000.00"/>
    <s v="нет"/>
    <s v="нет"/>
    <s v=""/>
    <s v=""/>
    <s v=""/>
    <s v=""/>
    <s v="нет"/>
  </r>
  <r>
    <s v="Газпромнефть-ГЕО, ООО"/>
    <s v="0000040642"/>
    <s v="Зарегистрирован"/>
    <d v="2022-03-18T00:00:00"/>
    <s v=""/>
    <x v="4"/>
    <s v="7736035485"/>
    <s v=""/>
    <s v=""/>
    <s v="3"/>
    <s v="Нетиповой ДД"/>
    <x v="0"/>
    <s v=""/>
    <s v="00300-22"/>
    <s v=""/>
    <s v="ДОГОВОР (ПОЛИС)  № 20 DR 077 СТРАХОВАНИЯ  РИСКОВ ПРИ РАЗВЕДКЕ И РАЗРАБОТКЕ МЕСТОРОЖДЕНИЙ"/>
    <s v="Страхование риска дополнительных (непредвиденных) расходов оператора, связанных с выходом скважины из-под контроля (расходы  на возврат скважины под контроль, перебуривание, загрязнение и возможные претензии третьих лиц, связанные с ним)"/>
    <s v="Кошелева Ю.В."/>
    <s v="Кошелева Ю.В."/>
    <s v="Договорный документ"/>
    <s v="Управление экономического планирования и анализа"/>
    <s v="Николаев М.Н."/>
    <s v="На бумажном носителе"/>
    <s v="С ограничением по срокам "/>
    <d v="2022-03-01T00:00:00"/>
    <d v="2023-03-18T00:00:00"/>
    <s v="Д-57"/>
    <s v="Договор страхования"/>
    <s v="Не предполагает взаиморасчетов"/>
    <s v="Стоимостной"/>
    <s v=""/>
    <s v=""/>
    <s v=""/>
    <s v=""/>
    <s v=""/>
    <s v=""/>
    <s v="нет"/>
    <s v="нет"/>
    <s v=""/>
    <s v=""/>
    <s v=""/>
    <s v=""/>
    <s v="нет"/>
  </r>
  <r>
    <s v="Газпромнефть-ГЕО, ООО"/>
    <s v="0000062701"/>
    <s v="Зарегистрирован"/>
    <d v="2023-06-02T00:00:00"/>
    <s v=""/>
    <x v="212"/>
    <s v="6318166129"/>
    <s v="ГЕО-20/11019/00045/Р "/>
    <s v=""/>
    <s v="ДС№5 к Д ГЕО-201101900045Р "/>
    <s v="Типовой ДД"/>
    <x v="0"/>
    <s v="00000 ДС на изменение реквизитов контрагента (адрес, счет)"/>
    <s v="00300-23"/>
    <s v=""/>
    <s v="00000 ДС на изменение реквизитов контрагента (адрес, счет)"/>
    <s v="Изменение банковских реквизитов"/>
    <s v="Шолохова И.А."/>
    <s v="Салахутдинов Р.С."/>
    <s v="Договорный документ"/>
    <s v="Управление проектно-изыскательских работ"/>
    <s v="Трифонов А.В."/>
    <s v="На бумажном носителе"/>
    <s v="До исполнения обязательств"/>
    <d v="2023-06-02T00:00:00"/>
    <s v=""/>
    <s v="Д-33"/>
    <s v="Капитальное строительство и ПИР"/>
    <s v="Не предполагает взаиморасчетов"/>
    <s v=""/>
    <s v=""/>
    <s v=""/>
    <s v=""/>
    <s v=""/>
    <s v=""/>
    <s v=""/>
    <s v="нет"/>
    <s v="нет"/>
    <s v=""/>
    <s v=""/>
    <s v=""/>
    <s v=""/>
    <s v="нет"/>
  </r>
  <r>
    <s v="Газпромнефть-ГЕО, ООО"/>
    <s v="0000067067"/>
    <s v="Зарегистрирован"/>
    <d v="2024-05-01T00:00:00"/>
    <d v="2024-05-22T00:00:00"/>
    <x v="85"/>
    <s v="7816483740"/>
    <s v="ГЕО-19/09000/00303/Р"/>
    <s v=""/>
    <s v="7"/>
    <s v="Нетиповой ДД"/>
    <x v="8"/>
    <s v=""/>
    <s v="00300-24"/>
    <s v=""/>
    <s v="Наряд-задание № 7 к договору ГЕО-19/09000/00303/Р от 15.11.2019"/>
    <s v="Организации и содержанию медицинского здравпункта в Сибирском федеральном округе, проект «Южный Ямал» при проведении полевых сейсморазведочных работ"/>
    <s v="Покатов О.Н."/>
    <s v=""/>
    <s v="Договорный документ"/>
    <s v="Управление производственной безопасности"/>
    <s v="Ядрышников П.Н."/>
    <s v="ЭП"/>
    <s v="До исполнения обязательств"/>
    <d v="2024-05-07T00:00:00"/>
    <s v=""/>
    <s v="Д-51"/>
    <s v="Договор возмездного оказания услуг"/>
    <s v="Расходная часть"/>
    <s v="Стоимостной"/>
    <s v="20%"/>
    <s v=""/>
    <s v=""/>
    <s v="485 682.24"/>
    <s v="404 735.20"/>
    <s v="80 947.04"/>
    <s v="нет"/>
    <s v="нет"/>
    <s v=""/>
    <s v=""/>
    <s v=""/>
    <s v=""/>
    <s v="нет"/>
  </r>
  <r>
    <s v="Газпромнефть-ГЕО, ООО"/>
    <s v="0000073438"/>
    <s v="Зарегистрирован"/>
    <d v="2021-05-28T00:00:00"/>
    <s v=""/>
    <x v="68"/>
    <s v="7720330291"/>
    <s v="ГЕО-19/10187/00123/Р"/>
    <s v=""/>
    <s v=" Заказ №16"/>
    <s v="Нетиповой ДД"/>
    <x v="3"/>
    <s v=""/>
    <s v="00301-21"/>
    <s v=""/>
    <s v="Заказ №16 к к Договору № ГЕО-19/10187/00123/Р от «30» мая 2019 г."/>
    <s v="Разработка проектов ГИН"/>
    <s v="Коротков С.П."/>
    <s v=""/>
    <s v="Договорный документ"/>
    <s v="Управление по разработке"/>
    <s v="Аксенов М.А."/>
    <s v="На бумажном носителе"/>
    <s v="С ограничением по срокам "/>
    <d v="2021-05-28T00:00:00"/>
    <d v="2021-11-30T00:00:00"/>
    <s v="Д-3"/>
    <s v="Оценка ресурсов участков, планируемых к лицензированию"/>
    <s v="Расходная часть"/>
    <s v="Рамочный"/>
    <s v="20%"/>
    <s v=""/>
    <s v=""/>
    <s v="7 980 000.00"/>
    <s v="6 650 000.00"/>
    <s v="1 330 000.00"/>
    <s v="нет"/>
    <s v="нет"/>
    <s v=""/>
    <s v=""/>
    <s v=""/>
    <s v=""/>
    <s v="нет"/>
  </r>
  <r>
    <s v="Газпромнефть-ГЕО, ООО"/>
    <s v="0000076283"/>
    <s v="Зарегистрирован"/>
    <d v="2023-06-06T00:00:00"/>
    <s v=""/>
    <x v="28"/>
    <s v="4501174492"/>
    <s v="ГЕО-22/11000/00267/Р"/>
    <s v=""/>
    <s v="ЗК № 2 к Д № ГЕО-22/11000/00267/Р"/>
    <s v="Нетиповой ДД"/>
    <x v="3"/>
    <s v=""/>
    <s v="00301-23"/>
    <s v=""/>
    <s v="НАРЯД-ЗАКАЗ № 2 ООО «Уралгеопроект» к договору ГЕО-22/11000/00267/Р от 10.10.2022"/>
    <s v="НАРЯД-ЗАКАЗ № 2 с ООО «Уралгеопроект». Выполнению инженерных изысканий для нужд ООО «ГПН-ГЕО»."/>
    <s v="Мормышев А.А."/>
    <s v="Шолохова И.А."/>
    <s v="Договорный документ"/>
    <s v="Управление проектно-изыскательских работ"/>
    <s v="Трифонов А.В."/>
    <s v="ЭП"/>
    <s v="До исполнения обязательств"/>
    <d v="2023-06-06T00:00:00"/>
    <s v=""/>
    <s v="Д-33"/>
    <s v="Капитальное строительство и ПИР"/>
    <s v="Расходная часть"/>
    <s v="Стоимостной"/>
    <s v="20%"/>
    <s v=""/>
    <s v=""/>
    <s v="32 814.84"/>
    <s v="27 345.70"/>
    <s v="5 469.14"/>
    <s v="нет"/>
    <s v="нет"/>
    <s v=""/>
    <s v=""/>
    <s v=""/>
    <s v=""/>
    <s v="нет"/>
  </r>
  <r>
    <s v="Газпромнефть-ГЕО, ООО"/>
    <s v="0000076851"/>
    <s v="Зарегистрирован"/>
    <d v="2024-05-07T00:00:00"/>
    <d v="2024-05-29T00:00:00"/>
    <x v="48"/>
    <s v="2466091092"/>
    <s v="ГЕО-22/11000/00274/Р"/>
    <s v=""/>
    <s v="9"/>
    <s v="Нетиповой ДД"/>
    <x v="3"/>
    <s v=""/>
    <s v="00301-24"/>
    <s v=""/>
    <s v="Наряд-заказ №9 к ДОГОВОРУ № ГЕО-22/11000/00274/Р от 14.10.2022 г."/>
    <s v="На выполнение проектных работ"/>
    <s v="Шолохова И.А."/>
    <s v="Салахутдинов Р.С."/>
    <s v="Договорный документ"/>
    <s v="Управление проектно-изыскательских работ"/>
    <s v="Перфильев Д.А."/>
    <s v="ЭП"/>
    <s v="До исполнения обязательств"/>
    <d v="2024-05-24T00:00:00"/>
    <s v=""/>
    <s v="Д-61"/>
    <s v="Капитальное строительство и ПИР"/>
    <s v="Расходная часть"/>
    <s v="Рамочный"/>
    <s v="20%"/>
    <s v=""/>
    <s v=""/>
    <s v="3 196 540.96"/>
    <s v="2 663 784.13"/>
    <s v="532 756.83"/>
    <s v="нет"/>
    <s v="нет"/>
    <s v=""/>
    <s v=""/>
    <s v=""/>
    <s v=""/>
    <s v="нет"/>
  </r>
  <r>
    <s v="Газпромнефть-ГЕО, ООО"/>
    <s v="0000045789"/>
    <s v="Зарегистрирован"/>
    <d v="2021-06-07T00:00:00"/>
    <s v=""/>
    <x v="16"/>
    <s v="7838395487"/>
    <s v="НТЦ-18/09000/01305/Д-ГЕО/ГЕО-19/09000/00045/Р "/>
    <s v=""/>
    <s v="НТЦ-01097-21Д"/>
    <s v="Нетиповой ДД"/>
    <x v="3"/>
    <s v=""/>
    <s v="00302-21"/>
    <s v=""/>
    <s v="Заказ"/>
    <s v="Информационно-консультационные услуги в формате вебинара по теме: _x000d__x000a_«Методы ГИС и петрофизика», 15.06.2021-17.06.2021, Грановский А.М._x000d__x000a_"/>
    <s v="Курашко М.В."/>
    <s v=""/>
    <s v="Договорный документ"/>
    <s v="Управление по работе с персоналом"/>
    <s v="Игнатова Ю.В."/>
    <s v="На бумажном носителе"/>
    <s v="До исполнения обязательств"/>
    <d v="2021-06-07T00:00:00"/>
    <s v=""/>
    <s v=""/>
    <s v="Договор возмездного оказания услуг"/>
    <s v="Расходная часть"/>
    <s v="Рамочный"/>
    <s v="20%"/>
    <s v=""/>
    <s v=""/>
    <s v="49 680.00"/>
    <s v="41 400.00"/>
    <s v="8 280.00"/>
    <s v="нет"/>
    <s v="нет"/>
    <s v=""/>
    <s v=""/>
    <s v=""/>
    <s v=""/>
    <s v="нет"/>
  </r>
  <r>
    <s v="Газпромнефть-ГЕО, ООО"/>
    <s v="0000067121"/>
    <s v="Зарегистрирован"/>
    <d v="2022-01-20T00:00:00"/>
    <s v=""/>
    <x v="62"/>
    <s v="7202171361"/>
    <s v=""/>
    <s v="ГЕО-22/33200/00082"/>
    <s v="ГЕО-22/33200/00082"/>
    <s v="Типовой ДД"/>
    <x v="1"/>
    <s v="33200 Соглашение об электронном документообороте"/>
    <s v="00302-22"/>
    <s v=""/>
    <s v="33200 Соглашение об электронном документообороте"/>
    <s v="Внедрение Электронного Документооборота"/>
    <s v="Коротков С.П."/>
    <s v=""/>
    <s v="Договорный документ"/>
    <s v="Управление по разработке"/>
    <s v="Аксенов М.А."/>
    <s v="На бумажном носителе"/>
    <s v="Без сроков "/>
    <d v="2022-01-20T00:00:00"/>
    <s v=""/>
    <s v="Д-54"/>
    <s v="Соглашение об использовании электронного документооборота"/>
    <s v="Не предполагает взаиморасчетов"/>
    <s v="Рамочный"/>
    <s v=""/>
    <s v=""/>
    <s v=""/>
    <s v=""/>
    <s v=""/>
    <s v=""/>
    <s v="нет"/>
    <s v="нет"/>
    <s v=""/>
    <s v=""/>
    <s v=""/>
    <s v=""/>
    <s v="нет"/>
  </r>
  <r>
    <s v="Газпромнефть-ГЕО, ООО"/>
    <s v="0000058271"/>
    <s v="Зарегистрирован"/>
    <d v="2024-05-08T00:00:00"/>
    <d v="2024-05-21T00:00:00"/>
    <x v="42"/>
    <s v="7725696878"/>
    <s v="ГЕО-24/10000/00053/Р"/>
    <s v=""/>
    <s v="3"/>
    <s v="Нетиповой ДД"/>
    <x v="3"/>
    <s v=""/>
    <s v="00302-24"/>
    <s v=""/>
    <s v="Заказ-Наряд №3 к Договору ГЕО-24/10000/00053/Р от 18.03.2024 г."/>
    <s v="Научно-исследовательские работы по оценке перспективности действующих участков с целью доизучения в периметре территории деятельности АО «Газпромнефть ННГ»"/>
    <s v="Безруков А.А."/>
    <s v="Коротков С.П."/>
    <s v="Договорный документ"/>
    <s v="Блок геологии и разработки"/>
    <s v="Аксенов М.А."/>
    <s v="ЭП"/>
    <s v="С ограничением по срокам "/>
    <d v="2024-05-08T00:00:00"/>
    <d v="2024-12-2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74 276 597.60"/>
    <s v="145 230 498.00"/>
    <s v="29 046 099.60"/>
    <s v="нет"/>
    <s v="нет"/>
    <s v=""/>
    <s v=""/>
    <s v=""/>
    <s v=""/>
    <s v="да"/>
  </r>
  <r>
    <s v="Газпромнефть-ГЕО, ООО"/>
    <s v="0000056254"/>
    <s v="Зарегистрирован"/>
    <d v="2022-04-13T00:00:00"/>
    <s v=""/>
    <x v="23"/>
    <s v="7839415866"/>
    <s v="№ ГЕО-18/00000/00071/Р от 25.12.2018г."/>
    <s v=""/>
    <s v="7"/>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03-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Страдымов А.Г."/>
    <s v="Страдымов А.Г."/>
    <s v="Договорный документ"/>
    <s v="Блок корпоративной защиты"/>
    <s v="Созинов С.А."/>
    <s v="На бумажном носителе"/>
    <s v="Без сроков "/>
    <d v="2022-04-13T00:00:00"/>
    <s v=""/>
    <s v="Д-60"/>
    <s v="Договор возмездного оказания услуг"/>
    <s v="Не предполагает взаиморасчетов"/>
    <s v=""/>
    <s v=""/>
    <s v=""/>
    <s v=""/>
    <s v=""/>
    <s v=""/>
    <s v=""/>
    <s v="нет"/>
    <s v="нет"/>
    <s v=""/>
    <s v=""/>
    <s v=""/>
    <s v=""/>
    <s v="нет"/>
  </r>
  <r>
    <s v="Газпромнефть-ГЕО, ООО"/>
    <s v="0000067167"/>
    <s v="Зарегистрирован"/>
    <d v="2023-05-31T00:00:00"/>
    <s v=""/>
    <x v="145"/>
    <s v="7719520026"/>
    <s v="ГЕО-20/11014/00070/Р  "/>
    <s v=""/>
    <s v="3"/>
    <s v="Нетиповой ДД"/>
    <x v="0"/>
    <s v=""/>
    <s v="00303-23"/>
    <s v=""/>
    <s v="ДОПОЛНИТЕЛЬНОЕ СОГЛАШЕНИЕ №3 к договору   № ГЕО-20/11014/00070/Р  от « 06 » мая 2020г."/>
    <s v="ДС заключается в соответствии с п.2.14 КТ-530 и п.1 решения Протокола СГ БРД ПАО «Газпром нефть» сектор Капитальное строительство №ПТ-601.0076/0000008 от 06.04.2023г."/>
    <s v="Калугина С.Б."/>
    <s v="Бабаев Д.Г."/>
    <s v="Договорный документ"/>
    <s v="Департамент капитального строительства"/>
    <s v="Перфильев Д.А."/>
    <s v="ЭП"/>
    <s v="До исполнения обязательств"/>
    <d v="2023-05-31T00:00:00"/>
    <s v=""/>
    <s v="Д-61"/>
    <s v="Капитальное строительство и ПИР"/>
    <s v="Не предполагает взаиморасчетов"/>
    <s v=""/>
    <s v=""/>
    <s v=""/>
    <s v=""/>
    <s v=""/>
    <s v=""/>
    <s v=""/>
    <s v="нет"/>
    <s v="нет"/>
    <s v=""/>
    <s v=""/>
    <s v=""/>
    <s v=""/>
    <s v="нет"/>
  </r>
  <r>
    <s v="Газпромнефть-ГЕО, ООО"/>
    <s v="0000047108"/>
    <s v="Зарегистрирован"/>
    <d v="2024-05-13T00:00:00"/>
    <d v="2024-05-24T00:00:00"/>
    <x v="19"/>
    <s v="3245502148"/>
    <s v="ГЕО-22/01200/00328/Р"/>
    <s v=""/>
    <s v="2"/>
    <s v="Нетиповой ДД"/>
    <x v="5"/>
    <s v=""/>
    <s v="00303-24"/>
    <s v=""/>
    <s v="Спецификация №2 к Договору № ГЕО-22/01200/00328/Р"/>
    <s v="Реализация трубы 530х8 В-09Г2С-12 (770000241487) в количестве 35 м. из ООО &quot;Гыдан Энерджи&quot; в ООО &quot;ГПН-ГЕО&quot; для проекта &quot;Южный Оренбург&quot;"/>
    <s v="Разгоняев И.А."/>
    <s v="Разгоняев И.А."/>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4-05-13T00:00:00"/>
    <d v="2024-06-01T00:00:00"/>
    <s v="Д-56"/>
    <s v="Договор поставки/купли продажи движимого имущества"/>
    <s v="Расходная часть"/>
    <s v="Стоимостной"/>
    <s v="20%"/>
    <s v=""/>
    <s v=""/>
    <s v="339 444.00"/>
    <s v="282 870.00"/>
    <s v="56 574.00"/>
    <s v="нет"/>
    <s v="нет"/>
    <s v=""/>
    <s v=""/>
    <s v=""/>
    <s v=""/>
    <s v="нет"/>
  </r>
  <r>
    <s v="Газпромнефть-ГЕО, ООО"/>
    <s v="0000045789"/>
    <s v="Зарегистрирован"/>
    <d v="2021-06-30T00:00:00"/>
    <s v=""/>
    <x v="16"/>
    <s v="7838395487"/>
    <s v="№ НТЦ-18/29000/01344/Д-ГЕО-18/11602/00075/Р от «29» декабря 2018г."/>
    <s v=""/>
    <s v="ДС №2 к заказу НТЦ-20/09000/00114/Д-ГЕО"/>
    <s v="Нетиповой ДД"/>
    <x v="0"/>
    <s v=""/>
    <s v="00304-21"/>
    <s v="№ НТЦ-20/09000/00114/Д-ГЕО от «02» декабря 2020г."/>
    <s v="ДОПОЛНИТЕЛЬНОЕ СОГЛАШЕНИЕ №2"/>
    <s v="Пролонгация на один месяц"/>
    <s v="Бикташев Р.С."/>
    <s v="НТЦ"/>
    <s v="Договорный документ"/>
    <s v="Производственно-технологический департамент"/>
    <s v="Перфильев Д.А."/>
    <s v="На бумажном носителе"/>
    <s v="С ограничением по срокам "/>
    <d v="2021-06-30T00:00:00"/>
    <d v="2021-08-31T00:00:00"/>
    <s v="Д-22"/>
    <s v="Разработка технической, нормативной и методической документации"/>
    <s v="Не предполагает взаиморасчетов"/>
    <s v="Тарифный"/>
    <s v=""/>
    <s v=""/>
    <s v=""/>
    <s v=""/>
    <s v=""/>
    <s v=""/>
    <s v="нет"/>
    <s v="нет"/>
    <s v=""/>
    <s v=""/>
    <s v=""/>
    <s v=""/>
    <s v="нет"/>
  </r>
  <r>
    <s v="Газпромнефть-ГЕО, ООО"/>
    <s v="0000073305"/>
    <s v="Зарегистрирован"/>
    <d v="2023-05-31T00:00:00"/>
    <s v=""/>
    <x v="64"/>
    <s v="8904080406"/>
    <s v="№ ГЕО-21/11031/00101/Р "/>
    <s v=""/>
    <s v="6"/>
    <s v="Нетиповой ДД"/>
    <x v="0"/>
    <s v=""/>
    <s v="00304-23"/>
    <s v=""/>
    <s v=" Дополнительное соглашение №6 «Экосистема БРД»"/>
    <s v="«ДС заключается в соответствии с п.2.14 КТ-530 и п.1 решения Протокола СГ БРД ПАО «Газпром нефть» сектор Капитальное строительство №ПТ-601.0076/0000008 от 06.04.2023г."/>
    <s v="Крутова Е.С."/>
    <s v="Кукленков М.А."/>
    <s v="Договорный документ"/>
    <s v="Департамент капитального строительства"/>
    <s v="Перфильев Д.А."/>
    <s v="ЭП"/>
    <s v="До исполнения обязательств"/>
    <d v="2023-05-31T00:00:00"/>
    <s v=""/>
    <s v="Д-61"/>
    <s v="Капитальное строительство и ПИР"/>
    <s v="Не предполагает взаиморасчетов"/>
    <s v=""/>
    <s v=""/>
    <s v=""/>
    <s v=""/>
    <s v=""/>
    <s v=""/>
    <s v=""/>
    <s v="нет"/>
    <s v="нет"/>
    <s v=""/>
    <s v=""/>
    <s v=""/>
    <s v=""/>
    <s v="нет"/>
  </r>
  <r>
    <s v="Газпромнефть-ГЕО, ООО"/>
    <s v="0000073189"/>
    <s v="Зарегистрирован"/>
    <d v="2024-05-13T00:00:00"/>
    <s v=""/>
    <x v="249"/>
    <s v="5034031535"/>
    <s v=""/>
    <s v="ГЕО-24/09000/00090/Р"/>
    <s v="ГЕО-24/09000/00090/Р"/>
    <s v="Нетиповой ДД"/>
    <x v="1"/>
    <s v=""/>
    <s v="00304-24"/>
    <s v=""/>
    <s v="Пользовательское соглашение"/>
    <s v="Доступ к закупочным процедурам, публикуемым на «Центр электронных торгов B2B-Center», представляемой единственным владельцем АО «Центр развития экономики» сроком на 1 календарный год"/>
    <s v="Герасимова А.Е."/>
    <s v="Герасимова А.Е."/>
    <s v="Договорный документ"/>
    <s v="Блок коммерческой деятельности"/>
    <s v="Власов М.М."/>
    <s v="На бумажном носителе"/>
    <s v="С ограничением по срокам "/>
    <d v="2024-05-13T00:00:00"/>
    <d v="2025-05-13T00:00:00"/>
    <s v="Д-15"/>
    <s v="Договор возмездного оказания услуг"/>
    <s v="Расходная часть"/>
    <s v="Стоимостной"/>
    <s v="20%"/>
    <s v=""/>
    <s v=""/>
    <s v="240 000.00"/>
    <s v="200 000.00"/>
    <s v="40 000.00"/>
    <s v="нет"/>
    <s v="да"/>
    <s v="100"/>
    <s v="240 000,00"/>
    <s v=""/>
    <s v=""/>
    <s v="нет"/>
  </r>
  <r>
    <s v="Газпромнефть-ГЕО, ООО"/>
    <s v="0000086607"/>
    <s v="Закрыт"/>
    <d v="2021-06-21T00:00:00"/>
    <s v=""/>
    <x v="250"/>
    <s v="891105381410"/>
    <s v=""/>
    <s v="ГЕО-21/25000/00136/Р"/>
    <s v="ГЕО-21/25000/00136/Р"/>
    <s v="Нетиповой ДД"/>
    <x v="2"/>
    <s v=""/>
    <s v="00305-21"/>
    <s v=""/>
    <s v="Договор возмездного оказания услуг"/>
    <s v="Получение услуг по договору ГПХ"/>
    <s v="Петушкова В.Е."/>
    <s v=""/>
    <s v="Договорный документ"/>
    <s v="Управление производственной безопасности"/>
    <s v="Власов М.М."/>
    <s v="На бумажном носителе"/>
    <s v="С ограничением по срокам "/>
    <d v="2021-07-01T00:00:00"/>
    <d v="2021-10-31T00:00:00"/>
    <s v=""/>
    <s v="Договор оказания услуг с физическим лицом"/>
    <s v="Расходная часть"/>
    <s v="Стоимостной"/>
    <s v="13%"/>
    <s v=""/>
    <s v=""/>
    <s v="361 600.00"/>
    <s v="314 592.00"/>
    <s v="47 008.00"/>
    <s v="нет"/>
    <s v="нет"/>
    <s v=""/>
    <s v=""/>
    <s v=""/>
    <s v=""/>
    <s v="нет"/>
  </r>
  <r>
    <s v="Газпромнефть-ГЕО, ООО"/>
    <s v="0000019598"/>
    <s v="Зарегистрирован"/>
    <d v="2022-04-12T00:00:00"/>
    <s v=""/>
    <x v="63"/>
    <s v="9909012867"/>
    <s v="ГЕО-19/11708/00134/Р "/>
    <s v=""/>
    <s v="13"/>
    <s v="Нетиповой ДД"/>
    <x v="3"/>
    <s v=""/>
    <s v="00305-22"/>
    <s v=""/>
    <s v="НЗ-13 Обоснование и увязка концептуальной сейсмогеологической модели объединенной съемки Солнечного, Корнаваринского, Надеждинского, Западно-Рубежинского лицензионных участков с южным обрамлением Рубежинского прогиба"/>
    <s v="• Формирование седиментологической модели среднедевонско-артинского осадочного комплекса"/>
    <s v="Ябиров Р.З."/>
    <s v="Ябиров Р.З."/>
    <s v="Договорный документ"/>
    <s v="Блок геологии и разработки"/>
    <s v="Аксенов М.А."/>
    <s v="На бумажном носителе"/>
    <s v="С ограничением по срокам "/>
    <d v="2022-04-12T00:00:00"/>
    <d v="2022-06-25T00:00:00"/>
    <s v="Д-54"/>
    <s v="Договор на выполнение НИР, ОКР и технологических работ"/>
    <s v="Расходная часть"/>
    <s v="Рамочный"/>
    <s v="20%"/>
    <s v=""/>
    <s v=""/>
    <s v="5 649 600.00"/>
    <s v="4 708 000.00"/>
    <s v="941 600.00"/>
    <s v="нет"/>
    <s v="нет"/>
    <s v=""/>
    <s v=""/>
    <s v=""/>
    <s v=""/>
    <s v="нет"/>
  </r>
  <r>
    <s v="Газпромнефть-ГЕО, ООО"/>
    <s v="0000076851"/>
    <s v="Зарегистрирован"/>
    <d v="2023-05-31T00:00:00"/>
    <s v=""/>
    <x v="48"/>
    <s v="2466091092"/>
    <s v="ГЕО-22/11000/00274/Р"/>
    <s v=""/>
    <s v="2"/>
    <s v="Нетиповой ДД"/>
    <x v="0"/>
    <s v=""/>
    <s v="00305-23"/>
    <s v=""/>
    <s v="Дополнительное соглашение №2 к договору № ГЕО-22/11000/00274 от «14» октября 2022г."/>
    <s v="Изменение условий договора в соответствии с п.2.14 КТ-530 и п.1 решения Протокола СГ БРД ПАО &quot;Газпром нефть&quot; сектор Капитальное строительство № ПТ-601.0076/0000008 от 06.04.2023г."/>
    <s v="Шолохова И.А."/>
    <s v="Салахутдинов Р.С."/>
    <s v="Договорный документ"/>
    <s v="Управление проектно-изыскательских работ"/>
    <s v="Перфильев Д.А."/>
    <s v="ЭП"/>
    <s v="До исполнения обязательств"/>
    <d v="2023-05-31T00:00:00"/>
    <s v=""/>
    <s v="Д-61"/>
    <s v="Капитальное строительство и ПИР"/>
    <s v="Не предполагает взаиморасчетов"/>
    <s v=""/>
    <s v=""/>
    <s v=""/>
    <s v=""/>
    <s v=""/>
    <s v=""/>
    <s v=""/>
    <s v="нет"/>
    <s v="нет"/>
    <s v=""/>
    <s v=""/>
    <s v=""/>
    <s v=""/>
    <s v="нет"/>
  </r>
  <r>
    <s v="Газпромнефть-ГЕО, ООО"/>
    <s v="0000072023"/>
    <s v="Зарегистрирован"/>
    <d v="2024-05-13T00:00:00"/>
    <s v=""/>
    <x v="251"/>
    <s v="7704824695"/>
    <s v=""/>
    <s v="ГЕО-24/09000/00089/Р"/>
    <s v="ГЕО-24/09000/00089/Р"/>
    <s v="Нетиповой ДД"/>
    <x v="1"/>
    <s v=""/>
    <s v="00305-24"/>
    <s v=""/>
    <s v="Пользовательское соглашение о работе на электронной площадке АО «ТЭК-Торг» в Секции «Закупочные процедуры ПАО «НК «Роснефть»"/>
    <s v="Доступ к закупочным процедурам, публикуемым на «Электронная торговая площадка «ТЭК-Торг», представляемой единственным владельцем АО «ТЭК-Торг» сроком на 1 календарный год"/>
    <s v="Герасимова А.Е."/>
    <s v="Герасимова А.Е."/>
    <s v="Договорный документ"/>
    <s v="Блок коммерческой деятельности"/>
    <s v="Власов М.М."/>
    <s v="На бумажном носителе"/>
    <s v="С ограничением по срокам "/>
    <d v="2024-05-13T00:00:00"/>
    <d v="2025-05-13T00:00:00"/>
    <s v="Д-15"/>
    <s v="Договор возмездного оказания услуг"/>
    <s v="Расходная часть"/>
    <s v="Стоимостной"/>
    <s v="20%"/>
    <s v=""/>
    <s v=""/>
    <s v="199 000.00"/>
    <s v="165 833.33"/>
    <s v="33 166.67"/>
    <s v="нет"/>
    <s v="да"/>
    <s v="100"/>
    <s v="199 000,00"/>
    <s v=""/>
    <s v=""/>
    <s v="нет"/>
  </r>
  <r>
    <s v="Газпромнефть-ГЕО, ООО"/>
    <s v="0000084973"/>
    <s v="Зарегистрирован"/>
    <d v="2022-05-04T00:00:00"/>
    <s v=""/>
    <x v="205"/>
    <s v="8601066868"/>
    <s v=""/>
    <s v="ГЕО-22/24000/00085"/>
    <s v="ГЕО-22/24000/00085"/>
    <s v="Нетиповой ДД"/>
    <x v="1"/>
    <s v=""/>
    <s v="00306-22"/>
    <s v=""/>
    <s v="Соглашение о предоставлении демо версии Кибер ГРП"/>
    <s v="Тестирование нового програмного обеспечения в области моделирования ГРП"/>
    <s v="Рымаренко А.А."/>
    <s v="Рымаренко А.А."/>
    <s v="Договорный документ"/>
    <s v="Управление внутрискважинных работ"/>
    <s v="Гаврилов С.В."/>
    <s v="На бумажном носителе"/>
    <s v="С ограничением по срокам "/>
    <d v="2022-05-04T00:00:00"/>
    <d v="2022-08-04T00:00:00"/>
    <s v="Д-58"/>
    <s v="Лицензионный договор"/>
    <s v="Не предполагает взаиморасчетов"/>
    <s v=""/>
    <s v=""/>
    <s v=""/>
    <s v=""/>
    <s v=""/>
    <s v=""/>
    <s v=""/>
    <s v="нет"/>
    <s v="нет"/>
    <s v=""/>
    <s v=""/>
    <s v=""/>
    <s v=""/>
    <s v="нет"/>
  </r>
  <r>
    <s v="Газпромнефть-ГЕО, ООО"/>
    <s v="0000076283"/>
    <s v="Зарегистрирован"/>
    <d v="2023-05-31T00:00:00"/>
    <s v=""/>
    <x v="28"/>
    <s v="4501174492"/>
    <s v="ГЕО-22/11000/00267/Р"/>
    <s v=""/>
    <s v="2"/>
    <s v="Нетиповой ДД"/>
    <x v="0"/>
    <s v=""/>
    <s v="00306-23"/>
    <s v=""/>
    <s v="ДС №2. Экосистема БРД к Договору №ГЕО-22/11000/00267/Р от 10.10.2022"/>
    <s v="Изменения в ДД. Экосистема БРД"/>
    <s v="Мормышев А.А."/>
    <s v="Эзбин Н.В."/>
    <s v="Договорный документ"/>
    <s v="Управление проектно-изыскательских работ"/>
    <s v="Перфильев Д.А."/>
    <s v="ЭП"/>
    <s v="До исполнения обязательств"/>
    <d v="2023-05-31T00:00:00"/>
    <s v=""/>
    <s v="Д-61"/>
    <s v="Капитальное строительство и ПИР"/>
    <s v="Не предполагает взаиморасчетов"/>
    <s v="Стоимостной"/>
    <s v=""/>
    <s v=""/>
    <s v=""/>
    <s v=""/>
    <s v=""/>
    <s v=""/>
    <s v="нет"/>
    <s v="нет"/>
    <s v=""/>
    <s v=""/>
    <s v=""/>
    <s v=""/>
    <s v="нет"/>
  </r>
  <r>
    <s v="Газпромнефть-ГЕО, ООО"/>
    <s v="0000019598"/>
    <s v="Зарегистрирован"/>
    <d v="2024-05-01T00:00:00"/>
    <s v=""/>
    <x v="63"/>
    <s v="9909012867"/>
    <s v="ГЕО-19/11708/00134/Р"/>
    <s v=""/>
    <s v="1"/>
    <s v="Нетиповой ДД"/>
    <x v="0"/>
    <s v=""/>
    <s v="00306-24"/>
    <s v="ЗК № 15 к Д № ГЕО-19/11708/00134/Р"/>
    <s v="ДС 1 к ЗК 15 к Договору № ГЕО-19/11708/00134/Р от «25» июня 2019 г."/>
    <s v="Увеличение объемов выполнения работ по комплексной интерпретации сейсморазведочных данных МОГТ-3D и МОГТ-2D в пределах Северо-Самбургского и прилегающих участках, полученных в 1980-2018 гг для исполнения обязательств перед Меретояханефтегаз"/>
    <s v="Мурзин Р.Р."/>
    <s v="Мурзин Р.Р."/>
    <s v="Договорный документ"/>
    <s v="Управление сейсморазведочных работ"/>
    <s v="Аксенов М.А."/>
    <s v="На бумажном носителе"/>
    <s v="С ограничением по срокам "/>
    <d v="2024-05-01T00:00:00"/>
    <d v="2024-12-2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75 370 800.00"/>
    <s v="62 809 000.00"/>
    <s v="12 561 800.00"/>
    <s v="нет"/>
    <s v="нет"/>
    <s v=""/>
    <s v=""/>
    <s v=""/>
    <s v=""/>
    <s v="нет"/>
  </r>
  <r>
    <s v="Газпромнефть-ГЕО, ООО"/>
    <s v="0000076851"/>
    <s v="Зарегистрирован"/>
    <d v="2023-06-02T00:00:00"/>
    <s v=""/>
    <x v="48"/>
    <s v="2466091092"/>
    <s v="ГЕО-22/11000/00274/Р"/>
    <s v=""/>
    <s v="3"/>
    <s v="Нетиповой ДД"/>
    <x v="3"/>
    <s v=""/>
    <s v="00307-23"/>
    <s v=""/>
    <s v="НЗ №3 к договору № ГЕО-22/11000/00274/Р от 14.10.2022 г."/>
    <s v="Выполнение проектных работ по объекту проектирования &quot;Строительство поисково-оценочной скважины №3ПО Северо-Ямбургского лицензионного участка&quot;"/>
    <s v="Шолохова И.А."/>
    <s v="Салахутдинов Р.С."/>
    <s v="Договорный документ"/>
    <s v="Управление проектно-изыскательских работ"/>
    <s v="Трифонов А.В."/>
    <s v="ЭП"/>
    <s v="До исполнения обязательств"/>
    <d v="2022-10-14T00:00:00"/>
    <s v=""/>
    <s v="Д-33"/>
    <s v="Капитальное строительство и ПИР"/>
    <s v="Расходная часть"/>
    <s v="Рамочный"/>
    <s v="20%"/>
    <s v=""/>
    <s v=""/>
    <s v="18 468 744.79"/>
    <s v="15 390 620.66"/>
    <s v="3 078 124.13"/>
    <s v="нет"/>
    <s v="нет"/>
    <s v=""/>
    <s v=""/>
    <s v=""/>
    <s v=""/>
    <s v="нет"/>
  </r>
  <r>
    <s v="Газпромнефть-ГЕО, ООО"/>
    <s v="0000104871"/>
    <s v="Зарегистрирован"/>
    <d v="2024-05-17T00:00:00"/>
    <d v="2024-05-21T00:00:00"/>
    <x v="53"/>
    <s v="7705848410"/>
    <s v=""/>
    <s v="ГЕО-24/33400/00088"/>
    <s v="ГЕО-24/33400/00088"/>
    <s v="Нетиповой ДД"/>
    <x v="1"/>
    <s v=""/>
    <s v="00307-24"/>
    <s v=""/>
    <s v="Соглашение СУДИР (ООО &quot;Геологгинг&quot;)"/>
    <s v="Соглашение о безопасном использовании информационных систем"/>
    <s v="Васильева А.И."/>
    <s v="Чернов И.В."/>
    <s v="Договорный документ"/>
    <s v="Блок геологии и разработки"/>
    <s v="Созинов С.А."/>
    <s v="ЭП"/>
    <s v="С ограничением по срокам "/>
    <d v="2024-05-17T00:00:00"/>
    <d v="2028-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60716"/>
    <s v="Зарегистрирован"/>
    <d v="2022-04-18T00:00:00"/>
    <s v=""/>
    <x v="18"/>
    <s v="7728803870"/>
    <s v="ГЕО-21/10303/00204/Р"/>
    <s v=""/>
    <s v="8"/>
    <s v="Нетиповой ДД"/>
    <x v="0"/>
    <s v=""/>
    <s v="00308-22"/>
    <s v=""/>
    <s v="Дополнительное соглашение №1 к Договору ГЕО-21/10303/00204/Р от 08.09.2021"/>
    <s v="О заключении ДС №1 к Договору ГЕО-21/10303/00204/Р от 08.09.2021, предусматривающего индексацию ставок по химическим реагентам"/>
    <s v="Шкателов А.А."/>
    <s v="Мячина М.В."/>
    <s v="Договорный документ"/>
    <s v="Блок бурения и ВСР"/>
    <s v="Гаврилов С.В."/>
    <s v="На бумажном носителе"/>
    <s v="С ограничением по срокам "/>
    <d v="2022-04-18T00:00:00"/>
    <d v="2024-12-31T00:00:00"/>
    <s v="Д-58"/>
    <s v="Приготовление и инженерное сопровождение буровых растворов"/>
    <s v="Не предполагает взаиморасчетов"/>
    <s v="Стоимостной"/>
    <s v=""/>
    <s v=""/>
    <s v=""/>
    <s v=""/>
    <s v=""/>
    <s v=""/>
    <s v="нет"/>
    <s v="нет"/>
    <s v=""/>
    <s v=""/>
    <s v=""/>
    <s v=""/>
    <s v="нет"/>
  </r>
  <r>
    <s v="Газпромнефть-ГЕО, ООО"/>
    <s v="0000110339"/>
    <s v="Зарегистрирован"/>
    <d v="2023-06-01T00:00:00"/>
    <s v=""/>
    <x v="232"/>
    <s v="563902495616"/>
    <s v=""/>
    <s v="ГЕО-23/40000/00097/Р"/>
    <s v="ГЕО-23/40000/00097/Р"/>
    <s v="Нетиповой ДД"/>
    <x v="1"/>
    <s v=""/>
    <s v="00308-23"/>
    <s v=""/>
    <s v="Соглашение о возмещении убытков сельскохозяйственного производства, в т.ч. упущенной выгоды при временном занятии земельного участка"/>
    <s v="возмещение убытков сельскохозяйственного производства при временном занятии части земельного участка для проезда к скважине № 401ПО Западно-Рубежинск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3-06-01T00:00:00"/>
    <s v=""/>
    <s v="Д-33"/>
    <s v="Соглашение о сервитуте"/>
    <s v="Расходная часть"/>
    <s v="Стоимостной"/>
    <s v="13%"/>
    <s v=""/>
    <s v=""/>
    <s v="1 981.60"/>
    <s v="1 723.60"/>
    <n v="258"/>
    <s v="нет"/>
    <s v="нет"/>
    <s v=""/>
    <s v=""/>
    <s v=""/>
    <s v=""/>
    <s v="нет"/>
  </r>
  <r>
    <s v="Газпромнефть-ГЕО, ООО"/>
    <s v="0000063984"/>
    <s v="Зарегистрирован"/>
    <d v="2024-05-14T00:00:00"/>
    <d v="2024-06-06T00:00:00"/>
    <x v="141"/>
    <s v="3808099451"/>
    <s v="ГЕО-24/09000/00051/Р"/>
    <s v=""/>
    <s v="1"/>
    <s v="Нетиповой ДД"/>
    <x v="0"/>
    <s v=""/>
    <s v="00308-24"/>
    <s v=""/>
    <s v="ДОПОЛНИТЕЛЬНОЕ СОГЛАШЕНИЕ №1 к Договору №ГЕО-24-09000-00051-Р  ГТС"/>
    <s v="включение корректного ОЛ и доп.условий по БС (*административные изменения)"/>
    <s v="Яшкина К.Л."/>
    <s v="Копылов Е.О."/>
    <s v="Договорный документ"/>
    <s v="Блок производственной безопасности"/>
    <s v="Михайлов Ю.А."/>
    <s v="ЭП"/>
    <s v="До исполнения обязательств"/>
    <d v="2024-05-14T00:00:00"/>
    <s v=""/>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58703"/>
    <s v="Зарегистрирован"/>
    <d v="2022-04-18T00:00:00"/>
    <s v=""/>
    <x v="5"/>
    <s v="5914024719"/>
    <s v="ГЕО-21/10208/00166/Р"/>
    <s v=""/>
    <s v="6"/>
    <s v="Нетиповой ДД"/>
    <x v="0"/>
    <s v=""/>
    <s v="00309-22"/>
    <s v=""/>
    <s v="Дополнительное соглашение №6 к Договору № ОРН-20/10204/00210/Р от 14.02.2020г."/>
    <s v="О заключении ДС №6 к договору № ОРН-20/10204/00210/Р от 14.02.2020г. (на основании Соглашения о перемене лиц в обязательстве № ГЕО-21/10208/00166/Р от 20.07.2021) между ООО «ГПН-ГЕО» и ООО «НСХ АЗИЯ ДРИЛЛИНГ», предусматривающего:_x000d__x000a__x000d__x000a_- Индексацию ставок на 7% в соответствии с Протоколом ЭС БРД от 15.03.2022._x000d__x000a__x000d__x000a_"/>
    <s v="Шкателов А.А."/>
    <s v="Шкателов А.А."/>
    <s v="Договорный документ"/>
    <s v="Блок бурения и ВСР"/>
    <s v="Гаврилов С.В."/>
    <s v="На бумажном носителе"/>
    <s v="До исполнения обязательств"/>
    <d v="2022-04-18T00:00:00"/>
    <s v=""/>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2101"/>
    <s v="Зарегистрирован"/>
    <d v="2023-07-17T00:00:00"/>
    <s v=""/>
    <x v="252"/>
    <s v="7840475620"/>
    <s v=""/>
    <s v="ГЕО-23/09000/00119/Р"/>
    <s v="ГЕО-23/09000/00119/Р"/>
    <s v="Нетиповой ДД"/>
    <x v="2"/>
    <s v=""/>
    <s v="00309-23"/>
    <s v=""/>
    <s v="приобретение доступа к ИС ГРАНД-Смета"/>
    <s v="приобретение доступа к ИС ГРАНД-Смета"/>
    <s v="Разумовский М.В."/>
    <s v="Разумовский М.В."/>
    <s v="Договорный документ"/>
    <s v="Блок геологии и разработки"/>
    <s v="Аксенов М.А."/>
    <s v="На бумажном носителе"/>
    <s v="С ограничением по срокам "/>
    <d v="2023-07-17T00:00:00"/>
    <d v="2024-05-31T00:00:00"/>
    <s v="Д-54"/>
    <s v="Договор возмездного оказания услуг"/>
    <s v="Расходная часть"/>
    <s v="Стоимостной"/>
    <s v="без НДС"/>
    <s v=""/>
    <s v=""/>
    <s v="130 900.00"/>
    <s v="130 900.00"/>
    <n v="0"/>
    <s v="нет"/>
    <s v="да"/>
    <s v="100"/>
    <s v="130 900,00"/>
    <s v=""/>
    <s v=""/>
    <s v="нет"/>
  </r>
  <r>
    <s v="Газпромнефть-ГЕО, ООО"/>
    <s v="0000047108"/>
    <s v="Зарегистрирован"/>
    <d v="2024-05-20T00:00:00"/>
    <d v="2024-05-24T00:00:00"/>
    <x v="19"/>
    <s v="3245502148"/>
    <s v="ГЕО-22/01200/00328/Р"/>
    <s v=""/>
    <s v="3"/>
    <s v="Нетиповой ДД"/>
    <x v="5"/>
    <s v=""/>
    <s v="00309-24"/>
    <s v=""/>
    <s v="Спецификация №3 к Договору № ГЕО-22/01200/00328/Р"/>
    <s v="Реализация имущества АХН в количестве 5 шт. из ООО &quot;Гыдан Энерджи&quot; в ООО &quot;ГПН-ГЕО&quot; для использования сотрудниками в офисе"/>
    <s v="Разгоняев И.А."/>
    <s v="Разгоняев И.А."/>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4-05-20T00:00:00"/>
    <d v="2024-07-01T00:00:00"/>
    <s v="Д-56"/>
    <s v="Договор поставки/купли продажи движимого имущества"/>
    <s v="Расходная часть"/>
    <s v="Стоимостной"/>
    <s v="20%"/>
    <s v=""/>
    <s v=""/>
    <s v="82 382.40"/>
    <s v="68 652.00"/>
    <s v="13 730.40"/>
    <s v="нет"/>
    <s v="нет"/>
    <s v=""/>
    <s v=""/>
    <s v=""/>
    <s v=""/>
    <s v="нет"/>
  </r>
  <r>
    <s v="Газпромнефть-ГЕО, ООО"/>
    <s v="0000073305"/>
    <s v="Зарегистрирован"/>
    <d v="2022-04-19T00:00:00"/>
    <s v=""/>
    <x v="64"/>
    <s v="8904080406"/>
    <s v="ГЕО-21/11031/00101/Р"/>
    <s v=""/>
    <s v="3"/>
    <s v="Нетиповой ДД"/>
    <x v="0"/>
    <s v=""/>
    <s v="00310-22"/>
    <s v=""/>
    <s v="Дополнительное соглашение №3 к Договору № ГЕО-21/11031/00040/Р от 01.03.2021 года"/>
    <s v="Оплата не  позднее 30 дней"/>
    <s v="Крутова Е.С."/>
    <s v=""/>
    <s v="Договорный документ"/>
    <s v="Департамент капитального строительства"/>
    <s v="Перфильев Д.А."/>
    <s v="На бумажном носителе"/>
    <s v="До исполнения обязательств"/>
    <d v="2022-04-19T00:00:00"/>
    <s v=""/>
    <s v="Д-61"/>
    <s v="СМР Комплекс работ по разработке карьеров_x000a_(примечание: разработка карьеров грунта, в т.ч. гидронамывным способом)"/>
    <s v="Не предполагает взаиморасчетов"/>
    <s v="Тарифный"/>
    <s v=""/>
    <s v=""/>
    <s v=""/>
    <s v=""/>
    <s v=""/>
    <s v=""/>
    <s v="нет"/>
    <s v="нет"/>
    <s v=""/>
    <s v=""/>
    <s v=""/>
    <s v=""/>
    <s v="нет"/>
  </r>
  <r>
    <s v="Газпромнефть-ГЕО, ООО"/>
    <s v="0000040495"/>
    <s v="Закрыт"/>
    <d v="2022-04-18T00:00:00"/>
    <s v=""/>
    <x v="167"/>
    <s v="0275009544"/>
    <s v="ГЕО-21/10110/00217/Р + ПР"/>
    <s v=""/>
    <s v="2"/>
    <s v="Нетиповой ДД"/>
    <x v="0"/>
    <s v=""/>
    <s v="00311-22"/>
    <s v=""/>
    <s v="ДС № 2 к договору ГЕО-21/10110/00217/Р"/>
    <s v="Уточнение статьи исключения ВЛС, корректировак сроков оплаты на 30 к.д., добавление условий гостайны"/>
    <s v="Ахматгалиев С.З."/>
    <s v=""/>
    <s v="Договорный документ"/>
    <s v="Блок геологии и разработки"/>
    <s v="Аксенов М.А."/>
    <s v="На бумажном носителе"/>
    <s v="С ограничением по срокам "/>
    <d v="2022-04-18T00:00:00"/>
    <d v="2022-12-0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8216"/>
    <s v="Зарегистрирован"/>
    <d v="2023-06-13T00:00:00"/>
    <s v=""/>
    <x v="38"/>
    <s v="8605013881"/>
    <s v="ГЕО-22/20000/00100/Д"/>
    <s v=""/>
    <s v="2"/>
    <s v="Нетиповой ДД"/>
    <x v="0"/>
    <s v=""/>
    <s v="00311-23"/>
    <s v=""/>
    <s v="ДС 2 к ГЕО-22/20000/00100/Д с АО «ПГО «Тюменьпромгеофизика»"/>
    <s v="Продление срока действия и увеличение стоимости договора"/>
    <s v="Титова Е.В."/>
    <s v=""/>
    <s v="Договорный документ"/>
    <s v="Блок снабжения и закупок"/>
    <s v="Шакирзянов Л.Н."/>
    <s v="ЭП"/>
    <s v="С ограничением по срокам "/>
    <d v="2023-06-01T00:00:00"/>
    <d v="2023-09-01T00:00:00"/>
    <s v="Д-20"/>
    <s v="Агентский договор"/>
    <s v="Доходная часть"/>
    <s v="Агентский"/>
    <s v="20%"/>
    <s v=""/>
    <s v=""/>
    <s v="297 902.76"/>
    <s v="248 252.30"/>
    <s v="49 650.46"/>
    <s v="нет"/>
    <s v="нет"/>
    <s v=""/>
    <s v=""/>
    <s v=""/>
    <s v=""/>
    <s v="нет"/>
  </r>
  <r>
    <s v="Газпромнефть-ГЕО, ООО"/>
    <s v="0000084590"/>
    <s v="Зарегистрирован"/>
    <d v="2024-06-01T00:00:00"/>
    <d v="2024-05-28T00:00:00"/>
    <x v="61"/>
    <s v="7708277130"/>
    <s v="ГЕО-23/09000/00149/Р"/>
    <s v=""/>
    <s v="1"/>
    <s v="Нетиповой ДД"/>
    <x v="4"/>
    <s v=""/>
    <s v="00311-24"/>
    <s v="15"/>
    <s v="Изменение №1 к Заявке № 15 к Договору № ГЕО-23/09000/00149/Р от 28.08.2023 г."/>
    <s v="1._x0009_Изложить раздел 1, Заявки № 15 к Договору № ГЕО-23/09000/00149/Р от 28.08.2023 г. в части Ф.И.О. работника в следующей редакции:_x000a_- Шигапов Ринат Камильевич._x000a_- Немолочнов Михаил Сергеевич."/>
    <s v="Фокин Е.В."/>
    <s v="Фокин Е.В."/>
    <s v="Договорный документ"/>
    <s v="Управление производственной безопасности"/>
    <s v="Михайлов Ю.А."/>
    <s v="ЭП"/>
    <s v="С ограничением по срокам "/>
    <d v="2024-06-01T00:00:00"/>
    <d v="2024-07-31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73305"/>
    <s v="Зарегистрирован"/>
    <d v="2022-04-26T00:00:00"/>
    <s v=""/>
    <x v="64"/>
    <s v="8904080406"/>
    <s v="ГЕО-21/11031/00101/Р"/>
    <s v=""/>
    <s v="4"/>
    <s v="Нетиповой ДД"/>
    <x v="0"/>
    <s v=""/>
    <s v="00312-22"/>
    <s v=""/>
    <s v="Дополнительное соглашение №4 к Договору № ГЕО-21/11031/00101/Р от 25.03.2021 года"/>
    <s v="О внесении изменений в содержание Наряд-заказа №1. Без увеличения общей цены договора. Выделение подэтапа 1.7 «Проект горного отвода и получение в Ростехнадзоре акта горного отвода на добычу общераспространенных полезных ископаемых (ОПИ)» Сводной сметы наряд-заказа №1 (Приложение №3 к наряд-заказу №1) из этапа 1 в отдельный Этап №4 по Наряд-заказу №1 со сроком выполнения работ - 30.09.2022г. на следующих условиях:"/>
    <s v="Крутова Е.С."/>
    <s v=""/>
    <s v="Договорный документ"/>
    <s v="Департамент капитального строительства"/>
    <s v="Перфильев Д.А."/>
    <s v="ЭП"/>
    <s v="До исполнения обязательств"/>
    <d v="2022-04-18T00:00:00"/>
    <s v=""/>
    <s v="Д-61"/>
    <s v="СМР Комплекс работ по разработке карьеров_x000a_(примечание: разработка карьеров грунта, в т.ч. гидронамывным способом)"/>
    <s v="Не предполагает взаиморасчетов"/>
    <s v="Тарифный"/>
    <s v=""/>
    <s v=""/>
    <s v=""/>
    <s v=""/>
    <s v=""/>
    <s v=""/>
    <s v="нет"/>
    <s v="нет"/>
    <s v=""/>
    <s v=""/>
    <s v=""/>
    <s v=""/>
    <s v="нет"/>
  </r>
  <r>
    <s v="Газпромнефть-ГЕО, ООО"/>
    <s v=""/>
    <s v="Зарегистрирован"/>
    <d v="2023-06-19T00:00:00"/>
    <s v=""/>
    <x v="253"/>
    <s v=""/>
    <s v=""/>
    <s v="ГЕО-23/26000/00098"/>
    <s v="ГЕО-23/26000/00098"/>
    <s v="Нетиповой ДД"/>
    <x v="1"/>
    <s v=""/>
    <s v="00312-23"/>
    <s v=""/>
    <s v="Соглашение о конфиденциальности"/>
    <s v="Соглашение о конфиденциальности для оформления договорных отношений между ООО &quot;ГПН-ГЕО&quot; и МКООО &quot;Газпром интернэшнл лимитед&quot; по форме КА"/>
    <s v="Гареев Р.Д."/>
    <s v="Гареев Р.Д."/>
    <s v="Договорный документ"/>
    <s v="Блок коммерческой деятельности"/>
    <s v="Созинов С.А."/>
    <s v="На бумажном носителе"/>
    <s v="До исполнения обязательств"/>
    <d v="2023-06-13T00:00:00"/>
    <s v=""/>
    <s v="Д-60"/>
    <s v="Соглашение о конфиденциальности"/>
    <s v="Не предполагает взаиморасчетов"/>
    <s v=""/>
    <s v=""/>
    <s v=""/>
    <s v=""/>
    <s v=""/>
    <s v=""/>
    <s v=""/>
    <s v="нет"/>
    <s v="нет"/>
    <s v=""/>
    <s v=""/>
    <s v=""/>
    <s v=""/>
    <s v="нет"/>
  </r>
  <r>
    <s v="Газпромнефть-ГЕО, ООО"/>
    <s v="0000045789"/>
    <s v="Зарегистрирован"/>
    <d v="2022-04-18T00:00:00"/>
    <s v=""/>
    <x v="16"/>
    <s v="7838395487"/>
    <s v="ГЕО-20/11708/00047/Р//НТЦ-20/08000/00383/Д-ГЕО"/>
    <s v=""/>
    <s v="НТЦ-00715-22Д-ГЕО"/>
    <s v="Нетиповой ДД"/>
    <x v="7"/>
    <s v=""/>
    <s v="00313-22"/>
    <s v=""/>
    <s v="Заказ НТЦ-00715-22Д-ГЕО"/>
    <s v="Инжиниринговое сопровождение по крупному проекту ГРР «Толедо» м/р им. Эрвье"/>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2-04-18T00:00:00"/>
    <d v="2022-06-30T00:00:00"/>
    <s v="Д-52"/>
    <s v="Договор на выполнение НИР, ОКР и технологических работ"/>
    <s v="Расходная часть"/>
    <s v="Рамочный"/>
    <s v="20%"/>
    <s v=""/>
    <s v=""/>
    <s v="5 472 000.00"/>
    <s v="4 560 000.00"/>
    <s v="912 000.00"/>
    <s v="нет"/>
    <s v="нет"/>
    <s v=""/>
    <s v=""/>
    <s v=""/>
    <s v=""/>
    <s v="нет"/>
  </r>
  <r>
    <s v="Газпромнефть-ГЕО, ООО"/>
    <s v="0000057789"/>
    <s v="Зарегистрирован"/>
    <d v="2023-06-13T00:00:00"/>
    <s v=""/>
    <x v="186"/>
    <s v="6319065934"/>
    <s v="ГЕО-22/10000/00053/Р"/>
    <s v=""/>
    <s v="5"/>
    <s v="Нетиповой ДД"/>
    <x v="0"/>
    <s v=""/>
    <s v="00313-23"/>
    <s v=""/>
    <s v="ДС №5 к Договору №ГЕО-22/10000/00053/Р от 14.03.2022 г."/>
    <s v="Перевод НГО в ГО, продление срока выполнения работ/действия договора."/>
    <s v="Безруков А.А."/>
    <s v="Веселкин А.С."/>
    <s v="Договорный документ"/>
    <s v="Блок бурения и ВСР"/>
    <s v="Трифонов А.В."/>
    <s v="ЭП"/>
    <s v="До исполнения обязательств"/>
    <d v="2023-06-13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5 558 451.57"/>
    <s v="21 298 709.64"/>
    <s v="4 259 741.93"/>
    <s v="нет"/>
    <s v="нет"/>
    <s v=""/>
    <s v=""/>
    <s v=""/>
    <s v=""/>
    <s v="нет"/>
  </r>
  <r>
    <s v="Газпромнефть-ГЕО, ООО"/>
    <s v="0000105641"/>
    <s v="Зарегистрирован"/>
    <d v="2024-05-16T00:00:00"/>
    <d v="2024-06-03T00:00:00"/>
    <x v="133"/>
    <s v="8619017847"/>
    <s v="ГЕО-23/10000/00202/Д"/>
    <s v=""/>
    <s v="2"/>
    <s v="Нетиповой ДД"/>
    <x v="0"/>
    <s v=""/>
    <s v="00313-24"/>
    <s v=""/>
    <s v="ДС №2 к Договору №MOS/23/0080/ГЕО-23/10000/00202/Д от «06» декабря 2023 года "/>
    <s v="Доходный договор._x000a_1. Перевод мотивации по ПБ за полевые ЭРР сезон 23-24 из НГО в ГО._x000a_2. Актуализация расчета стоимости в соответствии с производственной программой._x000a_3. Изменение единицы измерения по услугам супервайзинга (этап вместо суток)._x000a_4. Включение новой расценки &quot;Организация медицинской деятельности&quot;._x000a_5. Актуализация условий приемки работ (исключение необходимости предоставления отчета оператора)."/>
    <s v="Ушакова М.А."/>
    <s v=""/>
    <s v="Договорный документ"/>
    <s v="Блок геологии и разработки"/>
    <s v="Аксенов М.А."/>
    <s v="ЭП"/>
    <s v="С ограничением по срокам "/>
    <d v="2024-05-16T00:00:00"/>
    <d v="2027-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Рамочный"/>
    <s v="20%"/>
    <s v=""/>
    <s v=""/>
    <s v="918 657 218.36"/>
    <s v="765 547 681.97"/>
    <s v="153 109 536.39"/>
    <s v="нет"/>
    <s v="нет"/>
    <s v=""/>
    <s v=""/>
    <s v=""/>
    <s v=""/>
    <s v="нет"/>
  </r>
  <r>
    <s v="Газпромнефть-ГЕО, ООО"/>
    <s v="0000087378"/>
    <s v="Зарегистрирован"/>
    <d v="2022-04-05T00:00:00"/>
    <s v=""/>
    <x v="97"/>
    <s v="7204203139"/>
    <s v=" ГЕО-19/10156/00057/Р"/>
    <s v=""/>
    <s v="2/22-057"/>
    <s v="Нетиповой ДД"/>
    <x v="3"/>
    <s v=""/>
    <s v="00314-22"/>
    <s v=""/>
    <s v="Оценка влияния технологических жидкостей на фильтрационные характеристики образцов керна"/>
    <s v="выполнить ряд фильтрационных экспериментов для оценки степени изменения ФЕС в зависимости от различных вариантов систем жидкостей ГРП и последующего освоения"/>
    <s v="Ябиров Р.З."/>
    <s v=""/>
    <s v="Договорный документ"/>
    <s v="Блок геологии и разработки"/>
    <s v="Аксенов М.А."/>
    <s v="На бумажном носителе"/>
    <s v="С ограничением по срокам "/>
    <d v="2022-04-05T00:00:00"/>
    <d v="2022-12-30T00:00:00"/>
    <s v=""/>
    <s v="Договор на выполнение НИР, ОКР и технологических работ"/>
    <s v="Расходная часть"/>
    <s v="Рамочный"/>
    <s v="20%"/>
    <s v=""/>
    <s v=""/>
    <s v="48 502 384.97"/>
    <s v="40 418 654.14"/>
    <s v="8 083 730.83"/>
    <s v="нет"/>
    <s v="нет"/>
    <s v=""/>
    <s v=""/>
    <s v=""/>
    <s v=""/>
    <s v="нет"/>
  </r>
  <r>
    <s v="Газпромнефть-ГЕО, ООО"/>
    <s v="0000057789"/>
    <s v="Зарегистрирован"/>
    <d v="2023-06-13T00:00:00"/>
    <s v=""/>
    <x v="186"/>
    <s v="6319065934"/>
    <s v="ГЕО-22/10000/00053/Р"/>
    <s v=""/>
    <s v="2"/>
    <s v="Нетиповой ДД"/>
    <x v="3"/>
    <s v=""/>
    <s v="00314-23"/>
    <s v=""/>
    <s v="Наряд-заказ №2 на оказание услуг по Договору № ГЕО-22/10000/00053/Р от 14.03.2022 г. "/>
    <s v="Выполенение работ по перебуриванию скважины 1ПО на Северо-Ямбургском ЛУ "/>
    <s v="Безруков А.А."/>
    <s v="Веселкин А.С."/>
    <s v="Договорный документ"/>
    <s v="Блок бурения и ВСР"/>
    <s v="Шакирзянов Л.Н."/>
    <s v="ЭП"/>
    <s v="До исполнения обязательств"/>
    <d v="2023-06-13T00:00:00"/>
    <s v=""/>
    <s v="Д-2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6 805 038.56"/>
    <s v="14 004 198.80"/>
    <s v="2 800 839.76"/>
    <s v="нет"/>
    <s v="нет"/>
    <s v=""/>
    <s v=""/>
    <s v=""/>
    <s v=""/>
    <s v="нет"/>
  </r>
  <r>
    <s v="Газпромнефть-ГЕО, ООО"/>
    <s v="0000084590"/>
    <s v="Зарегистрирован"/>
    <d v="2024-06-01T00:00:00"/>
    <d v="2024-05-24T00:00:00"/>
    <x v="61"/>
    <s v="7708277130"/>
    <s v="ГЕО-23/09000/00149/Р"/>
    <s v=""/>
    <s v="3"/>
    <s v="Нетиповой ДД"/>
    <x v="4"/>
    <s v=""/>
    <s v="00314-24"/>
    <s v="5"/>
    <s v="Изменение №3 к Заявке № 5 к договору № ГЕО-23/09000/00149/Р от «28» августа 2023 г."/>
    <s v="1._x0009_Изложить раздел 1 Заявки № 5 к договору о предоставлении труда работников (персонала) № ГЕО-23/09000/00149/Р от 28.08.2023 г. в части Ф.И.О. работника в следующей редакции:_x000a_- Чинчикеев Аржан Николаевич (привлечение с 30.10.2023 г. по 31.08.2024 г.)_x000a_- Теребихин Дмитрий Николаевич (привлечение с 18.12.2023 г. по 30.04.2024 г.)_x000a_- Байтимиров Амангельды Шимбулатович (привлечение с 01.06.2024 г. по 31.08.2024 г.)"/>
    <s v="Фокин Е.В."/>
    <s v="Фокин Е.В."/>
    <s v="Договорный документ"/>
    <s v="Управление производственной безопасности"/>
    <s v="Михайлов Ю.А."/>
    <s v="ЭП"/>
    <s v="С ограничением по срокам "/>
    <d v="2023-10-30T00:00:00"/>
    <d v="2024-08-31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
    <s v="Проект"/>
    <s v=""/>
    <s v=""/>
    <x v="58"/>
    <s v=""/>
    <s v=""/>
    <s v=""/>
    <s v=""/>
    <s v="Типовой ДД"/>
    <x v="2"/>
    <s v="10552 Договор на оказание услуг по освоению скважин через сепарационную установку"/>
    <s v="00315-22"/>
    <s v=""/>
    <s v="10552 Договор на оказание услуг по освоению скважин через сепарационную установку"/>
    <s v="оказание услуг по освоению скважин через сепарационную установку"/>
    <s v="Бикташев Р.С."/>
    <s v=""/>
    <s v="Договорный документ"/>
    <s v="Производственно-технологический департамент"/>
    <s v="Перфильев Д.А."/>
    <s v="На бумажном носителе"/>
    <s v="С ограничением по срокам "/>
    <d v="2022-05-01T00:00:00"/>
    <d v="2023-12-31T00:00:00"/>
    <s v="Д-61"/>
    <s v="Договор контрактации"/>
    <s v="Расходная часть"/>
    <s v=""/>
    <s v=""/>
    <s v=""/>
    <s v=""/>
    <s v=""/>
    <s v=""/>
    <s v=""/>
    <s v="нет"/>
    <s v="нет"/>
    <s v=""/>
    <s v=""/>
    <s v=""/>
    <s v=""/>
    <s v="нет"/>
  </r>
  <r>
    <s v="Газпромнефть-ГЕО, ООО"/>
    <s v="0000073438"/>
    <s v="Зарегистрирован"/>
    <d v="2023-06-14T00:00:00"/>
    <s v=""/>
    <x v="68"/>
    <s v="7720330291"/>
    <s v="ГЕО-21/08000/00296/Р"/>
    <s v=""/>
    <s v="7"/>
    <s v="Нетиповой ДД"/>
    <x v="0"/>
    <s v=""/>
    <s v="00315-23"/>
    <s v=""/>
    <s v="Дополнительное соглашение № 7 к Договору № ГЕО-21/08000/00296/Р от «28» декабря 2021 г."/>
    <s v="Перераспределение объемов. "/>
    <s v="Автеньев М.В."/>
    <s v="Мустафин И.Р."/>
    <s v="Договорный документ"/>
    <s v="Блок геологии и разработки"/>
    <s v="Аксенов М.А."/>
    <s v="ЭП"/>
    <s v="С ограничением по срокам "/>
    <d v="2023-06-14T00:00:00"/>
    <d v="2026-12-31T00:00:00"/>
    <s v=""/>
    <s v="Договор на выполнение НИР, ОКР и технологических работ"/>
    <s v="Расходная часть"/>
    <s v="Стоимостной"/>
    <s v="20%"/>
    <s v=""/>
    <s v=""/>
    <s v="2 280 000.00"/>
    <s v="1 900 000.00"/>
    <s v="380 000.00"/>
    <s v="нет"/>
    <s v="нет"/>
    <s v=""/>
    <s v=""/>
    <s v=""/>
    <s v=""/>
    <s v="нет"/>
  </r>
  <r>
    <s v="Газпромнефть-ГЕО, ООО"/>
    <s v="0000105641"/>
    <s v="Зарегистрирован"/>
    <d v="2024-05-28T00:00:00"/>
    <d v="2024-06-03T00:00:00"/>
    <x v="133"/>
    <s v="8619017847"/>
    <s v="ГЕО-23/10000/00202/Д"/>
    <s v=""/>
    <s v="1"/>
    <s v="Нетиповой ДД"/>
    <x v="3"/>
    <s v=""/>
    <s v="00315-24"/>
    <s v=""/>
    <s v="НЗ №1 к Договору №MOS/23/0080/ГЕО-23/10000/00202/Д от «06» декабря 2023 года "/>
    <s v="Доходный Наряд-заказ. _x000a_Выполнение СРР на Южно-Ямской пл. "/>
    <s v="Ушакова М.А."/>
    <s v=""/>
    <s v="Договорный документ"/>
    <s v="Блок геологии и разработки"/>
    <s v="Аксенов М.А."/>
    <s v="ЭП"/>
    <s v="С ограничением по срокам "/>
    <d v="2024-05-28T00:00:00"/>
    <d v="2027-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Рамочный"/>
    <s v="20%"/>
    <s v=""/>
    <s v=""/>
    <s v="603 884 383.90"/>
    <s v="503 236 986.58"/>
    <s v="100 647 397.32"/>
    <s v="нет"/>
    <s v="нет"/>
    <s v=""/>
    <s v=""/>
    <s v=""/>
    <s v=""/>
    <s v="нет"/>
  </r>
  <r>
    <s v="Газпромнефть-ГЕО, ООО"/>
    <s v="0000073438"/>
    <s v="Зарегистрирован"/>
    <d v="2022-04-07T00:00:00"/>
    <s v=""/>
    <x v="68"/>
    <s v="7720330291"/>
    <s v="ГЕО-21/08000/00296/Р"/>
    <s v=""/>
    <s v="1"/>
    <s v="Нетиповой ДД"/>
    <x v="0"/>
    <s v=""/>
    <s v="00316-22"/>
    <s v=""/>
    <s v="Дополнительное соглашение № 1"/>
    <s v="Внесение изменений в формулировки технического задания, предмет договора и сроки оплаты выполненных работ"/>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4-01T00:00:00"/>
    <d v="2026-12-31T00:00:00"/>
    <s v="Д-54"/>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104253"/>
    <s v="Зарегистрирован"/>
    <d v="2023-06-20T00:00:00"/>
    <s v=""/>
    <x v="254"/>
    <s v="7813297921"/>
    <s v="ГЕО-22/09000/00106/Р"/>
    <s v=""/>
    <s v="3"/>
    <s v="Нетиповой ДД"/>
    <x v="0"/>
    <s v=""/>
    <s v="00316-23"/>
    <s v=""/>
    <s v="Дополнительное согласшение №3 к Договору №ГЕО-22/09000/00106/Р от 16.05.2022г."/>
    <s v="Перевод негарантированного объема работ в гарантированный"/>
    <s v="Леденев Ю.А."/>
    <s v="Бабиков Н.В."/>
    <s v="Договорный документ"/>
    <s v="Блок снабжения и закупок"/>
    <s v="Титов А.В."/>
    <s v="ЭП"/>
    <s v="До исполнения обязательств"/>
    <d v="2023-06-20T00:00:00"/>
    <s v=""/>
    <s v="Д-56"/>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37860"/>
    <s v="Зарегистрирован"/>
    <d v="2024-05-20T00:00:00"/>
    <d v="2024-06-02T00:00:00"/>
    <x v="20"/>
    <s v="7714024384"/>
    <s v="ГЕО-23/10318/00010/Р+ ПР + ПУР"/>
    <s v=""/>
    <s v="2"/>
    <s v="Нетиповой ДД"/>
    <x v="3"/>
    <s v=""/>
    <s v="00316-24"/>
    <s v=""/>
    <s v="НЗ №2 к Договору №ГЕО-23/10318/00010/Р от 10.01.2023 г. с АО «Технологии ОФС» "/>
    <s v="Для обеспечения работ по отбору керна на скв. Камовская КМ-4бис Оморинского ЛУ"/>
    <s v="Ушакова М.А."/>
    <s v=""/>
    <s v="Договорный документ"/>
    <s v="Блок геологии и разработки"/>
    <s v="Аксенов М.А."/>
    <s v="ЭП"/>
    <s v="С ограничением по срокам "/>
    <d v="2024-05-20T00:00:00"/>
    <d v="2027-12-31T00:00:00"/>
    <s v=""/>
    <s v="Отбор керна при бурении и реконструкции скважин"/>
    <s v="Расходная часть"/>
    <s v="Рамочный"/>
    <s v="20%"/>
    <s v=""/>
    <s v=""/>
    <s v="10 407 948.89"/>
    <s v="8 673 290.74"/>
    <s v="1 734 658.15"/>
    <s v="нет"/>
    <s v="нет"/>
    <s v=""/>
    <s v=""/>
    <s v=""/>
    <s v=""/>
    <s v="нет"/>
  </r>
  <r>
    <s v="Газпромнефть-ГЕО, ООО"/>
    <s v="0000087378"/>
    <s v="Зарегистрирован"/>
    <d v="2022-01-10T00:00:00"/>
    <s v=""/>
    <x v="97"/>
    <s v="7204203139"/>
    <s v=" ГЕО-19/10156/00057/Р"/>
    <s v=""/>
    <s v="1/22-057"/>
    <s v="Нетиповой ДД"/>
    <x v="3"/>
    <s v=""/>
    <s v="00317-22"/>
    <s v=""/>
    <s v="Хранение керна"/>
    <s v="Хранение керновых материалов по ООО &quot;ГПН-ГЕО&quot;"/>
    <s v="Ябиров Р.З."/>
    <s v=""/>
    <s v="Договорный документ"/>
    <s v="Блок геологии и разработки"/>
    <s v="Аксенов М.А."/>
    <s v="На бумажном носителе"/>
    <s v="С ограничением по срокам "/>
    <d v="2022-01-01T00:00:00"/>
    <d v="2022-12-31T00:00:00"/>
    <s v="Д-54"/>
    <s v="Договор на выполнение НИР, ОКР и технологических работ"/>
    <s v="Расходная часть"/>
    <s v="Рамочный"/>
    <s v="20%"/>
    <s v=""/>
    <s v=""/>
    <s v="861 538.94"/>
    <s v="717 949.12"/>
    <s v="143 589.82"/>
    <s v="нет"/>
    <s v="нет"/>
    <s v=""/>
    <s v=""/>
    <s v=""/>
    <s v=""/>
    <s v="нет"/>
  </r>
  <r>
    <s v="Газпромнефть-ГЕО, ООО"/>
    <s v="0000071917"/>
    <s v="Зарегистрирован"/>
    <d v="2023-05-24T00:00:00"/>
    <s v=""/>
    <x v="135"/>
    <s v="8910003576"/>
    <s v="ГЕО-22/34000/00041/Р"/>
    <s v=""/>
    <s v="1"/>
    <s v="Нетиповой ДД"/>
    <x v="0"/>
    <s v=""/>
    <s v="00317-23"/>
    <s v=""/>
    <s v="Дополнительное соглашение №1 к Соглашению об установлении сервитута"/>
    <s v="Продление срока действия сервитута на часть земельного участка с кадастровым номером 89:06:000000:53, на общую площадь 2,0337 га, для объекта «Площадка базы подрядных организаций и размещения строительных материалов на ПК0 автозимника на Северо-Ямбургский ЛУ»"/>
    <s v="Титаева И.А."/>
    <s v="Титаева И.А."/>
    <s v="Договорный документ"/>
    <s v="Управление маркшейдерско-землеустроительных работ"/>
    <s v="Трифонов А.В."/>
    <s v="На бумажном носителе"/>
    <s v="С ограничением по срокам "/>
    <d v="2023-06-28T00:00:00"/>
    <d v="2026-09-01T00:00:00"/>
    <s v="Д-33"/>
    <s v="Соглашение с органами государственной власти и управления и муниципальными образованиями"/>
    <s v="Расходная часть"/>
    <s v="Стоимостной"/>
    <s v="0%"/>
    <s v=""/>
    <s v=""/>
    <s v="354 000.00"/>
    <s v="354 000.00"/>
    <n v="0"/>
    <s v="нет"/>
    <s v="нет"/>
    <s v=""/>
    <s v=""/>
    <s v=""/>
    <s v=""/>
    <s v="нет"/>
  </r>
  <r>
    <s v="Газпромнефть-ГЕО, ООО"/>
    <s v="0000080408"/>
    <s v="Зарегистрирован"/>
    <d v="2024-05-20T00:00:00"/>
    <d v="2024-05-30T00:00:00"/>
    <x v="104"/>
    <s v="3812043780"/>
    <s v="ГЕО-22/11029/00172/Р"/>
    <s v=""/>
    <s v="2"/>
    <s v="Нетиповой ДД"/>
    <x v="4"/>
    <s v=""/>
    <s v="00317-24"/>
    <s v="4"/>
    <s v="Изм№2 к  НЗ№4 к ДД №ГЕО-22/11029/00172/Р от 25.07.2022 (Камовская)"/>
    <s v="Изм№2 к  НЗ№4 к ДД №ГЕО-22/11029/00172/Р от 25.07.2022 (Камовская)"/>
    <s v="Мормышев А.А."/>
    <s v="Бабаев Д.Г."/>
    <s v="Договорный документ"/>
    <s v="Департамент капитального строительства"/>
    <s v="Трифонов А.В."/>
    <s v="ЭП"/>
    <s v="До исполнения обязательств"/>
    <d v="2024-05-20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46 269 742.00"/>
    <s v="121 891 451.67"/>
    <s v="24 378 290.33"/>
    <s v="нет"/>
    <s v="нет"/>
    <s v=""/>
    <s v=""/>
    <s v=""/>
    <s v=""/>
    <s v="нет"/>
  </r>
  <r>
    <s v="Газпромнефть-ГЕО, ООО"/>
    <s v="0000027645"/>
    <s v="Зарегистрирован"/>
    <d v="2022-04-08T00:00:00"/>
    <s v=""/>
    <x v="80"/>
    <s v="5501072608"/>
    <s v=""/>
    <s v="ГЕО-22/20000/00088/Д"/>
    <s v="ГЕО-22/20000/00088/Д"/>
    <s v="Нетиповой ДД"/>
    <x v="2"/>
    <s v=""/>
    <s v="00318-22"/>
    <s v=""/>
    <s v="Агентский договор на организацию вертолетных авиаперевозок с ООО &quot;Газпромнефть-Снабжение&quot;"/>
    <s v="Авиаперевозка персонала и грузов КА"/>
    <s v="Титова Е.В."/>
    <s v="Титова Е.В."/>
    <s v="Договорный документ"/>
    <s v="Блок снабжения и закупок"/>
    <s v="Титов А.В."/>
    <s v="На бумажном носителе"/>
    <s v="С ограничением по срокам "/>
    <d v="2022-04-08T00:00:00"/>
    <d v="2022-12-31T00:00:00"/>
    <s v="Д-56"/>
    <s v="Агентский договор"/>
    <s v="Доходная часть"/>
    <s v="Агентский"/>
    <s v="20%"/>
    <s v=""/>
    <s v=""/>
    <s v="6 655 999.68"/>
    <s v="5 546 666.40"/>
    <s v="1 109 333.28"/>
    <s v="нет"/>
    <s v="нет"/>
    <s v=""/>
    <s v=""/>
    <s v=""/>
    <s v=""/>
    <s v="нет"/>
  </r>
  <r>
    <s v="Газпромнефть-ГЕО, ООО"/>
    <s v="0000085689"/>
    <s v="Зарегистрирован"/>
    <d v="2023-06-22T00:00:00"/>
    <s v=""/>
    <x v="15"/>
    <s v="3808219470"/>
    <s v="ГЕО-23/10000/00021/Р"/>
    <s v=""/>
    <s v="1"/>
    <s v="Нетиповой ДД"/>
    <x v="0"/>
    <s v=""/>
    <s v="00318-23"/>
    <s v=""/>
    <s v="ДС №1 к договору ГЕО-23/10000/00021/Р от 13.01.2023"/>
    <s v="Дополнительное соглашение в рамках выплаты Материальной мотивации подрядных организаций "/>
    <s v="Гулин В.Д."/>
    <s v="Гулин В.Д."/>
    <s v="Договорный документ"/>
    <s v="Блок геологии и разработки"/>
    <s v="Аксенов М.А."/>
    <s v="ЭП"/>
    <s v="С ограничением по срокам "/>
    <d v="2023-06-22T00:00:00"/>
    <d v="2023-06-30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605 407.91"/>
    <s v="504 506.59"/>
    <s v="100 901.32"/>
    <s v="нет"/>
    <s v="нет"/>
    <s v=""/>
    <s v=""/>
    <s v=""/>
    <s v=""/>
    <s v="нет"/>
  </r>
  <r>
    <s v="Газпромнефть-ГЕО, ООО"/>
    <s v="0000057750"/>
    <s v="Зарегистрирован"/>
    <d v="2024-05-20T00:00:00"/>
    <s v=""/>
    <x v="182"/>
    <s v="0814118403"/>
    <s v="ГЕО-22/10000/00225/Р"/>
    <s v=""/>
    <s v="5"/>
    <s v="Нетиповой ДД"/>
    <x v="0"/>
    <s v=""/>
    <s v="00318-24"/>
    <s v=""/>
    <s v="ДС№5 к Договору №ГЕО-22/10000/00225/Р от 20.09.2022 (клин)"/>
    <s v="Дополнительное соглашение №5 к Договору №ГЕО-22/10000/00225/Р от 20.09.2022 &quot;на бурение геологоразведочных скважин по суточной ставке или фиксированной ставке (в т.ч. мобильными установками)&quot;. Камовская площадь. Вырезка &quot;окна&quot;/клин."/>
    <s v="Мормышев А.А."/>
    <s v="Чупров В.В."/>
    <s v="Договорный документ"/>
    <s v="Блок главного инженера"/>
    <s v="Трифонов А.В."/>
    <s v="На бумажном носителе"/>
    <s v="До исполнения обязательств"/>
    <d v="2023-05-20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4736"/>
    <s v="Зарегистрирован"/>
    <d v="2022-04-15T00:00:00"/>
    <s v=""/>
    <x v="255"/>
    <s v="6350007780"/>
    <s v="ГЕО-22/10968/00008/Р"/>
    <s v=""/>
    <s v="1"/>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19-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в договор условий применения усиленной квалифицированной электронной подписи"/>
    <s v="Рябикина М.А."/>
    <s v="Бабаев Д.Г."/>
    <s v="Договорный документ"/>
    <s v="Блок главного инженера"/>
    <s v="Перфильев Д.А."/>
    <s v="На бумажном носителе"/>
    <s v="С ограничением по срокам "/>
    <d v="2022-04-15T00:00:00"/>
    <d v="2026-12-31T00:00:00"/>
    <s v="Д-61"/>
    <s v="Вывоз, транспортировка и размещение отходов производственной деятельности"/>
    <s v="Не предполагает взаиморасчетов"/>
    <s v="Тарифный"/>
    <s v=""/>
    <s v=""/>
    <s v=""/>
    <s v=""/>
    <s v=""/>
    <s v=""/>
    <s v="нет"/>
    <s v="нет"/>
    <s v=""/>
    <s v=""/>
    <s v=""/>
    <s v=""/>
    <s v="нет"/>
  </r>
  <r>
    <s v="Газпромнефть-ГЕО, ООО"/>
    <s v="0000040255"/>
    <s v="Зарегистрирован"/>
    <d v="2023-06-26T00:00:00"/>
    <s v=""/>
    <x v="88"/>
    <s v="7729407742"/>
    <s v="ГЕО-22/10986/00341/Р"/>
    <s v=""/>
    <s v="1"/>
    <s v="Нетиповой ДД"/>
    <x v="0"/>
    <s v=""/>
    <s v="00319-23"/>
    <s v=""/>
    <s v="Дополнительное соглашение №1 к Договору № ГЕО-22/10986/00341/Р от 30.12.2022 г."/>
    <s v="Перераспределение гарантированного объема, раскрытие негарантированного объёма работ в гарантированный"/>
    <s v="Копылов Е.О."/>
    <s v=""/>
    <s v="Договорный документ"/>
    <s v="Отдел экологической безопасности"/>
    <s v="Ядрышников П.Н."/>
    <s v="ЭП"/>
    <s v="С ограничением по срокам "/>
    <d v="2023-06-26T00:00:00"/>
    <d v="2027-12-31T00:00:00"/>
    <s v="Д-51"/>
    <s v="Супервайзинг ПЭБ и ОТ"/>
    <s v="Расходная часть"/>
    <s v="Рамочный"/>
    <s v="20%"/>
    <s v=""/>
    <s v=""/>
    <s v="209 576 725.20"/>
    <s v="174 647 271.00"/>
    <s v="34 929 454.20"/>
    <s v="нет"/>
    <s v="нет"/>
    <s v=""/>
    <s v=""/>
    <s v=""/>
    <s v=""/>
    <s v="нет"/>
  </r>
  <r>
    <s v="Газпромнефть-ГЕО, ООО"/>
    <s v="0000058703"/>
    <s v="Зарегистрирован"/>
    <d v="2024-05-20T00:00:00"/>
    <d v="2024-05-31T00:00:00"/>
    <x v="5"/>
    <s v="5914024719"/>
    <s v="ГЕО-21/10208/00166/Р"/>
    <s v=""/>
    <s v="16"/>
    <s v="Нетиповой ДД"/>
    <x v="0"/>
    <s v=""/>
    <s v="00319-24"/>
    <s v=""/>
    <s v="ДС 16 к № ГЕО-21/10208/00166/Р от 20.07.2021"/>
    <s v="Заключение ДС №16 к договору НСХ о раскрытии НГО 2024"/>
    <s v="Покатов О.Н."/>
    <s v=""/>
    <s v="Договорный документ"/>
    <s v="Блок главного инженера"/>
    <s v="Трифонов А.В."/>
    <s v="ЭП"/>
    <s v="До исполнения обязательств"/>
    <d v="2024-05-20T00:00:00"/>
    <s v=""/>
    <s v="Д-82"/>
    <s v="Бурение геологоразведочных скважин по суточной или иной фиксирванной ставке (в т.ч. мобильными установками)"/>
    <s v="Расходная часть"/>
    <s v="Тарифный"/>
    <s v="20%"/>
    <s v=""/>
    <s v=""/>
    <s v="134 774 520.60"/>
    <s v="112 312 100.50"/>
    <s v="22 462 420.10"/>
    <s v="нет"/>
    <s v="нет"/>
    <s v=""/>
    <s v=""/>
    <s v=""/>
    <s v=""/>
    <s v="нет"/>
  </r>
  <r>
    <s v="Газпромнефть-ГЕО, ООО"/>
    <s v="0000056566"/>
    <s v="Зарегистрирован"/>
    <d v="2023-06-19T00:00:00"/>
    <s v=""/>
    <x v="256"/>
    <s v="7709675951"/>
    <s v="ГЕО-22/10000/00155/Р"/>
    <s v=""/>
    <s v="1"/>
    <s v="Нетиповой ДД"/>
    <x v="3"/>
    <s v=""/>
    <s v="00320-23"/>
    <s v=""/>
    <s v="ЗАКАЗ № 1 к Договору №ГЕО-22/10000/00155/Р от 01.07.2022 г."/>
    <s v="Оказание услуг по проведению специальной оценки условий труда с проведением необходимых лабораторных измерений и составлением всей необходимой документации, предусматривающего перевод негарантированного объема услуг в гарантированный"/>
    <s v="Петушкова В.Е."/>
    <s v="Петушкова В.Е."/>
    <s v="Договорный документ"/>
    <s v="Управление производственной безопасности"/>
    <s v="Михайлов Ю.А."/>
    <s v="На бумажном носителе"/>
    <s v="До исполнения обязательств"/>
    <d v="2023-06-19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0 333.31"/>
    <s v="25 277.76"/>
    <s v="5 055.55"/>
    <s v="нет"/>
    <s v="нет"/>
    <s v=""/>
    <s v=""/>
    <s v=""/>
    <s v=""/>
    <s v="нет"/>
  </r>
  <r>
    <s v="Газпромнефть-ГЕО, ООО"/>
    <s v="0000061428"/>
    <s v="Зарегистрирован"/>
    <d v="2024-05-20T00:00:00"/>
    <d v="2024-06-05T00:00:00"/>
    <x v="10"/>
    <s v="7705907626"/>
    <s v="ГЕО-24/10000/00003/Р"/>
    <s v=""/>
    <s v="2"/>
    <s v="Нетиповой ДД"/>
    <x v="0"/>
    <s v=""/>
    <s v="00320-24"/>
    <s v=""/>
    <s v="Дополнительное соглашение №2 к Договору №ГЕО-24/10000/00003/Р от 15.01.2024г."/>
    <s v="Перевод денежных средств из не гарантированного объема в гарантированный_x000a_"/>
    <s v="Николаев Ю.М."/>
    <s v="Николаев Ю.М."/>
    <s v="Договорный документ"/>
    <s v="Производственно-технологический департамент"/>
    <s v="Трифонов А.В."/>
    <s v="ЭП"/>
    <s v="С ограничением по срокам "/>
    <d v="2024-05-20T00:00:00"/>
    <d v="2026-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3 561 562.40"/>
    <s v="11 301 302.00"/>
    <s v="2 260 260.40"/>
    <s v="нет"/>
    <s v="нет"/>
    <s v=""/>
    <s v=""/>
    <s v=""/>
    <s v=""/>
    <s v="нет"/>
  </r>
  <r>
    <s v="Газпромнефть-ГЕО, ООО"/>
    <s v="0000063179"/>
    <s v="Зарегистрирован"/>
    <d v="2022-04-15T00:00:00"/>
    <s v=""/>
    <x v="54"/>
    <s v="7727747172"/>
    <s v="ГЕО-20/10986/00138/Р от 10.08.2020г."/>
    <s v=""/>
    <s v="8"/>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21-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в договор условий применения усиленной квалифицированной электронной подписи"/>
    <s v="Рябикина М.А."/>
    <s v="Подколзин А.С."/>
    <s v="Договорный документ"/>
    <s v="Блок производственной безопасности"/>
    <s v="Власов М.М."/>
    <s v="На бумажном носителе"/>
    <s v="С ограничением по срокам "/>
    <d v="2022-04-15T00:00:00"/>
    <d v="2024-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50778"/>
    <s v="Зарегистрирован"/>
    <d v="2023-06-19T00:00:00"/>
    <s v=""/>
    <x v="257"/>
    <s v="1433000147"/>
    <s v=""/>
    <s v="ГЕО-23/09000/00103/Д"/>
    <s v="ГЕО-23/09000/00103/Д"/>
    <s v="Нетиповой ДД"/>
    <x v="2"/>
    <s v=""/>
    <s v="00321-23"/>
    <s v=""/>
    <s v="Договор выполнения работ"/>
    <s v="Оказание услуг по методическому сопровождению, разработке методических рекомендаций по применению малоглубинной сейсморазведки на участках работ."/>
    <s v="Гулин В.Д."/>
    <s v="Гулин В.Д."/>
    <s v="Договорный документ"/>
    <s v="Блок геологии и разработки"/>
    <s v="Аксенов М.А."/>
    <s v="На бумажном носителе"/>
    <s v="С ограничением по срокам "/>
    <d v="2023-06-19T00:00:00"/>
    <d v="2023-11-30T00:00:00"/>
    <s v=""/>
    <s v="Договор возмездного оказания услуг"/>
    <s v="Доходная часть"/>
    <s v="Стоимостной"/>
    <s v="20%"/>
    <s v=""/>
    <s v=""/>
    <s v="2 160 000.00"/>
    <s v="1 800 000.00"/>
    <s v="360 000.00"/>
    <s v="нет"/>
    <s v="нет"/>
    <s v=""/>
    <s v=""/>
    <s v=""/>
    <s v=""/>
    <s v="нет"/>
  </r>
  <r>
    <s v="Газпромнефть-ГЕО, ООО"/>
    <s v="0000084590"/>
    <s v="Зарегистрирован"/>
    <d v="2024-07-01T00:00:00"/>
    <d v="2024-06-03T00:00:00"/>
    <x v="61"/>
    <s v="7708277130"/>
    <s v="ГЕО-23/09000/00149/Р"/>
    <s v=""/>
    <s v="18"/>
    <s v="Нетиповой ДД"/>
    <x v="3"/>
    <s v=""/>
    <s v="00321-24"/>
    <s v=""/>
    <s v="Заявка № 18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для проекта «Оморинский», Салаирская площадь, скважина СЛР-3."/>
    <s v="Фокин Е.В."/>
    <s v="Фокин Е.В."/>
    <s v="Договорный документ"/>
    <s v="Управление производственной безопасности"/>
    <s v="Михайлов Ю.А."/>
    <s v="ЭП"/>
    <s v="С ограничением по срокам "/>
    <d v="2024-07-01T00:00:00"/>
    <d v="2024-08-31T00:00:00"/>
    <s v="Д-2"/>
    <s v="Договор возмездного оказания услуг"/>
    <s v="Расходная часть"/>
    <s v="Рамочный"/>
    <s v="20%"/>
    <s v=""/>
    <s v=""/>
    <s v="2 351 634.07"/>
    <s v="1 959 695.06"/>
    <s v="391 939.01"/>
    <s v="нет"/>
    <s v="нет"/>
    <s v=""/>
    <s v=""/>
    <s v=""/>
    <s v=""/>
    <s v="нет"/>
  </r>
  <r>
    <s v="Газпромнефть-ГЕО, ООО"/>
    <s v="0000049191"/>
    <s v="Зарегистрирован"/>
    <d v="2023-06-30T00:00:00"/>
    <s v=""/>
    <x v="0"/>
    <s v="7729058675"/>
    <s v=""/>
    <s v="ГЕО-23/09000/00104/Р"/>
    <s v="ГЕО-23/09000/00104/Р"/>
    <s v="Нетиповой ДД"/>
    <x v="2"/>
    <s v=""/>
    <s v="00322-23"/>
    <s v=""/>
    <s v="Договор на ШМР/ПНР для зоны коворкинга"/>
    <s v="Шеф-монтажные работы и пусконаладочные работы для организации зоны коворкинга на 8 этаже БЦ СИНОП"/>
    <s v="Попов В.А."/>
    <s v="Попов В.А."/>
    <s v="Договорный документ"/>
    <s v="Блок геологии и разработки"/>
    <s v="Аксенов М.А."/>
    <s v="На бумажном носителе"/>
    <s v="До исполнения обязательств"/>
    <d v="2023-06-30T00:00:00"/>
    <s v=""/>
    <s v="Д-54"/>
    <s v="Договор возмездного оказания услуг"/>
    <s v="Расходная часть"/>
    <s v="Стоимостной"/>
    <s v="20%"/>
    <s v=""/>
    <s v=""/>
    <s v="17 040 000.00"/>
    <s v="14 200 000.00"/>
    <s v="2 840 000.00"/>
    <s v="нет"/>
    <s v="нет"/>
    <s v=""/>
    <s v=""/>
    <s v=""/>
    <s v=""/>
    <s v="нет"/>
  </r>
  <r>
    <s v="Газпромнефть-ГЕО, ООО"/>
    <s v="0000084590"/>
    <s v="Зарегистрирован"/>
    <d v="2024-07-01T00:00:00"/>
    <d v="2024-06-03T00:00:00"/>
    <x v="61"/>
    <s v="7708277130"/>
    <s v="ГЕО-23/09000/00149/Р"/>
    <s v=""/>
    <s v="19"/>
    <s v="Нетиповой ДД"/>
    <x v="3"/>
    <s v=""/>
    <s v="00322-24"/>
    <s v=""/>
    <s v="Заявка № 19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супервайзера по производственной безопасности для проекта «Оморинский», Салаирская площадь, скважина СЛР-3."/>
    <s v="Фокин Е.В."/>
    <s v="Фокин Е.В."/>
    <s v="Договорный документ"/>
    <s v="Управление производственной безопасности"/>
    <s v="Михайлов Ю.А."/>
    <s v="ЭП"/>
    <s v="С ограничением по срокам "/>
    <d v="2024-07-01T00:00:00"/>
    <d v="2024-08-31T00:00:00"/>
    <s v="Д-2"/>
    <s v="Договор возмездного оказания услуг"/>
    <s v="Расходная часть"/>
    <s v="Рамочный"/>
    <s v="20%"/>
    <s v=""/>
    <s v=""/>
    <s v="1 649 904.12"/>
    <s v="1 374 920.10"/>
    <s v="274 984.02"/>
    <s v="нет"/>
    <s v="нет"/>
    <s v=""/>
    <s v=""/>
    <s v=""/>
    <s v=""/>
    <s v="нет"/>
  </r>
  <r>
    <s v="Газпромнефть-ГЕО, ООО"/>
    <s v="0000040642"/>
    <s v="Зарегистрирован"/>
    <d v="2022-03-30T00:00:00"/>
    <s v=""/>
    <x v="4"/>
    <s v="7736035485"/>
    <s v="ГЕО-20/17000/00213/Р "/>
    <s v=""/>
    <s v="4"/>
    <s v="Нетиповой ДД"/>
    <x v="0"/>
    <s v=""/>
    <s v="00323-22"/>
    <s v=""/>
    <s v="Дополнительное соглашение №4 к договору добровольного медицинского срахования "/>
    <s v="Изменение количества застрахованных"/>
    <s v="Курашко М.В."/>
    <s v="Курашко М.В."/>
    <s v="Договорный документ"/>
    <s v="Управление по работе с персоналом"/>
    <s v="Игнатова Ю.В."/>
    <s v="На бумажном носителе"/>
    <s v="С ограничением по срокам "/>
    <d v="2022-02-01T00:00:00"/>
    <d v="2022-03-31T00:00:00"/>
    <s v="Д-66"/>
    <s v="Договор страхования"/>
    <s v="Расходная часть"/>
    <s v="Рамочный"/>
    <s v="без НДС"/>
    <s v=""/>
    <s v=""/>
    <s v="53 204.00"/>
    <s v="53 204.00"/>
    <n v="0"/>
    <s v="нет"/>
    <s v="нет"/>
    <s v=""/>
    <s v=""/>
    <s v=""/>
    <s v=""/>
    <s v="нет"/>
  </r>
  <r>
    <s v="Газпромнефть-ГЕО, ООО"/>
    <s v="0000048356"/>
    <s v="Проект"/>
    <s v=""/>
    <s v=""/>
    <x v="152"/>
    <s v="8601034898"/>
    <s v="ГЕО-22/10000/00144/Р"/>
    <s v=""/>
    <s v=""/>
    <s v="Нетиповой ДД"/>
    <x v="3"/>
    <s v=""/>
    <s v="00323-23"/>
    <s v=""/>
    <s v="НЗ №9 проект &quot;Титан&quot; Защита Югры, ООО"/>
    <s v="Проление НЗ №1 проекта &quot;Титан&quot; к ДОГОВОРУ № ГЕО-22/10000/00144/Р от 27.06.2022г "/>
    <s v="Мормышев А.А."/>
    <s v=""/>
    <s v="Договорный документ"/>
    <s v=""/>
    <s v="Ядрышников П.Н."/>
    <s v=""/>
    <s v=""/>
    <s v=""/>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
    <s v=""/>
    <s v=""/>
    <s v=""/>
    <s v=""/>
    <s v=""/>
    <s v="нет"/>
    <s v="нет"/>
    <s v=""/>
    <s v=""/>
    <s v=""/>
    <s v=""/>
    <s v="нет"/>
  </r>
  <r>
    <s v="Газпромнефть-ГЕО, ООО"/>
    <s v="0000073438"/>
    <s v="Зарегистрирован"/>
    <d v="2024-05-24T00:00:00"/>
    <d v="2024-06-11T00:00:00"/>
    <x v="68"/>
    <s v="7720330291"/>
    <s v="ГЕО-21/08000/00296/Р"/>
    <s v=""/>
    <s v="12"/>
    <s v="Нетиповой ДД"/>
    <x v="0"/>
    <s v=""/>
    <s v="00323-24"/>
    <s v=""/>
    <s v="ДС №12 ВНИГНИ № ГЕО-21/08000/00296/Р от 28.12.2021"/>
    <s v="Перераспределение объемов из НГО в ГО."/>
    <s v="Мормышев А.А."/>
    <s v="Мустафин И.Р."/>
    <s v="Договорный документ"/>
    <s v="Блок геологии и разработки"/>
    <s v="Аксенов М.А."/>
    <s v="ЭП"/>
    <s v="До исполнения обязательств"/>
    <d v="2024-05-24T00:00:00"/>
    <s v=""/>
    <s v="Д-54"/>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
    <s v="Зарегистрирован"/>
    <d v="2022-04-28T00:00:00"/>
    <s v=""/>
    <x v="258"/>
    <s v=""/>
    <s v=""/>
    <s v="ГЕО-22/20000/00089/Д"/>
    <s v="ГЕО-22/20000/00089/Д"/>
    <s v="Нетиповой ДД"/>
    <x v="2"/>
    <s v=""/>
    <s v="00324-22"/>
    <s v=""/>
    <s v="Агентский договор на организацию вертолетных авиаперевозок с ООО «ТехГеоБур»"/>
    <s v="Авиаперевозка персонала и груза КА"/>
    <s v="Титова Е.В."/>
    <s v="Титова Е.В."/>
    <s v="Договорный документ"/>
    <s v="Блок снабжения и закупок"/>
    <s v="Титов А.В."/>
    <s v="На бумажном носителе"/>
    <s v="С ограничением по срокам "/>
    <d v="2022-05-01T00:00:00"/>
    <d v="2023-03-15T00:00:00"/>
    <s v="Д-56"/>
    <s v="Агентский договор"/>
    <s v="Доходная часть"/>
    <s v="Агентский"/>
    <s v="20%"/>
    <s v=""/>
    <s v=""/>
    <s v="323 135.03"/>
    <s v="269 279.19"/>
    <s v="53 855.84"/>
    <s v="нет"/>
    <s v="нет"/>
    <s v=""/>
    <s v=""/>
    <s v=""/>
    <s v=""/>
    <s v="нет"/>
  </r>
  <r>
    <s v="Газпромнефть-ГЕО, ООО"/>
    <s v="0000040642"/>
    <s v="Зарегистрирован"/>
    <d v="2023-06-26T00:00:00"/>
    <s v=""/>
    <x v="4"/>
    <s v="7736035485"/>
    <s v="ГЕО-22/17000/00081/Р"/>
    <s v=""/>
    <s v="2"/>
    <s v="Нетиповой ДД"/>
    <x v="0"/>
    <s v=""/>
    <s v="00324-23"/>
    <s v=""/>
    <s v="Дополнительное соглашение № 2 к договору добровольного медицинского страхования № 0622 LM 000043 от «01» апреля 2022 г."/>
    <s v="ПЕресмотр числености застрахованных лиц по договору, в связи приемом новых сотрудников и увольнением сотрудников ООО &quot;ГПН-ГЕО&quot;, а также включение новой Прграммы &quot;Комплексное медицинское обслуживание&quot; Д"/>
    <s v="Курашко М.В."/>
    <s v=""/>
    <s v="Договорный документ"/>
    <s v="Управление по работе с персоналом"/>
    <s v="Игнатова Ю.В."/>
    <s v="На бумажном носителе"/>
    <s v="С ограничением по срокам "/>
    <d v="2023-06-26T00:00:00"/>
    <d v="2024-03-31T00:00:00"/>
    <s v="Д-66"/>
    <s v="Договор страхования"/>
    <s v="Расходная часть"/>
    <s v="Рамочный"/>
    <s v="без НДС"/>
    <s v=""/>
    <s v=""/>
    <s v="23 042 042.00"/>
    <s v="23 042 042.00"/>
    <n v="0"/>
    <s v="нет"/>
    <s v="нет"/>
    <s v=""/>
    <s v=""/>
    <s v=""/>
    <s v=""/>
    <s v="нет"/>
  </r>
  <r>
    <s v="Газпромнефть-ГЕО, ООО"/>
    <s v="0000074279"/>
    <s v="Зарегистрирован"/>
    <d v="2024-06-11T00:00:00"/>
    <d v="2024-06-18T00:00:00"/>
    <x v="259"/>
    <s v="7203374117"/>
    <s v=""/>
    <s v="ГЕО-24/08000/00098/Р"/>
    <s v="ГЕО-24/08000/00098/Р"/>
    <s v="Нетиповой ДД"/>
    <x v="2"/>
    <s v=""/>
    <s v="00324-24"/>
    <s v=""/>
    <s v="Договор на оказание услуг по НИР"/>
    <s v="Проведение региональных исследований перспектив нефтегазоносности, формирование рабочих сейсмогеологических проектов и информационных пакетов по проектам, расположенных в пределах Западно-Сибирской нефтегазовой провинции с целью реализации программы региональных НИР в рамках исполнения обязательств по доходному договору №ГПН-23/09000/01265/Р/ГЕО-Д/ВГС от 15.12.2023 г."/>
    <s v="Коваленко М.В."/>
    <s v="Переслегин М.В."/>
    <s v="Договорный документ"/>
    <s v="Блок геологии и разработки"/>
    <s v="Аксенов М.А."/>
    <s v="ЭП"/>
    <s v="С ограничением по срокам "/>
    <d v="2024-06-11T00:00:00"/>
    <d v="2028-12-20T00:00:00"/>
    <s v="Д-54"/>
    <s v="Договор на выполнение НИР, ОКР и технологических работ"/>
    <s v="Расходная часть"/>
    <s v="Рамочный"/>
    <s v="20%"/>
    <s v=""/>
    <s v="0"/>
    <s v="694 623 010.80"/>
    <s v="578 852 509.00"/>
    <s v="115 770 501.80"/>
    <s v="да"/>
    <s v="нет"/>
    <s v=""/>
    <s v=""/>
    <s v=""/>
    <s v=""/>
    <s v="нет"/>
  </r>
  <r>
    <s v="Газпромнефть-ГЕО, ООО"/>
    <s v="0000058703"/>
    <s v="Зарегистрирован"/>
    <d v="2022-04-20T00:00:00"/>
    <s v=""/>
    <x v="5"/>
    <s v="5914024719"/>
    <s v=""/>
    <s v="ГЕО-22/26000/00086"/>
    <s v="ГЕО-22/26000/00086"/>
    <s v="Типовой ДД"/>
    <x v="1"/>
    <s v="26000 Соглашение о конфиденциальности с российским контрагентом"/>
    <s v="00325-22"/>
    <s v=""/>
    <s v="26000 Соглашение о конфиденциальности с российским контрагентом"/>
    <s v="Соглашение о конфиденциальности с российским контрагентом"/>
    <s v="Рябикина М.А."/>
    <s v="Дунаев Эдуард Владимирович - Руководитель направления по бурению "/>
    <s v="Договорный документ"/>
    <s v="Блок корпоративной защиты"/>
    <s v="Созинов С.А."/>
    <s v="На бумажном носителе"/>
    <s v="Без сроков "/>
    <d v="2022-04-20T00:00:00"/>
    <s v=""/>
    <s v="Д-60"/>
    <s v="Соглашение о конфиденциальности"/>
    <s v="Не предполагает взаиморасчетов"/>
    <s v=""/>
    <s v=""/>
    <s v=""/>
    <s v=""/>
    <s v=""/>
    <s v=""/>
    <s v=""/>
    <s v="нет"/>
    <s v="нет"/>
    <s v=""/>
    <s v=""/>
    <s v=""/>
    <s v=""/>
    <s v="нет"/>
  </r>
  <r>
    <s v="Газпромнефть-ГЕО, ООО"/>
    <s v=""/>
    <s v="Зарегистрирован"/>
    <d v="2023-06-26T00:00:00"/>
    <s v=""/>
    <x v="260"/>
    <s v=""/>
    <s v=""/>
    <s v="ГЕО-23/09100/00100"/>
    <s v="ГЕО-23/09100/00100"/>
    <s v="Нетиповой ДД"/>
    <x v="2"/>
    <s v=""/>
    <s v="00325-23"/>
    <s v=""/>
    <s v="Заключение договора с ФГБОУ &quot;Тюменский индустриальный университет&quot;"/>
    <s v="Прохождение производственной практики студента"/>
    <s v="Шохин А.Е."/>
    <s v="Шохин А.Е."/>
    <s v="Договорный документ"/>
    <s v="Управление по геологии"/>
    <s v="Аксенов М.А."/>
    <s v="На бумажном носителе"/>
    <s v="С ограничением по срокам "/>
    <d v="2023-06-26T00:00:00"/>
    <d v="2023-08-26T00:00:00"/>
    <s v="Д-54"/>
    <s v="Договор на обучение (тренинги, семинары и проч.)"/>
    <s v="Не предполагает взаиморасчетов"/>
    <s v=""/>
    <s v=""/>
    <s v=""/>
    <s v=""/>
    <s v=""/>
    <s v=""/>
    <s v=""/>
    <s v="нет"/>
    <s v="нет"/>
    <s v=""/>
    <s v=""/>
    <s v=""/>
    <s v=""/>
    <s v="нет"/>
  </r>
  <r>
    <s v="Газпромнефть-ГЕО, ООО"/>
    <s v="0000095835"/>
    <s v="Зарегистрирован"/>
    <d v="2024-05-27T00:00:00"/>
    <d v="2024-06-11T00:00:00"/>
    <x v="261"/>
    <s v="7729076392"/>
    <s v=""/>
    <s v="ГЕО-24/27500/00095/Р"/>
    <s v="ГЕО-24/27500/00095/Р"/>
    <s v="Нетиповой ДД"/>
    <x v="2"/>
    <s v=""/>
    <s v="00325-24"/>
    <s v=""/>
    <s v="Договор на поставку сертификатов технической поддержки ПО Кибер бэкап"/>
    <s v="Поставка сертификатов технической поддержки ПО Кибер бэкап"/>
    <s v="Попов В.А."/>
    <s v="Попов В.А."/>
    <s v="Договорный документ"/>
    <s v="Блок геологии и разработки"/>
    <s v="Аксенов М.А."/>
    <s v="ЭП"/>
    <s v="До исполнения обязательств"/>
    <d v="2024-05-27T00:00:00"/>
    <s v=""/>
    <s v="Д-54"/>
    <s v="Договор купли-продажи сопутствующих товаров и услгуг"/>
    <s v="Расходная часть"/>
    <s v="Стоимостной"/>
    <s v="20%"/>
    <s v=""/>
    <s v=""/>
    <s v="1 154 168.00"/>
    <s v="961 806.67"/>
    <s v="192 361.33"/>
    <s v="нет"/>
    <s v="нет"/>
    <s v=""/>
    <s v=""/>
    <s v=""/>
    <s v=""/>
    <s v="нет"/>
  </r>
  <r>
    <s v="Газпромнефть-ГЕО, ООО"/>
    <s v="0000044973"/>
    <s v="Зарегистрирован"/>
    <d v="2022-04-22T00:00:00"/>
    <s v=""/>
    <x v="158"/>
    <s v="7709413265"/>
    <s v="ГЕО-22/07100/00042/Р"/>
    <s v=""/>
    <s v="1"/>
    <s v="Нетиповой ДД"/>
    <x v="0"/>
    <s v=""/>
    <s v="00326-22"/>
    <s v=""/>
    <s v="ДС №1 к Договору № ГЕО-22/07100/00042/Р с ООО «Технологическая Компания Шлюмберже»"/>
    <s v="Индексация расценок в соответствии с Протоколом ЭС БРД № ПТ-100.0364.0000021 от 15.03.2022 и дополнение условий об ответственности Заказчика "/>
    <s v="Ушакова М.А."/>
    <s v=""/>
    <s v="Договорный документ"/>
    <s v="Блок бурения и ВСР"/>
    <s v="Гаврилов С.В."/>
    <s v="На бумажном носителе"/>
    <s v="С ограничением по срокам "/>
    <d v="2022-04-22T00:00:00"/>
    <d v="2023-03-15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8356"/>
    <s v="Зарегистрирован"/>
    <d v="2023-06-29T00:00:00"/>
    <s v=""/>
    <x v="152"/>
    <s v="8601034898"/>
    <s v="ГЕО-22/10000/00144/Р"/>
    <s v=""/>
    <s v="9"/>
    <s v="Нетиповой ДД"/>
    <x v="3"/>
    <s v=""/>
    <s v="00326-23"/>
    <s v=""/>
    <s v="НЗ № 9. Защита Югры, ООО к ДД № ГЕО-22/10000/00144/Р от 27.06.2022г."/>
    <s v="Продление действие предоставления услуг по проекту &quot;Титан&quot; до 31.12.2023"/>
    <s v="Мормышев А.А."/>
    <s v="Белоусов О.В."/>
    <s v="Договорный документ"/>
    <s v="Блок производственной безопасности"/>
    <s v="Михайлов Ю.А."/>
    <s v="ЭП"/>
    <s v="До исполнения обязательств"/>
    <d v="2023-07-01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5 047 315.78"/>
    <s v="4 206 096.48"/>
    <s v="841 219.30"/>
    <s v="нет"/>
    <s v="нет"/>
    <s v=""/>
    <s v=""/>
    <s v=""/>
    <s v=""/>
    <s v="нет"/>
  </r>
  <r>
    <s v="Газпромнефть-ГЕО, ООО"/>
    <s v="0000115654"/>
    <s v="Зарегистрирован"/>
    <d v="2024-05-24T00:00:00"/>
    <d v="2024-05-28T00:00:00"/>
    <x v="188"/>
    <s v="7813324847"/>
    <s v=""/>
    <s v="ГЕО-24/33300/00091"/>
    <s v="ГЕО-24/33300/00091"/>
    <s v="Нетиповой ДД"/>
    <x v="2"/>
    <s v=""/>
    <s v="00326-24"/>
    <s v=""/>
    <s v="Договор об обработке персональных данных"/>
    <s v="Осуществление обработки персональных данных сотрудники ООО «ГПН-ГЕО» в целях оказания услуг обучения по договору № ГЕО-24/09100/00071/Р от 08.04.2024 г."/>
    <s v="Петушкова В.Е."/>
    <s v="Петушкова В.Е."/>
    <s v="Договорный документ"/>
    <s v="Управление производственной безопасности"/>
    <s v="Созинов С.А."/>
    <s v="ЭП"/>
    <s v="С ограничением по срокам "/>
    <d v="2024-05-24T00:00:00"/>
    <d v="2025-12-31T00:00:00"/>
    <s v="Д-60"/>
    <s v="Договор об обработке персональных данных"/>
    <s v="Не предполагает взаиморасчетов"/>
    <s v=""/>
    <s v=""/>
    <s v=""/>
    <s v=""/>
    <s v=""/>
    <s v=""/>
    <s v=""/>
    <s v="нет"/>
    <s v="нет"/>
    <s v=""/>
    <s v=""/>
    <s v=""/>
    <s v=""/>
    <s v="нет"/>
  </r>
  <r>
    <s v="Газпромнефть-ГЕО, ООО"/>
    <s v="0000062875"/>
    <s v="Зарегистрирован"/>
    <d v="2023-07-01T00:00:00"/>
    <s v=""/>
    <x v="84"/>
    <s v="7734255830"/>
    <s v="ГЕО-22/09000/00025/Р"/>
    <s v=""/>
    <s v="1"/>
    <s v="Нетиповой ДД"/>
    <x v="0"/>
    <s v=""/>
    <s v="00327-23"/>
    <s v=""/>
    <s v="Дополнительное соглашение №1 к договору на оказание услуг подвижной спутниковой связи №ГЕО-22/09000/00025 от 15.02.2022г."/>
    <s v="Увеличение максимальной стоимости услуг по Договору без изменения срока действия."/>
    <s v="Сорокин И.М."/>
    <s v=""/>
    <s v="Договорный документ"/>
    <s v="Блок геологии и разработки"/>
    <s v="Аксенов М.А."/>
    <s v="На бумажном носителе"/>
    <s v="С ограничением по срокам "/>
    <d v="2023-07-01T00:00:00"/>
    <d v="2026-12-31T00:00:00"/>
    <s v="Д-54"/>
    <s v="Договор возмездного оказания услуг"/>
    <s v="Расходная часть"/>
    <s v="Тарифный"/>
    <s v="20%"/>
    <s v=""/>
    <s v=""/>
    <s v="974 250.00"/>
    <s v="811 875.00"/>
    <s v="162 375.00"/>
    <s v="нет"/>
    <s v="нет"/>
    <s v=""/>
    <s v=""/>
    <s v=""/>
    <s v=""/>
    <s v="нет"/>
  </r>
  <r>
    <s v="Газпромнефть-ГЕО, ООО"/>
    <s v="0000116313"/>
    <s v="Зарегистрирован"/>
    <d v="2024-05-27T00:00:00"/>
    <s v=""/>
    <x v="262"/>
    <s v="772772416385"/>
    <s v=""/>
    <s v="ГЕО-24/09000/00094/Р"/>
    <s v="ГЕО-24/09000/00094/Р"/>
    <s v="Нетиповой ДД"/>
    <x v="2"/>
    <s v=""/>
    <s v="00327-24"/>
    <s v=""/>
    <s v="Договор независимой экспертизы  "/>
    <s v="Независимая экспертиза результатов 5-го этапа работ «Объединенная переобработка сейсмических данных 3D/2D. Регуляризация подготовки к миграции, миграция, постмиграционная обработка»» выполненных в рамках Заказ-Наряд №1 от «19» апреля 2024 г. «Создание единой программы воспроизводства минерально-сырьевой базы Нерутинской зоны (Часть»2)», к договору № ГЕО-24/10000/00053/Р от 18.03.2024. г."/>
    <s v="Безруков А.А."/>
    <s v="Игревский И.В."/>
    <s v="Договорный документ"/>
    <s v="Кластер &quot;Большая Ачимовка&quot;"/>
    <s v="Волков Г.В."/>
    <s v="На бумажном носителе"/>
    <s v="С ограничением по срокам "/>
    <d v="2024-05-27T00:00:00"/>
    <d v="2024-05-31T00:00:00"/>
    <s v="Д-16"/>
    <s v="Договор возмездного оказания услуг"/>
    <s v="Расходная часть"/>
    <s v="Стоимостной"/>
    <s v="без НДС"/>
    <s v=""/>
    <s v=""/>
    <s v="200 000.00"/>
    <s v="200 000.00"/>
    <n v="0"/>
    <s v="нет"/>
    <s v="нет"/>
    <s v=""/>
    <s v=""/>
    <s v=""/>
    <s v=""/>
    <s v="нет"/>
  </r>
  <r>
    <s v="Газпромнефть-ГЕО, ООО"/>
    <s v="0000086565"/>
    <s v="Зарегистрирован"/>
    <d v="2022-04-29T00:00:00"/>
    <s v=""/>
    <x v="106"/>
    <s v="0278127289"/>
    <s v="ГЕО-21/101108/00193/Р"/>
    <s v=""/>
    <s v="1"/>
    <s v="Нетиповой ДД"/>
    <x v="0"/>
    <s v=""/>
    <s v="00328-22"/>
    <s v=""/>
    <s v="Дополнительное соглашение №1 к договору № ГЕО-21/101108/00193/Р от 16.07.2021 г."/>
    <s v="Заключение дополнительного соглашения для перевода негарантированного объема в гарантированный"/>
    <s v="Лобанов А.А."/>
    <s v="Лобанов А.А."/>
    <s v="Договорный документ"/>
    <s v="Управление по геологии"/>
    <s v="Аксенов М.А."/>
    <s v="На бумажном носителе"/>
    <s v="С ограничением по срокам "/>
    <d v="2022-05-01T00:00:00"/>
    <d v="2022-12-31T00:00:00"/>
    <s v="Д-54"/>
    <s v="Услуги по специальным лабораторным исследованиям керна и пластовых флюидов (в том числе уникальные исследования, новые технологии исследований)"/>
    <s v="Не предполагает взаиморасчетов"/>
    <s v="Рамочный"/>
    <s v=""/>
    <s v=""/>
    <s v=""/>
    <s v=""/>
    <s v=""/>
    <s v=""/>
    <s v="нет"/>
    <s v="нет"/>
    <s v=""/>
    <s v=""/>
    <s v=""/>
    <s v=""/>
    <s v="нет"/>
  </r>
  <r>
    <s v="Газпромнефть-ГЕО, ООО"/>
    <s v="0000080408"/>
    <s v="Зарегистрирован"/>
    <d v="2023-06-23T00:00:00"/>
    <s v=""/>
    <x v="104"/>
    <s v="3812043780"/>
    <s v="ГЕО-22/11029/00172/Р"/>
    <s v=""/>
    <s v="3"/>
    <s v="Нетиповой ДД"/>
    <x v="4"/>
    <s v=""/>
    <s v="00328-23"/>
    <s v="1"/>
    <s v="Изм №3 в Наряд-заказ №1 ...172 СТС,ООО"/>
    <s v="изменения №3 к Наряд-заказу №1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
    <s v="Мормышев А.А."/>
    <s v=""/>
    <s v="Договорный документ"/>
    <s v="Департамент капитального строительства"/>
    <s v="Перфильев Д.А."/>
    <s v="ЭП"/>
    <s v="До исполнения обязательств"/>
    <d v="2023-06-23T00:00:00"/>
    <s v=""/>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290 922 988.80"/>
    <s v="242 435 824.00"/>
    <s v="48 487 164.80"/>
    <s v="нет"/>
    <s v="нет"/>
    <s v=""/>
    <s v=""/>
    <s v=""/>
    <s v=""/>
    <s v="нет"/>
  </r>
  <r>
    <s v="Газпромнефть-ГЕО, ООО"/>
    <s v="0000062699"/>
    <s v="Зарегистрирован"/>
    <d v="2024-05-23T00:00:00"/>
    <d v="2024-06-10T00:00:00"/>
    <x v="263"/>
    <s v="7727712331"/>
    <s v=""/>
    <s v="ГЕО-24/26000/00092"/>
    <s v="ГЕО-24/26000/00092"/>
    <s v="Типовой ДД"/>
    <x v="1"/>
    <s v="26000 Соглашение о конфиденциальности с российским контрагентом"/>
    <s v="00328-24"/>
    <s v=""/>
    <s v="26000 Соглашение о конфиденциальности с российским контрагентом"/>
    <s v="Заключение СОКа для возможной передачи конфиденциальной информации в ходе заключения Агентского договора между двумя организациями."/>
    <s v="Колоколов С.В."/>
    <s v="Колоколов С.В."/>
    <s v="Договорный документ"/>
    <s v="Финансовое управление"/>
    <s v="Созинов С.А."/>
    <s v="ЭП"/>
    <s v="С ограничением по срокам "/>
    <d v="2024-05-23T00:00:00"/>
    <d v="2029-05-23T00:00:00"/>
    <s v="Д-60"/>
    <s v="Соглашение о конфиденциальности"/>
    <s v="Не предполагает взаиморасчетов"/>
    <s v=""/>
    <s v=""/>
    <s v=""/>
    <s v=""/>
    <s v=""/>
    <s v=""/>
    <s v=""/>
    <s v="нет"/>
    <s v="нет"/>
    <s v=""/>
    <s v=""/>
    <s v=""/>
    <s v=""/>
    <s v="нет"/>
  </r>
  <r>
    <s v="Газпромнефть-ГЕО, ООО"/>
    <s v="0000080408"/>
    <s v="Зарегистрирован"/>
    <d v="2023-06-23T00:00:00"/>
    <s v=""/>
    <x v="104"/>
    <s v="3812043780"/>
    <s v="ГЕО-22/11029/00172/Р"/>
    <s v=""/>
    <s v="2"/>
    <s v="Нетиповой ДД"/>
    <x v="4"/>
    <s v=""/>
    <s v="00329-23"/>
    <s v="2"/>
    <s v="Изм №2 в Наряд-заказ №2 ...172 СТС,ООО"/>
    <s v="изменения №2 к Наряд-заказу №2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
    <s v="Мормышев А.А."/>
    <s v="Бабаев Д.Г."/>
    <s v="Договорный документ"/>
    <s v="Департамент капитального строительства"/>
    <s v="Перфильев Д.А."/>
    <s v="ЭП"/>
    <s v="До исполнения обязательств"/>
    <d v="2023-06-23T00:00:00"/>
    <s v=""/>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35 196 152.00"/>
    <s v="112 663 460.00"/>
    <s v="22 532 692.00"/>
    <s v="нет"/>
    <s v="нет"/>
    <s v=""/>
    <s v=""/>
    <s v=""/>
    <s v=""/>
    <s v="нет"/>
  </r>
  <r>
    <s v="Газпромнефть-ГЕО, ООО"/>
    <s v="0000062421"/>
    <s v="Проект"/>
    <s v=""/>
    <s v=""/>
    <x v="245"/>
    <s v="6924010964"/>
    <s v="ГЕО-22/11104/00265/Р"/>
    <s v=""/>
    <s v=""/>
    <s v="Нетиповой ДД"/>
    <x v="0"/>
    <s v=""/>
    <s v="00329-24"/>
    <s v=""/>
    <s v="ДС №2. Конверс Авиа. №ГЕО-22/11104/00265/Р от 15.10.2022."/>
    <s v="ДС №2. из НГО в ГО"/>
    <s v="Мормышев А.А."/>
    <s v=""/>
    <s v="Договорный документ"/>
    <s v=""/>
    <s v="Титов А.В."/>
    <s v="ЭП"/>
    <s v=""/>
    <s v=""/>
    <s v=""/>
    <s v="Д-56"/>
    <s v="Авиационное обслуживание (вертолеты)"/>
    <s v="Расходная часть"/>
    <s v="Стоимостной"/>
    <s v=""/>
    <s v=""/>
    <s v=""/>
    <s v=""/>
    <s v=""/>
    <s v=""/>
    <s v="нет"/>
    <s v="нет"/>
    <s v=""/>
    <s v=""/>
    <s v=""/>
    <s v=""/>
    <s v="нет"/>
  </r>
  <r>
    <s v="Газпромнефть-ГЕО, ООО"/>
    <s v="0000062524"/>
    <s v="Зарегистрирован"/>
    <d v="2022-04-22T00:00:00"/>
    <s v=""/>
    <x v="12"/>
    <s v="5908034187"/>
    <s v="ГЕО-21/10302/00225/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30-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в договор условий применения усиленной квалифицированной электронной подписи"/>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4-22T00:00:00"/>
    <d v="2024-12-31T00:00:00"/>
    <s v="Д-58"/>
    <s v="Технологическое сопровождение (прокат) забойных двигателей     "/>
    <s v="Не предполагает взаиморасчетов"/>
    <s v="Стоимостной"/>
    <s v=""/>
    <s v=""/>
    <s v=""/>
    <s v=""/>
    <s v=""/>
    <s v=""/>
    <s v="нет"/>
    <s v="нет"/>
    <s v=""/>
    <s v=""/>
    <s v=""/>
    <s v=""/>
    <s v="нет"/>
  </r>
  <r>
    <s v="Газпромнефть-ГЕО, ООО"/>
    <s v="0000073438"/>
    <s v="Зарегистрирован"/>
    <d v="2023-06-14T00:00:00"/>
    <s v=""/>
    <x v="68"/>
    <s v="7720330291"/>
    <s v="ГЕО-21/08000/00296/Р"/>
    <s v=""/>
    <s v="13"/>
    <s v="Нетиповой ДД"/>
    <x v="7"/>
    <s v=""/>
    <s v="00330-23"/>
    <s v=""/>
    <s v="Заявка  №13 на выполнение работ  по теме: «Разработка дополнения к &quot;Проекту на проведение работ по геологическому изучению и оценке пригодности участка недр для строительства и эксплуатации подземных сооружений&quot;"/>
    <s v="Разработка дополнения к «Проекту на проведение работ по геологическому изучению и оценке пригодности участка недр для строительства и эксплуатации подземных сооружений, не связанных с добычей полезных ископаемых, в целях размещения в пластах горных пород диоксида углерода (CO2), образующегося в результате хозяйственной и иной деятельности, в пределах Восточного лицензионного участка Оренбургского нефтегазоконденсатного месторождения»_x000a_"/>
    <s v="Мустафин И.Р."/>
    <s v="Мустафин И.Р."/>
    <s v="Договорный документ"/>
    <s v="Управление лицензирования и недропользования"/>
    <s v="Аксенов М.А."/>
    <s v="ЭП"/>
    <s v="С ограничением по срокам "/>
    <d v="2023-06-14T00:00:00"/>
    <d v="2023-10-20T00:00:00"/>
    <s v=""/>
    <s v="Договор на выполнение НИР, ОКР и технологических работ"/>
    <s v="Расходная часть"/>
    <s v="Стоимостной"/>
    <s v="20%"/>
    <s v=""/>
    <s v=""/>
    <s v="2 268 000.00"/>
    <s v="1 890 000.00"/>
    <s v="378 000.00"/>
    <s v="нет"/>
    <s v="нет"/>
    <s v=""/>
    <s v=""/>
    <s v=""/>
    <s v=""/>
    <s v="нет"/>
  </r>
  <r>
    <s v="Газпромнефть-ГЕО, ООО"/>
    <s v=""/>
    <s v="Зарегистрирован"/>
    <d v="2024-06-17T00:00:00"/>
    <s v=""/>
    <x v="264"/>
    <s v=""/>
    <s v=""/>
    <s v="ГЕО-24/09600/00102"/>
    <s v="ГЕО-24/09600/00102"/>
    <s v="Нетиповой ДД"/>
    <x v="2"/>
    <s v=""/>
    <s v="00330-24"/>
    <s v=""/>
    <s v="Договор о практической подготовке обучающихся"/>
    <s v="Организация практической подготовки обучающихся по образовательным программе высшего профессионального образования по направлениям подготовки Техносферная безопасность. "/>
    <s v="Хабибуллин Т.Ф."/>
    <s v="Хабибуллин Т.Ф."/>
    <s v="Договорный документ"/>
    <s v="Отдел по промышленной и пожарной безопасности"/>
    <s v="Трифонов А.В."/>
    <s v="На бумажном носителе"/>
    <s v="С ограничением по срокам "/>
    <d v="2024-06-17T00:00:00"/>
    <d v="2024-07-13T00:00:00"/>
    <s v="Д-82"/>
    <s v="Договор на прохождение практики студентами"/>
    <s v="Не предполагает взаиморасчетов"/>
    <s v=""/>
    <s v=""/>
    <s v=""/>
    <s v=""/>
    <s v=""/>
    <s v=""/>
    <s v=""/>
    <s v="нет"/>
    <s v="нет"/>
    <s v=""/>
    <s v=""/>
    <s v=""/>
    <s v=""/>
    <s v="нет"/>
  </r>
  <r>
    <s v="Газпромнефть-ГЕО, ООО"/>
    <s v="0000093917"/>
    <s v="Зарегистрирован"/>
    <d v="2024-05-23T00:00:00"/>
    <d v="2024-06-03T00:00:00"/>
    <x v="9"/>
    <s v="5609193118"/>
    <s v="ГЕО-23/09000/00041/Р"/>
    <s v=""/>
    <s v="6.1"/>
    <s v="Нетиповой ДД"/>
    <x v="8"/>
    <s v=""/>
    <s v="00331-24"/>
    <s v=""/>
    <s v="Наряд-заказ №6.1 к договору ГЕО-23/09000/00041/Р"/>
    <s v="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Западно-Рубежинском  лицензионном участке"/>
    <s v="Покатов О.Н."/>
    <s v=""/>
    <s v="Договорный документ"/>
    <s v="Управление производственной безопасности"/>
    <s v="Ядрышников П.Н."/>
    <s v="ЭП"/>
    <s v="До исполнения обязательств"/>
    <d v="2024-05-23T00:00:00"/>
    <s v=""/>
    <s v="Д-51"/>
    <s v="Договор возмездного оказания услуг"/>
    <s v="Расходная часть"/>
    <s v="Стоимостной"/>
    <s v="20%"/>
    <s v=""/>
    <s v=""/>
    <s v="58 653 633.60"/>
    <s v="48 878 028.00"/>
    <s v="9 775 605.60"/>
    <s v="нет"/>
    <s v="нет"/>
    <s v=""/>
    <s v=""/>
    <s v=""/>
    <s v=""/>
    <s v="нет"/>
  </r>
  <r>
    <s v="Газпромнефть-ГЕО, ООО"/>
    <s v="0000040642"/>
    <s v="Зарегистрирован"/>
    <d v="2023-07-07T00:00:00"/>
    <s v=""/>
    <x v="4"/>
    <s v="7736035485"/>
    <s v=""/>
    <s v="ГЕО-23/17000/00118/Р"/>
    <s v="ГЕО-23/17000/00118/Р"/>
    <s v="Нетиповой ДД"/>
    <x v="2"/>
    <s v=""/>
    <s v="00332-23"/>
    <s v=""/>
    <s v="Договор страхования"/>
    <s v="Исполнение требований к членству ООО «ГПН-ГЕО» в саморегулируемой организации «Объединение строителей СПб» "/>
    <s v="Крутова Е.С."/>
    <s v="Крутова Е.С."/>
    <s v="Договорный документ"/>
    <s v="Департамент капитального строительства"/>
    <s v="Трифонов А.В."/>
    <s v="На бумажном носителе"/>
    <s v="С ограничением по срокам "/>
    <d v="2023-07-29T00:00:00"/>
    <d v="2024-07-28T00:00:00"/>
    <s v="Д-33"/>
    <s v="Договор страхования"/>
    <s v="Расходная часть"/>
    <s v="Стоимостной"/>
    <s v="без НДС"/>
    <s v=""/>
    <s v=""/>
    <s v="20 000.00"/>
    <s v="20 000.00"/>
    <n v="0"/>
    <s v="нет"/>
    <s v="нет"/>
    <s v=""/>
    <s v=""/>
    <s v=""/>
    <s v=""/>
    <s v="нет"/>
  </r>
  <r>
    <s v="Газпромнефть-ГЕО, ООО"/>
    <s v="0000076283"/>
    <s v="Зарегистрирован"/>
    <d v="2023-06-27T00:00:00"/>
    <s v=""/>
    <x v="28"/>
    <s v="4501174492"/>
    <s v=""/>
    <s v="ГЕО-23/20000/00102/Д"/>
    <s v="ГЕО-23/20000/00102/Д"/>
    <s v="Типовой ДД"/>
    <x v="2"/>
    <s v="20000 Агентский договор на организацию вертолетных авиаперевозок"/>
    <s v="00333-23"/>
    <s v=""/>
    <s v="20000 Агентский договор на организацию вертолетных авиаперевозок ООО &quot;Уралгеопроект&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3-07-01T00:00:00"/>
    <d v="2023-09-30T00:00:00"/>
    <s v="Д-56"/>
    <s v="Агентский договор"/>
    <s v="Доходная часть"/>
    <s v="Агентский"/>
    <s v="20%"/>
    <s v=""/>
    <s v=""/>
    <s v="175 044.86"/>
    <s v="145 870.72"/>
    <s v="29 174.14"/>
    <s v="нет"/>
    <s v="нет"/>
    <s v=""/>
    <s v=""/>
    <s v=""/>
    <s v=""/>
    <s v="нет"/>
  </r>
  <r>
    <s v="Газпромнефть-ГЕО, ООО"/>
    <s v="0000067067"/>
    <s v="Зарегистрирован"/>
    <d v="2024-05-29T00:00:00"/>
    <d v="2024-06-28T00:00:00"/>
    <x v="85"/>
    <s v="7816483740"/>
    <s v="ГЕО-23/33100/00182"/>
    <s v=""/>
    <s v="1"/>
    <s v="Типовой ДД"/>
    <x v="0"/>
    <s v="33100 Дополнительное соглашение к Соглашениям в  в области производственной безопасности;"/>
    <s v="00333-24"/>
    <s v=""/>
    <s v="33100 Дополнительное соглашение к Соглашениям в  в области производственной безопасности;"/>
    <s v="В целях реализации «Системы управления исполнением договорных обязательств при выполнении производственных работ / услуг» и систематизации процесса взаимодействия с подрядными организациями в области производственной безопасности и оптимизации процесса согласования договорных документов."/>
    <s v="Покатов О.Н."/>
    <s v=""/>
    <s v="Договорный документ"/>
    <s v="Управление производственной безопасности"/>
    <s v="Ядрышников П.Н."/>
    <s v="ЭП"/>
    <s v="До исполнения обязательств"/>
    <d v="2024-05-29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8275"/>
    <s v="Зарегистрирован"/>
    <d v="2023-06-01T00:00:00"/>
    <s v=""/>
    <x v="83"/>
    <s v="7709267582"/>
    <s v="ГЕО-22/10951/00165/Р"/>
    <s v=""/>
    <s v="4"/>
    <s v="Нетиповой ДД"/>
    <x v="8"/>
    <s v=""/>
    <s v="00334-23"/>
    <s v=""/>
    <s v="Задание №4 с АО &quot;ЦАСЭО&quot; к ДД № ГЕО-22/10951/00165/Р"/>
    <s v="Раскрытие ГО по проекту Титан "/>
    <s v="Яшкина К.Л."/>
    <s v="Белоусов О.В."/>
    <s v="Договорный документ"/>
    <s v="Блок производственной безопасности"/>
    <s v="Михайлов Ю.А."/>
    <s v="ЭП"/>
    <s v="С ограничением по срокам "/>
    <d v="2023-06-01T00:00:00"/>
    <d v="2023-10-31T00:00:00"/>
    <s v="Д-2"/>
    <s v="Профилактика и ликвидация аварийных разливов нефти (услуги аварийно-спасательного формирования)"/>
    <s v="Расходная часть"/>
    <s v="Рамочный"/>
    <s v="20%"/>
    <s v=""/>
    <s v=""/>
    <s v="6 946 487.64"/>
    <s v="5 788 739.70"/>
    <s v="1 157 747.94"/>
    <s v="нет"/>
    <s v="нет"/>
    <s v=""/>
    <s v=""/>
    <s v=""/>
    <s v=""/>
    <s v="нет"/>
  </r>
  <r>
    <s v="Газпромнефть-ГЕО, ООО"/>
    <s v="0000085689"/>
    <s v="Зарегистрирован"/>
    <d v="2024-06-10T00:00:00"/>
    <s v=""/>
    <x v="15"/>
    <s v="3808219470"/>
    <s v=""/>
    <s v="ГЕО-24/10000/00108/Р"/>
    <s v="ГЕО-24/10000/00108/Р"/>
    <s v="Нетиповой ДД"/>
    <x v="2"/>
    <s v=""/>
    <s v="00334-24"/>
    <s v=""/>
    <s v="ДД на выполнение полевых электроразведочных работ с ООО &quot;СИГМА-ГЕО&quot;"/>
    <s v="Проведение полевых работ несейсмическими методами (электроразведочные работы) на проекте Южный Оренбург"/>
    <s v="Васильева А.И."/>
    <s v="Гулин В.Д."/>
    <s v="Договорный документ"/>
    <s v="Блок геологии и разработки"/>
    <s v="Аксенов М.А."/>
    <s v="На бумажном носителе"/>
    <s v="С ограничением по срокам "/>
    <d v="2024-06-10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30 638 128.80"/>
    <s v="442 198 440.67"/>
    <s v="88 439 688.13"/>
    <s v="нет"/>
    <s v="нет"/>
    <s v=""/>
    <s v=""/>
    <s v=""/>
    <s v=""/>
    <s v="да"/>
  </r>
  <r>
    <s v="Газпромнефть-ГЕО, ООО"/>
    <s v="0000076851"/>
    <s v="Зарегистрирован"/>
    <d v="2023-06-27T00:00:00"/>
    <s v=""/>
    <x v="48"/>
    <s v="2466091092"/>
    <s v="ГЕО-22/11000/00274/Р"/>
    <s v=""/>
    <s v="4"/>
    <s v="Нетиповой ДД"/>
    <x v="3"/>
    <s v=""/>
    <s v="00335-23"/>
    <s v=""/>
    <s v="Наряд-заказ №4 от 27.06.2023г. к Договору № ГЕО-22/11000/00274/Р от 14.10.2022г."/>
    <s v="Выполнение проектных работ по объекту &quot;Строительство поисково-оценочной скважины №201ПО Надеждинского лицензионного участка&quot;"/>
    <s v="Шолохова И.А."/>
    <s v="Салахутдинов Р.С."/>
    <s v="Договорный документ"/>
    <s v="Управление проектно-изыскательских работ"/>
    <s v="Трифонов А.В."/>
    <s v="ЭП"/>
    <s v="До исполнения обязательств"/>
    <d v="2023-07-03T00:00:00"/>
    <s v=""/>
    <s v="Д-33"/>
    <s v="Капитальное строительство и ПИР"/>
    <s v="Расходная часть"/>
    <s v="Рамочный"/>
    <s v="20%"/>
    <s v=""/>
    <s v=""/>
    <s v="11 470 533.97"/>
    <s v="9 558 778.31"/>
    <s v="1 911 755.66"/>
    <s v="нет"/>
    <s v="нет"/>
    <s v=""/>
    <s v=""/>
    <s v=""/>
    <s v=""/>
    <s v="нет"/>
  </r>
  <r>
    <s v="Газпромнефть-ГЕО, ООО"/>
    <s v="0000085689"/>
    <s v="Зарегистрирован"/>
    <d v="2024-05-29T00:00:00"/>
    <d v="2024-06-11T00:00:00"/>
    <x v="15"/>
    <s v="3808219470"/>
    <s v=""/>
    <s v="ГЕО-24/33200/00093"/>
    <s v="ГЕО-24/33200/00093"/>
    <s v="Типовой ДД"/>
    <x v="1"/>
    <s v="33200 Соглашение об электронном документообороте"/>
    <s v="00335-24"/>
    <s v=""/>
    <s v="33200 Соглашение об электронном документообороте с ООО &quot;СИГМА-ГЕО&quot;"/>
    <s v="Организация электронного документооборота с контрагентом"/>
    <s v="Васильева А.И."/>
    <s v="Гулин В.Д."/>
    <s v="Договорный документ"/>
    <s v="Блок геологии и разработки"/>
    <s v="Ковтун М.А."/>
    <s v="ЭП"/>
    <s v="Без сроков "/>
    <d v="2024-05-29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0723"/>
    <s v="Зарегистрирован"/>
    <d v="2023-07-01T00:00:00"/>
    <s v=""/>
    <x v="49"/>
    <s v="3811088474"/>
    <s v="АНГ-19/11513/00007/Р"/>
    <s v=""/>
    <s v=" 34 (корректировка)"/>
    <s v="Нетиповой ДД"/>
    <x v="3"/>
    <s v=""/>
    <s v="00336-23"/>
    <s v=""/>
    <s v="НАРЯД-ЗАКАЗ №34 (корректировка) к Договору № АНГ-19/11513/00007/Р от 14.02.2019"/>
    <s v="Оформление земельных участков для объекта: 1) Строительство разведочной скважины Км-5 Камовской площади Оморинского лицензионного участка. 2) Участки пунктов дежурства техники, складирования древесины и временного размещения городка на ПК0 Оморинского лицензионного участка. Внесение корректировки в связи с оформлением в аренду всех вариантов размещения Км-5. "/>
    <s v="Титаева И.А."/>
    <s v="Титаева И.А."/>
    <s v="Договорный документ"/>
    <s v="Управление маркшейдерско-землеустроительных работ"/>
    <s v="Трифонов А.В."/>
    <s v="ЭП"/>
    <s v="С ограничением по срокам "/>
    <d v="2023-03-02T00:00:00"/>
    <d v="2024-05-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 511 788.48"/>
    <s v="2 926 490.40"/>
    <s v="585 298.08"/>
    <s v="нет"/>
    <s v="нет"/>
    <s v=""/>
    <s v=""/>
    <s v=""/>
    <s v=""/>
    <s v="нет"/>
  </r>
  <r>
    <s v="Газпромнефть-ГЕО, ООО"/>
    <s v="0000091163"/>
    <s v="Зарегистрирован"/>
    <d v="2024-07-01T00:00:00"/>
    <d v="2024-07-05T00:00:00"/>
    <x v="149"/>
    <s v="5001063958"/>
    <s v="ГЕО-21/11505/00195/Р"/>
    <s v=""/>
    <s v="1"/>
    <s v="Нетиповой ДД"/>
    <x v="4"/>
    <s v=""/>
    <s v="00336-24"/>
    <s v="8"/>
    <s v="изм.1 к Наряд-заказу №8  к Договору №ГЕО-21/11505/00195/Р от «24» августа 2021г."/>
    <s v="Выполнение цифровой аэрофотосъемки (ЦАФС) и воздушно-лазерного сканирования (ВЛС) пилотируемым воздушным судном на территории Южно-Новопортовского ЛУ с дополнительным объемом работ. Номер района по ТЗ - 4"/>
    <s v="Хохлов А.А."/>
    <s v="Хохлов А.А."/>
    <s v="Договорный документ"/>
    <s v="Управление маркшейдерско-землеустроительных работ"/>
    <s v="Трифонов А.В."/>
    <s v="ЭП"/>
    <s v="С ограничением по срокам "/>
    <d v="2024-03-25T00:00:00"/>
    <d v="2024-08-29T00:00:00"/>
    <s v="Д-82"/>
    <s v="Аэрофотосъемка, космическая съемка. Создание ортофотопланов"/>
    <s v="Расходная часть"/>
    <s v="Рамочный"/>
    <s v="без НДС"/>
    <s v=""/>
    <s v=""/>
    <s v="19 034 977.00"/>
    <s v="19 034 977.00"/>
    <n v="0"/>
    <s v="нет"/>
    <s v="нет"/>
    <s v=""/>
    <s v=""/>
    <s v=""/>
    <s v=""/>
    <s v="нет"/>
  </r>
  <r>
    <s v="Газпромнефть-ГЕО, ООО"/>
    <s v="0000068442"/>
    <s v="Зарегистрирован"/>
    <d v="2022-04-22T00:00:00"/>
    <s v=""/>
    <x v="92"/>
    <s v="5611027573"/>
    <s v="ГЕО-21/09000/00198/Р"/>
    <s v=""/>
    <s v="3"/>
    <s v="Нетиповой ДД"/>
    <x v="0"/>
    <s v=""/>
    <s v="00337-22"/>
    <s v=""/>
    <s v="Дополнительное соглашение возмездного оказания услуг по охране объектов"/>
    <s v="Изменение сроков оплаты "/>
    <s v="Глухарева Ю.Б."/>
    <s v="Глухарева Ю.Б."/>
    <s v="Договорный документ"/>
    <s v="Блок корпоративной защиты"/>
    <s v="Созинов С.А."/>
    <s v="На бумажном носителе"/>
    <s v="С ограничением по срокам "/>
    <d v="2022-04-22T00:00:00"/>
    <d v="2023-02-28T00:00:00"/>
    <s v="Д-60"/>
    <s v="Договор возмездного оказания услуг"/>
    <s v="Не предполагает взаиморасчетов"/>
    <s v="Рамочный"/>
    <s v=""/>
    <s v=""/>
    <s v=""/>
    <s v=""/>
    <s v=""/>
    <s v=""/>
    <s v="нет"/>
    <s v="нет"/>
    <s v=""/>
    <s v=""/>
    <s v=""/>
    <s v=""/>
    <s v="нет"/>
  </r>
  <r>
    <s v="Газпромнефть-ГЕО, ООО"/>
    <s v="0000099166"/>
    <s v="Зарегистрирован"/>
    <d v="2023-06-30T00:00:00"/>
    <s v=""/>
    <x v="101"/>
    <s v="5648004029"/>
    <s v=""/>
    <s v="ГЕО-23/04300/00108/Р"/>
    <s v="ГЕО-23/04300/00108/Р"/>
    <s v="Типовой ДД"/>
    <x v="2"/>
    <s v="04300 Договор аренды земельных участков (под строительство)"/>
    <s v="00337-23"/>
    <s v=""/>
    <s v="04300 Договор аренды земельных участков (под строительство)"/>
    <s v="для строительства промышленных и иных объектов, а именно (но, не ограничиваясь) для размещения бурового оборудования при бурении скважины № 341 ПО и подъездного пути к ней Солнечн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6-30T00:00:00"/>
    <d v="2023-09-29T00:00:00"/>
    <s v="Д-33"/>
    <s v="Договор аренды недвижимости"/>
    <s v="Расходная часть"/>
    <s v="Стоимостной"/>
    <s v="20%"/>
    <s v=""/>
    <s v=""/>
    <s v="594 000.00"/>
    <s v="495 000.00"/>
    <s v="99 000.00"/>
    <s v="нет"/>
    <s v="нет"/>
    <s v=""/>
    <s v=""/>
    <s v=""/>
    <s v=""/>
    <s v="нет"/>
  </r>
  <r>
    <s v="Газпромнефть-ГЕО, ООО"/>
    <s v="0000070856"/>
    <s v="Зарегистрирован"/>
    <d v="2023-06-01T00:00:00"/>
    <s v=""/>
    <x v="163"/>
    <s v="7722319952"/>
    <s v="ГЕО-23/10000/00094/Р"/>
    <s v=""/>
    <s v="2"/>
    <s v="Нетиповой ДД"/>
    <x v="3"/>
    <s v=""/>
    <s v="00337-24"/>
    <s v=""/>
    <s v="НАРЯД-ЗАКАЗ №2 к Договору № ГЕО-23/10000/00094/Р от 01.06.2023"/>
    <s v="Оформление земельных участков для объекта «Проведение полевых сейсморазведочных работ МОГТ 3Д на Холмогорском ЛУ (ХМАО)»"/>
    <s v="Горев М.А."/>
    <s v=""/>
    <s v="Договорный документ"/>
    <s v="Управление маркшейдерско-землеустроительных работ"/>
    <s v="Трифонов А.В."/>
    <s v="На бумажном носителе"/>
    <s v="С ограничением по срокам "/>
    <d v="2024-06-01T00:00:00"/>
    <d v="2025-04-30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 395 440.00"/>
    <s v="1 996 200.00"/>
    <s v="399 240.00"/>
    <s v="нет"/>
    <s v="нет"/>
    <s v=""/>
    <s v=""/>
    <s v=""/>
    <s v=""/>
    <s v="нет"/>
  </r>
  <r>
    <s v="Газпромнефть-ГЕО, ООО"/>
    <s v="0000068974"/>
    <s v="Зарегистрирован"/>
    <d v="2022-04-22T00:00:00"/>
    <s v=""/>
    <x v="81"/>
    <s v="3808120671"/>
    <s v="ГЕО-21/09000/00250/Р"/>
    <s v=""/>
    <s v="3"/>
    <s v="Нетиповой ДД"/>
    <x v="0"/>
    <s v=""/>
    <s v="00338-22"/>
    <s v=""/>
    <s v="На оказание охранных услуг"/>
    <s v="Изменение сроков оплаты "/>
    <s v="Глухарева Ю.Б."/>
    <s v="Глухарева Ю.Б."/>
    <s v="Договорный документ"/>
    <s v="Блок корпоративной защиты"/>
    <s v="Созинов С.А."/>
    <s v="На бумажном носителе"/>
    <s v="С ограничением по срокам "/>
    <d v="2022-04-22T00:00:00"/>
    <d v="2024-02-22T00:00:00"/>
    <s v="Д-60"/>
    <s v="Договор возмездного оказания услуг"/>
    <s v="Не предполагает взаиморасчетов"/>
    <s v="Рамочный"/>
    <s v=""/>
    <s v=""/>
    <s v=""/>
    <s v=""/>
    <s v=""/>
    <s v=""/>
    <s v="нет"/>
    <s v="нет"/>
    <s v=""/>
    <s v=""/>
    <s v=""/>
    <s v=""/>
    <s v="нет"/>
  </r>
  <r>
    <s v="Газпромнефть-ГЕО, ООО"/>
    <s v="0000099166"/>
    <s v="Зарегистрирован"/>
    <d v="2023-06-30T00:00:00"/>
    <s v=""/>
    <x v="101"/>
    <s v="5648004029"/>
    <s v="ГЕО-22/04500/00319/Р"/>
    <s v=""/>
    <s v="1"/>
    <s v="Нетиповой ДД"/>
    <x v="0"/>
    <s v=""/>
    <s v="00338-23"/>
    <s v=""/>
    <s v="Дополнительное соглашение №1 к договору субаренды земельного участка №ГЕО-21/04500/00319/Р от 09.12.2022"/>
    <s v="для строительства промышленных и иных объектов, а именно (но не ограничиваясь) 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6-30T00:00:00"/>
    <d v="2023-09-29T00:00:00"/>
    <s v="Д-33"/>
    <s v="Договор субаренды недвижимости"/>
    <s v="Расходная часть"/>
    <s v="Стоимостной"/>
    <s v="20%"/>
    <s v=""/>
    <s v=""/>
    <s v="234 630.00"/>
    <s v="195 525.00"/>
    <s v="39 105.00"/>
    <s v="нет"/>
    <s v="нет"/>
    <s v=""/>
    <s v=""/>
    <s v=""/>
    <s v=""/>
    <s v="нет"/>
  </r>
  <r>
    <s v="Газпромнефть-ГЕО, ООО"/>
    <s v="0000055382"/>
    <s v="Зарегистрирован"/>
    <d v="2022-04-22T00:00:00"/>
    <s v=""/>
    <x v="176"/>
    <s v="7718554537"/>
    <s v=""/>
    <s v=""/>
    <s v="6"/>
    <s v="Нетиповой ДД"/>
    <x v="0"/>
    <s v=""/>
    <s v="00339-22"/>
    <s v=""/>
    <s v="Дополнительное соглашение на оказание услуг по техническому обслуживанию инженерно-технических средств охраны"/>
    <s v="Изменение сроков оплаты"/>
    <s v="Глухарева Ю.Б."/>
    <s v="Глухарева Ю.Б."/>
    <s v="Договорный документ"/>
    <s v="Блок корпоративной защиты"/>
    <s v="Созинов С.А."/>
    <s v="На бумажном носителе"/>
    <s v="С ограничением по срокам "/>
    <d v="2022-04-22T00:00:00"/>
    <d v="2022-12-31T00:00:00"/>
    <s v="Д-6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99595"/>
    <s v="Зарегистрирован"/>
    <d v="2023-06-30T00:00:00"/>
    <s v=""/>
    <x v="265"/>
    <s v="5648004036"/>
    <s v="ГЕО-22/04500/00320/Р"/>
    <s v=""/>
    <s v="1"/>
    <s v="Нетиповой ДД"/>
    <x v="0"/>
    <s v=""/>
    <s v="00339-23"/>
    <s v=""/>
    <s v="Дополнительное соглашение №1 к договору субаренды земельного участка ГЕО-22/04500/00320/Р от 09.12.2022"/>
    <s v="для строительства промышленных и иных объектов, а именно (но не ограничиваясь) 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6-30T00:00:00"/>
    <d v="2023-09-29T00:00:00"/>
    <s v="Д-33"/>
    <s v="Договор субаренды недвижимости"/>
    <s v="Расходная часть"/>
    <s v="Стоимостной"/>
    <s v="20%"/>
    <s v=""/>
    <s v=""/>
    <s v="94 500.00"/>
    <s v="78 750.00"/>
    <s v="15 750.00"/>
    <s v="нет"/>
    <s v="нет"/>
    <s v=""/>
    <s v=""/>
    <s v=""/>
    <s v=""/>
    <s v="нет"/>
  </r>
  <r>
    <s v="Газпромнефть-ГЕО, ООО"/>
    <s v="0000091163"/>
    <s v="Зарегистрирован"/>
    <d v="2024-06-01T00:00:00"/>
    <d v="2024-06-11T00:00:00"/>
    <x v="149"/>
    <s v="5001063958"/>
    <s v="ГЕО-21/11505/00195/Р"/>
    <s v=""/>
    <s v="9"/>
    <s v="Нетиповой ДД"/>
    <x v="3"/>
    <s v=""/>
    <s v="00339-24"/>
    <s v=""/>
    <s v="Наряд-заказ №9 к Договору №ГЕО-21/11505/00195/Р от «24» августа 2021г."/>
    <s v="Выполнение цифровой аэрофотосъемки и воздушно-лазерного сканирования с пилотируемых воздушных средств на территории Холмогоского ЛУ (ХМАО, ЯНАО)."/>
    <s v="Горев М.А."/>
    <s v=""/>
    <s v="Договорный документ"/>
    <s v="Управление маркшейдерско-землеустроительных работ"/>
    <s v="Перфильев Д.А."/>
    <s v="ЭП"/>
    <s v="С ограничением по срокам "/>
    <d v="2024-06-01T00:00:00"/>
    <d v="2024-12-30T00:00:00"/>
    <s v="Д-61"/>
    <s v="Аэрофотосъемка, космическая съемка. Создание ортофотопланов"/>
    <s v="Расходная часть"/>
    <s v="Рамочный"/>
    <s v="без НДС"/>
    <s v=""/>
    <s v=""/>
    <s v="5 480 534.00"/>
    <s v="5 480 534.00"/>
    <n v="0"/>
    <s v="нет"/>
    <s v="нет"/>
    <s v=""/>
    <s v=""/>
    <s v=""/>
    <s v=""/>
    <s v="нет"/>
  </r>
  <r>
    <s v="Газпромнефть-ГЕО, ООО"/>
    <s v="0000055382"/>
    <s v="Зарегистрирован"/>
    <d v="2022-04-22T00:00:00"/>
    <s v=""/>
    <x v="176"/>
    <s v="7718554537"/>
    <s v=""/>
    <s v=""/>
    <s v="6"/>
    <s v="Нетиповой ДД"/>
    <x v="0"/>
    <s v=""/>
    <s v="00340-22"/>
    <s v=""/>
    <s v="Дополнительное соглашение на оказание услуг по техническому обслуживанию инженерно-технических средств охраны"/>
    <s v="Изменение сроков оплаты"/>
    <s v="Глухарева Ю.Б."/>
    <s v="Глухарева Ю.Б."/>
    <s v="Договорный документ"/>
    <s v="Блок корпоративной защиты"/>
    <s v="Созинов С.А."/>
    <s v="На бумажном носителе"/>
    <s v="С ограничением по срокам "/>
    <d v="2022-04-22T00:00:00"/>
    <d v="2022-12-31T00:00:00"/>
    <s v="Д-6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Зарегистрирован"/>
    <d v="2023-07-10T00:00:00"/>
    <s v=""/>
    <x v="266"/>
    <s v=""/>
    <s v=""/>
    <s v="ГЕО-23/25000/00110/Р"/>
    <s v="ГЕО-23/25000/00110/Р"/>
    <s v="Типовой ДД"/>
    <x v="2"/>
    <s v="25000 Договор об оказании услуг физическим лицом (без выезда на Лицензионные участки Заказчика)"/>
    <s v="00340-23"/>
    <s v=""/>
    <s v="25000 Договор об оказании услуг физическим лицом (без выезда на Лицензионные участки Заказчика)"/>
    <s v="Оказание услуг по управлению исполнением договоров в рамках прохождения практики студентов ДПО &quot;Закупки&quot;"/>
    <s v="Безруков А.А."/>
    <s v="Ушакова М.А."/>
    <s v="Договорный документ"/>
    <s v="Блок снабжения и закупок"/>
    <s v="Масалкин Ю.В."/>
    <s v="На бумажном носителе"/>
    <s v="С ограничением по срокам "/>
    <d v="2023-07-10T00:00:00"/>
    <d v="2023-08-10T00:00:00"/>
    <s v=""/>
    <s v="Договор оказания услуг с физическим лицом"/>
    <s v="Расходная часть"/>
    <s v="Стоимостной"/>
    <s v="13%"/>
    <s v=""/>
    <s v=""/>
    <s v="11 300.00"/>
    <s v="9 831.00"/>
    <s v="1 469.00"/>
    <s v="нет"/>
    <s v="нет"/>
    <s v=""/>
    <s v=""/>
    <s v=""/>
    <s v=""/>
    <s v="нет"/>
  </r>
  <r>
    <s v="Газпромнефть-ГЕО, ООО"/>
    <s v="0000060954"/>
    <s v="Подписание ЭП контрагентом"/>
    <d v="2024-05-30T00:00:00"/>
    <s v=""/>
    <x v="75"/>
    <s v="5603007580"/>
    <s v=""/>
    <s v="ГЕО-24/33100/00096"/>
    <s v="ГЕО-24/33100/00096"/>
    <s v="Типовой ДД"/>
    <x v="1"/>
    <s v="33100 Соглашение в области производственной безопасности"/>
    <s v="00340-24"/>
    <s v=""/>
    <s v="33100 Соглашение в области производственной безопасности"/>
    <s v="Заключение Соглашения в области производственной безопасности"/>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4-05-30T00:00:00"/>
    <s v=""/>
    <s v="Д-8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0956"/>
    <s v="Зарегистрирован"/>
    <d v="2022-04-22T00:00:00"/>
    <s v=""/>
    <x v="267"/>
    <s v="8911017194"/>
    <s v="ГЕО-19/10111/00141/Р"/>
    <s v=""/>
    <s v="7"/>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41-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19/10111/00141/Р"/>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19/10111/00141/Р"/>
    <s v="Ахматгалиев С.З."/>
    <s v=""/>
    <s v="Договорный документ"/>
    <s v="Блок геологии и разработки"/>
    <s v="Аксенов М.А."/>
    <s v="На бумажном носителе"/>
    <s v="С ограничением по срокам "/>
    <d v="2022-04-22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103544"/>
    <s v="Зарегистрирован"/>
    <d v="2023-07-01T00:00:00"/>
    <s v=""/>
    <x v="268"/>
    <s v="563903365352"/>
    <s v=""/>
    <s v="ГЕО-23/40000/00111/Р"/>
    <s v="ГЕО-23/40000/00111/Р"/>
    <s v="Нетиповой ДД"/>
    <x v="1"/>
    <s v=""/>
    <s v="00341-23"/>
    <s v=""/>
    <s v="Соглашение об установлении сервитута земельного участка"/>
    <s v="право ограниченного пользования (сервитут) на часть земельного участка с кадастровым номером 56:22:1407001:2 для размещения подъездного пути к скважине 401ПО Западно-Рубежинск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7-08T00:00:00"/>
    <d v="2024-06-07T00:00:00"/>
    <s v="Д-33"/>
    <s v="Соглашение о сервитуте"/>
    <s v="Расходная часть"/>
    <s v="Стоимостной"/>
    <s v="13%"/>
    <s v=""/>
    <s v=""/>
    <s v="478 500.00"/>
    <s v="416 295.00"/>
    <s v="62 205.00"/>
    <s v="нет"/>
    <s v="нет"/>
    <s v=""/>
    <s v=""/>
    <s v=""/>
    <s v=""/>
    <s v="нет"/>
  </r>
  <r>
    <s v="Газпромнефть-ГЕО, ООО"/>
    <s v="0000084590"/>
    <s v="Зарегистрирован"/>
    <d v="2024-06-07T00:00:00"/>
    <d v="2024-06-11T00:00:00"/>
    <x v="61"/>
    <s v="7708277130"/>
    <s v="ГЕО-23/09000/00149/Р"/>
    <s v=""/>
    <s v="2"/>
    <s v="Нетиповой ДД"/>
    <x v="0"/>
    <s v=""/>
    <s v="00341-24"/>
    <s v=""/>
    <s v="Дополнительное соглашение № 2 к договору ГЕО-23/09000/00149/Р от «28» августа 2023 г."/>
    <s v="Дополнение расшифровки затрат по статье «Доставка вахтового персонала до пункта сбора» затратами на прохождение медицинских осмотров, необходимых для получения пропуска с целью заезда на объекты Заказчика и нахождения на них в течение вахты"/>
    <s v="Фокин Е.В."/>
    <s v="Фокин Е.В."/>
    <s v="Договорный документ"/>
    <s v="Управление производственной безопасности"/>
    <s v="Ядрышников П.Н."/>
    <s v="ЭП"/>
    <s v="С ограничением по срокам "/>
    <d v="2024-06-07T00:00:00"/>
    <d v="2024-12-31T00:00:00"/>
    <s v="Д-51"/>
    <s v="Договор возмездного оказания услуг"/>
    <s v="Не предполагает взаиморасчетов"/>
    <s v="Рамочный"/>
    <s v=""/>
    <s v=""/>
    <s v=""/>
    <s v=""/>
    <s v=""/>
    <s v=""/>
    <s v="нет"/>
    <s v="нет"/>
    <s v=""/>
    <s v=""/>
    <s v=""/>
    <s v=""/>
    <s v="нет"/>
  </r>
  <r>
    <s v="Газпромнефть-ГЕО, ООО"/>
    <s v="0000069013"/>
    <s v="Зарегистрирован"/>
    <d v="2022-05-04T00:00:00"/>
    <s v=""/>
    <x v="114"/>
    <s v="7203218005"/>
    <s v="ГЕО-21/10924/00124/Р "/>
    <s v=""/>
    <s v="4 "/>
    <s v="Нетиповой ДД"/>
    <x v="0"/>
    <s v=""/>
    <s v="00342-22"/>
    <s v=""/>
    <s v="Дополнительное соглашение №4 к Договору №ГЕО-21/10924/00124/Р от 12.05.2021 г. на оказание услуг экологического мониторинга месторождений"/>
    <s v="1. Изменение сроков оплаты_x000d__x000a_2. Переход на ЭДО"/>
    <s v="Липатова О.И."/>
    <s v="Липатова О.И."/>
    <s v="Договорный документ"/>
    <s v="Отдел экологической безопасности"/>
    <s v="Власов М.М."/>
    <s v="На бумажном носителе"/>
    <s v="С ограничением по срокам "/>
    <d v="2022-05-04T00:00:00"/>
    <d v="2024-12-31T00:00:00"/>
    <s v="Д-59"/>
    <s v="Договор возмездного оказания услуг"/>
    <s v="Не предполагает взаиморасчетов"/>
    <s v=""/>
    <s v=""/>
    <s v=""/>
    <s v=""/>
    <s v=""/>
    <s v=""/>
    <s v=""/>
    <s v="нет"/>
    <s v="нет"/>
    <s v=""/>
    <s v=""/>
    <s v=""/>
    <s v=""/>
    <s v="нет"/>
  </r>
  <r>
    <s v="Газпромнефть-ГЕО, ООО"/>
    <s v="0000063179"/>
    <s v="Зарегистрирован"/>
    <d v="2023-07-10T00:00:00"/>
    <s v=""/>
    <x v="54"/>
    <s v="7727747172"/>
    <s v="ГЕО-20/10986/00138/Р от 10.08.2020г. "/>
    <s v=""/>
    <s v="39"/>
    <s v="Нетиповой ДД"/>
    <x v="8"/>
    <s v=""/>
    <s v="00342-23"/>
    <s v=""/>
    <s v="Задание № 39"/>
    <s v="Оказание услуг супервайзинга на проекте «Енисей» "/>
    <s v="Мормышев А.А."/>
    <s v=""/>
    <s v="Договорный документ"/>
    <s v="Блок производственной безопасности"/>
    <s v="Ядрышников П.Н."/>
    <s v="ЭП"/>
    <s v="С ограничением по срокам "/>
    <d v="2023-09-01T00:00:00"/>
    <d v="2023-12-15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4 580 472.00"/>
    <s v="3 817 060.00"/>
    <s v="763 412.00"/>
    <s v="нет"/>
    <s v="нет"/>
    <s v=""/>
    <s v=""/>
    <s v=""/>
    <s v=""/>
    <s v="нет"/>
  </r>
  <r>
    <s v="Газпромнефть-ГЕО, ООО"/>
    <s v="0000059765"/>
    <s v="Подписание ЭП контрагентом"/>
    <d v="2024-06-27T00:00:00"/>
    <s v=""/>
    <x v="269"/>
    <s v="7708683999"/>
    <s v=""/>
    <s v="ГЕО-24/20000/00118/Р"/>
    <s v="ГЕО-24/20000/00118/Р"/>
    <s v="Нетиповой ДД"/>
    <x v="2"/>
    <s v=""/>
    <s v="00342-24"/>
    <s v=""/>
    <s v="Агентский договор с ООО &quot;ВТБ Факторинг&quot;"/>
    <s v="Организация применения факторинга по закупке от ПАО &quot;Газпром нефть&quot;"/>
    <s v="Васильева А.И."/>
    <s v="Чернявский Г.С."/>
    <s v="Договорный документ"/>
    <s v="Блок экономики и финансов"/>
    <s v="Ковтун М.А."/>
    <s v="ЭП"/>
    <s v="С ограничением по срокам "/>
    <d v="2024-06-27T00:00:00"/>
    <d v="2026-12-31T00:00:00"/>
    <s v="Д-62"/>
    <s v="Агентский договор"/>
    <s v="Расходная часть"/>
    <s v="Агентский"/>
    <s v="20%"/>
    <s v=""/>
    <s v=""/>
    <n v="0"/>
    <n v="0"/>
    <n v="0"/>
    <s v="нет"/>
    <s v="нет"/>
    <s v=""/>
    <s v=""/>
    <s v=""/>
    <s v=""/>
    <s v="нет"/>
  </r>
  <r>
    <s v="Газпромнефть-ГЕО, ООО"/>
    <s v="0000069013"/>
    <s v="Зарегистрирован"/>
    <d v="2022-05-04T00:00:00"/>
    <s v=""/>
    <x v="114"/>
    <s v="7203218005"/>
    <s v=""/>
    <s v="ГЕО-22/33200/00091"/>
    <s v="ГЕО-22/33200/00091"/>
    <s v="Типовой ДД"/>
    <x v="1"/>
    <s v="33200 Соглашение об электронном документообороте"/>
    <s v="00343-22"/>
    <s v=""/>
    <s v="33200 Соглашение об электронном документообороте"/>
    <s v="Переход на ЭДО"/>
    <s v="Липатова О.И."/>
    <s v=""/>
    <s v="Договорный документ"/>
    <s v="Отдел экологической безопасности"/>
    <s v="Власов М.М."/>
    <s v="На бумажном носителе"/>
    <s v="Без сроков "/>
    <d v="2022-05-04T00:00:00"/>
    <s v=""/>
    <s v="Д-59"/>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3179"/>
    <s v="Зарегистрирован"/>
    <d v="2023-07-06T00:00:00"/>
    <s v=""/>
    <x v="54"/>
    <s v="7727747172"/>
    <s v="ГЕО-20/10986/00138/Р от 10.08.2020г. "/>
    <s v=""/>
    <s v="40"/>
    <s v="Нетиповой ДД"/>
    <x v="8"/>
    <s v=""/>
    <s v="00343-23"/>
    <s v=""/>
    <s v="Задание № 40"/>
    <s v="Оказание услуг супервайзинга на проекте проект «Южный Оренбург», площадка скважины № 401 (Приволжский федеральный округ)"/>
    <s v="Мормышев А.А."/>
    <s v="Фокин Е.В."/>
    <s v="Договорный документ"/>
    <s v="Блок производственной безопасности"/>
    <s v="Ядрышников П.Н."/>
    <s v="ЭП"/>
    <s v="С ограничением по срокам "/>
    <d v="2023-10-01T00:00:00"/>
    <d v="2024-02-29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 459 596.80"/>
    <s v="4 549 664.00"/>
    <s v="909 932.80"/>
    <s v="нет"/>
    <s v="нет"/>
    <s v=""/>
    <s v=""/>
    <s v=""/>
    <s v=""/>
    <s v="нет"/>
  </r>
  <r>
    <s v="Газпромнефть-ГЕО, ООО"/>
    <s v="0000096994"/>
    <s v="Зарегистрирован"/>
    <d v="2024-05-31T00:00:00"/>
    <d v="2024-07-16T00:00:00"/>
    <x v="102"/>
    <s v="6316103250"/>
    <s v="ГЕО-22/10000/00318/Р"/>
    <s v=""/>
    <s v="3"/>
    <s v="Нетиповой ДД"/>
    <x v="0"/>
    <s v=""/>
    <s v="00343-24"/>
    <s v=""/>
    <s v="ДС № 3 к №ГЕО-22/10000/00318/Р от 05.12.2022г с БАРБУС,ООО"/>
    <s v="ДС № 3 к №ГЕО-22/10000/00318/Р от 05.12.2022г с БАРБУС,ООО НГО в ГО"/>
    <s v="Мормышев А.А."/>
    <s v="Дунаев Э.В."/>
    <s v="Договорный документ"/>
    <s v="Блок бурения и ВСР"/>
    <s v="Трифонов А.В."/>
    <s v="ЭП"/>
    <s v="До исполнения обязательств"/>
    <d v="2024-05-31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10271150"/>
    <s v="21 756 000.00"/>
    <s v="18 130 000.00"/>
    <s v="3 626 000.00"/>
    <s v="да"/>
    <s v="нет"/>
    <s v=""/>
    <s v=""/>
    <s v=""/>
    <s v=""/>
    <s v="нет"/>
  </r>
  <r>
    <s v="Газпромнефть-ГЕО, ООО"/>
    <s v="0000063179"/>
    <s v="Зарегистрирован"/>
    <d v="2023-07-01T00:00:00"/>
    <s v=""/>
    <x v="54"/>
    <s v="7727747172"/>
    <s v="ГЕО-20/10986/00138/Р от 10.08.2020г. "/>
    <s v=""/>
    <s v="41"/>
    <s v="Нетиповой ДД"/>
    <x v="8"/>
    <s v=""/>
    <s v="00344-23"/>
    <s v=""/>
    <s v="Задание № 41"/>
    <s v="Оказание услуг супервайзинга на проекте проект проект «Титан», площадка скважины № 1ПО (Уральский федеральный округ )"/>
    <s v="Мормышев А.А."/>
    <s v="Фокин Е.В."/>
    <s v="Договорный документ"/>
    <s v="Блок производственной безопасности"/>
    <s v="Ядрышников П.Н."/>
    <s v="ЭП"/>
    <s v="С ограничением по срокам "/>
    <d v="2023-07-01T00:00:00"/>
    <d v="2023-08-31T00:00:00"/>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889 600.80"/>
    <s v="741 334.00"/>
    <s v="148 266.80"/>
    <s v="нет"/>
    <s v="нет"/>
    <s v=""/>
    <s v=""/>
    <s v=""/>
    <s v=""/>
    <s v="нет"/>
  </r>
  <r>
    <s v="Газпромнефть-ГЕО, ООО"/>
    <s v="0000093917"/>
    <s v="Зарегистрирован"/>
    <d v="2024-06-03T00:00:00"/>
    <d v="2024-06-04T00:00:00"/>
    <x v="9"/>
    <s v="5609193118"/>
    <s v="ГЕО-23/33100/00181"/>
    <s v=""/>
    <s v="1"/>
    <s v="Типовой ДД"/>
    <x v="0"/>
    <s v="33100 Дополнительное соглашение к Соглашениям в  в области производственной безопасности;"/>
    <s v="00344-24"/>
    <s v=""/>
    <s v="33100 Дополнительное соглашение к Соглашениям в  в области производственной безопасности;"/>
    <s v="В целях реализации «Системы управления исполнением договорных обязательств при выполнении производственных работ / услуг» и систематизации процесса взаимодействия с подрядными организациями в области производственной безопасности и оптимизации процесса согласования договорных документов."/>
    <s v="Покатов О.Н."/>
    <s v=""/>
    <s v="Договорный документ"/>
    <s v="Управление производственной безопасности"/>
    <s v="Ядрышников П.Н."/>
    <s v="ЭП"/>
    <s v="До исполнения обязательств"/>
    <d v="2024-06-03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1621"/>
    <s v="Зарегистрирован"/>
    <d v="2022-05-04T00:00:00"/>
    <s v=""/>
    <x v="57"/>
    <s v="6381010888"/>
    <s v="ГЕО-21/10301/00259/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45-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в договор условий применения усиленной квалифицированной электронной подписи"/>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5-04T00:00:00"/>
    <d v="2025-03-31T00:00:00"/>
    <s v="Д-58"/>
    <s v="Технологическое сопровождение (прокат) буровых долот"/>
    <s v="Не предполагает взаиморасчетов"/>
    <s v="Стоимостной"/>
    <s v=""/>
    <s v=""/>
    <s v=""/>
    <s v=""/>
    <s v=""/>
    <s v=""/>
    <s v="нет"/>
    <s v="нет"/>
    <s v=""/>
    <s v=""/>
    <s v=""/>
    <s v=""/>
    <s v="нет"/>
  </r>
  <r>
    <s v="Газпромнефть-ГЕО, ООО"/>
    <s v="0000025354"/>
    <s v="Зарегистрирован"/>
    <d v="2023-06-13T00:00:00"/>
    <s v=""/>
    <x v="111"/>
    <s v="5003026493"/>
    <s v="ГЕО-20/10204/00036/Р"/>
    <s v=""/>
    <s v="4"/>
    <s v="Нетиповой ДД"/>
    <x v="0"/>
    <s v=""/>
    <s v="00345-23"/>
    <s v=""/>
    <s v="Дополнительное соглашение №4 к договору № ГЕО-20/10204/00036/Р от 18.02.2020 г. "/>
    <s v="Продление срока выполнения работ и срока действия договора по 31.12.2024г."/>
    <s v="Мячина М.В."/>
    <s v="Мячина М.В."/>
    <s v="Договорный документ"/>
    <s v="Отдел подготовительных работ и экономического анализа"/>
    <s v="Трифонов А.В."/>
    <s v="ЭП"/>
    <s v="С ограничением по срокам "/>
    <d v="2020-07-03T00:00:00"/>
    <d v="2024-12-31T00:00:00"/>
    <s v="Д-33"/>
    <s v="Договор возмездного оказания услуг"/>
    <s v="Расходная часть"/>
    <s v="Тарифный"/>
    <s v="20%"/>
    <s v=""/>
    <s v=""/>
    <s v="7 862 400.00"/>
    <s v="6 552 000.00"/>
    <s v="1 310 400.00"/>
    <s v="нет"/>
    <s v="нет"/>
    <s v=""/>
    <s v=""/>
    <s v=""/>
    <s v=""/>
    <s v="нет"/>
  </r>
  <r>
    <s v="Газпромнефть-ГЕО, ООО"/>
    <s v="0000060716"/>
    <s v="Зарегистрирован"/>
    <d v="2024-06-03T00:00:00"/>
    <d v="2024-06-25T00:00:00"/>
    <x v="18"/>
    <s v="7728803870"/>
    <s v="ГЕО-23/33100/00212"/>
    <s v=""/>
    <s v="1"/>
    <s v="Типовой ДД"/>
    <x v="0"/>
    <s v="33100 Дополнительное соглашение к Соглашениям в  в области производственной безопасности;"/>
    <s v="00345-24"/>
    <s v=""/>
    <s v="33100 Дополнительное соглашение к Соглашениям в  в области производственной безопасности;"/>
    <s v="В целях реализации «Системы управления исполнением договорных обязательств при выполнении производственных работ / услуг» и систематизации процесса взаимодействия с подрядными организациями в области производственной безопасности и оптимизации процесса согласования договорных документов."/>
    <s v="Покатов О.Н."/>
    <s v=""/>
    <s v="Договорный документ"/>
    <s v="Блок главного инженера"/>
    <s v="Трифонов А.В."/>
    <s v="ЭП"/>
    <s v="До исполнения обязательств"/>
    <d v="2024-06-03T00:00:00"/>
    <s v=""/>
    <s v="Д-8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6514"/>
    <s v="Зарегистрирован"/>
    <d v="2022-04-28T00:00:00"/>
    <s v=""/>
    <x v="175"/>
    <s v="7725741143"/>
    <s v="№ГЕО-21/11513/00019/Р"/>
    <s v=""/>
    <s v="2"/>
    <s v="Нетиповой ДД"/>
    <x v="3"/>
    <s v=""/>
    <s v="00346-22"/>
    <s v=""/>
    <s v="Наряд-заказ №2 к договору №ГЕО-21/11513/00019/Р от 01.02.2021"/>
    <s v="Подготовка схем расположения земельных участков на кадастровом плане территории, оформление, согласование межевого плана на образование земель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2-04-28T00:00:00"/>
    <d v="2022-08-15T00:00:00"/>
    <s v="Д-61"/>
    <s v="Договор подряда"/>
    <s v="Расходная часть"/>
    <s v="Рамочный"/>
    <s v="без НДС"/>
    <s v=""/>
    <s v=""/>
    <s v="68 894.00"/>
    <s v="68 894.00"/>
    <n v="0"/>
    <s v="нет"/>
    <s v="нет"/>
    <s v=""/>
    <s v=""/>
    <s v=""/>
    <s v=""/>
    <s v="нет"/>
  </r>
  <r>
    <s v="Газпромнефть-ГЕО, ООО"/>
    <s v="0000093917"/>
    <s v="Зарегистрирован"/>
    <d v="2023-07-01T00:00:00"/>
    <s v=""/>
    <x v="9"/>
    <s v="5609193118"/>
    <s v="ГЕО-23/09000/00041/Р"/>
    <s v=""/>
    <s v="5"/>
    <s v="Нетиповой ДД"/>
    <x v="3"/>
    <s v=""/>
    <s v="00346-23"/>
    <s v=""/>
    <s v="НЗ №5 к Договору № ГЕО-23/09000/00041/Р от 31.01.2023г "/>
    <s v="НЗ №5 на 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Лескинском Лицензионном участке, скважина № 198."/>
    <s v="Безруков А.А."/>
    <s v="Хабибуллин Т.Ф."/>
    <s v="Договорный документ"/>
    <s v="Блок производственной безопасности"/>
    <s v="Михайлов Ю.А."/>
    <s v="ЭП"/>
    <s v="С ограничением по срокам "/>
    <d v="2023-07-01T00:00:00"/>
    <d v="2023-10-28T00:00:00"/>
    <s v="Д-2"/>
    <s v="Договор возмездного оказания услуг"/>
    <s v="Расходная часть"/>
    <s v="Стоимостной"/>
    <s v="20%"/>
    <s v=""/>
    <s v=""/>
    <s v="28 835 136.00"/>
    <s v="24 029 280.00"/>
    <s v="4 805 856.00"/>
    <s v="нет"/>
    <s v="нет"/>
    <s v=""/>
    <s v=""/>
    <s v=""/>
    <s v=""/>
    <s v="нет"/>
  </r>
  <r>
    <s v="Газпромнефть-ГЕО, ООО"/>
    <s v="0000059765"/>
    <s v="Зарегистрирован"/>
    <d v="2024-08-27T00:00:00"/>
    <s v=""/>
    <x v="269"/>
    <s v="7708683999"/>
    <s v=""/>
    <s v="ГЕО-24/33200/00103"/>
    <s v="ГЕО-24/33200/00103"/>
    <s v="Типовой ДД"/>
    <x v="1"/>
    <s v="33200 Соглашение об электронном документообороте"/>
    <s v="00346-24"/>
    <s v=""/>
    <s v="33200 Соглашение об электронном документообороте c ВТБ Факторинг"/>
    <s v="Организация электронного документооборота с контрагентом"/>
    <s v="Васильева А.И."/>
    <s v="Чернявский Г.С."/>
    <s v="Договорный документ"/>
    <s v="Блок экономики и финансов"/>
    <s v="Трифонов А.В."/>
    <s v="ЭП"/>
    <s v="Без сроков "/>
    <d v="2024-08-27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7554"/>
    <s v="Зарегистрирован"/>
    <d v="2022-04-26T00:00:00"/>
    <s v=""/>
    <x v="209"/>
    <s v="3811089799"/>
    <s v="ГЕО-20/11104/00201/Р"/>
    <s v=""/>
    <s v="3"/>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47-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ереход на ЭДО в части ДД"/>
    <s v="Ушакова М.А."/>
    <s v=""/>
    <s v="Договорный документ"/>
    <s v="Отдел административной поддержки бизнеса"/>
    <s v="Титов А.В."/>
    <s v="На бумажном носителе"/>
    <s v="С ограничением по срокам "/>
    <d v="2022-04-26T00:00:00"/>
    <d v="2025-12-31T00:00:00"/>
    <s v=""/>
    <s v="Договор возмездного оказания услуг"/>
    <s v="Не предполагает взаиморасчетов"/>
    <s v=""/>
    <s v=""/>
    <s v=""/>
    <s v=""/>
    <s v=""/>
    <s v=""/>
    <s v=""/>
    <s v="нет"/>
    <s v="нет"/>
    <s v=""/>
    <s v=""/>
    <s v=""/>
    <s v=""/>
    <s v="нет"/>
  </r>
  <r>
    <s v="Газпромнефть-ГЕО, ООО"/>
    <s v="0000111458"/>
    <s v="Зарегистрирован"/>
    <d v="2023-07-14T00:00:00"/>
    <s v=""/>
    <x v="270"/>
    <s v="780263031432"/>
    <s v=""/>
    <s v="ГЕО-23/25000/00117/Р"/>
    <s v="ГЕО-23/25000/00117/Р"/>
    <s v="Типовой ДД"/>
    <x v="2"/>
    <s v="25000 Договор об оказании услуг физическим лицом (без выезда на Лицензионные участки Заказчика)"/>
    <s v="00347-23"/>
    <s v=""/>
    <s v="25000 Договор об оказании услуг физическим лицом (без выезда на Лицензионные участки Заказчика)"/>
    <s v="Заключение договора возмездного оказания услуг по автоматизации маркшейдерских и землеустроительных задач в геоинформационной системе"/>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3-07-17T00:00:00"/>
    <d v="2023-08-09T00:00:00"/>
    <s v=""/>
    <s v="Договор оказания услуг с физическим лицом"/>
    <s v="Расходная часть"/>
    <s v="Стоимостной"/>
    <s v="13%"/>
    <s v=""/>
    <s v=""/>
    <s v="3 000.00"/>
    <s v="2 610.00"/>
    <n v="390"/>
    <s v="нет"/>
    <s v="нет"/>
    <s v=""/>
    <s v=""/>
    <s v=""/>
    <s v=""/>
    <s v="нет"/>
  </r>
  <r>
    <s v="Газпромнефть-ГЕО, ООО"/>
    <s v="0000074858"/>
    <s v="Зарегистрирован"/>
    <d v="2024-06-01T00:00:00"/>
    <d v="2024-06-17T00:00:00"/>
    <x v="248"/>
    <s v="5609097622"/>
    <s v="ГЕО-20/11112/00108/Р"/>
    <s v=""/>
    <s v="12"/>
    <s v="Нетиповой ДД"/>
    <x v="0"/>
    <s v=""/>
    <s v="00347-24"/>
    <s v=""/>
    <s v="Актуализация ОЛ ОЭДК и внедрение ЭПЛ СМА БРД"/>
    <s v="Актуализация ОЛ ОЭДК и внедрение ЭПЛ СМА БРД"/>
    <s v="Гусаков В.В."/>
    <s v="Гусаков В.В."/>
    <s v="Договорный документ"/>
    <s v="Управление транспортного обеспечения и авиаперевозок"/>
    <s v="Титов А.В."/>
    <s v="ЭП"/>
    <s v="С ограничением по срокам "/>
    <d v="2020-06-29T00:00:00"/>
    <d v="2024-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2421"/>
    <s v="Зарегистрирован"/>
    <d v="2023-07-03T00:00:00"/>
    <s v=""/>
    <x v="245"/>
    <s v="6924010964"/>
    <s v="ГЕО-22/11104/00265/Р"/>
    <s v=""/>
    <s v="1"/>
    <s v="Нетиповой ДД"/>
    <x v="0"/>
    <s v=""/>
    <s v="00348-23"/>
    <s v=""/>
    <s v="ДС №1. Конверс Авиа. №ГЕО-22/11104/00265/Р от 15.10.2022."/>
    <s v="ДС №1. из НГО в ГО"/>
    <s v="Мормышев А.А."/>
    <s v=""/>
    <s v="Договорный документ"/>
    <s v="Блок снабжения и закупок"/>
    <s v="Титов А.В."/>
    <s v="ЭП"/>
    <s v="До исполнения обязательств"/>
    <d v="2023-07-03T00:00:00"/>
    <s v=""/>
    <s v="Д-56"/>
    <s v="Авиационное обслуживание (вертолеты)"/>
    <s v="Расходная часть"/>
    <s v="Стоимостной"/>
    <s v="20%"/>
    <s v=""/>
    <s v="133251000"/>
    <s v="348 081 825.60"/>
    <s v="290 068 188.00"/>
    <s v="58 013 637.60"/>
    <s v="да"/>
    <s v="нет"/>
    <s v=""/>
    <s v=""/>
    <s v=""/>
    <s v=""/>
    <s v="нет"/>
  </r>
  <r>
    <s v="Газпромнефть-ГЕО, ООО"/>
    <s v="0000103544"/>
    <s v="Зарегистрирован"/>
    <d v="2024-06-08T00:00:00"/>
    <s v=""/>
    <x v="268"/>
    <s v="563903365352"/>
    <s v=""/>
    <s v="ГЕО-24/40000/00099/Р"/>
    <s v="ГЕО-24/40000/00099/Р"/>
    <s v="Нетиповой ДД"/>
    <x v="1"/>
    <s v=""/>
    <s v="00348-24"/>
    <s v=""/>
    <s v="Соглашение об установлении сервитута земельного участка"/>
    <s v="право ограниченного пользования (сервитут) на часть земельного участка с кадастровым номером 56:22:1407001:2 для размещения подъездного пути к скважине 401ПО Западно-Рубежинск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4-06-08T00:00:00"/>
    <d v="2025-04-13T00:00:00"/>
    <s v="Д-82"/>
    <s v="Соглашение о сервитуте"/>
    <s v="Расходная часть"/>
    <s v="Стоимостной"/>
    <s v="13%"/>
    <s v=""/>
    <s v=""/>
    <s v="305 444.93"/>
    <s v="265 736.93"/>
    <s v="39 708.00"/>
    <s v="нет"/>
    <s v="нет"/>
    <s v=""/>
    <s v=""/>
    <s v=""/>
    <s v=""/>
    <s v="нет"/>
  </r>
  <r>
    <s v="Газпромнефть-ГЕО, ООО"/>
    <s v="0000027645"/>
    <s v="Закрыт"/>
    <d v="2022-01-28T00:00:00"/>
    <s v=""/>
    <x v="80"/>
    <s v="5501072608"/>
    <s v="ГЕО-22/01200/00035/Д"/>
    <s v=""/>
    <s v="2"/>
    <s v="Нетиповой ДД"/>
    <x v="0"/>
    <s v=""/>
    <s v="00349-22"/>
    <s v=""/>
    <s v="ДС №2 к ДП №Д_27645_49007 от 28.01.2022"/>
    <s v="Включение формулировок по ЭДО и УПД "/>
    <s v="Долгов Д.Г."/>
    <s v=""/>
    <s v="Договорный документ"/>
    <s v="Блок снабжения и закупок"/>
    <s v="Титов А.В."/>
    <s v="На бумажном носителе"/>
    <s v="С ограничением по срокам "/>
    <d v="2022-01-28T00:00:00"/>
    <d v="2022-12-31T00:00:00"/>
    <s v="Д-56"/>
    <s v="Договор поставки/купли продажи движимого имущества"/>
    <s v="Не предполагает взаиморасчетов"/>
    <s v="Стоимостной"/>
    <s v=""/>
    <s v=""/>
    <s v=""/>
    <s v=""/>
    <s v=""/>
    <s v=""/>
    <s v="нет"/>
    <s v="нет"/>
    <s v=""/>
    <s v=""/>
    <s v=""/>
    <s v=""/>
    <s v="нет"/>
  </r>
  <r>
    <s v="Газпромнефть-ГЕО, ООО"/>
    <s v="0000062082"/>
    <s v="Зарегистрирован"/>
    <d v="2023-07-03T00:00:00"/>
    <s v=""/>
    <x v="122"/>
    <s v="7704627560"/>
    <s v=""/>
    <s v=""/>
    <s v="10"/>
    <s v="Нетиповой ДД"/>
    <x v="0"/>
    <s v=""/>
    <s v="00349-23"/>
    <s v=""/>
    <s v="ДС №10 с АО ИГС к Договору № ГЕО-19/10201/00155/Р "/>
    <s v="Добавление условий по вывозу МТР с ЛУ Лескино"/>
    <s v="Яшкина К.Л."/>
    <s v="Дорогойченков Д.В."/>
    <s v="Договорный документ"/>
    <s v="Блок бурения и ВСР"/>
    <s v="Трифонов А.В."/>
    <s v="На бумажном носителе"/>
    <s v="С ограничением по срокам "/>
    <d v="2023-07-03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5349"/>
    <s v="Зарегистрирован"/>
    <d v="2024-05-25T00:00:00"/>
    <d v="2024-06-18T00:00:00"/>
    <x v="140"/>
    <s v="5610220126"/>
    <s v="ГЕО-22/10000/00065/Р"/>
    <s v=""/>
    <s v="9"/>
    <s v="Нетиповой ДД"/>
    <x v="0"/>
    <s v=""/>
    <s v="00349-24"/>
    <s v=""/>
    <s v="ДС №9 к договору № ГЕО-22/10000/00065/Р от 31.03.2022 г. с ООО «ОКТАН СЕРВИС» "/>
    <s v="ДС №9 к договору с ООО «ОКТАН СЕРВИС» предусматривающее, увеличение гарантированного объема работ путем уменьшения негарантированного объема в 2024 году. "/>
    <s v="Бикташев Р.С."/>
    <s v="Бикташев Р.С."/>
    <s v="Договорный документ"/>
    <s v="Производственно-технологический департамент"/>
    <s v="Перфильев Д.А."/>
    <s v="ЭП"/>
    <s v="С ограничением по срокам "/>
    <d v="2024-05-25T00:00:00"/>
    <d v="2024-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417 348 093.93"/>
    <s v="347 790 078.27"/>
    <s v="69 558 015.66"/>
    <s v="нет"/>
    <s v="нет"/>
    <s v=""/>
    <s v=""/>
    <s v=""/>
    <s v=""/>
    <s v="нет"/>
  </r>
  <r>
    <s v="Газпромнефть-ГЕО, ООО"/>
    <s v="0000048878"/>
    <s v="Зарегистрирован"/>
    <d v="2021-06-21T00:00:00"/>
    <s v=""/>
    <x v="29"/>
    <s v="1645019164"/>
    <s v="ГЕО-19/10110/00305/Р"/>
    <s v=""/>
    <s v="6"/>
    <s v="Нетиповой ДД"/>
    <x v="0"/>
    <s v=""/>
    <s v="00350-21"/>
    <s v=""/>
    <s v="ДОПОЛНИТЕЛЬНОЕ СОГЛАШЕНИЕ № 6"/>
    <s v="Сокращение штрафных санкций"/>
    <s v="Ахматгалиев С.З."/>
    <s v="Ахматгалиев С.З."/>
    <s v="Договорный документ"/>
    <s v="Блок геологии и разработки"/>
    <s v="Масалкин Ю.В."/>
    <s v="На бумажном носителе"/>
    <s v="С ограничением по срокам "/>
    <d v="2021-06-21T00:00:00"/>
    <d v="2023-09-30T00:00:00"/>
    <s v=""/>
    <s v="Полевые сейсморазведочные работы 2Д, 3Д"/>
    <s v="Не предполагает взаиморасчетов"/>
    <s v="Стоимостной"/>
    <s v=""/>
    <s v=""/>
    <s v=""/>
    <s v=""/>
    <s v=""/>
    <s v=""/>
    <s v="нет"/>
    <s v="нет"/>
    <s v=""/>
    <s v=""/>
    <s v=""/>
    <s v=""/>
    <s v="нет"/>
  </r>
  <r>
    <s v="Газпромнефть-ГЕО, ООО"/>
    <s v="0000008602"/>
    <s v="Зарегистрирован"/>
    <d v="2022-04-11T00:00:00"/>
    <s v=""/>
    <x v="32"/>
    <s v="5504036333"/>
    <s v="ГПН-18/09000/02142/Р "/>
    <s v=""/>
    <s v="15"/>
    <s v="Нетиповой ДД"/>
    <x v="0"/>
    <s v=""/>
    <s v="00350-22"/>
    <s v=""/>
    <s v="Дополнительное соглашение №15 к Договору о выполнении операторских работ и оказании операторских услуг, проект Ю. Оренбург (КНЗР, Первомайский)"/>
    <s v="увеличение стоимости проектного сопровождения в 2022г. по КНЗР в рамках выделенного лимита по проекту Ю.Оренбург. "/>
    <s v="Частухина Е.В."/>
    <s v=""/>
    <s v="Договорный документ"/>
    <s v="Управление экономического планирования и анализа"/>
    <s v="Шакирзянов Л.Н."/>
    <s v="На бумажном носителе"/>
    <s v="С ограничением по срокам "/>
    <d v="2022-04-11T00:00:00"/>
    <d v="2022-12-31T00:00:00"/>
    <s v="Д-5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2 496 419 749.95"/>
    <s v="2 080 349 791.62"/>
    <s v="416 069 958.33"/>
    <s v="нет"/>
    <s v="нет"/>
    <s v=""/>
    <s v=""/>
    <s v=""/>
    <s v=""/>
    <s v="нет"/>
  </r>
  <r>
    <s v="Газпромнефть-ГЕО, ООО"/>
    <s v="0000093917"/>
    <s v="Зарегистрирован"/>
    <d v="2023-06-30T00:00:00"/>
    <s v=""/>
    <x v="9"/>
    <s v="5609193118"/>
    <s v="ГЕО-23/09000/00041/Р"/>
    <s v=""/>
    <s v="НЗ №2.1 "/>
    <s v="Нетиповой ДД"/>
    <x v="3"/>
    <s v=""/>
    <s v="00350-23"/>
    <s v=""/>
    <s v="НЗ №2.1 к Договору № ГЕО-23/09000/00041/Р от 31.01.2023г "/>
    <s v="НЗ №2.1 на 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на Лескинском Лицензионном участке,скважины № 198, 178."/>
    <s v="Безруков А.А."/>
    <s v="Хабибуллин Т.Ф."/>
    <s v="Договорный документ"/>
    <s v="Блок производственной безопасности"/>
    <s v="Ядрышников П.Н."/>
    <s v="ЭП"/>
    <s v="С ограничением по срокам "/>
    <d v="2023-02-16T00:00:00"/>
    <d v="2023-06-30T00:00:00"/>
    <s v="Д-51"/>
    <s v="Договор возмездного оказания услуг"/>
    <s v="Расходная часть"/>
    <s v="Стоимостной"/>
    <s v="20%"/>
    <s v=""/>
    <s v=""/>
    <s v="33 283 377.60"/>
    <s v="27 736 148.00"/>
    <s v="5 547 229.60"/>
    <s v="нет"/>
    <s v="нет"/>
    <s v=""/>
    <s v=""/>
    <s v=""/>
    <s v=""/>
    <s v="нет"/>
  </r>
  <r>
    <s v="Газпромнефть-ГЕО, ООО"/>
    <s v="0000049141"/>
    <s v="Зарегистрирован"/>
    <d v="2024-06-04T00:00:00"/>
    <d v="2024-06-20T00:00:00"/>
    <x v="181"/>
    <s v="7203215460"/>
    <s v="ГЕО-22/10000/00273/Р"/>
    <s v=""/>
    <s v="1"/>
    <s v="Нетиповой ДД"/>
    <x v="3"/>
    <s v=""/>
    <s v="00350-24"/>
    <s v=""/>
    <s v="Наряд-заказ №1 к Договору №ГЕО-22/10000/00273/Р от 10.10.2022 г. с АО «ГЕОТЕК» "/>
    <s v="Выполнение полевых сейсморазведочных работ МОГТ 3D с применением технологии «Зеленая сейсмика» на Южно-Ямской сейсморазведочной площади в 2024-2025гг. _x000a_Владелец лицензии - ООО «СПД», доходный Наряд-заказ между ООО «ГПН - ГЕО» и ООО «СПД» приложен."/>
    <s v="Ушакова М.А."/>
    <s v=""/>
    <s v="Договорный документ"/>
    <s v="Блок геологии и разработки"/>
    <s v="Аксенов М.А."/>
    <s v="ЭП"/>
    <s v="С ограничением по срокам "/>
    <d v="2024-06-04T00:00:00"/>
    <d v="2026-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535 200 000.14"/>
    <s v="446 000 000.12"/>
    <s v="89 200 000.02"/>
    <s v="нет"/>
    <s v="нет"/>
    <s v=""/>
    <s v=""/>
    <s v=""/>
    <s v=""/>
    <s v="нет"/>
  </r>
  <r>
    <s v="Газпромнефть-ГЕО, ООО"/>
    <s v="0000040495"/>
    <s v="Зарегистрирован"/>
    <d v="2021-06-21T00:00:00"/>
    <s v=""/>
    <x v="167"/>
    <s v="0275009544"/>
    <s v="АНГ-18/10110/00165/Р"/>
    <s v=""/>
    <s v="4"/>
    <s v="Нетиповой ДД"/>
    <x v="0"/>
    <s v=""/>
    <s v="00351-21"/>
    <s v="Соглашение в ГПН-ГЕО  АНГ-18/10110/00165/Р "/>
    <s v="Дополнительное соглашение № 4"/>
    <s v="Сокращение штрафных санкций"/>
    <s v="Ахматгалиев С.З."/>
    <s v="Ахматгалиев С.З."/>
    <s v="Договорный документ"/>
    <s v="Блок геологии и разработки"/>
    <s v="Аксенов М.А."/>
    <s v="На бумажном носителе"/>
    <s v="С ограничением по срокам "/>
    <d v="2021-06-21T00:00:00"/>
    <d v="2022-12-31T00:00:00"/>
    <s v="Д-3"/>
    <s v="Полевые сейсморазведочные работы 2Д, 3Д"/>
    <s v="Не предполагает взаиморасчетов"/>
    <s v=""/>
    <s v=""/>
    <s v=""/>
    <s v=""/>
    <s v=""/>
    <s v=""/>
    <s v=""/>
    <s v="нет"/>
    <s v="нет"/>
    <s v=""/>
    <s v=""/>
    <s v=""/>
    <s v=""/>
    <s v="нет"/>
  </r>
  <r>
    <s v="Газпромнефть-ГЕО, ООО"/>
    <s v="0000011433"/>
    <s v="Зарегистрирован"/>
    <d v="2022-04-26T00:00:00"/>
    <s v=""/>
    <x v="174"/>
    <s v="8604005359"/>
    <s v="ГЕО-21/11104/00292/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51-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ереход на УКЭП в части ДД"/>
    <s v="Ушакова М.А."/>
    <s v=""/>
    <s v="Договорный документ"/>
    <s v="Блок снабжения и закупок"/>
    <s v="Титов А.В."/>
    <s v="На бумажном носителе"/>
    <s v="С ограничением по срокам "/>
    <d v="2022-04-26T00:00:00"/>
    <d v="2024-12-31T00:00:00"/>
    <s v=""/>
    <s v="Авиационное обслуживание (вертолеты)"/>
    <s v="Не предполагает взаиморасчетов"/>
    <s v="Рамочный"/>
    <s v=""/>
    <s v=""/>
    <s v=""/>
    <s v=""/>
    <s v=""/>
    <s v=""/>
    <s v="нет"/>
    <s v="нет"/>
    <s v=""/>
    <s v=""/>
    <s v=""/>
    <s v=""/>
    <s v="нет"/>
  </r>
  <r>
    <s v="Газпромнефть-ГЕО, ООО"/>
    <s v="0000103052"/>
    <s v="Зарегистрирован"/>
    <d v="2023-07-01T00:00:00"/>
    <s v=""/>
    <x v="148"/>
    <s v="563900109424"/>
    <s v=""/>
    <s v="ГЕО-23/04300/00109/Р"/>
    <s v="ГЕО-23/04300/00109/Р"/>
    <s v="Типовой ДД"/>
    <x v="2"/>
    <s v="04300 Договор аренды земельных участков (под строительство)"/>
    <s v="00351-23"/>
    <s v=""/>
    <s v="04300 Договор аренды земельных участков (под строительство)"/>
    <s v="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 (далее - объект)"/>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7-08T00:00:00"/>
    <d v="2024-06-07T00:00:00"/>
    <s v="Д-33"/>
    <s v="Договор аренды недвижимости"/>
    <s v="Расходная часть"/>
    <s v="Стоимостной"/>
    <s v="13%"/>
    <s v=""/>
    <s v=""/>
    <s v="1 939 666.63"/>
    <s v="1 687 509.63"/>
    <s v="252 157.00"/>
    <s v="нет"/>
    <s v="нет"/>
    <s v=""/>
    <s v=""/>
    <s v=""/>
    <s v=""/>
    <s v="нет"/>
  </r>
  <r>
    <s v="Газпромнефть-ГЕО, ООО"/>
    <s v="0000045645"/>
    <s v="Зарегистрирован"/>
    <d v="2024-06-06T00:00:00"/>
    <s v=""/>
    <x v="271"/>
    <s v="7801021076"/>
    <s v=""/>
    <s v="ГЕО-24/09600/00097"/>
    <s v="ГЕО-24/09600/00097"/>
    <s v="Нетиповой ДД"/>
    <x v="2"/>
    <s v=""/>
    <s v="00351-24"/>
    <s v=""/>
    <s v="Договор на организацию практической подготовки обучающихся при проведении практик "/>
    <s v="Договор на организацию практической подготовки обучающихся при проведении практик "/>
    <s v="Гулин В.Д."/>
    <s v="Гулин В.Д."/>
    <s v="Договорный документ"/>
    <s v="Блок геологии и разработки"/>
    <s v="Аксенов М.А."/>
    <s v="На бумажном носителе"/>
    <s v="С ограничением по срокам "/>
    <d v="2024-06-19T00:00:00"/>
    <d v="2024-07-25T00:00:00"/>
    <s v="Д-54"/>
    <s v="Договор на прохождение практики студентами"/>
    <s v="Не предполагает взаиморасчетов"/>
    <s v=""/>
    <s v=""/>
    <s v=""/>
    <s v=""/>
    <s v=""/>
    <s v=""/>
    <s v=""/>
    <s v="нет"/>
    <s v="нет"/>
    <s v=""/>
    <s v=""/>
    <s v=""/>
    <s v=""/>
    <s v="нет"/>
  </r>
  <r>
    <s v="Газпромнефть-ГЕО, ООО"/>
    <s v="0000048878"/>
    <s v="Зарегистрирован"/>
    <d v="2021-06-21T00:00:00"/>
    <s v=""/>
    <x v="29"/>
    <s v="1645019164"/>
    <s v="ГЕО-20/10110/00092/Р"/>
    <s v=""/>
    <s v="3"/>
    <s v="Нетиповой ДД"/>
    <x v="0"/>
    <s v=""/>
    <s v="00352-21"/>
    <s v=""/>
    <s v="ДОПОЛНИТЕЛЬНОЕ СОГЛАШЕНИЕ № 3"/>
    <s v="Сокращение штрафных санкций"/>
    <s v="Ахматгалиев С.З."/>
    <s v="Ахматгалиев С.З."/>
    <s v="Договорный документ"/>
    <s v="Блок геологии и разработки"/>
    <s v="Аксенов М.А."/>
    <s v="На бумажном носителе"/>
    <s v="С ограничением по срокам "/>
    <d v="2021-06-21T00:00:00"/>
    <d v="2025-12-31T00:00:00"/>
    <s v="Д-3"/>
    <s v="Полевые сейсморазведочные работы 2Д, 3Д"/>
    <s v="Не предполагает взаиморасчетов"/>
    <s v=""/>
    <s v=""/>
    <s v=""/>
    <s v=""/>
    <s v=""/>
    <s v=""/>
    <s v=""/>
    <s v="нет"/>
    <s v="нет"/>
    <s v=""/>
    <s v=""/>
    <s v=""/>
    <s v=""/>
    <s v="нет"/>
  </r>
  <r>
    <s v="Газпромнефть-ГЕО, ООО"/>
    <s v="0000068974"/>
    <s v="Зарегистрирован"/>
    <d v="2022-04-29T00:00:00"/>
    <s v=""/>
    <x v="81"/>
    <s v="3808120671"/>
    <s v="ГЕО-21/09000/00250/Р"/>
    <s v=""/>
    <s v="1"/>
    <s v="Нетиповой ДД"/>
    <x v="0"/>
    <s v=""/>
    <s v="00352-22"/>
    <s v="2"/>
    <s v="Изменение Наряд-Заказа"/>
    <s v="Согласование изменения к Нарад-заказу № 1 на оказание услуг охраны  "/>
    <s v="Глухарева Ю.Б."/>
    <s v="Глухарева Ю.Б."/>
    <s v="Договорный документ"/>
    <s v="Блок корпоративной защиты"/>
    <s v="Созинов С.А."/>
    <s v="На бумажном носителе"/>
    <s v="С ограничением по срокам "/>
    <d v="2022-11-21T00:00:00"/>
    <d v="2022-12-31T00:00:00"/>
    <s v="Д-60"/>
    <s v="Договор возмездного оказания услуг"/>
    <s v="Расходная часть"/>
    <s v="Рамочный"/>
    <s v="20%"/>
    <s v=""/>
    <s v=""/>
    <s v="989 392.67"/>
    <s v="824 493.89"/>
    <s v="164 898.78"/>
    <s v="нет"/>
    <s v="нет"/>
    <s v=""/>
    <s v=""/>
    <s v=""/>
    <s v=""/>
    <s v="нет"/>
  </r>
  <r>
    <s v="Газпромнефть-ГЕО, ООО"/>
    <s v="0000058271"/>
    <s v="Зарегистрирован"/>
    <d v="2024-06-05T00:00:00"/>
    <d v="2024-06-11T00:00:00"/>
    <x v="42"/>
    <s v="7725696878"/>
    <s v="ГЕО-24/10000/00053/Р"/>
    <s v=""/>
    <s v="2"/>
    <s v="Типовой ДД"/>
    <x v="0"/>
    <s v="00000 ДС на изменение реквизитов контрагента (адрес, счет)"/>
    <s v="00352-24"/>
    <s v=""/>
    <s v="ДС на изменение реквизитов контрагента (ОГРН)"/>
    <s v="Изменение ОГРН ввиду некорректного указания при подписании договора"/>
    <s v="Безруков А.А."/>
    <s v=""/>
    <s v="Договорный документ"/>
    <s v="Блок геологии и разработки"/>
    <s v="Аксенов М.А."/>
    <s v="ЭП"/>
    <s v="До исполнения обязательств"/>
    <d v="2024-06-05T00:00:00"/>
    <s v=""/>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19598"/>
    <s v="Зарегистрирован"/>
    <d v="2021-06-11T00:00:00"/>
    <s v=""/>
    <x v="63"/>
    <s v="9909012867"/>
    <s v="ГЕО-19/11708/00134/Р от 25.06.2019"/>
    <s v=""/>
    <s v="11"/>
    <s v="Нетиповой ДД"/>
    <x v="3"/>
    <s v=""/>
    <s v="00353-21"/>
    <s v=""/>
    <s v="Комплексная интерпретация сейсморазведочных данных объединенного куба 3D с использованием сейсмических инверсий на Солнечном, Корнаваринском, Надеждинском, Западно-Рубежинском лицензионных участках"/>
    <s v="Формирование сидементологической модели франско-фамеского осадочного комплекса, восстановление истории геологического развития и зон благоприятных для формирования залежей"/>
    <s v="Ябиров Р.З."/>
    <s v="Ябиров Р.З."/>
    <s v="Договорный документ"/>
    <s v="Блок геологии и разработки"/>
    <s v="Масалкин Ю.В."/>
    <s v="На бумажном носителе"/>
    <s v="С ограничением по срокам "/>
    <d v="2021-06-11T00:00:00"/>
    <d v="2022-04-15T00:00:00"/>
    <s v=""/>
    <s v="НИОКР, НИР в области геологии и разработки месторождений"/>
    <s v="Расходная часть"/>
    <s v="Рамочный"/>
    <s v="20%"/>
    <s v=""/>
    <s v=""/>
    <s v="63 879 000.00"/>
    <s v="53 232 500.00"/>
    <s v="10 646 500.00"/>
    <s v="нет"/>
    <s v="нет"/>
    <s v=""/>
    <s v=""/>
    <s v=""/>
    <s v=""/>
    <s v="нет"/>
  </r>
  <r>
    <s v="Газпромнефть-ГЕО, ООО"/>
    <s v="0000089597"/>
    <s v="Зарегистрирован"/>
    <d v="2022-04-27T00:00:00"/>
    <s v=""/>
    <x v="155"/>
    <s v="7811455562"/>
    <s v=""/>
    <s v="ГЕО-22/33200/00092"/>
    <s v="ГЕО-22/33200/00092"/>
    <s v="Нетиповой ДД"/>
    <x v="1"/>
    <s v=""/>
    <s v="00353-22"/>
    <s v=""/>
    <s v="33200 Соглашение об электронном документообороте"/>
    <s v="Переход на электронный документооборот"/>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2-04-27T00:00:00"/>
    <d v="2022-12-31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19598"/>
    <s v="Зарегистрирован"/>
    <d v="2023-06-30T00:00:00"/>
    <s v=""/>
    <x v="63"/>
    <s v="9909012867"/>
    <s v="ГЕО-22/10000/00048/Р"/>
    <s v=""/>
    <s v="5"/>
    <s v="Нетиповой ДД"/>
    <x v="0"/>
    <s v=""/>
    <s v="00353-23"/>
    <s v=""/>
    <s v="ДС №5 к Договору № ГЕО-22/10000/00048/P от 28.02.2022 г. на оказание услуг по предоставлению оборудования и инженерному сопровождению при спуске и креплении "/>
    <s v="Раскрытие ГО"/>
    <s v="Яшкина К.Л."/>
    <s v="Веселкин А.С."/>
    <s v="Договорный документ"/>
    <s v="Блок бурения и ВСР"/>
    <s v="Трифонов А.В."/>
    <s v="На бумажном носителе"/>
    <s v="С ограничением по срокам "/>
    <d v="2023-06-30T00:00:00"/>
    <d v="2024-05-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5 696 963.76"/>
    <s v="13 080 803.13"/>
    <s v="2 616 160.63"/>
    <s v="нет"/>
    <s v="нет"/>
    <s v=""/>
    <s v=""/>
    <s v=""/>
    <s v=""/>
    <s v="нет"/>
  </r>
  <r>
    <s v="Газпромнефть-ГЕО, ООО"/>
    <s v="0000103052"/>
    <s v="Зарегистрирован"/>
    <d v="2024-06-08T00:00:00"/>
    <s v=""/>
    <x v="148"/>
    <s v="563900109424"/>
    <s v=""/>
    <s v="ГЕО-24/04300/00110/Р"/>
    <s v="ГЕО-24/04300/00110/Р"/>
    <s v="Нетиповой ДД"/>
    <x v="2"/>
    <s v=""/>
    <s v="00353-24"/>
    <s v=""/>
    <s v="04300 Договор аренды земельных участков (под строительство)"/>
    <s v="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4-06-08T00:00:00"/>
    <d v="2025-05-07T00:00:00"/>
    <s v="Д-82"/>
    <s v="Договор аренды недвижимости"/>
    <s v="Расходная часть"/>
    <s v="Стоимостной"/>
    <s v="13%"/>
    <s v=""/>
    <s v=""/>
    <s v="1 936 886.78"/>
    <s v="1 685 091.78"/>
    <s v="251 795.00"/>
    <s v="нет"/>
    <s v="нет"/>
    <s v=""/>
    <s v=""/>
    <s v=""/>
    <s v=""/>
    <s v="нет"/>
  </r>
  <r>
    <s v="Газпромнефть-ГЕО, ООО"/>
    <s v="0000098115"/>
    <s v="Закрыт"/>
    <d v="2022-06-07T00:00:00"/>
    <s v=""/>
    <x v="272"/>
    <s v="7806243072"/>
    <s v=""/>
    <s v="ГЕО-22/09000/00122/Р"/>
    <s v="ГЕО-22/09000/00122/Р"/>
    <s v="Нетиповой ДД"/>
    <x v="2"/>
    <s v=""/>
    <s v="00354-22"/>
    <s v=""/>
    <s v="Договор на оказание услуг"/>
    <s v="Услуги по профилактической и заключительной очаговой дезинфекции помещения в случае выявления больного с коронавирусной инфекцией (COVID-19) "/>
    <s v="Сергель О.Г."/>
    <s v="Сергель О.Г."/>
    <s v="Договорный документ"/>
    <s v="Отдел административной поддержки бизнеса"/>
    <s v="Буракова О.В."/>
    <s v="На бумажном носителе"/>
    <s v="С ограничением по срокам "/>
    <d v="2022-05-19T00:00:00"/>
    <d v="2023-12-31T00:00:00"/>
    <s v="Д-46"/>
    <s v="Договор возмездного оказания услуг"/>
    <s v="Расходная часть"/>
    <s v="Тарифный"/>
    <s v="без НДС"/>
    <s v=""/>
    <s v=""/>
    <s v="415 480.00"/>
    <s v="415 480.00"/>
    <n v="0"/>
    <s v="нет"/>
    <s v="нет"/>
    <s v=""/>
    <s v=""/>
    <s v=""/>
    <s v=""/>
    <s v="нет"/>
  </r>
  <r>
    <s v="Газпромнефть-ГЕО, ООО"/>
    <s v="0000091084"/>
    <s v="Зарегистрирован"/>
    <d v="2023-07-10T00:00:00"/>
    <s v=""/>
    <x v="198"/>
    <s v="561003662278"/>
    <s v=""/>
    <s v="ГЕО-23/33200/00106"/>
    <s v="ГЕО-23/33200/00106"/>
    <s v="Типовой ДД"/>
    <x v="1"/>
    <s v="33200 Соглашение об электронном документообороте"/>
    <s v="00354-23"/>
    <s v=""/>
    <s v="33200 Соглашение об электронном документообороте"/>
    <s v="Переход на электронный документооборот, ЭДО"/>
    <s v="Сазонова А.С."/>
    <s v="Сазонова А.С."/>
    <s v="Договорный документ"/>
    <s v="Управление маркшейдерско-землеустроительных работ"/>
    <s v="Ковтун М.А."/>
    <s v="На бумажном носителе"/>
    <s v="Без сроков "/>
    <d v="2023-07-1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7475"/>
    <s v="Зарегистрирован"/>
    <d v="2024-06-18T00:00:00"/>
    <d v="2024-06-19T00:00:00"/>
    <x v="273"/>
    <s v="7708096662"/>
    <s v=""/>
    <s v="ГЕО-24/09000/00105/Р"/>
    <s v="ГЕО-24/09000/00105/Р"/>
    <s v="Нетиповой ДД"/>
    <x v="2"/>
    <s v=""/>
    <s v="00354-24"/>
    <s v=""/>
    <s v="Договор на оказание аудиторских услуг "/>
    <s v="Проведение аудита бухгалтерской (финансовой) отчетности"/>
    <s v="Малова Д.П."/>
    <s v="Малова Д.П."/>
    <s v="Договорный документ"/>
    <s v="Финансовое управление"/>
    <s v="Ковтун М.А."/>
    <s v="ЭП"/>
    <s v="С ограничением по срокам "/>
    <d v="2024-06-18T00:00:00"/>
    <d v="2027-02-26T00:00:00"/>
    <s v="Д-62"/>
    <s v="Договор возмездного оказания услуг"/>
    <s v="Расходная часть"/>
    <s v="Стоимостной"/>
    <s v="20%"/>
    <s v=""/>
    <s v=""/>
    <s v="4 296 000.00"/>
    <s v="3 580 000.00"/>
    <s v="716 000.00"/>
    <s v="нет"/>
    <s v="нет"/>
    <s v=""/>
    <s v=""/>
    <s v=""/>
    <s v=""/>
    <s v="нет"/>
  </r>
  <r>
    <s v="Газпромнефть-ГЕО, ООО"/>
    <s v="0000067121"/>
    <s v="Зарегистрирован"/>
    <d v="2021-06-21T00:00:00"/>
    <s v=""/>
    <x v="62"/>
    <s v="7202171361"/>
    <s v="ГЕО-20/10110/00198/Р"/>
    <s v=""/>
    <s v="2"/>
    <s v="Нетиповой ДД"/>
    <x v="0"/>
    <s v=""/>
    <s v="00355-21"/>
    <s v=""/>
    <s v="ДОПОЛНИТЕЛЬНОЕ СОГЛАШЕНИЕ № 2"/>
    <s v="Сокращение штрафных санкций"/>
    <s v="Ахматгалиев С.З."/>
    <s v="Ахматгалиев С.З."/>
    <s v="Договорный документ"/>
    <s v="Блок геологии и разработки"/>
    <s v="Аксенов М.А."/>
    <s v="На бумажном носителе"/>
    <s v="С ограничением по срокам "/>
    <d v="2021-06-21T00:00:00"/>
    <d v="2023-12-31T00:00:00"/>
    <s v="Д-3"/>
    <s v="Полевые сейсморазведочные работы 2Д, 3Д"/>
    <s v="Не предполагает взаиморасчетов"/>
    <s v=""/>
    <s v=""/>
    <s v=""/>
    <s v=""/>
    <s v=""/>
    <s v=""/>
    <s v=""/>
    <s v="нет"/>
    <s v="нет"/>
    <s v=""/>
    <s v=""/>
    <s v=""/>
    <s v=""/>
    <s v="нет"/>
  </r>
  <r>
    <s v="Газпромнефть-ГЕО, ООО"/>
    <s v="0000025354"/>
    <s v="Зарегистрирован"/>
    <d v="2022-05-01T00:00:00"/>
    <s v=""/>
    <x v="111"/>
    <s v="5003026493"/>
    <s v="ГЕО-19/11104/00153/Д"/>
    <s v=""/>
    <s v="4"/>
    <s v="Нетиповой ДД"/>
    <x v="0"/>
    <s v=""/>
    <s v="00355-22"/>
    <s v=""/>
    <s v="ДС №4 к ГЕО-19/11104/00153/Д ООО &quot;Газпром Бурение&quot;"/>
    <s v="Продление срока действия договора и увеличение суммы"/>
    <s v="Титова Е.В."/>
    <s v="Титова Е.В."/>
    <s v="Договорный документ"/>
    <s v="Блок снабжения и закупок"/>
    <s v="Титов А.В."/>
    <s v="На бумажном носителе"/>
    <s v="С ограничением по срокам "/>
    <d v="2022-05-01T00:00:00"/>
    <d v="2025-12-31T00:00:00"/>
    <s v="Д-19"/>
    <s v="Агентский договор"/>
    <s v="Доходная часть"/>
    <s v="Агентский"/>
    <s v="20%"/>
    <s v=""/>
    <s v=""/>
    <s v="1 580 840.11"/>
    <s v="1 317 366.76"/>
    <s v="263 473.35"/>
    <s v="нет"/>
    <s v="нет"/>
    <s v=""/>
    <s v=""/>
    <s v=""/>
    <s v=""/>
    <s v="нет"/>
  </r>
  <r>
    <s v="Газпромнефть-ГЕО, ООО"/>
    <s v=""/>
    <s v="Зарегистрирован"/>
    <d v="2023-07-10T00:00:00"/>
    <s v=""/>
    <x v="266"/>
    <s v=""/>
    <s v=""/>
    <s v="ГЕО-23/26000/00112"/>
    <s v="ГЕО-23/26000/00112"/>
    <s v="Типовой ДД"/>
    <x v="1"/>
    <s v="26000 Договор о конфиденциальности с физическим лицом"/>
    <s v="00355-23"/>
    <s v=""/>
    <s v="26000 Договор о конфиденциальности с физическим лицом"/>
    <s v="Договор о конфиденциальности к договору ГПХ с Гилязетдиновой К.Р."/>
    <s v="Безруков А.А."/>
    <s v="Ушакова М.А. -Контрактный инженер по нефтесервисным услугам"/>
    <s v="Договорный документ"/>
    <s v="Блок корпоративной защиты"/>
    <s v="Созинов С.А."/>
    <s v="На бумажном носителе"/>
    <s v="Без сроков "/>
    <d v="2023-07-10T00:00:00"/>
    <s v=""/>
    <s v="Д-60"/>
    <s v="Соглашение о конфиденциальности"/>
    <s v="Не предполагает взаиморасчетов"/>
    <s v=""/>
    <s v=""/>
    <s v=""/>
    <s v=""/>
    <s v=""/>
    <s v=""/>
    <s v=""/>
    <s v="нет"/>
    <s v="нет"/>
    <s v=""/>
    <s v=""/>
    <s v=""/>
    <s v=""/>
    <s v="нет"/>
  </r>
  <r>
    <s v="Газпромнефть-ГЕО, ООО"/>
    <s v="0000071739"/>
    <s v="Зарегистрирован"/>
    <d v="2024-06-05T00:00:00"/>
    <s v=""/>
    <x v="13"/>
    <s v="7710497816"/>
    <s v="ГЕО-22/09000/00014/Р"/>
    <s v=""/>
    <s v="8"/>
    <s v="Типовой ДД"/>
    <x v="0"/>
    <s v="00000 ДС на изменение реквизитов контрагента (адрес, счет)"/>
    <s v="00355-24"/>
    <s v=""/>
    <s v="00000 ДС на изменение реквизитов контрагента (адрес, счет)"/>
    <s v="Изменение реквизитов Исполнителя"/>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4-06-05T00:00:00"/>
    <s v=""/>
    <s v="Д-82"/>
    <s v="Договор возмездного оказания услуг"/>
    <s v="Не предполагает взаиморасчетов"/>
    <s v=""/>
    <s v=""/>
    <s v=""/>
    <s v=""/>
    <s v=""/>
    <s v=""/>
    <s v=""/>
    <s v="нет"/>
    <s v="нет"/>
    <s v=""/>
    <s v=""/>
    <s v=""/>
    <s v=""/>
    <s v="нет"/>
  </r>
  <r>
    <s v="Газпромнефть-ГЕО, ООО"/>
    <s v="0000040952"/>
    <s v="Зарегистрирован"/>
    <d v="2021-06-21T00:00:00"/>
    <s v=""/>
    <x v="207"/>
    <s v="7203126844"/>
    <s v="ГЕО-19/10823/00331/Р"/>
    <s v=""/>
    <s v="4"/>
    <s v="Нетиповой ДД"/>
    <x v="0"/>
    <s v=""/>
    <s v="00356-21"/>
    <s v=""/>
    <s v="Дополнительное соглашение № 4"/>
    <s v="Сокращение штрафных санкций"/>
    <s v="Ахматгалиев С.З."/>
    <s v="Ахматгалиев С.З."/>
    <s v="Договорный документ"/>
    <s v="Блок главного инженера"/>
    <s v="Перфильев Д.А."/>
    <s v="На бумажном носителе"/>
    <s v="С ограничением по срокам "/>
    <d v="2021-06-21T00:00:00"/>
    <d v="2022-12-31T00:00:00"/>
    <s v="Д-22"/>
    <s v="Выработка электроэнергии сторонним производителем "/>
    <s v="Не предполагает взаиморасчетов"/>
    <s v=""/>
    <s v=""/>
    <s v=""/>
    <s v=""/>
    <s v=""/>
    <s v=""/>
    <s v=""/>
    <s v="нет"/>
    <s v="нет"/>
    <s v=""/>
    <s v=""/>
    <s v=""/>
    <s v=""/>
    <s v="нет"/>
  </r>
  <r>
    <s v="Газпромнефть-ГЕО, ООО"/>
    <s v="0000045789"/>
    <s v="Зарегистрирован"/>
    <d v="2022-04-04T00:00:00"/>
    <s v=""/>
    <x v="16"/>
    <s v="7838395487"/>
    <s v="ГЕО-21/11708/00165/Р"/>
    <s v=""/>
    <s v="НТЦ-00426-22Д-ГЕО"/>
    <s v="Нетиповой ДД"/>
    <x v="3"/>
    <s v=""/>
    <s v="00356-22"/>
    <s v=""/>
    <s v="СГМ Южный Таймыр к договору ГЕО-21/11708/00165/Р//НТЦ-21/09000/00768/Д от 12.07.2021"/>
    <s v="&quot;Создание сейсмогеологической модели региона «Южный Таймыр»&quot;"/>
    <s v="Коротков С.П."/>
    <s v=""/>
    <s v="Договорный документ"/>
    <s v="Управление по разработке"/>
    <s v="Аксенов М.А."/>
    <s v="На бумажном носителе"/>
    <s v="С ограничением по срокам "/>
    <d v="2022-04-04T00:00:00"/>
    <d v="2022-09-25T00:00:00"/>
    <s v="Д-54"/>
    <s v="Договор на выполнение НИР, ОКР и технологических работ"/>
    <s v="Расходная часть"/>
    <s v="Рамочный"/>
    <s v="20%"/>
    <s v=""/>
    <s v=""/>
    <s v="11 999 740.80"/>
    <s v="9 999 784.00"/>
    <s v="1 999 956.80"/>
    <s v="нет"/>
    <s v="нет"/>
    <s v=""/>
    <s v=""/>
    <s v=""/>
    <s v=""/>
    <s v="нет"/>
  </r>
  <r>
    <s v="Газпромнефть-ГЕО, ООО"/>
    <s v="0000037846"/>
    <s v="Зарегистрирован"/>
    <d v="2023-07-10T00:00:00"/>
    <s v=""/>
    <x v="26"/>
    <s v="8905032518"/>
    <s v="№ ГЕО-22/09000/00057/Р/4/ИТО-Д/ВГС"/>
    <s v=""/>
    <s v="GEO-KAM-mr001.3.MS"/>
    <s v="Нетиповой ДД"/>
    <x v="3"/>
    <s v=""/>
    <s v="00356-23"/>
    <s v=""/>
    <s v="заказ GEO-KAM-mr001.3.MS к договору ГЕО-22/09000/00057/Р/4/ИТО-Д/ВГС от 25.11.2022г"/>
    <s v="БЗ на услугу предоставление канала передачи данных по адресу РФ, Красноярский край, Эвенкийский р-он, пл. Камовская (60.0367784, 96.5668734)"/>
    <s v="Сорокин И.М."/>
    <s v=""/>
    <s v="Договорный документ"/>
    <s v="Блок геологии и разработки"/>
    <s v="Аксенов М.А."/>
    <s v="На бумажном носителе"/>
    <s v="С ограничением по срокам "/>
    <d v="2023-07-10T00:00:00"/>
    <d v="2024-08-31T00:00:00"/>
    <s v="Д-54"/>
    <s v="Договор возмездного оказания услуг"/>
    <s v="Расходная часть"/>
    <s v="Стоимостной"/>
    <s v="20%"/>
    <s v=""/>
    <s v=""/>
    <s v="36 573 124.80"/>
    <s v="30 477 604.00"/>
    <s v="6 095 520.80"/>
    <s v="нет"/>
    <s v="нет"/>
    <s v=""/>
    <s v=""/>
    <s v=""/>
    <s v=""/>
    <s v="нет"/>
  </r>
  <r>
    <s v="Газпромнефть-ГЕО, ООО"/>
    <s v="0000076283"/>
    <s v="Зарегистрирован"/>
    <d v="2024-06-06T00:00:00"/>
    <d v="2024-06-19T00:00:00"/>
    <x v="28"/>
    <s v="4501174492"/>
    <s v="ГЕО-22/11000/00267/Р"/>
    <s v=""/>
    <s v="1"/>
    <s v="Нетиповой ДД"/>
    <x v="4"/>
    <s v=""/>
    <s v="00356-24"/>
    <s v="5"/>
    <s v="НЗ №5 ИЗМ№1 Уралгеопроект, ООО  к договору ГЕО-22/11000/00267/Р от 10.10.2022"/>
    <s v="НАРЯД-ЗАКАЗ №5 ИЗМ№1 с ООО «Уралгеопроект». Выполнению инженерных изысканий для нужд ООО «ГПН-ГЕО»."/>
    <s v="Мормышев А.А."/>
    <s v="Шолохова И.А."/>
    <s v="Договорный документ"/>
    <s v="Блок главного инженера"/>
    <s v="Трифонов А.В."/>
    <s v="ЭП"/>
    <s v="До исполнения обязательств"/>
    <d v="2024-06-06T00:00:00"/>
    <s v=""/>
    <s v="Д-82"/>
    <s v="Капитальное строительство и ПИР"/>
    <s v="Расходная часть"/>
    <s v="Стоимостной"/>
    <s v="20%"/>
    <s v=""/>
    <s v="10456445.1"/>
    <s v="140 116 694.80"/>
    <s v="116 763 912.33"/>
    <s v="23 352 782.47"/>
    <s v="да"/>
    <s v="нет"/>
    <s v=""/>
    <s v=""/>
    <s v=""/>
    <s v=""/>
    <s v="нет"/>
  </r>
  <r>
    <s v="Газпромнефть-ГЕО, ООО"/>
    <s v=""/>
    <s v="Закрыт"/>
    <d v="2021-07-01T00:00:00"/>
    <s v=""/>
    <x v="274"/>
    <s v=""/>
    <s v=""/>
    <s v="ГЕО-21/09000/00146/Р"/>
    <s v="ГЕО-21/09000/00146/Р"/>
    <s v="Нетиповой ДД"/>
    <x v="2"/>
    <s v=""/>
    <s v="00357-21"/>
    <s v=""/>
    <s v="Договор на оказание услуг"/>
    <s v="Работы по изготовлению и монтажу стеклянных кострукций "/>
    <s v="Савельева И.И."/>
    <s v="Савельева И.И. "/>
    <s v="Договорный документ"/>
    <s v="Отдел административной поддержки бизнеса"/>
    <s v="Масалкин Ю.В."/>
    <s v="На бумажном носителе"/>
    <s v="С ограничением по срокам "/>
    <d v="2021-07-02T00:00:00"/>
    <d v="2021-08-31T00:00:00"/>
    <s v=""/>
    <s v="Договор возмездного оказания услуг"/>
    <s v="Расходная часть"/>
    <s v="Стоимостной"/>
    <s v="20%"/>
    <s v=""/>
    <s v=""/>
    <s v="153 590.00"/>
    <s v="127 991.67"/>
    <s v="25 598.33"/>
    <s v="нет"/>
    <s v="да"/>
    <s v="70"/>
    <s v="107 513,00"/>
    <s v=""/>
    <s v=""/>
    <s v="нет"/>
  </r>
  <r>
    <s v="Газпромнефть-ГЕО, ООО"/>
    <s v="0000037846"/>
    <s v="Зарегистрирован"/>
    <d v="2023-07-10T00:00:00"/>
    <s v=""/>
    <x v="26"/>
    <s v="8905032518"/>
    <s v="№ ГЕО-22/09000/00057/Р/4/ИТО-Д/ВГС"/>
    <s v=""/>
    <s v="GEO-KAM-mr001.6"/>
    <s v="Нетиповой ДД"/>
    <x v="3"/>
    <s v=""/>
    <s v="00357-23"/>
    <s v=""/>
    <s v="заказ GEO-KAM-mr001.6  к договору ГЕО-22/09000/00057/Р/4/ИТО-Д/ВГС от 25.11.2022г"/>
    <s v="БЗ на услугу предоставление корпоративной телефонии по адресу РФ, Красноярский край, Эвенкийский р-он, пл. Камовская (60.0367784, 96.5668734)"/>
    <s v="Сорокин И.М."/>
    <s v=""/>
    <s v="Договорный документ"/>
    <s v="Блок геологии и разработки"/>
    <s v="Аксенов М.А."/>
    <s v="На бумажном носителе"/>
    <s v="С ограничением по срокам "/>
    <d v="2023-07-10T00:00:00"/>
    <d v="2024-08-31T00:00:00"/>
    <s v="Д-54"/>
    <s v="Договор возмездного оказания услуг"/>
    <s v="Расходная часть"/>
    <s v="Стоимостной"/>
    <s v="20%"/>
    <s v=""/>
    <s v=""/>
    <s v="94 908.00"/>
    <s v="79 090.00"/>
    <s v="15 818.00"/>
    <s v="нет"/>
    <s v="нет"/>
    <s v=""/>
    <s v=""/>
    <s v=""/>
    <s v=""/>
    <s v="нет"/>
  </r>
  <r>
    <s v="Газпромнефть-ГЕО, ООО"/>
    <s v="0000045789"/>
    <s v="Зарегистрирован"/>
    <d v="2021-06-11T00:00:00"/>
    <s v=""/>
    <x v="16"/>
    <s v="7838395487"/>
    <s v="ГЕО-19/10124/00001/НТЦ-18/29000/01335/Д-ГЕО"/>
    <s v=""/>
    <s v="ДС-3"/>
    <s v="Нетиповой ДД"/>
    <x v="0"/>
    <s v=""/>
    <s v="00358-21"/>
    <s v="Заказ № НТЦ-19/09000/02210/Д-ГЕО от 21 февраля 2020г."/>
    <s v="Геологическое обеспечение управление проектов «Большая Ачимовка» - проект «Ачимовка-ННГ"/>
    <s v="Корректировка стоимости Этапов без изменения стоимости НЗ и без изменения срока окончания работ"/>
    <s v="Ябиров Р.З."/>
    <s v="Ябиров Р.З."/>
    <s v="Договорный документ"/>
    <s v="Блок геологии и разработки"/>
    <s v="Аксенов М.А."/>
    <s v="На бумажном носителе"/>
    <s v="С ограничением по срокам "/>
    <d v="2020-12-01T00:00:00"/>
    <d v="2021-12-31T00:00:00"/>
    <s v="Д-3"/>
    <s v="НИОКР, НИР в области геологии и разработки месторождений"/>
    <s v="Расходная часть"/>
    <s v="Рамочный"/>
    <s v="20%"/>
    <s v=""/>
    <s v=""/>
    <s v="133 427 276.76"/>
    <s v="111 189 397.30"/>
    <s v="22 237 879.46"/>
    <s v="нет"/>
    <s v="нет"/>
    <s v=""/>
    <s v=""/>
    <s v=""/>
    <s v=""/>
    <s v="нет"/>
  </r>
  <r>
    <s v="Газпромнефть-ГЕО, ООО"/>
    <s v="0000037846"/>
    <s v="Зарегистрирован"/>
    <d v="2023-07-10T00:00:00"/>
    <s v=""/>
    <x v="26"/>
    <s v="8905032518"/>
    <s v="№ ГЕО-22/09000/00057/Р/4/ИТО-Д/ВГС"/>
    <s v=""/>
    <s v="GEO-KAM-mr001.4.MS"/>
    <s v="Нетиповой ДД"/>
    <x v="3"/>
    <s v=""/>
    <s v="00358-23"/>
    <s v=""/>
    <s v="заказ GEO-KAM-mr001.4.MS к договору ГЕО-22/09000/00057/Р/4/ИТО-Д/ВГС от 25.11.2022г"/>
    <s v="БЗ на услугу предоставление канала передачи данных по адресу РФ, Красноярский край, Эвенкийский р-он, пл. Камовская (60.0367784, 96.5668734)"/>
    <s v="Сорокин И.М."/>
    <s v=""/>
    <s v="Договорный документ"/>
    <s v="Блок геологии и разработки"/>
    <s v="Аксенов М.А."/>
    <s v="На бумажном носителе"/>
    <s v="С ограничением по срокам "/>
    <d v="2023-07-10T00:00:00"/>
    <d v="2024-08-31T00:00:00"/>
    <s v="Д-54"/>
    <s v="Договор возмездного оказания услуг"/>
    <s v="Расходная часть"/>
    <s v="Стоимостной"/>
    <s v="20%"/>
    <s v=""/>
    <s v=""/>
    <s v="9 202 452.00"/>
    <s v="7 668 710.00"/>
    <s v="1 533 742.00"/>
    <s v="нет"/>
    <s v="нет"/>
    <s v=""/>
    <s v=""/>
    <s v=""/>
    <s v=""/>
    <s v="нет"/>
  </r>
  <r>
    <s v="Газпромнефть-ГЕО, ООО"/>
    <s v="0000081847"/>
    <s v="Зарегистрирован"/>
    <d v="2024-06-19T00:00:00"/>
    <d v="2024-06-25T00:00:00"/>
    <x v="275"/>
    <s v="6311138429"/>
    <s v=""/>
    <s v="ГЕО-24/11517/00107/Р"/>
    <s v="ГЕО-24/11517/00107/Р"/>
    <s v="Типовой ДД"/>
    <x v="2"/>
    <s v="11517 Договор на выполнение работ по технической и биологической рекультивации нарушенных, незадействованных земель (Мастер-форма)"/>
    <s v="00358-24"/>
    <s v=""/>
    <s v="11517 Договор с ООО &quot;БТС&quot; на выполнение работ по технической и биологической рекультивации нарушенных, незадействованных земель"/>
    <s v="Выполнение технической и биологической рекультивации нарушенных, незадействованных земель на лицензионных участках ПАО &quot;Газпром нефть&quot;"/>
    <s v="Васильева А.И."/>
    <s v="Черешников Е.Е."/>
    <s v="Договорный документ"/>
    <s v="Блок главного инженера"/>
    <s v="Трифонов А.В."/>
    <s v="ЭП"/>
    <s v="С ограничением по срокам "/>
    <d v="2024-06-26T00:00:00"/>
    <d v="2025-12-31T00:00:00"/>
    <s v="Д-82"/>
    <s v="Выполнение технической и биологической рекультивации нарушенных, незадействованных  земель"/>
    <s v="Расходная часть"/>
    <s v="Стоимостной"/>
    <s v="20%"/>
    <s v=""/>
    <s v="16540105.88"/>
    <s v="39 291 814.10"/>
    <s v="32 743 178.42"/>
    <s v="6 548 635.68"/>
    <s v="да"/>
    <s v="нет"/>
    <s v=""/>
    <s v=""/>
    <s v=""/>
    <s v=""/>
    <s v="нет"/>
  </r>
  <r>
    <s v="Газпромнефть-ГЕО, ООО"/>
    <s v=""/>
    <s v="Зарегистрирован"/>
    <d v="2021-06-21T00:00:00"/>
    <s v=""/>
    <x v="276"/>
    <s v="3808120671"/>
    <s v="ГЕО-20/09000/00050/Р"/>
    <s v=""/>
    <s v="7"/>
    <s v="Типовой ДД"/>
    <x v="0"/>
    <s v="00000 Дополнительное соглашение к договору на оказание услуг/выполнение работ по замене перечня нарушений и штрафных санкций"/>
    <s v="00359-21"/>
    <s v=""/>
    <s v="00000 Дополнительное соглашение к договору на оказание услуг/выполнение работ по замене перечня нарушений и штрафных санкций"/>
    <s v="Об утверждении перечня нарушений и штрафных санкций в области ПБ и утверждении типовой формы дополнительного соглашения к договорам по замене перечня штрафных санкий в области ПБ"/>
    <s v="Глухарева Ю.Б."/>
    <s v=""/>
    <s v="Договорный документ"/>
    <s v="Блок корпоративной защиты"/>
    <s v="Созинов С.А."/>
    <s v="На бумажном носителе"/>
    <s v="С ограничением по срокам "/>
    <d v="2021-06-21T00:00:00"/>
    <d v="2022-12-31T00:00:00"/>
    <s v=""/>
    <s v="ПРОЧИЕ ДОГОВОРЫ"/>
    <s v="Не предполагает взаиморасчетов"/>
    <s v=""/>
    <s v=""/>
    <s v=""/>
    <s v=""/>
    <s v=""/>
    <s v=""/>
    <s v=""/>
    <s v="нет"/>
    <s v="нет"/>
    <s v=""/>
    <s v=""/>
    <s v=""/>
    <s v=""/>
    <s v="нет"/>
  </r>
  <r>
    <s v="Газпромнефть-ГЕО, ООО"/>
    <s v="0000103052"/>
    <s v="Зарегистрирован"/>
    <d v="2022-04-29T00:00:00"/>
    <s v=""/>
    <x v="148"/>
    <s v="563900109424"/>
    <s v=""/>
    <s v="ГЕО-22/04300/00099/Р"/>
    <s v="ГЕО-22/04300/00099/Р"/>
    <s v="Нетиповой ДД"/>
    <x v="2"/>
    <s v=""/>
    <s v="00359-22"/>
    <s v=""/>
    <s v="Договор аренды земельного участка"/>
    <s v="для строительства промышленных и иных объектов, а именно (но не ограничиваясь) для размещения бурового оборудования при бурении скважины 401ПО Западно-Рубежинск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2-04-29T00:00:00"/>
    <d v="2023-02-28T00:00:00"/>
    <s v="Д-61"/>
    <s v="Договор аренды недвижимости"/>
    <s v="Расходная часть"/>
    <s v="Стоимостной"/>
    <s v="13%"/>
    <s v=""/>
    <s v=""/>
    <s v="1 939 666.63"/>
    <s v="1 687 509.97"/>
    <s v="252 156.66"/>
    <s v="нет"/>
    <s v="нет"/>
    <s v=""/>
    <s v=""/>
    <s v=""/>
    <s v=""/>
    <s v="нет"/>
  </r>
  <r>
    <s v="Газпромнефть-ГЕО, ООО"/>
    <s v="0000037846"/>
    <s v="Зарегистрирован"/>
    <d v="2023-07-10T00:00:00"/>
    <s v=""/>
    <x v="26"/>
    <s v="8905032518"/>
    <s v="№ ГЕО-22/09000/00057/Р/4/ИТО-Д/ВГС"/>
    <s v=""/>
    <s v="GEO-KAM-INT-mr001.4.MS"/>
    <s v="Нетиповой ДД"/>
    <x v="3"/>
    <s v=""/>
    <s v="00359-23"/>
    <s v=""/>
    <s v="заказ GEO-KAM-INT-mr001.4.MS к договору ГЕО-22/09000/00057/Р/4/ИТО-Д/ВГС от 25.11.2022г"/>
    <s v="БЗ на услугу доступ в интернет по адресу РФ, СПб, ул. Репищева, д. 20"/>
    <s v="Сорокин И.М."/>
    <s v=""/>
    <s v="Договорный документ"/>
    <s v="Блок геологии и разработки"/>
    <s v="Аксенов М.А."/>
    <s v="На бумажном носителе"/>
    <s v="С ограничением по срокам "/>
    <d v="2023-07-10T00:00:00"/>
    <d v="2024-08-31T00:00:00"/>
    <s v="Д-54"/>
    <s v="Договор возмездного оказания услуг"/>
    <s v="Расходная часть"/>
    <s v="Стоимостной"/>
    <s v="20%"/>
    <s v=""/>
    <s v=""/>
    <s v="85 116.00"/>
    <s v="70 930.00"/>
    <s v="14 186.00"/>
    <s v="нет"/>
    <s v="нет"/>
    <s v=""/>
    <s v=""/>
    <s v=""/>
    <s v=""/>
    <s v="нет"/>
  </r>
  <r>
    <s v="Газпромнефть-ГЕО, ООО"/>
    <s v="0000047475"/>
    <s v="Зарегистрирован"/>
    <d v="2024-06-18T00:00:00"/>
    <s v=""/>
    <x v="273"/>
    <s v="7708096662"/>
    <s v=""/>
    <s v="ГЕО-24/33200/00106"/>
    <s v="ГЕО-24/33200/00106"/>
    <s v="Типовой ДД"/>
    <x v="1"/>
    <s v="33200 Соглашение об электронном документообороте"/>
    <s v="00359-24"/>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Договорный документ"/>
    <s v="Финансовое управление"/>
    <s v="Ковтун М.А."/>
    <s v="ЭП"/>
    <s v="С ограничением по срокам "/>
    <d v="2024-06-18T00:00:00"/>
    <d v="2027-02-26T00:00:00"/>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регистрирован"/>
    <d v="2022-05-02T00:00:00"/>
    <s v=""/>
    <x v="277"/>
    <s v=""/>
    <s v=""/>
    <s v="ГЕО-22/09000/00093/Р"/>
    <s v="ГЕО-22/09000/00093/Р"/>
    <s v="Типовой ДД"/>
    <x v="2"/>
    <s v="09000 Договор на возмездное оказание услуг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90804 по КТ-777)"/>
    <s v="00360-22"/>
    <s v=""/>
    <s v="09000 Договор на возмездное оказание услуг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90804 по КТ-777)"/>
    <s v="Выполнение по заданию Заказчика услуги по оформлению, организации, бронированию и продаже: авиа/железнодорожных билетов на международные и внутренние направления, гостиничных номеров, предоставление трансферов, оказание паспортно-визовой поддержки и организации проведения мероприятий для ООО &quot;ГПН-ГЕО&quot;"/>
    <s v="Рузимуродов И.П."/>
    <s v="Буракова Ольга Владимировна "/>
    <s v="Договорный документ"/>
    <s v="Управление закупок работ и услуг"/>
    <s v="Буракова О.В."/>
    <s v="На бумажном носителе"/>
    <s v="С ограничением по срокам "/>
    <d v="2022-05-02T00:00:00"/>
    <d v="2025-04-30T00:00:00"/>
    <s v="Д-46"/>
    <s v="Договор возмездного оказания услуг"/>
    <s v="Расходная часть"/>
    <s v="Стоимостной"/>
    <s v="20%"/>
    <s v=""/>
    <s v="109956857.7"/>
    <s v="417 565 434.94"/>
    <s v="347 971 195.78"/>
    <s v="69 594 239.16"/>
    <s v="да"/>
    <s v="нет"/>
    <s v=""/>
    <s v=""/>
    <s v=""/>
    <s v=""/>
    <s v="нет"/>
  </r>
  <r>
    <s v="Газпромнефть-ГЕО, ООО"/>
    <s v="0000037846"/>
    <s v="Зарегистрирован"/>
    <d v="2023-07-10T00:00:00"/>
    <s v=""/>
    <x v="26"/>
    <s v="8905032518"/>
    <s v="№ ГЕО-22/09000/00057/Р/4/ИТО-Д/ВГС"/>
    <s v=""/>
    <s v="GEO-SAL-mr001.3.MS"/>
    <s v="Нетиповой ДД"/>
    <x v="3"/>
    <s v=""/>
    <s v="00360-23"/>
    <s v=""/>
    <s v="заказ GEO-SAL-mr001.3.MS  к договору ГЕО-22/09000/00057/Р/4/ИТО-Д/ВГС от 25.11.2022г"/>
    <s v="БЗ на услугу предоставление канала передачи данных по адресу РФ, Красноярский край, Эвенкийский р-он, пл. Салаирская"/>
    <s v="Сорокин И.М."/>
    <s v=""/>
    <s v="Договорный документ"/>
    <s v="Блок геологии и разработки"/>
    <s v="Аксенов М.А."/>
    <s v="На бумажном носителе"/>
    <s v="С ограничением по срокам "/>
    <d v="2023-07-10T00:00:00"/>
    <d v="2024-08-31T00:00:00"/>
    <s v="Д-54"/>
    <s v="Договор возмездного оказания услуг"/>
    <s v="Расходная часть"/>
    <s v="Стоимостной"/>
    <s v="20%"/>
    <s v=""/>
    <s v=""/>
    <s v="30 347 560.80"/>
    <s v="25 289 634.00"/>
    <s v="5 057 926.80"/>
    <s v="нет"/>
    <s v="нет"/>
    <s v=""/>
    <s v=""/>
    <s v=""/>
    <s v=""/>
    <s v="нет"/>
  </r>
  <r>
    <s v="Газпромнефть-ГЕО, ООО"/>
    <s v="0000047475"/>
    <s v="Зарегистрирован"/>
    <d v="2024-06-14T00:00:00"/>
    <d v="2024-06-26T00:00:00"/>
    <x v="273"/>
    <s v="7708096662"/>
    <s v=""/>
    <s v="ГЕО-24/26000/00109"/>
    <s v="ГЕО-24/26000/00109"/>
    <s v="Типовой ДД"/>
    <x v="1"/>
    <s v="26000 Соглашение о конфиденциальности с российским контрагентом"/>
    <s v="00360-24"/>
    <s v=""/>
    <s v="26000 Соглашение о конфиденциальности с российским контрагентом"/>
    <s v="В целях обеспечения неразглашения информации, составляющей коммерческую тайну и иной конфиденциальной информации при оказании услуг/выполнении работ по Договору"/>
    <s v="Малова Д.П."/>
    <s v="Малова Д.П."/>
    <s v="Договорный документ"/>
    <s v="Финансовое управление"/>
    <s v="Ковтун М.А."/>
    <s v="ЭП"/>
    <s v="С ограничением по срокам "/>
    <d v="2024-06-14T00:00:00"/>
    <d v="2027-02-26T00:00:00"/>
    <s v="Д-62"/>
    <s v="Соглашение о конфиденциальности"/>
    <s v="Не предполагает взаиморасчетов"/>
    <s v=""/>
    <s v=""/>
    <s v=""/>
    <s v=""/>
    <s v=""/>
    <s v=""/>
    <s v=""/>
    <s v="нет"/>
    <s v="нет"/>
    <s v=""/>
    <s v=""/>
    <s v=""/>
    <s v=""/>
    <s v="нет"/>
  </r>
  <r>
    <s v="Газпромнефть-ГЕО, ООО"/>
    <s v="0000044973"/>
    <s v="Зарегистрирован"/>
    <d v="2022-04-22T00:00:00"/>
    <s v=""/>
    <x v="158"/>
    <s v="7709413265"/>
    <s v="ГЕО-22/07100/00042/Р"/>
    <s v=""/>
    <s v="б/н"/>
    <s v="Нетиповой ДД"/>
    <x v="11"/>
    <s v=""/>
    <s v="00361-22"/>
    <s v=""/>
    <s v="ПУР к Договору № ГЕО-22/071000/00042/Р от 07.03.2022г."/>
    <s v="Урегулирование разногласий к договору с учетом ДС №1 к Договору № ГЕО-22/071000/00042/Р от 07.03.2022г. (прилагается)"/>
    <s v="Ушакова М.А."/>
    <s v=""/>
    <s v="Договорный документ"/>
    <s v="Блок бурения и ВСР"/>
    <s v="Гаврилов С.В."/>
    <s v="На бумажном носителе"/>
    <s v="С ограничением по срокам "/>
    <d v="2022-04-22T00:00:00"/>
    <d v="2023-03-15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37846"/>
    <s v="Зарегистрирован"/>
    <d v="2023-07-10T00:00:00"/>
    <s v=""/>
    <x v="26"/>
    <s v="8905032518"/>
    <s v="№ ГЕО-22/09000/00057/Р/4/ИТО-Д/ВГС"/>
    <s v=""/>
    <s v="GEO-SAL-mr001.4.MS"/>
    <s v="Нетиповой ДД"/>
    <x v="3"/>
    <s v=""/>
    <s v="00361-23"/>
    <s v=""/>
    <s v="заказ GEO-SAL-mr001.4.MS к договору ГЕО-22/09000/00057/Р/4/ИТО-Д/ВГС от 25.11.2022г"/>
    <s v="БЗ на услугу предоставление канала передачи данных по адресу РФ, Красноярский край, Эвенкийский р-он, пл. Салаирская"/>
    <s v="Сорокин И.М."/>
    <s v=""/>
    <s v="Договорный документ"/>
    <s v="Блок геологии и разработки"/>
    <s v="Аксенов М.А."/>
    <s v="На бумажном носителе"/>
    <s v="С ограничением по срокам "/>
    <d v="2023-07-10T00:00:00"/>
    <d v="2024-08-31T00:00:00"/>
    <s v="Д-54"/>
    <s v="Договор возмездного оказания услуг"/>
    <s v="Расходная часть"/>
    <s v="Стоимостной"/>
    <s v="20%"/>
    <s v=""/>
    <s v=""/>
    <s v="6 226 368.00"/>
    <s v="5 188 640.00"/>
    <s v="1 037 728.00"/>
    <s v="нет"/>
    <s v="нет"/>
    <s v=""/>
    <s v=""/>
    <s v=""/>
    <s v=""/>
    <s v="нет"/>
  </r>
  <r>
    <s v="Газпромнефть-ГЕО, ООО"/>
    <s v="0000081847"/>
    <s v="Зарегистрирован"/>
    <d v="2024-06-24T00:00:00"/>
    <d v="2024-06-25T00:00:00"/>
    <x v="275"/>
    <s v="6311138429"/>
    <s v=""/>
    <s v="ГЕО-24/33400/00113"/>
    <s v="ГЕО-24/33400/00113"/>
    <s v="Нетиповой ДД"/>
    <x v="1"/>
    <s v=""/>
    <s v="00361-24"/>
    <s v=""/>
    <s v="Соглашение СУДИР (ООО &quot;БТС&quot;)"/>
    <s v="Соглашение о безопасном использовании информационных систем"/>
    <s v="Васильева А.И."/>
    <s v="Черешников Е.Е."/>
    <s v="Договорный документ"/>
    <s v="Блок главного инженера"/>
    <s v="Трифонов А.В."/>
    <s v="ЭП"/>
    <s v="С ограничением по срокам "/>
    <d v="2024-06-24T00:00:00"/>
    <d v="2025-12-31T00:00:00"/>
    <s v="Д-82"/>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45789"/>
    <s v="Зарегистрирован"/>
    <d v="2021-03-22T00:00:00"/>
    <s v=""/>
    <x v="16"/>
    <s v="7838395487"/>
    <s v=""/>
    <s v="ГЕО-21/00000/00137"/>
    <s v="ГЕО-21/00000/00137"/>
    <s v="Нетиповой ДД"/>
    <x v="1"/>
    <s v=""/>
    <s v="00362-21"/>
    <s v=""/>
    <s v="Соглашение о передаче прав на миграцию данных из ГеоБП в КЛАД"/>
    <s v="Переход на новую платформу хранения данных КЛАД"/>
    <s v="Ябиров Р.З."/>
    <s v="Ябиров Р.З."/>
    <s v="Договорный документ"/>
    <s v="Газпромнефть-ГЕО, ООО"/>
    <s v="Аксенов М.А."/>
    <s v="На бумажном носителе"/>
    <s v="С ограничением по срокам "/>
    <d v="2021-03-22T00:00:00"/>
    <d v="2026-12-31T00:00:00"/>
    <s v="Д-3"/>
    <s v="ПРОЧИЕ ДОГОВОРЫ"/>
    <s v="Не предполагает взаиморасчетов"/>
    <s v=""/>
    <s v=""/>
    <s v=""/>
    <s v=""/>
    <s v=""/>
    <s v=""/>
    <s v=""/>
    <s v="нет"/>
    <s v="нет"/>
    <s v=""/>
    <s v=""/>
    <s v=""/>
    <s v=""/>
    <s v="нет"/>
  </r>
  <r>
    <s v="Газпромнефть-ГЕО, ООО"/>
    <s v="0000027645"/>
    <s v="Зарегистрирован"/>
    <d v="2022-04-25T00:00:00"/>
    <s v=""/>
    <x v="80"/>
    <s v="5501072608"/>
    <s v="ГЕО-18/18000/00046/Р "/>
    <s v=""/>
    <s v="19"/>
    <s v="Нетиповой ДД"/>
    <x v="12"/>
    <s v=""/>
    <s v="00362-22"/>
    <s v=""/>
    <s v="Приложение № 19 от 01.04.2022г. к Агентскому договору № ГЕО-18/18000/00046/Р от 06.12.2018 г."/>
    <s v="Внесение лимитов в договор на 2022 г. по проекту Титан"/>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4-25T00:00:00"/>
    <d v="2023-03-31T00:00:00"/>
    <s v="Д-56"/>
    <s v="Агентский договор"/>
    <s v="Расходная часть"/>
    <s v="Агентский"/>
    <s v="20%"/>
    <s v=""/>
    <s v=""/>
    <s v="61 891 200.00"/>
    <s v="51 576 000.00"/>
    <s v="10 315 200.00"/>
    <s v="нет"/>
    <s v="нет"/>
    <s v=""/>
    <s v=""/>
    <s v=""/>
    <s v=""/>
    <s v="нет"/>
  </r>
  <r>
    <s v="Газпромнефть-ГЕО, ООО"/>
    <s v="0000037846"/>
    <s v="Зарегистрирован"/>
    <d v="2023-07-10T00:00:00"/>
    <s v=""/>
    <x v="26"/>
    <s v="8905032518"/>
    <s v="№ ГЕО-22/09000/00057/Р/4/ИТО-Д/ВГС"/>
    <s v=""/>
    <s v="GEO-SAL-INT-mr001.4.MS"/>
    <s v="Нетиповой ДД"/>
    <x v="3"/>
    <s v=""/>
    <s v="00362-23"/>
    <s v=""/>
    <s v="заказ GEO-SAL-INT-mr001.4.MS к договору ГЕО-22/09000/00057/Р/4/ИТО-Д/ВГС от 25.11.2022г"/>
    <s v="БЗ на услугу доступ в интернет по адресу РФ, СПб, ул. Репищева, д. 20"/>
    <s v="Сорокин И.М."/>
    <s v=""/>
    <s v="Договорный документ"/>
    <s v="Блок геологии и разработки"/>
    <s v="Аксенов М.А."/>
    <s v="На бумажном носителе"/>
    <s v="С ограничением по срокам "/>
    <d v="2023-07-10T00:00:00"/>
    <d v="2024-08-31T00:00:00"/>
    <s v="Д-54"/>
    <s v="Договор возмездного оказания услуг"/>
    <s v="Расходная часть"/>
    <s v="Стоимостной"/>
    <s v="20%"/>
    <s v=""/>
    <s v=""/>
    <s v="85 116.00"/>
    <s v="70 930.00"/>
    <s v="14 186.00"/>
    <s v="нет"/>
    <s v="нет"/>
    <s v=""/>
    <s v=""/>
    <s v=""/>
    <s v=""/>
    <s v="нет"/>
  </r>
  <r>
    <s v="Газпромнефть-ГЕО, ООО"/>
    <s v="0000074279"/>
    <s v="Зарегистрирован"/>
    <d v="2024-06-17T00:00:00"/>
    <d v="2024-06-21T00:00:00"/>
    <x v="259"/>
    <s v="7203374117"/>
    <s v=""/>
    <s v="ГЕО-24/33200/00101"/>
    <s v="ГЕО-24/33200/00101"/>
    <s v="Типовой ДД"/>
    <x v="1"/>
    <s v="33200 Соглашение об электронном документообороте"/>
    <s v="00362-24"/>
    <s v=""/>
    <s v="33200 Соглашение об электронном документообороте"/>
    <s v="с целью использования электронного документооборота при исполнении договорных обязательств "/>
    <s v="Коваленко М.В."/>
    <s v="Переслегин М.В."/>
    <s v="Договорный документ"/>
    <s v="Блок геологии и разработки"/>
    <s v="Ковтун М.А."/>
    <s v="ЭП"/>
    <s v="Без сроков "/>
    <d v="2024-06-17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регистрирован"/>
    <d v="2021-06-16T00:00:00"/>
    <s v=""/>
    <x v="278"/>
    <s v=""/>
    <s v="ГЕО-20/09000/00151/Р/ГСН-20/09000/Д/НС-03.3.1"/>
    <s v=""/>
    <s v="1"/>
    <s v="Нетиповой ДД"/>
    <x v="0"/>
    <s v=""/>
    <s v="00363-21"/>
    <s v=""/>
    <s v="Дополнительное соглашение № 1 к договору оказания услуг № ГЕО-20/09000/00151/Р (ГСН-20/09000/01444/Д/НС-03.3.1) от 18.09.2020 г."/>
    <s v="Оказание услуг по своевременному обеспечению и обслуживанию средств индивидуальной защиты (СИЗ) работников"/>
    <s v="Петушкова В.Е."/>
    <s v=""/>
    <s v="Договорный документ"/>
    <s v="Управление производственной безопасности"/>
    <s v="Власов М.М."/>
    <s v="На бумажном носителе"/>
    <s v="С ограничением по срокам "/>
    <d v="2021-06-01T00:00:00"/>
    <d v="2021-12-17T00:00:00"/>
    <s v=""/>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00059"/>
    <s v="Закрыт"/>
    <d v="2022-04-29T00:00:00"/>
    <s v=""/>
    <x v="131"/>
    <s v="8905000428"/>
    <s v=""/>
    <s v="ГЕО-22/09000/00102/Д"/>
    <s v="ГЕО-22/09000/00102/Д"/>
    <s v="Нетиповой ДД"/>
    <x v="2"/>
    <s v=""/>
    <s v="00363-22"/>
    <s v=""/>
    <s v="Консалтинговый договор"/>
    <s v="Оказание услуг по теме «Подбор оптимальной технологии закачивания скважин и проведения ГРП на Вынгаяхинском месторождении»"/>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2-05-04T00:00:00"/>
    <d v="2022-12-31T00:00:00"/>
    <s v="Д-16"/>
    <s v="Договор возмездного оказания услуг"/>
    <s v="Доходная часть"/>
    <s v="Стоимостной"/>
    <s v="20%"/>
    <s v=""/>
    <s v=""/>
    <s v="51 029 313.02"/>
    <s v="42 524 427.52"/>
    <s v="8 504 885.50"/>
    <s v="нет"/>
    <s v="нет"/>
    <s v=""/>
    <s v=""/>
    <s v=""/>
    <s v=""/>
    <s v="нет"/>
  </r>
  <r>
    <s v="Газпромнефть-ГЕО, ООО"/>
    <s v="0000037846"/>
    <s v="Зарегистрирован"/>
    <d v="2023-07-10T00:00:00"/>
    <s v=""/>
    <x v="26"/>
    <s v="8905032518"/>
    <s v="№ ГЕО-22/09000/00057/Р/4/ИТО-Д/ВГС"/>
    <s v=""/>
    <s v="GEO-SAL-mr001.6"/>
    <s v="Нетиповой ДД"/>
    <x v="3"/>
    <s v=""/>
    <s v="00363-23"/>
    <s v=""/>
    <s v="заказ GEO-SAL-mr001.6  к договору ГЕО-22/09000/00057/Р/4/ИТО-Д/ВГС от 25.11.2022г"/>
    <s v="БЗ на услугу предоставление корпоративной телефонии по адресу РФ, Красноярский край, Эвенкийский р-он, пл. Салаирская"/>
    <s v="Сорокин И.М."/>
    <s v=""/>
    <s v="Договорный документ"/>
    <s v="Блок геологии и разработки"/>
    <s v="Аксенов М.А."/>
    <s v="На бумажном носителе"/>
    <s v="С ограничением по срокам "/>
    <d v="2023-07-10T00:00:00"/>
    <d v="2024-08-31T00:00:00"/>
    <s v="Д-54"/>
    <s v="Договор возмездного оказания услуг"/>
    <s v="Расходная часть"/>
    <s v="Стоимостной"/>
    <s v="20%"/>
    <s v=""/>
    <s v=""/>
    <s v="94 908.00"/>
    <s v="79 090.00"/>
    <s v="15 818.00"/>
    <s v="нет"/>
    <s v="нет"/>
    <s v=""/>
    <s v=""/>
    <s v=""/>
    <s v=""/>
    <s v="нет"/>
  </r>
  <r>
    <s v="Газпромнефть-ГЕО, ООО"/>
    <s v="0000060954"/>
    <s v="Подписание ЭП контрагентом"/>
    <d v="2024-06-07T00:00:00"/>
    <s v=""/>
    <x v="75"/>
    <s v="5603007580"/>
    <s v="ГЕО-22/10000/00036/Р"/>
    <s v=""/>
    <s v="9"/>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363-24"/>
    <s v=""/>
    <s v="ДС 9 к к договору № ГЕО-22/10000/00036/Р от 14.02.2022г. "/>
    <s v="Внесение изменений в договор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Мячина М.В."/>
    <s v="Рымаренко А.А."/>
    <s v="Договорный документ"/>
    <s v="Отдел подготовительных работ и экономического анализа"/>
    <s v="Трифонов А.В."/>
    <s v="ЭП"/>
    <s v="До исполнения обязательств"/>
    <d v="2024-06-07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08602"/>
    <s v="Зарегистрирован"/>
    <d v="2021-06-16T00:00:00"/>
    <s v=""/>
    <x v="32"/>
    <s v="5504036333"/>
    <s v="ГПН-18/09000/02142/Р от 07 сентября 2018 г."/>
    <s v=""/>
    <s v="Дополнительное соглашение №10"/>
    <s v="Нетиповой ДД"/>
    <x v="0"/>
    <s v=""/>
    <s v="00364-21"/>
    <s v=""/>
    <s v="Дополнительное соглашение №10 к Договору о выполнении операторских работ и оказании операторских услуг (проект Южный оренбург, КНЗР)"/>
    <s v="увеличение зарат на проектное сопровождение в 2021г. (на основнии прогноза 3+9) без увеличения общей стоимости программы выполнения работ и оказания услуг по КНЗР; снижение % рентабельности с 5% до 4%."/>
    <s v="Частухина Е.В."/>
    <s v="Частухина Е.В."/>
    <s v="Договорный документ"/>
    <s v="Управление экономического планирования и анализа"/>
    <s v="Шакирзянов Л.Н."/>
    <s v="На бумажном носителе"/>
    <s v="С ограничением по срокам "/>
    <d v="2021-05-01T00:00:00"/>
    <d v="2022-12-31T00:00:00"/>
    <s v="Д-18"/>
    <s v="ПРОЧИЕ ДОГОВОРЫ"/>
    <s v="Доходная часть"/>
    <s v="Стоимостной"/>
    <s v="20%"/>
    <s v=""/>
    <s v=""/>
    <s v="6 550 834 033.42"/>
    <s v="5 459 028 361.18"/>
    <s v="1 091 805 672.24"/>
    <s v="нет"/>
    <s v="нет"/>
    <s v=""/>
    <s v=""/>
    <s v=""/>
    <s v=""/>
    <s v="нет"/>
  </r>
  <r>
    <s v="Газпромнефть-ГЕО, ООО"/>
    <s v="0000000059"/>
    <s v="Закрыт"/>
    <d v="2022-04-29T00:00:00"/>
    <s v=""/>
    <x v="131"/>
    <s v="8905000428"/>
    <s v=""/>
    <s v="ГЕО-22/09000/00101/Д"/>
    <s v="ГЕО-22/09000/00101/Д"/>
    <s v="Нетиповой ДД"/>
    <x v="2"/>
    <s v=""/>
    <s v="00364-22"/>
    <s v=""/>
    <s v="Договор возмездного оказания услуг"/>
    <s v="Оказание услуг по теме «Сопровождение полевых работ по строительству многоствольных скважин по уровню сложности TAML-3 на Карамовском месторождении»_x000d__x000a__x000d__x000a_"/>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2-05-04T00:00:00"/>
    <d v="2022-12-31T00:00:00"/>
    <s v="Д-16"/>
    <s v="Договор возмездного оказания услуг"/>
    <s v="Доходная часть"/>
    <s v="Стоимостной"/>
    <s v="20%"/>
    <s v=""/>
    <s v=""/>
    <s v="26 193 753.02"/>
    <s v="21 828 127.52"/>
    <s v="4 365 625.50"/>
    <s v="нет"/>
    <s v="нет"/>
    <s v=""/>
    <s v=""/>
    <s v=""/>
    <s v=""/>
    <s v="нет"/>
  </r>
  <r>
    <s v="Газпромнефть-ГЕО, ООО"/>
    <s v="0000056917"/>
    <s v="Зарегистрирован"/>
    <d v="2023-07-06T00:00:00"/>
    <s v=""/>
    <x v="237"/>
    <s v="7802076166"/>
    <s v=""/>
    <s v="ГЕО-23/26000/00107"/>
    <s v="ГЕО-23/26000/00107"/>
    <s v="Типовой ДД"/>
    <x v="1"/>
    <s v="26000 Соглашение о конфиденциальности с российским контрагентом"/>
    <s v="00364-23"/>
    <s v=""/>
    <s v="26000 Соглашение о конфиденциальности с российским контрагентом"/>
    <s v="Неразглашение информации, составляющей коммерческую тайну"/>
    <s v="Аршинина М.Н."/>
    <s v="Аршинина М.Н."/>
    <s v="Договорный документ"/>
    <s v="Блок корпоративной защиты"/>
    <s v="Созинов С.А."/>
    <s v="На бумажном носителе"/>
    <s v="С ограничением по срокам "/>
    <d v="2023-05-22T00:00:00"/>
    <d v="2026-05-22T00:00:00"/>
    <s v="Д-60"/>
    <s v="Соглашение о конфиденциальности"/>
    <s v="Не предполагает взаиморасчетов"/>
    <s v=""/>
    <s v=""/>
    <s v=""/>
    <s v=""/>
    <s v=""/>
    <s v=""/>
    <s v=""/>
    <s v="нет"/>
    <s v="нет"/>
    <s v=""/>
    <s v=""/>
    <s v=""/>
    <s v=""/>
    <s v="нет"/>
  </r>
  <r>
    <s v="Газпромнефть-ГЕО, ООО"/>
    <s v="0000111062"/>
    <s v="Зарегистрирован"/>
    <d v="2024-05-13T00:00:00"/>
    <s v=""/>
    <x v="279"/>
    <s v="2411028461"/>
    <s v=""/>
    <s v="ГЕО-24/33200/00100"/>
    <s v="ГЕО-24/33200/00100"/>
    <s v="Типовой ДД"/>
    <x v="1"/>
    <s v="33200 Соглашение об электронном документообороте"/>
    <s v="00364-24"/>
    <s v=""/>
    <s v="33200 Соглашение об электронном документообороте"/>
    <s v="Принятие объемов оказанных услуг с использованием электронного документооборота "/>
    <s v="Табуева М.А."/>
    <s v="Евстигнеев В.А."/>
    <s v="Договорный документ"/>
    <s v="Программы проектов производственной безопасности в ГРР"/>
    <s v="Аксенов М.А."/>
    <s v="На бумажном носителе"/>
    <s v="До исполнения обязательств"/>
    <d v="2024-05-13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3273"/>
    <s v="Закрыт"/>
    <d v="2022-03-31T00:00:00"/>
    <s v=""/>
    <x v="21"/>
    <s v="5610218014"/>
    <s v=""/>
    <s v="ГЕО-22/20000/00109/Д"/>
    <s v="ГЕО-22/20000/00109/Д"/>
    <s v="Нетиповой ДД"/>
    <x v="2"/>
    <s v=""/>
    <s v="00365-22"/>
    <s v=""/>
    <s v="Cогласование договора с ВЗЛ ООО &quot;Газпромнефть-Оренбург&quot;"/>
    <s v="Договор возмездного оказание услуги"/>
    <s v="Хохлов А.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2-05-16T00:00:00"/>
    <d v="2022-12-31T00:00:00"/>
    <s v="Д-61"/>
    <s v="Агентский договор"/>
    <s v="Доходная часть"/>
    <s v="Агентский"/>
    <s v="20%"/>
    <s v=""/>
    <s v=""/>
    <s v="21 717 379.49"/>
    <s v="18 097 816.24"/>
    <s v="3 619 563.25"/>
    <s v="нет"/>
    <s v="нет"/>
    <s v=""/>
    <s v=""/>
    <s v=""/>
    <s v=""/>
    <s v="нет"/>
  </r>
  <r>
    <s v="Газпромнефть-ГЕО, ООО"/>
    <s v="0000061300"/>
    <s v="Зарегистрирован"/>
    <d v="2023-06-30T00:00:00"/>
    <s v=""/>
    <x v="191"/>
    <s v="5603011386"/>
    <s v="ГЕО-22/09000/00066/Р"/>
    <s v=""/>
    <s v="7"/>
    <s v="Нетиповой ДД"/>
    <x v="0"/>
    <s v=""/>
    <s v="00365-23"/>
    <s v=""/>
    <s v="ДС №7 к Договору № ГЕО-22/09000/00066/Р от 30.03.2022 г."/>
    <s v="Продление срока действия договора, срока оказания услуг. Перераспределение объемов. Перераспределение между ставками."/>
    <s v="Безруков А.А."/>
    <s v="Веселкин А.С."/>
    <s v="Договорный документ"/>
    <s v="Блок бурения и ВСР"/>
    <s v="Трифонов А.В."/>
    <s v="ЭП"/>
    <s v="До исполнения обязательств"/>
    <d v="2023-06-30T00:00:00"/>
    <s v=""/>
    <s v="Д-33"/>
    <s v="Договор возмездного оказания услуг"/>
    <s v="Не предполагает взаиморасчетов"/>
    <s v="Стоимостной"/>
    <s v=""/>
    <s v=""/>
    <s v=""/>
    <s v=""/>
    <s v=""/>
    <s v=""/>
    <s v="нет"/>
    <s v="нет"/>
    <s v=""/>
    <s v=""/>
    <s v=""/>
    <s v=""/>
    <s v="нет"/>
  </r>
  <r>
    <s v="Газпромнефть-ГЕО, ООО"/>
    <s v=""/>
    <s v="Проект"/>
    <s v=""/>
    <s v=""/>
    <x v="280"/>
    <s v=""/>
    <s v=""/>
    <s v=""/>
    <s v=""/>
    <s v="Типовой ДД"/>
    <x v="2"/>
    <s v="00000 Тестовая форма для обучения"/>
    <s v="00365-24"/>
    <s v=""/>
    <s v="тесто обучение"/>
    <s v=""/>
    <s v="Герасимова О.А."/>
    <s v=""/>
    <s v="Договорный документ"/>
    <s v="Отдел административной поддержки бизнеса"/>
    <s v="Буракова О.В."/>
    <s v="ЭП"/>
    <s v="С ограничением по срокам "/>
    <d v="2024-06-10T00:00:00"/>
    <d v="2024-06-13T00:00:00"/>
    <s v="Д-33"/>
    <s v="Договор возмездного оказания услуг"/>
    <s v="Расходная часть"/>
    <s v="Тарифный"/>
    <s v=""/>
    <s v=""/>
    <s v=""/>
    <s v=""/>
    <s v=""/>
    <s v=""/>
    <s v="нет"/>
    <s v="нет"/>
    <s v=""/>
    <s v=""/>
    <s v=""/>
    <s v=""/>
    <s v="нет"/>
  </r>
  <r>
    <s v="Газпромнефть-ГЕО, ООО"/>
    <s v="0000066687"/>
    <s v="Зарегистрирован"/>
    <d v="2021-06-15T00:00:00"/>
    <s v=""/>
    <x v="161"/>
    <s v="9909012867"/>
    <s v="ГЕО-21/10421/00132/Р"/>
    <s v=""/>
    <s v="1"/>
    <s v="Нетиповой ДД"/>
    <x v="0"/>
    <s v=""/>
    <s v="00366-21"/>
    <s v=""/>
    <s v="ДС№ 1 к Договору на проведение операции по закачке азота в пласт № ГЕО-21/10421/00132/Р от 14 июня 2021 г."/>
    <s v="Исключение положения о лимите ответственности Заказчика перед Подрядчиком (типовые условия для ДД с компаниями группы Шлюмберже) согласно протоколу ЗССГ №ПТ-НК-47/283_x000d__x000a_Договор заключался по типовой форме, ограничивающей лимит ответственности Заказчика (п. 15.11)_x000d__x000a_"/>
    <s v="Шабалин С.В."/>
    <s v="Рымаренко А.А."/>
    <s v="Договорный документ"/>
    <s v="Блок бурения и ВСР"/>
    <s v="Гаврилов С.В."/>
    <s v="На бумажном носителе"/>
    <s v="С ограничением по срокам "/>
    <d v="2021-06-15T00:00:00"/>
    <d v="2021-12-31T00:00:00"/>
    <s v=""/>
    <s v="Аренда азотной установки для скважин"/>
    <s v="Не предполагает взаиморасчетов"/>
    <s v=""/>
    <s v=""/>
    <s v=""/>
    <s v=""/>
    <s v=""/>
    <s v=""/>
    <s v=""/>
    <s v="нет"/>
    <s v="нет"/>
    <s v=""/>
    <s v=""/>
    <s v=""/>
    <s v=""/>
    <s v="нет"/>
  </r>
  <r>
    <s v="Газпромнефть-ГЕО, ООО"/>
    <s v="0000045789"/>
    <s v="Зарегистрирован"/>
    <d v="2022-04-29T00:00:00"/>
    <s v=""/>
    <x v="16"/>
    <s v="7838395487"/>
    <s v="ГЕО-21/11708/00165/Р//НТЦ-21/09000/00768/Д "/>
    <s v=""/>
    <s v="НТЦ-00670-22Д-ГЕО"/>
    <s v="Нетиповой ДД"/>
    <x v="3"/>
    <s v=""/>
    <s v="00366-22"/>
    <s v=""/>
    <s v="Создание сейсмогеологических моделей и геологическое сопровождение работ по проекту Ач ННГ"/>
    <s v="Детализация сейсмогеологической модели (СГМ) ключевых объектов ачимовской толщи Ноябрьского региона для уточнения основных неопределенностей"/>
    <s v="Ябиров Р.З."/>
    <s v=""/>
    <s v="Договорный документ"/>
    <s v="Блок геологии и разработки"/>
    <s v="Аксенов М.А."/>
    <s v="На бумажном носителе"/>
    <s v="С ограничением по срокам "/>
    <d v="2022-04-29T00:00:00"/>
    <d v="2022-12-30T00:00:00"/>
    <s v="Д-54"/>
    <s v="Договор на выполнение НИР, ОКР и технологических работ"/>
    <s v="Расходная часть"/>
    <s v="Рамочный"/>
    <s v="20%"/>
    <s v=""/>
    <s v=""/>
    <s v="107 713 008.00"/>
    <s v="89 760 840.00"/>
    <s v="17 952 168.00"/>
    <s v="нет"/>
    <s v="нет"/>
    <s v=""/>
    <s v=""/>
    <s v=""/>
    <s v=""/>
    <s v="нет"/>
  </r>
  <r>
    <s v="Газпромнефть-ГЕО, ООО"/>
    <s v="0000057796"/>
    <s v="Зарегистрирован"/>
    <d v="2023-07-05T00:00:00"/>
    <s v=""/>
    <x v="109"/>
    <s v="5003028148"/>
    <s v="ГЕО-23/10000/00093/Р+ ПР"/>
    <s v=""/>
    <s v="1"/>
    <s v="Нетиповой ДД"/>
    <x v="3"/>
    <s v=""/>
    <s v="00366-23"/>
    <s v=""/>
    <s v="НЗ №1 к ДОГОВОРУ № ГЕО-23/10000/00093/Р от 01.06.2023 г."/>
    <s v="Наряд-Заказ №1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
    <s v="Мормышев А.А."/>
    <s v="Хабибуллин Т.Ф."/>
    <s v="Договорный документ"/>
    <s v="Блок производственной безопасности"/>
    <s v="Михайлов Ю.А."/>
    <s v="На бумажном носителе"/>
    <s v="С ограничением по срокам "/>
    <d v="2023-07-06T00:00:00"/>
    <d v="2023-11-03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5231160"/>
    <s v="6 277 392.00"/>
    <s v="5 231 160.00"/>
    <s v="1 046 232.00"/>
    <s v="да"/>
    <s v="нет"/>
    <s v=""/>
    <s v=""/>
    <s v=""/>
    <s v=""/>
    <s v="нет"/>
  </r>
  <r>
    <s v="Газпромнефть-ГЕО, ООО"/>
    <s v="0000080408"/>
    <s v="Зарегистрирован"/>
    <d v="2024-06-10T00:00:00"/>
    <d v="2024-06-20T00:00:00"/>
    <x v="104"/>
    <s v="3812043780"/>
    <s v="ГЕО-22/11029/00172/Р"/>
    <s v=""/>
    <s v="3"/>
    <s v="Нетиповой ДД"/>
    <x v="4"/>
    <s v=""/>
    <s v="00366-24"/>
    <s v="4"/>
    <s v="Изм№3 к НЗ№4 к ДД №ГЕО-22/11029/00172/Р от 25.07.2022 с ООО &quot;СТС&quot; (Камовская)"/>
    <s v="Изм№3 к НЗ№4 к ДД №ГЕО-22/11029/00172/Р от 25.07.2022 с ООО &quot;СТС&quot; (Камовская)"/>
    <s v="Мормышев А.А."/>
    <s v="Бабаев Д.Г."/>
    <s v="Договорный документ"/>
    <s v="Департамент капитального строительства"/>
    <s v="Трифонов А.В."/>
    <s v="ЭП"/>
    <s v="До исполнения обязательств"/>
    <d v="2024-06-10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46 965 336.62"/>
    <s v="122 471 113.85"/>
    <s v="24 494 222.77"/>
    <s v="нет"/>
    <s v="нет"/>
    <s v=""/>
    <s v=""/>
    <s v=""/>
    <s v=""/>
    <s v="нет"/>
  </r>
  <r>
    <s v="Газпромнефть-ГЕО, ООО"/>
    <s v="0000048216"/>
    <s v="Зарегистрирован"/>
    <d v="2022-05-01T00:00:00"/>
    <s v=""/>
    <x v="38"/>
    <s v="8605013881"/>
    <s v=""/>
    <s v="ГЕО-22/20000/00100/Д"/>
    <s v="ГЕО-22/20000/00100/Д"/>
    <s v="Нетиповой ДД"/>
    <x v="2"/>
    <s v=""/>
    <s v="00367-22"/>
    <s v=""/>
    <s v="Агентский договор на организацию вертолетных авиаперевозок с АО «ПГО «Тюменьпромгеофизика»"/>
    <s v="Авиаперевозка персонала и груза КА"/>
    <s v="Титова Е.В."/>
    <s v="Титова Е.В."/>
    <s v="Договорный документ"/>
    <s v="Блок снабжения и закупок"/>
    <s v="Ковтун М.А."/>
    <s v="ЭП"/>
    <s v="С ограничением по срокам "/>
    <d v="2022-05-01T00:00:00"/>
    <d v="2022-12-31T00:00:00"/>
    <s v="Д-62"/>
    <s v="Агентский договор"/>
    <s v="Доходная часть"/>
    <s v="Агентский"/>
    <s v="20%"/>
    <s v=""/>
    <s v=""/>
    <s v="111 509.32"/>
    <s v="92 924.43"/>
    <s v="18 584.89"/>
    <s v="нет"/>
    <s v="нет"/>
    <s v=""/>
    <s v=""/>
    <s v=""/>
    <s v=""/>
    <s v="нет"/>
  </r>
  <r>
    <s v="Газпромнефть-ГЕО, ООО"/>
    <s v="0000076283"/>
    <s v="Зарегистрирован"/>
    <d v="2023-07-10T00:00:00"/>
    <s v=""/>
    <x v="28"/>
    <s v="4501174492"/>
    <s v="ГЕО-22/11000/00267/Р"/>
    <s v=""/>
    <s v="4"/>
    <s v="Нетиповой ДД"/>
    <x v="3"/>
    <s v=""/>
    <s v="00367-23"/>
    <s v=""/>
    <s v="НЗ №4 Уралгеопроект, ООО  к договору ГЕО-22/11000/00267/Р от 10.10.2022"/>
    <s v="НАРЯД-ЗАКАЗ №4 с ООО «Уралгеопроект». Выполнению инженерных изысканий для нужд ООО «ГПН-ГЕО»."/>
    <s v="Мормышев А.А."/>
    <s v=""/>
    <s v="Договорный документ"/>
    <s v="Управление проектно-изыскательских работ"/>
    <s v="Трифонов А.В."/>
    <s v="ЭП"/>
    <s v="До исполнения обязательств"/>
    <d v="2023-07-10T00:00:00"/>
    <s v=""/>
    <s v="Д-33"/>
    <s v="Капитальное строительство и ПИР"/>
    <s v="Расходная часть"/>
    <s v="Стоимостной"/>
    <s v="20%"/>
    <s v=""/>
    <s v="10456445.1"/>
    <s v="12 547 734.12"/>
    <s v="10 456 445.10"/>
    <s v="2 091 289.02"/>
    <s v="да"/>
    <s v="нет"/>
    <s v=""/>
    <s v=""/>
    <s v=""/>
    <s v=""/>
    <s v="нет"/>
  </r>
  <r>
    <s v="Газпромнефть-ГЕО, ООО"/>
    <s v="0000073438"/>
    <s v="Зарегистрирован"/>
    <d v="2024-07-02T00:00:00"/>
    <d v="2024-07-04T00:00:00"/>
    <x v="68"/>
    <s v="7720330291"/>
    <s v="ГЕО-21/08000/00296/Р"/>
    <s v=""/>
    <s v="19"/>
    <s v="Нетиповой ДД"/>
    <x v="7"/>
    <s v=""/>
    <s v="00367-24"/>
    <s v=""/>
    <s v="Заявка №19 ВНИГНИ №ГЕО-21/08000/00296/Р от 28.12.2021"/>
    <s v="Заявка №19 ВНИГНИ №ГЕО-21/08000/00296/Р от 28.12.2021"/>
    <s v="Мормышев А.А."/>
    <s v="Мустафин И.Р."/>
    <s v="Договорный документ"/>
    <s v="Блок геологии и разработки"/>
    <s v="Аксенов М.А."/>
    <s v="ЭП"/>
    <s v="С ограничением по срокам "/>
    <d v="2024-07-02T00:00:00"/>
    <d v="2024-12-31T00:00:00"/>
    <s v="Д-54"/>
    <s v="Договор на выполнение НИР, ОКР и технологических работ"/>
    <s v="Расходная часть"/>
    <s v="Стоимостной"/>
    <s v="20%"/>
    <s v=""/>
    <s v=""/>
    <s v="6 217 379.47"/>
    <s v="5 181 149.56"/>
    <s v="1 036 229.91"/>
    <s v="нет"/>
    <s v="нет"/>
    <s v=""/>
    <s v=""/>
    <s v=""/>
    <s v=""/>
    <s v="нет"/>
  </r>
  <r>
    <s v="Газпромнефть-ГЕО, ООО"/>
    <s v="0000057789"/>
    <s v="Зарегистрирован"/>
    <d v="2022-04-21T00:00:00"/>
    <s v=""/>
    <x v="186"/>
    <s v="6319065934"/>
    <s v="ГЕО-22/10000/00053/Р"/>
    <s v=""/>
    <s v="1"/>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68-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в договор условий применения усиленной квалифицированной электронной подписи"/>
    <s v="Мячина М.В."/>
    <s v="Мячина М.В."/>
    <s v="Договорный документ"/>
    <s v="Отдел подготовительных работ и экономического анализа"/>
    <s v="Гаврилов С.В."/>
    <s v="На бумажном носителе"/>
    <s v="До исполнения обязательств"/>
    <d v="2022-04-21T00:00:00"/>
    <s v=""/>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76283"/>
    <s v="Зарегистрирован"/>
    <d v="2023-07-10T00:00:00"/>
    <s v=""/>
    <x v="28"/>
    <s v="4501174492"/>
    <s v="ГЕО-22/11000/00267/Р"/>
    <s v=""/>
    <s v="3"/>
    <s v="Нетиповой ДД"/>
    <x v="3"/>
    <s v=""/>
    <s v="00368-23"/>
    <s v=""/>
    <s v="НЗ №3 Уралгеопроект, ООО  к договору ГЕО-22/11000/00267/Р от 10.10.2022"/>
    <s v="НАРЯД-ЗАКАЗ №3 с ООО «Уралгеопроект». Выполнению инженерных изысканий для нужд ООО «ГПН-ГЕО»."/>
    <s v="Мормышев А.А."/>
    <s v=""/>
    <s v="Договорный документ"/>
    <s v="Управление проектно-изыскательских работ"/>
    <s v="Трифонов А.В."/>
    <s v="ЭП"/>
    <s v="До исполнения обязательств"/>
    <d v="2023-07-10T00:00:00"/>
    <s v=""/>
    <s v="Д-33"/>
    <s v="Капитальное строительство и ПИР"/>
    <s v="Расходная часть"/>
    <s v="Стоимостной"/>
    <s v="20%"/>
    <s v=""/>
    <s v="20205462.82"/>
    <s v="24 246 555.38"/>
    <s v="20 205 462.82"/>
    <s v="4 041 092.56"/>
    <s v="да"/>
    <s v="нет"/>
    <s v=""/>
    <s v=""/>
    <s v=""/>
    <s v=""/>
    <s v="нет"/>
  </r>
  <r>
    <s v="Газпромнефть-ГЕО, ООО"/>
    <s v="0000084590"/>
    <s v="Зарегистрирован"/>
    <d v="2024-06-18T00:00:00"/>
    <d v="2024-06-19T00:00:00"/>
    <x v="61"/>
    <s v="7708277130"/>
    <s v="ГЕО-23/09000/00149/Р"/>
    <s v=""/>
    <s v="20"/>
    <s v="Нетиповой ДД"/>
    <x v="7"/>
    <s v=""/>
    <s v="00368-24"/>
    <s v=""/>
    <s v="Заявка № 20 к договору о предоставлении труда работников (персонала) № ГЕО-23/09000/00149/Р от 28.08.2023 г."/>
    <s v="Рассмотрение вопроса о возможности заключения Заявки № 20 на привлечение руководителя группы по производственной безопасности в сейсморазведке для проекта «Южный Оренбург» (СРР) в рамках Договора № ГЕО-23/09000/00149/Р от «28» августа 2023 г. со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
    <s v="Фокин Е.В."/>
    <s v=""/>
    <s v="Договорный документ"/>
    <s v="Управление производственной безопасности"/>
    <s v="Михайлов Ю.А."/>
    <s v="ЭП"/>
    <s v="С ограничением по срокам "/>
    <d v="2024-06-18T00:00:00"/>
    <d v="2024-09-15T00:00:00"/>
    <s v="Д-2"/>
    <s v="Договор возмездного оказания услуг"/>
    <s v="Расходная часть"/>
    <s v="Рамочный"/>
    <s v="20%"/>
    <s v=""/>
    <s v=""/>
    <s v="2 746 159.72"/>
    <s v="2 288 466.43"/>
    <s v="457 693.29"/>
    <s v="нет"/>
    <s v="нет"/>
    <s v=""/>
    <s v=""/>
    <s v=""/>
    <s v=""/>
    <s v="нет"/>
  </r>
  <r>
    <s v="Газпромнефть-ГЕО, ООО"/>
    <s v="0000047295"/>
    <s v="Зарегистрирован"/>
    <d v="2022-04-26T00:00:00"/>
    <s v=""/>
    <x v="150"/>
    <s v="7708639661"/>
    <s v="ГЕО-22/10419/00039/Р"/>
    <s v=""/>
    <s v="1"/>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69-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в договор условий применения усиленной квалифицированной электронной подписи"/>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4-26T00:00:00"/>
    <d v="2022-12-31T00:00:00"/>
    <s v="Д-58"/>
    <s v="Услуги  по свинчиванию и спуску труб и НКТ, включая оборудование, инженерную поддержку и инструменты. Запись и предоставлнение момента свинчивания в цифровом виде"/>
    <s v="Не предполагает взаиморасчетов"/>
    <s v="Стоимостной"/>
    <s v=""/>
    <s v=""/>
    <s v=""/>
    <s v=""/>
    <s v=""/>
    <s v=""/>
    <s v="нет"/>
    <s v="нет"/>
    <s v=""/>
    <s v=""/>
    <s v=""/>
    <s v=""/>
    <s v="нет"/>
  </r>
  <r>
    <s v="Газпромнефть-ГЕО, ООО"/>
    <s v="0000057789"/>
    <s v="Зарегистрирован"/>
    <d v="2023-06-30T00:00:00"/>
    <s v=""/>
    <x v="186"/>
    <s v="6319065934"/>
    <s v="ГЕО-23/20000/00077/Д"/>
    <s v=""/>
    <s v="1"/>
    <s v="Нетиповой ДД"/>
    <x v="0"/>
    <s v=""/>
    <s v="00369-23"/>
    <s v=""/>
    <s v="ДС 1 к ГЕО-23/20000/00077/Д с ООО &quot;ТехГеоБур&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3-06-30T00:00:00"/>
    <d v="2023-08-31T00:00:00"/>
    <s v="Д-56"/>
    <s v="Агентский договор"/>
    <s v="Доходная часть"/>
    <s v="Агентский"/>
    <s v="20%"/>
    <s v=""/>
    <s v=""/>
    <s v="422 722.18"/>
    <s v="352 268.48"/>
    <s v="70 453.70"/>
    <s v="нет"/>
    <s v="нет"/>
    <s v=""/>
    <s v=""/>
    <s v=""/>
    <s v=""/>
    <s v="нет"/>
  </r>
  <r>
    <s v="Газпромнефть-ГЕО, ООО"/>
    <s v="0000076283"/>
    <s v="Зарегистрирован"/>
    <d v="2024-06-17T00:00:00"/>
    <d v="2024-06-24T00:00:00"/>
    <x v="28"/>
    <s v="4501174492"/>
    <s v=""/>
    <s v="ГЕО-24/20000/00104/Д"/>
    <s v="ГЕО-24/20000/00104/Д"/>
    <s v="Типовой ДД"/>
    <x v="2"/>
    <s v="20000 Агентский договор на организацию вертолетных авиаперевозок"/>
    <s v="00369-24"/>
    <s v=""/>
    <s v="20000 Агентский договор на организацию вертолетных авиаперевозок ООО &quot;Уралгеопроект&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4-07-01T00:00:00"/>
    <d v="2024-12-31T00:00:00"/>
    <s v="Д-56"/>
    <s v="Агентский договор"/>
    <s v="Доходная часть"/>
    <s v="Агентский"/>
    <s v="20%"/>
    <s v=""/>
    <s v=""/>
    <s v="371 506.46"/>
    <s v="309 588.72"/>
    <s v="61 917.74"/>
    <s v="нет"/>
    <s v="нет"/>
    <s v=""/>
    <s v=""/>
    <s v=""/>
    <s v=""/>
    <s v="нет"/>
  </r>
  <r>
    <s v="Газпромнефть-ГЕО, ООО"/>
    <s v="0000060716"/>
    <s v="Зарегистрирован"/>
    <d v="2022-04-26T00:00:00"/>
    <s v=""/>
    <x v="18"/>
    <s v="7728803870"/>
    <s v="ГЕО-21/10303/00204/Р"/>
    <s v=""/>
    <s v="9"/>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370-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в договор условий применения усиленной квалифицированной электронной подписи"/>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19-04-26T00:00:00"/>
    <d v="2024-12-31T00:00:00"/>
    <s v="Д-58"/>
    <s v="Приготовление и инженерное сопровождение буровых растворов"/>
    <s v="Не предполагает взаиморасчетов"/>
    <s v="Стоимостной"/>
    <s v=""/>
    <s v=""/>
    <s v=""/>
    <s v=""/>
    <s v=""/>
    <s v=""/>
    <s v="нет"/>
    <s v="нет"/>
    <s v=""/>
    <s v=""/>
    <s v=""/>
    <s v=""/>
    <s v="нет"/>
  </r>
  <r>
    <s v="Газпромнефть-ГЕО, ООО"/>
    <s v="0000050778"/>
    <s v="Зарегистрирован"/>
    <d v="2023-07-07T00:00:00"/>
    <s v=""/>
    <x v="257"/>
    <s v="1433000147"/>
    <s v=""/>
    <s v="ГЕО-23/08000/00115/Д"/>
    <s v="ГЕО-23/08000/00115/Д"/>
    <s v="Нетиповой ДД"/>
    <x v="2"/>
    <s v=""/>
    <s v="00370-23"/>
    <s v=""/>
    <s v="Договор выполнения работ"/>
    <s v="Переобработка и интерпретация сейсморазведочных данных по Накынскому кимберлитовому полю с выдачей методиеских рекомендаций"/>
    <s v="Гулин В.Д."/>
    <s v="Гулин В.Д."/>
    <s v="Договорный документ"/>
    <s v="Блок геологии и разработки"/>
    <s v="Аксенов М.А."/>
    <s v="На бумажном носителе"/>
    <s v="С ограничением по срокам "/>
    <d v="2023-07-07T00:00:00"/>
    <d v="2023-10-31T00:00:00"/>
    <s v=""/>
    <s v="Договор на выполнение НИР, ОКР и технологических работ"/>
    <s v="Доходная часть"/>
    <s v="Стоимостной"/>
    <s v="20%"/>
    <s v=""/>
    <s v=""/>
    <s v="6 240 000.00"/>
    <s v="5 200 000.00"/>
    <s v="1 040 000.00"/>
    <s v="нет"/>
    <s v="нет"/>
    <s v=""/>
    <s v=""/>
    <s v=""/>
    <s v=""/>
    <s v="нет"/>
  </r>
  <r>
    <s v="Газпромнефть-ГЕО, ООО"/>
    <s v=""/>
    <s v="Проект"/>
    <s v=""/>
    <s v=""/>
    <x v="58"/>
    <s v=""/>
    <s v=""/>
    <s v=""/>
    <s v=""/>
    <s v="Типовой ДД"/>
    <x v="1"/>
    <s v="26000 Соглашение о конфиденциальности с российским контрагентом"/>
    <s v="00370-24"/>
    <s v=""/>
    <s v="26000 Соглашение о конфиденциальности с российским контрагентом"/>
    <s v=""/>
    <s v="Горшков С.М."/>
    <s v=""/>
    <s v="Договорный документ"/>
    <s v="Блок корпоративной защиты"/>
    <s v=""/>
    <s v=""/>
    <s v=""/>
    <s v=""/>
    <s v=""/>
    <s v=""/>
    <s v="Соглашение о конфиденциальности"/>
    <s v=""/>
    <s v=""/>
    <s v=""/>
    <s v=""/>
    <s v=""/>
    <s v=""/>
    <s v=""/>
    <s v=""/>
    <s v="нет"/>
    <s v="нет"/>
    <s v=""/>
    <s v=""/>
    <s v=""/>
    <s v=""/>
    <s v="нет"/>
  </r>
  <r>
    <s v="Газпромнефть-ГЕО, ООО"/>
    <s v="0000000059"/>
    <s v="Закрыт"/>
    <d v="2022-05-27T00:00:00"/>
    <s v=""/>
    <x v="131"/>
    <s v="8905000428"/>
    <s v="ГЕО-21/09000/00048/Д"/>
    <s v=""/>
    <s v="1"/>
    <s v="Нетиповой ДД"/>
    <x v="0"/>
    <s v=""/>
    <s v="00371-22"/>
    <s v=""/>
    <s v="Дополнительное соглашение №1"/>
    <s v="Дополнительное соглашение №1 к Рамочному договору на оказание услуг, связанных с реализацией задач в сфере управления проектом по поиску, разведке и разработки перспективных участков"/>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2-04-27T00:00:00"/>
    <d v="2023-12-31T00:00:00"/>
    <s v="Д-16"/>
    <s v="Договор возмездного оказания услуг"/>
    <s v="Не предполагает взаиморасчетов"/>
    <s v="Рамочный"/>
    <s v=""/>
    <s v=""/>
    <s v=""/>
    <s v=""/>
    <s v=""/>
    <s v=""/>
    <s v="нет"/>
    <s v="нет"/>
    <s v=""/>
    <s v=""/>
    <s v=""/>
    <s v=""/>
    <s v="нет"/>
  </r>
  <r>
    <s v="Газпромнефть-ГЕО, ООО"/>
    <s v="0000080408"/>
    <s v="Зарегистрирован"/>
    <d v="2023-07-01T00:00:00"/>
    <s v=""/>
    <x v="104"/>
    <s v="3812043780"/>
    <s v="ГЕО-23/20000/00073/Д"/>
    <s v=""/>
    <s v="1"/>
    <s v="Нетиповой ДД"/>
    <x v="0"/>
    <s v=""/>
    <s v="00371-23"/>
    <s v=""/>
    <s v="ДС 1 к ГЕО-23/20000/00073/Д  от 17.04.2023 с ООО &quot;СТС&quot;"/>
    <s v="Увеличение стоимости договора"/>
    <s v="Титова Е.В."/>
    <s v="Титова Е.В."/>
    <s v="Договорный документ"/>
    <s v="Блок снабжения и закупок"/>
    <s v="Титов А.В."/>
    <s v="ЭП"/>
    <s v="С ограничением по срокам "/>
    <d v="2023-07-01T00:00:00"/>
    <d v="2023-12-31T00:00:00"/>
    <s v="Д-56"/>
    <s v="Агентский договор"/>
    <s v="Доходная часть"/>
    <s v="Агентский"/>
    <s v="20%"/>
    <s v=""/>
    <s v=""/>
    <s v="216 589.82"/>
    <s v="180 491.52"/>
    <s v="36 098.30"/>
    <s v="нет"/>
    <s v="нет"/>
    <s v=""/>
    <s v=""/>
    <s v=""/>
    <s v=""/>
    <s v="нет"/>
  </r>
  <r>
    <s v="Газпромнефть-ГЕО, ООО"/>
    <s v=""/>
    <s v="Проект"/>
    <s v=""/>
    <s v=""/>
    <x v="58"/>
    <s v=""/>
    <s v=""/>
    <s v=""/>
    <s v=""/>
    <s v="Типовой ДД"/>
    <x v="1"/>
    <s v="26000 Соглашение о конфиденциальности с российским контрагентом"/>
    <s v="00371-24"/>
    <s v=""/>
    <s v="26000 Соглашение о конфиденциальности с российским контрагентом"/>
    <s v=""/>
    <s v="Горшков С.М."/>
    <s v=""/>
    <s v="Договорный документ"/>
    <s v="Блок корпоративной защиты"/>
    <s v=""/>
    <s v=""/>
    <s v=""/>
    <s v=""/>
    <s v=""/>
    <s v=""/>
    <s v="Соглашение о конфиденциальности"/>
    <s v=""/>
    <s v=""/>
    <s v=""/>
    <s v=""/>
    <s v=""/>
    <s v=""/>
    <s v=""/>
    <s v=""/>
    <s v="нет"/>
    <s v="нет"/>
    <s v=""/>
    <s v=""/>
    <s v=""/>
    <s v=""/>
    <s v="нет"/>
  </r>
  <r>
    <s v="Газпромнефть-ГЕО, ООО"/>
    <s v="0000087378"/>
    <s v="Зарегистрирован"/>
    <d v="2022-05-05T00:00:00"/>
    <s v=""/>
    <x v="97"/>
    <s v="7204203139"/>
    <s v="ГЕО-19/10156/00057/Р "/>
    <s v=""/>
    <s v="3/22-057"/>
    <s v="Нетиповой ДД"/>
    <x v="3"/>
    <s v=""/>
    <s v="00372-22"/>
    <s v=""/>
    <s v="Комплексные исследования керна скважины 178 Лескинского ЛУ "/>
    <s v="Исследование керна для построения геолого-гидродинамической модели пластов, проектирования бурения новых скважин с сохранением коллекторских свойств пластов, планированием эффективных ГТМ"/>
    <s v="Ябиров Р.З."/>
    <s v=""/>
    <s v="Договорный документ"/>
    <s v="Блок геологии и разработки"/>
    <s v="Аксенов М.А."/>
    <s v="На бумажном носителе"/>
    <s v="С ограничением по срокам "/>
    <d v="2022-05-05T00:00:00"/>
    <d v="2022-05-30T00:00:00"/>
    <s v="Д-54"/>
    <s v="Договор на выполнение НИР, ОКР и технологических работ"/>
    <s v="Расходная часть"/>
    <s v="Рамочный"/>
    <s v="20%"/>
    <s v=""/>
    <s v=""/>
    <s v="4 008 397.44"/>
    <s v="3 340 331.20"/>
    <s v="668 066.24"/>
    <s v="нет"/>
    <s v="нет"/>
    <s v=""/>
    <s v=""/>
    <s v=""/>
    <s v=""/>
    <s v="нет"/>
  </r>
  <r>
    <s v="Газпромнефть-ГЕО, ООО"/>
    <s v="0000108726"/>
    <s v="Доработка"/>
    <s v=""/>
    <s v=""/>
    <x v="281"/>
    <s v="026207530791"/>
    <s v=""/>
    <s v=""/>
    <s v=""/>
    <s v="Типовой ДД"/>
    <x v="2"/>
    <s v="25000 Договор об оказании услуг физическим лицом (без выезда на Лицензионные участки Заказчика)"/>
    <s v="00372-23"/>
    <s v=""/>
    <s v="25000 Договор об оказании услуг физическим лицом (без выезда на Лицензионные участки Заказчика)"/>
    <s v="Закупка услуги по управлению проектом создания прототипа сайта для программы «Когнитивная геология», а также подготовка специальных продуктов для научно-популярного онлайн-журнала «Газпром нефти» «Энергия+». "/>
    <s v="Анчина К.Г."/>
    <s v=""/>
    <s v="Договорный документ"/>
    <s v="Отдел по корпоративным коммуникациям"/>
    <s v="Масалкин Ю.В."/>
    <s v="На бумажном носителе"/>
    <s v="С ограничением по срокам "/>
    <d v="2023-07-17T00:00:00"/>
    <d v="2023-12-29T00:00:00"/>
    <s v=""/>
    <s v="Договор оказания услуг с физическим лицом"/>
    <s v="Расходная часть"/>
    <s v="Стоимостной"/>
    <s v="13%"/>
    <s v=""/>
    <s v=""/>
    <s v="1 110 000.00"/>
    <s v="965 700.00"/>
    <s v="144 300.00"/>
    <s v="нет"/>
    <s v="нет"/>
    <s v=""/>
    <s v=""/>
    <s v=""/>
    <s v=""/>
    <s v="нет"/>
  </r>
  <r>
    <s v="Газпромнефть-ГЕО, ООО"/>
    <s v="0000084590"/>
    <s v="Зарегистрирован"/>
    <d v="2024-06-17T00:00:00"/>
    <d v="2024-06-24T00:00:00"/>
    <x v="61"/>
    <s v="7708277130"/>
    <s v="ГЕО-23/09000/00149/Р"/>
    <s v=""/>
    <s v="1"/>
    <s v="Нетиповой ДД"/>
    <x v="4"/>
    <s v=""/>
    <s v="00372-24"/>
    <s v="7"/>
    <s v="Изменение №1 к Заявке №7 в рамках исполнения Договора № ГЕО-23/09000/00149/Р от «28» августа 2023 г. со ООО «Свифт"/>
    <s v="Предмет Заявки: Привлечение персонала по направлению «Производственная безопасность», ведущего специалиста по экологической безопасности – гидрогеолога в рамках и на условиях действующего договора № ГЕО-23/09000/00149/Р от «28» августа 2023 г."/>
    <s v="Фокин Е.В."/>
    <s v="Фокин Е.В."/>
    <s v="Договорный документ"/>
    <s v="Управление производственной безопасности"/>
    <s v="Михайлов Ю.А."/>
    <s v="ЭП"/>
    <s v="С ограничением по срокам "/>
    <d v="2024-06-17T00:00:00"/>
    <d v="2024-09-30T00:00:00"/>
    <s v="Д-2"/>
    <s v="Договор возмездного оказания услуг"/>
    <s v="Расходная часть"/>
    <s v="Рамочный"/>
    <s v="20%"/>
    <s v=""/>
    <s v=""/>
    <s v="1 725 142.10"/>
    <s v="1 437 618.42"/>
    <s v="287 523.68"/>
    <s v="нет"/>
    <s v="нет"/>
    <s v=""/>
    <s v=""/>
    <s v=""/>
    <s v=""/>
    <s v="нет"/>
  </r>
  <r>
    <s v="Газпромнефть-ГЕО, ООО"/>
    <s v="0000108726"/>
    <s v="Проект"/>
    <s v=""/>
    <s v=""/>
    <x v="281"/>
    <s v="026207530791"/>
    <s v=""/>
    <s v=""/>
    <s v=""/>
    <s v="Типовой ДД"/>
    <x v="1"/>
    <s v="26000 Договор о конфиденциальности с физическим лицом"/>
    <s v="00373-23"/>
    <s v=""/>
    <s v="26000 Договор о конфиденциальности с физическим лицом"/>
    <s v="Договор о конфиденциальности между ООО «ГПН-ГЕО» и физическим лицом - Анчиной Кристиной Геннадьевной."/>
    <s v="Анчина К.Г."/>
    <s v="Анчина К.Г."/>
    <s v="Договорный документ"/>
    <s v="Отдел по корпоративным коммуникациям"/>
    <s v="Созинов С.А."/>
    <s v="На бумажном носителе"/>
    <s v="С ограничением по срокам "/>
    <d v="2023-07-17T00:00:00"/>
    <d v="2023-12-29T00:00:00"/>
    <s v="Д-60"/>
    <s v=""/>
    <s v="Не предполагает взаиморасчетов"/>
    <s v="Стоимостной"/>
    <s v=""/>
    <s v=""/>
    <s v=""/>
    <s v=""/>
    <s v=""/>
    <s v=""/>
    <s v="нет"/>
    <s v="нет"/>
    <s v=""/>
    <s v=""/>
    <s v=""/>
    <s v=""/>
    <s v="нет"/>
  </r>
  <r>
    <s v="Газпромнефть-ГЕО, ООО"/>
    <s v="0000083900"/>
    <s v="Зарегистрирован"/>
    <d v="2022-04-30T00:00:00"/>
    <s v=""/>
    <x v="124"/>
    <s v=""/>
    <s v="ГЕО-20/11104/00153/Д"/>
    <s v=""/>
    <s v="4"/>
    <s v="Нетиповой ДД"/>
    <x v="0"/>
    <s v=""/>
    <s v="00374-22"/>
    <s v=""/>
    <s v="ДС №4 к ГЕО-20/11104/00153/Д ГЕОЛОГ ИНТЕРНЕШНЛ Б.В."/>
    <s v="Разовое увеличение срока оплаты по договору"/>
    <s v="Титова Е.В."/>
    <s v="Титова Е.В."/>
    <s v="Договорный документ"/>
    <s v="Блок снабжения и закупок"/>
    <s v="Титов А.В."/>
    <s v="На бумажном носителе"/>
    <s v="До исполнения обязательств"/>
    <d v="2022-01-01T00:00:00"/>
    <s v=""/>
    <s v="Д-56"/>
    <s v="Агентский договор"/>
    <s v="Не предполагает взаиморасчетов"/>
    <s v=""/>
    <s v=""/>
    <s v=""/>
    <s v=""/>
    <s v=""/>
    <s v=""/>
    <s v=""/>
    <s v="нет"/>
    <s v="нет"/>
    <s v=""/>
    <s v=""/>
    <s v=""/>
    <s v=""/>
    <s v="нет"/>
  </r>
  <r>
    <s v="Газпромнефть-ГЕО, ООО"/>
    <s v="0000108726"/>
    <s v="Зарегистрирован"/>
    <d v="2023-07-17T00:00:00"/>
    <s v=""/>
    <x v="281"/>
    <s v="026207530791"/>
    <s v=""/>
    <s v="ГЕО-23/25000/00113/Р"/>
    <s v="ГЕО-23/25000/00113/Р"/>
    <s v="Типовой ДД"/>
    <x v="2"/>
    <s v="25000 Договор об оказании услуг физическим лицом (без выезда на Лицензионные участки Заказчика)"/>
    <s v="00374-23"/>
    <s v=""/>
    <s v="25000 Договор об оказании услуг физическим лицом (без выезда на Лицензионные участки Заказчика)"/>
    <s v="Закупка услуги по управлению проектом создания прототипа сайта для программы «Когнитивная геология», а также подготовка специальных продуктов для научно-популярного онлайн-журнала «Газпром нефти» «Энергия+». "/>
    <s v="Анчина К.Г."/>
    <s v="Анчина К.Г."/>
    <s v="Договорный документ"/>
    <s v="Отдел по корпоративным коммуникациям"/>
    <s v="Масалкин Ю.В."/>
    <s v="На бумажном носителе"/>
    <s v="С ограничением по срокам "/>
    <d v="2023-07-17T00:00:00"/>
    <d v="2023-12-29T00:00:00"/>
    <s v=""/>
    <s v="Договор оказания услуг с физическим лицом"/>
    <s v="Расходная часть"/>
    <s v="Стоимостной"/>
    <s v="13%"/>
    <s v=""/>
    <s v=""/>
    <s v="1 110 000.00"/>
    <s v="965 700.00"/>
    <s v="144 300.00"/>
    <s v="нет"/>
    <s v="нет"/>
    <s v=""/>
    <s v=""/>
    <s v=""/>
    <s v=""/>
    <s v="нет"/>
  </r>
  <r>
    <s v="Газпромнефть-ГЕО, ООО"/>
    <s v=""/>
    <s v="Обработка результатов согласования"/>
    <s v=""/>
    <s v=""/>
    <x v="282"/>
    <s v=""/>
    <s v=""/>
    <s v=""/>
    <s v=""/>
    <s v="Нетиповой ДД"/>
    <x v="2"/>
    <s v=""/>
    <s v="00374-24"/>
    <s v=""/>
    <s v="Договор на оказание услуг по геологическому сопровождению строительства  эксплуатационных скважин на геолого-технологических моделях и мониторингу  проектных решений по разработке месторождений"/>
    <s v="Геологическое сопровождение строительства эксплуатационных скважин на геолого-технологических моделях и мониторингу проектных решений по разработке месторождений для нужд и в интересах ООО «ЛВНГ» в 2025-2028 гг."/>
    <s v="Герасимова А.Е."/>
    <s v=""/>
    <s v="Договорный документ"/>
    <s v="Блок коммерческой деятельности"/>
    <s v="Власов М.М."/>
    <s v="На бумажном носителе"/>
    <s v="С ограничением по срокам "/>
    <d v="2025-02-15T00:00:00"/>
    <d v="2028-04-30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n v="0"/>
    <n v="0"/>
    <n v="0"/>
    <s v="нет"/>
    <s v="нет"/>
    <s v=""/>
    <s v=""/>
    <s v=""/>
    <s v=""/>
    <s v="нет"/>
  </r>
  <r>
    <s v="Газпромнефть-ГЕО, ООО"/>
    <s v=""/>
    <s v="Проект"/>
    <s v=""/>
    <s v=""/>
    <x v="276"/>
    <s v="3808120671"/>
    <s v=""/>
    <s v=""/>
    <s v=""/>
    <s v="Типовой ДД"/>
    <x v="0"/>
    <s v="00000 Дополнительное соглашение к договору на оказание услуг/выполнение работ по замене перечня нарушений и штрафных санкций"/>
    <s v="00375-21"/>
    <s v=""/>
    <s v="00000 Дополнительное соглашение к договору на оказание услуг/выполнение работ по замене перечня нарушений и штрафных санкций"/>
    <s v="Об утверждении перечня нарушений и штрафных санкций в области ПБ и утверждении типовой формы дополнительного соглашения к договорам по замене перечня штрафных санкий в области ПБ"/>
    <s v="Глухарева Ю.Б."/>
    <s v=" Глухарева Ю.Б."/>
    <s v="Договорный документ"/>
    <s v="Блок корпоративной защиты"/>
    <s v="Созинов С.А."/>
    <s v="На бумажном носителе"/>
    <s v="До исполнения обязательств"/>
    <s v=""/>
    <s v=""/>
    <s v=""/>
    <s v=""/>
    <s v="Не предполагает взаиморасчетов"/>
    <s v=""/>
    <s v=""/>
    <s v=""/>
    <s v=""/>
    <s v=""/>
    <s v=""/>
    <s v=""/>
    <s v="нет"/>
    <s v="нет"/>
    <s v=""/>
    <s v=""/>
    <s v=""/>
    <s v=""/>
    <s v="нет"/>
  </r>
  <r>
    <s v="Газпромнефть-ГЕО, ООО"/>
    <s v="0000083900"/>
    <s v="Зарегистрирован"/>
    <d v="2022-05-01T00:00:00"/>
    <s v=""/>
    <x v="283"/>
    <s v=""/>
    <s v="ГЕО-20/11104/00153/Д"/>
    <s v=""/>
    <s v="5"/>
    <s v="Нетиповой ДД"/>
    <x v="0"/>
    <s v=""/>
    <s v="00375-22"/>
    <s v=""/>
    <s v="Соглашение о передаче Агентского Договора № ГЕО-20/11104/00153/Д ГЕОЛОГ ИНТЕРНЕШНЛ Б.В."/>
    <s v="Перемена лица в обязательстве"/>
    <s v="Титова Е.В."/>
    <s v="Титова Е.В."/>
    <s v="Договорный документ"/>
    <s v="Блок снабжения и закупок"/>
    <s v="Титов А.В."/>
    <s v="На бумажном носителе"/>
    <s v="Без сроков "/>
    <d v="2022-05-01T00:00:00"/>
    <s v=""/>
    <s v="Д-56"/>
    <s v="Агентский договор"/>
    <s v="Не предполагает взаиморасчетов"/>
    <s v=""/>
    <s v=""/>
    <s v=""/>
    <s v=""/>
    <s v=""/>
    <s v=""/>
    <s v=""/>
    <s v="нет"/>
    <s v="нет"/>
    <s v=""/>
    <s v=""/>
    <s v=""/>
    <s v=""/>
    <s v="нет"/>
  </r>
  <r>
    <s v="Газпромнефть-ГЕО, ООО"/>
    <s v="0000108726"/>
    <s v="Зарегистрирован"/>
    <d v="2023-07-17T00:00:00"/>
    <s v=""/>
    <x v="281"/>
    <s v="026207530791"/>
    <s v=""/>
    <s v="ГЕО-23/26000/00114"/>
    <s v="ГЕО-23/26000/00114"/>
    <s v="Типовой ДД"/>
    <x v="1"/>
    <s v="26000 Договор о конфиденциальности с физическим лицом"/>
    <s v="00375-23"/>
    <s v=""/>
    <s v="26000 Договор о конфиденциальности с физическим лицом"/>
    <s v="Договор о конфиденциальности между ООО «ГПН-ГЕО» и физическим лицом - Анчиной Кристиной Геннадьевной."/>
    <s v="Анчина К.Г."/>
    <s v=""/>
    <s v="Договорный документ"/>
    <s v="Отдел по корпоративным коммуникациям"/>
    <s v="Созинов С.А."/>
    <s v="На бумажном носителе"/>
    <s v="С ограничением по срокам "/>
    <d v="2023-07-17T00:00:00"/>
    <d v="2023-12-29T00:00:00"/>
    <s v="Д-60"/>
    <s v="Соглашение о конфиденциальности"/>
    <s v="Не предполагает взаиморасчетов"/>
    <s v=""/>
    <s v=""/>
    <s v=""/>
    <s v=""/>
    <s v=""/>
    <s v=""/>
    <s v=""/>
    <s v="нет"/>
    <s v="нет"/>
    <s v=""/>
    <s v=""/>
    <s v=""/>
    <s v=""/>
    <s v="нет"/>
  </r>
  <r>
    <s v="Газпромнефть-ГЕО, ООО"/>
    <s v=""/>
    <s v="Зарегистрирован"/>
    <d v="2024-06-24T00:00:00"/>
    <s v=""/>
    <x v="282"/>
    <s v=""/>
    <s v=""/>
    <s v="ГЕО-24/26000/00112"/>
    <s v="ГЕО-24/26000/00112"/>
    <s v="Типовой ДД"/>
    <x v="1"/>
    <s v="26000 Соглашение о конфиденциальности с российским контрагентом"/>
    <s v="00375-24"/>
    <s v=""/>
    <s v="26000 Соглашение о конфиденциальности с российским контрагентом"/>
    <s v="Необходимость заключения Соглашения о конфиденциальности между ООО «ГПН-ГЕО» и ООО «ЛВНГ» обусловлена необходимостью возможной передачи конфиденциальной информации в ходе проведения переговоров по перспективам взаимовыгодного сотрудничества между двумя организациями."/>
    <s v="Герасимова А.Е."/>
    <s v=""/>
    <s v="Договорный документ"/>
    <s v="Блок коммерческой деятельности"/>
    <s v="Созинов С.А."/>
    <s v="На бумажном носителе"/>
    <s v="Без сроков "/>
    <d v="2024-06-24T00:00:00"/>
    <s v=""/>
    <s v="Д-60"/>
    <s v="Соглашение о конфиденциальности"/>
    <s v="Не предполагает взаиморасчетов"/>
    <s v=""/>
    <s v=""/>
    <s v=""/>
    <s v=""/>
    <s v=""/>
    <s v=""/>
    <s v=""/>
    <s v="нет"/>
    <s v="нет"/>
    <s v=""/>
    <s v=""/>
    <s v=""/>
    <s v=""/>
    <s v="нет"/>
  </r>
  <r>
    <s v="Газпромнефть-ГЕО, ООО"/>
    <s v="0000048216"/>
    <s v="Зарегистрирован"/>
    <d v="2022-05-05T00:00:00"/>
    <s v=""/>
    <x v="38"/>
    <s v="8605013881"/>
    <s v="ГЕО-21/10308/00236/Р"/>
    <s v=""/>
    <s v="3"/>
    <s v="Нетиповой ДД"/>
    <x v="0"/>
    <s v=""/>
    <s v="00376-22"/>
    <s v=""/>
    <s v="ДС №3 к Договору №ГЕО-21/10308/00236/Р от 04.10.2021 г."/>
    <s v="Переход на ЭДО в части договорных документов"/>
    <s v="Ушакова М.А."/>
    <s v=""/>
    <s v="Договорный документ"/>
    <s v="Блок геологии и разработки"/>
    <s v="Аксенов М.А."/>
    <s v="На бумажном носителе"/>
    <s v="С ограничением по срокам "/>
    <d v="2022-05-05T00:00:00"/>
    <d v="2024-12-31T00:00:00"/>
    <s v=""/>
    <s v="ГТИ при бурении"/>
    <s v="Не предполагает взаиморасчетов"/>
    <s v="Рамочный"/>
    <s v=""/>
    <s v=""/>
    <s v=""/>
    <s v=""/>
    <s v=""/>
    <s v=""/>
    <s v="нет"/>
    <s v="нет"/>
    <s v=""/>
    <s v=""/>
    <s v=""/>
    <s v=""/>
    <s v="нет"/>
  </r>
  <r>
    <s v="Газпромнефть-ГЕО, ООО"/>
    <s v="0000071214"/>
    <s v="Зарегистрирован"/>
    <d v="2023-07-14T00:00:00"/>
    <s v=""/>
    <x v="284"/>
    <s v="7729421433"/>
    <s v=""/>
    <s v="ГЕО-23/33100/00116"/>
    <s v="ГЕО-23/33100/00116"/>
    <s v="Типовой ДД"/>
    <x v="1"/>
    <s v="33100 Соглашение в области производственной безопасности"/>
    <s v="00376-23"/>
    <s v=""/>
    <s v="33100 Соглашение в области производственной безопасности"/>
    <s v="С целью обеспечения ПБ при оказании услуг."/>
    <s v="Безруков А.А."/>
    <s v="Гулин Владимир Дмитриевич"/>
    <s v="Договорный документ"/>
    <s v="Блок производственной безопасности"/>
    <s v="Михайлов Ю.А."/>
    <s v="ЭП"/>
    <s v="До исполнения обязательств"/>
    <d v="2023-07-14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Зарегистрирован"/>
    <d v="2023-08-01T00:00:00"/>
    <s v=""/>
    <x v="285"/>
    <s v=""/>
    <s v=""/>
    <s v="ГЕО-23/25000/00121/Р"/>
    <s v="ГЕО-23/25000/00121/Р"/>
    <s v="Типовой ДД"/>
    <x v="2"/>
    <s v="25000 Договор об оказании услуг физическим лицом (без выезда на Лицензионные участки Заказчика)"/>
    <s v="00377-23"/>
    <s v=""/>
    <s v="25000 Договор об оказании услуг физическим лицом (без выезда на Лицензионные участки Заказчика)"/>
    <s v="Услуги в области геологоразведочных работ над проектами «Ноябрьск-Муравленковского региона»"/>
    <s v="Коротков С.П."/>
    <s v=""/>
    <s v="Договорный документ"/>
    <s v="Управление по разработке"/>
    <s v="Аксенов М.А."/>
    <s v="На бумажном носителе"/>
    <s v="С ограничением по срокам "/>
    <d v="2023-08-01T00:00:00"/>
    <d v="2023-08-31T00:00:00"/>
    <s v="Д-54"/>
    <s v="Договор оказания услуг с физическим лицом"/>
    <s v="Расходная часть"/>
    <s v="Стоимостной"/>
    <s v="13%"/>
    <s v=""/>
    <s v=""/>
    <s v="11 300.00"/>
    <s v="9 831.00"/>
    <s v="1 469.00"/>
    <s v="нет"/>
    <s v="нет"/>
    <s v=""/>
    <s v=""/>
    <s v=""/>
    <s v=""/>
    <s v="нет"/>
  </r>
  <r>
    <s v="Газпромнефть-ГЕО, ООО"/>
    <s v="0000096440"/>
    <s v="Зарегистрирован"/>
    <d v="2024-07-16T00:00:00"/>
    <s v=""/>
    <x v="286"/>
    <s v="8401011340"/>
    <s v=""/>
    <s v="ГЕО-24/34000/00115/Р"/>
    <s v="ГЕО-24/34000/00115/Р"/>
    <s v="Нетиповой ДД"/>
    <x v="1"/>
    <s v=""/>
    <s v="00377-24"/>
    <s v=""/>
    <s v="Соглашение о взаимном сотрудничестве по социально-экономическому развитию Таймырского Долгано-Ненецкого муниципального района Красноярского края "/>
    <s v="Долгосрочное и взаимное сотрудничество в области использования природно-ресурсного потенциала территорий в границах Таймырского Долгано-Ненецкого муниципального района"/>
    <s v="Шевченко А.С."/>
    <s v="Горбунов Е.А."/>
    <s v="Договорный документ"/>
    <s v="Управление маркшейдерско-землеустроительных работ"/>
    <s v="Ковтун М.А."/>
    <s v="На бумажном носителе"/>
    <s v="С ограничением по срокам "/>
    <d v="2024-07-01T00:00:00"/>
    <d v="2024-12-31T00:00:00"/>
    <s v="Д-62"/>
    <s v="Соглашение с органами государственной власти и управления и муниципальными образованиями"/>
    <s v="Расходная часть"/>
    <s v="Стоимостной"/>
    <s v="без НДС"/>
    <s v=""/>
    <s v=""/>
    <s v="5 000 000.00"/>
    <s v="5 000 000.00"/>
    <n v="0"/>
    <s v="нет"/>
    <s v="нет"/>
    <s v=""/>
    <s v=""/>
    <s v=""/>
    <s v=""/>
    <s v="нет"/>
  </r>
  <r>
    <s v="Газпромнефть-ГЕО, ООО"/>
    <s v="0000078878"/>
    <s v="Зарегистрирован"/>
    <d v="2022-05-04T00:00:00"/>
    <s v=""/>
    <x v="287"/>
    <s v="7804271420"/>
    <s v="ГЕО-20/10919/00076/Р"/>
    <s v=""/>
    <s v="2"/>
    <s v="Нетиповой ДД"/>
    <x v="3"/>
    <s v=""/>
    <s v="00378-22"/>
    <s v=""/>
    <s v="Заказ № 02 к Договору № ГЕО-20/10919/00076/Р от 12.05.2020 г. "/>
    <s v="Оказание услуг по разработке и согласованию нормативов допустимых выбросов (НДВ (ВСВ)) до 20 источников, в том числе для веществ I, II класса опасности – 1 проектный документ"/>
    <s v="Липатова О.И."/>
    <s v=""/>
    <s v="Договорный документ"/>
    <s v="Отдел экологической безопасности"/>
    <s v="Власов М.М."/>
    <s v="На бумажном носителе"/>
    <s v="С ограничением по срокам "/>
    <d v="2022-05-05T00:00:00"/>
    <d v="2022-07-31T00:00:00"/>
    <s v="Д-59"/>
    <s v="Договор возмездного оказания услуг"/>
    <s v="Не предполагает взаиморасчетов"/>
    <s v=""/>
    <s v=""/>
    <s v=""/>
    <s v=""/>
    <s v=""/>
    <s v=""/>
    <s v=""/>
    <s v="нет"/>
    <s v="нет"/>
    <s v=""/>
    <s v=""/>
    <s v=""/>
    <s v=""/>
    <s v="нет"/>
  </r>
  <r>
    <s v="Газпромнефть-ГЕО, ООО"/>
    <s v="0000071214"/>
    <s v="Зарегистрирован"/>
    <d v="2023-07-25T00:00:00"/>
    <s v=""/>
    <x v="284"/>
    <s v="7729421433"/>
    <s v=""/>
    <s v="ГЕО-23/10000/00126/Р"/>
    <s v="ГЕО-23/10000/00126/Р"/>
    <s v="Нетиповой ДД"/>
    <x v="2"/>
    <s v=""/>
    <s v="00378-23"/>
    <s v=""/>
    <s v="Договор на проведение полевых работ по регистрации потенциальных полей "/>
    <s v="Проведение полевых работ по регистрации потенциальных полей несейсмическими методами _x000d__x000a_"/>
    <s v="Безруков А.А."/>
    <s v="Гулин В.Д."/>
    <s v="Договорный документ"/>
    <s v="Блок геологии и разработки"/>
    <s v="Ковтун М.А."/>
    <s v="ЭП"/>
    <s v="С ограничением по срокам "/>
    <d v="2023-07-25T00:00:00"/>
    <d v="2023-10-06T00:00:00"/>
    <s v="Д-6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37004742.37"/>
    <s v="45 071 776.21"/>
    <s v="37 559 813.51"/>
    <s v="7 511 962.70"/>
    <s v="да"/>
    <s v="нет"/>
    <s v=""/>
    <s v=""/>
    <s v=""/>
    <s v=""/>
    <s v="нет"/>
  </r>
  <r>
    <s v="Газпромнефть-ГЕО, ООО"/>
    <s v="0000040642"/>
    <s v="Зарегистрирован"/>
    <d v="2024-07-11T00:00:00"/>
    <s v=""/>
    <x v="4"/>
    <s v="7736035485"/>
    <s v=""/>
    <s v="ГЕО-24/17000/00121/Р"/>
    <s v="ГЕО-24/17000/00121/Р"/>
    <s v="Нетиповой ДД"/>
    <x v="2"/>
    <s v=""/>
    <s v="00378-24"/>
    <s v=""/>
    <s v="Договор страхования"/>
    <s v="Исполнение требований к членству ООО «ГПН-ГЕО» в саморегулируемой организации «Объединение строителей СПб» "/>
    <s v="Крутова Е.С."/>
    <s v="Крутова Е.С."/>
    <s v="Договорный документ"/>
    <s v="Департамент капитального строительства"/>
    <s v="Трифонов А.В."/>
    <s v="На бумажном носителе"/>
    <s v="С ограничением по срокам "/>
    <d v="2024-07-29T00:00:00"/>
    <d v="2025-07-28T00:00:00"/>
    <s v="Д-82"/>
    <s v="Договор страхования"/>
    <s v="Расходная часть"/>
    <s v="Стоимостной"/>
    <s v="без НДС"/>
    <s v=""/>
    <s v=""/>
    <s v="20 000.00"/>
    <s v="20 000.00"/>
    <n v="0"/>
    <s v="нет"/>
    <s v="нет"/>
    <s v=""/>
    <s v=""/>
    <s v=""/>
    <s v=""/>
    <s v="нет"/>
  </r>
  <r>
    <s v="Газпромнефть-ГЕО, ООО"/>
    <s v="0000071214"/>
    <s v="Зарегистрирован"/>
    <d v="2023-07-25T00:00:00"/>
    <s v=""/>
    <x v="284"/>
    <s v="7729421433"/>
    <s v=""/>
    <s v="ГЕО-23/33400/00127"/>
    <s v="ГЕО-23/33400/00127"/>
    <s v="Нетиповой ДД"/>
    <x v="1"/>
    <s v=""/>
    <s v="00379-23"/>
    <s v=""/>
    <s v="Соглашение о безопасном использовании информационных систем "/>
    <s v="Предоставление АО «ГНПП «Аэрогеофизика» доступа к автоматизированной информационной системе удаленного доступа к информационным ресурсам «СУДИР»  для &quot;Цифрового двойника&quot;_x000d__x000a_"/>
    <s v="Безруков А.А."/>
    <s v="Гулин В.Д."/>
    <s v="Договорный документ"/>
    <s v="Блок геологии и разработки"/>
    <s v="Созинов С.А."/>
    <s v="ЭП"/>
    <s v="С ограничением по срокам "/>
    <d v="2023-07-25T00:00:00"/>
    <d v="2023-10-06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81847"/>
    <s v="Зарегистрирован"/>
    <d v="2024-06-24T00:00:00"/>
    <d v="2024-06-28T00:00:00"/>
    <x v="275"/>
    <s v="6311138429"/>
    <s v=""/>
    <s v="ГЕО-24/33200/00111"/>
    <s v="ГЕО-24/33200/00111"/>
    <s v="Типовой ДД"/>
    <x v="1"/>
    <s v="33200 Соглашение об электронном документообороте"/>
    <s v="00379-24"/>
    <s v=""/>
    <s v="33200 Соглашение об электронном документообороте"/>
    <s v="Организация электронного документооборота с контрагентом"/>
    <s v="Васильева А.И."/>
    <s v="Черешников Е.Е."/>
    <s v="Договорный документ"/>
    <s v="Блок главного инженера"/>
    <s v="Ковтун М.А."/>
    <s v="ЭП"/>
    <s v="Без сроков "/>
    <d v="2024-06-24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8216"/>
    <s v="Зарегистрирован"/>
    <d v="2022-05-05T00:00:00"/>
    <s v=""/>
    <x v="38"/>
    <s v="8605013881"/>
    <s v="ГЕО-22/10000/00055/Р"/>
    <s v=""/>
    <s v="2"/>
    <s v="Нетиповой ДД"/>
    <x v="0"/>
    <s v=""/>
    <s v="00380-22"/>
    <s v=""/>
    <s v="ДС №2 к Договору №ГЕО-22/10000/00055/Р от 17.03.2022 г."/>
    <s v="Переход на ЭДО в части договорных документов"/>
    <s v="Ушакова М.А."/>
    <s v=""/>
    <s v="Договорный документ"/>
    <s v="Блок геологии и разработки"/>
    <s v="Аксенов М.А."/>
    <s v="На бумажном носителе"/>
    <s v="С ограничением по срокам "/>
    <d v="2022-05-05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
    <s v="Зарегистрирован"/>
    <d v="2023-07-24T00:00:00"/>
    <s v=""/>
    <x v="285"/>
    <s v=""/>
    <s v=""/>
    <s v="ГЕО-23/26000/00122"/>
    <s v="ГЕО-23/26000/00122"/>
    <s v="Типовой ДД"/>
    <x v="1"/>
    <s v="26000 Договор о конфиденциальности с физическим лицом"/>
    <s v="00380-23"/>
    <s v=""/>
    <s v="26000 Договор о конфиденциальности с физическим лицом"/>
    <s v="Обязательства Исполнителя, оказывающего Обществу услуги на основании договора ГПХ, по неразглашению информации, составляющей коммерческую тайну и иной конфиденциальной информации (далее – Конфиденциальная информация) Общества и его контрагентов"/>
    <s v="Коротков С.П."/>
    <s v=""/>
    <s v="Договорный документ"/>
    <s v="Управление по разработке"/>
    <s v="Созинов С.А."/>
    <s v="На бумажном носителе"/>
    <s v="С ограничением по срокам "/>
    <d v="2023-08-01T00:00:00"/>
    <d v="2023-08-31T00:00:00"/>
    <s v="Д-60"/>
    <s v="Соглашение о конфиденциальности"/>
    <s v="Не предполагает взаиморасчетов"/>
    <s v=""/>
    <s v=""/>
    <s v=""/>
    <s v=""/>
    <s v=""/>
    <s v=""/>
    <s v=""/>
    <s v="нет"/>
    <s v="нет"/>
    <s v=""/>
    <s v=""/>
    <s v=""/>
    <s v=""/>
    <s v="нет"/>
  </r>
  <r>
    <s v="Газпромнефть-ГЕО, ООО"/>
    <s v="0000047108"/>
    <s v="Зарегистрирован"/>
    <d v="2024-06-17T00:00:00"/>
    <s v=""/>
    <x v="19"/>
    <s v="3245502148"/>
    <s v="ГЕО-20/09000/00182/Д"/>
    <s v=""/>
    <s v="8"/>
    <s v="Нетиповой ДД"/>
    <x v="0"/>
    <s v=""/>
    <s v="00380-24"/>
    <s v=""/>
    <s v="ДС №8 к Операторскому соглашению  № ГЕО-20/09000/00182/Д / АБ-20/09000/00005/Р от 23.11.2020 г."/>
    <s v="Дополнительное соглашение для включения условий и дополнительных затрат, позволяющих применять финансовый инструмент &quot;Факторинг&quot; при исполнении обязательств по операторскому соглашению, а также перераспределение затрат на выполнение работ."/>
    <s v="Котова А.М."/>
    <s v="Котова А.М."/>
    <s v="Договорный документ"/>
    <s v="Управление экономического планирования и анализа"/>
    <s v="Николаев М.Н."/>
    <s v="На бумажном носителе"/>
    <s v="До исполнения обязательств"/>
    <d v="2024-06-17T00:00:00"/>
    <s v=""/>
    <s v="Д-15"/>
    <s v="Договор возмездного оказания услуг"/>
    <s v="Доходная часть"/>
    <s v="Стоимостной"/>
    <s v="20%"/>
    <s v=""/>
    <s v=""/>
    <s v="79 762 334.16"/>
    <s v="66 468 611.80"/>
    <s v="13 293 722.36"/>
    <s v="нет"/>
    <s v="нет"/>
    <s v=""/>
    <s v=""/>
    <s v=""/>
    <s v=""/>
    <s v="нет"/>
  </r>
  <r>
    <s v="Газпромнефть-ГЕО, ООО"/>
    <s v="0000101243"/>
    <s v="Зарегистрирован"/>
    <d v="2022-05-05T00:00:00"/>
    <s v=""/>
    <x v="168"/>
    <s v="7708044880"/>
    <s v="ГЕО-21/10900/00249/Р "/>
    <s v=""/>
    <s v="2"/>
    <s v="Нетиповой ДД"/>
    <x v="0"/>
    <s v=""/>
    <s v="00381-22"/>
    <s v=""/>
    <s v="Дополнительное соглашение №2 к договору №ГЕО-21/10900/00249/Р от 08.11.2021 г."/>
    <s v="Изменение сроков оплаты по договору"/>
    <s v="Липатова О.И."/>
    <s v="Липатова О.И."/>
    <s v="Договорный документ"/>
    <s v="Отдел экологической безопасности"/>
    <s v="Власов М.М."/>
    <s v="На бумажном носителе"/>
    <s v="С ограничением по срокам "/>
    <d v="2022-05-05T00:00:00"/>
    <d v="2023-09-01T00:00:00"/>
    <s v="Д-59"/>
    <s v="Договор возмездного оказания услуг"/>
    <s v="Не предполагает взаиморасчетов"/>
    <s v=""/>
    <s v=""/>
    <s v=""/>
    <s v=""/>
    <s v=""/>
    <s v=""/>
    <s v=""/>
    <s v="нет"/>
    <s v="нет"/>
    <s v=""/>
    <s v=""/>
    <s v=""/>
    <s v=""/>
    <s v="нет"/>
  </r>
  <r>
    <s v="Газпромнефть-ГЕО, ООО"/>
    <s v=""/>
    <s v="Проект"/>
    <s v=""/>
    <s v=""/>
    <x v="58"/>
    <s v=""/>
    <s v=""/>
    <s v=""/>
    <s v=""/>
    <s v="Типовой ДД"/>
    <x v="1"/>
    <s v=""/>
    <s v="00381-23"/>
    <s v=""/>
    <s v=""/>
    <s v=""/>
    <s v="Гареев Р.Д."/>
    <s v=""/>
    <s v="Договорный документ"/>
    <s v=""/>
    <s v=""/>
    <s v=""/>
    <s v="До исполнения обязательств"/>
    <s v=""/>
    <s v=""/>
    <s v=""/>
    <s v=""/>
    <s v=""/>
    <s v=""/>
    <s v=""/>
    <s v=""/>
    <s v=""/>
    <s v=""/>
    <s v=""/>
    <s v=""/>
    <s v="нет"/>
    <s v="нет"/>
    <s v=""/>
    <s v=""/>
    <s v=""/>
    <s v=""/>
    <s v="нет"/>
  </r>
  <r>
    <s v="Газпромнефть-ГЕО, ООО"/>
    <s v="0000040656"/>
    <s v="Зарегистрирован"/>
    <d v="2024-06-19T00:00:00"/>
    <s v=""/>
    <x v="288"/>
    <s v="0814118403"/>
    <s v="ГЕО-22/10000/00226/Р"/>
    <s v=""/>
    <s v="5"/>
    <s v="Нетиповой ДД"/>
    <x v="0"/>
    <s v=""/>
    <s v="00381-24"/>
    <s v=""/>
    <s v="ДС№5 к Договору №ГЕО-22/10000/00226/Р от 20.09.2022   "/>
    <s v="- приведение к факту 2023г;_x000a_- перераспределение неизрасходованного объёма из 2023г в 2024г;_x000a_- раскрытие негарантированного объёма 2024г;_x000a_- Индексация суточных ставок бурения, испытания, производных ставок простоя и ставок дежурства по метео, демонтажа БУ с учетом изменения ТЗ с 19.06.2024 г. без изменения суммы Договора;_x000a_"/>
    <s v="Покатов О.Н."/>
    <s v=""/>
    <s v="Договорный документ"/>
    <s v="Блок главного инженера"/>
    <s v="Трифонов А.В."/>
    <s v="На бумажном носителе"/>
    <s v="До исполнения обязательств"/>
    <d v="2024-06-19T00:00:00"/>
    <s v=""/>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54 365 718.76"/>
    <s v="211 971 432.30"/>
    <s v="42 394 286.46"/>
    <s v="нет"/>
    <s v="нет"/>
    <s v=""/>
    <s v=""/>
    <s v=""/>
    <s v=""/>
    <s v="нет"/>
  </r>
  <r>
    <s v="Газпромнефть-ГЕО, ООО"/>
    <s v="0000111458"/>
    <s v="Зарегистрирован"/>
    <d v="2023-07-17T00:00:00"/>
    <s v=""/>
    <x v="270"/>
    <s v="780263031432"/>
    <s v=""/>
    <s v="ГЕО-23/26000/00120"/>
    <s v="ГЕО-23/26000/00120"/>
    <s v="Типовой ДД"/>
    <x v="1"/>
    <s v="26000 Договор о конфиденциальности с физическим лицом"/>
    <s v="00382-23"/>
    <s v=""/>
    <s v="26000 Договор о конфиденциальности с физическим лицом"/>
    <s v="Заключение договора о конфиденциальности, в связи с заключением договора возмездного оказания услуги по подготовке чек-листа для выполнения работ по аэрофотосъемки при помощи беспилотной авиации"/>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3-07-17T00:00:00"/>
    <d v="2023-08-16T00:00:00"/>
    <s v=""/>
    <s v="Соглашение о конфиденциальности"/>
    <s v="Не предполагает взаиморасчетов"/>
    <s v=""/>
    <s v=""/>
    <s v=""/>
    <s v=""/>
    <s v=""/>
    <s v=""/>
    <s v=""/>
    <s v="нет"/>
    <s v="нет"/>
    <s v=""/>
    <s v=""/>
    <s v=""/>
    <s v=""/>
    <s v="нет"/>
  </r>
  <r>
    <s v="Газпромнефть-ГЕО, ООО"/>
    <s v="0000062421"/>
    <s v="Зарегистрирован"/>
    <d v="2024-06-19T00:00:00"/>
    <d v="2024-07-01T00:00:00"/>
    <x v="245"/>
    <s v="6924010964"/>
    <s v="ГЕО-22/11104/00265/Р"/>
    <s v=""/>
    <s v="5"/>
    <s v="Нетиповой ДД"/>
    <x v="0"/>
    <s v=""/>
    <s v="00382-24"/>
    <s v=""/>
    <s v="ДОПОЛНИТЕЛЬНОЕ СОГЛАШЕНИЕ № 5 к Договору №ГЕО-22/11104/00265/Р от 15.10.2022 г. на оказание авиационных услуг с использованием вертолетов "/>
    <s v="- Приведение к факту 2023г._x000a_- Перенос невостребованных объёмов гарантированной части 2023г. в негарантированную в рамках 2024г. _x000a_- Индексация расценок на 8,18%, за счёт перераспределения без увеличения стоимости Договора."/>
    <s v="Яшкина К.Л."/>
    <s v="Бабиков Н.В."/>
    <s v="Договорный документ"/>
    <s v="Блок снабжения и закупок"/>
    <s v="Титов А.В."/>
    <s v="ЭП"/>
    <s v="До исполнения обязательств"/>
    <d v="2024-06-19T00:00:00"/>
    <s v=""/>
    <s v="Д-56"/>
    <s v="Авиационное обслуживание (вертолеты)"/>
    <s v="Расходная часть"/>
    <s v="Тарифный"/>
    <s v="20%"/>
    <s v=""/>
    <s v=""/>
    <s v="16 779 130.40"/>
    <s v="13 982 608.67"/>
    <s v="2 796 521.73"/>
    <s v="нет"/>
    <s v="нет"/>
    <s v=""/>
    <s v=""/>
    <s v=""/>
    <s v=""/>
    <s v="нет"/>
  </r>
  <r>
    <s v="Газпромнефть-ГЕО, ООО"/>
    <s v="0000064025"/>
    <s v="Зарегистрирован"/>
    <d v="2024-06-08T00:00:00"/>
    <s v=""/>
    <x v="134"/>
    <s v="7728720448"/>
    <s v=""/>
    <s v="ГЕО-24/01200/00114/Д"/>
    <s v="ГЕО-24/01200/00114/Д"/>
    <s v="Типовой ДД"/>
    <x v="2"/>
    <s v="01200 Договор  поставки МТР категории «Свободный запас»"/>
    <s v="00384-24"/>
    <s v=""/>
    <s v="01200 Договор  поставки МТР категории «Свободный запас»"/>
    <s v="Реализация МТР категории &quot;свободный запас&quot; (труба 324 - 949,11 м.) в адрес ООО &quot;Газпромнефть-Заполярье&quot; (ВЗЛ) по спецификации №1"/>
    <s v="Разгоняев И.А."/>
    <s v="Разгоняев И.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4-06-08T00:00:00"/>
    <d v="2024-12-31T00:00:00"/>
    <s v="Д-56"/>
    <s v="Договор поставки/купли продажи движимого имущества"/>
    <s v="Доходная часть"/>
    <s v="Стоимостной"/>
    <s v="20%"/>
    <s v=""/>
    <s v=""/>
    <s v="5 879 166.98"/>
    <s v="4 899 305.82"/>
    <s v="979 861.16"/>
    <s v="нет"/>
    <s v="нет"/>
    <s v=""/>
    <s v=""/>
    <s v=""/>
    <s v=""/>
    <s v="нет"/>
  </r>
  <r>
    <s v="Газпромнефть-ГЕО, ООО"/>
    <s v=""/>
    <s v="Закрыт"/>
    <d v="2021-07-20T00:00:00"/>
    <s v=""/>
    <x v="289"/>
    <s v=""/>
    <s v=""/>
    <s v="ГЕО-21/25000/00163/Р"/>
    <s v="ГЕО-21/25000/00163/Р"/>
    <s v="Нетиповой ДД"/>
    <x v="2"/>
    <s v=""/>
    <s v="00385-21"/>
    <s v=""/>
    <s v="Оказание услуги по геодезическим (камеральным) работам"/>
    <s v="Оказание услуги по геодезическим (камеральным) работам"/>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1-07-20T00:00:00"/>
    <d v="2021-09-30T00:00:00"/>
    <s v=""/>
    <s v="Договор оказания услуг с физическим лицом"/>
    <s v="Расходная часть"/>
    <s v="Стоимостной"/>
    <s v="13%"/>
    <s v=""/>
    <s v=""/>
    <s v="405 000.00"/>
    <s v="352 350.00"/>
    <s v="52 650.00"/>
    <s v="нет"/>
    <s v="нет"/>
    <s v=""/>
    <s v=""/>
    <s v=""/>
    <s v=""/>
    <s v="нет"/>
  </r>
  <r>
    <s v="Газпромнефть-ГЕО, ООО"/>
    <s v="0000093917"/>
    <s v="Зарегистрирован"/>
    <d v="2022-05-01T00:00:00"/>
    <s v=""/>
    <x v="9"/>
    <s v="5609193118"/>
    <s v="ГЕО-20/11104/00152/Д от 22.09.2021"/>
    <s v=""/>
    <s v="2"/>
    <s v="Нетиповой ДД"/>
    <x v="0"/>
    <s v=""/>
    <s v="00385-22"/>
    <s v=""/>
    <s v="ДС №2 к АД ГЕО-20/11104/00152/Д ООО &quot;АКБАРЫС&quot;"/>
    <s v="Продление срока действия и увеличение стоимости договора"/>
    <s v="Титова Е.В."/>
    <s v="Титова Е.В."/>
    <s v="Договорный документ"/>
    <s v="Блок снабжения и закупок"/>
    <s v="Титов А.В."/>
    <s v="На бумажном носителе"/>
    <s v="С ограничением по срокам "/>
    <d v="2022-05-01T00:00:00"/>
    <d v="2022-12-01T00:00:00"/>
    <s v="Д-56"/>
    <s v="Агентский договор"/>
    <s v="Доходная часть"/>
    <s v="Агентский"/>
    <s v="20%"/>
    <s v=""/>
    <s v=""/>
    <s v="370 314.71"/>
    <s v="308 595.59"/>
    <s v="61 719.12"/>
    <s v="нет"/>
    <s v="нет"/>
    <s v=""/>
    <s v=""/>
    <s v=""/>
    <s v=""/>
    <s v="нет"/>
  </r>
  <r>
    <s v="Газпромнефть-ГЕО, ООО"/>
    <s v="0000063179"/>
    <s v="Зарегистрирован"/>
    <d v="2023-07-12T00:00:00"/>
    <s v=""/>
    <x v="54"/>
    <s v="7727747172"/>
    <s v="00399"/>
    <s v=""/>
    <s v="2"/>
    <s v="Нетиповой ДД"/>
    <x v="0"/>
    <s v=""/>
    <s v="00385-23"/>
    <s v=""/>
    <s v="Дополнительное соглашение №2 к договору ГЕО-20/09000/00123/Р"/>
    <s v="Перевод негарантированного объема в гарантированный и продление срока выполнения работ без изменения срока действия договора, общей цены договора и единичных расценок"/>
    <s v="Матвеев В.Н."/>
    <s v="Матвеев В.Н."/>
    <s v="Договорный документ"/>
    <s v="Отдел по работе с подрядными организациями и безопасности на транспорте"/>
    <s v="Михайлов Ю.А."/>
    <s v="ЭП"/>
    <s v="С ограничением по срокам "/>
    <d v="2023-07-12T00:00:00"/>
    <d v="2023-12-31T00:00:00"/>
    <s v="Д-2"/>
    <s v="Договор возмездного оказания услуг"/>
    <s v="Расходная часть"/>
    <s v="Стоимостной"/>
    <s v="20%"/>
    <s v=""/>
    <s v=""/>
    <s v="2 029 020.00"/>
    <s v="1 690 850.00"/>
    <s v="338 170.00"/>
    <s v="нет"/>
    <s v="нет"/>
    <s v=""/>
    <s v=""/>
    <s v=""/>
    <s v=""/>
    <s v="нет"/>
  </r>
  <r>
    <s v="Газпромнефть-ГЕО, ООО"/>
    <s v="0000064025"/>
    <s v="Зарегистрирован"/>
    <d v="2024-06-08T00:00:00"/>
    <s v=""/>
    <x v="134"/>
    <s v="7728720448"/>
    <s v=""/>
    <s v=""/>
    <s v="2"/>
    <s v="Типовой ДД"/>
    <x v="12"/>
    <s v="01200 Приложение (Спецификация) к Договору  поставки МТР категории «Свободный запас»"/>
    <s v="00385-24"/>
    <s v=""/>
    <s v="01200 Приложение (Спецификация) к Договору  поставки МТР категории «Свободный запас»"/>
    <s v="Реализация МТР категории &quot;свободный запас&quot; (труба 101 - 1246,9 м.) в адрес ООО &quot;Газпромнефть-Заполярье&quot; (ВЗЛ) по спецификации №2"/>
    <s v="Разгоняев И.А."/>
    <s v="Разгоняев И.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4-06-08T00:00:00"/>
    <d v="2024-12-31T00:00:00"/>
    <s v="Д-56"/>
    <s v="Договор поставки/купли продажи движимого имущества"/>
    <s v="Доходная часть"/>
    <s v="Стоимостной"/>
    <s v="20%"/>
    <s v=""/>
    <s v=""/>
    <s v="4 354 174.80"/>
    <s v="3 628 479.00"/>
    <s v="725 695.80"/>
    <s v="нет"/>
    <s v="нет"/>
    <s v=""/>
    <s v=""/>
    <s v=""/>
    <s v=""/>
    <s v="нет"/>
  </r>
  <r>
    <s v="Газпромнефть-ГЕО, ООО"/>
    <s v="0000074750"/>
    <s v="Закрыт"/>
    <d v="2022-02-22T00:00:00"/>
    <s v=""/>
    <x v="66"/>
    <s v="8905062456"/>
    <s v=""/>
    <s v="ГЕО-22/20000/00139/Д"/>
    <s v="ГЕО-22/20000/00139/Д"/>
    <s v="Нетиповой ДД"/>
    <x v="2"/>
    <s v=""/>
    <s v="00386-22"/>
    <s v=""/>
    <s v="Агентский договор на организацию вертолетных авиаперевозок с ООО &quot;Газпромнефть-ННГГФ&quot;"/>
    <s v="Авиаперевозка персонала и груза КА"/>
    <s v="Титова Е.В."/>
    <s v="Титова Е.В."/>
    <s v="Договорный документ"/>
    <s v="Блок снабжения и закупок"/>
    <s v="Титов А.В."/>
    <s v="На бумажном носителе"/>
    <s v="С ограничением по срокам "/>
    <d v="2022-06-01T00:00:00"/>
    <d v="2022-12-31T00:00:00"/>
    <s v="Д-56"/>
    <s v="Агентский договор"/>
    <s v="Доходная часть"/>
    <s v="Агентский"/>
    <s v="20%"/>
    <s v=""/>
    <s v=""/>
    <s v="1 984 656.00"/>
    <s v="1 653 880.00"/>
    <s v="330 776.00"/>
    <s v="нет"/>
    <s v="нет"/>
    <s v=""/>
    <s v=""/>
    <s v=""/>
    <s v=""/>
    <s v="нет"/>
  </r>
  <r>
    <s v="Газпромнефть-ГЕО, ООО"/>
    <s v="0000103052"/>
    <s v="Зарегистрирован"/>
    <d v="2023-06-29T00:00:00"/>
    <s v=""/>
    <x v="148"/>
    <s v="563900109424"/>
    <s v=""/>
    <s v="ГЕО-23/04300/00123/Р"/>
    <s v="ГЕО-23/04300/00123/Р"/>
    <s v="Типовой ДД"/>
    <x v="2"/>
    <s v="04300 Договор аренды земельных участков (под строительство)"/>
    <s v="00386-23"/>
    <s v=""/>
    <s v="04300 Договор аренды земельных участков (под строительство)"/>
    <s v="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4-17T00:00:00"/>
    <d v="2024-03-16T00:00:00"/>
    <s v="Д-33"/>
    <s v="Договор аренды недвижимости"/>
    <s v="Расходная часть"/>
    <s v="Стоимостной"/>
    <s v="13%"/>
    <s v=""/>
    <s v=""/>
    <s v="546 333.26"/>
    <s v="475 310.26"/>
    <s v="71 023.00"/>
    <s v="нет"/>
    <s v="нет"/>
    <s v=""/>
    <s v=""/>
    <s v=""/>
    <s v=""/>
    <s v="нет"/>
  </r>
  <r>
    <s v="Газпромнефть-ГЕО, ООО"/>
    <s v="0000060716"/>
    <s v="Зарегистрирован"/>
    <d v="2024-07-16T00:00:00"/>
    <d v="2024-07-23T00:00:00"/>
    <x v="18"/>
    <s v="7728803870"/>
    <s v="ГЕО-21/10303/00204/Р"/>
    <s v=""/>
    <s v="15"/>
    <s v="Нетиповой ДД"/>
    <x v="0"/>
    <s v=""/>
    <s v="00386-24"/>
    <s v=""/>
    <s v="ДОПОЛНИТЕЛЬНОЕ СОГЛАШЕНИЕ № 15 к Договору № ОРН-18/10303/03693/Р от 20.12.2018г."/>
    <s v="- приведение к факту объемов работ по скважине 401_x000a_- продление срока выполнения работ и срока действия Договора до 31.12.2025 в расценках 2024 года_x000a_- перераспределение неизрасходованного гарантированного объема работ 2024 г. в негарантированный 2025 г."/>
    <s v="Покатов О.Н."/>
    <s v=""/>
    <s v="Договорный документ"/>
    <s v="Блок главного инженера"/>
    <s v="Аксенов М.А."/>
    <s v="ЭП"/>
    <s v="С ограничением по срокам "/>
    <d v="2024-07-16T00:00:00"/>
    <d v="2025-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8974"/>
    <s v="Зарегистрирован"/>
    <d v="2021-06-21T00:00:00"/>
    <s v=""/>
    <x v="81"/>
    <s v="3808120671"/>
    <s v="ГЕО-20/09000/00180/Р"/>
    <s v=""/>
    <s v="7"/>
    <s v="Типовой ДД"/>
    <x v="0"/>
    <s v="00000 Дополнительное соглашение к договору на оказание услуг/выполнение работ по замене перечня нарушений и штрафных санкций"/>
    <s v="00387-21"/>
    <s v=""/>
    <s v="00000 Дополнительное соглашение к договору на оказание услуг/выполнение работ по замене перечня нарушений и штрафных санкций"/>
    <s v="Об утверждении перечня нарушенмй и штрафных санкций в облати ПБ и утверждении типовой формы дополнительного соглашения "/>
    <s v="Глухарева Ю.Б."/>
    <s v="Глухарева Ю.Б."/>
    <s v="Договорный документ"/>
    <s v="Блок корпоративной защиты"/>
    <s v="Созинов С.А."/>
    <s v="На бумажном носителе"/>
    <s v="С ограничением по срокам "/>
    <d v="2021-06-21T00:00:00"/>
    <d v="2022-12-31T00:00:00"/>
    <s v=""/>
    <s v="ПРОЧИЕ ДОГОВОРЫ"/>
    <s v="Не предполагает взаиморасчетов"/>
    <s v=""/>
    <s v=""/>
    <s v=""/>
    <s v=""/>
    <s v=""/>
    <s v=""/>
    <s v=""/>
    <s v="нет"/>
    <s v="нет"/>
    <s v=""/>
    <s v=""/>
    <s v=""/>
    <s v=""/>
    <s v="нет"/>
  </r>
  <r>
    <s v="Газпромнефть-ГЕО, ООО"/>
    <s v="0000092415"/>
    <s v="Обработка результатов согласования"/>
    <d v="2022-05-16T00:00:00"/>
    <s v=""/>
    <x v="196"/>
    <s v="7728142525"/>
    <s v="ГЕО-19/09000/00227/Р"/>
    <s v=""/>
    <s v="2"/>
    <s v="Нетиповой ДД"/>
    <x v="0"/>
    <s v=""/>
    <s v="00387-22"/>
    <s v=""/>
    <s v="Дополнительное соглашение №2 об использовании электронного документооборота"/>
    <s v="использование электронного вида обмена расчетно-платежными документами за услуги Исполнителя"/>
    <s v="Потемкина И.В."/>
    <s v="Потемкина И.В."/>
    <s v="Договорный документ"/>
    <s v="Отдел административной поддержки бизнеса"/>
    <s v="Ковтун М.А."/>
    <s v="На бумажном носителе"/>
    <s v="С ограничением по срокам "/>
    <d v="2022-05-16T00:00:00"/>
    <d v="2023-12-31T00:00:00"/>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103052"/>
    <s v="Зарегистрирован"/>
    <d v="2023-07-24T00:00:00"/>
    <s v=""/>
    <x v="148"/>
    <s v="563900109424"/>
    <s v=""/>
    <s v="ГЕО-23/04300/00124/Р"/>
    <s v="ГЕО-23/04300/00124/Р"/>
    <s v="Нетиповой ДД"/>
    <x v="1"/>
    <s v=""/>
    <s v="00387-23"/>
    <s v=""/>
    <s v="Соглашение о возмещении убытков сельскохозяйственного производства, в т.ч. упущенной выгоды при временном занятии земельного участка"/>
    <s v="возмещение убытков сельскохозяйственного производства при временном занятии части земельного участка 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3-04-17T00:00:00"/>
    <s v=""/>
    <s v="Д-33"/>
    <s v="Договор аренды недвижимости"/>
    <s v="Расходная часть"/>
    <s v="Стоимостной"/>
    <s v="13%"/>
    <s v=""/>
    <s v=""/>
    <s v="5 960.00"/>
    <s v="5 185.00"/>
    <n v="775"/>
    <s v="нет"/>
    <s v="нет"/>
    <s v=""/>
    <s v=""/>
    <s v=""/>
    <s v=""/>
    <s v="нет"/>
  </r>
  <r>
    <s v="Газпромнефть-ГЕО, ООО"/>
    <s v="0000081847"/>
    <s v="Зарегистрирован"/>
    <d v="2024-06-27T00:00:00"/>
    <d v="2024-06-28T00:00:00"/>
    <x v="275"/>
    <s v="6311138429"/>
    <s v=""/>
    <s v="ГЕО-24/26000/00116"/>
    <s v="ГЕО-24/26000/00116"/>
    <s v="Типовой ДД"/>
    <x v="1"/>
    <s v="26000 Соглашение о конфиденциальности с российским контрагентом"/>
    <s v="00387-24"/>
    <s v=""/>
    <s v="26000 Соглашение о конфиденциальности с российским контрагентом"/>
    <s v="В связи с заключением договора ГЕО-24/11517/00107/Р от 19.06.2024г. стороны принимают на себя обязательства по предоставлению друг другу и неразглашению информации, составляющей коммерческую тайну, и иной конфиденциальной информации "/>
    <s v="Крутова Е.С."/>
    <s v="Крутова Е.С."/>
    <s v="Договорный документ"/>
    <s v="Департамент капитального строительства"/>
    <s v="Трифонов А.В."/>
    <s v="ЭП"/>
    <s v="С ограничением по срокам "/>
    <d v="2024-06-27T00:00:00"/>
    <d v="2025-12-31T00:00:00"/>
    <s v="Д-82"/>
    <s v="Соглашение о конфиденциальности"/>
    <s v="Не предполагает взаиморасчетов"/>
    <s v=""/>
    <s v=""/>
    <s v=""/>
    <s v=""/>
    <s v=""/>
    <s v=""/>
    <s v=""/>
    <s v="нет"/>
    <s v="нет"/>
    <s v=""/>
    <s v=""/>
    <s v=""/>
    <s v=""/>
    <s v="нет"/>
  </r>
  <r>
    <s v="Газпромнефть-ГЕО, ООО"/>
    <s v="0000058271"/>
    <s v="Зарегистрирован"/>
    <d v="2021-06-21T00:00:00"/>
    <s v=""/>
    <x v="42"/>
    <s v="7725696878"/>
    <s v="ГЕО-19/11708/00133/Р от 25.06.2019"/>
    <s v=""/>
    <s v="Заказ-Наряд №12"/>
    <s v="Нетиповой ДД"/>
    <x v="3"/>
    <s v=""/>
    <s v="00388-21"/>
    <s v=""/>
    <s v="Заказ-Наряд №12 к договору №ГЕО-19/11708/00133/Р от 25.06.2019"/>
    <s v="Проектирование разработки объектов Игнялинского, Вакунайского и Тымпучиканского ЛУ"/>
    <s v="Коротков С.П."/>
    <s v=""/>
    <s v="Договорный документ"/>
    <s v="Управление по разработке"/>
    <s v="Аксенов М.А."/>
    <s v="На бумажном носителе"/>
    <s v="С ограничением по срокам "/>
    <d v="2021-06-21T00:00:00"/>
    <d v="2021-08-21T00:00:00"/>
    <s v="Д-3"/>
    <s v="НИОКР, НИР прочие"/>
    <s v="Расходная часть"/>
    <s v="Рамочный"/>
    <s v="20%"/>
    <s v=""/>
    <s v=""/>
    <s v="5 956 636.80"/>
    <s v="4 963 864.00"/>
    <s v="992 772.80"/>
    <s v="нет"/>
    <s v="нет"/>
    <s v=""/>
    <s v=""/>
    <s v=""/>
    <s v=""/>
    <s v="нет"/>
  </r>
  <r>
    <s v="Газпромнефть-ГЕО, ООО"/>
    <s v="0000047295"/>
    <s v="Зарегистрирован"/>
    <d v="2022-05-17T00:00:00"/>
    <s v=""/>
    <x v="150"/>
    <s v="7708639661"/>
    <s v=""/>
    <s v="ГЕО-22/20000/00103/Д"/>
    <s v="ГЕО-22/20000/00103/Д"/>
    <s v="Нетиповой ДД"/>
    <x v="2"/>
    <s v=""/>
    <s v="00388-22"/>
    <s v=""/>
    <s v="Агентский договор на организацию вертолетных авиаперевозок с ООО &quot;Везерфорд&quot;"/>
    <s v="Авиаперевозка персонала и груза КА"/>
    <s v="Титова Е.В."/>
    <s v="Титова Е.В."/>
    <s v="Договорный документ"/>
    <s v="Блок снабжения и закупок"/>
    <s v="Титов А.В."/>
    <s v="На бумажном носителе"/>
    <s v="С ограничением по срокам "/>
    <d v="2022-06-01T00:00:00"/>
    <d v="2022-12-31T00:00:00"/>
    <s v="Д-56"/>
    <s v="Агентский договор"/>
    <s v="Доходная часть"/>
    <s v="Агентский"/>
    <s v="20%"/>
    <s v=""/>
    <s v=""/>
    <s v="276 179.60"/>
    <s v="230 149.67"/>
    <s v="46 029.93"/>
    <s v="нет"/>
    <s v="нет"/>
    <s v=""/>
    <s v=""/>
    <s v=""/>
    <s v=""/>
    <s v="нет"/>
  </r>
  <r>
    <s v="Газпромнефть-ГЕО, ООО"/>
    <s v="0000080408"/>
    <s v="Зарегистрирован"/>
    <d v="2023-07-21T00:00:00"/>
    <s v=""/>
    <x v="104"/>
    <s v="3812043780"/>
    <s v="ГЕО-22/11029/00171/Р"/>
    <s v=""/>
    <s v="5"/>
    <s v="Нетиповой ДД"/>
    <x v="0"/>
    <s v=""/>
    <s v="00388-23"/>
    <s v=""/>
    <s v="ДС№5 к Договору № ГЕО-22/11029/00171/Р от 25.07.2022г."/>
    <s v="Протокол секторной группы Блока разведки и добычи (БРД) ПАО «Газпром нефть» сектор Капитальное строительство ПТ-601.0076/000008/01 от 08.06.2023."/>
    <s v="Мормышев А.А."/>
    <s v="Бабаев Д.Г."/>
    <s v="Договорный документ"/>
    <s v="Блок главного инженера"/>
    <s v="Трифонов А.В."/>
    <s v="ЭП"/>
    <s v="До исполнения обязательств"/>
    <d v="2023-07-21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Не предполагает взаиморасчетов"/>
    <s v="Рамочный"/>
    <s v=""/>
    <s v=""/>
    <s v=""/>
    <s v=""/>
    <s v=""/>
    <s v=""/>
    <s v="нет"/>
    <s v="нет"/>
    <s v=""/>
    <s v=""/>
    <s v=""/>
    <s v=""/>
    <s v="нет"/>
  </r>
  <r>
    <s v="Газпромнефть-ГЕО, ООО"/>
    <s v="0000081847"/>
    <s v="Зарегистрирован"/>
    <d v="2024-06-27T00:00:00"/>
    <d v="2024-06-28T00:00:00"/>
    <x v="275"/>
    <s v="6311138429"/>
    <s v=""/>
    <s v="ГЕО-24/33100/00117"/>
    <s v="ГЕО-24/33100/00117"/>
    <s v="Типовой ДД"/>
    <x v="1"/>
    <s v="33100 Соглашение в области производственной безопасности"/>
    <s v="00388-24"/>
    <s v=""/>
    <s v="33100 Соглашение в области производственной безопасности с ООО &quot;БТС&quot;"/>
    <s v="Организация безопасности проведения работ согласно обновлённой политике компании в области ПБ"/>
    <s v="Васильева А.И."/>
    <s v="Черешников Е.Е."/>
    <s v="Договорный документ"/>
    <s v="Блок главного инженера"/>
    <s v="Михайлов Ю.А."/>
    <s v="ЭП"/>
    <s v="Без сроков "/>
    <d v="2024-07-01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39463"/>
    <s v="Закрыт"/>
    <d v="2021-06-30T00:00:00"/>
    <s v=""/>
    <x v="39"/>
    <s v="8905034804"/>
    <s v=""/>
    <s v="ГЕО-21/01200/00143/Р"/>
    <s v="ГЕО-21/01200/00143/Р"/>
    <s v="Нетиповой ДД"/>
    <x v="2"/>
    <s v=""/>
    <s v="00389-21"/>
    <s v=""/>
    <s v="Договор купли продажи техники ИТ"/>
    <s v="Приобретение ИТ техники из ООО &quot;Газпромнефть - Ангара&quot;"/>
    <s v="Разумовский М.В."/>
    <s v="Разумовски Максим Викорович"/>
    <s v="Договорный документ"/>
    <s v="Производственно-технологический департамент"/>
    <s v="Аксенов М.А."/>
    <s v="На бумажном носителе"/>
    <s v="До исполнения обязательств"/>
    <d v="2021-06-30T00:00:00"/>
    <s v=""/>
    <s v="Д-3"/>
    <s v="Договор поставки/купли продажи движимого имущества"/>
    <s v="Расходная часть"/>
    <s v="Стоимостной"/>
    <s v="20%"/>
    <s v=""/>
    <s v=""/>
    <s v="15 150 825.24"/>
    <s v="12 625 687.70"/>
    <s v="2 525 137.54"/>
    <s v="нет"/>
    <s v="нет"/>
    <s v=""/>
    <s v=""/>
    <s v=""/>
    <s v=""/>
    <s v="нет"/>
  </r>
  <r>
    <s v="Газпромнефть-ГЕО, ООО"/>
    <s v="0000061300"/>
    <s v="Зарегистрирован"/>
    <d v="2022-05-16T00:00:00"/>
    <s v=""/>
    <x v="191"/>
    <s v="5603011386"/>
    <s v=""/>
    <s v="ГЕО-22/20000/00104/Д"/>
    <s v="ГЕО-22/20000/00104/Д"/>
    <s v="Нетиповой ДД"/>
    <x v="2"/>
    <s v=""/>
    <s v="00389-22"/>
    <s v=""/>
    <s v="Агентский договор на организацию вертолетных авиаперевозок с ООО &quot;СТУ&quot;"/>
    <s v="Авиаперевозка персонала и груза КА"/>
    <s v="Титова Е.В."/>
    <s v="Титова Е.В."/>
    <s v="Договорный документ"/>
    <s v="Блок снабжения и закупок"/>
    <s v="Титов А.В."/>
    <s v="На бумажном носителе"/>
    <s v="С ограничением по срокам "/>
    <d v="2022-05-16T00:00:00"/>
    <d v="2023-03-15T00:00:00"/>
    <s v="Д-56"/>
    <s v="Агентский договор"/>
    <s v="Доходная часть"/>
    <s v="Агентский"/>
    <s v="20%"/>
    <s v=""/>
    <s v=""/>
    <s v="563 419.90"/>
    <s v="469 516.58"/>
    <s v="93 903.32"/>
    <s v="нет"/>
    <s v="нет"/>
    <s v=""/>
    <s v=""/>
    <s v=""/>
    <s v=""/>
    <s v="нет"/>
  </r>
  <r>
    <s v="Газпромнефть-ГЕО, ООО"/>
    <s v="0000080408"/>
    <s v="Зарегистрирован"/>
    <d v="2023-07-21T00:00:00"/>
    <s v=""/>
    <x v="104"/>
    <s v="3812043780"/>
    <s v="ГЕО-22/11029/00172/Р"/>
    <s v=""/>
    <s v="5"/>
    <s v="Нетиповой ДД"/>
    <x v="0"/>
    <s v=""/>
    <s v="00389-23"/>
    <s v=""/>
    <s v="ДС№5 к Договору № ГЕО-22/11029/00172/Р от 25.07.2023г."/>
    <s v="Протокол секторной группы Блока разведки и добычи (БРД) ПАО «Газпром нефть» сектор Капитальное строительство ПТ-601.0076/000008/01 от 08.06.2023."/>
    <s v="Мормышев А.А."/>
    <s v="Бабаев Д.Г."/>
    <s v="Договорный документ"/>
    <s v="Блок главного инженера"/>
    <s v="Трифонов А.В."/>
    <s v="ЭП"/>
    <s v="До исполнения обязательств"/>
    <d v="2023-07-21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Не предполагает взаиморасчетов"/>
    <s v="Рамочный"/>
    <s v=""/>
    <s v=""/>
    <s v=""/>
    <s v=""/>
    <s v=""/>
    <s v=""/>
    <s v="нет"/>
    <s v="нет"/>
    <s v=""/>
    <s v=""/>
    <s v=""/>
    <s v=""/>
    <s v="нет"/>
  </r>
  <r>
    <s v="Газпромнефть-ГЕО, ООО"/>
    <s v="0000084590"/>
    <s v="Зарегистрирован"/>
    <d v="2024-07-07T00:00:00"/>
    <d v="2024-07-03T00:00:00"/>
    <x v="61"/>
    <s v="7708277130"/>
    <s v="ГЕО-23/09000/00149/Р"/>
    <s v=""/>
    <s v="2"/>
    <s v="Нетиповой ДД"/>
    <x v="4"/>
    <s v=""/>
    <s v="00389-24"/>
    <s v="10"/>
    <s v="Изменение №2 к Заявке № 10 к договору № ГЕО-23/09000/00149/Р от «28» августа 2023 г."/>
    <s v="1._x0009_Изложить раздел 1, Заявки № 10 к договору о предоставлении труда работников (персонала) № ГЕО-23/09000/00149/Р от 28.08.2023 г. в части Ф.И.О. работника в следующей редакции:_x000a_- Демидов Денис Дмитриевич._x000a_- Антохин Евгений Анатольевич._x000a_"/>
    <s v="Фокин Е.В."/>
    <s v=""/>
    <s v="Договорный документ"/>
    <s v="Управление производственной безопасности"/>
    <s v="Михайлов Ю.А."/>
    <s v="ЭП"/>
    <s v="С ограничением по срокам "/>
    <d v="2024-01-29T00:00:00"/>
    <d v="2024-09-30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
    <s v="Закрыт"/>
    <d v="2021-07-01T00:00:00"/>
    <s v=""/>
    <x v="290"/>
    <s v=""/>
    <s v=""/>
    <s v="ГЕО-21/09000/00151/Р"/>
    <s v="ГЕО-21/09000/00151/Р"/>
    <s v="Нетиповой ДД"/>
    <x v="2"/>
    <s v=""/>
    <s v="00390-21"/>
    <s v=""/>
    <s v="Договор оказания аудиторских услуг"/>
    <s v="Проведение аудита бухгалтерской (финансовой) отчетности"/>
    <s v="Малова Д.П."/>
    <s v="Малова Д.П."/>
    <s v="Договорный документ"/>
    <s v="Финансовое управление"/>
    <s v="Масалкин Ю.В."/>
    <s v="На бумажном носителе"/>
    <s v="С ограничением по срокам "/>
    <d v="2021-09-01T00:00:00"/>
    <d v="2024-03-01T00:00:00"/>
    <s v=""/>
    <s v="Договор возмездного оказания услуг"/>
    <s v="Расходная часть"/>
    <s v="Стоимостной"/>
    <s v="20%"/>
    <s v=""/>
    <s v=""/>
    <s v="1 126 334.40"/>
    <s v="938 612.00"/>
    <s v="187 722.40"/>
    <s v="нет"/>
    <s v="нет"/>
    <s v=""/>
    <s v=""/>
    <s v=""/>
    <s v=""/>
    <s v="нет"/>
  </r>
  <r>
    <s v="Газпромнефть-ГЕО, ООО"/>
    <s v="0000092844"/>
    <s v="Зарегистрирован"/>
    <d v="2023-07-28T00:00:00"/>
    <s v=""/>
    <x v="291"/>
    <s v="6670342603"/>
    <s v=""/>
    <s v="ГЕО-23/10000/00131/Р"/>
    <s v="ГЕО-23/10000/00131/Р"/>
    <s v="Нетиповой ДД"/>
    <x v="2"/>
    <s v=""/>
    <s v="00390-23"/>
    <s v=""/>
    <s v="Договор подряда"/>
    <s v="Выполнение строительно-монтажных работ, а также работ по пуско-наладке системы усиления сигнала сотовой связи"/>
    <s v="Сорокин И.М."/>
    <s v="Сорокин И.М."/>
    <s v="Договорный документ"/>
    <s v="Блок геологии и разработки"/>
    <s v="Шакирзянов Л.Н."/>
    <s v="ЭП"/>
    <s v="До исполнения обязательств"/>
    <d v="2023-07-28T00:00:00"/>
    <s v=""/>
    <s v="Д-2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958 320.00"/>
    <s v="798 600.00"/>
    <s v="159 720.00"/>
    <s v="нет"/>
    <s v="нет"/>
    <s v=""/>
    <s v=""/>
    <s v=""/>
    <s v=""/>
    <s v="нет"/>
  </r>
  <r>
    <s v="Газпромнефть-ГЕО, ООО"/>
    <s v=""/>
    <s v="Закрыт"/>
    <d v="2021-07-01T00:00:00"/>
    <s v=""/>
    <x v="290"/>
    <s v=""/>
    <s v=""/>
    <s v="ГЕО-21/09000/00152"/>
    <s v="ГЕО-21/09000/00152"/>
    <s v="Типовой ДД"/>
    <x v="1"/>
    <s v="26000 Соглашение о конфиденциальности с российским контрагентом"/>
    <s v="00391-21"/>
    <s v=""/>
    <s v="26000 Соглашение о конфиденциальности с российским контрагентом"/>
    <s v="Проведение аудита бухгалтерской (финансовой) отчетности"/>
    <s v="Малова Д.П."/>
    <s v="Малова Д.П."/>
    <s v="Договорный документ"/>
    <s v="Финансовое управление"/>
    <s v="Масалкин Ю.В."/>
    <s v="На бумажном носителе"/>
    <s v="С ограничением по срокам "/>
    <d v="2021-09-01T00:00:00"/>
    <d v="2024-03-01T00:00:00"/>
    <s v=""/>
    <s v="Договор возмездного оказания услуг"/>
    <s v="Не предполагает взаиморасчетов"/>
    <s v=""/>
    <s v=""/>
    <s v=""/>
    <s v=""/>
    <s v=""/>
    <s v=""/>
    <s v=""/>
    <s v="нет"/>
    <s v="нет"/>
    <s v=""/>
    <s v=""/>
    <s v=""/>
    <s v=""/>
    <s v="нет"/>
  </r>
  <r>
    <s v="Газпромнефть-ГЕО, ООО"/>
    <s v="0000085689"/>
    <s v="Зарегистрирован"/>
    <d v="2024-06-27T00:00:00"/>
    <d v="2024-07-04T00:00:00"/>
    <x v="15"/>
    <s v="3808219470"/>
    <s v=""/>
    <s v="ГЕО-24/33400/00119"/>
    <s v="ГЕО-24/33400/00119"/>
    <s v="Нетиповой ДД"/>
    <x v="1"/>
    <s v=""/>
    <s v="00391-24"/>
    <s v=""/>
    <s v="Соглашение о  безопасном использовании информационных систем"/>
    <s v="Соглашение о  безопасном использовании информационных систем"/>
    <s v="Гулин В.Д."/>
    <s v="Гулин В.Д."/>
    <s v="Договорный документ"/>
    <s v="Блок геологии и разработки"/>
    <s v="Аксенов М.А."/>
    <s v="ЭП"/>
    <s v="С ограничением по срокам "/>
    <d v="2024-06-27T00:00:00"/>
    <d v="2026-07-30T00:00:00"/>
    <s v="Д-54"/>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27645"/>
    <s v="Зарегистрирован"/>
    <d v="2021-07-01T00:00:00"/>
    <s v=""/>
    <x v="80"/>
    <s v="5501072608"/>
    <s v="№ГЕО-18/18000/00046/Р/ГСН-1+/18000/01164/Д/НС-03.3"/>
    <s v=""/>
    <s v="6"/>
    <s v="Нетиповой ДД"/>
    <x v="0"/>
    <s v=""/>
    <s v="00392-21"/>
    <s v="Дополнительное соглашение №5 к договору поручения №ГЕО-18/18000/00046/Р/ГСН-1+/18000/01164/Д/НС-03.3"/>
    <s v="Дополнительное соглашение № 6 к Агентскому договору № ГЕО-18/18000/00046/Р от 06.12.2018 г.  "/>
    <s v="Для возможности ООО &quot;Газпромнефть-Снабжения&quot; в рамках договору осуществлять анализ возможности покрытия потребности в Товаре путем вовлечения свободных запасов Дочерних обществ ПАО «Газпром нефть&quot;."/>
    <s v="Долгов Д.Г."/>
    <s v="Долгов Данил Геннадьевич"/>
    <s v="Договорный документ"/>
    <s v="Блок по закупкам"/>
    <s v="Титов А.В."/>
    <s v="На бумажном носителе"/>
    <s v="До исполнения обязательств"/>
    <d v="2021-07-01T00:00:00"/>
    <s v=""/>
    <s v="Д-11"/>
    <s v="Агентский договор"/>
    <s v="Не предполагает взаиморасчетов"/>
    <s v=""/>
    <s v=""/>
    <s v=""/>
    <s v=""/>
    <s v=""/>
    <s v=""/>
    <s v=""/>
    <s v="нет"/>
    <s v="нет"/>
    <s v=""/>
    <s v=""/>
    <s v=""/>
    <s v=""/>
    <s v="нет"/>
  </r>
  <r>
    <s v="Газпромнефть-ГЕО, ООО"/>
    <s v="0000040878"/>
    <s v="Закрыт"/>
    <d v="2022-05-06T00:00:00"/>
    <s v=""/>
    <x v="40"/>
    <s v="7826711272"/>
    <s v="ГЕО-21/09000/00001/Р "/>
    <s v=""/>
    <s v="2"/>
    <s v="Типовой ДД"/>
    <x v="0"/>
    <s v="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392-22"/>
    <s v=""/>
    <s v="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Буракова О.В."/>
    <s v="Буракова О.В."/>
    <s v="Договорный документ"/>
    <s v="Отдел административной поддержки бизнеса"/>
    <s v="Ковтун М.А."/>
    <s v="На бумажном носителе"/>
    <s v="Без сроков "/>
    <d v="2022-05-06T00:00:00"/>
    <s v=""/>
    <s v="Д-62"/>
    <s v="Договор возмездного оказания услуг"/>
    <s v="Не предполагает взаиморасчетов"/>
    <s v=""/>
    <s v=""/>
    <s v=""/>
    <s v=""/>
    <s v=""/>
    <s v=""/>
    <s v=""/>
    <s v="нет"/>
    <s v="нет"/>
    <s v=""/>
    <s v=""/>
    <s v=""/>
    <s v=""/>
    <s v="нет"/>
  </r>
  <r>
    <s v="Газпромнефть-ГЕО, ООО"/>
    <s v="0000063179"/>
    <s v="Зарегистрирован"/>
    <d v="2023-07-24T00:00:00"/>
    <s v=""/>
    <x v="54"/>
    <s v="7727747172"/>
    <s v=""/>
    <s v="ГЕО-23/18000/00125"/>
    <s v="ГЕО-23/18000/00125"/>
    <s v="Нетиповой ДД"/>
    <x v="2"/>
    <s v=""/>
    <s v="00392-23"/>
    <s v=""/>
    <s v="Договор об обработке персональных данных"/>
    <s v="С целью выполнения обязанностей по обработке персональных данных  в интересах &quot;ГПН-ГЕО&quot;"/>
    <s v="Матвеев В.Н."/>
    <s v="Матвеев В.Н."/>
    <s v="Договорный документ"/>
    <s v="Отдел по работе с подрядными организациями и безопасности на транспорте"/>
    <s v="Созинов С.А."/>
    <s v="ЭП"/>
    <s v="С ограничением по срокам "/>
    <d v="2023-07-24T00:00:00"/>
    <d v="2028-12-31T00:00:00"/>
    <s v="Д-60"/>
    <s v="Договор поручения"/>
    <s v="Не предполагает взаиморасчетов"/>
    <s v=""/>
    <s v=""/>
    <s v=""/>
    <s v=""/>
    <s v=""/>
    <s v=""/>
    <s v=""/>
    <s v="нет"/>
    <s v="нет"/>
    <s v=""/>
    <s v=""/>
    <s v=""/>
    <s v=""/>
    <s v="нет"/>
  </r>
  <r>
    <s v="Газпромнефть-ГЕО, ООО"/>
    <s v="0000086607"/>
    <s v="Закрыт"/>
    <d v="2021-06-21T00:00:00"/>
    <s v=""/>
    <x v="250"/>
    <s v="891105381410"/>
    <s v=""/>
    <s v="ГЕО-21/26000/00141"/>
    <s v="ГЕО-21/26000/00141"/>
    <s v="Типовой ДД"/>
    <x v="1"/>
    <s v="26000 Договор о конфиденциальности с физическим лицом"/>
    <s v="00393-21"/>
    <s v=""/>
    <s v="26000 Договор о конфиденциальности с физическим лицом"/>
    <s v="Неразглашению информации, составляющей коммерческую тайну и иной конфиденциальной информации"/>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1-07-01T00:00:00"/>
    <d v="2021-10-31T00:00:00"/>
    <s v=""/>
    <s v="Соглашение о конфиденциальности"/>
    <s v="Не предполагает взаиморасчетов"/>
    <s v=""/>
    <s v=""/>
    <s v=""/>
    <s v=""/>
    <s v=""/>
    <s v=""/>
    <s v=""/>
    <s v="нет"/>
    <s v="нет"/>
    <s v=""/>
    <s v=""/>
    <s v=""/>
    <s v=""/>
    <s v="нет"/>
  </r>
  <r>
    <s v="Газпромнефть-ГЕО, ООО"/>
    <s v="0000000059"/>
    <s v="Зарегистрирован"/>
    <d v="2022-05-01T00:00:00"/>
    <s v=""/>
    <x v="131"/>
    <s v="8905000428"/>
    <s v="ГЕО-19/00000/00317/Д"/>
    <s v=""/>
    <s v="3"/>
    <s v="Нетиповой ДД"/>
    <x v="0"/>
    <s v=""/>
    <s v="00393-22"/>
    <s v=""/>
    <s v="Дополнительное соглашение №3"/>
    <s v="Увеличение стоимости программы работ"/>
    <s v="Кошелева Ю.В."/>
    <s v="Кошелева Ю.В."/>
    <s v="Договорный документ"/>
    <s v="Управление экономического планирования и анализа"/>
    <s v="Николаев М.Н."/>
    <s v="На бумажном носителе"/>
    <s v="С ограничением по срокам "/>
    <d v="2022-05-01T00:00:00"/>
    <d v="2024-12-31T00:00:00"/>
    <s v="Д-57"/>
    <s v="Договор возмездного оказания услуг"/>
    <s v="Доходная часть"/>
    <s v="Стоимостной"/>
    <s v="20%"/>
    <s v=""/>
    <s v=""/>
    <s v="2 527 510 878.06"/>
    <s v="2 106 259 065.05"/>
    <s v="421 251 813.01"/>
    <s v="нет"/>
    <s v="нет"/>
    <s v=""/>
    <s v=""/>
    <s v=""/>
    <s v=""/>
    <s v="нет"/>
  </r>
  <r>
    <s v="Газпромнефть-ГЕО, ООО"/>
    <s v="0000070846"/>
    <s v="Зарегистрирован"/>
    <d v="2023-07-26T00:00:00"/>
    <s v=""/>
    <x v="132"/>
    <s v="7014052636"/>
    <s v=""/>
    <s v="ГЕО-23/10000/00129/Р"/>
    <s v="ГЕО-23/10000/00129/Р"/>
    <s v="Нетиповой ДД"/>
    <x v="2"/>
    <s v=""/>
    <s v="00393-23"/>
    <s v=""/>
    <s v="Договор на оказание услуг по обслуживанию и прокату погружных установок электроцентробежных насосов"/>
    <s v="Выполнение услуг по обслуживанию и прокату погружных установок электроцентробежных насосов (УЭЦН) для нужд &quot;ГПН-ГЕО&quot; на Лескинском ЛУ в 2023-2024 г."/>
    <s v="Безруков А.А."/>
    <s v="Кузнецов Василий Иванович - Руководитель программ по координации операционной деятельности проектов"/>
    <s v="Договорный документ"/>
    <s v="Производственно-технологический департамент"/>
    <s v="Трифонов А.В."/>
    <s v="ЭП"/>
    <s v="С ограничением по срокам "/>
    <d v="2023-08-01T00:00:00"/>
    <d v="2024-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33023418"/>
    <s v="47 372 006.40"/>
    <s v="39 476 672.00"/>
    <s v="7 895 334.40"/>
    <s v="да"/>
    <s v="нет"/>
    <s v=""/>
    <s v=""/>
    <s v=""/>
    <s v=""/>
    <s v="нет"/>
  </r>
  <r>
    <s v="Газпромнефть-ГЕО, ООО"/>
    <s v="0000108726"/>
    <s v="Зарегистрирован"/>
    <d v="2024-06-28T00:00:00"/>
    <s v=""/>
    <x v="281"/>
    <s v="026207530791"/>
    <s v="ГЕО-23/25000/00226/Р"/>
    <s v=""/>
    <s v="1"/>
    <s v="Нетиповой ДД"/>
    <x v="0"/>
    <s v=""/>
    <s v="00393-24"/>
    <s v=""/>
    <s v="Дополнительное соглашение №1 к договору №ГЕО-23/25000/00226/Р от 09.01.2024 г."/>
    <s v="изменение срока оказания услуг и срока действия договора, а также уменьшение стоимости договора"/>
    <s v="Коваленко М.В."/>
    <s v="Фонарева А.А."/>
    <s v="Договорный документ"/>
    <s v="Отдел по корпоративным коммуникациям"/>
    <s v="Масалкин Ю.В."/>
    <s v="На бумажном носителе"/>
    <s v="С ограничением по срокам "/>
    <d v="2024-06-28T00:00:00"/>
    <d v="2024-06-28T00:00:00"/>
    <s v=""/>
    <s v="Договор оказания услуг с физическим лицом"/>
    <s v="Не предполагает взаиморасчетов"/>
    <s v=""/>
    <s v=""/>
    <s v=""/>
    <s v=""/>
    <s v=""/>
    <s v=""/>
    <s v=""/>
    <s v="нет"/>
    <s v="нет"/>
    <s v=""/>
    <s v=""/>
    <s v=""/>
    <s v=""/>
    <s v="нет"/>
  </r>
  <r>
    <s v="Газпромнефть-ГЕО, ООО"/>
    <s v="0000040656"/>
    <s v="Зарегистрирован"/>
    <d v="2021-06-24T00:00:00"/>
    <s v=""/>
    <x v="288"/>
    <s v="0814118403"/>
    <s v=""/>
    <s v="ГЕО-21/10319/00145/Р"/>
    <s v="ГЕО-21/10319/00145/Р"/>
    <s v="Нетиповой ДД"/>
    <x v="1"/>
    <s v=""/>
    <s v="00394-21"/>
    <s v=""/>
    <s v="Соглашение об урегулировании требования компенсация затрат по договору № АНГ-18/10319/00277/Р от 31.12.2018г. "/>
    <s v="компенсация затрат, возникших в связи с поздним оповещением от Заказчика о переносе мобилизации и изменении сроков бурения скважин 202, 207, 209 Игнялинского лицензионного участка"/>
    <s v="Рябикина М.А."/>
    <s v="Веселкин А.С."/>
    <s v="Договорный документ"/>
    <s v="Блок бурения и ВСР"/>
    <s v="Гаврилов С.В."/>
    <s v="На бумажном носителе"/>
    <s v="До исполнения обязательств"/>
    <d v="2021-06-24T00:00:00"/>
    <s v=""/>
    <s v=""/>
    <s v="Телеметрическое и технологическое  сопровождение при  наклонно-направленном и горизонтальном бурении и технологическое сопровождение (прокат) буровых долот и забойных двигателей"/>
    <s v="Расходная часть"/>
    <s v="Стоимостной"/>
    <s v="без НДС"/>
    <s v=""/>
    <s v=""/>
    <s v="6 128 230.94"/>
    <s v="6 128 230.94"/>
    <n v="0"/>
    <s v="нет"/>
    <s v="нет"/>
    <s v=""/>
    <s v=""/>
    <s v=""/>
    <s v=""/>
    <s v="нет"/>
  </r>
  <r>
    <s v="Газпромнефть-ГЕО, ООО"/>
    <s v="0000062701"/>
    <s v="Зарегистрирован"/>
    <d v="2022-05-05T00:00:00"/>
    <s v=""/>
    <x v="212"/>
    <s v="6318166129"/>
    <s v=""/>
    <s v="ГЕО-22/11000/00096/Р"/>
    <s v="ГЕО-22/11000/00096/Р"/>
    <s v="Нетиповой ДД"/>
    <x v="2"/>
    <s v=""/>
    <s v="00394-22"/>
    <s v=""/>
    <s v="Договор на оказание услуг авторского надзора "/>
    <s v="Оказание услуг авторского надзора за строительством объекта «Поисково-оценочная скважина №1ПО Северо-Ямбург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5-05T00:00:00"/>
    <d v="2024-03-31T00:00:00"/>
    <s v="Д-61"/>
    <s v="Капитальное строительство и ПИР"/>
    <s v="Расходная часть"/>
    <s v="Стоимостной"/>
    <s v="20%"/>
    <s v=""/>
    <s v=""/>
    <s v="3 249 361.93"/>
    <s v="2 707 801.61"/>
    <s v="541 560.32"/>
    <s v="нет"/>
    <s v="нет"/>
    <s v=""/>
    <s v=""/>
    <s v=""/>
    <s v=""/>
    <s v="нет"/>
  </r>
  <r>
    <s v="Газпромнефть-ГЕО, ООО"/>
    <s v="0000039463"/>
    <s v="Проект"/>
    <d v="2023-07-21T00:00:00"/>
    <s v=""/>
    <x v="39"/>
    <s v="8905034804"/>
    <s v="№ГЕО-22/01200/00330/Д"/>
    <s v=""/>
    <s v="2"/>
    <s v="Нетиповой ДД"/>
    <x v="5"/>
    <s v=""/>
    <s v="00394-23"/>
    <s v=""/>
    <s v="Договор купли продажи"/>
    <s v="Реализация МТР (ДТ) проекта ЧОНА с ГПН-ГЕО в ГПН-АНГАРА"/>
    <s v="Лесняк Н.А."/>
    <s v="Лесняк Н.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2-12-23T00:00:00"/>
    <s v=""/>
    <s v="Д-56"/>
    <s v="Договор поставки/купли продажи движимого имущества"/>
    <s v="Доходная часть"/>
    <s v="Стоимостной"/>
    <s v="20%"/>
    <s v=""/>
    <s v=""/>
    <s v="3 151 074.46"/>
    <s v="2 625 895.38"/>
    <s v="525 179.08"/>
    <s v="нет"/>
    <s v="нет"/>
    <s v=""/>
    <s v=""/>
    <s v=""/>
    <s v=""/>
    <s v="нет"/>
  </r>
  <r>
    <s v="Газпромнефть-ГЕО, ООО"/>
    <s v="0000063129"/>
    <s v="Зарегистрирован"/>
    <d v="2024-06-27T00:00:00"/>
    <d v="2024-07-03T00:00:00"/>
    <x v="94"/>
    <s v="5603032851"/>
    <s v="ГЕО-22/10968/00279/Р"/>
    <s v=""/>
    <s v="3.1"/>
    <s v="Нетиповой ДД"/>
    <x v="3"/>
    <s v=""/>
    <s v="00394-24"/>
    <s v=""/>
    <s v="Корректировочный Наряд-заказ №3.1 к договору ГЕО-22/10968/00279/Р от 31.10.2022"/>
    <s v="Организация работы по утилизации отходов бурения на скв. 401 Западно-Рубеженского ЛУ с компанией ООО &quot;Велес&quot;"/>
    <s v="Покатов О.Н."/>
    <s v=""/>
    <s v="Договорный документ"/>
    <s v="Управление производственной безопасности"/>
    <s v="Ядрышников П.Н."/>
    <s v="ЭП"/>
    <s v="С ограничением по срокам "/>
    <d v="2024-06-27T00:00:00"/>
    <d v="2024-09-20T00:00:00"/>
    <s v="Д-51"/>
    <s v="Вывоз, транспортировка и размещение отходов производственной деятельности"/>
    <s v="Расходная часть"/>
    <s v="Рамочный"/>
    <s v="20%"/>
    <s v=""/>
    <s v=""/>
    <s v="10 847 291.69"/>
    <s v="9 039 409.74"/>
    <s v="1 807 881.95"/>
    <s v="нет"/>
    <s v="нет"/>
    <s v=""/>
    <s v=""/>
    <s v=""/>
    <s v=""/>
    <s v="нет"/>
  </r>
  <r>
    <s v="Газпромнефть-ГЕО, ООО"/>
    <s v="0000045789"/>
    <s v="Зарегистрирован"/>
    <d v="2021-06-23T00:00:00"/>
    <s v=""/>
    <x v="16"/>
    <s v="7838395487"/>
    <s v="НТЦ-18/09000/01305/Д-ГЕО/ГЕО-19/09000/00045/Р "/>
    <s v=""/>
    <s v="НТЦ-01369-21Д"/>
    <s v="Нетиповой ДД"/>
    <x v="3"/>
    <s v=""/>
    <s v="00395-21"/>
    <s v=""/>
    <s v="Заказ"/>
    <s v="Информационно-консультационные услуги в формате вебинара по теме: _x000d__x000a_«Экономика проектирования и разработки месторождений», 28.06.2021-30.06.2021, Боряков С.И._x000d__x000a_"/>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1-06-28T00:00:00"/>
    <s v=""/>
    <s v=""/>
    <s v="Договор возмездного оказания услуг"/>
    <s v="Расходная часть"/>
    <s v="Рамочный"/>
    <s v="20%"/>
    <s v=""/>
    <s v=""/>
    <s v="49 680.00"/>
    <s v="41 400.00"/>
    <s v="8 280.00"/>
    <s v="нет"/>
    <s v="нет"/>
    <s v=""/>
    <s v=""/>
    <s v=""/>
    <s v=""/>
    <s v="нет"/>
  </r>
  <r>
    <s v="Газпромнефть-ГЕО, ООО"/>
    <s v="0000062701"/>
    <s v="Зарегистрирован"/>
    <d v="2022-05-05T00:00:00"/>
    <s v=""/>
    <x v="212"/>
    <s v="6318166129"/>
    <s v=""/>
    <s v="ГЕО-22/11000/00097/Р"/>
    <s v="ГЕО-22/11000/00097/Р"/>
    <s v="Нетиповой ДД"/>
    <x v="2"/>
    <s v=""/>
    <s v="00395-22"/>
    <s v=""/>
    <s v="Договор на оказание услуг авторского надзора "/>
    <s v="Оказание услуг авторского надзора за строительством объектов на проекте &quot;Южный Оренбург&quot; на лицензионных участках ООО &quot;ГПН-ГЕО&quot;"/>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5-05T00:00:00"/>
    <d v="2024-03-31T00:00:00"/>
    <s v="Д-61"/>
    <s v="Капитальное строительство и ПИР"/>
    <s v="Расходная часть"/>
    <s v="Стоимостной"/>
    <s v="20%"/>
    <s v=""/>
    <s v=""/>
    <s v="2 542 660.30"/>
    <s v="2 118 883.58"/>
    <s v="423 776.72"/>
    <s v="нет"/>
    <s v="нет"/>
    <s v=""/>
    <s v=""/>
    <s v=""/>
    <s v=""/>
    <s v="нет"/>
  </r>
  <r>
    <s v="Газпромнефть-ГЕО, ООО"/>
    <s v="0000063129"/>
    <s v="Зарегистрирован"/>
    <d v="2023-07-27T00:00:00"/>
    <s v=""/>
    <x v="94"/>
    <s v="5603032851"/>
    <s v="ГЕО-22/10968/00279/Р"/>
    <s v=""/>
    <s v="1"/>
    <s v="Нетиповой ДД"/>
    <x v="0"/>
    <s v=""/>
    <s v="00395-23"/>
    <s v=""/>
    <s v="Дополнительное соглашение № 1 к договору ГЕО-22/10968/00279/Р от 18.11.2022"/>
    <s v="1. Раскрытие не гарантированной части договора 2023года;_x000d__x000a_2. Перераспределение объема работ из гарантированной части договора 2022 года в гарантированную часть договора 2023 года;_x000d__x000a_3.  Перераспределение неизрасходованного объема работ из гарантированной части договора 2022 года в не гарантированную часть договора 2023 года;_x000d__x000a_4. Уменьшение единичной расценки «утилизация отходов бурения (жидкая фаза)» для работ 2023 года по расценкам 2022 года;_x000d__x000a_5. Увеличение объема работ не гарантированной части по «утилизация отходов бурения (жидкая фаза)» 2022 года в счет уменьшения расценки «утилизация отходов бурения (жидкая фаза)» работ 2023 года по расценкам 2022 года."/>
    <s v="Покатов О.Н."/>
    <s v=""/>
    <s v="Договорный документ"/>
    <s v="Блок снабжения и закупок"/>
    <s v="Михайлов Ю.А."/>
    <s v="ЭП"/>
    <s v="До исполнения обязательств"/>
    <d v="2023-07-27T00:00:00"/>
    <s v=""/>
    <s v="Д-2"/>
    <s v="Вывоз, транспортировка и размещение отходов производственной деятельности"/>
    <s v="Расходная часть"/>
    <s v="Стоимостной"/>
    <s v="20%"/>
    <s v=""/>
    <s v=""/>
    <s v="24 271 670.96"/>
    <s v="20 226 392.47"/>
    <s v="4 045 278.49"/>
    <s v="нет"/>
    <s v="нет"/>
    <s v=""/>
    <s v=""/>
    <s v=""/>
    <s v=""/>
    <s v="нет"/>
  </r>
  <r>
    <s v="Газпромнефть-ГЕО, ООО"/>
    <s v="0000061621"/>
    <s v="Зарегистрирован"/>
    <d v="2024-07-01T00:00:00"/>
    <s v=""/>
    <x v="57"/>
    <s v="6381010888"/>
    <s v=""/>
    <s v="ГЕО-24/33200/00122"/>
    <s v="ГЕО-24/33200/00122"/>
    <s v="Типовой ДД"/>
    <x v="1"/>
    <s v="33200 Соглашение об электронном документообороте"/>
    <s v="00395-24"/>
    <s v=""/>
    <s v="33200 Соглашение об электронном документообороте"/>
    <s v="Соглашение об электронном документообороте"/>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4-07-01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08602"/>
    <s v="Закрыт"/>
    <d v="2021-04-16T00:00:00"/>
    <s v=""/>
    <x v="32"/>
    <s v="5504036333"/>
    <s v=""/>
    <s v="ГЕО-21/00000/00144/Д"/>
    <s v="ГЕО-21/00000/00144/Д"/>
    <s v="Нетиповой ДД"/>
    <x v="2"/>
    <s v=""/>
    <s v="00396-21"/>
    <s v=""/>
    <s v="Цифровой двойник СРР"/>
    <s v="Оказать Заказчику услуги по анализу бизнес-процессов и экспретизе технологических решений цифрового продукта U190001390 &quot;Цифровой двойник&quot;"/>
    <s v="Андреева И.В."/>
    <s v="Любимов Е.В."/>
    <s v="Договорный документ"/>
    <s v="Управление экономического планирования и анализа"/>
    <s v="Аксенов М.А."/>
    <s v="На бумажном носителе"/>
    <s v="С ограничением по срокам "/>
    <d v="2021-04-16T00:00:00"/>
    <d v="2023-12-15T00:00:00"/>
    <s v="Д-3"/>
    <s v="ПРОЧИЕ ДОГОВОРЫ"/>
    <s v="Доходная часть"/>
    <s v="Стоимостной"/>
    <s v="20%"/>
    <s v=""/>
    <s v=""/>
    <s v="24 321 528.00"/>
    <s v="20 267 940.00"/>
    <s v="4 053 588.00"/>
    <s v="нет"/>
    <s v="нет"/>
    <s v=""/>
    <s v=""/>
    <s v=""/>
    <s v=""/>
    <s v="нет"/>
  </r>
  <r>
    <s v="Газпромнефть-ГЕО, ООО"/>
    <s v="0000065735"/>
    <s v="Зарегистрирован"/>
    <d v="2022-05-05T00:00:00"/>
    <s v=""/>
    <x v="200"/>
    <s v="0274095068"/>
    <s v=""/>
    <s v="ГЕО-22/11000/00098/Р"/>
    <s v="ГЕО-22/11000/00098/Р"/>
    <s v="Нетиповой ДД"/>
    <x v="2"/>
    <s v=""/>
    <s v="00396-22"/>
    <s v=""/>
    <s v="Договор на оказание услуг авторского надзора "/>
    <s v="Оказание услуг авторского надзора за строительством объекта «Строительство поисково-оценочной скважины №198 Леск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5-05T00:00:00"/>
    <d v="2023-03-31T00:00:00"/>
    <s v="Д-61"/>
    <s v="Капитальное строительство и ПИР"/>
    <s v="Расходная часть"/>
    <s v="Стоимостной"/>
    <s v="20%"/>
    <s v=""/>
    <s v=""/>
    <s v="1 486 948.72"/>
    <s v="1 239 123.93"/>
    <s v="247 824.79"/>
    <s v="нет"/>
    <s v="нет"/>
    <s v=""/>
    <s v=""/>
    <s v=""/>
    <s v=""/>
    <s v="нет"/>
  </r>
  <r>
    <s v="Газпромнефть-ГЕО, ООО"/>
    <s v=""/>
    <s v="Зарегистрирован"/>
    <d v="2023-07-24T00:00:00"/>
    <s v=""/>
    <x v="292"/>
    <s v=""/>
    <s v=""/>
    <s v="ГЕО-23/10000/00133/Р"/>
    <s v="ГЕО-23/10000/00133/Р"/>
    <s v="Нетиповой ДД"/>
    <x v="2"/>
    <s v=""/>
    <s v="00396-23"/>
    <s v=""/>
    <s v="Договор на изготовление запасных частей и комплектующих к нефтепромысловому оборудованию"/>
    <s v="Изготовление запасных частей и комплектующих к нефтепромысловому оборудованию» для скважины 401 Западно – Рубежинского ЛУ"/>
    <s v="Забиров А.А."/>
    <s v="Сергеев А.В."/>
    <s v="Договорный документ"/>
    <s v="Производственно-технологический департамент"/>
    <s v="Трифонов А.В."/>
    <s v="На бумажном носителе"/>
    <s v="С ограничением по срокам "/>
    <d v="2023-07-24T00:00:00"/>
    <d v="2023-08-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11 720.00"/>
    <s v="93 100.00"/>
    <s v="18 620.00"/>
    <s v="нет"/>
    <s v="нет"/>
    <s v=""/>
    <s v=""/>
    <s v=""/>
    <s v=""/>
    <s v="нет"/>
  </r>
  <r>
    <s v="Газпромнефть-ГЕО, ООО"/>
    <s v="0000060716"/>
    <s v="Зарегистрирован"/>
    <d v="2024-07-01T00:00:00"/>
    <s v=""/>
    <x v="18"/>
    <s v="7728803870"/>
    <s v=""/>
    <s v="ГЕО-24/33200/00120"/>
    <s v="ГЕО-24/33200/00120"/>
    <s v="Типовой ДД"/>
    <x v="1"/>
    <s v="33200 Соглашение об электронном документообороте"/>
    <s v="00396-24"/>
    <s v=""/>
    <s v="33200 Соглашение об электронном документообороте"/>
    <s v="Соглашение об электронном документообороте"/>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4-07-01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0952"/>
    <s v="Зарегистрирован"/>
    <d v="2021-02-01T00:00:00"/>
    <s v=""/>
    <x v="207"/>
    <s v="7203126844"/>
    <s v="ГЕО-20/10808/00203/Р"/>
    <s v=""/>
    <s v="1"/>
    <s v="Типовой ДД"/>
    <x v="0"/>
    <s v="00000 ДС на изменение реквизитов контрагента (адрес, счет)"/>
    <s v="00397-21"/>
    <s v=""/>
    <s v="00000 ДС на изменение реквизитов контрагента (адрес, счет)"/>
    <s v="Изменение реквезитов контрагента. "/>
    <s v="Забиров А.А."/>
    <s v=""/>
    <s v="Договорный документ"/>
    <s v="Производственно-технологический департамент"/>
    <s v="Перфильев Д.А."/>
    <s v="На бумажном носителе"/>
    <s v="С ограничением по срокам "/>
    <d v="2021-02-01T00:00:00"/>
    <d v="2023-12-31T00:00:00"/>
    <s v="Д-22"/>
    <s v="ПРОЧИЕ ДОГОВОРЫ"/>
    <s v="Не предполагает взаиморасчетов"/>
    <s v="Рамочный"/>
    <s v=""/>
    <s v=""/>
    <s v=""/>
    <s v=""/>
    <s v=""/>
    <s v=""/>
    <s v="нет"/>
    <s v="нет"/>
    <s v=""/>
    <s v=""/>
    <s v=""/>
    <s v=""/>
    <s v="нет"/>
  </r>
  <r>
    <s v="Газпромнефть-ГЕО, ООО"/>
    <s v="0000063179"/>
    <s v="Зарегистрирован"/>
    <d v="2023-07-18T00:00:00"/>
    <s v=""/>
    <x v="54"/>
    <s v="7727747172"/>
    <s v="ГЕО-20/10986/00138/Р"/>
    <s v=""/>
    <s v="12"/>
    <s v="Нетиповой ДД"/>
    <x v="0"/>
    <s v=""/>
    <s v="00397-23"/>
    <s v=""/>
    <s v="ДС № 12 к ДОГОВОРУ № ГЕО-20/10986/00138/Р от 10.08.2020г. на оказание супервайзерских услуг по контролю состояния производственной безопасности на объектах ООО «ГПН-ГЕО»"/>
    <s v="Приведение к факту, перераспределение объёмов по договору"/>
    <s v="Мормышев А.А."/>
    <s v="Фокин Е.В."/>
    <s v="Договорный документ"/>
    <s v="Блок производственной безопасности"/>
    <s v="Ядрышников П.Н."/>
    <s v="ЭП"/>
    <s v="До исполнения обязательств"/>
    <d v="2023-07-18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8695"/>
    <s v="Проект"/>
    <s v=""/>
    <s v=""/>
    <x v="77"/>
    <s v="1106013435"/>
    <s v=""/>
    <s v=""/>
    <s v=""/>
    <s v="Типовой ДД"/>
    <x v="1"/>
    <s v="33200 Соглашение об электронном документообороте"/>
    <s v="00397-24"/>
    <s v=""/>
    <s v="33200 Соглашение об электронном документообороте"/>
    <s v="Соглашение об электронном документообороте"/>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4-07-01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4750"/>
    <s v="Закрыт"/>
    <d v="2021-07-02T00:00:00"/>
    <s v=""/>
    <x v="66"/>
    <s v="8905062456"/>
    <s v=""/>
    <s v="ГЕО-21/10120/00148/Р"/>
    <s v="ГЕО-21/10120/00148/Р"/>
    <s v="Типовой ДД"/>
    <x v="2"/>
    <s v="10120 Рамочный договор на выполнение работ по услуге &quot;Гидродинамические исследования&quot;"/>
    <s v="00398-21"/>
    <s v=""/>
    <s v="10120 Договор на выполнение работ по услугам &quot;Гидродинамические исследования&quot; и 10125 &quot;ГИС при контроле за разработкой&quot;"/>
    <s v="Оказание услуг по ГДИ и ГИС при контроле за разработкой на Вынгаяхинском, Пограничном, Приобском месторождениях в 2021-2022 годах"/>
    <s v="Шабалин С.В."/>
    <s v="Николаев Владимир Алексеевич, РН по разработке"/>
    <s v="Договорный документ"/>
    <s v="Блок геологии и разработки"/>
    <s v="Аксенов М.А."/>
    <s v="На бумажном носителе"/>
    <s v="С ограничением по срокам "/>
    <d v="2021-07-02T00:00:00"/>
    <d v="2022-12-31T00:00:00"/>
    <s v="Д-3"/>
    <s v="Гидродинамические исследования"/>
    <s v="Расходная часть"/>
    <s v="Рамочный"/>
    <s v="20%"/>
    <s v=""/>
    <s v=""/>
    <s v="188 445 970.02"/>
    <s v="157 038 308.35"/>
    <s v="31 407 661.67"/>
    <s v="нет"/>
    <s v="нет"/>
    <s v=""/>
    <s v=""/>
    <s v=""/>
    <s v=""/>
    <s v="нет"/>
  </r>
  <r>
    <s v="Газпромнефть-ГЕО, ООО"/>
    <s v="0000091163"/>
    <s v="Зарегистрирован"/>
    <d v="2022-05-18T00:00:00"/>
    <s v=""/>
    <x v="149"/>
    <s v="5001063958"/>
    <s v="ГЕО-21/11505/00195/Р"/>
    <s v=""/>
    <s v="2"/>
    <s v="Нетиповой ДД"/>
    <x v="0"/>
    <s v=""/>
    <s v="00398-22"/>
    <s v=""/>
    <s v="Изменение срока оплаты фактически выполненные работы"/>
    <s v="Изложение в новой редакции п.6.2. Договора"/>
    <s v="Хохлов А.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2-05-18T00:00:00"/>
    <d v="2024-12-31T00:00:00"/>
    <s v="Д-61"/>
    <s v="Аэрофотосъемка, космическая съемка. Создание ортофотопланов"/>
    <s v="Не предполагает взаиморасчетов"/>
    <s v="Рамочный"/>
    <s v=""/>
    <s v=""/>
    <s v=""/>
    <s v=""/>
    <s v=""/>
    <s v=""/>
    <s v="нет"/>
    <s v="нет"/>
    <s v=""/>
    <s v=""/>
    <s v=""/>
    <s v=""/>
    <s v="нет"/>
  </r>
  <r>
    <s v="Газпромнефть-ГЕО, ООО"/>
    <s v="0000048356"/>
    <s v="Зарегистрирован"/>
    <d v="2023-07-19T00:00:00"/>
    <s v=""/>
    <x v="152"/>
    <s v="8601034898"/>
    <s v="ГЕО-22/10000/00144/Р"/>
    <s v=""/>
    <s v="2"/>
    <s v="Нетиповой ДД"/>
    <x v="0"/>
    <s v=""/>
    <s v="00398-23"/>
    <s v=""/>
    <s v="ДС №2 к договору №ГЕО-22/10000/00144/Р от 27.06.2022г."/>
    <s v="Перераспреджеление по договору. Выделение ставок."/>
    <s v="Мормышев А.А."/>
    <s v="Белоусов О.В."/>
    <s v="Договорный документ"/>
    <s v="Блок производственной безопасности"/>
    <s v="Михайлов Ю.А."/>
    <s v="ЭП"/>
    <s v="До исполнения обязательств"/>
    <d v="2023-07-19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80408"/>
    <s v="Зарегистрирован"/>
    <d v="2024-07-03T00:00:00"/>
    <d v="2024-07-16T00:00:00"/>
    <x v="104"/>
    <s v="3812043780"/>
    <s v="ГЕО-22/11029/00171/Р"/>
    <s v=""/>
    <s v="5"/>
    <s v="Нетиповой ДД"/>
    <x v="4"/>
    <s v=""/>
    <s v="00398-24"/>
    <s v="1"/>
    <s v="Изм№5 к НЗ№1 по ДД №ГЕО-22/11029/00171/Р  от 25.07.2022г."/>
    <s v="Изм№5 к НЗ№1 по ДД №ГЕО-22/11029/00171/Р  от 25.07.2022г."/>
    <s v="Мормышев А.А."/>
    <s v="Бабаев Д.Г."/>
    <s v="Договорный документ"/>
    <s v="Департамент капитального строительства"/>
    <s v="Трифонов А.В."/>
    <s v="ЭП"/>
    <s v="С ограничением по срокам "/>
    <d v="2022-05-27T00:00:00"/>
    <d v="2024-12-31T00:00:00"/>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73 017 685.36"/>
    <s v="144 181 404.47"/>
    <s v="28 836 280.89"/>
    <s v="нет"/>
    <s v="нет"/>
    <s v=""/>
    <s v=""/>
    <s v=""/>
    <s v=""/>
    <s v="нет"/>
  </r>
  <r>
    <s v="Газпромнефть-ГЕО, ООО"/>
    <s v="0000045789"/>
    <s v="Зарегистрирован"/>
    <d v="2021-07-12T00:00:00"/>
    <s v=""/>
    <x v="16"/>
    <s v="7838395487"/>
    <s v=""/>
    <s v="ГЕО-21/11708/00165/Р"/>
    <s v="ГЕО-21/11708/00165/Р"/>
    <s v="Нетиповой ДД"/>
    <x v="2"/>
    <s v=""/>
    <s v="00399-21"/>
    <s v=""/>
    <s v="Договор на выполнение научно-технических работ и оказание научно-технических услуг (рамочный)"/>
    <s v="Выполнение Исполнителем научно-технических работ и оказание научно-технических услуг в соответствии с Заказами на выполнение работ / оказание услуг"/>
    <s v="Шабалин С.В."/>
    <s v="Коротков С.П."/>
    <s v="Договорный документ"/>
    <s v="Блок геологии и разработки"/>
    <s v="Аксенов М.А."/>
    <s v="На бумажном носителе"/>
    <s v="С ограничением по срокам "/>
    <d v="2021-07-12T00:00:00"/>
    <d v="2026-12-31T00:00:00"/>
    <s v="Д-3"/>
    <s v="НИОКР, НИР прочие"/>
    <s v="Расходная часть"/>
    <s v="Рамочный"/>
    <s v="20%"/>
    <s v=""/>
    <s v=""/>
    <s v="7 264 013 052.00"/>
    <s v="6 053 344 210.00"/>
    <s v="1 210 668 842.00"/>
    <s v="нет"/>
    <s v="нет"/>
    <s v=""/>
    <s v=""/>
    <s v=""/>
    <s v=""/>
    <s v="нет"/>
  </r>
  <r>
    <s v="Газпромнефть-ГЕО, ООО"/>
    <s v="0000064025"/>
    <s v="Зарегистрирован"/>
    <d v="2022-05-19T00:00:00"/>
    <s v=""/>
    <x v="134"/>
    <s v="7728720448"/>
    <s v="ГЕО-22/20000/00094/Д"/>
    <s v=""/>
    <s v="1"/>
    <s v="Нетиповой ДД"/>
    <x v="3"/>
    <s v=""/>
    <s v="00399-22"/>
    <s v=""/>
    <s v="АГЕНТСКОЕ ПОРУЧЕНИЕ № 1"/>
    <s v="Выполнение аэрофотосъемки (пространственное разрешение 0,15 м) и воздушного лазерного сканирования (плотность облака ТЛО - 4 точки на 1 кв. метр) с использованием пилотируемого воздушного судна по следующим объектам: _x000d__x000a_- Хамакинская площадь Чаяндинского НГКМ, расположена в Республике Саха (Якутия) на территории Ленского района, площадь съемки 1490 км2._x000d__x000a_"/>
    <s v="Хохлов А.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2-05-19T00:00:00"/>
    <d v="2022-12-31T00:00:00"/>
    <s v="Д-61"/>
    <s v="Агентский договор"/>
    <s v="Доходная часть"/>
    <s v="Агентский"/>
    <s v="20%"/>
    <s v=""/>
    <s v=""/>
    <s v="19 242 312.96"/>
    <s v="16 035 260.80"/>
    <s v="3 207 052.16"/>
    <s v="нет"/>
    <s v="нет"/>
    <s v=""/>
    <s v=""/>
    <s v=""/>
    <s v=""/>
    <s v="нет"/>
  </r>
  <r>
    <s v="Газпромнефть-ГЕО, ООО"/>
    <s v="0000080408"/>
    <s v="Зарегистрирован"/>
    <d v="2024-07-03T00:00:00"/>
    <d v="2024-07-16T00:00:00"/>
    <x v="104"/>
    <s v="3812043780"/>
    <s v="ГЕО-22/11029/00171/Р"/>
    <s v=""/>
    <s v="3"/>
    <s v="Нетиповой ДД"/>
    <x v="4"/>
    <s v=""/>
    <s v="00399-24"/>
    <s v="2"/>
    <s v="Изм№3 к НЗ№2 по ДД №ГЕО-22/11029/00171/Р  от 25.07.2022г."/>
    <s v="Изм№3 к НЗ№2 по ДД №ГЕО-22/11029/00171/Р  от 25.07.2022г."/>
    <s v="Мормышев А.А."/>
    <s v="Бабаев Д.Г."/>
    <s v="Договорный документ"/>
    <s v="Департамент капитального строительства"/>
    <s v="Трифонов А.В."/>
    <s v="ЭП"/>
    <s v="С ограничением по срокам "/>
    <d v="2022-10-05T00:00:00"/>
    <d v="2024-12-31T00:00:00"/>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89 920 749.92"/>
    <s v="74 933 958.27"/>
    <s v="14 986 791.65"/>
    <s v="нет"/>
    <s v="нет"/>
    <s v=""/>
    <s v=""/>
    <s v=""/>
    <s v=""/>
    <s v="нет"/>
  </r>
  <r>
    <s v="Газпромнефть-ГЕО, ООО"/>
    <s v="0000058974"/>
    <s v="Закрыт"/>
    <d v="2022-05-20T00:00:00"/>
    <s v=""/>
    <x v="178"/>
    <s v="8909001670"/>
    <s v=""/>
    <s v="ГЕО-22/11518/00107/Р"/>
    <s v="ГЕО-22/11518/00107/Р"/>
    <s v="Нетиповой ДД"/>
    <x v="1"/>
    <s v=""/>
    <s v="00400-22"/>
    <s v=""/>
    <s v="Соглашение о возмещении убытков при временном занятии земельных участков "/>
    <s v="Возместить Землепользователю убытки при временном занятии  Предприятием земельных участков, для размещения объектов  «Обустройство поисково-оценочной скважины №72 Хамбатейского лицензионного участка»"/>
    <s v="Титаева И.А."/>
    <s v="Расулов И.Ф."/>
    <s v="Договорный документ"/>
    <s v="Управление маркшейдерско-землеустроительных работ"/>
    <s v="Перфильев Д.А."/>
    <s v="На бумажном носителе"/>
    <s v="До исполнения обязательств"/>
    <d v="2022-09-01T00:00:00"/>
    <s v=""/>
    <s v="Д-61"/>
    <s v="Расчет ущерба землепользователей (упущенной выгоды)"/>
    <s v="Расходная часть"/>
    <s v="Стоимостной"/>
    <s v="без НДС"/>
    <s v=""/>
    <s v=""/>
    <s v="1 114 828.40"/>
    <s v="1 114 828.40"/>
    <n v="0"/>
    <s v="нет"/>
    <s v="нет"/>
    <s v=""/>
    <s v=""/>
    <s v=""/>
    <s v=""/>
    <s v="нет"/>
  </r>
  <r>
    <s v="Газпромнефть-ГЕО, ООО"/>
    <s v="0000048216"/>
    <s v="Зарегистрирован"/>
    <d v="2023-07-24T00:00:00"/>
    <s v=""/>
    <x v="38"/>
    <s v="8605013881"/>
    <s v="ГЕО-22/10000/00055/Р"/>
    <s v=""/>
    <s v="8"/>
    <s v="Нетиповой ДД"/>
    <x v="0"/>
    <s v=""/>
    <s v="00400-23"/>
    <s v=""/>
    <s v="ДС №8 к Договору №ГЕО-22/10000/00055/Р от 17.03.2022 г."/>
    <s v="Перераспределение объемов работ, с уменьшением общей стоимости по договору"/>
    <s v="Ушакова М.А."/>
    <s v=""/>
    <s v="Договорный документ"/>
    <s v="Блок геологии и разработки"/>
    <s v="Волков Г.В."/>
    <s v="ЭП"/>
    <s v="С ограничением по срокам "/>
    <d v="2023-07-24T00:00:00"/>
    <d v="2023-12-31T00:00:00"/>
    <s v="Д-1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02 856 315.61"/>
    <s v="252 380 263.01"/>
    <s v="50 476 052.60"/>
    <s v="нет"/>
    <s v="нет"/>
    <s v=""/>
    <s v=""/>
    <s v=""/>
    <s v=""/>
    <s v="нет"/>
  </r>
  <r>
    <s v="Газпромнефть-ГЕО, ООО"/>
    <s v="0000080408"/>
    <s v="Зарегистрирован"/>
    <d v="2024-07-03T00:00:00"/>
    <d v="2024-07-16T00:00:00"/>
    <x v="104"/>
    <s v="3812043780"/>
    <s v="ГЕО-22/11029/00171/Р"/>
    <s v=""/>
    <s v="4"/>
    <s v="Нетиповой ДД"/>
    <x v="4"/>
    <s v=""/>
    <s v="00400-24"/>
    <s v="3"/>
    <s v="Изм№4 к НЗ№3 по ДД №ГЕО-22/11029/00171/Р  от 25.07.2022г."/>
    <s v="Изм№4 к НЗ№3 по ДД №ГЕО-22/11029/00171/Р  от 25.07.2022г."/>
    <s v="Мормышев А.А."/>
    <s v="Бабаев Д.Г."/>
    <s v="Договорный документ"/>
    <s v="Департамент капитального строительства"/>
    <s v="Трифонов А.В."/>
    <s v="ЭП"/>
    <s v="С ограничением по срокам "/>
    <d v="2023-05-01T00:00:00"/>
    <d v="2024-12-31T00:00:00"/>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08 178 496.26"/>
    <s v="90 148 746.88"/>
    <s v="18 029 749.38"/>
    <s v="нет"/>
    <s v="нет"/>
    <s v=""/>
    <s v=""/>
    <s v=""/>
    <s v=""/>
    <s v="нет"/>
  </r>
  <r>
    <s v="Газпромнефть-ГЕО, ООО"/>
    <s v="0000049141"/>
    <s v="Зарегистрирован"/>
    <d v="2022-05-16T00:00:00"/>
    <s v=""/>
    <x v="60"/>
    <s v="7203215460"/>
    <s v="ГЕО-22/10000/00057/Р"/>
    <s v=""/>
    <s v="1"/>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01-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22/10000/00057/Р"/>
    <s v="Ахматгалиев С.З."/>
    <s v=""/>
    <s v="Договорный документ"/>
    <s v="Блок геологии и разработки"/>
    <s v="Аксенов М.А."/>
    <s v="На бумажном носителе"/>
    <s v="С ограничением по срокам "/>
    <d v="2022-04-22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0408"/>
    <s v="Зарегистрирован"/>
    <d v="2023-07-25T00:00:00"/>
    <s v=""/>
    <x v="104"/>
    <s v="3812043780"/>
    <s v="ГЕО-23/27100/00096/Д"/>
    <s v=""/>
    <s v="2"/>
    <s v="Нетиповой ДД"/>
    <x v="5"/>
    <s v=""/>
    <s v="00401-23"/>
    <s v=""/>
    <s v="Спецификация №2"/>
    <s v="Доходный ДД. _x000d__x000a_От ПО поступил запрос на заключение Спецификации №2 на увеличение объема приобретения ДТ у ГПН-ГЕО на Оморинском ЛУ. Расчет стоимости был согласован ранее, при заключении договора и Спецификации №1. _x000d__x000a_Оплата Товара осуществляется на условиях 100% предоплаты. Цена действительна на весь заявленный объём.       _x000d__x000a_Передача ДТ  осуществляется при участии представителя ГПН-ГЕО (Суперинтендант, супервайзер по бурению)._x000d__x000a_"/>
    <s v="Нежальских В.А."/>
    <s v="Нежальских В.А."/>
    <s v="Договорный документ"/>
    <s v="Управление материально-технического обеспечения, транспортного обеспечения и сопутствующих сервисов"/>
    <s v="Шакирзянов Л.Н."/>
    <s v="ЭП"/>
    <s v="До исполнения обязательств"/>
    <d v="2023-07-25T00:00:00"/>
    <s v=""/>
    <s v="Д-20"/>
    <s v="Договор поставки нефтепродуктов (рубли)"/>
    <s v="Доходная часть"/>
    <s v="Стоимостной"/>
    <s v="20%"/>
    <s v=""/>
    <s v=""/>
    <s v="1 363 965.66"/>
    <s v="1 136 638.05"/>
    <s v="227 327.61"/>
    <s v="нет"/>
    <s v="нет"/>
    <s v=""/>
    <s v=""/>
    <s v=""/>
    <s v=""/>
    <s v="нет"/>
  </r>
  <r>
    <s v="Газпромнефть-ГЕО, ООО"/>
    <s v="0000063129"/>
    <s v="Зарегистрирован"/>
    <d v="2024-07-04T00:00:00"/>
    <s v=""/>
    <x v="94"/>
    <s v="5603032851"/>
    <s v="ГЕО-22/33100/00296"/>
    <s v=""/>
    <s v="1"/>
    <s v="Типовой ДД"/>
    <x v="0"/>
    <s v="33100 Дополнительное соглашение к Соглашениям в  в области производственной безопасности;"/>
    <s v="00401-24"/>
    <s v=""/>
    <s v="33100 Дополнительное соглашение к Соглашениям в  в области производственной безопасности;"/>
    <s v="В целях реализации «Системы управления исполнением договорных обязательств при выполнении производственных работ / услуг» и систематизации процесса взаимодействия с подрядными организациями в области производственной безопасности и оптимизации процесса согласования договорных документов."/>
    <s v="Покатов О.Н."/>
    <s v=""/>
    <s v="Договорный документ"/>
    <s v="Управление производственной безопасности"/>
    <s v="Ядрышников П.Н."/>
    <s v="ЭП"/>
    <s v="До исполнения обязательств"/>
    <d v="2024-07-04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9141"/>
    <s v="Зарегистрирован"/>
    <d v="2022-05-16T00:00:00"/>
    <s v=""/>
    <x v="60"/>
    <s v="7203215460"/>
    <s v="ГЕО-21/07000/00299/Р"/>
    <s v=""/>
    <s v="5"/>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02-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21/07000/00299/Р"/>
    <s v="Ахматгалиев С.З."/>
    <s v=""/>
    <s v="Договорный документ"/>
    <s v="Блок геологии и разработки"/>
    <s v="Аксенов М.А."/>
    <s v="На бумажном носителе"/>
    <s v="С ограничением по срокам "/>
    <d v="2022-04-22T00:00:00"/>
    <d v="2022-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111687"/>
    <s v="Зарегистрирован"/>
    <d v="2023-08-01T00:00:00"/>
    <s v=""/>
    <x v="293"/>
    <s v="5639006421"/>
    <s v=""/>
    <s v="ГЕО-23/04300/00135/Р"/>
    <s v="ГЕО-23/04300/00135/Р"/>
    <s v="Нетиповой ДД"/>
    <x v="1"/>
    <s v=""/>
    <s v="00402-23"/>
    <s v=""/>
    <s v="Соглашение об установлении сервитута в отношении части земельного участка"/>
    <s v="Установление права ограниченного пользования в отношении части земельного участка._x000d__x000a_Право ограниченного пользования частью земельного участка включает в себя: право беспрепятственно осуществлять проход, проезд."/>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8-01T00:00:00"/>
    <d v="2026-06-30T00:00:00"/>
    <s v="Д-33"/>
    <s v="Договор аренды недвижимости"/>
    <s v="Расходная часть"/>
    <s v="Стоимостной"/>
    <s v="20%"/>
    <s v=""/>
    <s v=""/>
    <n v="3.11"/>
    <n v="2.59"/>
    <n v="0.52"/>
    <s v="нет"/>
    <s v="нет"/>
    <s v=""/>
    <s v=""/>
    <s v=""/>
    <s v=""/>
    <s v="нет"/>
  </r>
  <r>
    <s v="Газпромнефть-ГЕО, ООО"/>
    <s v="0000080408"/>
    <s v="Зарегистрирован"/>
    <d v="2024-07-03T00:00:00"/>
    <d v="2024-07-16T00:00:00"/>
    <x v="104"/>
    <s v="3812043780"/>
    <s v="ГЕО-22/11029/00171/Р"/>
    <s v=""/>
    <s v="1"/>
    <s v="Нетиповой ДД"/>
    <x v="4"/>
    <s v=""/>
    <s v="00402-24"/>
    <s v="4"/>
    <s v="Изм№1 к НЗ№4 по ДД №ГЕО-22/11029/00171/Р  от 25.07.2022г."/>
    <s v="Изм№1 к НЗ№4 по ДД №ГЕО-22/11029/00171/Р  от 25.07.2022г."/>
    <s v="Мормышев А.А."/>
    <s v="Бабаев Д.Г."/>
    <s v="Договорный документ"/>
    <s v="Департамент капитального строительства"/>
    <s v="Трифонов А.В."/>
    <s v="ЭП"/>
    <s v="С ограничением по срокам "/>
    <d v="2023-05-01T00:00:00"/>
    <d v="2024-12-31T00:00:00"/>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43 307 392.06"/>
    <s v="36 089 493.38"/>
    <s v="7 217 898.68"/>
    <s v="нет"/>
    <s v="нет"/>
    <s v=""/>
    <s v=""/>
    <s v=""/>
    <s v=""/>
    <s v="нет"/>
  </r>
  <r>
    <s v="Газпромнефть-ГЕО, ООО"/>
    <s v="0000011433"/>
    <s v="Зарегистрирован"/>
    <d v="2021-06-24T00:00:00"/>
    <s v=""/>
    <x v="174"/>
    <s v="8604005359"/>
    <s v="ГЕО-20/11104/00210/Р от 31.12.2020 г."/>
    <s v=""/>
    <s v="1"/>
    <s v="Нетиповой ДД"/>
    <x v="0"/>
    <s v=""/>
    <s v="00403-21"/>
    <s v=""/>
    <s v="ДС№1 к Договору № ГЕО-20/11104/00210/Р от 31.12.2020 г. на оказание авиационных услуг с использованием вертолетов "/>
    <s v="Перевод ГО в НГО в связи со смарт-паузой по проекту &quot;Чона&quot;"/>
    <s v="Ушакова М.А."/>
    <s v="Ушакова М.А."/>
    <s v="Договорный документ"/>
    <s v="Блок по закупкам"/>
    <s v="Титов А.В."/>
    <s v="На бумажном носителе"/>
    <s v="С ограничением по срокам "/>
    <d v="2021-06-24T00:00:00"/>
    <d v="2025-12-31T00:00:00"/>
    <s v="Д-11"/>
    <s v="Авиационное обслуживание (вертолеты)"/>
    <s v="Не предполагает взаиморасчетов"/>
    <s v="Рамочный"/>
    <s v=""/>
    <s v=""/>
    <s v=""/>
    <s v=""/>
    <s v=""/>
    <s v=""/>
    <s v="нет"/>
    <s v="нет"/>
    <s v=""/>
    <s v=""/>
    <s v=""/>
    <s v=""/>
    <s v="нет"/>
  </r>
  <r>
    <s v="Газпромнефть-ГЕО, ООО"/>
    <s v="0000070846"/>
    <s v="Зарегистрирован"/>
    <d v="2023-07-26T00:00:00"/>
    <s v=""/>
    <x v="132"/>
    <s v="7014052636"/>
    <s v=""/>
    <s v="ГЕО-23/33200/00130"/>
    <s v="ГЕО-23/33200/00130"/>
    <s v="Типовой ДД"/>
    <x v="1"/>
    <s v="33200 Соглашение об электронном документообороте"/>
    <s v="00403-23"/>
    <s v=""/>
    <s v="33200 Соглашение об электронном документообороте"/>
    <s v="Применение ЭДО с Подрядчиком"/>
    <s v="Безруков А.А."/>
    <s v="Кузнецов В.И."/>
    <s v="Договорный документ"/>
    <s v="Производственно-технологический департамент"/>
    <s v="Ковтун М.А."/>
    <s v="ЭП"/>
    <s v="С ограничением по срокам "/>
    <d v="2023-08-01T00:00:00"/>
    <d v="2024-12-31T00:00:00"/>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0408"/>
    <s v="Зарегистрирован"/>
    <d v="2024-07-03T00:00:00"/>
    <d v="2024-07-16T00:00:00"/>
    <x v="104"/>
    <s v="3812043780"/>
    <s v="ГЕО-22/11029/00171/Р"/>
    <s v=""/>
    <s v="2"/>
    <s v="Нетиповой ДД"/>
    <x v="4"/>
    <s v=""/>
    <s v="00403-24"/>
    <s v="5"/>
    <s v="Изм№2 к НЗ№5 по ДД №ГЕО-22/11029/00171/Р  от 25.07.2022г."/>
    <s v="Изм№2 к НЗ№5 по ДД №ГЕО-22/11029/00171/Р  от 25.07.2022г."/>
    <s v="Мормышев А.А."/>
    <s v="Бабаев Д.Г."/>
    <s v="Договорный документ"/>
    <s v="Департамент капитального строительства"/>
    <s v="Трифонов А.В."/>
    <s v="ЭП"/>
    <s v="С ограничением по срокам "/>
    <d v="2023-10-25T00:00:00"/>
    <d v="2024-12-31T00:00:00"/>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69 543 874.00"/>
    <s v="141 286 561.67"/>
    <s v="28 257 312.33"/>
    <s v="нет"/>
    <s v="нет"/>
    <s v=""/>
    <s v=""/>
    <s v=""/>
    <s v=""/>
    <s v="нет"/>
  </r>
  <r>
    <s v="Газпромнефть-ГЕО, ООО"/>
    <s v=""/>
    <s v="Закрыт"/>
    <d v="2021-07-08T00:00:00"/>
    <s v=""/>
    <x v="294"/>
    <s v=""/>
    <s v=""/>
    <s v="ГЕО-21/25000/00155/Р"/>
    <s v="ГЕО-21/25000/00155/Р"/>
    <s v="Нетиповой ДД"/>
    <x v="2"/>
    <s v=""/>
    <s v="00404-21"/>
    <s v=""/>
    <s v="договор ГПХ"/>
    <s v="Организация практики студентов программы дополнительного обучения функции «ЗАКУПКИ» "/>
    <s v="Рябикина М.А."/>
    <s v="Рябикина М.А. - Контрактный инженер по услугам капитального строительства - Управление закупок работ и услуг;"/>
    <s v="Договорный документ"/>
    <s v="Блок по закупкам"/>
    <s v="Титов А.В."/>
    <s v="На бумажном носителе"/>
    <s v="С ограничением по срокам "/>
    <d v="2021-07-12T00:00:00"/>
    <d v="2021-08-08T00:00:00"/>
    <s v="Д-11"/>
    <s v="Договор оказания услуг с физическим лицом"/>
    <s v="Расходная часть"/>
    <s v="Стоимостной"/>
    <s v="13%"/>
    <s v=""/>
    <s v=""/>
    <s v="11 300.00"/>
    <s v="9 831.00"/>
    <s v="1 469.00"/>
    <s v="нет"/>
    <s v="нет"/>
    <s v=""/>
    <s v=""/>
    <s v=""/>
    <s v=""/>
    <s v="нет"/>
  </r>
  <r>
    <s v="Газпромнефть-ГЕО, ООО"/>
    <s v="0000051935"/>
    <s v="Зарегистрирован"/>
    <d v="2023-07-25T00:00:00"/>
    <s v=""/>
    <x v="50"/>
    <s v="7709832820"/>
    <s v="ГЕО-23/10000/00023/Р"/>
    <s v=""/>
    <s v="1"/>
    <s v="Нетиповой ДД"/>
    <x v="0"/>
    <s v=""/>
    <s v="00404-23"/>
    <s v=""/>
    <s v="ДС №1 к договору ГЕО-23/10000/00023/Р от 30.01.2023. Исключение банковского сопровождения."/>
    <s v="Исключение банковкой гарантии."/>
    <s v="Мормышев А.А."/>
    <s v="Дунаев Э.В."/>
    <s v="Договорный документ"/>
    <s v="Блок бурения и ВСР"/>
    <s v="Трифонов А.В."/>
    <s v="ЭП"/>
    <s v="До исполнения обязательств"/>
    <d v="2023-07-25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71739"/>
    <s v="Зарегистрирован"/>
    <d v="2024-07-01T00:00:00"/>
    <d v="2024-07-17T00:00:00"/>
    <x v="13"/>
    <s v="7710497816"/>
    <s v=""/>
    <s v="ГЕО-24/33200/00123"/>
    <s v="ГЕО-24/33200/00123"/>
    <s v="Типовой ДД"/>
    <x v="1"/>
    <s v="33200 Соглашение об электронном документообороте"/>
    <s v="00404-24"/>
    <s v=""/>
    <s v="33200 Соглашение об электронном документообороте"/>
    <s v="Соглашение об электронном документообороте"/>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4-07-01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39295"/>
    <s v="Доработка"/>
    <s v=""/>
    <s v=""/>
    <x v="90"/>
    <s v="8618006063"/>
    <s v=""/>
    <s v=""/>
    <s v=""/>
    <s v="Нетиповой ДД"/>
    <x v="2"/>
    <s v=""/>
    <s v="00405-21"/>
    <s v=""/>
    <s v="Консалтинговый договор"/>
    <s v="Подбор технологий повышения эффективности строительства скважин в геолого-геомеханических условиях характерных для Ачимовских залежей Ханты-Мансийского региона в 2021-2023гг."/>
    <s v="Андреева И.В."/>
    <s v="Метелкин Д.В."/>
    <s v="Договорный документ"/>
    <s v="Управление экономического планирования и анализа"/>
    <s v="Масалкин Ю.В."/>
    <s v="На бумажном носителе"/>
    <s v="С ограничением по срокам "/>
    <d v="2021-07-01T00:00:00"/>
    <d v="2023-07-31T00:00:00"/>
    <s v=""/>
    <s v="Договор возмездного оказания услуг"/>
    <s v="Доходная часть"/>
    <s v="Стоимостной"/>
    <s v="20%"/>
    <s v=""/>
    <s v=""/>
    <s v="278 217 409.94"/>
    <s v="231 847 841.62"/>
    <s v="46 369 568.32"/>
    <s v="нет"/>
    <s v="нет"/>
    <s v=""/>
    <s v=""/>
    <s v=""/>
    <s v=""/>
    <s v="нет"/>
  </r>
  <r>
    <s v="Газпромнефть-ГЕО, ООО"/>
    <s v="0000040952"/>
    <s v="Зарегистрирован"/>
    <d v="2022-04-11T00:00:00"/>
    <s v=""/>
    <x v="207"/>
    <s v="7203126844"/>
    <s v="ГЕО-19/10823/00331/Р"/>
    <s v=""/>
    <s v="7"/>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05-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я квалифицированной электронной подписи (УКЭП) при подписании договорных документов в целях повышения эффективности сотрудничества и взаимного снижения издержек. "/>
    <s v="Забиров А.А."/>
    <s v="Забиров А.А."/>
    <s v="Договорный документ"/>
    <s v="Производственно-технологический департамент"/>
    <s v="Перфильев Д.А."/>
    <s v="На бумажном носителе"/>
    <s v="До исполнения обязательств"/>
    <d v="2022-04-11T00:00:00"/>
    <s v=""/>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73563"/>
    <s v="Зарегистрирован"/>
    <d v="2023-07-17T00:00:00"/>
    <s v=""/>
    <x v="120"/>
    <s v="8609322418"/>
    <s v="ГЕО-22/10402/00187/Р"/>
    <s v=""/>
    <s v="6"/>
    <s v="Нетиповой ДД"/>
    <x v="0"/>
    <s v=""/>
    <s v="00405-23"/>
    <s v=""/>
    <s v="ДС-6 к Договору ГЕО-22/10402/00187/Р с Геолад-СТ"/>
    <s v="Раскрытие ГО "/>
    <s v="Яшкина К.Л."/>
    <s v="Конюх М.В."/>
    <s v="Договорный документ"/>
    <s v="Блок бурения и ВСР"/>
    <s v="Трифонов А.В."/>
    <s v="ЭП"/>
    <s v="До исполнения обязательств"/>
    <d v="2023-07-17T00:00:00"/>
    <s v=""/>
    <s v="Д-33"/>
    <s v="Капитальный ремонт и освоение скважин"/>
    <s v="Расходная часть"/>
    <s v="Стоимостной"/>
    <s v="20%"/>
    <s v=""/>
    <s v=""/>
    <s v="255 935 451.60"/>
    <s v="213 279 543.00"/>
    <s v="42 655 908.60"/>
    <s v="нет"/>
    <s v="нет"/>
    <s v=""/>
    <s v=""/>
    <s v=""/>
    <s v=""/>
    <s v="нет"/>
  </r>
  <r>
    <s v="Газпромнефть-ГЕО, ООО"/>
    <s v="0000080408"/>
    <s v="Зарегистрирован"/>
    <d v="2024-07-02T00:00:00"/>
    <d v="2024-07-16T00:00:00"/>
    <x v="104"/>
    <s v="3812043780"/>
    <s v="ГЕО-22/11029/00171/Р"/>
    <s v=""/>
    <s v="6"/>
    <s v="Нетиповой ДД"/>
    <x v="3"/>
    <s v=""/>
    <s v="00405-24"/>
    <s v=""/>
    <s v="НЗ№6 по ДД №ГЕО-22/11029/00171/Р  от 25.07.2022г."/>
    <s v="НЗ№6 по ДД №ГЕО-22/11029/00171/Р  от 25.07.2022г."/>
    <s v="Мормышев А.А."/>
    <s v="Бабаев Д.Г."/>
    <s v="Договорный документ"/>
    <s v="Департамент капитального строительства"/>
    <s v="Трифонов А.В."/>
    <s v="ЭП"/>
    <s v="С ограничением по срокам "/>
    <d v="2023-07-02T00:00:00"/>
    <d v="2024-08-31T00:00:00"/>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47 021 502.00"/>
    <s v="39 184 585.00"/>
    <s v="7 836 917.00"/>
    <s v="нет"/>
    <s v="нет"/>
    <s v=""/>
    <s v=""/>
    <s v=""/>
    <s v=""/>
    <s v="нет"/>
  </r>
  <r>
    <s v="Газпромнефть-ГЕО, ООО"/>
    <s v="0000067121"/>
    <s v="Зарегистрирован"/>
    <d v="2022-04-22T00:00:00"/>
    <s v=""/>
    <x v="62"/>
    <s v="7202171361"/>
    <s v="ГЕО-20/10110/00198/Р"/>
    <s v=""/>
    <s v="6"/>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06-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к договору ГЕО-20/10110/00198/Р"/>
    <s v="Ахматгалиев С.З."/>
    <s v=""/>
    <s v="Договорный документ"/>
    <s v="Блок геологии и разработки"/>
    <s v="Аксенов М.А."/>
    <s v="На бумажном носителе"/>
    <s v="С ограничением по срокам "/>
    <d v="2022-04-22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Зарегистрирован"/>
    <d v="2023-08-11T00:00:00"/>
    <s v=""/>
    <x v="295"/>
    <s v=""/>
    <s v=""/>
    <s v="ГЕО-23/24000/00137/Р"/>
    <s v="ГЕО-23/24000/00137/Р"/>
    <s v="Нетиповой ДД"/>
    <x v="2"/>
    <s v=""/>
    <s v="00406-23"/>
    <s v=""/>
    <s v="Приобретение простой (неисключительной) лицензии на приложение (программный продукт) для мини ПК QBIC TD-0350"/>
    <s v="Проведение закупки и наличие заключенного договора необходимо для использования приложения в рамках организации коворкинг-пространства ООО «ГПН-ГЕО», реализуемое в рамках приказа 82-П от 12.09.2022 (п.3 о трансформации офисного пространства)."/>
    <s v="Попов В.А."/>
    <s v="Попов В.А."/>
    <s v="Договорный документ"/>
    <s v="Блок геологии и разработки"/>
    <s v="Аксенов М.А."/>
    <s v="На бумажном носителе"/>
    <s v="До исполнения обязательств"/>
    <d v="2023-08-11T00:00:00"/>
    <s v=""/>
    <s v="Д-54"/>
    <s v="Лицензионный договор"/>
    <s v="Расходная часть"/>
    <s v="Стоимостной"/>
    <s v="без НДС"/>
    <s v=""/>
    <s v=""/>
    <s v="1 378 000.00"/>
    <s v="1 378 000.00"/>
    <n v="0"/>
    <s v="нет"/>
    <s v="нет"/>
    <s v=""/>
    <s v=""/>
    <s v=""/>
    <s v=""/>
    <s v="нет"/>
  </r>
  <r>
    <s v="Газпромнефть-ГЕО, ООО"/>
    <s v="0000088405"/>
    <s v="Зарегистрирован"/>
    <d v="2021-07-30T00:00:00"/>
    <s v=""/>
    <x v="169"/>
    <s v="6312086734"/>
    <s v="ГЕО-20/10803/00003/Р"/>
    <s v=""/>
    <s v="3"/>
    <s v="Типовой ДД"/>
    <x v="0"/>
    <s v="Дополнительное соглашение к договору на оказание услуг/выполнение работ по замене перечня нарушений и штрафных санкций."/>
    <s v="00407-21"/>
    <s v=""/>
    <s v="Дополнительное соглашение к договору на оказание услуг/выполнение работ по замене перечня нарушений и штрафных санкций."/>
    <s v="Изменение перечня нарушений и штрафных санкций в области ПБ в соотвесвии с протоколом заочного Заседания Комитета по производственной безопасности БРД № ПТ-100.0170/0000004 от 21 апреля 2021г."/>
    <s v="Забиров А.А."/>
    <s v=""/>
    <s v="Договорный документ"/>
    <s v="Производственно-технологический департамент"/>
    <s v="Перфильев Д.А."/>
    <s v="На бумажном носителе"/>
    <s v="С ограничением по срокам "/>
    <d v="2021-07-30T00:00:00"/>
    <d v="2022-12-31T00:00:00"/>
    <s v="Д-22"/>
    <s v="Комплексная эксплуатация энергетического оборудования локальных месторождений нефти"/>
    <s v="Не предполагает взаиморасчетов"/>
    <s v="Рамочный"/>
    <s v=""/>
    <s v=""/>
    <s v=""/>
    <s v=""/>
    <s v=""/>
    <s v=""/>
    <s v="нет"/>
    <s v="нет"/>
    <s v=""/>
    <s v=""/>
    <s v=""/>
    <s v=""/>
    <s v="нет"/>
  </r>
  <r>
    <s v="Газпромнефть-ГЕО, ООО"/>
    <s v="0000060723"/>
    <s v="Зарегистрирован"/>
    <d v="2022-05-16T00:00:00"/>
    <s v=""/>
    <x v="49"/>
    <s v="3811088474"/>
    <s v="АНГ-19/11513/00007/Р"/>
    <s v=""/>
    <s v="31"/>
    <s v="Нетиповой ДД"/>
    <x v="3"/>
    <s v=""/>
    <s v="00407-22"/>
    <s v=""/>
    <s v="НАРЯД-ЗАКАЗ №31 к Договору № АНГ-19/11513/00007/Р от 14.02.2019"/>
    <s v="Оформление земельных участков для объекта: «Обустройство поисково-оценочной скважины 198 Лескинского лицензионного участка» (оформление разрешения под дополнительные земельные участки)"/>
    <s v="Горев М.А."/>
    <s v="Горев М.А."/>
    <s v="Договорный документ"/>
    <s v="Управление маркшейдерско-землеустроительных работ"/>
    <s v="Перфильев Д.А."/>
    <s v="На бумажном носителе"/>
    <s v="С ограничением по срокам "/>
    <d v="2022-05-16T00:00:00"/>
    <d v="2022-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99 910.41"/>
    <s v="166 592.01"/>
    <s v="33 318.40"/>
    <s v="нет"/>
    <s v="нет"/>
    <s v=""/>
    <s v=""/>
    <s v=""/>
    <s v=""/>
    <s v="нет"/>
  </r>
  <r>
    <s v="Газпромнефть-ГЕО, ООО"/>
    <s v="0000062082"/>
    <s v="Зарегистрирован"/>
    <d v="2023-07-03T00:00:00"/>
    <s v=""/>
    <x v="122"/>
    <s v="7704627560"/>
    <s v="ГЕО-19/10201/00155/Р "/>
    <s v=""/>
    <s v="ПР к ДС-10 к договору  № ГЕО-19/10201/00155/Р "/>
    <s v="Нетиповой ДД"/>
    <x v="11"/>
    <s v=""/>
    <s v="00407-23"/>
    <s v=""/>
    <s v="ПР к ДС-10 к договору от 11.07.2019г. № ГЕО-19/10201/00155/Р "/>
    <s v="ПР к ДС-10, добавление уточняющего пункта вывоза МТР со стороны подрядчика"/>
    <s v="Яшкина К.Л."/>
    <s v="Дорогойченков Д.В."/>
    <s v="Договорный документ"/>
    <s v="Блок бурения и ВСР"/>
    <s v="Трифонов А.В."/>
    <s v="На бумажном носителе"/>
    <s v="С ограничением по срокам "/>
    <d v="2023-07-03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0408"/>
    <s v="Зарегистрирован"/>
    <d v="2024-07-04T00:00:00"/>
    <d v="2024-07-16T00:00:00"/>
    <x v="104"/>
    <s v="3812043780"/>
    <s v="ГЕО-22/11029/00172/Р"/>
    <s v=""/>
    <s v="4"/>
    <s v="Нетиповой ДД"/>
    <x v="4"/>
    <s v=""/>
    <s v="00407-24"/>
    <s v="2"/>
    <s v="Изм№4 к НЗ№2 к ДД №ГЕО-22/11029/00172/Р от 25.07.2022 (Камовская)"/>
    <s v="Изм№4 к НЗ№2 к ДД №ГЕО-22/11029/00172/Р от 25.07.2022 (Камовская)"/>
    <s v="Мормышев А.А."/>
    <s v="Бабаев Д.Г."/>
    <s v="Договорный документ"/>
    <s v="Департамент капитального строительства"/>
    <s v="Трифонов А.В."/>
    <s v="ЭП"/>
    <s v="С ограничением по срокам "/>
    <d v="2022-12-22T00:00:00"/>
    <d v="2024-07-31T00:00:00"/>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21 847 457.60"/>
    <s v="101 539 548.00"/>
    <s v="20 307 909.60"/>
    <s v="нет"/>
    <s v="нет"/>
    <s v=""/>
    <s v=""/>
    <s v=""/>
    <s v=""/>
    <s v="нет"/>
  </r>
  <r>
    <s v="Газпромнефть-ГЕО, ООО"/>
    <s v=""/>
    <s v="Зарегистрирован"/>
    <d v="2021-07-01T00:00:00"/>
    <s v=""/>
    <x v="290"/>
    <s v=""/>
    <s v=""/>
    <s v="ГЕО-21/00000/00147"/>
    <s v="ГЕО-21/00000/00147"/>
    <s v="Типовой ДД"/>
    <x v="1"/>
    <s v="00000 Соглашение об электронном документообороте"/>
    <s v="00408-21"/>
    <s v=""/>
    <s v="00000 Соглашение об электронном документообороте"/>
    <s v="В рамках перехода на ЭДО"/>
    <s v="Малова Д.П."/>
    <s v="Малова Д.П."/>
    <s v="Договорный документ"/>
    <s v="Финансовое управление"/>
    <s v="Масалкин Ю.В."/>
    <s v="На бумажном носителе"/>
    <s v="С ограничением по срокам "/>
    <d v="2021-07-01T00:00:00"/>
    <d v="2026-07-01T00:00:00"/>
    <s v=""/>
    <s v="ПРОЧИЕ ДОГОВОРЫ"/>
    <s v="Не предполагает взаиморасчетов"/>
    <s v=""/>
    <s v=""/>
    <s v=""/>
    <s v=""/>
    <s v=""/>
    <s v=""/>
    <s v=""/>
    <s v="нет"/>
    <s v="нет"/>
    <s v=""/>
    <s v=""/>
    <s v=""/>
    <s v=""/>
    <s v="нет"/>
  </r>
  <r>
    <s v="Газпромнефть-ГЕО, ООО"/>
    <s v="0000066687"/>
    <s v="Зарегистрирован"/>
    <d v="2022-05-13T00:00:00"/>
    <s v=""/>
    <x v="161"/>
    <s v="9909012867"/>
    <s v="ГЕО-21/20000/00286/Д"/>
    <s v=""/>
    <s v="2"/>
    <s v="Нетиповой ДД"/>
    <x v="0"/>
    <s v=""/>
    <s v="00408-22"/>
    <s v=""/>
    <s v="ДС №2 к АД ГЕО-21/20000/00286/Д от 16.12.2021 Шлюмберже Лод."/>
    <s v="Увеличение стоимости договора"/>
    <s v="Титова Е.В."/>
    <s v=""/>
    <s v="Договорный документ"/>
    <s v="Блок снабжения и закупок"/>
    <s v="Титов А.В."/>
    <s v="На бумажном носителе"/>
    <s v="До исполнения обязательств"/>
    <d v="2022-05-13T00:00:00"/>
    <s v=""/>
    <s v="Д-56"/>
    <s v="Агентский договор"/>
    <s v="Доходная часть"/>
    <s v="Агентский"/>
    <s v="20%"/>
    <s v=""/>
    <s v=""/>
    <s v="51 346.12"/>
    <s v="42 788.43"/>
    <s v="8 557.69"/>
    <s v="нет"/>
    <s v="нет"/>
    <s v=""/>
    <s v=""/>
    <s v=""/>
    <s v=""/>
    <s v="нет"/>
  </r>
  <r>
    <s v="Газпромнефть-ГЕО, ООО"/>
    <s v="0000067067"/>
    <s v="Зарегистрирован"/>
    <d v="2023-07-26T00:00:00"/>
    <s v=""/>
    <x v="85"/>
    <s v="7816483740"/>
    <s v="ГЕО-19/09000/00303/Р"/>
    <s v=""/>
    <s v="НЗ №2 к договору ГЕО-19/09000/00303/Р"/>
    <s v="Нетиповой ДД"/>
    <x v="8"/>
    <s v=""/>
    <s v="00408-23"/>
    <s v=""/>
    <s v="Наряд-задание № 2 к договору ГЕО-19/09000/00303/Р от 15.11.2019"/>
    <s v="Организации работы здравпунктов и оказанию медицинских услуг с компанией ООО «ММЦ Профмедицина» (Оморинский ЛУ),"/>
    <s v="Покатов О.Н."/>
    <s v=""/>
    <s v="Договорный документ"/>
    <s v="Блок снабжения и закупок"/>
    <s v="Михайлов Ю.А."/>
    <s v="ЭП"/>
    <s v="До исполнения обязательств"/>
    <d v="2023-07-26T00:00:00"/>
    <s v=""/>
    <s v="Д-2"/>
    <s v="Договор возмездного оказания услуг"/>
    <s v="Расходная часть"/>
    <s v="Стоимостной"/>
    <s v="20%"/>
    <s v=""/>
    <s v=""/>
    <s v="22 408 941.82"/>
    <s v="18 674 118.18"/>
    <s v="3 734 823.64"/>
    <s v="нет"/>
    <s v="нет"/>
    <s v=""/>
    <s v=""/>
    <s v=""/>
    <s v=""/>
    <s v="нет"/>
  </r>
  <r>
    <s v="Газпромнефть-ГЕО, ООО"/>
    <s v="0000080408"/>
    <s v="Зарегистрирован"/>
    <d v="2024-07-04T00:00:00"/>
    <d v="2024-07-16T00:00:00"/>
    <x v="104"/>
    <s v="3812043780"/>
    <s v="ГЕО-22/11029/00172/Р"/>
    <s v=""/>
    <s v="3"/>
    <s v="Нетиповой ДД"/>
    <x v="4"/>
    <s v=""/>
    <s v="00408-24"/>
    <s v="5"/>
    <s v="Изм№3 к НЗ№5 к ДД №ГЕО-22/11029/00172/Р от 25.07.2022 (Камовская)"/>
    <s v="Изм№3 к НЗ№5 к ДД №ГЕО-22/11029/00172/Р от 25.07.2022 (Камовская)"/>
    <s v="Мормышев А.А."/>
    <s v="Бабаев Д.Г."/>
    <s v="Договорный документ"/>
    <s v="Департамент капитального строительства"/>
    <s v="Трифонов А.В."/>
    <s v="ЭП"/>
    <s v="С ограничением по срокам "/>
    <d v="2023-11-01T00:00:00"/>
    <d v="2024-07-31T00:00:00"/>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54 720 760.40"/>
    <s v="128 933 967.00"/>
    <s v="25 786 793.40"/>
    <s v="нет"/>
    <s v="нет"/>
    <s v=""/>
    <s v=""/>
    <s v=""/>
    <s v=""/>
    <s v="нет"/>
  </r>
  <r>
    <s v="Газпромнефть-ГЕО, ООО"/>
    <s v="0000025354"/>
    <s v="Зарегистрирован"/>
    <d v="2021-07-05T00:00:00"/>
    <s v=""/>
    <x v="111"/>
    <s v="5003026493"/>
    <s v=""/>
    <s v="ГЕО-21/01200/00153/Р"/>
    <s v="ГЕО-21/01200/00153/Р"/>
    <s v="Типовой ДД"/>
    <x v="2"/>
    <s v="01200 Договор  поставки МТР"/>
    <s v="00409-21"/>
    <s v=""/>
    <s v="01200 Договор  поставки МТР"/>
    <s v="В соответствии с договором №АНГ-18/10204/00243/Р от 19.11.2018г. _x000d__x000a_ООО «Газпром бурение» оказывали услуги по бурению эксплуатационных/разведочных скважин на Игнялинском ЛУ, на основании п.12 раздела 9 Приложения 1 к Техническому заданию, ООО «Газпром бурение» обеспечивает укладку дорожных плит ПДН под БУ с последующей реализацией Заказчику по остаточной стоимости после окончания строительства скважины._x000d__x000a_ В целях выполнения условий Договора №АНГ-18/10204/00243/Р от 19.11.2018г., а также принимая во внимание, что предложенное коммерческое предложение на поставку дорожных плит ПДН не превышает рыночной стоимости, предлагается произвести закупку у ООО «Газпром бурение» "/>
    <s v="Долгов Д.Г."/>
    <s v="Мячина Мария Валерьевна"/>
    <s v="Договорный документ"/>
    <s v="Блок бурения и ВСР"/>
    <s v="Титов А.В."/>
    <s v="На бумажном носителе"/>
    <s v="До исполнения обязательств"/>
    <d v="2021-07-01T00:00:00"/>
    <s v=""/>
    <s v="Д-11"/>
    <s v="Договор поставки/купли продажи движимого имущества"/>
    <s v="Расходная часть"/>
    <s v="Стоимостной"/>
    <s v="20%"/>
    <s v=""/>
    <s v=""/>
    <s v="225 000.00"/>
    <s v="187 500.00"/>
    <s v="37 500.00"/>
    <s v="нет"/>
    <s v="нет"/>
    <s v=""/>
    <s v=""/>
    <s v=""/>
    <s v=""/>
    <s v="нет"/>
  </r>
  <r>
    <s v="Газпромнефть-ГЕО, ООО"/>
    <s v="0000062082"/>
    <s v="Зарегистрирован"/>
    <d v="2023-07-27T00:00:00"/>
    <s v=""/>
    <x v="122"/>
    <s v="7704627560"/>
    <s v=""/>
    <s v=""/>
    <s v="11"/>
    <s v="Типовой ДД"/>
    <x v="0"/>
    <s v="00000 ДС на изменение реквизитов контрагента (адрес, счет)"/>
    <s v="00409-23"/>
    <s v=""/>
    <s v="00000 ДС на изменение реквизитов контрагента (адрес, счет)"/>
    <s v="Изменение рквизитов "/>
    <s v="Яшкина К.Л."/>
    <s v="Дорогойченков Д.В."/>
    <s v="Договорный документ"/>
    <s v="Блок бурения и ВСР"/>
    <s v="Трифонов А.В."/>
    <s v="На бумажном носителе"/>
    <s v="С ограничением по срокам "/>
    <d v="2023-07-27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70856"/>
    <s v="Зарегистрирован"/>
    <d v="2024-07-08T00:00:00"/>
    <s v=""/>
    <x v="163"/>
    <s v="7722319952"/>
    <s v="ГЕО-23/10000/00094/Р"/>
    <s v=""/>
    <s v="3"/>
    <s v="Нетиповой ДД"/>
    <x v="3"/>
    <s v=""/>
    <s v="00409-24"/>
    <s v=""/>
    <s v="НАРЯД-ЗАКАЗ №3 к Договору № ГЕО-23/10000/00094/Р от 01.06.2023"/>
    <s v="Оформление земельных участков для проекта «ЧОНА» Игнялинского ЛУ."/>
    <s v="Горев М.А."/>
    <s v=""/>
    <s v="Договорный документ"/>
    <s v="Управление маркшейдерско-землеустроительных работ"/>
    <s v="Перфильев Д.А."/>
    <s v="На бумажном носителе"/>
    <s v="С ограничением по срокам "/>
    <d v="2024-07-08T00:00:00"/>
    <d v="2025-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 761 482.54"/>
    <s v="3 134 568.78"/>
    <s v="626 913.76"/>
    <s v="нет"/>
    <s v="нет"/>
    <s v=""/>
    <s v=""/>
    <s v=""/>
    <s v=""/>
    <s v="нет"/>
  </r>
  <r>
    <s v="Газпромнефть-ГЕО, ООО"/>
    <s v="0000039295"/>
    <s v="Зарегистрирован"/>
    <d v="2021-07-21T00:00:00"/>
    <s v=""/>
    <x v="90"/>
    <s v="8618006063"/>
    <s v=""/>
    <s v="ГЕО-21/11708/00183/Д"/>
    <s v="ГЕО-21/11708/00183/Д"/>
    <s v="Нетиповой ДД"/>
    <x v="2"/>
    <s v=""/>
    <s v="00410-21"/>
    <s v=""/>
    <s v="Выполнение научно-технических работ и оказание услуг по теме &quot;Бизнес технологический продукт Ачимовская скважина&quot;"/>
    <s v="Подбор технологий повышения эффективности строительства скважин в геолого-геомеханических условиях характерных для Ачимовских залежей Ханты-Мансийского региона в 2021-2023гг."/>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1-07-02T00:00:00"/>
    <d v="2023-07-31T00:00:00"/>
    <s v=""/>
    <s v="НИОКР, НИР прочие"/>
    <s v="Доходная часть"/>
    <s v="Стоимостной"/>
    <s v="20%"/>
    <s v=""/>
    <s v=""/>
    <s v="278 217 409.94"/>
    <s v="231 847 841.62"/>
    <s v="46 369 568.32"/>
    <s v="нет"/>
    <s v="нет"/>
    <s v=""/>
    <s v=""/>
    <s v=""/>
    <s v=""/>
    <s v="нет"/>
  </r>
  <r>
    <s v="Газпромнефть-ГЕО, ООО"/>
    <s v="0000060723"/>
    <s v="Зарегистрирован"/>
    <d v="2022-05-16T00:00:00"/>
    <s v=""/>
    <x v="49"/>
    <s v="3811088474"/>
    <s v="АНГ-19/11513/00007/Р"/>
    <s v=""/>
    <s v="3"/>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10-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2-05-13T00:00:00"/>
    <d v="2024-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91163"/>
    <s v="Зарегистрирован"/>
    <d v="2023-07-27T00:00:00"/>
    <s v=""/>
    <x v="149"/>
    <s v="5001063958"/>
    <s v="ГЕО-21/11505/00195/Р"/>
    <s v=""/>
    <s v="7"/>
    <s v="Нетиповой ДД"/>
    <x v="3"/>
    <s v=""/>
    <s v="00410-23"/>
    <s v=""/>
    <s v="Наряд-заказ № 7 к договору ГЕО-21/11505/00195/Р от 24.08.2021 г."/>
    <s v="Выполнение аэрофотосъемки на Тас-Юряхском и Верхневилючанском ЛУ для нужд ГПН-Заполярье, согласно агентской схемы."/>
    <s v="Безруков А.А."/>
    <s v="Хохлов А.А."/>
    <s v="Договорный документ"/>
    <s v="Блок главного инженера"/>
    <s v="Трифонов А.В."/>
    <s v="ЭП"/>
    <s v="С ограничением по срокам "/>
    <d v="2023-07-27T00:00:00"/>
    <d v="2023-11-30T00:00:00"/>
    <s v="Д-33"/>
    <s v="Аэрофотосъемка, космическая съемка. Создание ортофотопланов"/>
    <s v="Расходная часть"/>
    <s v="Рамочный"/>
    <s v="без НДС"/>
    <s v=""/>
    <s v=""/>
    <s v="29 171 012.00"/>
    <s v="29 171 012.00"/>
    <n v="0"/>
    <s v="нет"/>
    <s v="нет"/>
    <s v=""/>
    <s v=""/>
    <s v=""/>
    <s v=""/>
    <s v="нет"/>
  </r>
  <r>
    <s v="Газпромнефть-ГЕО, ООО"/>
    <s v="0000060441"/>
    <s v="Зарегистрирован"/>
    <d v="2024-08-13T00:00:00"/>
    <s v=""/>
    <x v="214"/>
    <s v="7805544260"/>
    <s v=""/>
    <s v="ГЕО-24/01230/00146/Р"/>
    <s v="ГЕО-24/01230/00146/Р"/>
    <s v="Нетиповой ДД"/>
    <x v="2"/>
    <s v=""/>
    <s v="00410-24"/>
    <s v=""/>
    <s v="МСЗ закупка СКЗИ"/>
    <s v="Проведение закупки средств крипто графической защиты._x000a_"/>
    <s v="Разумовский М.В."/>
    <s v="Разумовский М.В."/>
    <s v="Договорный документ"/>
    <s v="Блок геологии и разработки"/>
    <s v="Аксенов М.А."/>
    <s v="На бумажном носителе"/>
    <s v="До исполнения обязательств"/>
    <d v="2024-08-13T00:00:00"/>
    <s v=""/>
    <s v="Д-54"/>
    <s v="договор купли-продажи программного обеспечения для ЭВМ и баз данных"/>
    <s v="Расходная часть"/>
    <s v="Стоимостной"/>
    <s v="иное"/>
    <s v=""/>
    <s v=""/>
    <s v="742 100.00"/>
    <s v="728 750.00"/>
    <s v="13 350.00"/>
    <s v="нет"/>
    <s v="нет"/>
    <s v=""/>
    <s v=""/>
    <s v=""/>
    <s v=""/>
    <s v="нет"/>
  </r>
  <r>
    <s v="Газпромнефть-ГЕО, ООО"/>
    <s v="0000040952"/>
    <s v="Зарегистрирован"/>
    <d v="2021-06-30T00:00:00"/>
    <s v=""/>
    <x v="207"/>
    <s v="7203126844"/>
    <s v="ГЕО-20/10808/00203/Р "/>
    <s v=""/>
    <s v="2"/>
    <s v="Типовой ДД"/>
    <x v="0"/>
    <s v="Дополнительное соглашение к договору на оказание услуг/выполнение работ по замене перечня нарушений и штрафных санкций."/>
    <s v="00411-21"/>
    <s v=""/>
    <s v="Дополнительное соглашение к договору на оказание услуг/выполнение работ по замене перечня нарушений и штрафных санкций."/>
    <s v="Изменение перечня нарушений и штрафных санкций в области ПБ в соотвесвии с протоколом заочного Заседания Комитета по производственной безопасности БРД № ПТ-100.0170/0000004 от 21 апреля 2021г."/>
    <s v="Забиров А.А."/>
    <s v=""/>
    <s v="Договорный документ"/>
    <s v="Производственно-технологический департамент"/>
    <s v="Перфильев Д.А."/>
    <s v="На бумажном носителе"/>
    <s v="С ограничением по срокам "/>
    <d v="2021-06-30T00:00:00"/>
    <d v="2023-12-31T00:00:00"/>
    <s v="Д-22"/>
    <s v="Эксплуатация и обслуживание теплоэнергетического оборудования, сетей тепловодоснабжения и канализации (котлы, арт. скважины, станции обезжелезивания, эл. оборудование котельных,  узлов учета тепловой энергии и воды,оборудования водоподготовки и очистки хозяйственно-бытовых стоков  и т.д.)"/>
    <s v="Не предполагает взаиморасчетов"/>
    <s v=""/>
    <s v=""/>
    <s v=""/>
    <s v=""/>
    <s v=""/>
    <s v=""/>
    <s v=""/>
    <s v="нет"/>
    <s v="нет"/>
    <s v=""/>
    <s v=""/>
    <s v=""/>
    <s v=""/>
    <s v="нет"/>
  </r>
  <r>
    <s v="Газпромнефть-ГЕО, ООО"/>
    <s v="0000045789"/>
    <s v="Зарегистрирован"/>
    <d v="2022-04-29T00:00:00"/>
    <s v=""/>
    <x v="16"/>
    <s v="7838395487"/>
    <s v="ГЕО-21/11708/00165/Р//НТЦ-21/09000/00768/Д"/>
    <s v=""/>
    <s v="НТЦ-01500-22Д-ГЕО"/>
    <s v="Нетиповой ДД"/>
    <x v="3"/>
    <s v=""/>
    <s v="00411-22"/>
    <s v=""/>
    <s v="Оценка рисков и прогнозирование процессов образования АСПО при закачке газа в свободном объёме флюида и поровом пространстве породы коллектора"/>
    <s v="Целесообразность работ обусловлено необходимостью получения полной и достоверной информации о свойствах горных пород и пластовых флюидов, необходимой для решения геолого-промысловых задач поиска, разведки и добычи углеводородов"/>
    <s v="Ябиров Р.З."/>
    <s v=""/>
    <s v="Договорный документ"/>
    <s v="Блок геологии и разработки"/>
    <s v="Аксенов М.А."/>
    <s v="На бумажном носителе"/>
    <s v="С ограничением по срокам "/>
    <d v="2022-04-29T00:00:00"/>
    <d v="2022-12-12T00:00:00"/>
    <s v="Д-54"/>
    <s v="Договор на выполнение НИР, ОКР и технологических работ"/>
    <s v="Расходная часть"/>
    <s v="Рамочный"/>
    <s v="20%"/>
    <s v=""/>
    <s v=""/>
    <s v="21 173 402.40"/>
    <s v="17 644 502.00"/>
    <s v="3 528 900.40"/>
    <s v="нет"/>
    <s v="нет"/>
    <s v=""/>
    <s v=""/>
    <s v=""/>
    <s v=""/>
    <s v="нет"/>
  </r>
  <r>
    <s v="Газпромнефть-ГЕО, ООО"/>
    <s v="0000092844"/>
    <s v="Зарегистрирован"/>
    <d v="2023-07-27T00:00:00"/>
    <s v=""/>
    <x v="291"/>
    <s v="6670342603"/>
    <s v=""/>
    <s v="ГЕО-23/33100/00132"/>
    <s v="ГЕО-23/33100/00132"/>
    <s v="Типовой ДД"/>
    <x v="1"/>
    <s v="33100 Соглашение в области производственной безопасности"/>
    <s v="00411-23"/>
    <s v=""/>
    <s v="33100 Соглашение в области производственной безопасности"/>
    <s v="Выполнение работ по организации системы усиления сотовой связи"/>
    <s v="Сорокин И.М."/>
    <s v="Сорокин И.М."/>
    <s v="Договорный документ"/>
    <s v="Блок геологии и разработки"/>
    <s v="Михайлов Ю.А."/>
    <s v="ЭП"/>
    <s v="Без сроков "/>
    <d v="2023-07-27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57796"/>
    <s v="Зарегистрирован"/>
    <d v="2024-07-05T00:00:00"/>
    <s v=""/>
    <x v="109"/>
    <s v="5003028148"/>
    <s v="ГЕО-23/10000/00093/Р+ ПР"/>
    <s v=""/>
    <s v="3"/>
    <s v="Нетиповой ДД"/>
    <x v="0"/>
    <s v=""/>
    <s v="00411-24"/>
    <s v=""/>
    <s v="ДС№3 к ДД № ГЕО-23/10000/00093/Р от 01.06.2023г. Газпром газобезопасность, ООО"/>
    <s v="ДС№3 к ДД № ГЕО-23/10000/00093/Р от 01.06.2023г. Газпром газобезопасность, ООО.  Добавление компенсации УМО."/>
    <s v="Мормышев А.А."/>
    <s v="Хабибуллин Т.Ф."/>
    <s v="Договорный документ"/>
    <s v="Блок производственной безопасности"/>
    <s v="Михайлов Ю.А."/>
    <s v="ЭП"/>
    <s v="С ограничением по срокам "/>
    <d v="2024-07-05T00:00:00"/>
    <d v="2026-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5231160"/>
    <s v=""/>
    <s v=""/>
    <s v=""/>
    <s v="да"/>
    <s v="нет"/>
    <s v=""/>
    <s v=""/>
    <s v=""/>
    <s v=""/>
    <s v="нет"/>
  </r>
  <r>
    <s v="Газпромнефть-ГЕО, ООО"/>
    <s v="0000039514"/>
    <s v="Зарегистрирован"/>
    <d v="2022-05-15T00:00:00"/>
    <s v=""/>
    <x v="296"/>
    <s v="9909004922"/>
    <s v="ГЕО-21/10306/00256/Р"/>
    <s v=""/>
    <s v="1"/>
    <s v="Нетиповой ДД"/>
    <x v="0"/>
    <s v=""/>
    <s v="00412-22"/>
    <s v=""/>
    <s v="Соглашение о перемене лица в обязательстве"/>
    <s v="Заключение соглашения о перемене лица в обязательстве (10306)"/>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5-15T00:00:00"/>
    <d v="2025-03-31T00:00:00"/>
    <s v="Д-58"/>
    <s v="Цементирование обсадных колонн и хвостовиков, установка цементных мостов"/>
    <s v="Не предполагает взаиморасчетов"/>
    <s v="Стоимостной"/>
    <s v=""/>
    <s v=""/>
    <s v=""/>
    <s v=""/>
    <s v=""/>
    <s v=""/>
    <s v="нет"/>
    <s v="нет"/>
    <s v=""/>
    <s v=""/>
    <s v=""/>
    <s v=""/>
    <s v="нет"/>
  </r>
  <r>
    <s v="Газпромнефть-ГЕО, ООО"/>
    <s v="0000063179"/>
    <s v="Зарегистрирован"/>
    <d v="2023-07-18T00:00:00"/>
    <s v=""/>
    <x v="54"/>
    <s v="7727747172"/>
    <s v="ГЕО-20/10986/00138/Р от 10.08.2020г. "/>
    <s v=""/>
    <s v="36"/>
    <s v="Нетиповой ДД"/>
    <x v="8"/>
    <s v=""/>
    <s v="00412-23"/>
    <s v=""/>
    <s v="Задание № 36 к Договору № ГЕО-20/10986/00138/Р от 10.08.2020 г."/>
    <s v="Оказание услуг супервайзинга на проекте проект проект «Офис СПБ»"/>
    <s v="Мормышев А.А."/>
    <s v="Фокин Е.В."/>
    <s v="Договорный документ"/>
    <s v="Блок производственной безопасности"/>
    <s v="Михайлов Ю.А."/>
    <s v="ЭП"/>
    <s v="До исполнения обязательств"/>
    <d v="2023-07-18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 068 715.20"/>
    <s v="890 596.00"/>
    <s v="178 119.20"/>
    <s v="нет"/>
    <s v="нет"/>
    <s v=""/>
    <s v=""/>
    <s v=""/>
    <s v=""/>
    <s v="нет"/>
  </r>
  <r>
    <s v="Газпромнефть-ГЕО, ООО"/>
    <s v="0000093917"/>
    <s v="Зарегистрирован"/>
    <d v="2024-07-08T00:00:00"/>
    <d v="2024-07-15T00:00:00"/>
    <x v="9"/>
    <s v="5609193118"/>
    <s v="ГЕО-23/09000/00041/Р"/>
    <s v=""/>
    <s v="7"/>
    <s v="Нетиповой ДД"/>
    <x v="3"/>
    <s v=""/>
    <s v="00412-24"/>
    <s v=""/>
    <s v="Наряд-заказ №7 к договору ГЕО-23/09000/00041/Р"/>
    <s v="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Оморинском ЛУ"/>
    <s v="Покатов О.Н."/>
    <s v=""/>
    <s v="Договорный документ"/>
    <s v="Управление производственной безопасности"/>
    <s v="Ядрышников П.Н."/>
    <s v="ЭП"/>
    <s v="С ограничением по срокам "/>
    <d v="2024-07-08T00:00:00"/>
    <d v="2024-10-10T00:00:00"/>
    <s v="Д-51"/>
    <s v="Договор возмездного оказания услуг"/>
    <s v="Расходная часть"/>
    <s v="Стоимостной"/>
    <s v="20%"/>
    <s v=""/>
    <s v=""/>
    <s v="11 036 791.20"/>
    <s v="9 197 326.00"/>
    <s v="1 839 465.20"/>
    <s v="нет"/>
    <s v="нет"/>
    <s v=""/>
    <s v=""/>
    <s v=""/>
    <s v=""/>
    <s v="нет"/>
  </r>
  <r>
    <s v="Газпромнефть-ГЕО, ООО"/>
    <s v="0000080408"/>
    <s v="Зарегистрирован"/>
    <d v="2023-07-28T00:00:00"/>
    <s v=""/>
    <x v="104"/>
    <s v="3812043780"/>
    <s v="ГЕО-22/11029/00171/Р"/>
    <s v=""/>
    <s v="4"/>
    <s v="Нетиповой ДД"/>
    <x v="4"/>
    <s v=""/>
    <s v="00413-23"/>
    <s v="1"/>
    <s v="Изм.№4 к наряд-заказу №1 к №ГЕО-22/11029/00171/Р  от 25.07.2022г."/>
    <s v="Изм.№4 к наряд-заказу №1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Блок главного инженера"/>
    <s v="Трифонов А.В."/>
    <s v="ЭП"/>
    <s v="До исполнения обязательств"/>
    <d v="2023-07-28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73 370 489.60"/>
    <s v="144 475 408.00"/>
    <s v="28 895 081.60"/>
    <s v="нет"/>
    <s v="нет"/>
    <s v=""/>
    <s v=""/>
    <s v=""/>
    <s v=""/>
    <s v="нет"/>
  </r>
  <r>
    <s v="Газпромнефть-ГЕО, ООО"/>
    <s v="0000058703"/>
    <s v="Зарегистрирован"/>
    <d v="2024-07-19T00:00:00"/>
    <s v=""/>
    <x v="5"/>
    <s v="5914024719"/>
    <s v=""/>
    <s v="ГЕО-24/10000/00132/Р"/>
    <s v="ГЕО-24/10000/00132/Р"/>
    <s v="Нетиповой ДД"/>
    <x v="2"/>
    <s v=""/>
    <s v="00413-24"/>
    <s v=""/>
    <s v="Договор с ООО «НСХ АЗИЯ ДРИЛЛИНГ» на бурение геологоразведочных скважин по суточной ставке или фиксированной ставке (в т.ч. мобильными установками)"/>
    <s v="Бурение геологоразведочных скважин по суточной или фиксированной ставке (в т.ч. мобильными установками) на проекте Южный Оренбург "/>
    <s v="Васильева А.И."/>
    <s v="Кольцов К.В."/>
    <s v="Договорный документ"/>
    <s v="Блок главного инженера"/>
    <s v="Трифонов А.В."/>
    <s v="На бумажном носителе"/>
    <s v="С ограничением по срокам "/>
    <d v="2024-07-22T00:00:00"/>
    <d v="2028-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483221334.01"/>
    <s v="4 746 237 999.90"/>
    <s v="3 955 198 333.25"/>
    <s v="791 039 666.65"/>
    <s v="да"/>
    <s v="нет"/>
    <s v=""/>
    <s v=""/>
    <s v=""/>
    <s v=""/>
    <s v="да"/>
  </r>
  <r>
    <s v="Газпромнефть-ГЕО, ООО"/>
    <s v="0000000059"/>
    <s v="Закрыт"/>
    <d v="2021-12-01T00:00:00"/>
    <s v=""/>
    <x v="131"/>
    <s v="8905000428"/>
    <s v="ГЕО-21/09000/00048/Д"/>
    <s v=""/>
    <s v="2"/>
    <s v="Нетиповой ДД"/>
    <x v="3"/>
    <s v=""/>
    <s v="00414-21"/>
    <s v=""/>
    <s v="Договор возмездного оказания услуг"/>
    <s v="Подбор технологий повышения эффективности строительства скважин в геолого-геомеханических условиях характерных для  Ачимовских залежей Ноябрьского региона в 2021-2022гг."/>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1-11-17T00:00:00"/>
    <d v="2022-12-31T00:00:00"/>
    <s v=""/>
    <s v="Договор возмездного оказания услуг"/>
    <s v="Доходная часть"/>
    <s v="Стоимостной"/>
    <s v="20%"/>
    <s v=""/>
    <s v=""/>
    <s v="216 549 729.76"/>
    <s v="180 458 108.13"/>
    <s v="36 091 621.63"/>
    <s v="нет"/>
    <s v="нет"/>
    <s v=""/>
    <s v=""/>
    <s v=""/>
    <s v=""/>
    <s v="нет"/>
  </r>
  <r>
    <s v="Газпромнефть-ГЕО, ООО"/>
    <s v="0000080408"/>
    <s v="Зарегистрирован"/>
    <d v="2023-07-28T00:00:00"/>
    <s v=""/>
    <x v="104"/>
    <s v="3812043780"/>
    <s v="ГЕО-22/11029/00171/Р"/>
    <s v=""/>
    <s v="ИЗ№2 к наряд-заказу №2 К Договору №ГЕО-22/11029/00171/Р"/>
    <s v="Нетиповой ДД"/>
    <x v="4"/>
    <s v=""/>
    <s v="00414-23"/>
    <s v="2"/>
    <s v="Изм.№2 к наряд-заказу №2 К Договору №ГЕО-22/11029/00171/Р от 25.07.2022"/>
    <s v="Изм.№2 к наряд-заказу №2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Блок главного инженера"/>
    <s v="Трифонов А.В."/>
    <s v="ЭП"/>
    <s v="До исполнения обязательств"/>
    <d v="2023-07-28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93 577 569.60"/>
    <s v="77 981 308.00"/>
    <s v="15 596 261.60"/>
    <s v="нет"/>
    <s v="нет"/>
    <s v=""/>
    <s v=""/>
    <s v=""/>
    <s v=""/>
    <s v="нет"/>
  </r>
  <r>
    <s v="Газпромнефть-ГЕО, ООО"/>
    <s v="0000066314"/>
    <s v="Зарегистрирован"/>
    <d v="2024-07-15T00:00:00"/>
    <d v="2024-07-15T00:00:00"/>
    <x v="74"/>
    <s v="7202242358"/>
    <s v="АНГ-19/11513/00010/Р"/>
    <s v=""/>
    <s v="7"/>
    <s v="Нетиповой ДД"/>
    <x v="0"/>
    <s v=""/>
    <s v="00414-24"/>
    <s v=""/>
    <s v="Дополнительное соглашение №7  к Договору № АНГ-19/11513/00010/Р от 18.02.2019"/>
    <s v="1. Продление срока действия договора на последующие 3 года, а именно до 31.12.2027г _x000a_2. Изменение текущего порядка оплаты._x000a_3. Распределение общего объема работ на период 2019-2027гг, без увеличения ориентировочного общего количества."/>
    <s v="Расулов И.Ф."/>
    <s v="Расулов И.Ф."/>
    <s v="Договорный документ"/>
    <s v="Управление маркшейдерско-землеустроительных работ"/>
    <s v="Трифонов А.В."/>
    <s v="ЭП"/>
    <s v="С ограничением по срокам "/>
    <d v="2024-07-01T00:00:00"/>
    <d v="2027-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73273"/>
    <s v="Зарегистрирован"/>
    <d v="2021-07-12T00:00:00"/>
    <s v=""/>
    <x v="21"/>
    <s v="5610218014"/>
    <s v=""/>
    <s v="ГЕО-21/11513/00156/Р"/>
    <s v="ГЕО-21/11513/00156/Р"/>
    <s v="Нетиповой ДД"/>
    <x v="2"/>
    <s v=""/>
    <s v="00415-21"/>
    <s v=""/>
    <s v="Договор на выполнение комплекса маркшейдерских и землеустроительных работ на Солнечном, Корноваринском, Надеждинском, Западно-Рубежинском и Первомайском лицензионных участках"/>
    <s v="Выполнение ООО «ГПН-ГЕО» маркшейдерско-землеустроительных работ по проекту «Южный Оренбург» для новых скважин"/>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7-12T00:00:00"/>
    <d v="2023-12-31T00:00:00"/>
    <s v="Д-22"/>
    <s v="Выполнение комплекса топографо-геодезических, землеустроительных и лесоустроительных  работ "/>
    <s v="Расходная часть"/>
    <s v="Рамочный"/>
    <s v="20%"/>
    <s v=""/>
    <s v=""/>
    <s v="5 683 658.88"/>
    <s v="4 736 382.40"/>
    <s v="947 276.48"/>
    <s v="нет"/>
    <s v="нет"/>
    <s v=""/>
    <s v=""/>
    <s v=""/>
    <s v=""/>
    <s v="нет"/>
  </r>
  <r>
    <s v="Газпромнефть-ГЕО, ООО"/>
    <s v="0000080408"/>
    <s v="Зарегистрирован"/>
    <d v="2023-07-28T00:00:00"/>
    <s v=""/>
    <x v="104"/>
    <s v="3812043780"/>
    <s v="ГЕО-22/11029/00171/Р"/>
    <s v=""/>
    <s v="3"/>
    <s v="Нетиповой ДД"/>
    <x v="4"/>
    <s v=""/>
    <s v="00415-23"/>
    <s v="3"/>
    <s v="Изм.№3 к наряд-заказу №3 к договору №ГЕО-22/11029/00171/Р  от 25.07.2022г."/>
    <s v="Изм.№3 к наряд-заказу №3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Блок главного инженера"/>
    <s v="Трифонов А.В."/>
    <s v="ЭП"/>
    <s v="До исполнения обязательств"/>
    <d v="2023-07-28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21 150 992.00"/>
    <s v="100 959 160.00"/>
    <s v="20 191 832.00"/>
    <s v="нет"/>
    <s v="нет"/>
    <s v=""/>
    <s v=""/>
    <s v=""/>
    <s v=""/>
    <s v="нет"/>
  </r>
  <r>
    <s v="Газпромнефть-ГЕО, ООО"/>
    <s v="0000068695"/>
    <s v="Зарегистрирован"/>
    <d v="2023-07-09T00:00:00"/>
    <d v="2024-07-22T00:00:00"/>
    <x v="77"/>
    <s v="1106013435"/>
    <s v="ГЕО-23/10000/00035/Р +ПР + ПУР"/>
    <s v=""/>
    <s v="3"/>
    <s v="Нетиповой ДД"/>
    <x v="0"/>
    <s v=""/>
    <s v="00415-24"/>
    <s v=""/>
    <s v="ДС №3 к №ГЕО-23/10000/00035/Р от 10.02.2023г. с БурСервис,ООО"/>
    <s v="ДС №3 к №ГЕО-23/10000/00035/Р от 10.02.2023г. с БурСервис,ООО НГО в ГО"/>
    <s v="Мормышев А.А."/>
    <s v="Дунаев Э.В."/>
    <s v="Договорный документ"/>
    <s v="Блок бурения и ВСР"/>
    <s v="Трифонов А.В."/>
    <s v="ЭП"/>
    <s v="С ограничением по срокам "/>
    <d v="2023-07-09T00:00:00"/>
    <d v="2025-03-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45 178 557.10"/>
    <s v="120 982 130.92"/>
    <s v="24 196 426.18"/>
    <s v="нет"/>
    <s v="нет"/>
    <s v=""/>
    <s v=""/>
    <s v=""/>
    <s v=""/>
    <s v="нет"/>
  </r>
  <r>
    <s v="Газпромнефть-ГЕО, ООО"/>
    <s v="0000063179"/>
    <s v="Зарегистрирован"/>
    <d v="2023-09-01T00:00:00"/>
    <s v=""/>
    <x v="54"/>
    <s v="7727747172"/>
    <s v="ГЕО-20/10986/00138/Р от 10.08.2020г. "/>
    <s v=""/>
    <s v="Задание №43 "/>
    <s v="Нетиповой ДД"/>
    <x v="8"/>
    <s v=""/>
    <s v="00416-23"/>
    <s v=""/>
    <s v="Задание №43 к Договору № ГЕО-20/10986/00138/Р от 10.08.2020 г."/>
    <s v="на привлечение супервайзера производственной безопасности на проекте «Оморинский ЛУ» региона «Сибирский федеральный округ» (Салаирская площадь (скв. Сал3), Камовская площадь (скв. Км4)) для экспертной поддержки по вопросам производственной безопасности на всех жизненных циклах проекта."/>
    <s v="Мормышев А.А."/>
    <s v="Фокин Е.В."/>
    <s v="Договорный документ"/>
    <s v="Блок производственной безопасности"/>
    <s v="Ядрышников П.Н."/>
    <s v="ЭП"/>
    <s v="До исполнения обязательств"/>
    <d v="2023-08-01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 271 864.00"/>
    <s v="4 393 220.00"/>
    <s v="878 644.00"/>
    <s v="нет"/>
    <s v="нет"/>
    <s v=""/>
    <s v=""/>
    <s v=""/>
    <s v=""/>
    <s v="нет"/>
  </r>
  <r>
    <s v="Газпромнефть-ГЕО, ООО"/>
    <s v="0000011433"/>
    <s v="Зарегистрирован"/>
    <d v="2024-07-10T00:00:00"/>
    <d v="2024-07-10T00:00:00"/>
    <x v="174"/>
    <s v="8604005359"/>
    <s v="ГЕО-21/11104/00291/Р"/>
    <s v=""/>
    <s v="5"/>
    <s v="Нетиповой ДД"/>
    <x v="0"/>
    <s v=""/>
    <s v="00416-24"/>
    <s v=""/>
    <s v="ДОПОЛНИТЕЛЬНОЕ СОГЛАШЕНИЕ № 5 к Договору №ГЕО-21/11104/00291/Р от 24.12.2021 г. с Ютэйр"/>
    <s v="Индексация + раскрытие НГО"/>
    <s v="Яшкина К.Л."/>
    <s v="Бабиков Н.В."/>
    <s v="Договорный документ"/>
    <s v="Блок снабжения и закупок"/>
    <s v="Титов А.В."/>
    <s v="ЭП"/>
    <s v="С ограничением по срокам "/>
    <d v="2024-07-10T00:00:00"/>
    <d v="2024-12-31T00:00:00"/>
    <s v="Д-56"/>
    <s v="Авиационное обслуживание (вертолеты)"/>
    <s v="Расходная часть"/>
    <s v="Тарифный"/>
    <s v="20%"/>
    <s v=""/>
    <s v=""/>
    <s v="24 717 709.16"/>
    <s v="20 598 090.97"/>
    <s v="4 119 618.19"/>
    <s v="нет"/>
    <s v="нет"/>
    <s v=""/>
    <s v=""/>
    <s v=""/>
    <s v=""/>
    <s v="нет"/>
  </r>
  <r>
    <s v="Газпромнефть-ГЕО, ООО"/>
    <s v="0000074750"/>
    <s v="Закрыт"/>
    <d v="2021-07-02T00:00:00"/>
    <s v=""/>
    <x v="66"/>
    <s v="8905062456"/>
    <s v=""/>
    <s v="ГЕО-21/26000/00150"/>
    <s v="ГЕО-21/26000/00150"/>
    <s v="Типовой ДД"/>
    <x v="1"/>
    <s v="26000 Соглашение о конфиденциальности с дочерним обществом ГК ГПН"/>
    <s v="00417-21"/>
    <s v=""/>
    <s v="26000 Соглашение о конфиденциальности с дочерним обществом ГК ГПН"/>
    <s v="Обмен конфиденциальной информацией в рамках деятельности по договорам на выполнение ГИС, ГДИС, ПВР"/>
    <s v="Шабалин С.В."/>
    <s v=""/>
    <s v="Договорный документ"/>
    <s v="Блок геологии и разработки"/>
    <s v="Созинов С.А."/>
    <s v="На бумажном носителе"/>
    <s v="С ограничением по срокам "/>
    <d v="2021-07-02T00:00:00"/>
    <d v="2022-12-31T00:00:00"/>
    <s v=""/>
    <s v="Соглашение о конфиденциальности"/>
    <s v="Не предполагает взаиморасчетов"/>
    <s v=""/>
    <s v=""/>
    <s v=""/>
    <s v=""/>
    <s v=""/>
    <s v=""/>
    <s v=""/>
    <s v="нет"/>
    <s v="нет"/>
    <s v=""/>
    <s v=""/>
    <s v=""/>
    <s v=""/>
    <s v="нет"/>
  </r>
  <r>
    <s v="Газпромнефть-ГЕО, ООО"/>
    <s v="0000067167"/>
    <s v="Зарегистрирован"/>
    <d v="2022-05-13T00:00:00"/>
    <s v=""/>
    <x v="145"/>
    <s v="7719520026"/>
    <s v="Договору №ГЕО-20/11014/00070/Р от 06.05. 2020 года"/>
    <s v=""/>
    <s v="4"/>
    <s v="Нетиповой ДД"/>
    <x v="3"/>
    <s v=""/>
    <s v="00417-22"/>
    <s v=""/>
    <s v="Н-З №4 к  Договору №ГЕО-20/11014/00070/Р от 06.05. 2021 года"/>
    <s v="Заключения Наряд-заказа №4 по договору № ГЕО-20/11014/00070/Р от 06.05.2020 г. с ООО «Техно-Сервис»"/>
    <s v="Калугина С.Б."/>
    <s v="Калугина С.Б."/>
    <s v="Договорный документ"/>
    <s v="Департамент капитального строительства"/>
    <s v="Перфильев Д.А."/>
    <s v="На бумажном носителе"/>
    <s v="С ограничением по срокам "/>
    <d v="2022-05-13T00:00:00"/>
    <d v="2022-06-30T00:00:00"/>
    <s v="Д-61"/>
    <s v="Капитальное строительство и ПИР"/>
    <s v="Расходная часть"/>
    <s v="Стоимостной"/>
    <s v="20%"/>
    <s v=""/>
    <s v=""/>
    <s v="790 593.77"/>
    <s v="658 828.14"/>
    <s v="131 765.63"/>
    <s v="нет"/>
    <s v="нет"/>
    <s v=""/>
    <s v=""/>
    <s v=""/>
    <s v=""/>
    <s v="нет"/>
  </r>
  <r>
    <s v="Газпромнефть-ГЕО, ООО"/>
    <s v="0000057750"/>
    <s v="Зарегистрирован"/>
    <d v="2023-08-04T00:00:00"/>
    <s v=""/>
    <x v="182"/>
    <s v="0814118403"/>
    <s v="ГЕО-22/10000/00225/Р"/>
    <s v=""/>
    <s v="3"/>
    <s v="Нетиповой ДД"/>
    <x v="0"/>
    <s v=""/>
    <s v="00417-23"/>
    <s v=""/>
    <s v="ДС№3 к Договору №ГЕО-22/10000/00225/Р от 20.09.2022 "/>
    <s v="Дополнительное соглашение №3 к Договору №ГЕО-22/10000/00225/Р от 20.09.2022 &quot;на бурение геологоразведочных скважин по суточной ставке или фиксированной ставке (в т.ч. мобильными установками)&quot;. Камовская площадь.  Актуализация ОЭДК в соответствии с протоколом №ПТ -100.0359/0000154 от 23.11.2021. Оценка ежемесячно."/>
    <s v="Мормышев А.А."/>
    <s v="Чупров В.В."/>
    <s v="Договорный документ"/>
    <s v="Блок бурения и ВСР"/>
    <s v="Трифонов А.В."/>
    <s v="На бумажном носителе"/>
    <s v="До исполнения обязательств"/>
    <d v="2023-08-04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5689"/>
    <s v="Зарегистрирован"/>
    <d v="2024-07-09T00:00:00"/>
    <d v="2024-07-19T00:00:00"/>
    <x v="15"/>
    <s v="3808219470"/>
    <s v="ГЕО-23/10000/00223/Р"/>
    <s v=""/>
    <s v="4"/>
    <s v="Нетиповой ДД"/>
    <x v="0"/>
    <s v=""/>
    <s v="00417-24"/>
    <s v=""/>
    <s v="Дополнительное соглашение № 4 к Договору №ГЕО-23/10000/00223/Р от 18.12.2023 г."/>
    <s v="Дополнительное соглашение № 4_x000a_"/>
    <s v="Гулин В.Д."/>
    <s v="Гулин В.Д."/>
    <s v="Договорный документ"/>
    <s v="Блок геологии и разработки"/>
    <s v="Аксенов М.А."/>
    <s v="ЭП"/>
    <s v="С ограничением по срокам "/>
    <d v="2024-07-09T00:00:00"/>
    <d v="2024-07-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15 402.63"/>
    <s v="429 502.19"/>
    <s v="85 900.44"/>
    <s v="нет"/>
    <s v="нет"/>
    <s v=""/>
    <s v=""/>
    <s v=""/>
    <s v=""/>
    <s v="нет"/>
  </r>
  <r>
    <s v="Газпромнефть-ГЕО, ООО"/>
    <s v="0000066687"/>
    <s v="Проект"/>
    <s v=""/>
    <s v=""/>
    <x v="161"/>
    <s v="9909012867"/>
    <s v="ГЕО-21/10421/00132/Р"/>
    <s v=""/>
    <s v=""/>
    <s v="Нетиповой ДД"/>
    <x v="0"/>
    <s v=""/>
    <s v="00418-21"/>
    <s v=""/>
    <s v="ДС №2 к Договору на проведение операции по закачке азота в пласт № ГЕО-21/10421/00132/Р от 14 июня 2021 г."/>
    <s v="_x000d__x000a_"/>
    <s v="Шабалин С.В."/>
    <s v="Рымаренко А.А."/>
    <s v="Договорный документ"/>
    <s v="Блок бурения и ВСР"/>
    <s v="Гаврилов С.В."/>
    <s v="На бумажном носителе"/>
    <s v=""/>
    <s v=""/>
    <d v="2021-12-31T00:00:00"/>
    <s v=""/>
    <s v="Аренда азотной установки для скважин"/>
    <s v="Не предполагает взаиморасчетов"/>
    <s v=""/>
    <s v=""/>
    <s v=""/>
    <s v=""/>
    <s v=""/>
    <s v=""/>
    <s v=""/>
    <s v="нет"/>
    <s v="нет"/>
    <s v=""/>
    <s v=""/>
    <s v=""/>
    <s v=""/>
    <s v="нет"/>
  </r>
  <r>
    <s v="Газпромнефть-ГЕО, ООО"/>
    <s v="0000057750"/>
    <s v="Зарегистрирован"/>
    <d v="2023-08-04T00:00:00"/>
    <s v=""/>
    <x v="182"/>
    <s v="0814118403"/>
    <s v="ГЕО-22/10000/00226/Р"/>
    <s v=""/>
    <s v="3"/>
    <s v="Нетиповой ДД"/>
    <x v="0"/>
    <s v=""/>
    <s v="00418-23"/>
    <s v=""/>
    <s v="ДС№3 к Договору №ГЕО-22/10000/00226/Р от 20.09.2022   "/>
    <s v="Дополнительное соглашение №3 к Договору №ГЕО-22/10000/00226/Р от 20.09.2022 &quot;на бурение геологоразведочных скважин по суточной ставке или фиксированной ставке (в т.ч. мобильными установками)&quot;. Камовская площадь. скв. САЛ.3 Салаирская площадь. Актуализация ОЭДК в соответствии с протоколом №ПТ -100.0359/0000154 от 23.11.2021. Оценка ежемесячно."/>
    <s v="Мормышев А.А."/>
    <s v="Чупров В.В."/>
    <s v="Договорный документ"/>
    <s v="Блок бурения и ВСР"/>
    <s v="Трифонов А.В."/>
    <s v="На бумажном носителе"/>
    <s v="До исполнения обязательств"/>
    <d v="2023-08-04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4590"/>
    <s v="Зарегистрирован"/>
    <d v="2024-07-15T00:00:00"/>
    <d v="2024-07-22T00:00:00"/>
    <x v="61"/>
    <s v="7708277130"/>
    <s v="ГЕО-23/09000/00149/Р"/>
    <s v=""/>
    <s v="3"/>
    <s v="Нетиповой ДД"/>
    <x v="0"/>
    <s v=""/>
    <s v="00418-24"/>
    <s v=""/>
    <s v="Дополнительное соглашение № 3 к договору ГЕО-23/09000/00149/Р от «28» августа 2023 г."/>
    <s v="Заключение Дополнительного соглашения к договору №ГЕО-23/09000/00149/Р ОТ 28.08.2023 г., предусматривающее включение новой единичной расценки, без увеличения стоимости договора"/>
    <s v="Фокин Е.В."/>
    <s v="Фокин Е.В."/>
    <s v="Договорный документ"/>
    <s v="Управление производственной безопасности"/>
    <s v="Михайлов Ю.А."/>
    <s v="ЭП"/>
    <s v="С ограничением по срокам "/>
    <d v="2024-07-15T00:00:00"/>
    <d v="2024-12-31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45789"/>
    <s v="Зарегистрирован"/>
    <d v="2022-05-11T00:00:00"/>
    <s v=""/>
    <x v="16"/>
    <s v="7838395487"/>
    <s v="ГЕО-21/11708/00165/Р//НТЦ-21/09000/00768/Д"/>
    <s v=""/>
    <s v="НТЦ-03211-21Д-ГЕО"/>
    <s v="Нетиповой ДД"/>
    <x v="3"/>
    <s v=""/>
    <s v="00419-22"/>
    <s v=""/>
    <s v="Сервис по формированию бизнес-заказа на разработку технологий"/>
    <s v="Целесообразность работ обусловлена подготовкой бизнес-заказа на технологии с целью повышения эффективности разведки и добычи"/>
    <s v="Ябиров Р.З."/>
    <s v=""/>
    <s v="Договорный документ"/>
    <s v="Блок геологии и разработки"/>
    <s v="Аксенов М.А."/>
    <s v="На бумажном носителе"/>
    <s v="С ограничением по срокам "/>
    <d v="2022-05-11T00:00:00"/>
    <d v="2022-06-29T00:00:00"/>
    <s v="Д-54"/>
    <s v="Договор на выполнение НИР, ОКР и технологических работ"/>
    <s v="Расходная часть"/>
    <s v="Рамочный"/>
    <s v="20%"/>
    <s v=""/>
    <s v=""/>
    <s v="12 000 000.00"/>
    <s v="10 000 000.00"/>
    <s v="2 000 000.00"/>
    <s v="нет"/>
    <s v="нет"/>
    <s v=""/>
    <s v=""/>
    <s v=""/>
    <s v=""/>
    <s v="нет"/>
  </r>
  <r>
    <s v="Газпромнефть-ГЕО, ООО"/>
    <s v="0000057789"/>
    <s v="Зарегистрирован"/>
    <d v="2023-07-31T00:00:00"/>
    <s v=""/>
    <x v="186"/>
    <s v="6319065934"/>
    <s v="ГЕО-22/10000/00053/Р"/>
    <s v=""/>
    <s v="6"/>
    <s v="Нетиповой ДД"/>
    <x v="0"/>
    <s v=""/>
    <s v="00419-23"/>
    <s v=""/>
    <s v="ДС №6 к Договору №ГЕО-22/10000/00053/Р от 14.03.2022 г."/>
    <s v="Перенос неосвоенного гарантированного объема услуг 2022 года в гарантированный объем 2023 года, за счет увеличения объема необходимых ставок в 2023 году, и уменьшения невостребованных ставок 2022 года, без увеличения единичных расценок и общей цены договора."/>
    <s v="Безруков А.А."/>
    <s v="Веселкин А.С."/>
    <s v="Договорный документ"/>
    <s v="Блок бурения и ВСР"/>
    <s v="Трифонов А.В."/>
    <s v="ЭП"/>
    <s v="До исполнения обязательств"/>
    <d v="2023-07-3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4590"/>
    <s v="Зарегистрирован"/>
    <d v="2024-07-22T00:00:00"/>
    <d v="2024-07-22T00:00:00"/>
    <x v="61"/>
    <s v="7708277130"/>
    <s v="ГЕО-23/09000/00149/Р"/>
    <s v=""/>
    <s v="2"/>
    <s v="Нетиповой ДД"/>
    <x v="4"/>
    <s v=""/>
    <s v="00419-24"/>
    <s v="7"/>
    <s v="Изменение № 2 к Заявке № 7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Ведущего специалиста по экологической безопасности – гидрогеолога"/>
    <s v="Фокин Е.В."/>
    <s v="Фокин Е.В."/>
    <s v="Договорный документ"/>
    <s v="Управление производственной безопасности"/>
    <s v="Михайлов Ю.А."/>
    <s v="ЭП"/>
    <s v="С ограничением по срокам "/>
    <d v="2024-01-09T00:00:00"/>
    <d v="2024-09-30T00:00:00"/>
    <s v="Д-2"/>
    <s v="Договор возмездного оказания услуг"/>
    <s v="Расходная часть"/>
    <s v="Рамочный"/>
    <s v="20%"/>
    <s v=""/>
    <s v=""/>
    <s v="1 818 261.36"/>
    <s v="1 515 217.80"/>
    <s v="303 043.56"/>
    <s v="нет"/>
    <s v="нет"/>
    <s v=""/>
    <s v=""/>
    <s v=""/>
    <s v=""/>
    <s v="нет"/>
  </r>
  <r>
    <s v="Газпромнефть-ГЕО, ООО"/>
    <s v="0000011433"/>
    <s v="Зарегистрирован"/>
    <d v="2021-07-07T00:00:00"/>
    <s v=""/>
    <x v="174"/>
    <s v="8604005359"/>
    <s v="№ГЕО-19/11100/00241/Р от 17.09.2019 г."/>
    <s v=""/>
    <s v="6"/>
    <s v="Нетиповой ДД"/>
    <x v="0"/>
    <s v=""/>
    <s v="00420-21"/>
    <s v=""/>
    <s v="ДС №6 к Договору № ГЕО-19/11100/00241/Р от 17.09.2019 г. на оказание авиационных услуг с использованием вертолетов "/>
    <s v="Перевод НГО 2019г. и 2020г. в ГО 2021г. и актуализация формата оценочного листа"/>
    <s v="Ушакова М.А."/>
    <s v="Ушакова М.А."/>
    <s v="Договорный документ"/>
    <s v="Блок по закупкам"/>
    <s v="Титов А.В."/>
    <s v="На бумажном носителе"/>
    <s v="С ограничением по срокам "/>
    <d v="2021-07-07T00:00:00"/>
    <d v="2021-12-31T00:00:00"/>
    <s v="Д-11"/>
    <s v="Авиационное обслуживание (вертолеты)"/>
    <s v="Не предполагает взаиморасчетов"/>
    <s v=""/>
    <s v=""/>
    <s v=""/>
    <s v=""/>
    <s v=""/>
    <s v=""/>
    <s v=""/>
    <s v="нет"/>
    <s v="нет"/>
    <s v=""/>
    <s v=""/>
    <s v=""/>
    <s v=""/>
    <s v="нет"/>
  </r>
  <r>
    <s v="Газпромнефть-ГЕО, ООО"/>
    <s v=""/>
    <s v="Зарегистрирован"/>
    <d v="2022-05-13T00:00:00"/>
    <s v=""/>
    <x v="105"/>
    <s v=""/>
    <s v="на согласовании в Тессе"/>
    <s v=""/>
    <s v="2"/>
    <s v="Типовой ДД"/>
    <x v="3"/>
    <s v="11018, 11019, 11020, 11021, 11022  Наряд-заказ к Договору (рамочному) на выполнение  работ по услугам &quot;Капитальное строительство и ПИР&quot;"/>
    <s v="00420-22"/>
    <s v=""/>
    <s v="11018, 11019, 11020, 11021, 11022  Наряд-заказ к Договору (рамочному) на выполнение  работ по услугам &quot;Капитальное строительство и ПИР&quot;"/>
    <s v="Выполнение инженерных изысканий по объекту «Строительство разведочной скважины Км-4 Омор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5-13T00:00:00"/>
    <d v="2022-10-30T00:00:00"/>
    <s v="Д-61"/>
    <s v="Капитальное строительство и ПИР"/>
    <s v="Расходная часть"/>
    <s v="Стоимостной"/>
    <s v="20%"/>
    <s v=""/>
    <s v=""/>
    <s v="100 933 849.64"/>
    <s v="84 111 541.37"/>
    <s v="16 822 308.27"/>
    <s v="нет"/>
    <s v="нет"/>
    <s v=""/>
    <s v=""/>
    <s v=""/>
    <s v=""/>
    <s v="нет"/>
  </r>
  <r>
    <s v="Газпромнефть-ГЕО, ООО"/>
    <s v="0000087378"/>
    <s v="Зарегистрирован"/>
    <d v="2023-07-28T00:00:00"/>
    <s v=""/>
    <x v="97"/>
    <s v="7204203139"/>
    <s v="ГЕО-21/08000/00297/Р"/>
    <s v=""/>
    <s v="6/23-297"/>
    <s v="Нетиповой ДД"/>
    <x v="3"/>
    <s v=""/>
    <s v="00420-23"/>
    <s v=""/>
    <s v="Заказ №6/23 по теме: Тестирование технологических жидкостей на керне Ямбургского месторождения"/>
    <s v="Цель проведения работ вызвана необходимостью выполнить ряд фильтрационных экспериментов на керновом материале – Ямбургского месторождения для оценки степени изменения ФЕС в зависимости от различных вариантов систем жидкостей ГРП и последующего освоения."/>
    <s v="Ябиров Р.З."/>
    <s v=""/>
    <s v="Договорный документ"/>
    <s v="Блок геологии и разработки"/>
    <s v="Аксенов М.А."/>
    <s v="На бумажном носителе"/>
    <s v="С ограничением по срокам "/>
    <d v="2023-07-28T00:00:00"/>
    <d v="2023-08-30T00:00:00"/>
    <s v="Д-54"/>
    <s v="Договор на выполнение НИР, ОКР и технологических работ"/>
    <s v="Расходная часть"/>
    <s v="Рамочный"/>
    <s v="20%"/>
    <s v=""/>
    <s v=""/>
    <s v="332 871.57"/>
    <s v="277 392.97"/>
    <s v="55 478.60"/>
    <s v="нет"/>
    <s v="нет"/>
    <s v=""/>
    <s v=""/>
    <s v=""/>
    <s v=""/>
    <s v="нет"/>
  </r>
  <r>
    <s v="Газпромнефть-ГЕО, ООО"/>
    <s v="0000058703"/>
    <s v="Зарегистрирован"/>
    <d v="2024-08-01T00:00:00"/>
    <s v=""/>
    <x v="5"/>
    <s v="5914024719"/>
    <s v=""/>
    <s v="ГЕО-24/33200/00124"/>
    <s v="ГЕО-24/33200/00124"/>
    <s v="Типовой ДД"/>
    <x v="1"/>
    <s v="Соглашение, содержащее условия применения усиленной квалифицированной электронной подписи (УКЭП) при подписании ДД (ЭД в части ДД)"/>
    <s v="00420-24"/>
    <s v=""/>
    <s v="Соглашение с ООО &quot;НСХ АЗИЯ ДРИЛЛИНГ&quot;, содержащее условия применения УКЭП при подписании ДД (ЭД в части ДД)"/>
    <s v="Переход на электронный документооборот по Договору с ООО &quot;НСХ АЗИЯ ДРИЛЛИНГ&quot;"/>
    <s v="Васильева А.И."/>
    <s v="Кольцов К.В."/>
    <s v="Договорный документ"/>
    <s v="Блок главного инженера"/>
    <s v="Трифонов А.В."/>
    <s v="ЭП"/>
    <s v="Без сроков "/>
    <d v="2024-08-01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3984"/>
    <s v="Закрыт"/>
    <d v="2021-07-20T00:00:00"/>
    <s v=""/>
    <x v="141"/>
    <s v="3808099451"/>
    <s v=""/>
    <s v="ГЕО-21/10968/00164/Р"/>
    <s v="ГЕО-21/10968/00164/Р"/>
    <s v="Нетиповой ДД"/>
    <x v="2"/>
    <s v=""/>
    <s v="00421-21"/>
    <s v=""/>
    <s v="Договор на оказание возмездных услуг по обращению с отходами производства и потребления"/>
    <s v="Исполнитель обязуется оказать услуги по обращению с отходами производства и потребления в соответствии с Техническим заданием, а Заказчик принять и оплатить надлежаще оказанные Исполнителем услуги"/>
    <s v="Липатова О.И."/>
    <s v="Липатова О.И."/>
    <s v="Договорный документ"/>
    <s v="Отдел экологической безопасности"/>
    <s v="Власов М.М."/>
    <s v="На бумажном носителе"/>
    <s v="С ограничением по срокам "/>
    <d v="2021-07-20T00:00:00"/>
    <d v="2021-12-31T00:00:00"/>
    <s v=""/>
    <s v="Вывоз, транспортировка и размещение отходов производственной деятельности"/>
    <s v="Расходная часть"/>
    <s v="Стоимостной"/>
    <s v="20%"/>
    <s v=""/>
    <s v=""/>
    <s v="493 995.41"/>
    <s v="411 662.84"/>
    <s v="82 332.57"/>
    <s v="нет"/>
    <s v="нет"/>
    <s v=""/>
    <s v=""/>
    <s v=""/>
    <s v=""/>
    <s v="нет"/>
  </r>
  <r>
    <s v="Газпромнефть-ГЕО, ООО"/>
    <s v="0000065735"/>
    <s v="Зарегистрирован"/>
    <d v="2022-05-13T00:00:00"/>
    <s v=""/>
    <x v="200"/>
    <s v="0274095068"/>
    <s v="№ ГЕО-19/11019/00145/Р "/>
    <s v=""/>
    <s v="7"/>
    <s v="Типовой ДД"/>
    <x v="3"/>
    <s v="11018, 11019, 11020, 11021, 11022  Наряд-заказ к Договору (рамочному) на выполнение  работ по услугам &quot;Капитальное строительство и ПИР&quot;"/>
    <s v="00421-22"/>
    <s v=""/>
    <s v="11018, 11019, 11020, 11021, 11022  Наряд-заказ к Договору (рамочному) на выполнение  работ по услугам &quot;Капитальное строительство и ПИР&quot;"/>
    <s v="Выполнение проектных работ по объекту «Строительство разведочных скважин №4, №4бис Камовской площади Омор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5-13T00:00:00"/>
    <d v="2022-06-30T00:00:00"/>
    <s v="Д-61"/>
    <s v="Капитальное строительство и ПИР"/>
    <s v="Расходная часть"/>
    <s v="Рамочный"/>
    <s v="20%"/>
    <s v=""/>
    <s v=""/>
    <s v="345 970.73"/>
    <s v="288 308.94"/>
    <s v="57 661.79"/>
    <s v="нет"/>
    <s v="нет"/>
    <s v=""/>
    <s v=""/>
    <s v=""/>
    <s v=""/>
    <s v="нет"/>
  </r>
  <r>
    <s v="Газпромнефть-ГЕО, ООО"/>
    <s v="0000087384"/>
    <s v="Зарегистрирован"/>
    <d v="2023-07-24T00:00:00"/>
    <s v=""/>
    <x v="297"/>
    <s v="7204183725"/>
    <s v="ГЕО-18/09000/00059/Д"/>
    <s v=""/>
    <s v="СОР Д ГЕО-18/09000/00059/Д"/>
    <s v="Нетиповой ДД"/>
    <x v="10"/>
    <s v=""/>
    <s v="00421-23"/>
    <s v=""/>
    <s v="Соглашение о расторжении договора передачи полномочий исполнительного органа ООО &quot;Карабашские-6&quot;"/>
    <s v="Решение единственного участника от 24.07.2023"/>
    <s v="Жолобов Е.В."/>
    <s v="Жолобов Е.В."/>
    <s v="Договорный документ"/>
    <s v="Газпромнефть-ГЕО, ООО"/>
    <s v="Масалкин Ю.В."/>
    <s v="На бумажном носителе"/>
    <s v="Без сроков "/>
    <d v="2023-07-24T00:00:00"/>
    <s v=""/>
    <s v=""/>
    <s v="Договор доверительного управления имуществом"/>
    <s v="Не предполагает взаиморасчетов"/>
    <s v=""/>
    <s v=""/>
    <s v=""/>
    <s v=""/>
    <s v=""/>
    <s v=""/>
    <s v=""/>
    <s v="нет"/>
    <s v="нет"/>
    <s v=""/>
    <s v=""/>
    <s v=""/>
    <s v=""/>
    <s v="нет"/>
  </r>
  <r>
    <s v="Газпромнефть-ГЕО, ООО"/>
    <s v="0000058703"/>
    <s v="Зарегистрирован"/>
    <d v="2024-08-06T00:00:00"/>
    <s v=""/>
    <x v="5"/>
    <s v="5914024719"/>
    <s v=""/>
    <s v="ГЕО-24/33200/00126"/>
    <s v="ГЕО-24/33200/00126"/>
    <s v="Типовой ДД"/>
    <x v="1"/>
    <s v="33200 Соглашение об электронном документообороте"/>
    <s v="00421-24"/>
    <s v=""/>
    <s v="33200 Соглашение об электронном документообороте"/>
    <s v="Организация электронного документооборота с контрагентом ООО &quot;НСХ АЗИЯ ДРИЛЛИНГ&quot;"/>
    <s v="Васильева А.И."/>
    <s v="Кольцов К.В."/>
    <s v="Договорный документ"/>
    <s v="Блок главного инженера"/>
    <s v="Трифонов А.В."/>
    <s v="ЭП"/>
    <s v="Без сроков "/>
    <d v="2024-08-12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Проект"/>
    <s v=""/>
    <s v=""/>
    <x v="58"/>
    <s v=""/>
    <s v=""/>
    <s v=""/>
    <s v=""/>
    <s v="Типовой ДД"/>
    <x v="1"/>
    <s v="26000 Соглашение о конфиденциальности с российским контрагентом"/>
    <s v="00422-21"/>
    <s v=""/>
    <s v="26000 Соглашение о конфиденциальности с российским контрагентом"/>
    <s v=""/>
    <s v="Шабалин С.В."/>
    <s v=""/>
    <s v="Договорный документ"/>
    <s v="Блок геологии и разработки"/>
    <s v=""/>
    <s v=""/>
    <s v=""/>
    <s v=""/>
    <s v=""/>
    <s v=""/>
    <s v=""/>
    <s v=""/>
    <s v=""/>
    <s v=""/>
    <s v=""/>
    <s v=""/>
    <s v=""/>
    <s v=""/>
    <s v=""/>
    <s v="нет"/>
    <s v="нет"/>
    <s v=""/>
    <s v=""/>
    <s v=""/>
    <s v=""/>
    <s v="нет"/>
  </r>
  <r>
    <s v="Газпромнефть-ГЕО, ООО"/>
    <s v=""/>
    <s v="Зарегистрирован"/>
    <d v="2023-08-01T00:00:00"/>
    <s v=""/>
    <x v="298"/>
    <s v=""/>
    <s v=""/>
    <s v="ГЕО-23/26000/00134"/>
    <s v="ГЕО-23/26000/00134"/>
    <s v="Типовой ДД"/>
    <x v="1"/>
    <s v="26000 Соглашение о конфиденциальности с российским контрагентом"/>
    <s v="00422-23"/>
    <s v=""/>
    <s v="26000 Соглашение о конфиденциальности с российским контрагентом"/>
    <s v="Заключение СоК с целью дальнейшего потенциального сотрудничества с контрагентом"/>
    <s v="Гареев Р.Д."/>
    <s v="Гареев Р.Д."/>
    <s v="Договорный документ"/>
    <s v="Блок коммерческой деятельности"/>
    <s v="Созинов С.А."/>
    <s v="На бумажном носителе"/>
    <s v="С ограничением по срокам "/>
    <d v="2023-08-01T00:00:00"/>
    <d v="2026-08-01T00:00:00"/>
    <s v="Д-60"/>
    <s v="Соглашение о конфиденциальности"/>
    <s v="Не предполагает взаиморасчетов"/>
    <s v="Рамочный"/>
    <s v=""/>
    <s v=""/>
    <s v=""/>
    <s v=""/>
    <s v=""/>
    <s v=""/>
    <s v="нет"/>
    <s v="нет"/>
    <s v=""/>
    <s v=""/>
    <s v=""/>
    <s v=""/>
    <s v="нет"/>
  </r>
  <r>
    <s v="Газпромнефть-ГЕО, ООО"/>
    <s v="0000058703"/>
    <s v="Зарегистрирован"/>
    <d v="2024-07-19T00:00:00"/>
    <s v=""/>
    <x v="5"/>
    <s v="5914024719"/>
    <s v=""/>
    <s v="ГЕО-24/33100/00127"/>
    <s v="ГЕО-24/33100/00127"/>
    <s v="Типовой ДД"/>
    <x v="1"/>
    <s v="33100 Соглашение в области производственной безопасности"/>
    <s v="00422-24"/>
    <s v=""/>
    <s v="33100 Соглашение в области производственной безопасности с ООО &quot;НСХ АЗИЯ ДРИЛЛИНГ&quot;"/>
    <s v="Организация безопасности проведения работ согласно обновлённой политике компании в области ПБ"/>
    <s v="Васильева А.И."/>
    <s v="Кольцов К.В."/>
    <s v="Договорный документ"/>
    <s v="Блок главного инженера"/>
    <s v="Михайлов Ю.А."/>
    <s v="ЭП"/>
    <s v="С ограничением по срокам "/>
    <d v="2024-07-19T00:00:00"/>
    <d v="2028-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Закрыт"/>
    <d v="2021-07-08T00:00:00"/>
    <s v=""/>
    <x v="294"/>
    <s v=""/>
    <s v=""/>
    <s v="ГЕО-21/26000/00157"/>
    <s v="ГЕО-21/26000/00157"/>
    <s v="Нетиповой ДД"/>
    <x v="2"/>
    <s v=""/>
    <s v="00423-21"/>
    <s v=""/>
    <s v="Договор о конфиденциальности к договору ГПХ Гоголева А.Д."/>
    <s v="Договор о конфиденциальности к договору ГПХ Гоголева А.Д."/>
    <s v="Рябикина М.А."/>
    <s v="Рябикина М.А. - Контрактный инженер по услугам капитального строительства - Управление закупок работ и услуг; "/>
    <s v="Договорный документ"/>
    <s v="Блок по закупкам"/>
    <s v="Созинов С.А."/>
    <s v="На бумажном носителе"/>
    <s v="Без сроков "/>
    <d v="2021-07-08T00:00:00"/>
    <s v=""/>
    <s v=""/>
    <s v="Соглашение о конфиденциальности"/>
    <s v="Не предполагает взаиморасчетов"/>
    <s v=""/>
    <s v=""/>
    <s v=""/>
    <s v=""/>
    <s v=""/>
    <s v=""/>
    <s v=""/>
    <s v="нет"/>
    <s v="нет"/>
    <s v=""/>
    <s v=""/>
    <s v=""/>
    <s v=""/>
    <s v="нет"/>
  </r>
  <r>
    <s v="Газпромнефть-ГЕО, ООО"/>
    <s v="0000038756"/>
    <s v="Зарегистрирован"/>
    <d v="2023-08-10T00:00:00"/>
    <s v=""/>
    <x v="299"/>
    <s v="8620006279"/>
    <s v=""/>
    <s v="ГЕО-23/10401/00138/Р"/>
    <s v="ГЕО-23/10401/00138/Р"/>
    <s v="Типовой ДД"/>
    <x v="2"/>
    <s v="10401 Типовой договор (мастер-форма) на проведение текущего ремонта и освоения скважин"/>
    <s v="00423-23"/>
    <s v=""/>
    <s v="10401 Типовой договор (мастер-форма) на ГРП "/>
    <s v="Выполнение работ по гидравлическому разрыву пласта на Северо-Ямбургском ЛУ"/>
    <s v="Безруков А.А."/>
    <s v="Рымаренко А.А."/>
    <s v="Договорный документ"/>
    <s v="Блок бурения и ВСР"/>
    <s v="Трифонов А.В."/>
    <s v="На бумажном носителе"/>
    <s v="С ограничением по срокам "/>
    <d v="2023-08-10T00:00:00"/>
    <d v="2023-12-31T00:00:00"/>
    <s v="Д-33"/>
    <s v="Текущий ремонт и освоение скважин"/>
    <s v="Расходная часть"/>
    <s v="Стоимостной"/>
    <s v="20%"/>
    <s v=""/>
    <s v="76589257"/>
    <s v="161 957 348.40"/>
    <s v="134 964 457.00"/>
    <s v="26 992 891.40"/>
    <s v="да"/>
    <s v="нет"/>
    <s v=""/>
    <s v=""/>
    <s v=""/>
    <s v=""/>
    <s v="нет"/>
  </r>
  <r>
    <s v="Газпромнефть-ГЕО, ООО"/>
    <s v="0000084590"/>
    <s v="Зарегистрирован"/>
    <d v="2024-07-27T00:00:00"/>
    <d v="2024-07-22T00:00:00"/>
    <x v="61"/>
    <s v="7708277130"/>
    <s v="ГЕО-23/09000/00149/Р"/>
    <s v=""/>
    <s v="4"/>
    <s v="Нетиповой ДД"/>
    <x v="4"/>
    <s v=""/>
    <s v="00423-24"/>
    <s v="5"/>
    <s v="Изменение №4 к Заявке № 5 к договору № ГЕО-23/09000/00149/Р от 28.08.2023 г."/>
    <s v="Рассмотрение вопроса о возможности заключения Изменения №4 к Заявке №5 на привлечение руководителя группы по производственной безопасности для проекта «Оморинский», Камовская площадь в рамках договора №ГЕО-23/09000/00149/Р от «28» августа 2023 г. с ООО «Свифт Текникал», на оказание услуг по предоставлению труда работников (персонала)."/>
    <s v="Фокин Е.В."/>
    <s v="Фокин Е.В."/>
    <s v="Договорный документ"/>
    <s v="Управление производственной безопасности"/>
    <s v="Михайлов Ю.А."/>
    <s v="ЭП"/>
    <s v="С ограничением по срокам "/>
    <d v="2023-10-30T00:00:00"/>
    <d v="2024-08-31T00:00:00"/>
    <s v="Д-2"/>
    <s v="Договор возмездного оказания услуг"/>
    <s v="Расходная часть"/>
    <s v="Рамочный"/>
    <s v="20%"/>
    <s v=""/>
    <s v=""/>
    <s v="10 772 229.79"/>
    <s v="8 976 858.16"/>
    <s v="1 795 371.63"/>
    <s v="нет"/>
    <s v="нет"/>
    <s v=""/>
    <s v=""/>
    <s v=""/>
    <s v=""/>
    <s v="нет"/>
  </r>
  <r>
    <s v="Газпромнефть-ГЕО, ООО"/>
    <s v="0000065735"/>
    <s v="Зарегистрирован"/>
    <d v="2022-05-13T00:00:00"/>
    <s v=""/>
    <x v="200"/>
    <s v="0274095068"/>
    <s v="№ ГЕО-19/11019/00145/Р "/>
    <s v=""/>
    <s v="1 "/>
    <s v="Типовой ДД"/>
    <x v="4"/>
    <s v="11018, 11019, 11020, 11021, 11022  Наряд-заказ к Договору (рамочному) на выполнение  работ по услугам &quot;Капитальное строительство и ПИР&quot;"/>
    <s v="00424-22"/>
    <s v="Наряд-заказ №5"/>
    <s v="11018, 11019, 11020, 11021, 11022  Наряд-заказ к Договору (рамочному) на выполнение  работ по услугам &quot;Капитальное строительство и ПИР&quot;"/>
    <s v="Изменение сроков и объемов работ и уменьшение стоимости в связи с исключением этапов по объекту «Строительство поисково-оценочной скважины №198 Леск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5-13T00:00:00"/>
    <d v="2022-08-30T00:00:00"/>
    <s v="Д-61"/>
    <s v="Капитальное строительство и ПИР"/>
    <s v="Расходная часть"/>
    <s v="Рамочный"/>
    <s v="20%"/>
    <s v=""/>
    <s v=""/>
    <s v="9 762 632.39"/>
    <s v="8 135 526.99"/>
    <s v="1 627 105.40"/>
    <s v="нет"/>
    <s v="нет"/>
    <s v=""/>
    <s v=""/>
    <s v=""/>
    <s v=""/>
    <s v="нет"/>
  </r>
  <r>
    <s v="Газпромнефть-ГЕО, ООО"/>
    <s v="0000038756"/>
    <s v="Зарегистрирован"/>
    <d v="2023-08-10T00:00:00"/>
    <s v=""/>
    <x v="299"/>
    <s v="8620006279"/>
    <s v=""/>
    <s v="ГЕО-23/33200/00136"/>
    <s v="ГЕО-23/33200/00136"/>
    <s v="Типовой ДД"/>
    <x v="1"/>
    <s v="33200 Соглашение об электронном документообороте"/>
    <s v="00424-23"/>
    <s v=""/>
    <s v="33200 Соглашение об электронном документообороте"/>
    <s v="Применение ЭДО с Подрядчиком"/>
    <s v="Безруков А.А."/>
    <s v="Рымаренко А.А."/>
    <s v="Договорный документ"/>
    <s v="Блок бурения и ВСР"/>
    <s v="Аксенов М.А."/>
    <s v="На бумажном носителе"/>
    <s v="С ограничением по срокам "/>
    <d v="2023-08-10T00:00:00"/>
    <d v="2023-12-15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9141"/>
    <s v="Зарегистрирован"/>
    <d v="2024-07-16T00:00:00"/>
    <s v=""/>
    <x v="181"/>
    <s v="7203215460"/>
    <s v="ГЕО-22/10000/00273/Р"/>
    <s v=""/>
    <s v="3"/>
    <s v="Нетиповой ДД"/>
    <x v="0"/>
    <s v=""/>
    <s v="00424-24"/>
    <s v=""/>
    <s v="ДС №3 к Договору №ГЕО-22/10000/00273/Р от 10.10.2022 г."/>
    <s v="Переименование квалифицированной сейсмической партии"/>
    <s v="Ушакова М.А."/>
    <s v=""/>
    <s v="Договорный документ"/>
    <s v="Блок геологии и разработки"/>
    <s v="Аксенов М.А."/>
    <s v="ЭП"/>
    <s v="С ограничением по срокам "/>
    <d v="2024-07-16T00:00:00"/>
    <d v="2026-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56254"/>
    <s v="Зарегистрирован"/>
    <d v="2021-07-01T00:00:00"/>
    <s v=""/>
    <x v="23"/>
    <s v="7839415866"/>
    <s v="ГЕО-18/00000/00071/Р от 25.12.2018"/>
    <s v=""/>
    <s v="5"/>
    <s v="Типовой ДД"/>
    <x v="0"/>
    <s v="Дополнительное соглашение к договору на оказание услуг/выполнение работ по замене перечня нарушений и штрафных санкций."/>
    <s v="00425-21"/>
    <s v=""/>
    <s v="Дополнительное соглашение к договору на оказание услуг/выполнение работ по замене перечня нарушений и штрафных санкций."/>
    <s v="Об утверждении перечня нарушенмй и штрафных санкций в облати ПБ и утверждении типовой формы дополнительного соглашения "/>
    <s v="Глухарева Ю.Б."/>
    <s v="Глухарева Ю.Б."/>
    <s v="Договорный документ"/>
    <s v="Блок корпоративной защиты"/>
    <s v="Созинов С.А."/>
    <s v="На бумажном носителе"/>
    <s v="С ограничением по срокам "/>
    <d v="2021-07-01T00:00:00"/>
    <d v="2022-12-31T00:00:00"/>
    <s v=""/>
    <s v="ПРОЧИЕ ДОГОВОРЫ"/>
    <s v="Не предполагает взаиморасчетов"/>
    <s v=""/>
    <s v=""/>
    <s v=""/>
    <s v=""/>
    <s v=""/>
    <s v=""/>
    <s v=""/>
    <s v="нет"/>
    <s v="нет"/>
    <s v=""/>
    <s v=""/>
    <s v=""/>
    <s v=""/>
    <s v="нет"/>
  </r>
  <r>
    <s v="Газпромнефть-ГЕО, ООО"/>
    <s v="0000040495"/>
    <s v="Закрыт"/>
    <d v="2022-05-17T00:00:00"/>
    <s v=""/>
    <x v="167"/>
    <s v="0275009544"/>
    <s v="ГЕО-21/10110/00217/Р + ПР"/>
    <s v=""/>
    <s v="3"/>
    <s v="Нетиповой ДД"/>
    <x v="0"/>
    <s v=""/>
    <s v="00425-22"/>
    <s v=""/>
    <s v="ДС № 3 к Договору № ГЕО-21/10110/00217/Р"/>
    <s v="Выплата материальной мотивации"/>
    <s v="Ахматгалиев С.З."/>
    <s v=""/>
    <s v="Договорный документ"/>
    <s v="Блок геологии и разработки"/>
    <s v="Аксенов М.А."/>
    <s v="На бумажном носителе"/>
    <s v="С ограничением по срокам "/>
    <d v="2022-05-17T00:00:00"/>
    <d v="2022-12-01T00:00:00"/>
    <s v=""/>
    <s v="Полевые сейсморазведочные работы 2Д, 3Д"/>
    <s v="Расходная часть"/>
    <s v="Стоимостной"/>
    <s v="20%"/>
    <s v=""/>
    <s v=""/>
    <s v="16 418 727.00"/>
    <s v="13 682 272.50"/>
    <s v="2 736 454.50"/>
    <s v="нет"/>
    <s v="нет"/>
    <s v=""/>
    <s v=""/>
    <s v=""/>
    <s v=""/>
    <s v="нет"/>
  </r>
  <r>
    <s v="Газпромнефть-ГЕО, ООО"/>
    <s v=""/>
    <s v="Зарегистрирован"/>
    <d v="2023-08-10T00:00:00"/>
    <s v=""/>
    <x v="300"/>
    <s v=""/>
    <s v=""/>
    <s v="ГЕО-23/33100/00139"/>
    <s v="ГЕО-23/33100/00139"/>
    <s v="Типовой ДД"/>
    <x v="1"/>
    <s v="33100 Соглашение в области производственной безопасности"/>
    <s v="00425-23"/>
    <s v=""/>
    <s v="33100 Соглашение в области производственной безопасности"/>
    <s v="С целью обеспечения ПБ при оказании услуг."/>
    <s v="Безруков А.А."/>
    <s v="Рымаренко А.А."/>
    <s v="Договорный документ"/>
    <s v="Блок бурения и ВСР"/>
    <s v="Михайлов Ю.А."/>
    <s v="На бумажном носителе"/>
    <s v="До исполнения обязательств"/>
    <d v="2023-08-1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8442"/>
    <s v="Зарегистрирован"/>
    <d v="2024-07-15T00:00:00"/>
    <d v="2024-07-25T00:00:00"/>
    <x v="92"/>
    <s v="5611027573"/>
    <s v="ГЕО-21/09000/00198/Р"/>
    <s v=""/>
    <s v="11"/>
    <s v="Нетиповой ДД"/>
    <x v="0"/>
    <s v=""/>
    <s v="00425-24"/>
    <s v=""/>
    <s v="ДОПОЛНИТЕЛЬНОЕ СОГЛАШЕНИЕ № 11 К ДОГОВОРУ № ГЕО-21/09000/00198/Р от 06.09.2021 г.  возмездного оказания услуг по охране объектов"/>
    <s v="Продление срока действия Договора и сроков оказания услуг до 31.12.2024 г._x000a_Перераспределение объёмов услуг между статьями затрат, с уменьшением общей стоимости договора."/>
    <s v="Уколов И.С."/>
    <s v="Уколов И.С."/>
    <s v="Договорный документ"/>
    <s v="Отдел экономической безопасности"/>
    <s v="Созинов С.А."/>
    <s v="ЭП"/>
    <s v="С ограничением по срокам "/>
    <d v="2024-07-15T00:00:00"/>
    <d v="2024-12-31T00:00:00"/>
    <s v="Д-60"/>
    <s v="Договор возмездного оказания услуг"/>
    <s v="Расходная часть"/>
    <s v="Рамочный"/>
    <s v="без НДС"/>
    <s v=""/>
    <s v=""/>
    <s v="33 393 791.33"/>
    <s v="33 393 791.33"/>
    <n v="0"/>
    <s v="нет"/>
    <s v="нет"/>
    <s v=""/>
    <s v=""/>
    <s v=""/>
    <s v=""/>
    <s v="нет"/>
  </r>
  <r>
    <s v="Газпромнефть-ГЕО, ООО"/>
    <s v=""/>
    <s v="Зарегистрирован"/>
    <d v="2021-07-07T00:00:00"/>
    <s v=""/>
    <x v="301"/>
    <s v=""/>
    <s v=""/>
    <s v="ГЕО-21/26000/00159"/>
    <s v="ГЕО-21/26000/00159"/>
    <s v="Типовой ДД"/>
    <x v="1"/>
    <s v="26000 Соглашение о конфиденциальности с российским контрагентом"/>
    <s v="00426-21"/>
    <s v=""/>
    <s v="26000 Соглашение о конфиденциальности с российским контрагентом"/>
    <s v="Необходимость передачи конфиденциальной информации в рамках технической сессии по обмену опытом по реализованным геологоразведочным мероприятиям и полученным результатам."/>
    <s v="Исхакова А.Р."/>
    <s v="Исхакова А.Р."/>
    <s v="Договорный документ"/>
    <s v="Проект &quot;Южный Оренбург&quot;"/>
    <s v="Масалкин Ю.В."/>
    <s v="На бумажном носителе"/>
    <s v="С ограничением по срокам "/>
    <d v="2021-07-07T00:00:00"/>
    <d v="2022-12-31T00:00:00"/>
    <s v=""/>
    <s v="Соглашение о конфиденциальности"/>
    <s v="Не предполагает взаиморасчетов"/>
    <s v=""/>
    <s v=""/>
    <s v=""/>
    <s v=""/>
    <s v=""/>
    <s v=""/>
    <s v=""/>
    <s v="нет"/>
    <s v="нет"/>
    <s v=""/>
    <s v=""/>
    <s v=""/>
    <s v=""/>
    <s v="нет"/>
  </r>
  <r>
    <s v="Газпромнефть-ГЕО, ООО"/>
    <s v="0000048878"/>
    <s v="Зарегистрирован"/>
    <d v="2022-05-17T00:00:00"/>
    <s v=""/>
    <x v="29"/>
    <s v="1645019164"/>
    <s v="ГЕО-21/10110/00239/Р"/>
    <s v=""/>
    <s v="2"/>
    <s v="Нетиповой ДД"/>
    <x v="0"/>
    <s v=""/>
    <s v="00426-22"/>
    <s v=""/>
    <s v="Дополнительное соглашение 2 к договору ГЕО-21/10110/00239/Р от 18.10.2021"/>
    <s v="Выплата материальной мотивации"/>
    <s v="Ахматгалиев С.З."/>
    <s v=""/>
    <s v="Договорный документ"/>
    <s v="Блок геологии и разработки"/>
    <s v="Аксенов М.А."/>
    <s v="На бумажном носителе"/>
    <s v="С ограничением по срокам "/>
    <d v="2022-05-17T00:00:00"/>
    <d v="2023-12-31T00:00:00"/>
    <s v=""/>
    <s v="Полевые сейсморазведочные работы 2Д, 3Д"/>
    <s v="Расходная часть"/>
    <s v="Стоимостной"/>
    <s v="20%"/>
    <s v=""/>
    <s v=""/>
    <s v="40 725 711.17"/>
    <s v="33 938 092.64"/>
    <s v="6 787 618.53"/>
    <s v="нет"/>
    <s v="нет"/>
    <s v=""/>
    <s v=""/>
    <s v=""/>
    <s v=""/>
    <s v="нет"/>
  </r>
  <r>
    <s v="Газпромнефть-ГЕО, ООО"/>
    <s v=""/>
    <s v="Зарегистрирован"/>
    <d v="2023-08-10T00:00:00"/>
    <s v=""/>
    <x v="300"/>
    <s v=""/>
    <s v=""/>
    <s v="ГЕО-23/33400/00146"/>
    <s v="ГЕО-23/33400/00146"/>
    <s v="Нетиповой ДД"/>
    <x v="1"/>
    <s v=""/>
    <s v="00426-23"/>
    <s v=""/>
    <s v="Соглашение о безопасном использовании информационных систем "/>
    <s v="Предоставление доступа к автоматизированной информационной системе удаленного доступа к информационным ресурсам «СУДИР» для организации работы Подрядной организации в программных продуктах Заказчика (по подаче заявки)_x000d__x000a_"/>
    <s v="Безруков А.А."/>
    <s v="Рымаренко А.А."/>
    <s v="Договорный документ"/>
    <s v="Блок бурения и ВСР"/>
    <s v="Созинов С.А."/>
    <s v="На бумажном носителе"/>
    <s v="С ограничением по срокам "/>
    <d v="2023-08-10T00:00:00"/>
    <d v="2023-12-15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
    <s v="Проект"/>
    <s v=""/>
    <s v=""/>
    <x v="58"/>
    <s v=""/>
    <s v=""/>
    <s v=""/>
    <s v=""/>
    <s v=""/>
    <x v="6"/>
    <s v=""/>
    <s v="00426-24"/>
    <s v=""/>
    <s v="Соглашение об использовании электронного документооборота "/>
    <s v="Переход на электронный документооборот."/>
    <s v="Паркина И.А."/>
    <s v=""/>
    <s v="Договорный документ"/>
    <s v="Отдел подготовительных работ и экономического анализа"/>
    <s v=""/>
    <s v=""/>
    <s v="Без сроков "/>
    <s v=""/>
    <s v=""/>
    <s v=""/>
    <s v=""/>
    <s v=""/>
    <s v=""/>
    <s v=""/>
    <s v=""/>
    <s v=""/>
    <s v=""/>
    <s v=""/>
    <s v=""/>
    <s v="нет"/>
    <s v="нет"/>
    <s v=""/>
    <s v=""/>
    <s v=""/>
    <s v=""/>
    <s v="нет"/>
  </r>
  <r>
    <s v="Газпромнефть-ГЕО, ООО"/>
    <s v="0000055382"/>
    <s v="Зарегистрирован"/>
    <d v="2021-07-01T00:00:00"/>
    <s v=""/>
    <x v="176"/>
    <s v="7718554537"/>
    <s v="ГЕО-19/09000/00292/Р от 04.12.2019"/>
    <s v=""/>
    <s v="ДС №4 к Договору ГЕО-19/09000/00292/Р от 04.12.2019"/>
    <s v="Типовой ДД"/>
    <x v="0"/>
    <s v="Дополнительное соглашение к договору на оказание услуг/выполнение работ по замене перечня нарушений и штрафных санкций."/>
    <s v="00427-21"/>
    <s v=""/>
    <s v="Дополнительное соглашение к договору на оказание услуг/выполнение работ по замене перечня нарушений и штрафных санкций."/>
    <s v="Об утверждении перечня нарушенмй и штрафных санкций в облати ПБ и утверждении типовой формы дополнительного соглашения "/>
    <s v="Глухарева Ю.Б."/>
    <s v="Глухарева Ю.Б."/>
    <s v="Договорный документ"/>
    <s v="Блок корпоративной защиты"/>
    <s v="Созинов С.А."/>
    <s v="На бумажном носителе"/>
    <s v="С ограничением по срокам "/>
    <d v="2021-07-01T00:00:00"/>
    <d v="2022-12-31T00:00:00"/>
    <s v=""/>
    <s v="ПРОЧИЕ ДОГОВОРЫ"/>
    <s v="Не предполагает взаиморасчетов"/>
    <s v=""/>
    <s v=""/>
    <s v=""/>
    <s v=""/>
    <s v=""/>
    <s v=""/>
    <s v=""/>
    <s v="нет"/>
    <s v="нет"/>
    <s v=""/>
    <s v=""/>
    <s v=""/>
    <s v=""/>
    <s v="нет"/>
  </r>
  <r>
    <s v="Газпромнефть-ГЕО, ООО"/>
    <s v="0000061300"/>
    <s v="Зарегистрирован"/>
    <d v="2022-05-20T00:00:00"/>
    <s v=""/>
    <x v="191"/>
    <s v="5603011386"/>
    <s v="ГЕО-22/09000/00066/Р"/>
    <s v=""/>
    <s v="1"/>
    <s v="Нетиповой ДД"/>
    <x v="0"/>
    <s v=""/>
    <s v="00427-22"/>
    <s v=""/>
    <s v="Дополнительное соглашение №1 к договору №ГЕО-22/09000/00066/Р от 30.03.2022г "/>
    <s v="применить новые сроки оплаты, в соответствии с пунктом 1.2.7. Протокола ЭС по управлению взаимоотношениями с контрагентами БРД ПАО «Газпром нефть» от 09.03.2022 (14 к.дн.)"/>
    <s v="Раковица Д.К."/>
    <s v=""/>
    <s v="Договорный документ"/>
    <s v="Отдел подготовительных работ и экономического анализа"/>
    <s v="Гаврилов С.В."/>
    <s v="На бумажном носителе"/>
    <s v="С ограничением по срокам "/>
    <d v="2022-03-30T00:00:00"/>
    <d v="2023-03-15T00:00:00"/>
    <s v="Д-58"/>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57750"/>
    <s v="Зарегистрирован"/>
    <d v="2023-08-01T00:00:00"/>
    <s v=""/>
    <x v="182"/>
    <s v="0814118403"/>
    <s v="ГЕО-23/20000/00065/Д"/>
    <s v=""/>
    <s v="1"/>
    <s v="Нетиповой ДД"/>
    <x v="0"/>
    <s v=""/>
    <s v="00427-23"/>
    <s v=""/>
    <s v="ДС 1 к ГЕО-23/20000/00065/Д от 29.03.2023 с АО &quot;ССК&quot; Томский филиал"/>
    <s v="Увеличение стоимости договора"/>
    <s v="Титова Е.В."/>
    <s v="Титова Е.В."/>
    <s v="Договорный документ"/>
    <s v="Блок снабжения и закупок"/>
    <s v="Титов А.В."/>
    <s v="На бумажном носителе"/>
    <s v="С ограничением по срокам "/>
    <d v="2023-08-01T00:00:00"/>
    <d v="2023-12-31T00:00:00"/>
    <s v="Д-56"/>
    <s v="Агентский договор"/>
    <s v="Доходная часть"/>
    <s v="Агентский"/>
    <s v="20%"/>
    <s v=""/>
    <s v=""/>
    <s v="3 895 906.27"/>
    <s v="3 246 588.56"/>
    <s v="649 317.71"/>
    <s v="нет"/>
    <s v="нет"/>
    <s v=""/>
    <s v=""/>
    <s v=""/>
    <s v=""/>
    <s v="нет"/>
  </r>
  <r>
    <s v="Газпромнефть-ГЕО, ООО"/>
    <s v="0000073836"/>
    <s v="Зарегистрирован"/>
    <d v="2024-07-30T00:00:00"/>
    <s v=""/>
    <x v="302"/>
    <s v="1658105798"/>
    <s v=""/>
    <s v="ГЕО-24/10000/00140/Р"/>
    <s v="ГЕО-24/10000/00140/Р"/>
    <s v="Нетиповой ДД"/>
    <x v="2"/>
    <s v=""/>
    <s v="00427-24"/>
    <s v=""/>
    <s v="10116 Договор с ООО &quot;РАИФ&quot; на освоение скважин струйными насосами"/>
    <s v="Оказание услуг по освоению скважин струйным насосам по заказу ООО «ГПН-ГЕО» на территории ЯНАО, Красноярского края, Оренбургской и Иркутской областей. "/>
    <s v="Васильева А.И."/>
    <s v="Каныгин Д.О."/>
    <s v="Договорный документ"/>
    <s v="Блок главного инженера"/>
    <s v="Трифонов А.В."/>
    <s v="На бумажном носителе"/>
    <s v="С ограничением по срокам "/>
    <d v="2024-07-30T00:00:00"/>
    <d v="2026-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4225183.38"/>
    <s v="154 100 623.78"/>
    <s v="128 417 186.48"/>
    <s v="25 683 437.30"/>
    <s v="да"/>
    <s v="нет"/>
    <s v=""/>
    <s v=""/>
    <s v=""/>
    <s v=""/>
    <s v="да"/>
  </r>
  <r>
    <s v="Газпромнефть-ГЕО, ООО"/>
    <s v=""/>
    <s v="Проект"/>
    <s v=""/>
    <s v=""/>
    <x v="58"/>
    <s v=""/>
    <s v=""/>
    <s v=""/>
    <s v=""/>
    <s v="Типовой ДД"/>
    <x v="1"/>
    <s v="26000 Соглашение о конфиденциальности с российским контрагентом"/>
    <s v="00428-23"/>
    <s v=""/>
    <s v="26000 Соглашение о конфиденциальности с российским контрагентом"/>
    <s v=""/>
    <s v="Волохов Р.Д."/>
    <s v=""/>
    <s v="Договорный документ"/>
    <s v="Блок коммерческой деятельности"/>
    <s v="Созинов С.А."/>
    <s v="На бумажном носителе"/>
    <s v="Без сроков "/>
    <s v=""/>
    <s v=""/>
    <s v="Д-60"/>
    <s v="Соглашение о конфиденциальности"/>
    <s v="Не предполагает взаиморасчетов"/>
    <s v=""/>
    <s v=""/>
    <s v=""/>
    <s v=""/>
    <s v=""/>
    <s v=""/>
    <s v=""/>
    <s v="нет"/>
    <s v="нет"/>
    <s v=""/>
    <s v=""/>
    <s v=""/>
    <s v=""/>
    <s v="нет"/>
  </r>
  <r>
    <s v="Газпромнефть-ГЕО, ООО"/>
    <s v="0000115183"/>
    <s v="Зарегистрирован"/>
    <d v="2024-07-24T00:00:00"/>
    <s v=""/>
    <x v="170"/>
    <s v="564802061920"/>
    <s v=""/>
    <s v="ГЕО-24/04300/00131/Р"/>
    <s v="ГЕО-24/04300/00131/Р"/>
    <s v="Нетиповой ДД"/>
    <x v="1"/>
    <s v=""/>
    <s v="00428-24"/>
    <s v=""/>
    <s v="Соглашение о возмещении убытков сельскохозяйственного производства, в т.ч. упущенной выгоды при временном занятии земельного участка"/>
    <s v="возмещение убытков сельскохозяйственного производства при временном занятии части земельного участка для строительства промышленных и иных объектов, в том числе (но не ограничиваясь) для размещения бурового оборудования при бурении разведочной скважины 342 Корнавар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4-07-17T00:00:00"/>
    <s v=""/>
    <s v="Д-82"/>
    <s v="Договор аренды недвижимости"/>
    <s v="Расходная часть"/>
    <s v="Стоимостной"/>
    <s v="13%"/>
    <s v=""/>
    <s v=""/>
    <s v="251 491.33"/>
    <s v="218 797.33"/>
    <s v="32 694.00"/>
    <s v="нет"/>
    <s v="нет"/>
    <s v=""/>
    <s v=""/>
    <s v=""/>
    <s v=""/>
    <s v="нет"/>
  </r>
  <r>
    <s v="Газпромнефть-ГЕО, ООО"/>
    <s v="0000055382"/>
    <s v="Зарегистрирован"/>
    <d v="2021-07-01T00:00:00"/>
    <s v=""/>
    <x v="176"/>
    <s v="7718554537"/>
    <s v="ГЕО-19/09000/00038/Р от 14.03.2019"/>
    <s v=""/>
    <s v="ДС № 4 к договору ГЕО-19/09000/00038/Р от 14.03.2019"/>
    <s v="Типовой ДД"/>
    <x v="0"/>
    <s v="Дополнительное соглашение к договору на оказание услуг/выполнение работ по замене перечня нарушений и штрафных санкций."/>
    <s v="00429-21"/>
    <s v=""/>
    <s v="Дополнительное соглашение к договору на оказание услуг/выполнение работ по замене перечня нарушений и штрафных санкций."/>
    <s v="Об утверждении перечня нарушенмй и штрафных санкций в облати ПБ и утверждении типовой формы дополнительного соглашения "/>
    <s v="Глухарева Ю.Б."/>
    <s v="Глухарева Ю.Б."/>
    <s v="Договорный документ"/>
    <s v="Блок корпоративной защиты"/>
    <s v="Созинов С.А."/>
    <s v="На бумажном носителе"/>
    <s v="С ограничением по срокам "/>
    <d v="2021-07-01T00:00:00"/>
    <d v="2022-12-31T00:00:00"/>
    <s v=""/>
    <s v="ПРОЧИЕ ДОГОВОРЫ"/>
    <s v="Не предполагает взаиморасчетов"/>
    <s v=""/>
    <s v=""/>
    <s v=""/>
    <s v=""/>
    <s v=""/>
    <s v=""/>
    <s v=""/>
    <s v="нет"/>
    <s v="нет"/>
    <s v=""/>
    <s v=""/>
    <s v=""/>
    <s v=""/>
    <s v="нет"/>
  </r>
  <r>
    <s v="Газпромнефть-ГЕО, ООО"/>
    <s v="0000069357"/>
    <s v="Закрыт"/>
    <d v="2022-07-19T00:00:00"/>
    <s v=""/>
    <x v="147"/>
    <s v="8903034220"/>
    <s v=""/>
    <s v="ГЕО-22/09000/00177/Д"/>
    <s v="ГЕО-22/09000/00177/Д"/>
    <s v="Нетиповой ДД"/>
    <x v="2"/>
    <s v=""/>
    <s v="00429-22"/>
    <s v=""/>
    <s v="Научно-методическое сопровождение обработки данных сейсморазведочных работ 3D, 2D и геофизических исследований скважин в пределах Западно-Юбилейных лицензионных участков"/>
    <s v="Осуществление научно-методического сопровождения обработки данных сейсморазведочных работ 3D, 2D и геофизических исследований скважин в пределах Западно-Юбилейных лицензионных участков"/>
    <s v="Мурзин Р.Р."/>
    <s v="Мурзин Р.Р."/>
    <s v="Договорный документ"/>
    <s v="Управление сейсморазведочных работ"/>
    <s v="Аксенов М.А."/>
    <s v="На бумажном носителе"/>
    <s v="С ограничением по срокам "/>
    <d v="2022-05-01T00:00:00"/>
    <d v="2022-12-31T00:00:00"/>
    <s v=""/>
    <s v="Договор возмездного оказания услуг"/>
    <s v="Доходная часть"/>
    <s v="Рамочный"/>
    <s v="20%"/>
    <s v=""/>
    <s v=""/>
    <s v="4 261 090.30"/>
    <s v="3 550 908.58"/>
    <s v="710 181.72"/>
    <s v="нет"/>
    <s v="нет"/>
    <s v=""/>
    <s v=""/>
    <s v=""/>
    <s v=""/>
    <s v="нет"/>
  </r>
  <r>
    <s v="Газпромнефть-ГЕО, ООО"/>
    <s v="0000067067"/>
    <s v="Зарегистрирован"/>
    <d v="2023-08-01T00:00:00"/>
    <s v=""/>
    <x v="85"/>
    <s v="7816483740"/>
    <s v="ГЕО-19/09000/00303/Р"/>
    <s v=""/>
    <s v="3"/>
    <s v="Нетиповой ДД"/>
    <x v="8"/>
    <s v=""/>
    <s v="00429-23"/>
    <s v=""/>
    <s v="Наряд-задание № 3 к договору ГЕО-19/09000/00303/Р от 15.11.2019"/>
    <s v="Организации работы здравпунктов и оказанию медицинских услуг с компанией ООО «ММЦ Профмедицина» (Оморинский ЛУ),"/>
    <s v="Покатов О.Н."/>
    <s v=""/>
    <s v="Договорный документ"/>
    <s v="Блок снабжения и закупок"/>
    <s v="Михайлов Ю.А."/>
    <s v="ЭП"/>
    <s v="До исполнения обязательств"/>
    <d v="2023-07-31T00:00:00"/>
    <s v=""/>
    <s v="Д-2"/>
    <s v="Договор возмездного оказания услуг"/>
    <s v="Расходная часть"/>
    <s v="Стоимостной"/>
    <s v="20%"/>
    <s v=""/>
    <s v=""/>
    <s v="11 681 770.33"/>
    <s v="9 734 808.61"/>
    <s v="1 946 961.72"/>
    <s v="нет"/>
    <s v="нет"/>
    <s v=""/>
    <s v=""/>
    <s v=""/>
    <s v=""/>
    <s v="нет"/>
  </r>
  <r>
    <s v="Газпромнефть-ГЕО, ООО"/>
    <s v="0000073563"/>
    <s v="Зарегистрирован"/>
    <d v="2024-07-01T00:00:00"/>
    <d v="2024-07-25T00:00:00"/>
    <x v="120"/>
    <s v="8609322418"/>
    <s v=""/>
    <s v="ГЕО-24/33200/00128"/>
    <s v="ГЕО-24/33200/00128"/>
    <s v="Типовой ДД"/>
    <x v="1"/>
    <s v="33200 Соглашение об электронном документообороте"/>
    <s v="00429-24"/>
    <s v=""/>
    <s v="33200 Соглашение об электронном документообороте"/>
    <s v="Соглашение об использовании электронного документооборота "/>
    <s v="Паркина И.А."/>
    <s v="Паркина И.А."/>
    <s v="Договорный документ"/>
    <s v="Отдел подготовительных работ и экономического анализа"/>
    <s v="Ковтун М.А."/>
    <s v="ЭП"/>
    <s v="До исполнения обязательств"/>
    <d v="2024-07-01T00:00:00"/>
    <s v=""/>
    <s v="Д-62"/>
    <s v="Соглашение об использовании электронного документооборота"/>
    <s v="Не предполагает взаиморасчетов"/>
    <s v="Стоимостной"/>
    <s v=""/>
    <s v=""/>
    <s v=""/>
    <s v=""/>
    <s v=""/>
    <s v=""/>
    <s v="нет"/>
    <s v="нет"/>
    <s v=""/>
    <s v=""/>
    <s v=""/>
    <s v=""/>
    <s v="нет"/>
  </r>
  <r>
    <s v="Газпромнефть-ГЕО, ООО"/>
    <s v="0000045789"/>
    <s v="Зарегистрирован"/>
    <d v="2021-07-07T00:00:00"/>
    <s v=""/>
    <x v="16"/>
    <s v="7838395487"/>
    <s v="НТЦ-18/09000/01305/Д-ГЕО/ГЕО-19/09000/00045/Р "/>
    <s v=""/>
    <s v="НТЦ-01450-21Д"/>
    <s v="Нетиповой ДД"/>
    <x v="3"/>
    <s v=""/>
    <s v="00430-21"/>
    <s v=""/>
    <s v="Заказ"/>
    <s v="Информационно-консультационные услуги в формате вебинара по теме: _x000d__x000a_«Обработка данных сейсморазведки», 12.07.2021-14.07.2021, Грановский А.М., Гордиенко А.В, Коротков А.Б.._x000d__x000a_"/>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1-07-12T00:00:00"/>
    <s v=""/>
    <s v=""/>
    <s v="Договор на обучение (тренинги, семинары и проч.)"/>
    <s v="Расходная часть"/>
    <s v="Рамочный"/>
    <s v="20%"/>
    <s v=""/>
    <s v=""/>
    <s v="149 040.00"/>
    <s v="124 200.00"/>
    <s v="24 840.00"/>
    <s v="нет"/>
    <s v="нет"/>
    <s v=""/>
    <s v=""/>
    <s v=""/>
    <s v=""/>
    <s v="нет"/>
  </r>
  <r>
    <s v="Газпромнефть-ГЕО, ООО"/>
    <s v="0000025072"/>
    <s v="Зарегистрирован"/>
    <d v="2023-08-01T00:00:00"/>
    <d v="2023-08-01T00:00:00"/>
    <x v="303"/>
    <s v="7713080756"/>
    <s v="ГЕО-21/101108/00194/Р "/>
    <s v=""/>
    <s v="3"/>
    <s v="Нетиповой ДД"/>
    <x v="0"/>
    <s v=""/>
    <s v="00430-23"/>
    <s v=""/>
    <s v="ДОГОВОР НА ВЫПОЛНЕНИЕ РАБОТ ПО СПЕЦИАЛЬНЫМ ЛАБОРАТОРНЫМ ИССЛЕДОВАНИЯМ КЕРНА И ПЛАСТОВЫХ ФЛЮИДОВ"/>
    <s v="Перевод части негарантированного объема услуг в гарантированный."/>
    <s v="Яковенко А.В."/>
    <s v=""/>
    <s v="Договорный документ"/>
    <s v="Управление по разработке"/>
    <s v="Аксенов М.А."/>
    <s v="На бумажном носителе"/>
    <s v="С ограничением по срокам "/>
    <d v="2023-08-01T00:00:00"/>
    <d v="2023-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8 445 063.90"/>
    <s v="7 037 553.25"/>
    <s v="1 407 510.65"/>
    <s v="нет"/>
    <s v="нет"/>
    <s v=""/>
    <s v=""/>
    <s v=""/>
    <s v=""/>
    <s v="нет"/>
  </r>
  <r>
    <s v="Газпромнефть-ГЕО, ООО"/>
    <s v="0000084590"/>
    <s v="Зарегистрирован"/>
    <d v="2024-07-30T00:00:00"/>
    <d v="2024-08-01T00:00:00"/>
    <x v="61"/>
    <s v="7708277130"/>
    <s v="ГЕО-23/09000/00149/Р"/>
    <s v=""/>
    <s v="3"/>
    <s v="Нетиповой ДД"/>
    <x v="4"/>
    <s v=""/>
    <s v="00430-24"/>
    <s v="10"/>
    <s v="Изменение №3 к Заявке № 10 к договору № ГЕО-23/09000/00149/Р от «28» августа 2023 г."/>
    <s v="1._x0009_Изложить раздел 1, Заявки № 10 к договору о предоставлении труда работников (персонала) № ГЕО-23/09000/00149/Р от 28.08.2023 г. в части Ф.И.О. работника в следующей редакции:_x000a_- Демидов Денис Дмитриевич._x000a_- Кочетков Сергей Сергеевич."/>
    <s v="Фокин Е.В."/>
    <s v=""/>
    <s v="Договорный документ"/>
    <s v="Управление производственной безопасности"/>
    <s v="Михайлов Ю.А."/>
    <s v="ЭП"/>
    <s v="С ограничением по срокам "/>
    <d v="2024-07-30T00:00:00"/>
    <d v="2024-09-30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25072"/>
    <s v="Зарегистрирован"/>
    <d v="2023-08-01T00:00:00"/>
    <d v="2023-08-01T00:00:00"/>
    <x v="303"/>
    <s v="7713080756"/>
    <s v="ГЕО-21/101108/00194/Р"/>
    <s v=""/>
    <s v="3"/>
    <s v="Нетиповой ДД"/>
    <x v="3"/>
    <s v=""/>
    <s v="00431-23"/>
    <s v=""/>
    <s v="Заказ 3 к Договору № ГЕО-21/101108/00194/Р от «23» августа 2021 г."/>
    <s v="Заказ-наряд на выполнение работ по определению давления смесимости с использованием моделей рекомбинированной до пластовых условий нефти в пластовых термобарических условиях"/>
    <s v="Яковенко А.В."/>
    <s v=""/>
    <s v="Договорный документ"/>
    <s v="Управление по разработке"/>
    <s v="Аксенов М.А."/>
    <s v="На бумажном носителе"/>
    <s v="С ограничением по срокам "/>
    <d v="2023-08-01T00:00:00"/>
    <d v="2023-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8 445 063.90"/>
    <s v="7 037 553.25"/>
    <s v="1 407 510.65"/>
    <s v="нет"/>
    <s v="нет"/>
    <s v=""/>
    <s v=""/>
    <s v=""/>
    <s v=""/>
    <s v="нет"/>
  </r>
  <r>
    <s v="Газпромнефть-ГЕО, ООО"/>
    <s v="0000084590"/>
    <s v="Зарегистрирован"/>
    <d v="2024-08-01T00:00:00"/>
    <s v=""/>
    <x v="61"/>
    <s v="7708277130"/>
    <s v="ГЕО-23/09000/00149/Р"/>
    <s v=""/>
    <s v="1"/>
    <s v="Нетиповой ДД"/>
    <x v="4"/>
    <s v=""/>
    <s v="00431-24"/>
    <s v="19"/>
    <s v="Изменение №1 к Заявке № 19 к договору № ГЕО-23/09000/00149/Р от «28» августа 2023 г."/>
    <s v="1._x0009_Изложить раздел 1, Заявки № 19 к договору о предоставлении труда работников (персонала) № ГЕО-23/09000/00149/Р от 28.08.2023 г. в части Ф.И.О. работника в следующей редакции:_x000a_- Антохин Евгений Анатольевич._x000a_- Гришин Андрей Васильевич."/>
    <s v="Фокин Е.В."/>
    <s v=""/>
    <s v="Договорный документ"/>
    <s v="Управление производственной безопасности"/>
    <s v="Михайлов Ю.А."/>
    <s v="ЭП"/>
    <s v="С ограничением по срокам "/>
    <d v="2024-07-01T00:00:00"/>
    <d v="2024-08-31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66314"/>
    <s v="Зарегистрирован"/>
    <d v="2021-07-15T00:00:00"/>
    <s v=""/>
    <x v="74"/>
    <s v="7202242358"/>
    <s v="АНГ-19/11513/00010/Р"/>
    <s v=""/>
    <s v="3"/>
    <s v="Типовой ДД"/>
    <x v="0"/>
    <s v="Дополнительное соглашение к договору на оказание услуг/выполнение работ по замене перечня нарушений и штрафных санкций."/>
    <s v="00432-21"/>
    <s v="Соглашение к АНГ-19/11513/00010/Р"/>
    <s v="Дополнительное соглашение к договору на оказание услуг/выполнение работ по замене перечня нарушений и штрафных санкций."/>
    <s v="Исполнение приказа №85-П от 07.06.2021, замена перечня штрафных санкций в области ПБ"/>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7-15T00:00:00"/>
    <d v="2024-12-31T00:00:00"/>
    <s v="Д-22"/>
    <s v="Выполнение комплекса топографо-геодезических, землеустроительных и лесоустроительных  работ "/>
    <s v="Не предполагает взаиморасчетов"/>
    <s v=""/>
    <s v=""/>
    <s v=""/>
    <s v=""/>
    <s v=""/>
    <s v=""/>
    <s v=""/>
    <s v="нет"/>
    <s v="нет"/>
    <s v=""/>
    <s v=""/>
    <s v=""/>
    <s v=""/>
    <s v="нет"/>
  </r>
  <r>
    <s v="Газпромнефть-ГЕО, ООО"/>
    <s v="0000105641"/>
    <s v="Зарегистрирован"/>
    <d v="2023-08-25T00:00:00"/>
    <s v=""/>
    <x v="133"/>
    <s v="8619017847"/>
    <s v=""/>
    <s v="ГЕО-23/09000/00142/Д"/>
    <s v="ГЕО-23/09000/00142/Д"/>
    <s v="Нетиповой ДД"/>
    <x v="2"/>
    <s v=""/>
    <s v="00432-23"/>
    <s v=""/>
    <s v="Рамочный договор "/>
    <s v="Выполнение научно-технических работ и оказание научно-технических услуг."/>
    <s v="Блинова Д.М."/>
    <s v="Блинова Д.М."/>
    <s v="Договорный документ"/>
    <s v="Кластер &quot;Большая Ачимовка&quot;"/>
    <s v="Шакирзянов Л.Н."/>
    <s v="ЭП"/>
    <s v="С ограничением по срокам "/>
    <d v="2023-08-25T00:00:00"/>
    <d v="2025-12-25T00:00:00"/>
    <s v="Д-20"/>
    <s v="Договор возмездного оказания услуг"/>
    <s v="Доходная часть"/>
    <s v="Рамочный"/>
    <s v="20%"/>
    <s v=""/>
    <s v=""/>
    <s v="972 705 866.89"/>
    <s v="810 588 222.41"/>
    <s v="162 117 644.48"/>
    <s v="нет"/>
    <s v="нет"/>
    <s v=""/>
    <s v=""/>
    <s v=""/>
    <s v=""/>
    <s v="нет"/>
  </r>
  <r>
    <s v="Газпромнефть-ГЕО, ООО"/>
    <s v="0000047108"/>
    <s v="Зарегистрирован"/>
    <d v="2024-07-18T00:00:00"/>
    <d v="2024-07-25T00:00:00"/>
    <x v="19"/>
    <s v="3245502148"/>
    <s v="ГЕО-22/01200/00328/Р"/>
    <s v=""/>
    <s v="4"/>
    <s v="Нетиповой ДД"/>
    <x v="5"/>
    <s v=""/>
    <s v="00432-24"/>
    <s v=""/>
    <s v="Спецификация №4 к Договору № ГЕО-22/01200/00328/Р"/>
    <s v="Реализация палатки ПКП-А36 (инв. № 104000088, код SAP 770000822791)) в количестве 1 шт. из ООО &quot;Гыдан Энерджи&quot; в ООО &quot;ГПН-ГЕО&quot; для проекта &quot;Оморинский&quot; (Км-4бис)"/>
    <s v="Разгоняев И.А."/>
    <s v="Разгоняев И.А."/>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4-07-18T00:00:00"/>
    <d v="2024-08-31T00:00:00"/>
    <s v="Д-56"/>
    <s v="Договор поставки/купли продажи движимого имущества"/>
    <s v="Расходная часть"/>
    <s v="Стоимостной"/>
    <s v="20%"/>
    <s v=""/>
    <s v=""/>
    <s v="2 556 544.80"/>
    <s v="2 130 454.00"/>
    <s v="426 090.80"/>
    <s v="нет"/>
    <s v="нет"/>
    <s v=""/>
    <s v=""/>
    <s v=""/>
    <s v=""/>
    <s v="нет"/>
  </r>
  <r>
    <s v="Газпромнефть-ГЕО, ООО"/>
    <s v="0000038433"/>
    <s v="Зарегистрирован"/>
    <d v="2022-04-30T00:00:00"/>
    <s v=""/>
    <x v="117"/>
    <s v="7707113869"/>
    <s v="ГЕО-19/09000/00084Р"/>
    <s v=""/>
    <s v="3"/>
    <s v="Нетиповой ДД"/>
    <x v="0"/>
    <s v=""/>
    <s v="00433-22"/>
    <s v=""/>
    <s v="Договор об оказании услуг"/>
    <s v="Исполнитель обязуется по заданию Заказчика оказать услуги (в рамках договоров, соглашений, контрактов и т.д., заключенных с авиакомпаниями, гостиницами, транспортными предприятиями и другими поставщиками услуг) по организации деловых поездок сотрудников Заказчика (в том числе и групповых)"/>
    <s v="Буракова О.В."/>
    <s v="Сергель О.Г."/>
    <s v="Договорный документ"/>
    <s v="Отдел административной поддержки бизнеса"/>
    <s v="Масалкин Ю.В."/>
    <s v="На бумажном носителе"/>
    <s v="С ограничением по срокам "/>
    <d v="2022-05-02T00:00:00"/>
    <d v="2022-08-31T00:00:00"/>
    <s v=""/>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111062"/>
    <s v="Зарегистрирован"/>
    <d v="2023-08-14T00:00:00"/>
    <s v=""/>
    <x v="279"/>
    <s v="2411028461"/>
    <s v=""/>
    <s v="ГЕО-23/09000/00140/Р"/>
    <s v="ГЕО-23/09000/00140/Р"/>
    <s v="Нетиповой ДД"/>
    <x v="2"/>
    <s v=""/>
    <s v="00433-23"/>
    <s v=""/>
    <s v="на оказание услуг по проведению медицинских осмотров"/>
    <s v="Целью проведения медицинских осмотров сотрудников ООО «ГПН-ГЕО» и подрядных организаций на площадке в с. Богучаны, Красноярского края, является минимизации рисков в области охраны здоровья, не допуск к заезду на ЛУ лиц с признаками инфекционных заболеваний, повышенным артериальным давлением или в состоянии алкогольного опьянения. "/>
    <s v="Табуева М.А."/>
    <s v="Евстигнеев В.А."/>
    <s v="Договорный документ"/>
    <s v="Управление производственной безопасности"/>
    <s v="Михайлов Ю.А."/>
    <s v="На бумажном носителе"/>
    <s v="С ограничением по срокам "/>
    <d v="2023-08-14T00:00:00"/>
    <d v="2024-12-31T00:00:00"/>
    <s v="Д-2"/>
    <s v="Договор возмездного оказания услуг"/>
    <s v="Расходная часть"/>
    <s v="Стоимостной"/>
    <s v="без НДС"/>
    <s v=""/>
    <s v=""/>
    <s v="595 232.00"/>
    <s v="595 232.00"/>
    <n v="0"/>
    <s v="нет"/>
    <s v="нет"/>
    <s v=""/>
    <s v=""/>
    <s v=""/>
    <s v=""/>
    <s v="нет"/>
  </r>
  <r>
    <s v="Газпромнефть-ГЕО, ООО"/>
    <s v=""/>
    <s v="Проект"/>
    <s v=""/>
    <s v=""/>
    <x v="58"/>
    <s v=""/>
    <s v=""/>
    <s v=""/>
    <s v=""/>
    <s v=""/>
    <x v="6"/>
    <s v=""/>
    <s v="00433-24"/>
    <s v=""/>
    <s v=""/>
    <s v=""/>
    <s v="Герасимова О.А."/>
    <s v=""/>
    <s v="Договорный документ"/>
    <s v="Отдел административной поддержки бизнеса"/>
    <s v=""/>
    <s v=""/>
    <s v=""/>
    <s v=""/>
    <s v=""/>
    <s v=""/>
    <s v=""/>
    <s v=""/>
    <s v=""/>
    <s v=""/>
    <s v=""/>
    <s v=""/>
    <s v=""/>
    <s v=""/>
    <s v=""/>
    <s v="нет"/>
    <s v="нет"/>
    <s v=""/>
    <s v=""/>
    <s v=""/>
    <s v=""/>
    <s v="нет"/>
  </r>
  <r>
    <s v="Газпромнефть-ГЕО, ООО"/>
    <s v="0000060723"/>
    <s v="Зарегистрирован"/>
    <d v="2021-07-15T00:00:00"/>
    <s v=""/>
    <x v="49"/>
    <s v="3811088474"/>
    <s v="АНГ-19/11513/00007/Р"/>
    <s v=""/>
    <s v="2"/>
    <s v="Типовой ДД"/>
    <x v="0"/>
    <s v="Дополнительное соглашение к договору на оказание услуг/выполнение работ по замене перечня нарушений и штрафных санкций."/>
    <s v="00434-21"/>
    <s v="Соглашение к АНГ-19/11513/00007/Р"/>
    <s v="Дополнительное соглашение к договору на оказание услуг/выполнение работ по замене перечня нарушений и штрафных санкций."/>
    <s v="Исполнение приказа №85-П от 07.06.2021, замена перечня штрафных санкций в области ПБ"/>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7-15T00:00:00"/>
    <d v="2024-12-31T00:00:00"/>
    <s v="Д-22"/>
    <s v="Выполнение комплекса топографо-геодезических, землеустроительных и лесоустроительных  работ "/>
    <s v="Не предполагает взаиморасчетов"/>
    <s v=""/>
    <s v=""/>
    <s v=""/>
    <s v=""/>
    <s v=""/>
    <s v=""/>
    <s v=""/>
    <s v="нет"/>
    <s v="нет"/>
    <s v=""/>
    <s v=""/>
    <s v=""/>
    <s v=""/>
    <s v="нет"/>
  </r>
  <r>
    <s v="Газпромнефть-ГЕО, ООО"/>
    <s v="0000045789"/>
    <s v="Зарегистрирован"/>
    <d v="2022-05-11T00:00:00"/>
    <s v=""/>
    <x v="16"/>
    <s v="7838395487"/>
    <s v="ГЕО-21/11708/00165/Р//НТЦ-21/09000/00768/Д"/>
    <s v=""/>
    <s v="НТЦ-03406-21Д-ГЕО"/>
    <s v="Нетиповой ДД"/>
    <x v="3"/>
    <s v=""/>
    <s v="00434-22"/>
    <s v=""/>
    <s v="Построение предварительного базового концепта разработки проекта «Чона"/>
    <s v="• Комплексное сопровождение работ и создание предварительной базовой интегрированной концепции разработки Игнялинского, Тымпучиканского и Вакунайского ЛУ"/>
    <s v="Ябиров Р.З."/>
    <s v=""/>
    <s v="Договорный документ"/>
    <s v="Блок геологии и разработки"/>
    <s v="Аксенов М.А."/>
    <s v="На бумажном носителе"/>
    <s v="С ограничением по срокам "/>
    <d v="2022-05-11T00:00:00"/>
    <d v="2022-06-30T00:00:00"/>
    <s v="Д-54"/>
    <s v="Договор на выполнение НИР, ОКР и технологических работ"/>
    <s v="Расходная часть"/>
    <s v="Рамочный"/>
    <s v="20%"/>
    <s v=""/>
    <s v=""/>
    <s v="21 898 936.80"/>
    <s v="18 249 114.00"/>
    <s v="3 649 822.80"/>
    <s v="нет"/>
    <s v="нет"/>
    <s v=""/>
    <s v=""/>
    <s v=""/>
    <s v=""/>
    <s v="нет"/>
  </r>
  <r>
    <s v="Газпромнефть-ГЕО, ООО"/>
    <s v="0000048356"/>
    <s v="Зарегистрирован"/>
    <d v="2023-08-09T00:00:00"/>
    <s v=""/>
    <x v="152"/>
    <s v="8601034898"/>
    <s v="ГЕО-22/10000/00144/Р"/>
    <s v=""/>
    <s v="1"/>
    <s v="Нетиповой ДД"/>
    <x v="3"/>
    <s v=""/>
    <s v="00434-23"/>
    <s v=""/>
    <s v="Изменение №1 к НЗ№8. Защита Югры, ООО к ДД № ГЕО-22/10000/00144/Р от 27.06.2022г."/>
    <s v="Изм. №1 к НЗ №8 на оказание услуг в области пожарной безопасности по проекту «Чона» (выделение пневмоангара)"/>
    <s v="Мормышев А.А."/>
    <s v="Белоусов О.В."/>
    <s v="Договорный документ"/>
    <s v="Блок производственной безопасности"/>
    <s v="Михайлов Ю.А."/>
    <s v="ЭП"/>
    <s v="До исполнения обязательств"/>
    <d v="2023-08-09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3 457 543.58"/>
    <s v="11 214 619.65"/>
    <s v="2 242 923.93"/>
    <s v="нет"/>
    <s v="нет"/>
    <s v=""/>
    <s v=""/>
    <s v=""/>
    <s v=""/>
    <s v="нет"/>
  </r>
  <r>
    <s v="Газпромнефть-ГЕО, ООО"/>
    <s v="0000040656"/>
    <s v="Зарегистрирован"/>
    <d v="2024-07-20T00:00:00"/>
    <s v=""/>
    <x v="288"/>
    <s v="0814118403"/>
    <s v="ГЕО-22/10000/00225/Р"/>
    <s v=""/>
    <s v="7"/>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434-24"/>
    <s v=""/>
    <s v="ДС№7 к №ГЕО-22/10000/00225/Р от 20.09.2022г. с ССК, АО"/>
    <s v="актуализация ДД"/>
    <s v="Мормышев А.А."/>
    <s v="Чупров В.В."/>
    <s v="Договорный документ"/>
    <s v="Блок бурения и ВСР"/>
    <s v="Трифонов А.В."/>
    <s v="На бумажном носителе"/>
    <s v="С ограничением по срокам "/>
    <d v="2024-07-20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6514"/>
    <s v="Зарегистрирован"/>
    <d v="2021-07-15T00:00:00"/>
    <s v=""/>
    <x v="175"/>
    <s v="7725741143"/>
    <s v="ГЕО-21/11513/00019/Р"/>
    <s v=""/>
    <s v="1"/>
    <s v="Типовой ДД"/>
    <x v="0"/>
    <s v="Дополнительное соглашение к договору на оказание услуг/выполнение работ по замене перечня нарушений и штрафных санкций."/>
    <s v="00435-21"/>
    <s v=""/>
    <s v="Дополнительное соглашение к договору на оказание услуг/выполнение работ по замене перечня нарушений и штрафных санкций."/>
    <s v="Исполнение приказа №85-П от 07.06.2021, замена перечня штрафных санкций в области ПБ"/>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7-15T00:00:00"/>
    <d v="2023-12-31T00:00:00"/>
    <s v="Д-22"/>
    <s v="Выполнение комплекса топографо-геодезических, землеустроительных и лесоустроительных  работ "/>
    <s v="Не предполагает взаиморасчетов"/>
    <s v=""/>
    <s v=""/>
    <s v=""/>
    <s v=""/>
    <s v=""/>
    <s v=""/>
    <s v=""/>
    <s v="нет"/>
    <s v="нет"/>
    <s v=""/>
    <s v=""/>
    <s v=""/>
    <s v=""/>
    <s v="нет"/>
  </r>
  <r>
    <s v="Газпромнефть-ГЕО, ООО"/>
    <s v="0000000059"/>
    <s v="Закрыт"/>
    <d v="2022-05-16T00:00:00"/>
    <s v=""/>
    <x v="131"/>
    <s v="8905000428"/>
    <s v="ГЕО-21/09000/00048/Д"/>
    <s v=""/>
    <s v="1"/>
    <s v="Нетиповой ДД"/>
    <x v="4"/>
    <s v=""/>
    <s v="00435-22"/>
    <s v="1"/>
    <s v="Изменение №1 к Заказу №1"/>
    <s v="Корректировка КП без изменения стоимости Заказа №1"/>
    <s v="Андреева И.В."/>
    <s v="Ваганов А.В."/>
    <s v="Договорный документ"/>
    <s v="Управление экономического планирования и анализа"/>
    <s v="Волков Г.В."/>
    <s v="На бумажном носителе"/>
    <s v="С ограничением по срокам "/>
    <d v="2022-05-16T00:00:00"/>
    <d v="2022-12-25T00:00:00"/>
    <s v="Д-16"/>
    <s v="Договор возмездного оказания услуг"/>
    <s v="Доходная часть"/>
    <s v="Стоимостной"/>
    <s v="20%"/>
    <s v=""/>
    <s v=""/>
    <s v="253 302 766.99"/>
    <s v="211 085 639.16"/>
    <s v="42 217 127.83"/>
    <s v="нет"/>
    <s v="нет"/>
    <s v=""/>
    <s v=""/>
    <s v=""/>
    <s v=""/>
    <s v="нет"/>
  </r>
  <r>
    <s v="Газпромнефть-ГЕО, ООО"/>
    <s v="0000057789"/>
    <s v="Зарегистрирован"/>
    <d v="2023-08-18T00:00:00"/>
    <s v=""/>
    <x v="186"/>
    <s v="6319065934"/>
    <s v="ГЕО-22/10000/00053/Р"/>
    <s v=""/>
    <s v="3"/>
    <s v="Нетиповой ДД"/>
    <x v="3"/>
    <s v=""/>
    <s v="00435-23"/>
    <s v=""/>
    <s v="Наряд-заказ №3 на оказание услуг по Договору № ГЕО-22/10000/00053/Р от 14.03.2022 г. "/>
    <s v="Выполенение работ по перебуриванию скважины 1ПО на Северо-Ямбургском ЛУ "/>
    <s v="Безруков А.А."/>
    <s v="Веселкин А.С."/>
    <s v="Договорный документ"/>
    <s v="Блок бурения и ВСР"/>
    <s v="Трифонов А.В."/>
    <s v="ЭП"/>
    <s v="До исполнения обязательств"/>
    <d v="2023-08-18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1 962 800.00"/>
    <s v="9 969 000.00"/>
    <s v="1 993 800.00"/>
    <s v="нет"/>
    <s v="нет"/>
    <s v=""/>
    <s v=""/>
    <s v=""/>
    <s v=""/>
    <s v="нет"/>
  </r>
  <r>
    <s v="Газпромнефть-ГЕО, ООО"/>
    <s v="0000061428"/>
    <s v="Зарегистрирован"/>
    <d v="2024-07-30T00:00:00"/>
    <s v=""/>
    <x v="10"/>
    <s v="7705907626"/>
    <s v=""/>
    <s v="ГЕО-24/33400/00129"/>
    <s v="ГЕО-24/33400/00129"/>
    <s v="Нетиповой ДД"/>
    <x v="1"/>
    <s v=""/>
    <s v="00435-24"/>
    <s v=""/>
    <s v="Соглашение о безопасном использовании информационных систем. РИМЕРА-Сервис, ООО"/>
    <s v="Соглашение с РИМЕРА-Сервис, ООО"/>
    <s v="Мормышев А.А."/>
    <s v="Николаев Ю.М."/>
    <s v="Договорный документ"/>
    <s v="Блок корпоративной защиты"/>
    <s v="Созинов С.А."/>
    <s v="ЭП"/>
    <s v="С ограничением по срокам "/>
    <d v="2024-07-30T00:00:00"/>
    <d v="2026-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48216"/>
    <s v="Зарегистрирован"/>
    <d v="2022-05-16T00:00:00"/>
    <s v=""/>
    <x v="38"/>
    <s v="8605013881"/>
    <s v="ГЕО-22/10000/00055/Р"/>
    <s v=""/>
    <s v="3"/>
    <s v="Нетиповой ДД"/>
    <x v="0"/>
    <s v=""/>
    <s v="00436-22"/>
    <s v=""/>
    <s v="ДС №3 к Договору №ГЕО-22/10000/00055/Р от 17.03.2022 г. (ГТИ Титан)"/>
    <s v="Перевод части негарантированного объема работ в гарантированный"/>
    <s v="Ушакова М.А."/>
    <s v=""/>
    <s v="Договорный документ"/>
    <s v="Блок геологии и разработки"/>
    <s v="Аксенов М.А."/>
    <s v="На бумажном носителе"/>
    <s v="С ограничением по срокам "/>
    <d v="2022-05-16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87378"/>
    <s v="Зарегистрирован"/>
    <d v="2023-08-08T00:00:00"/>
    <s v=""/>
    <x v="97"/>
    <s v="7204203139"/>
    <s v="ГЕО-21/08000/00297/Р"/>
    <s v=""/>
    <s v="9/23-297"/>
    <s v="Нетиповой ДД"/>
    <x v="3"/>
    <s v=""/>
    <s v="00436-23"/>
    <s v=""/>
    <s v="Стандартные и специальные исследования керна по скважине 1ПО Северо-Ямбургского месторождения"/>
    <s v="получение информации по коллекторам Сев-Ямбургского месторождения"/>
    <s v="Ябиров Р.З."/>
    <s v=""/>
    <s v="Договорный документ"/>
    <s v="Блок геологии и разработки"/>
    <s v="Аксенов М.А."/>
    <s v="На бумажном носителе"/>
    <s v="С ограничением по срокам "/>
    <d v="2023-08-08T00:00:00"/>
    <d v="2023-12-30T00:00:00"/>
    <s v="Д-54"/>
    <s v="Договор на выполнение НИР, ОКР и технологических работ"/>
    <s v="Расходная часть"/>
    <s v="Рамочный"/>
    <s v="20%"/>
    <s v=""/>
    <s v=""/>
    <s v="15 096 599.92"/>
    <s v="12 580 499.93"/>
    <s v="2 516 099.99"/>
    <s v="нет"/>
    <s v="нет"/>
    <s v=""/>
    <s v=""/>
    <s v=""/>
    <s v=""/>
    <s v="нет"/>
  </r>
  <r>
    <s v="Газпромнефть-ГЕО, ООО"/>
    <s v="0000062699"/>
    <s v="Обработка результатов согласования"/>
    <d v="2024-08-20T00:00:00"/>
    <s v=""/>
    <x v="263"/>
    <s v="7727712331"/>
    <s v=""/>
    <s v="ГЕО-24/20000/00148/Р"/>
    <s v="ГЕО-24/20000/00148/Р"/>
    <s v="Нетиповой ДД"/>
    <x v="2"/>
    <s v=""/>
    <s v="00436-24"/>
    <s v=""/>
    <s v="Агентский договор с ООО &quot;ГПБ-Факторинг&quot;"/>
    <s v="Организация применения факторинга по закупке от ПАО &quot;Газпром нефть&quot;"/>
    <s v="Васильева А.И."/>
    <s v="Коростелев И.С."/>
    <s v="Договорный документ"/>
    <s v="Блок экономики и финансов"/>
    <s v="Трифонов А.В."/>
    <s v="ЭП"/>
    <s v="Без сроков "/>
    <d v="2024-07-26T00:00:00"/>
    <s v=""/>
    <s v="Д-82"/>
    <s v="Агентский договор"/>
    <s v="Расходная часть"/>
    <s v="Агентский"/>
    <s v="20%"/>
    <s v=""/>
    <s v=""/>
    <n v="0"/>
    <n v="0"/>
    <n v="0"/>
    <s v="нет"/>
    <s v="нет"/>
    <s v=""/>
    <s v=""/>
    <s v=""/>
    <s v=""/>
    <s v="нет"/>
  </r>
  <r>
    <s v="Газпромнефть-ГЕО, ООО"/>
    <s v=""/>
    <s v="Закрыт"/>
    <d v="2021-07-02T00:00:00"/>
    <s v=""/>
    <x v="304"/>
    <s v=""/>
    <s v=""/>
    <s v="ГЕО-21/26000/00154"/>
    <s v="ГЕО-21/26000/00154"/>
    <s v="Типовой ДД"/>
    <x v="1"/>
    <s v="26000 Соглашение о конфиденциальности с российским контрагентом"/>
    <s v="00437-21"/>
    <s v=""/>
    <s v="26000 Соглашение о конфиденциальности с российским контрагентом"/>
    <s v="СОК. Обязательство по предоставлению Подрядчику и неразглашению информации представляющей коммерческую тайну"/>
    <s v="Ябиров Р.З."/>
    <s v="Лачугин Д.С."/>
    <s v="Договорный документ"/>
    <s v="Блок геологии и разработки"/>
    <s v="Аксенов М.А."/>
    <s v="На бумажном носителе"/>
    <s v="С ограничением по срокам "/>
    <d v="2021-07-02T00:00:00"/>
    <d v="2022-12-31T00:00:00"/>
    <s v="Д-3"/>
    <s v="Соглашение о конфиденциальности"/>
    <s v="Не предполагает взаиморасчетов"/>
    <s v=""/>
    <s v=""/>
    <s v=""/>
    <s v=""/>
    <s v=""/>
    <s v=""/>
    <s v=""/>
    <s v="нет"/>
    <s v="нет"/>
    <s v=""/>
    <s v=""/>
    <s v=""/>
    <s v=""/>
    <s v="нет"/>
  </r>
  <r>
    <s v="Газпромнефть-ГЕО, ООО"/>
    <s v="0000105641"/>
    <s v="Зарегистрирован"/>
    <d v="2023-08-25T00:00:00"/>
    <s v=""/>
    <x v="133"/>
    <s v="8619017847"/>
    <s v="MOS/23/0137-F/ГЕО-23/09000/00142/Д от «25» августа 2023г."/>
    <s v=""/>
    <s v="1"/>
    <s v="Нетиповой ДД"/>
    <x v="3"/>
    <s v=""/>
    <s v="00437-23"/>
    <s v=""/>
    <s v="Заказ № 1"/>
    <s v="Формирование стратегии Технологического полигона и дизайна ОПР с подбором технологических элементов скважин на Верхнесалымском МР."/>
    <s v="Блинова Д.М."/>
    <s v="Метелкин Д.В"/>
    <s v="Договорный документ"/>
    <s v="Кластер &quot;Большая Ачимовка&quot;"/>
    <s v="Шакирзянов Л.Н."/>
    <s v="ЭП"/>
    <s v="С ограничением по срокам "/>
    <d v="2023-08-25T00:00:00"/>
    <d v="2023-12-31T00:00:00"/>
    <s v="Д-20"/>
    <s v="Договор возмездного оказания услуг"/>
    <s v="Доходная часть"/>
    <s v="Стоимостной"/>
    <s v="20%"/>
    <s v=""/>
    <s v=""/>
    <s v="33 593 017.59"/>
    <s v="27 994 181.32"/>
    <s v="5 598 836.27"/>
    <s v="нет"/>
    <s v="нет"/>
    <s v=""/>
    <s v=""/>
    <s v=""/>
    <s v=""/>
    <s v="нет"/>
  </r>
  <r>
    <s v="Газпромнефть-ГЕО, ООО"/>
    <s v="0000098088"/>
    <s v="Зарегистрирован"/>
    <d v="2024-07-01T00:00:00"/>
    <d v="2024-07-30T00:00:00"/>
    <x v="305"/>
    <s v="3015092176"/>
    <s v=""/>
    <s v="ГЕО-24/33200/00130"/>
    <s v="ГЕО-24/33200/00130"/>
    <s v="Типовой ДД"/>
    <x v="1"/>
    <s v="33200 Соглашение об электронном документообороте"/>
    <s v="00437-24"/>
    <s v=""/>
    <s v="33200 Соглашение об электронном документообороте"/>
    <s v="Соглашение об электронном документообороте."/>
    <s v="Паркина И.А."/>
    <s v=""/>
    <s v="Договорный документ"/>
    <s v="Отдел подготовительных работ и экономического анализа"/>
    <s v="Ковтун М.А."/>
    <s v="ЭП"/>
    <s v="До исполнения обязательств"/>
    <d v="2024-07-01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8703"/>
    <s v="Зарегистрирован"/>
    <d v="2022-05-17T00:00:00"/>
    <s v=""/>
    <x v="5"/>
    <s v="5914024719"/>
    <s v="ГЕО-21/10208/00166/Р"/>
    <s v=""/>
    <s v="7"/>
    <s v="Нетиповой ДД"/>
    <x v="0"/>
    <s v=""/>
    <s v="00438-22"/>
    <s v=""/>
    <s v="Дополнительное соглашение № 7 к договору № ОРН-20/10204/00210/Р от 14.02.2020г"/>
    <s v="Раскрытие негарантированной части (испытание скважин)"/>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5-17T00:00:00"/>
    <d v="2024-12-31T00:00:00"/>
    <s v="Д-58"/>
    <s v="Бурение геологоразведочных скважин по суточной или иной фиксирванной ставке (в т.ч. мобильными установками)"/>
    <s v="Не предполагает взаиморасчетов"/>
    <s v="Тарифный"/>
    <s v=""/>
    <s v=""/>
    <s v=""/>
    <s v=""/>
    <s v=""/>
    <s v=""/>
    <s v="нет"/>
    <s v="нет"/>
    <s v=""/>
    <s v=""/>
    <s v=""/>
    <s v=""/>
    <s v="нет"/>
  </r>
  <r>
    <s v="Газпромнефть-ГЕО, ООО"/>
    <s v="0000086584"/>
    <s v="Зарегистрирован"/>
    <d v="2023-04-10T00:00:00"/>
    <s v=""/>
    <x v="113"/>
    <s v="5609077986"/>
    <s v="ГЕО-18/00000/00025Д "/>
    <s v=""/>
    <s v="ДС № 10 к Д № ГЕО-18/00000/00025Д"/>
    <s v="Нетиповой ДД"/>
    <x v="0"/>
    <s v=""/>
    <s v="00438-23"/>
    <s v=""/>
    <s v="Дополнительное соглашение №10 к Договору о выполнении операторских работ и оказании операторских услуг (Оморинский ЛУ)"/>
    <s v="Уточнение условий авансирования закупки МТР в рамках операторских услуг (п. 2.4. Договора) в части получения, размера, сроков и порядок погашения аванса, без изменения стоимости договора."/>
    <s v="Частухина Е.В."/>
    <s v="Частухина Е.В."/>
    <s v="Договорный документ"/>
    <s v="Управление экономического планирования и анализа"/>
    <s v="Масалкин Ю.В."/>
    <s v="На бумажном носителе"/>
    <s v="С ограничением по срокам "/>
    <d v="2023-04-01T00:00:00"/>
    <d v="2025-04-20T00:00:00"/>
    <s v=""/>
    <s v="Договор возмездного оказания услуг"/>
    <s v="Не предполагает взаиморасчетов"/>
    <s v=""/>
    <s v=""/>
    <s v=""/>
    <s v=""/>
    <s v=""/>
    <s v=""/>
    <s v=""/>
    <s v="нет"/>
    <s v="нет"/>
    <s v=""/>
    <s v=""/>
    <s v=""/>
    <s v=""/>
    <s v="нет"/>
  </r>
  <r>
    <s v="Газпромнефть-ГЕО, ООО"/>
    <s v="0000117178"/>
    <s v="Зарегистрирован"/>
    <d v="2024-08-06T00:00:00"/>
    <s v=""/>
    <x v="306"/>
    <s v="8610017930"/>
    <s v=""/>
    <s v="ГЕО-24/10000/00136/Р"/>
    <s v="ГЕО-24/10000/00136/Р"/>
    <s v="Нетиповой ДД"/>
    <x v="2"/>
    <s v=""/>
    <s v="00438-24"/>
    <s v=""/>
    <s v="Договор с ООО &quot;АСТ&quot; на оказание услуг по обращению с отходами бурения"/>
    <s v="Вывоз отходов с Сергинского речного порта и размещение на специализированном полигоне "/>
    <s v="Васильева А.И."/>
    <s v="Копылов Е.О."/>
    <s v="Договорный документ"/>
    <s v="Блок производственной безопасности"/>
    <s v="Михайлов Ю.А."/>
    <s v="ЭП"/>
    <s v="С ограничением по срокам "/>
    <d v="2024-08-06T00:00:00"/>
    <d v="2024-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883117.5"/>
    <s v="15 189 621.00"/>
    <s v="12 658 017.50"/>
    <s v="2 531 603.50"/>
    <s v="да"/>
    <s v="нет"/>
    <s v=""/>
    <s v=""/>
    <s v=""/>
    <s v=""/>
    <s v="нет"/>
  </r>
  <r>
    <s v="Газпромнефть-ГЕО, ООО"/>
    <s v=""/>
    <s v="Закрыт"/>
    <d v="2021-07-19T00:00:00"/>
    <s v=""/>
    <x v="307"/>
    <s v=""/>
    <s v=""/>
    <s v="ГЕО-21/25000/00161/Р"/>
    <s v="ГЕО-21/25000/00161/Р"/>
    <s v="Типовой ДД"/>
    <x v="2"/>
    <s v="25000 Договор об оказании услуг физическим лицом (без выезда на Лицензионные участки Заказчика)"/>
    <s v="00439-21"/>
    <s v=""/>
    <s v="25000 Договор об оказании услуг физическим лицом (без выезда на Лицензионные участки Заказчика)"/>
    <s v="Оказание услуг по заполнению базы данных по крупным проектам ГРР"/>
    <s v="Заможний Е.А."/>
    <s v="Заможний Е.А."/>
    <s v="Договорный документ"/>
    <s v="Управление перспективного развития и сравнительного анализа"/>
    <s v="Агеев П.А."/>
    <s v="На бумажном носителе"/>
    <s v="С ограничением по срокам "/>
    <d v="2021-07-19T00:00:00"/>
    <d v="2021-08-06T00:00:00"/>
    <s v="Д-2"/>
    <s v="Договор оказания услуг с физическим лицом"/>
    <s v="Расходная часть"/>
    <s v="Стоимостной"/>
    <s v="13%"/>
    <s v=""/>
    <s v=""/>
    <s v="10 000.00"/>
    <s v="8 700.00"/>
    <s v="1 300.00"/>
    <s v="нет"/>
    <s v="нет"/>
    <s v=""/>
    <s v=""/>
    <s v=""/>
    <s v=""/>
    <s v="нет"/>
  </r>
  <r>
    <s v="Газпромнефть-ГЕО, ООО"/>
    <s v="0000027645"/>
    <s v="Зарегистрирован"/>
    <d v="2022-07-30T00:00:00"/>
    <s v=""/>
    <x v="80"/>
    <s v="5501072608"/>
    <s v="ГЕО-21/01200/00189/Р"/>
    <s v=""/>
    <s v="7"/>
    <s v="Нетиповой ДД"/>
    <x v="12"/>
    <s v=""/>
    <s v="00439-22"/>
    <s v=""/>
    <s v="Приложение №7 к Договору поставки ГЕО-21/01200/00189/Р от 25.08.2021"/>
    <s v="Заключение Приложения 7 (спецификации 3) на поставку СИЗ для сотрудников ГЕО с взаимозависимым лицом ООО &quot;ГПН-С &quot; к ранее заключенному договору поставки ГЕО-21/01200/00189/Р._x000d__x000a_Малостоимостная закупка менее 1500 тыс. руб."/>
    <s v="Лесняк Н.А."/>
    <s v="Лесняк Н.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2-07-30T00:00:00"/>
    <s v=""/>
    <s v="Д-56"/>
    <s v="Договор поставки/купли продажи движимого имущества"/>
    <s v="Расходная часть"/>
    <s v="Стоимостной"/>
    <s v="20%"/>
    <s v=""/>
    <s v=""/>
    <s v="185 965.64"/>
    <s v="154 971.37"/>
    <s v="30 994.27"/>
    <s v="нет"/>
    <s v="нет"/>
    <s v=""/>
    <s v=""/>
    <s v=""/>
    <s v=""/>
    <s v="нет"/>
  </r>
  <r>
    <s v="Газпромнефть-ГЕО, ООО"/>
    <s v="0000081360"/>
    <s v="Зарегистрирован"/>
    <d v="2023-08-24T00:00:00"/>
    <s v=""/>
    <x v="179"/>
    <s v="3905605417"/>
    <s v="ГЕО-22/09000/00093/Р"/>
    <s v=""/>
    <s v="2"/>
    <s v="Нетиповой ДД"/>
    <x v="0"/>
    <s v=""/>
    <s v="00439-23"/>
    <s v=""/>
    <s v="ДОПОЛНИТЕЛЬНОЕ СОГЛАШЕНИЕ 2  к Договору на оказание услуг № ГЕО-22/09000/00093/Р от 02.05.2022 г."/>
    <s v="Перераспределение  неосвоенного гарантированного и  негарантированного объема услуг 2022-2023 г. на организацию деловых поездок в гарантированный объем услуг 2023 г на организацию мероприятий, без изменения единичных расценок и общей стоимости договора."/>
    <s v="Курашко М.В."/>
    <s v="Курашко М.В."/>
    <s v="Договорный документ"/>
    <s v="Управление по работе с персоналом"/>
    <s v="Игнатова Ю.В."/>
    <s v="На бумажном носителе"/>
    <s v="С ограничением по срокам "/>
    <d v="2023-08-24T00:00:00"/>
    <d v="2023-12-31T00:00:00"/>
    <s v="Д-66"/>
    <s v="Договор возмездного оказания услуг"/>
    <s v="Расходная часть"/>
    <s v="Стоимостной"/>
    <s v="20%"/>
    <s v=""/>
    <s v=""/>
    <s v="417 565 434.94"/>
    <s v="347 971 195.78"/>
    <s v="69 594 239.16"/>
    <s v="нет"/>
    <s v="нет"/>
    <s v=""/>
    <s v=""/>
    <s v=""/>
    <s v=""/>
    <s v="нет"/>
  </r>
  <r>
    <s v="Газпромнефть-ГЕО, ООО"/>
    <s v="0000040656"/>
    <s v="Зарегистрирован"/>
    <d v="2024-07-24T00:00:00"/>
    <s v=""/>
    <x v="288"/>
    <s v="0814118403"/>
    <s v="ГЕО-22/10000/00226/Р"/>
    <s v=""/>
    <s v="6"/>
    <s v="Типовой ДД"/>
    <x v="0"/>
    <s v="Дополнительное соглашение о внесении изменений в договоры в части актуализации перечня нарушений и штрафных санкций, условий договора по мотивации в области ПБ и оценке эффективности деятельности контрагента"/>
    <s v="00439-24"/>
    <s v=""/>
    <s v="ДС№6 к №ГЕО-22/10000/00226/Р от 20.09.2022г. с ССК, АО"/>
    <s v="актуализация ДД"/>
    <s v="Мормышев А.А."/>
    <s v="Чупров В.В."/>
    <s v="Договорный документ"/>
    <s v="Блок бурения и ВСР"/>
    <s v="Трифонов А.В."/>
    <s v="На бумажном носителе"/>
    <s v="С ограничением по срокам "/>
    <d v="2024-07-24T00:00:00"/>
    <d v="2024-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Закрыт"/>
    <d v="2021-07-22T00:00:00"/>
    <s v=""/>
    <x v="308"/>
    <s v=""/>
    <s v=""/>
    <s v="ГЕО-21/11019/00160/Р"/>
    <s v="ГЕО-21/11019/00160/Р"/>
    <s v="Типовой ДД"/>
    <x v="2"/>
    <s v="11018, 11019, 11020, 11021  Договор подряда на выполнение проектно-изыскательских работ"/>
    <s v="00440-21"/>
    <s v=""/>
    <s v="11018, 11019, 11020, 11021  Договор подряда на выполнение проектно-изыскательских работ"/>
    <s v="Выполнение комплексных инженерных изысканий «Строительство поисково-оценочной скважины №198 Лескинского лицензионного участка"/>
    <s v="Шабалин С.В."/>
    <s v="Григоренко Е.А."/>
    <s v="Договорный документ"/>
    <s v="Департамент капитального строительства"/>
    <s v="Перфильев Д.А."/>
    <s v="На бумажном носителе"/>
    <s v="С ограничением по срокам "/>
    <d v="2021-07-22T00:00:00"/>
    <d v="2021-12-31T00:00:00"/>
    <s v="Д-22"/>
    <s v="ПИР Объекты добычи, подготовки и транспорта нефти, вкл. авторский надзор"/>
    <s v="Расходная часть"/>
    <s v="Стоимостной"/>
    <s v="20%"/>
    <s v=""/>
    <s v=""/>
    <s v="57 963 159.26"/>
    <s v="48 302 632.72"/>
    <s v="9 660 526.54"/>
    <s v="нет"/>
    <s v="нет"/>
    <s v=""/>
    <s v=""/>
    <s v=""/>
    <s v=""/>
    <s v="нет"/>
  </r>
  <r>
    <s v="Газпромнефть-ГЕО, ООО"/>
    <s v="0000008602"/>
    <s v="Зарегистрирован"/>
    <d v="2022-04-01T00:00:00"/>
    <s v=""/>
    <x v="32"/>
    <s v="5504036333"/>
    <s v=""/>
    <s v="ГЕО-22/33200/00108"/>
    <s v="ГЕО-22/33200/00108"/>
    <s v="Типовой ДД"/>
    <x v="1"/>
    <s v="33200 Соглашение об электронном документообороте"/>
    <s v="00440-22"/>
    <s v=""/>
    <s v="33200 Соглашение об электронном документообороте"/>
    <s v="Соглашение об ЭДО"/>
    <s v="Андреева И.В."/>
    <s v="Любимов Е.В."/>
    <s v="Договорный документ"/>
    <s v="Управление экономического планирования и анализа"/>
    <s v="Аксенов М.А."/>
    <s v="На бумажном носителе"/>
    <s v="Без сроков "/>
    <d v="2022-04-01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1259"/>
    <s v="Зарегистрирован"/>
    <d v="2023-08-17T00:00:00"/>
    <s v=""/>
    <x v="142"/>
    <s v="7203159800"/>
    <s v="ГЕО-22/10968/00197/Р"/>
    <s v=""/>
    <s v="3"/>
    <s v="Нетиповой ДД"/>
    <x v="0"/>
    <s v=""/>
    <s v="00440-23"/>
    <s v=""/>
    <s v="Дополнительное соглашение №3"/>
    <s v="Внесение дополнений в порядок демобилизации оборудования и имущества Исполнителя после прекращения оказания услуг Исполнителем на территории Лескинского лицензионного участка."/>
    <s v="Копылов Е.О."/>
    <s v=""/>
    <s v="Договорный документ"/>
    <s v="Отдел экологической безопасности"/>
    <s v="Ядрышников П.Н."/>
    <s v="ЭП"/>
    <s v="До исполнения обязательств"/>
    <d v="2023-08-23T00:00:00"/>
    <s v=""/>
    <s v="Д-51"/>
    <s v="Вывоз, транспортировка и размещение отходов производственной деятельности"/>
    <s v="Не предполагает взаиморасчетов"/>
    <s v=""/>
    <s v=""/>
    <s v=""/>
    <s v=""/>
    <s v=""/>
    <s v=""/>
    <s v=""/>
    <s v="нет"/>
    <s v="нет"/>
    <s v=""/>
    <s v=""/>
    <s v=""/>
    <s v=""/>
    <s v="нет"/>
  </r>
  <r>
    <s v="Газпромнефть-ГЕО, ООО"/>
    <s v="0000051953"/>
    <s v="Зарегистрирован"/>
    <d v="2024-07-26T00:00:00"/>
    <s v=""/>
    <x v="225"/>
    <s v="7728168971"/>
    <s v=""/>
    <s v="ГЕО-24/26000/00133"/>
    <s v="ГЕО-24/26000/00133"/>
    <s v="Типовой ДД"/>
    <x v="1"/>
    <s v="26000 Соглашение о конфиденциальности с российским контрагентом"/>
    <s v="00440-24"/>
    <s v=""/>
    <s v="26000 Соглашение о конфиденциальности с российским контрагентом"/>
    <s v="Заключение СОКа для возможной передачи конфиденциальной информации в ходе заключения Агентского договора между двумя организациями."/>
    <s v="Колоколов С.В."/>
    <s v="Колоколов С.В."/>
    <s v="Договорный документ"/>
    <s v="Финансовое управление"/>
    <s v="Созинов С.А."/>
    <s v="ЭП"/>
    <s v="С ограничением по срокам "/>
    <d v="2024-07-26T00:00:00"/>
    <d v="2029-07-23T00:00:00"/>
    <s v="Д-60"/>
    <s v="Соглашение о конфиденциальности"/>
    <s v="Не предполагает взаиморасчетов"/>
    <s v=""/>
    <s v=""/>
    <s v=""/>
    <s v=""/>
    <s v=""/>
    <s v=""/>
    <s v=""/>
    <s v="нет"/>
    <s v="нет"/>
    <s v=""/>
    <s v=""/>
    <s v=""/>
    <s v=""/>
    <s v="нет"/>
  </r>
  <r>
    <s v="Газпромнефть-ГЕО, ООО"/>
    <s v=""/>
    <s v="Закрыт"/>
    <d v="2021-07-12T00:00:00"/>
    <s v=""/>
    <x v="309"/>
    <s v=""/>
    <s v=""/>
    <s v="ГЕО-21/09000/00158/Р"/>
    <s v="ГЕО-21/09000/00158/Р"/>
    <s v="Нетиповой ДД"/>
    <x v="2"/>
    <s v=""/>
    <s v="00441-21"/>
    <s v=""/>
    <s v="Об организации и проведении специальной экспертизы"/>
    <s v="Проведение специальной экспертизы с целью определения готовности к осуществлению работ, связанных с использованием сведений, составляющих государственную тайну "/>
    <s v="Юрченко А.В."/>
    <s v="Юрченко А.В."/>
    <s v="Договорный документ"/>
    <s v="Блок корпоративной защиты"/>
    <s v="Масалкин Ю.В."/>
    <s v="На бумажном носителе"/>
    <s v="До исполнения обязательств"/>
    <d v="2021-07-12T00:00:00"/>
    <s v=""/>
    <s v=""/>
    <s v="Договор возмездного оказания услуг"/>
    <s v="Расходная часть"/>
    <s v="Стоимостной"/>
    <s v="20%"/>
    <s v=""/>
    <s v=""/>
    <s v="231 600.00"/>
    <s v="193 000.00"/>
    <s v="38 600.00"/>
    <s v="нет"/>
    <s v="нет"/>
    <s v=""/>
    <s v=""/>
    <s v=""/>
    <s v=""/>
    <s v="нет"/>
  </r>
  <r>
    <s v="Газпромнефть-ГЕО, ООО"/>
    <s v="0000025354"/>
    <s v="Зарегистрирован"/>
    <d v="2022-05-18T00:00:00"/>
    <s v=""/>
    <x v="111"/>
    <s v="5003026493"/>
    <s v="ГЕО-21/07000/00283/Р"/>
    <s v=""/>
    <s v="1"/>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41-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ереход на ЭДО"/>
    <s v="Раковица Д.К."/>
    <s v="Раковица Д.К."/>
    <s v="Договорный документ"/>
    <s v="Отдел подготовительных работ и экономического анализа"/>
    <s v="Гаврилов С.В."/>
    <s v="На бумажном носителе"/>
    <s v="С ограничением по срокам "/>
    <d v="2022-05-18T00:00:00"/>
    <d v="2025-12-31T00:00:00"/>
    <s v="Д-58"/>
    <s v="Договор подряда"/>
    <s v="Не предполагает взаиморасчетов"/>
    <s v="Рамочный"/>
    <s v=""/>
    <s v=""/>
    <s v=""/>
    <s v=""/>
    <s v=""/>
    <s v=""/>
    <s v="нет"/>
    <s v="нет"/>
    <s v=""/>
    <s v=""/>
    <s v=""/>
    <s v=""/>
    <s v="нет"/>
  </r>
  <r>
    <s v="Газпромнефть-ГЕО, ООО"/>
    <s v=""/>
    <s v="Зарегистрирован"/>
    <d v="2023-09-01T00:00:00"/>
    <s v=""/>
    <x v="310"/>
    <s v=""/>
    <s v=""/>
    <s v="ГЕО-23/09100/00148/Р"/>
    <s v="ГЕО-23/09100/00148/Р"/>
    <s v="Нетиповой ДД"/>
    <x v="2"/>
    <s v=""/>
    <s v="00441-23"/>
    <s v=""/>
    <s v="Обучение по промышленной, пожарной, экологической безопасности и охране труда"/>
    <s v="Обучение сотрудников ГПН-ГЕО по промышленной, пожарной, экологической безопасности и охране труда"/>
    <s v="Петушкова В.Е."/>
    <s v="Петушкова В.Е."/>
    <s v="Договорный документ"/>
    <s v="Управление производственной безопасности"/>
    <s v="Михайлов Ю.А."/>
    <s v="На бумажном носителе"/>
    <s v="С ограничением по срокам "/>
    <d v="2023-09-01T00:00:00"/>
    <d v="2023-10-31T00:00:00"/>
    <s v="Д-2"/>
    <s v="Договор на обучение (тренинги, семинары и проч.)"/>
    <s v="Расходная часть"/>
    <s v="Стоимостной"/>
    <s v="без НДС"/>
    <s v=""/>
    <s v=""/>
    <s v="281 600.00"/>
    <s v="281 600.00"/>
    <n v="0"/>
    <s v="нет"/>
    <s v="нет"/>
    <s v=""/>
    <s v=""/>
    <s v=""/>
    <s v=""/>
    <s v="нет"/>
  </r>
  <r>
    <s v="Газпромнефть-ГЕО, ООО"/>
    <s v="0000076283"/>
    <s v="Зарегистрирован"/>
    <d v="2024-07-30T00:00:00"/>
    <s v=""/>
    <x v="28"/>
    <s v="4501174492"/>
    <s v="ГЕО-22/11000/00267/Р"/>
    <s v=""/>
    <s v="5"/>
    <s v="Нетиповой ДД"/>
    <x v="0"/>
    <s v=""/>
    <s v="00441-24"/>
    <s v=""/>
    <s v="ДС №5. Банк. сопровожд. к Договору №ГЕО-22/11000/00267/Р от 10.10.2022"/>
    <s v="ДС №5. Банк. сопровожд. к Договору №ГЕО-22/11000/00267/Р от 10.10.2022"/>
    <s v="Мормышев А.А."/>
    <s v="Шолохова И.А."/>
    <s v="Договорный документ"/>
    <s v="Департамент капитального строительства"/>
    <s v="Трифонов А.В."/>
    <s v="ЭП"/>
    <s v="С ограничением по срокам "/>
    <d v="2024-07-30T00:00:00"/>
    <d v="2025-12-31T00:00:00"/>
    <s v="Д-45"/>
    <s v="Капитальное строительство и ПИР"/>
    <s v="Не предполагает взаиморасчетов"/>
    <s v="Стоимостной"/>
    <s v=""/>
    <s v=""/>
    <s v=""/>
    <s v=""/>
    <s v=""/>
    <s v=""/>
    <s v="нет"/>
    <s v="нет"/>
    <s v=""/>
    <s v=""/>
    <s v=""/>
    <s v=""/>
    <s v="нет"/>
  </r>
  <r>
    <s v="Газпромнефть-ГЕО, ООО"/>
    <s v="0000045789"/>
    <s v="Зарегистрирован"/>
    <d v="2021-07-12T00:00:00"/>
    <s v=""/>
    <x v="16"/>
    <s v="7838395487"/>
    <s v="№ НТЦ-18/29000/01338/Д-ГЕО-18/11708/00074/Р от 29 декабря 2018г."/>
    <s v=""/>
    <s v="НТЦ-00538-21Д-ГЕО"/>
    <s v="Нетиповой ДД"/>
    <x v="3"/>
    <s v=""/>
    <s v="00442-21"/>
    <s v=""/>
    <s v="Заказ во исполнение Договора № НТЦ-18/29000/01338/Д-ГЕО-18/11708/00074/Р от 29 декабря 2018г."/>
    <s v="Формирование Заказа к рамочному Договору № НТЦ-18/29000/01338/Д-ГЕО-18/11708/00074/Р от 29 декабря 2018г. с ООО «Газпромнефть НТЦ» на 2021г. по услуге &quot;Инжиниринг, интегрированное управление проектами бурения и внутрискважинных работ Инженерно-консультационные услуги по визуализации стандартов по бурению и внутрискважинным работам для ООО &quot;ГПН-ГЕО&quot; (проект «Енисей» Лескинский ЛУ)_x000d__x000a_"/>
    <s v="Мячина М.В."/>
    <s v=""/>
    <s v="Договорный документ"/>
    <s v="Отдел подготовительных работ и экономического анализа"/>
    <s v="Масалкин Ю.В."/>
    <s v="На бумажном носителе"/>
    <s v="С ограничением по срокам "/>
    <d v="2021-07-12T00:00:00"/>
    <d v="2021-12-31T00:00:00"/>
    <s v=""/>
    <s v="НИОКР, НИР прочие"/>
    <s v="Расходная часть"/>
    <s v="Стоимостной"/>
    <s v="20%"/>
    <s v=""/>
    <s v=""/>
    <s v="6 660 269.04"/>
    <s v="5 550 224.20"/>
    <s v="1 110 044.84"/>
    <s v="нет"/>
    <s v="нет"/>
    <s v=""/>
    <s v=""/>
    <s v=""/>
    <s v=""/>
    <s v="нет"/>
  </r>
  <r>
    <s v="Газпромнефть-ГЕО, ООО"/>
    <s v="0000045789"/>
    <s v="Зарегистрирован"/>
    <d v="2022-05-11T00:00:00"/>
    <s v=""/>
    <x v="16"/>
    <s v="7838395487"/>
    <s v="ГЕО-21/11708/00165/Р//НТЦ-21/09000/00768/Д"/>
    <s v=""/>
    <s v="НТЦ-03212-21Д-ГЕО"/>
    <s v="Нетиповой ДД"/>
    <x v="3"/>
    <s v=""/>
    <s v="00442-22"/>
    <s v=""/>
    <s v="Оценка альтернативных опций развития проекта «Оморинский»"/>
    <s v=" Интерпретация данных СРР 3Д"/>
    <s v="Ябиров Р.З."/>
    <s v=""/>
    <s v="Договорный документ"/>
    <s v="Блок геологии и разработки"/>
    <s v="Аксенов М.А."/>
    <s v="На бумажном носителе"/>
    <s v="С ограничением по срокам "/>
    <d v="2022-05-11T00:00:00"/>
    <d v="2022-12-30T00:00:00"/>
    <s v="Д-54"/>
    <s v="Договор на выполнение НИР, ОКР и технологических работ"/>
    <s v="Расходная часть"/>
    <s v="Рамочный"/>
    <s v="20%"/>
    <s v=""/>
    <s v=""/>
    <s v="54 921 720.00"/>
    <s v="45 768 100.00"/>
    <s v="9 153 620.00"/>
    <s v="нет"/>
    <s v="нет"/>
    <s v=""/>
    <s v=""/>
    <s v=""/>
    <s v=""/>
    <s v="нет"/>
  </r>
  <r>
    <s v="Газпромнефть-ГЕО, ООО"/>
    <s v=""/>
    <s v="Зарегистрирован"/>
    <d v="2023-08-21T00:00:00"/>
    <s v=""/>
    <x v="311"/>
    <s v=""/>
    <s v=""/>
    <s v="ГЕО-23/26000/00144"/>
    <s v="ГЕО-23/26000/00144"/>
    <s v="Типовой ДД"/>
    <x v="1"/>
    <s v="26000 Соглашение о конфиденциальности с дочерним обществом ПАО «Газпром»"/>
    <s v="00442-23"/>
    <s v=""/>
    <s v="26000 Соглашение о конфиденциальности с дочерним обществом ПАО «Газпром»"/>
    <s v="Заключение СОКа для возможной передачи конфиденциальной информации в ходе проведения переговоров по перспективам взаимовыгодного сотрудничества между двумя организациями."/>
    <s v="Андрианов И.Н."/>
    <s v="Андрианов И.Н."/>
    <s v="Договорный документ"/>
    <s v="Блок коммерческой деятельности"/>
    <s v="Созинов С.А."/>
    <s v="На бумажном носителе"/>
    <s v="До исполнения обязательств"/>
    <d v="2023-08-21T00:00:00"/>
    <s v=""/>
    <s v="Д-60"/>
    <s v="Соглашение о конфиденциальности"/>
    <s v="Не предполагает взаиморасчетов"/>
    <s v=""/>
    <s v=""/>
    <s v=""/>
    <s v=""/>
    <s v=""/>
    <s v=""/>
    <s v=""/>
    <s v="нет"/>
    <s v="нет"/>
    <s v=""/>
    <s v=""/>
    <s v=""/>
    <s v=""/>
    <s v="нет"/>
  </r>
  <r>
    <s v="Газпромнефть-ГЕО, ООО"/>
    <s v="0000027645"/>
    <s v="Зарегистрирован"/>
    <d v="2021-11-12T00:00:00"/>
    <s v=""/>
    <x v="80"/>
    <s v="5501072608"/>
    <s v="ГЕО-20/00000/00099"/>
    <s v=""/>
    <s v="1"/>
    <s v="Нетиповой ДД"/>
    <x v="0"/>
    <s v=""/>
    <s v="00443-21"/>
    <s v=""/>
    <s v="ДС к Соглашению об организации электронного документооборота и использования электронных подписей для документов"/>
    <s v="Изложить соглашение в редакции Дополнительного соглашения.  Все остальные условия Соглашения, не затронутые положениями Дополнительного соглашения № 1 остаются неизменными и Стороны подтверждают свои обязательства по ним. Настоящим соглашением стороны устанавливают условия и порядок организации юридически значимого документоооборота с использованием электронной подписи."/>
    <s v="Лесняк Н.А."/>
    <s v="Лесняк Наталья Александровна"/>
    <s v="Договорный документ"/>
    <s v="Управление материально-технического обеспечения, транспортного обеспечения и сопутствующих сервисов"/>
    <s v="Масалкин Ю.В."/>
    <s v="На бумажном носителе"/>
    <s v="До исполнения обязательств"/>
    <d v="2021-11-12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1795"/>
    <s v="Закрыт"/>
    <d v="2022-05-17T00:00:00"/>
    <s v=""/>
    <x v="125"/>
    <s v="8913008090"/>
    <s v=""/>
    <s v="ГЕО-22/20000/00110/Д"/>
    <s v="ГЕО-22/20000/00110/Д"/>
    <s v="Нетиповой ДД"/>
    <x v="2"/>
    <s v=""/>
    <s v="00443-22"/>
    <s v=""/>
    <s v="Агентский договор на организацию вертолетных авиаперевозок с ООО «Грант+»"/>
    <s v="Авиаперевозка персонала и груза КА"/>
    <s v="Титова Е.В."/>
    <s v="Титова Е.В."/>
    <s v="Договорный документ"/>
    <s v="Блок снабжения и закупок"/>
    <s v="Титов А.В."/>
    <s v="На бумажном носителе"/>
    <s v="С ограничением по срокам "/>
    <d v="2022-05-17T00:00:00"/>
    <d v="2022-12-31T00:00:00"/>
    <s v="Д-56"/>
    <s v="Агентский договор"/>
    <s v="Доходная часть"/>
    <s v="Агентский"/>
    <s v="20%"/>
    <s v=""/>
    <s v=""/>
    <s v="33 193.52"/>
    <s v="27 661.27"/>
    <s v="5 532.25"/>
    <s v="нет"/>
    <s v="нет"/>
    <s v=""/>
    <s v=""/>
    <s v=""/>
    <s v=""/>
    <s v="нет"/>
  </r>
  <r>
    <s v="Газпромнефть-ГЕО, ООО"/>
    <s v=""/>
    <s v="Зарегистрирован"/>
    <d v="2023-08-23T00:00:00"/>
    <s v=""/>
    <x v="312"/>
    <s v=""/>
    <s v=""/>
    <s v="ГЕО-23/26000/00143"/>
    <s v="ГЕО-23/26000/00143"/>
    <s v="Типовой ДД"/>
    <x v="1"/>
    <s v="26000 Соглашение о конфиденциальности с российским контрагентом"/>
    <s v="00443-23"/>
    <s v=""/>
    <s v="26000 Соглашение о конфиденциальности с российским контрагентом"/>
    <s v="Заключение СОКа для возможной передачи конфиденциальной информации в ходе проведения переговоров по перспективам взаимовыгодного сотрудничества между двумя организациями."/>
    <s v="Андрианов И.Н."/>
    <s v="Андрианов И.Н."/>
    <s v="Договорный документ"/>
    <s v="Блок коммерческой деятельности"/>
    <s v="Созинов С.А."/>
    <s v="На бумажном носителе"/>
    <s v="До исполнения обязательств"/>
    <d v="2023-08-23T00:00:00"/>
    <s v=""/>
    <s v="Д-60"/>
    <s v="Соглашение о конфиденциальности"/>
    <s v="Не предполагает взаиморасчетов"/>
    <s v=""/>
    <s v=""/>
    <s v=""/>
    <s v=""/>
    <s v=""/>
    <s v=""/>
    <s v=""/>
    <s v="нет"/>
    <s v="нет"/>
    <s v=""/>
    <s v=""/>
    <s v=""/>
    <s v=""/>
    <s v="нет"/>
  </r>
  <r>
    <s v="Газпромнефть-ГЕО, ООО"/>
    <s v="0000091163"/>
    <s v="Зарегистрирован"/>
    <d v="2024-07-24T00:00:00"/>
    <d v="2024-07-29T00:00:00"/>
    <x v="149"/>
    <s v="5001063958"/>
    <s v="ГЕО-21/11505/00195/Р"/>
    <s v=""/>
    <s v="10"/>
    <s v="Нетиповой ДД"/>
    <x v="3"/>
    <s v=""/>
    <s v="00443-24"/>
    <s v=""/>
    <s v="Наряд-заказ №10 к Договору №ГЕО-21/11505/00195/Р от «24» августа 2021г."/>
    <s v="Выполнение цифровой аэрофотосъемки (ЦАФС) и воздушно-лазерного сканирования (ВЛС) пилотируемым воздушным судном на территории Оренбургской обл., Восточный участок ОНГКМ. Номер района по ТЗ - 1"/>
    <s v="Хохлов А.А."/>
    <s v="Хохлов А.А."/>
    <s v="Договорный документ"/>
    <s v="Управление маркшейдерско-землеустроительных работ"/>
    <s v="Трифонов А.В."/>
    <s v="ЭП"/>
    <s v="С ограничением по срокам "/>
    <d v="2024-07-24T00:00:00"/>
    <d v="2024-10-27T00:00:00"/>
    <s v="Д-82"/>
    <s v="Аэрофотосъемка, космическая съемка. Создание ортофотопланов"/>
    <s v="Доходная часть"/>
    <s v="Рамочный"/>
    <s v="без НДС"/>
    <s v=""/>
    <s v=""/>
    <s v="11 145 311.90"/>
    <s v="11 145 311.90"/>
    <n v="0"/>
    <s v="нет"/>
    <s v="нет"/>
    <s v=""/>
    <s v=""/>
    <s v=""/>
    <s v=""/>
    <s v="нет"/>
  </r>
  <r>
    <s v="Газпромнефть-ГЕО, ООО"/>
    <s v="0000058703"/>
    <s v="Зарегистрирован"/>
    <d v="2021-07-20T00:00:00"/>
    <s v=""/>
    <x v="5"/>
    <s v="5914024719"/>
    <s v=""/>
    <s v="ГЕО-21/10208/00166/Р"/>
    <s v="ГЕО-21/10208/00166/Р"/>
    <s v="Нетиповой ДД"/>
    <x v="1"/>
    <s v=""/>
    <s v="00444-21"/>
    <s v=""/>
    <s v="СОГЛАШЕНИЕ О ПЕРЕМЕНЕ ЛИЦ В ОБЯЗАТЕЛЬСТВЕ к Договору подряда на бурение эксплуатационных скважин по суточной ставке (в т.ч. Мобильными установками) № ОРН-20/10204/00210/Р от 14.02.2020г."/>
    <s v="СОГЛАШЕНИЕ О ПЕРЕМЕНЕ ЛИЦ В ОБЯЗАТЕЛЬСТВЕ к Договору подряда на бурение эксплуатационных скважин по суточной ставке (в т.ч. Мобильными установками) № ОРН-20/10204/00210/Р от 14.02.2020г."/>
    <s v="Рябикина М.А."/>
    <s v="Дунаев Эдуард Владимирович Руководитель направления по бурению "/>
    <s v="Договорный документ"/>
    <s v="Блок бурения и ВСР"/>
    <s v="Гаврилов С.В."/>
    <s v="На бумажном носителе"/>
    <s v="С ограничением по срокам "/>
    <d v="2021-07-20T00:00:00"/>
    <d v="2024-12-31T00:00:00"/>
    <s v=""/>
    <s v="Бурение геологоразведочных скважин по суточной или иной фиксирванной ставке (в т.ч. мобильными установками)"/>
    <s v="Расходная часть"/>
    <s v="Тарифный"/>
    <s v="20%"/>
    <s v=""/>
    <s v=""/>
    <s v="1 484 693 952.31"/>
    <s v="1 237 244 960.26"/>
    <s v="247 448 992.05"/>
    <s v="нет"/>
    <s v="нет"/>
    <s v=""/>
    <s v=""/>
    <s v=""/>
    <s v=""/>
    <s v="нет"/>
  </r>
  <r>
    <s v="Газпромнефть-ГЕО, ООО"/>
    <s v=""/>
    <s v="Закрыт"/>
    <d v="2022-06-01T00:00:00"/>
    <s v=""/>
    <x v="313"/>
    <s v=""/>
    <s v=""/>
    <s v="ГЕО-22/25000/00117/Р"/>
    <s v="ГЕО-22/25000/00117/Р"/>
    <s v="Типовой ДД"/>
    <x v="2"/>
    <s v="25000 Договор об оказании услуг физическим лицом (без выезда на Лицензионные участки Заказчика)"/>
    <s v="00444-22"/>
    <s v=""/>
    <s v="25000 Договор об оказании услуг физическим лицом (без выезда на Лицензионные участки Заказчика) Коваленко М.В."/>
    <s v="Договор об оказании услуг физическим лицом (без выезда на Лицензионные участки Заказчика) Коваленко М.В."/>
    <s v="Ахматгалиев С.З."/>
    <s v="Ахматгалиев С.З."/>
    <s v="Договорный документ"/>
    <s v="Блок снабжения и закупок"/>
    <s v="Титов А.В."/>
    <s v="На бумажном носителе"/>
    <s v="С ограничением по срокам "/>
    <d v="2022-06-01T00:00:00"/>
    <d v="2022-12-31T00:00:00"/>
    <s v="Д-56"/>
    <s v="Договор оказания услуг с физическим лицом"/>
    <s v="Расходная часть"/>
    <s v="Стоимостной"/>
    <s v="13%"/>
    <s v=""/>
    <s v=""/>
    <s v="400 000.00"/>
    <s v="348 000.00"/>
    <s v="52 000.00"/>
    <s v="нет"/>
    <s v="нет"/>
    <s v=""/>
    <s v=""/>
    <s v=""/>
    <s v=""/>
    <s v="нет"/>
  </r>
  <r>
    <s v="Газпромнефть-ГЕО, ООО"/>
    <s v="0000040255"/>
    <s v="Зарегистрирован"/>
    <d v="2023-08-30T00:00:00"/>
    <s v=""/>
    <x v="88"/>
    <s v="7729407742"/>
    <s v="ГЕО-22/10986/00341/Р"/>
    <s v=""/>
    <s v="2"/>
    <s v="Нетиповой ДД"/>
    <x v="0"/>
    <s v=""/>
    <s v="00444-23"/>
    <s v=""/>
    <s v="Дополнительное соглашение № 2 к Договору № ГЕО-22/10986/00341/Р от 30.12.2022 г."/>
    <s v="Исключение отдельных позиций услуг с одновременным увеличением других предусмотренных договором позиций услуг без увеличения единичных расценок и общей цены договора, а так же перенос негарантированного объема 2023 года в гарантированный объем 2023 года."/>
    <s v="Копылов Е.О."/>
    <s v=""/>
    <s v="Договорный документ"/>
    <s v="Отдел экологической безопасности"/>
    <s v="Михайлов Ю.А."/>
    <s v="ЭП"/>
    <s v="До исполнения обязательств"/>
    <d v="2023-08-30T00:00:00"/>
    <s v=""/>
    <s v="Д-2"/>
    <s v="Супервайзинг ПЭБ и ОТ"/>
    <s v="Расходная часть"/>
    <s v="Рамочный"/>
    <s v="20%"/>
    <s v=""/>
    <s v=""/>
    <s v="209 576 725.20"/>
    <s v="174 647 271.00"/>
    <s v="34 929 454.20"/>
    <s v="нет"/>
    <s v="нет"/>
    <s v=""/>
    <s v=""/>
    <s v=""/>
    <s v=""/>
    <s v="нет"/>
  </r>
  <r>
    <s v="Газпромнефть-ГЕО, ООО"/>
    <s v=""/>
    <s v="Проект"/>
    <s v=""/>
    <s v=""/>
    <x v="58"/>
    <s v=""/>
    <s v=""/>
    <s v=""/>
    <s v=""/>
    <s v="Типовой ДД"/>
    <x v="1"/>
    <s v="33200 Соглашение об электронном документообороте"/>
    <s v="00444-24"/>
    <s v=""/>
    <s v="33200 Соглашение об электронном документообороте"/>
    <s v=""/>
    <s v="Шевченко А.С."/>
    <s v=""/>
    <s v="Договорный документ"/>
    <s v="Управление маркшейдерско-землеустроительных работ"/>
    <s v=""/>
    <s v=""/>
    <s v=""/>
    <s v=""/>
    <s v=""/>
    <s v=""/>
    <s v="Соглашение об использовании электронного документооборота"/>
    <s v=""/>
    <s v=""/>
    <s v=""/>
    <s v=""/>
    <s v=""/>
    <s v=""/>
    <s v=""/>
    <s v=""/>
    <s v="нет"/>
    <s v="нет"/>
    <s v=""/>
    <s v=""/>
    <s v=""/>
    <s v=""/>
    <s v="нет"/>
  </r>
  <r>
    <s v="Газпромнефть-ГЕО, ООО"/>
    <s v="0000062928"/>
    <s v="Зарегистрирован"/>
    <d v="2021-07-15T00:00:00"/>
    <s v=""/>
    <x v="136"/>
    <s v="7701645627"/>
    <s v="ГЕО-20/11501/00184/Р от 29.11.2020"/>
    <s v=""/>
    <s v="2"/>
    <s v="Типовой ДД"/>
    <x v="0"/>
    <s v="Дополнительное соглашение к договору на оказание услуг/выполнение работ по замене перечня нарушений и штрафных санкций."/>
    <s v="00445-21"/>
    <s v=""/>
    <s v="Дополнительное соглашение к договору на оказание услуг/выполнение работ по замене перечня нарушений и штрафных санкций."/>
    <s v="Исполнение приказа №85-П от 07.06.2021, замена перечня штрафных санкций в области ПБ"/>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7-15T00:00:00"/>
    <d v="2023-12-31T00:00:00"/>
    <s v="Д-22"/>
    <s v="Разработка проекта производства маркшейдерских работ"/>
    <s v="Не предполагает взаиморасчетов"/>
    <s v=""/>
    <s v=""/>
    <s v=""/>
    <s v=""/>
    <s v=""/>
    <s v=""/>
    <s v=""/>
    <s v="нет"/>
    <s v="нет"/>
    <s v=""/>
    <s v=""/>
    <s v=""/>
    <s v=""/>
    <s v="нет"/>
  </r>
  <r>
    <s v="Газпромнефть-ГЕО, ООО"/>
    <s v=""/>
    <s v="Зарегистрирован"/>
    <d v="2022-06-01T00:00:00"/>
    <s v=""/>
    <x v="313"/>
    <s v=""/>
    <s v=""/>
    <s v="ГЕО-22/26000/00113"/>
    <s v="ГЕО-22/26000/00113"/>
    <s v="Нетиповой ДД"/>
    <x v="2"/>
    <s v=""/>
    <s v="00445-22"/>
    <s v=""/>
    <s v="Договор о конфиденциальности к договору ГПХ Коваленко М.В."/>
    <s v="Договор о конфиденциальности к договору ГПХ Коваленко М.В."/>
    <s v="Ахматгалиев С.З."/>
    <s v="Ахматгалиев С.З."/>
    <s v="Договорный документ"/>
    <s v="Блок корпоративной защиты"/>
    <s v="Созинов С.А."/>
    <s v="На бумажном носителе"/>
    <s v="Без сроков "/>
    <d v="2022-06-01T00:00:00"/>
    <s v=""/>
    <s v="Д-60"/>
    <s v="Соглашение о конфиденциальности"/>
    <s v="Не предполагает взаиморасчетов"/>
    <s v=""/>
    <s v=""/>
    <s v=""/>
    <s v=""/>
    <s v=""/>
    <s v=""/>
    <s v=""/>
    <s v="нет"/>
    <s v="нет"/>
    <s v=""/>
    <s v=""/>
    <s v=""/>
    <s v=""/>
    <s v="нет"/>
  </r>
  <r>
    <s v="Газпромнефть-ГЕО, ООО"/>
    <s v="0000048216"/>
    <s v="Зарегистрирован"/>
    <d v="2023-09-01T00:00:00"/>
    <s v=""/>
    <x v="38"/>
    <s v="8605013881"/>
    <s v="ГЕО-22/20000/00100/Д"/>
    <s v=""/>
    <s v="3"/>
    <s v="Нетиповой ДД"/>
    <x v="0"/>
    <s v=""/>
    <s v="00445-23"/>
    <s v=""/>
    <s v="ДС 3 к ГЕО-22/20000/00100/Д с АО «ПГО «Тюменьпромгеофизика»"/>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3-09-01T00:00:00"/>
    <d v="2023-10-01T00:00:00"/>
    <s v="Д-56"/>
    <s v="Агентский договор"/>
    <s v="Доходная часть"/>
    <s v="Агентский"/>
    <s v="20%"/>
    <s v=""/>
    <s v=""/>
    <s v="355 085.54"/>
    <s v="295 904.62"/>
    <s v="59 180.92"/>
    <s v="нет"/>
    <s v="нет"/>
    <s v=""/>
    <s v=""/>
    <s v=""/>
    <s v=""/>
    <s v="нет"/>
  </r>
  <r>
    <s v="Газпромнефть-ГЕО, ООО"/>
    <s v="0000074279"/>
    <s v="Зарегистрирован"/>
    <d v="2024-07-25T00:00:00"/>
    <d v="2024-07-29T00:00:00"/>
    <x v="259"/>
    <s v="7203374117"/>
    <s v="ГЕО-24/08000/00098/Р"/>
    <s v=""/>
    <s v="1"/>
    <s v="Нетиповой ДД"/>
    <x v="3"/>
    <s v=""/>
    <s v="00445-24"/>
    <s v=""/>
    <s v="Заказ-Наряд №1 к договору ГЕО-24/08000/00098/Р от 11.06.2024 г."/>
    <s v="Выполнение работ в рамках проекта №1 &quot;Комплексный анализ геолого-геофизических данных, оценка остаточных запасов сеноманских газовых залежей и перспективных ресурсов сенонских отложений Вынгапуровского, Новогоднего, Вынгаяхинского и Еты-Пуровского месторождений&quot;"/>
    <s v="Безруков А.А."/>
    <s v="Переслегин М.В."/>
    <s v="Договорный документ"/>
    <s v="Блок геологии и разработки"/>
    <s v="Ковтун М.А."/>
    <s v="ЭП"/>
    <s v="До исполнения обязательств"/>
    <d v="2024-07-25T00:00:00"/>
    <s v=""/>
    <s v="Д-62"/>
    <s v="Договор на выполнение НИР, ОКР и технологических работ"/>
    <s v="Расходная часть"/>
    <s v="Рамочный"/>
    <s v="20%"/>
    <s v=""/>
    <s v=""/>
    <s v="96 411 079.20"/>
    <s v="80 342 566.00"/>
    <s v="16 068 513.20"/>
    <s v="нет"/>
    <s v="нет"/>
    <s v=""/>
    <s v=""/>
    <s v=""/>
    <s v=""/>
    <s v="нет"/>
  </r>
  <r>
    <s v="Газпромнефть-ГЕО, ООО"/>
    <s v="0000062908"/>
    <s v="Закрыт"/>
    <d v="2021-07-15T00:00:00"/>
    <s v=""/>
    <x v="215"/>
    <s v="8603136398"/>
    <s v="ГЕО-21/11505/00115/Р от 26.04.2021"/>
    <s v=""/>
    <s v="1"/>
    <s v="Типовой ДД"/>
    <x v="0"/>
    <s v="Дополнительное соглашение к договору на оказание услуг/выполнение работ по замене перечня нарушений и штрафных санкций."/>
    <s v="00446-21"/>
    <s v=""/>
    <s v="Дополнительное соглашение к договору на оказание услуг/выполнение работ по замене перечня нарушений и штрафных санкций."/>
    <s v="Исполнение приказа №85-П от 07.06.2021, замена перечня штрафных санкций в области ПБ"/>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7-15T00:00:00"/>
    <d v="2023-12-31T00:00:00"/>
    <s v="Д-22"/>
    <s v="Аэрофотосъемка, космическая съемка. Создание ортофотопланов"/>
    <s v="Не предполагает взаиморасчетов"/>
    <s v=""/>
    <s v=""/>
    <s v=""/>
    <s v=""/>
    <s v=""/>
    <s v=""/>
    <s v=""/>
    <s v="нет"/>
    <s v="нет"/>
    <s v=""/>
    <s v=""/>
    <s v=""/>
    <s v=""/>
    <s v="нет"/>
  </r>
  <r>
    <s v="Газпромнефть-ГЕО, ООО"/>
    <s v="0000039295"/>
    <s v="Зарегистрирован"/>
    <d v="2022-04-28T00:00:00"/>
    <s v=""/>
    <x v="90"/>
    <s v="8618006063"/>
    <s v="ГЕО-20/00000/00196/Д"/>
    <s v=""/>
    <s v="3"/>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446-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Андреева И.В."/>
    <s v="Андреева И.В."/>
    <s v="Договорный документ"/>
    <s v="Управление экономического планирования и анализа"/>
    <s v="Аксенов М.А."/>
    <s v="На бумажном носителе"/>
    <s v="С ограничением по срокам "/>
    <d v="2022-04-29T00:00:00"/>
    <d v="2022-12-31T00:00:00"/>
    <s v=""/>
    <s v="Договор возмездного оказания услуг"/>
    <s v="Не предполагает взаиморасчетов"/>
    <s v=""/>
    <s v=""/>
    <s v=""/>
    <s v=""/>
    <s v=""/>
    <s v=""/>
    <s v=""/>
    <s v="нет"/>
    <s v="нет"/>
    <s v=""/>
    <s v=""/>
    <s v=""/>
    <s v=""/>
    <s v="нет"/>
  </r>
  <r>
    <s v="Газпромнефть-ГЕО, ООО"/>
    <s v="0000073563"/>
    <s v="Зарегистрирован"/>
    <d v="2023-09-01T00:00:00"/>
    <s v=""/>
    <x v="120"/>
    <s v="8609322418"/>
    <s v="ГЕО-22/20000/00211/Д"/>
    <s v=""/>
    <s v="2"/>
    <s v="Нетиповой ДД"/>
    <x v="0"/>
    <s v=""/>
    <s v="00446-23"/>
    <s v=""/>
    <s v="ДС 2 к ГЕО-22/20000/00211/Д ООО &quot;ГеоЛад-СТ&quot;"/>
    <s v="Увеличение стоимости договора"/>
    <s v="Титова Е.В."/>
    <s v="Титова Е.В."/>
    <s v="Договорный документ"/>
    <s v="Блок снабжения и закупок"/>
    <s v="Титов А.В."/>
    <s v="ЭП"/>
    <s v="С ограничением по срокам "/>
    <d v="2023-09-01T00:00:00"/>
    <d v="2024-12-31T00:00:00"/>
    <s v="Д-56"/>
    <s v="Агентский договор"/>
    <s v="Доходная часть"/>
    <s v="Агентский"/>
    <s v="20%"/>
    <s v=""/>
    <s v=""/>
    <s v="1 721 021.51"/>
    <s v="1 434 184.59"/>
    <s v="286 836.92"/>
    <s v="нет"/>
    <s v="нет"/>
    <s v=""/>
    <s v=""/>
    <s v=""/>
    <s v=""/>
    <s v="нет"/>
  </r>
  <r>
    <s v="Газпромнефть-ГЕО, ООО"/>
    <s v="0000094782"/>
    <s v="Зарегистрирован"/>
    <d v="2024-08-29T00:00:00"/>
    <s v=""/>
    <x v="314"/>
    <s v="7842182386"/>
    <s v="ГЕО-23/04500/00151/Р"/>
    <s v=""/>
    <s v="1"/>
    <s v="Нетиповой ДД"/>
    <x v="0"/>
    <s v=""/>
    <s v="00446-24"/>
    <s v=""/>
    <s v="Дополнительное соглашение №1 к  Договору субаренды нежилого помещения    № ГЕО-23/04500/00151/Р от 01.09.2023"/>
    <s v="Продлении срока договора № ГЕО-23/04500/00151/Р от 01.09.2023г. на временное владение и пользование части следующего нежилого помещения общей площадью 26,05 кв.м., в том числе МОП 8,25 кв.м. (далее-Помещение), расположенного на 6 этаже в здании по адресу: город Санкт-Петербург, Синопская набережная, дом 22, литер А, кадастровый номер 78:31:0001455:2446.с 01.08.2024г. по 31.12.2024г в связи с продолжением пользования вышеуказанным помещением. "/>
    <s v="Буракова О.В."/>
    <s v="Буракова О.В."/>
    <s v="Договорный документ"/>
    <s v="Отдел административной поддержки бизнеса"/>
    <s v="Буракова О.В."/>
    <s v="На бумажном носителе"/>
    <s v="С ограничением по срокам "/>
    <d v="2024-08-01T00:00:00"/>
    <d v="2024-12-31T00:00:00"/>
    <s v="Д-33"/>
    <s v="Договор субаренды недвижимости"/>
    <s v="Расходная часть"/>
    <s v="Стоимостной"/>
    <s v="20%"/>
    <s v=""/>
    <s v=""/>
    <s v="1 861 097.47"/>
    <s v="1 550 914.56"/>
    <s v="310 182.91"/>
    <s v="нет"/>
    <s v="нет"/>
    <s v=""/>
    <s v=""/>
    <s v=""/>
    <s v=""/>
    <s v="нет"/>
  </r>
  <r>
    <s v="Газпромнефть-ГЕО, ООО"/>
    <s v="0000045789"/>
    <s v="Зарегистрирован"/>
    <d v="2021-07-14T00:00:00"/>
    <s v=""/>
    <x v="16"/>
    <s v="7838395487"/>
    <s v="НТЦ-18/29000/01335/Д-ГЕО/ГЕО-19/10124/00001 "/>
    <s v=""/>
    <s v="Дополнительное Соглашение №7"/>
    <s v="Нетиповой ДД"/>
    <x v="0"/>
    <s v=""/>
    <s v="00447-21"/>
    <s v=""/>
    <s v="Дополнительное Соглашение №7"/>
    <s v="Дополнен перечень НИР на 2021 год и увеличена сумма по Договору"/>
    <s v="Ябиров Р.З."/>
    <s v=""/>
    <s v="Договорный документ"/>
    <s v="Блок геологии и разработки"/>
    <s v="Аксенов М.А."/>
    <s v="На бумажном носителе"/>
    <s v="С ограничением по срокам "/>
    <d v="2021-07-14T00:00:00"/>
    <d v="2021-12-31T00:00:00"/>
    <s v="Д-3"/>
    <s v="НИОКР, НИР в области геологии и разработки месторождений"/>
    <s v="Расходная часть"/>
    <s v="Рамочный"/>
    <s v="20%"/>
    <s v=""/>
    <s v=""/>
    <s v="189 932 663.93"/>
    <s v="158 277 219.94"/>
    <s v="31 655 443.99"/>
    <s v="нет"/>
    <s v="нет"/>
    <s v=""/>
    <s v=""/>
    <s v=""/>
    <s v=""/>
    <s v="нет"/>
  </r>
  <r>
    <s v="Газпромнефть-ГЕО, ООО"/>
    <s v="0000039779"/>
    <s v="Зарегистрирован"/>
    <d v="2023-09-01T00:00:00"/>
    <s v=""/>
    <x v="139"/>
    <s v="0277067693"/>
    <s v="ГЕО-22/20000/00140/Д"/>
    <s v=""/>
    <s v="2"/>
    <s v="Нетиповой ДД"/>
    <x v="0"/>
    <s v=""/>
    <s v="00447-23"/>
    <s v=""/>
    <s v="ДС 2 к ГЕО-22/20000/00140/Д АО &quot;НПП &quot;Бурсервис&quot;"/>
    <s v="Увеличение стоимости договора"/>
    <s v="Титова Е.В."/>
    <s v="Титова Е.В."/>
    <s v="Договорный документ"/>
    <s v="Блок снабжения и закупок"/>
    <s v="Титов А.В."/>
    <s v="ЭП"/>
    <s v="С ограничением по срокам "/>
    <d v="2023-09-01T00:00:00"/>
    <d v="2024-03-15T00:00:00"/>
    <s v="Д-56"/>
    <s v="Агентский договор"/>
    <s v="Доходная часть"/>
    <s v="Агентский"/>
    <s v="20%"/>
    <s v=""/>
    <s v=""/>
    <s v="159 613.34"/>
    <s v="133 011.12"/>
    <s v="26 602.22"/>
    <s v="нет"/>
    <s v="нет"/>
    <s v=""/>
    <s v=""/>
    <s v=""/>
    <s v=""/>
    <s v="нет"/>
  </r>
  <r>
    <s v="Газпромнефть-ГЕО, ООО"/>
    <s v="0000048356"/>
    <s v="Зарегистрирован"/>
    <d v="2024-07-30T00:00:00"/>
    <s v=""/>
    <x v="152"/>
    <s v="8601034898"/>
    <s v="ГЕО-22/10000/00144/Р"/>
    <s v=""/>
    <s v="1"/>
    <s v="Нетиповой ДД"/>
    <x v="4"/>
    <s v=""/>
    <s v="00447-24"/>
    <s v="13"/>
    <s v="ИЗМ1 к НЗ №13. Защита Югры, ООО к ДД № ГЕО-22/10000/00144/Р от 27.06.2022г. Кама"/>
    <s v="Сибирский федеральный округ, Оморинский лицензионный участок, скважины скважины Камовской площади. Добавили УМО."/>
    <s v="Мормышев А.А."/>
    <s v="Белоусов О.В."/>
    <s v="Договорный документ"/>
    <s v="Блок производственной безопасности"/>
    <s v="Михайлов Ю.А."/>
    <s v="ЭП"/>
    <s v="С ограничением по срокам "/>
    <d v="2024-07-30T00:00:00"/>
    <d v="2025-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
    <s v="Закрыт"/>
    <d v="2021-07-19T00:00:00"/>
    <s v=""/>
    <x v="307"/>
    <s v=""/>
    <s v=""/>
    <s v="ГЕО-21/26000/00162"/>
    <s v="ГЕО-21/26000/00162"/>
    <s v="Типовой ДД"/>
    <x v="1"/>
    <s v="26000 Договор о конфиденциальности с физическим лицом"/>
    <s v="00448-21"/>
    <s v=""/>
    <s v="26000 Договор о конфиденциальности с физическим лицом"/>
    <s v="В рамках обмена конфиденциальной информацией"/>
    <s v="Заможний Е.А."/>
    <s v="Заможний Е.А."/>
    <s v="Договорный документ"/>
    <s v="Управление перспективного развития и сравнительного анализа"/>
    <s v="Масалкин Ю.В."/>
    <s v="На бумажном носителе"/>
    <s v="С ограничением по срокам "/>
    <d v="2021-07-19T00:00:00"/>
    <d v="2021-08-06T00:00:00"/>
    <s v=""/>
    <s v="Соглашение о конфиденциальности"/>
    <s v="Не предполагает взаиморасчетов"/>
    <s v=""/>
    <s v=""/>
    <s v=""/>
    <s v=""/>
    <s v=""/>
    <s v=""/>
    <s v=""/>
    <s v="нет"/>
    <s v="нет"/>
    <s v=""/>
    <s v=""/>
    <s v=""/>
    <s v=""/>
    <s v="нет"/>
  </r>
  <r>
    <s v="Газпромнефть-ГЕО, ООО"/>
    <s v=""/>
    <s v="Зарегистрирован"/>
    <d v="2022-05-16T00:00:00"/>
    <s v=""/>
    <x v="315"/>
    <s v=""/>
    <s v=""/>
    <s v="ГЕО-22/09000/00106/Р"/>
    <s v="ГЕО-22/09000/00106/Р"/>
    <s v="Нетиповой ДД"/>
    <x v="2"/>
    <s v=""/>
    <s v="00448-22"/>
    <s v=""/>
    <s v="Договор на оказание услуг по разработке аэронавигационных паспортов посадочных площадок для вертолетов (АНП ПП) на объектах ООО &quot;ГПН-ГЕО&quot;"/>
    <s v="Разработке аэронавигационных паспортов посадочных площадок для вертолетов (АНП ПП) на объектах ООО &quot;ГПН-ГЕО&quot;"/>
    <s v="Макаринский Е.Ю."/>
    <s v="Бабиков Николай Владимирович"/>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5-16T00:00:00"/>
    <d v="2024-12-31T00:00:00"/>
    <s v="Д-56"/>
    <s v="Договор возмездного оказания услуг"/>
    <s v="Расходная часть"/>
    <s v="Стоимостной"/>
    <s v="0%"/>
    <s v=""/>
    <s v=""/>
    <s v="5 383 511.99"/>
    <s v="5 383 511.99"/>
    <n v="0"/>
    <s v="нет"/>
    <s v="нет"/>
    <s v=""/>
    <s v=""/>
    <s v=""/>
    <s v=""/>
    <s v="нет"/>
  </r>
  <r>
    <s v="Газпромнефть-ГЕО, ООО"/>
    <s v="0000040255"/>
    <s v="Зарегистрирован"/>
    <d v="2023-08-25T00:00:00"/>
    <s v=""/>
    <x v="88"/>
    <s v="7729407742"/>
    <s v="ГЕО-23/33100/00031"/>
    <s v=""/>
    <s v="1"/>
    <s v="Типовой ДД"/>
    <x v="0"/>
    <s v="33100 Дополнительное соглашение к Соглашениям в  в области производственной безопасности;"/>
    <s v="00448-23"/>
    <s v=""/>
    <s v="33100 Дополнительное соглашение к Соглашениям в  в области производственной безопасности;"/>
    <s v="Актуализация соглашения в области ПБ"/>
    <s v="Копылов Е.О."/>
    <s v=""/>
    <s v="Договорный документ"/>
    <s v="Отдел экологической безопасности"/>
    <s v="Ядрышников П.Н."/>
    <s v="ЭП"/>
    <s v="До исполнения обязательств"/>
    <d v="2023-08-25T00:00:00"/>
    <s v=""/>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8356"/>
    <s v="Зарегистрирован"/>
    <d v="2024-07-30T00:00:00"/>
    <s v=""/>
    <x v="152"/>
    <s v="8601034898"/>
    <s v="ГЕО-22/10000/00144/Р"/>
    <s v=""/>
    <s v="1"/>
    <s v="Нетиповой ДД"/>
    <x v="4"/>
    <s v=""/>
    <s v="00448-24"/>
    <s v="10"/>
    <s v="ИЗМ1 к НЗ №10. Защита Югры, ООО к ДД № ГЕО-22/10000/00144/Р от 27.06.2022г. Кама"/>
    <s v="Сибирский федеральный округ Лескинский лицензионный участок. Добавили УМО."/>
    <s v="Мормышев А.А."/>
    <s v=""/>
    <s v="Договорный документ"/>
    <s v="Блок производственной безопасности"/>
    <s v="Михайлов Ю.А."/>
    <s v="ЭП"/>
    <s v="С ограничением по срокам "/>
    <d v="2024-07-30T00:00:00"/>
    <d v="2025-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
    <s v="Зарегистрирован"/>
    <d v="2021-08-03T00:00:00"/>
    <s v=""/>
    <x v="316"/>
    <s v=""/>
    <s v=""/>
    <s v="ГЕО-21/10985/00168/Р"/>
    <s v="ГЕО-21/10985/00168/Р"/>
    <s v="Типовой ДД"/>
    <x v="2"/>
    <s v="10985 Мастер форма по услуге  «Утилизация отходов бурения и рекультивация нарушенных земель, занятых под шламовые амбары/шламонакопители»"/>
    <s v="00449-21"/>
    <s v=""/>
    <s v="10985 Договор на оказание услуг по утилизации отходов бурения и рекультивация нарушенных земель, занятых под шламовые амбары/шламонакопители"/>
    <s v="Утилизация отходов бурения и рекультивация нарушенных земель на Лескинском ЛУ"/>
    <s v="Шабалин С.В."/>
    <s v="Кукленков М.А."/>
    <s v="Договорный документ"/>
    <s v="Департамент капитального строительства"/>
    <s v="Перфильев Д.А."/>
    <s v="На бумажном носителе"/>
    <s v="С ограничением по срокам "/>
    <d v="2021-08-03T00:00:00"/>
    <d v="2022-12-31T00:00:00"/>
    <s v="Д-22"/>
    <s v="Утилизация отходов бурения и рекультивация нарушенных земель, занятых под шламовые амбары/шламонакопители"/>
    <s v="Расходная часть"/>
    <s v="Стоимостной"/>
    <s v="20%"/>
    <s v=""/>
    <s v=""/>
    <s v="70 207 437.26"/>
    <s v="58 506 197.72"/>
    <s v="11 701 239.54"/>
    <s v="нет"/>
    <s v="нет"/>
    <s v=""/>
    <s v=""/>
    <s v=""/>
    <s v=""/>
    <s v="нет"/>
  </r>
  <r>
    <s v="Газпромнефть-ГЕО, ООО"/>
    <s v="0000027645"/>
    <s v="Зарегистрирован"/>
    <d v="2022-05-19T00:00:00"/>
    <s v=""/>
    <x v="80"/>
    <s v="5501072608"/>
    <s v="ГЕО-18/18000/00046/Р "/>
    <s v=""/>
    <s v="9"/>
    <s v="Нетиповой ДД"/>
    <x v="0"/>
    <s v=""/>
    <s v="00449-22"/>
    <s v=""/>
    <s v="Дополнительное соглашение №9  к Агентскому договору № ГЕО-18/18000/00046/Р от 06.12.2018 г."/>
    <s v="В рамках исполнения поручения в соответствии с п.2.2.  Приказа ПАО «Газпром нефть» № 31-П от 14.04.2022 г. «О сроках подписания электронных документов по доходным договорам в Группе компаний «Газпром нефть» ГПНС направили на рассмотрение и согласование проект дополнительного соглашения к Агентскому договору в части определения сроков подписания первичных учетных документов с использованием электронно-цифровой подписи. "/>
    <s v="Лесняк Н.А."/>
    <s v="Лесняк Н.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2-05-19T00:00:00"/>
    <s v=""/>
    <s v="Д-56"/>
    <s v="Агентский договор"/>
    <s v="Не предполагает взаиморасчетов"/>
    <s v="Агентский"/>
    <s v=""/>
    <s v=""/>
    <s v=""/>
    <s v=""/>
    <s v=""/>
    <s v=""/>
    <s v="нет"/>
    <s v="нет"/>
    <s v=""/>
    <s v=""/>
    <s v=""/>
    <s v=""/>
    <s v="нет"/>
  </r>
  <r>
    <s v="Газпромнефть-ГЕО, ООО"/>
    <s v="0000056254"/>
    <s v="Зарегистрирован"/>
    <d v="2023-08-28T00:00:00"/>
    <s v=""/>
    <x v="23"/>
    <s v="7839415866"/>
    <s v=""/>
    <s v="ГЕО-23/18000/00145"/>
    <s v="ГЕО-23/18000/00145"/>
    <s v="Нетиповой ДД"/>
    <x v="2"/>
    <s v=""/>
    <s v="00449-23"/>
    <s v=""/>
    <s v="Договор об обработке персональных данных"/>
    <s v="Обработка персональных данных в интересах ООО &quot;ГПН-ГЕО&quot;"/>
    <s v="Аршинина М.Н."/>
    <s v="Аршинина М.Н."/>
    <s v="Договорный документ"/>
    <s v="Блок корпоративной защиты"/>
    <s v="Созинов С.А."/>
    <s v="ЭП"/>
    <s v="С ограничением по срокам "/>
    <d v="2023-08-28T00:00:00"/>
    <d v="2026-12-31T00:00:00"/>
    <s v="Д-60"/>
    <s v="Договор поручения"/>
    <s v="Не предполагает взаиморасчетов"/>
    <s v=""/>
    <s v=""/>
    <s v=""/>
    <s v=""/>
    <s v=""/>
    <s v=""/>
    <s v=""/>
    <s v="нет"/>
    <s v="нет"/>
    <s v=""/>
    <s v=""/>
    <s v=""/>
    <s v=""/>
    <s v="нет"/>
  </r>
  <r>
    <s v="Газпромнефть-ГЕО, ООО"/>
    <s v="0000117175"/>
    <s v="Зарегистрирован"/>
    <d v="2024-07-15T00:00:00"/>
    <s v=""/>
    <x v="317"/>
    <s v="5648004170"/>
    <s v=""/>
    <s v="ГЕО-24/04300/00135/Р"/>
    <s v="ГЕО-24/04300/00135/Р"/>
    <s v="Нетиповой ДД"/>
    <x v="1"/>
    <s v=""/>
    <s v="00449-24"/>
    <s v=""/>
    <s v="Соглашение об установлении сервитута в отношении части земельного участка"/>
    <s v="Установление права ограниченного пользования в отношении части земельного участка._x000a_Право ограниченного пользования частью земельного участка включает в себя: право беспрепятственно осуществлять проход, проезд"/>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4-07-15T00:00:00"/>
    <d v="2027-06-14T00:00:00"/>
    <s v=""/>
    <s v="Договор аренды недвижимости"/>
    <s v="Расходная часть"/>
    <s v="Стоимостной"/>
    <s v="20%"/>
    <s v=""/>
    <s v=""/>
    <n v="1.22"/>
    <n v="1.02"/>
    <n v="0.2"/>
    <s v="нет"/>
    <s v="нет"/>
    <s v=""/>
    <s v=""/>
    <s v=""/>
    <s v=""/>
    <s v="нет"/>
  </r>
  <r>
    <s v="Газпромнефть-ГЕО, ООО"/>
    <s v="0000045789"/>
    <s v="Зарегистрирован"/>
    <d v="2021-07-15T00:00:00"/>
    <s v=""/>
    <x v="16"/>
    <s v="7838395487"/>
    <s v="№ НТЦ-18/09000/01305/Д-ГЕО/ГЕО-19/09000/00045/Р "/>
    <s v=""/>
    <s v="№ НТЦ-01519-21Д"/>
    <s v="Нетиповой ДД"/>
    <x v="3"/>
    <s v=""/>
    <s v="00450-21"/>
    <s v=""/>
    <s v="Заказ"/>
    <s v="Информационно-консультационные услуги в формате вебинара по теме: _x000d__x000a_«Геотектонические концепции», 19.07.2021-22.07.2021, Ибрагимов А.М._x000d__x000a_"/>
    <s v="Курашко М.В."/>
    <s v=""/>
    <s v="Договорный документ"/>
    <s v="Управление по работе с персоналом"/>
    <s v="Игнатова Ю.В."/>
    <s v="На бумажном носителе"/>
    <s v="До исполнения обязательств"/>
    <d v="2021-07-19T00:00:00"/>
    <s v=""/>
    <s v=""/>
    <s v="Договор на обучение (тренинги, семинары и проч.)"/>
    <s v="Расходная часть"/>
    <s v="Рамочный"/>
    <s v="20%"/>
    <s v=""/>
    <s v=""/>
    <s v="66 240.00"/>
    <s v="55 200.00"/>
    <s v="11 040.00"/>
    <s v="нет"/>
    <s v="нет"/>
    <s v=""/>
    <s v=""/>
    <s v=""/>
    <s v=""/>
    <s v="нет"/>
  </r>
  <r>
    <s v="Газпромнефть-ГЕО, ООО"/>
    <s v="0000068442"/>
    <s v="Зарегистрирован"/>
    <d v="2024-08-01T00:00:00"/>
    <d v="2024-08-02T00:00:00"/>
    <x v="92"/>
    <s v="5611027573"/>
    <s v="ГЕО-21/09000/00198/Р"/>
    <s v=""/>
    <s v="8"/>
    <s v="Нетиповой ДД"/>
    <x v="3"/>
    <s v=""/>
    <s v="00450-24"/>
    <s v=""/>
    <s v="Наряд-заказ № 8 к договору № ГЕО-21/09000/00198/Р от 06.09.2021 г."/>
    <s v="По оказанию услуг охраны по Договору № ГЕО-21/09000/00198/Р от 06.09.2021 г."/>
    <s v="Уколов И.С."/>
    <s v=""/>
    <s v="Договорный документ"/>
    <s v="Отдел экономической безопасности"/>
    <s v="Созинов С.А."/>
    <s v="ЭП"/>
    <s v="С ограничением по срокам "/>
    <d v="2024-08-01T00:00:00"/>
    <d v="2024-12-31T00:00:00"/>
    <s v="Д-31"/>
    <s v="Договор возмездного оказания услуг"/>
    <s v="Расходная часть"/>
    <s v="Рамочный"/>
    <s v="без НДС"/>
    <s v=""/>
    <s v=""/>
    <s v="593 751.69"/>
    <s v="593 751.69"/>
    <n v="0"/>
    <s v="нет"/>
    <s v="нет"/>
    <s v=""/>
    <s v=""/>
    <s v=""/>
    <s v=""/>
    <s v="нет"/>
  </r>
  <r>
    <s v="Газпромнефть-ГЕО, ООО"/>
    <s v=""/>
    <s v="Закрыт"/>
    <d v="2021-08-03T00:00:00"/>
    <s v=""/>
    <x v="316"/>
    <s v=""/>
    <s v=""/>
    <s v="ГЕО-21/00000/00169"/>
    <s v="ГЕО-21/00000/00169"/>
    <s v="Типовой ДД"/>
    <x v="1"/>
    <s v="00000 Соглашение в области производственной безопасности"/>
    <s v="00451-21"/>
    <s v=""/>
    <s v="Соглашение в области ПБ"/>
    <s v="Согласование требований в области производственной безопасности"/>
    <s v="Шабалин С.В."/>
    <s v="Диденко П.В."/>
    <s v="Договорный документ"/>
    <s v="Блок производственной безопасности"/>
    <s v="Власов М.М."/>
    <s v="На бумажном носителе"/>
    <s v="Без сроков "/>
    <d v="2021-08-03T00:00:00"/>
    <s v=""/>
    <s v=""/>
    <s v="ПРОЧИЕ ДОГОВОРЫ"/>
    <s v="Не предполагает взаиморасчетов"/>
    <s v=""/>
    <s v=""/>
    <s v=""/>
    <s v=""/>
    <s v=""/>
    <s v=""/>
    <s v=""/>
    <s v="нет"/>
    <s v="нет"/>
    <s v=""/>
    <s v=""/>
    <s v=""/>
    <s v=""/>
    <s v="нет"/>
  </r>
  <r>
    <s v="Газпромнефть-ГЕО, ООО"/>
    <s v="0000027605, 0000067121"/>
    <s v="Закрыт"/>
    <d v="2022-05-06T00:00:00"/>
    <s v=""/>
    <x v="318"/>
    <s v="8605003932, 7202171361"/>
    <s v="ГЕО-22/10000/00076/Р"/>
    <s v=""/>
    <s v="1"/>
    <s v="Нетиповой ДД"/>
    <x v="0"/>
    <s v=""/>
    <s v="00451-22"/>
    <s v=""/>
    <s v="ч. 2Соглашение о част. передаче прав и обязанностей поДоговору № ВР-69-10110/20/23 от 30.09.2020 на проведение полевых сейсморазведочных работ МОГТ ЗД с применением технологии «Зеленая сейсмика ©» на лицензионных участках работ ПАО «СН-МНГ» в 2020-2023гг. "/>
    <s v="ч. 2 Частичная передача прав и обязанностей поДоговору № ВР-69-10110/20/23 от 30.09.2020 на проведение полевых сейсморазведочных работ МОГТ ЗД с применением технологии «Зеленая сейсмика ©» на лицензионных участках работ ПАО «СН-МНГ» в 2020-2023гг. "/>
    <s v="Ахматгалиев С.З."/>
    <s v=""/>
    <s v="Договорный документ"/>
    <s v="Блок геологии и разработки"/>
    <s v="Аксенов М.А."/>
    <s v="На бумажном носителе"/>
    <s v="С ограничением по срокам "/>
    <d v="2022-05-06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89 448 428.97"/>
    <s v="157 873 690.81"/>
    <s v="31 574 738.16"/>
    <s v="нет"/>
    <s v="нет"/>
    <s v=""/>
    <s v=""/>
    <s v=""/>
    <s v=""/>
    <s v="нет"/>
  </r>
  <r>
    <s v="Газпромнефть-ГЕО, ООО"/>
    <s v="0000044973"/>
    <s v="Зарегистрирован"/>
    <d v="2023-08-18T00:00:00"/>
    <s v=""/>
    <x v="158"/>
    <s v="7709413265"/>
    <s v="ГЕО-22/07100/00042/Р"/>
    <s v=""/>
    <s v="6"/>
    <s v="Нетиповой ДД"/>
    <x v="0"/>
    <s v=""/>
    <s v="00451-23"/>
    <s v=""/>
    <s v="Дополнительное соглашение №5 с ТКШ"/>
    <s v="Раскрытие ГО, перераспределение объемов"/>
    <s v="Яшкина К.Л."/>
    <s v="Веселкин А.С."/>
    <s v="Договорный документ"/>
    <s v="Блок бурения и ВСР"/>
    <s v="Трифонов А.В."/>
    <s v="ЭП"/>
    <s v="С ограничением по срокам "/>
    <d v="2023-08-18T00:00:00"/>
    <d v="2024-05-0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2 342 732.05"/>
    <s v="10 285 610.04"/>
    <s v="2 057 122.01"/>
    <s v="нет"/>
    <s v="нет"/>
    <s v=""/>
    <s v=""/>
    <s v=""/>
    <s v=""/>
    <s v="нет"/>
  </r>
  <r>
    <s v="Газпромнефть-ГЕО, ООО"/>
    <s v="0000057750"/>
    <s v="Зарегистрирован"/>
    <d v="2024-07-19T00:00:00"/>
    <s v=""/>
    <x v="182"/>
    <s v="0814118403"/>
    <s v="ГЕО-22/10000/00225/Р"/>
    <s v=""/>
    <s v="6"/>
    <s v="Нетиповой ДД"/>
    <x v="0"/>
    <s v=""/>
    <s v="00451-24"/>
    <s v=""/>
    <s v="ДС№6 к Договору №ГЕО-22/10000/00225/Р от 20.09.2022   "/>
    <s v="Дополнительное соглашение №6 к Договору №ГЕО-22/10000/00225/Р от 20.09.2022 &quot;на бурение геологоразведочных скважин по суточной ставке или фиксированной ставке (в т.ч. мобильными установками)&quot;. Камовская площадь. ЗБГС + ИСП"/>
    <s v="Мормышев А.А."/>
    <s v="Чупров В.В."/>
    <s v="Договорный документ"/>
    <s v="Блок бурения и ВСР"/>
    <s v="Трифонов А.В."/>
    <s v="На бумажном носителе"/>
    <s v="С ограничением по срокам "/>
    <d v="2024-07-20T00:00:00"/>
    <d v="2024-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7378"/>
    <s v="Зарегистрирован"/>
    <d v="2021-07-19T00:00:00"/>
    <s v=""/>
    <x v="97"/>
    <s v="7204203139"/>
    <s v="ГЕО-19/10156/00057/Р"/>
    <s v=""/>
    <s v="2/21-057"/>
    <s v="Нетиповой ДД"/>
    <x v="3"/>
    <s v=""/>
    <s v="00452-21"/>
    <s v=""/>
    <s v="Специальные исследования керна по Камовскому месторождению (Квыт)"/>
    <s v="Исследование Квытеснения нефти для актуализации ГГДМ"/>
    <s v="Ябиров Р.З."/>
    <s v="Ябиров Р.З."/>
    <s v="Договорный документ"/>
    <s v="Блок геологии и разработки"/>
    <s v="Аксенов М.А."/>
    <s v="На бумажном носителе"/>
    <s v="С ограничением по срокам "/>
    <d v="2021-07-19T00:00:00"/>
    <d v="2021-08-30T00:00:00"/>
    <s v="Д-3"/>
    <s v="Услуги по хранению и стандартному комплексу лабораторных исследований керна"/>
    <s v="Расходная часть"/>
    <s v="Рамочный"/>
    <s v="20%"/>
    <s v=""/>
    <s v=""/>
    <s v="656 523.42"/>
    <s v="547 102.85"/>
    <s v="109 420.57"/>
    <s v="нет"/>
    <s v="нет"/>
    <s v=""/>
    <s v=""/>
    <s v=""/>
    <s v=""/>
    <s v="нет"/>
  </r>
  <r>
    <s v="Газпромнефть-ГЕО, ООО"/>
    <s v="0000044973"/>
    <s v="Зарегистрирован"/>
    <d v="2022-05-15T00:00:00"/>
    <s v=""/>
    <x v="158"/>
    <s v="7709413265"/>
    <s v=""/>
    <s v="ГЕО-22/20000/00148/Д"/>
    <s v="ГЕО-22/20000/00148/Д"/>
    <s v="Нетиповой ДД"/>
    <x v="2"/>
    <s v=""/>
    <s v="00452-22"/>
    <s v=""/>
    <s v="Агентский договор на организацию вертолетных авиаперевозок с ООО «Технологическая Компания Шлюмберже»"/>
    <s v="Авиаперевозка персонала и груза КА"/>
    <s v="Титова Е.В."/>
    <s v="Титова Е.В."/>
    <s v="Договорный документ"/>
    <s v="Блок снабжения и закупок"/>
    <s v="Ковтун М.А."/>
    <s v="ЭП"/>
    <s v="С ограничением по срокам "/>
    <d v="2022-05-15T00:00:00"/>
    <d v="2023-05-15T00:00:00"/>
    <s v="Д-62"/>
    <s v="Агентский договор"/>
    <s v="Доходная часть"/>
    <s v="Агентский"/>
    <s v="20%"/>
    <s v=""/>
    <s v=""/>
    <s v="85 317.59"/>
    <s v="71 097.99"/>
    <s v="14 219.60"/>
    <s v="нет"/>
    <s v="нет"/>
    <s v=""/>
    <s v=""/>
    <s v=""/>
    <s v=""/>
    <s v="нет"/>
  </r>
  <r>
    <s v="Газпромнефть-ГЕО, ООО"/>
    <s v="0000038756"/>
    <s v="Зарегистрирован"/>
    <d v="2023-08-25T00:00:00"/>
    <s v=""/>
    <x v="299"/>
    <s v="8620006279"/>
    <s v="ГЕО-23/10401/00138/Р"/>
    <s v=""/>
    <s v="1"/>
    <s v="Нетиповой ДД"/>
    <x v="0"/>
    <s v=""/>
    <s v="00452-23"/>
    <s v=""/>
    <s v="Дополнительное соглашение к Договору  №ГЕО-23/10401/00138/Р от 10.08.2023г."/>
    <s v="Перераспределение не гарантийного объема в гарантированный объем по договору"/>
    <s v="Рымаренко А.А."/>
    <s v="Рымаренко А.А."/>
    <s v="Договорный документ"/>
    <s v="Управление внутрискважинных работ"/>
    <s v="Трифонов А.В."/>
    <s v="На бумажном носителе"/>
    <s v="С ограничением по срокам "/>
    <d v="2023-08-25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68 773 440.00"/>
    <s v="57 311 200.00"/>
    <s v="11 462 240.00"/>
    <s v="нет"/>
    <s v="нет"/>
    <s v=""/>
    <s v=""/>
    <s v=""/>
    <s v=""/>
    <s v="нет"/>
  </r>
  <r>
    <s v="Газпромнефть-ГЕО, ООО"/>
    <s v="0000027645"/>
    <s v="Зарегистрирован"/>
    <d v="2022-05-26T00:00:00"/>
    <s v=""/>
    <x v="80"/>
    <s v="5501072608"/>
    <s v="ГЕО-21/01200/00189/Р"/>
    <s v=""/>
    <s v="1"/>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453-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Включение в договор типовых условий по ЭДО"/>
    <s v="Долгов Д.Г."/>
    <s v="Долгов Д.Г."/>
    <s v="Договорный документ"/>
    <s v="Блок снабжения и закупок"/>
    <s v="Титов А.В."/>
    <s v="На бумажном носителе"/>
    <s v="До исполнения обязательств"/>
    <d v="2022-05-26T00:00:00"/>
    <s v=""/>
    <s v="Д-56"/>
    <s v="Договор поставки/купли продажи движимого имущества"/>
    <s v="Не предполагает взаиморасчетов"/>
    <s v="Стоимостной"/>
    <s v=""/>
    <s v=""/>
    <s v=""/>
    <s v=""/>
    <s v=""/>
    <s v=""/>
    <s v="нет"/>
    <s v="нет"/>
    <s v=""/>
    <s v=""/>
    <s v=""/>
    <s v=""/>
    <s v="нет"/>
  </r>
  <r>
    <s v="Газпромнефть-ГЕО, ООО"/>
    <s v=""/>
    <s v="Зарегистрирован"/>
    <d v="2023-08-28T00:00:00"/>
    <s v=""/>
    <x v="319"/>
    <s v=""/>
    <s v=""/>
    <s v="ГЕО-23/09000/00149/Р"/>
    <s v="ГЕО-23/09000/00149/Р"/>
    <s v="Нетиповой ДД"/>
    <x v="2"/>
    <s v=""/>
    <s v="00453-23"/>
    <s v=""/>
    <s v="Договор на оказание услуг по найму персонала "/>
    <s v="Услуги по найму персонала для нужд ООО &quot;ГПН-ГЕО&quot; "/>
    <s v="Безруков А.А."/>
    <s v="Фокин Е.В."/>
    <s v="Договорный документ"/>
    <s v="Блок производственной безопасности"/>
    <s v="Михайлов Ю.А."/>
    <s v="На бумажном носителе"/>
    <s v="С ограничением по срокам "/>
    <d v="2023-08-28T00:00:00"/>
    <d v="2024-12-31T00:00:00"/>
    <s v="Д-2"/>
    <s v="Договор возмездного оказания услуг"/>
    <s v="Расходная часть"/>
    <s v="Рамочный"/>
    <s v="20%"/>
    <s v=""/>
    <s v="0"/>
    <s v="785 777 681.14"/>
    <s v="654 814 734.28"/>
    <s v="130 962 946.86"/>
    <s v="да"/>
    <s v="нет"/>
    <s v=""/>
    <s v=""/>
    <s v=""/>
    <s v=""/>
    <s v="нет"/>
  </r>
  <r>
    <s v="Газпромнефть-ГЕО, ООО"/>
    <s v="0000117353"/>
    <s v="Зарегистрирован"/>
    <d v="2024-08-13T00:00:00"/>
    <s v=""/>
    <x v="320"/>
    <s v="212809355203"/>
    <s v=""/>
    <s v="ГЕО-24/09000/00142/Р"/>
    <s v="ГЕО-24/09000/00142/Р"/>
    <s v="Нетиповой ДД"/>
    <x v="2"/>
    <s v=""/>
    <s v="00453-24"/>
    <s v=""/>
    <s v="Договор оказания услуг дизайна и вёрстки с ИП Скибинской В.В."/>
    <s v="Оказание услуг по разработке дизайна-макетов и верстке по заказу ООО «ГПН-ГЕО» "/>
    <s v="Васильева А.И."/>
    <s v="Нюняйкина О.В."/>
    <s v="Договорный документ"/>
    <s v="Отдел по корпоративным коммуникациям"/>
    <s v="Трифонов А.В."/>
    <s v="ЭП"/>
    <s v="С ограничением по срокам "/>
    <d v="2024-08-13T00:00:00"/>
    <d v="2026-12-31T00:00:00"/>
    <s v="Д-82"/>
    <s v="Договор возмездного оказания услуг"/>
    <s v="Расходная часть"/>
    <s v="Стоимостной"/>
    <s v="без НДС"/>
    <s v=""/>
    <s v=""/>
    <s v="2 988 796.97"/>
    <s v="2 988 796.97"/>
    <n v="0"/>
    <s v="нет"/>
    <s v="нет"/>
    <s v=""/>
    <s v=""/>
    <s v=""/>
    <s v=""/>
    <s v="нет"/>
  </r>
  <r>
    <s v="Газпромнефть-ГЕО, ООО"/>
    <s v="0000000059"/>
    <s v="Проект"/>
    <s v=""/>
    <s v=""/>
    <x v="131"/>
    <s v="8905000428"/>
    <s v=""/>
    <s v=""/>
    <s v=""/>
    <s v="Нетиповой ДД"/>
    <x v="2"/>
    <s v=""/>
    <s v="00454-21"/>
    <s v=""/>
    <s v=""/>
    <s v=""/>
    <s v="Щербаков В.А."/>
    <s v="Щербаков В.А."/>
    <s v="Договорный документ"/>
    <s v="Финансовое управление"/>
    <s v="Ковтун М.А."/>
    <s v="На бумажном носителе"/>
    <s v="С ограничением по срокам "/>
    <d v="2021-07-20T00:00:00"/>
    <d v="2021-07-31T00:00:00"/>
    <s v="Д-5"/>
    <s v="Договор возмездного оказания услуг"/>
    <s v="Расходная часть"/>
    <s v="Стоимостной"/>
    <s v="20%"/>
    <s v=""/>
    <s v=""/>
    <s v="1 000 000 000.00"/>
    <s v="833 333 333.33"/>
    <s v="166 666 666.67"/>
    <s v="нет"/>
    <s v="нет"/>
    <s v=""/>
    <s v=""/>
    <s v=""/>
    <s v=""/>
    <s v="нет"/>
  </r>
  <r>
    <s v="Газпромнефть-ГЕО, ООО"/>
    <s v="0000044114"/>
    <s v="Зарегистрирован"/>
    <d v="2022-05-26T00:00:00"/>
    <s v=""/>
    <x v="226"/>
    <s v="7728639370"/>
    <s v="ГЕО-21/01200/00188/Р"/>
    <s v=""/>
    <s v="1"/>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454-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Включение в договор типовых условий по ЭДО"/>
    <s v="Долгов Д.Г."/>
    <s v="Долгов Д.Г."/>
    <s v="Договорный документ"/>
    <s v="Блок снабжения и закупок"/>
    <s v="Титов А.В."/>
    <s v="На бумажном носителе"/>
    <s v="До исполнения обязательств"/>
    <d v="2022-05-26T00:00:00"/>
    <s v=""/>
    <s v="Д-56"/>
    <s v="Договор поставки/купли продажи движимого имущества"/>
    <s v="Не предполагает взаиморасчетов"/>
    <s v="Стоимостной"/>
    <s v=""/>
    <s v=""/>
    <s v=""/>
    <s v=""/>
    <s v=""/>
    <s v=""/>
    <s v="нет"/>
    <s v="нет"/>
    <s v=""/>
    <s v=""/>
    <s v=""/>
    <s v=""/>
    <s v="нет"/>
  </r>
  <r>
    <s v="Газпромнефть-ГЕО, ООО"/>
    <s v="0000044244"/>
    <s v="Зарегистрирован"/>
    <d v="2023-07-20T00:00:00"/>
    <s v=""/>
    <x v="192"/>
    <s v="8904034777"/>
    <s v=""/>
    <s v="ГЕО-23/26000/00147"/>
    <s v="ГЕО-23/26000/00147"/>
    <s v="Нетиповой ДД"/>
    <x v="1"/>
    <s v=""/>
    <s v="00454-23"/>
    <s v=""/>
    <s v="26000 Соглашение о конфиденциальности с дочерним обществом ПАО «Газпром»"/>
    <s v="Обмен данными для работы. Обоснование - письмо из Газпром добыча Ямбург."/>
    <s v="Игревский И.В."/>
    <s v="Игревский И.В."/>
    <s v="Договорный документ"/>
    <s v="Проект &quot;Западно-Юбилейное&quot;"/>
    <s v="Созинов С.А."/>
    <s v="На бумажном носителе"/>
    <s v="С ограничением по срокам "/>
    <d v="2023-07-20T00:00:00"/>
    <d v="2028-12-31T00:00:00"/>
    <s v="Д-60"/>
    <s v="Соглашение о конфиденциальности"/>
    <s v="Не предполагает взаиморасчетов"/>
    <s v=""/>
    <s v=""/>
    <s v=""/>
    <s v=""/>
    <s v=""/>
    <s v=""/>
    <s v=""/>
    <s v="нет"/>
    <s v="нет"/>
    <s v=""/>
    <s v=""/>
    <s v=""/>
    <s v=""/>
    <s v="нет"/>
  </r>
  <r>
    <s v="Газпромнефть-ГЕО, ООО"/>
    <s v="0000058328"/>
    <s v="Зарегистрирован"/>
    <d v="2020-11-28T00:00:00"/>
    <s v=""/>
    <x v="76"/>
    <s v="5032180980"/>
    <s v="№ EMBA- XXIX/14/ГЕО-19/09000/00107/Р"/>
    <s v=""/>
    <s v=" 1"/>
    <s v="Нетиповой ДД"/>
    <x v="0"/>
    <s v=""/>
    <s v="00455-21"/>
    <s v=""/>
    <s v="Дополнительное соглашение № 1 к Договору об оказании образовательных услуг № EMBA- XXIX/14/ГЕО-19/09000/00107/Р от «11» апреля 2019 г."/>
    <s v="Продление срока действия договора"/>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0-11-28T00:00:00"/>
    <s v=""/>
    <s v=""/>
    <s v="Договор возмездного оказания услуг"/>
    <s v="Не предполагает взаиморасчетов"/>
    <s v=""/>
    <s v=""/>
    <s v=""/>
    <s v=""/>
    <s v=""/>
    <s v=""/>
    <s v=""/>
    <s v="нет"/>
    <s v="нет"/>
    <s v=""/>
    <s v=""/>
    <s v=""/>
    <s v=""/>
    <s v="нет"/>
  </r>
  <r>
    <s v="Газпромнефть-ГЕО, ООО"/>
    <s v="0000008602"/>
    <s v="Закрыт"/>
    <d v="2022-04-28T00:00:00"/>
    <s v=""/>
    <x v="32"/>
    <s v="5504036333"/>
    <s v="ГЕО-21/00000/144/Д"/>
    <s v=""/>
    <s v="3"/>
    <s v="Нетиповой ДД"/>
    <x v="3"/>
    <s v=""/>
    <s v="00455-22"/>
    <s v=""/>
    <s v="Заказ №3"/>
    <s v="Согласование стандарта на процесс и НМД для WEB-системы ЦД СРР"/>
    <s v="Андреева И.В."/>
    <s v="Любимов Д.В."/>
    <s v="Договорный документ"/>
    <s v="Управление экономического планирования и анализа"/>
    <s v="Аксенов М.А."/>
    <s v="На бумажном носителе"/>
    <s v="С ограничением по срокам "/>
    <d v="2022-04-18T00:00:00"/>
    <d v="2022-06-04T00:00:00"/>
    <s v=""/>
    <s v="Договор возмездного оказания услуг"/>
    <s v="Доходная часть"/>
    <s v="Стоимостной"/>
    <s v="20%"/>
    <s v=""/>
    <s v=""/>
    <s v="3 774 960.00"/>
    <s v="3 145 800.00"/>
    <s v="629 160.00"/>
    <s v="нет"/>
    <s v="нет"/>
    <s v=""/>
    <s v=""/>
    <s v=""/>
    <s v=""/>
    <s v="нет"/>
  </r>
  <r>
    <s v="Газпромнефть-ГЕО, ООО"/>
    <s v=""/>
    <s v="Проект"/>
    <s v=""/>
    <s v=""/>
    <x v="58"/>
    <s v=""/>
    <s v=""/>
    <s v=""/>
    <s v=""/>
    <s v="Типовой ДД"/>
    <x v="1"/>
    <s v="33200 Соглашение об электронном документообороте"/>
    <s v="00455-23"/>
    <s v=""/>
    <s v="33200 Соглашение об электронном документообороте"/>
    <s v=""/>
    <s v="Коваленко М.В."/>
    <s v=""/>
    <s v="Договорный документ"/>
    <s v="Блок главного инженера"/>
    <s v=""/>
    <s v=""/>
    <s v=""/>
    <s v=""/>
    <s v=""/>
    <s v=""/>
    <s v="Соглашение об использовании электронного документооборота"/>
    <s v=""/>
    <s v=""/>
    <s v=""/>
    <s v=""/>
    <s v=""/>
    <s v=""/>
    <s v=""/>
    <s v=""/>
    <s v="нет"/>
    <s v="нет"/>
    <s v=""/>
    <s v=""/>
    <s v=""/>
    <s v=""/>
    <s v="нет"/>
  </r>
  <r>
    <s v="Газпромнефть-ГЕО, ООО"/>
    <s v="0000093917"/>
    <s v="Зарегистрирован"/>
    <d v="2024-07-29T00:00:00"/>
    <s v=""/>
    <x v="9"/>
    <s v="5609193118"/>
    <s v="ГЕО-23/09000/00041/Р"/>
    <s v=""/>
    <s v="6.2"/>
    <s v="Нетиповой ДД"/>
    <x v="4"/>
    <s v=""/>
    <s v="00455-24"/>
    <s v="6"/>
    <s v="Изм. наряд-заказа №6.2 к договору ГЕО-23/09000/00041/Р"/>
    <s v="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Оморинском ЛУ"/>
    <s v="Покатов О.Н."/>
    <s v="Хабибуллин Т.Ф."/>
    <s v="Договорный документ"/>
    <s v="Управление производственной безопасности"/>
    <s v="Ядрышников П.Н."/>
    <s v="ЭП"/>
    <s v="С ограничением по срокам "/>
    <d v="2024-07-29T00:00:00"/>
    <d v="2025-12-31T00:00:00"/>
    <s v="Д-51"/>
    <s v="Договор возмездного оказания услуг"/>
    <s v="Расходная часть"/>
    <s v="Стоимостной"/>
    <s v="20%"/>
    <s v=""/>
    <s v=""/>
    <s v="47 497 200.05"/>
    <s v="39 581 000.04"/>
    <s v="7 916 200.01"/>
    <s v="нет"/>
    <s v="нет"/>
    <s v=""/>
    <s v=""/>
    <s v=""/>
    <s v=""/>
    <s v="нет"/>
  </r>
  <r>
    <s v="Газпромнефть-ГЕО, ООО"/>
    <s v="0000073273"/>
    <s v="Закрыт"/>
    <d v="2020-10-20T00:00:00"/>
    <s v=""/>
    <x v="21"/>
    <s v="5610218014"/>
    <s v="ГЕО-20/10111/00217/Д"/>
    <s v=""/>
    <s v="1"/>
    <s v="Нетиповой ДД"/>
    <x v="3"/>
    <s v=""/>
    <s v="00456-21"/>
    <s v=""/>
    <s v="Агентское поручение №1 к агентскому договору №ОРН-20/20000/03369/Р от 20.10.2020"/>
    <s v="Согласование агентского поручения к агентскому договору с ГПН-Оренбург с целью выполнения обработки и интерпретации СРР на Ягодной площади."/>
    <s v="Мурзин Р.Р."/>
    <s v="Мурзин Р.Р."/>
    <s v="Договорный документ"/>
    <s v="Управление сейсморазведочных работ"/>
    <s v="Масалкин Ю.В."/>
    <s v="На бумажном носителе"/>
    <s v="С ограничением по срокам "/>
    <d v="2021-01-11T00:00:00"/>
    <d v="2022-01-31T00:00:00"/>
    <s v=""/>
    <s v="Обработка и интерпретация сейсмических данных 3Д, 2Д"/>
    <s v="Доходная часть"/>
    <s v="Агентский"/>
    <s v="20%"/>
    <s v=""/>
    <s v=""/>
    <s v="21 227 342.40"/>
    <s v="17 689 452.00"/>
    <s v="3 537 890.40"/>
    <s v="нет"/>
    <s v="нет"/>
    <s v=""/>
    <s v=""/>
    <s v=""/>
    <s v=""/>
    <s v="нет"/>
  </r>
  <r>
    <s v="Газпромнефть-ГЕО, ООО"/>
    <s v="0000039295"/>
    <s v="Зарегистрирован"/>
    <d v="2022-04-28T00:00:00"/>
    <s v=""/>
    <x v="90"/>
    <s v="8618006063"/>
    <s v="ГЕО-19/20000/00230/Д"/>
    <s v=""/>
    <s v="6"/>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456-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Внедрение Электронного Документооборота"/>
    <s v="Коротков С.П."/>
    <s v=""/>
    <s v="Договорный документ"/>
    <s v="Управление по разработке"/>
    <s v="Аксенов М.А."/>
    <s v="На бумажном носителе"/>
    <s v="Без сроков "/>
    <d v="2022-04-28T00:00:00"/>
    <s v=""/>
    <s v=""/>
    <s v="Агентский договор"/>
    <s v="Не предполагает взаиморасчетов"/>
    <s v=""/>
    <s v=""/>
    <s v=""/>
    <s v=""/>
    <s v=""/>
    <s v=""/>
    <s v=""/>
    <s v="нет"/>
    <s v="нет"/>
    <s v=""/>
    <s v=""/>
    <s v=""/>
    <s v=""/>
    <s v="нет"/>
  </r>
  <r>
    <s v="Газпромнефть-ГЕО, ООО"/>
    <s v="0000071220"/>
    <s v="Зарегистрирован"/>
    <d v="2023-08-31T00:00:00"/>
    <s v=""/>
    <x v="51"/>
    <s v="5401950707"/>
    <s v="ГЕО-23/20000/00076/Д"/>
    <s v=""/>
    <s v="1"/>
    <s v="Нетиповой ДД"/>
    <x v="0"/>
    <s v=""/>
    <s v="00456-23"/>
    <s v=""/>
    <s v="ДС 1 к ГЕО-23/20000/00076/Д с ООО НППГА &quot;ЛУЧ&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3-09-01T00:00:00"/>
    <d v="2023-12-31T00:00:00"/>
    <s v="Д-56"/>
    <s v="Агентский договор"/>
    <s v="Доходная часть"/>
    <s v="Агентский"/>
    <s v="20%"/>
    <s v=""/>
    <s v=""/>
    <s v="203 660.93"/>
    <s v="169 717.44"/>
    <s v="33 943.49"/>
    <s v="нет"/>
    <s v="нет"/>
    <s v=""/>
    <s v=""/>
    <s v=""/>
    <s v=""/>
    <s v="нет"/>
  </r>
  <r>
    <s v="Газпромнефть-ГЕО, ООО"/>
    <s v="0000060723"/>
    <s v="Зарегистрирован"/>
    <d v="2024-10-24T00:00:00"/>
    <d v="2025-12-31T00:00:00"/>
    <x v="49"/>
    <s v="3811088474"/>
    <s v="АНГ-19/11513/00007/Р"/>
    <s v=""/>
    <s v="5"/>
    <s v="Нетиповой ДД"/>
    <x v="0"/>
    <s v=""/>
    <s v="00456-24"/>
    <s v=""/>
    <s v="Дополнительное соглашение №5  к Договору № АНГ-19/11513/00007/Р от 14.02.2019"/>
    <s v="1. Продление срока действия договора на последующие 3 года, а именно до 31.12.2027г _x000a_2. Распределение общего объема работ на период 2019-2027гг, без увеличения ориентировочного общего количества."/>
    <s v="Шевченко А.С."/>
    <s v="Шевченко А.С."/>
    <s v="Договорный документ"/>
    <s v="Управление маркшейдерско-землеустроительных работ"/>
    <s v="Трифонов А.В."/>
    <s v="ЭП"/>
    <s v="С ограничением по срокам "/>
    <d v="2025-01-01T00:00:00"/>
    <d v="2027-12-31T00:00:00"/>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5789"/>
    <s v="Зарегистрирован"/>
    <d v="2021-07-20T00:00:00"/>
    <s v=""/>
    <x v="16"/>
    <s v="7838395487"/>
    <s v="НТЦ-18/09000/01305/Д-ГЕО/ГЕО-19/09000/00045/Р "/>
    <s v=""/>
    <s v="№ НТЦ-01562-21Д"/>
    <s v="Нетиповой ДД"/>
    <x v="3"/>
    <s v=""/>
    <s v="00457-21"/>
    <s v=""/>
    <s v="Заказ"/>
    <s v="Информационно-консультационные услуги в формате вебинара по теме: _x000d__x000a_«Обучение методике оценки ценности информации исследований (VOI)», Слуцкий Д.А., Исхакова А.Р._x000d__x000a_"/>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1-07-27T00:00:00"/>
    <s v=""/>
    <s v=""/>
    <s v="Договор возмездного оказания услуг"/>
    <s v="Расходная часть"/>
    <s v="Рамочный"/>
    <s v="20%"/>
    <s v=""/>
    <s v=""/>
    <s v="99 360.00"/>
    <s v="82 800.00"/>
    <s v="16 560.00"/>
    <s v="нет"/>
    <s v="нет"/>
    <s v=""/>
    <s v=""/>
    <s v=""/>
    <s v=""/>
    <s v="нет"/>
  </r>
  <r>
    <s v="Газпромнефть-ГЕО, ООО"/>
    <s v="0000027645"/>
    <s v="Зарегистрирован"/>
    <d v="2022-05-26T00:00:00"/>
    <s v=""/>
    <x v="80"/>
    <s v="5501072608"/>
    <s v="ГЕО-20/04400/00179/Р"/>
    <s v=""/>
    <s v="1"/>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457-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Включение в договор типовых условий по ЭДО"/>
    <s v="Долгов Д.Г."/>
    <s v="Долгов Д.Г."/>
    <s v="Договорный документ"/>
    <s v="Блок снабжения и закупок"/>
    <s v="Титов А.В."/>
    <s v="На бумажном носителе"/>
    <s v="До исполнения обязательств"/>
    <d v="2022-05-26T00:00:00"/>
    <s v=""/>
    <s v="Д-56"/>
    <s v="Договор аренды движимого имущества"/>
    <s v="Не предполагает взаиморасчетов"/>
    <s v=""/>
    <s v=""/>
    <s v=""/>
    <s v=""/>
    <s v=""/>
    <s v=""/>
    <s v=""/>
    <s v="нет"/>
    <s v="нет"/>
    <s v=""/>
    <s v=""/>
    <s v=""/>
    <s v=""/>
    <s v="нет"/>
  </r>
  <r>
    <s v="Газпромнефть-ГЕО, ООО"/>
    <s v="0000076283"/>
    <s v="Зарегистрирован"/>
    <d v="2023-09-01T00:00:00"/>
    <s v=""/>
    <x v="28"/>
    <s v="4501174492"/>
    <s v="ГЕО-23/20000/00102/Д"/>
    <s v=""/>
    <s v="1"/>
    <s v="Нетиповой ДД"/>
    <x v="0"/>
    <s v=""/>
    <s v="00457-23"/>
    <s v=""/>
    <s v="ДС 1 к ГЕО-23/20000/00102/Д с ООО &quot;Уралгеопроект&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3-09-01T00:00:00"/>
    <d v="2023-12-31T00:00:00"/>
    <s v="Д-56"/>
    <s v="Агентский договор"/>
    <s v="Доходная часть"/>
    <s v="Агентский"/>
    <s v="20%"/>
    <s v=""/>
    <s v=""/>
    <s v="350 089.73"/>
    <s v="291 741.44"/>
    <s v="58 348.29"/>
    <s v="нет"/>
    <s v="нет"/>
    <s v=""/>
    <s v=""/>
    <s v=""/>
    <s v=""/>
    <s v="нет"/>
  </r>
  <r>
    <s v="Газпромнефть-ГЕО, ООО"/>
    <s v="0000051239"/>
    <s v="Зарегистрирован"/>
    <d v="2024-08-12T00:00:00"/>
    <s v=""/>
    <x v="321"/>
    <s v="0265013492"/>
    <s v=""/>
    <s v="ГЕО-24/26000/00139"/>
    <s v="ГЕО-24/26000/00139"/>
    <s v="Нетиповой ДД"/>
    <x v="1"/>
    <s v=""/>
    <s v="00457-24"/>
    <s v=""/>
    <s v="Соглашение о конфиденциальности с АО НПП ВНИИГИС"/>
    <s v="В связи с предпроектной проработкой НИОКР &quot;Многофазный глубинный пробоотборник&quot;"/>
    <s v="Лобанов А.А."/>
    <s v="Лобанов А.А."/>
    <s v="Договорный документ"/>
    <s v="Управление по геологии"/>
    <s v="Трифонов А.В."/>
    <s v="ЭП"/>
    <s v="Без сроков "/>
    <d v="2024-08-15T00:00:00"/>
    <s v=""/>
    <s v="Д-45"/>
    <s v="Соглашение о конфиденциальности"/>
    <s v="Не предполагает взаиморасчетов"/>
    <s v=""/>
    <s v=""/>
    <s v=""/>
    <s v=""/>
    <s v=""/>
    <s v=""/>
    <s v=""/>
    <s v="нет"/>
    <s v="нет"/>
    <s v=""/>
    <s v=""/>
    <s v=""/>
    <s v=""/>
    <s v="нет"/>
  </r>
  <r>
    <s v="Газпромнефть-ГЕО, ООО"/>
    <s v="0000045789"/>
    <s v="Зарегистрирован"/>
    <d v="2021-07-20T00:00:00"/>
    <s v=""/>
    <x v="16"/>
    <s v="7838395487"/>
    <s v="НТЦ-18/09000/01305/Д-ГЕО/ГЕО-19/09000/00045/Р "/>
    <s v=""/>
    <s v="№ НТЦ-01563-21Д"/>
    <s v="Нетиповой ДД"/>
    <x v="3"/>
    <s v=""/>
    <s v="00458-21"/>
    <s v=""/>
    <s v="Заказ"/>
    <s v="Информационно-консультационные услуги в формате вебинара по теме: _x000d__x000a_«Несейсмические методы проведения геологоразведочных работ», Коротков А.Б., Гордиенко А.В., Воцалевский В.З., 26.07.2021-30.07.2021_x000d__x000a_"/>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1-07-26T00:00:00"/>
    <s v=""/>
    <s v=""/>
    <s v="Договор возмездного оказания услуг"/>
    <s v="Расходная часть"/>
    <s v="Рамочный"/>
    <s v="20%"/>
    <s v=""/>
    <s v=""/>
    <s v="248 400.00"/>
    <s v="207 000.00"/>
    <s v="41 400.00"/>
    <s v="нет"/>
    <s v="нет"/>
    <s v=""/>
    <s v=""/>
    <s v=""/>
    <s v=""/>
    <s v="нет"/>
  </r>
  <r>
    <s v="Газпромнефть-ГЕО, ООО"/>
    <s v="0000103052"/>
    <s v="Зарегистрирован"/>
    <d v="2022-04-06T00:00:00"/>
    <s v=""/>
    <x v="148"/>
    <s v="563900109424"/>
    <s v=""/>
    <s v="ГЕО-22/04300/00111/Р"/>
    <s v="ГЕО-22/04300/00111/Р"/>
    <s v="Нетиповой ДД"/>
    <x v="1"/>
    <s v=""/>
    <s v="00458-22"/>
    <s v=""/>
    <s v="СОГЛАШЕНИЕ о возмещении убытков сельскохозяйственного производства, в т. ч. упущенной выгоды при временном занятии земельного участка"/>
    <s v="возмещении убытков сельскохозяйственного производства, включая упущенную выгоду и затраты на биологическую рекультивацию при временном занятии части земельного участка для размещения бурового оборудования при бурении скважины № 401ПО Западно-Рубежинск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До исполнения обязательств"/>
    <d v="2022-04-06T00:00:00"/>
    <s v=""/>
    <s v="Д-61"/>
    <s v="Договор аренды недвижимости"/>
    <s v="Расходная часть"/>
    <s v="Стоимостной"/>
    <s v="иное"/>
    <s v="13,00"/>
    <s v=""/>
    <s v="1 743 651.27"/>
    <s v="1 740 900.27"/>
    <s v="2 751.00"/>
    <s v="нет"/>
    <s v="нет"/>
    <s v=""/>
    <s v=""/>
    <s v=""/>
    <s v=""/>
    <s v="нет"/>
  </r>
  <r>
    <s v="Газпромнефть-ГЕО, ООО"/>
    <s v="0000040998"/>
    <s v="Зарегистрирован"/>
    <d v="2023-08-24T00:00:00"/>
    <s v=""/>
    <x v="322"/>
    <s v="9909012867"/>
    <s v="ГЕО-22/10000/00179/Р"/>
    <s v=""/>
    <s v="4"/>
    <s v="Нетиповой ДД"/>
    <x v="0"/>
    <s v=""/>
    <s v="00458-23"/>
    <s v=""/>
    <s v="ДС №4 к Договору № ГЕО-22/10000/00179/Р от 01.08.2022 г."/>
    <s v="Увеличение стоимости договора вследствие необходимости продления срока оказания услуг по освоению скважин Лескинского ЛУ по 31.12.2024 в рамках изменений производственной программы проекта «Енисей»."/>
    <s v="Безруков А.А."/>
    <s v="Бикташев Р.С."/>
    <s v="Договорный документ"/>
    <s v="Производственно-технологический департамент"/>
    <s v="Трифонов А.В."/>
    <s v="На бумажном носителе"/>
    <s v="До исполнения обязательств"/>
    <d v="2023-08-24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131670472.5"/>
    <s v="280 042 617.00"/>
    <s v="233 368 847.50"/>
    <s v="46 673 769.50"/>
    <s v="да"/>
    <s v="нет"/>
    <s v=""/>
    <s v=""/>
    <s v=""/>
    <s v=""/>
    <s v="нет"/>
  </r>
  <r>
    <s v="Газпромнефть-ГЕО, ООО"/>
    <s v="0000057796"/>
    <s v="Зарегистрирован"/>
    <d v="2021-07-15T00:00:00"/>
    <s v=""/>
    <x v="109"/>
    <s v="5003028148"/>
    <s v="№ ГЕО-19/10900/00266/Р "/>
    <s v=""/>
    <s v="2 "/>
    <s v="Нетиповой ДД"/>
    <x v="0"/>
    <s v=""/>
    <s v="00459-21"/>
    <s v=""/>
    <s v="Оказание услуг по обеспечению противофонтанной и газовой безопасности на скважинах (объектах) ООО «ГПН-ГЕО»"/>
    <s v="Оказание услуг по обеспечению противофонтанной и газовой безопасности на скважинах (объектах) ООО «ГПН-ГЕО»"/>
    <s v="Цурак Ю.Д."/>
    <s v="Цурак Ю.Д."/>
    <s v="Договорный документ"/>
    <s v="Отдел по промышленной и пожарной безопасности"/>
    <s v="Масалкин Ю.В."/>
    <s v="На бумажном носителе"/>
    <s v="С ограничением по срокам "/>
    <d v="2021-07-15T00:00:00"/>
    <d v="2021-12-31T00:00:00"/>
    <s v=""/>
    <s v="Услуги противофонтанных военизированных частей"/>
    <s v="Расходная часть"/>
    <s v="Рамочный"/>
    <s v="20%"/>
    <s v=""/>
    <s v=""/>
    <s v="347 413 114.80"/>
    <s v="289 510 929.00"/>
    <s v="57 902 185.80"/>
    <s v="нет"/>
    <s v="нет"/>
    <s v=""/>
    <s v=""/>
    <s v=""/>
    <s v=""/>
    <s v="нет"/>
  </r>
  <r>
    <s v="Газпромнефть-ГЕО, ООО"/>
    <s v="0000066314"/>
    <s v="Зарегистрирован"/>
    <d v="2022-05-30T00:00:00"/>
    <s v=""/>
    <x v="74"/>
    <s v="7202242358"/>
    <s v="АНГ-19/11513/00010/Р"/>
    <s v=""/>
    <s v="4"/>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59-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2-05-30T00:00:00"/>
    <d v="2024-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110951"/>
    <s v="Зарегистрирован"/>
    <d v="2023-08-31T00:00:00"/>
    <s v=""/>
    <x v="323"/>
    <s v="7722319952"/>
    <s v="ГЕО-23/10000/00094/Р"/>
    <s v=""/>
    <s v="1"/>
    <s v="Нетиповой ДД"/>
    <x v="3"/>
    <s v=""/>
    <s v="00459-23"/>
    <s v=""/>
    <s v="НАРЯД-ЗАКАЗ №1 к Договору № ГЕО-23/10000/00094/Р от 01.06.2023"/>
    <s v="Оформление земельных участков для объекта «Автозимник к разведочной скважине Км-4 (доотвод)»"/>
    <s v="Горев М.А."/>
    <s v=""/>
    <s v="Договорный документ"/>
    <s v="Управление маркшейдерско-землеустроительных работ"/>
    <s v="Трифонов А.В."/>
    <s v="ЭП"/>
    <s v="С ограничением по срокам "/>
    <d v="2023-09-01T00:00:00"/>
    <d v="2024-06-0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29 600.00"/>
    <s v="108 000.00"/>
    <s v="21 600.00"/>
    <s v="нет"/>
    <s v="нет"/>
    <s v=""/>
    <s v=""/>
    <s v=""/>
    <s v=""/>
    <s v="нет"/>
  </r>
  <r>
    <s v="Газпромнефть-ГЕО, ООО"/>
    <s v="0000087258"/>
    <s v="Зарегистрирован"/>
    <d v="2022-05-24T00:00:00"/>
    <s v=""/>
    <x v="324"/>
    <s v="5610133699"/>
    <s v=""/>
    <s v="ГЕО-22/33200/00114"/>
    <s v="ГЕО-22/33200/00114"/>
    <s v="Типовой ДД"/>
    <x v="1"/>
    <s v="33200 Соглашение об электронном документообороте"/>
    <s v="00460-22"/>
    <s v=""/>
    <s v="33200 Соглашение об электронном документообороте"/>
    <s v="Обмен электронными документами"/>
    <s v="Матвеев В.Н."/>
    <s v="Матвеев В.Н."/>
    <s v="Договорный документ"/>
    <s v="Отдел по работе с подрядными организациями и безопасности на транспорте"/>
    <s v="Масалкин Ю.В."/>
    <s v="На бумажном носителе"/>
    <s v="Без сроков "/>
    <d v="2022-05-24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98088"/>
    <s v="Зарегистрирован"/>
    <d v="2023-08-24T00:00:00"/>
    <s v=""/>
    <x v="305"/>
    <s v="3015092176"/>
    <s v="ГЕО-22/10000/00210/Р"/>
    <s v=""/>
    <s v="3"/>
    <s v="Нетиповой ДД"/>
    <x v="0"/>
    <s v=""/>
    <s v="00460-23"/>
    <s v=""/>
    <s v="ДС №3 к Договору № ГЕО-22/10000/00210/Р от 22.08.2022 г."/>
    <s v="Увеличение стоимости договора вследствие необходимости продления срока оказания услуг по освоению скважин Лескинского ЛУ по 31.12.2024 в рамках изменений производственной программы проекта «Енисей»."/>
    <s v="Безруков А.А."/>
    <s v="Конюх М.В."/>
    <s v="Договорный документ"/>
    <s v="Блок бурения и ВСР"/>
    <s v="Трифонов А.В."/>
    <s v="ЭП"/>
    <s v="До исполнения обязательств"/>
    <d v="2023-08-24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131670472.5"/>
    <s v="54 046 567.46"/>
    <s v="45 038 806.22"/>
    <s v="9 007 761.24"/>
    <s v="да"/>
    <s v="нет"/>
    <s v=""/>
    <s v=""/>
    <s v=""/>
    <s v=""/>
    <s v="нет"/>
  </r>
  <r>
    <s v="Газпромнефть-ГЕО, ООО"/>
    <s v="0000060956"/>
    <s v="Зарегистрирован"/>
    <d v="2021-07-26T00:00:00"/>
    <s v=""/>
    <x v="267"/>
    <s v="8911017194"/>
    <s v="ГЕО-19/10111/00141/Р"/>
    <s v=""/>
    <s v="5"/>
    <s v="Нетиповой ДД"/>
    <x v="0"/>
    <s v=""/>
    <s v="00461-21"/>
    <s v=""/>
    <s v="ДОПОЛНИТЕЛЬНОЕ СОГЛАШЕНИЕ № 5 к Договору № ГЕО-19/10111/00141/Р от 29.04.2019 г. по «ОБРАБОТКЕ И ИНТЕРПРЕТАЦИИ ДАННЫХ СЕЙСМОРАЗВЕДОЧНЫХ РАБОТ»"/>
    <s v="перевод НГО в ГО"/>
    <s v="Ахматгалиев С.З."/>
    <s v="Мурзин Р.Р."/>
    <s v="Договорный документ"/>
    <s v="Блок геологии и разработки"/>
    <s v="Аксенов М.А."/>
    <s v="На бумажном носителе"/>
    <s v="С ограничением по срокам "/>
    <d v="2021-07-26T00:00:00"/>
    <d v="2024-12-31T00:00:00"/>
    <s v="Д-3"/>
    <s v="Обработка и интерпретация сейсмических данных 3Д, 2Д"/>
    <s v="Не предполагает взаиморасчетов"/>
    <s v=""/>
    <s v=""/>
    <s v=""/>
    <s v=""/>
    <s v=""/>
    <s v=""/>
    <s v=""/>
    <s v="нет"/>
    <s v="нет"/>
    <s v=""/>
    <s v=""/>
    <s v=""/>
    <s v=""/>
    <s v="нет"/>
  </r>
  <r>
    <s v="Газпромнефть-ГЕО, ООО"/>
    <s v="0000008602"/>
    <s v="Закрыт"/>
    <d v="2022-04-01T00:00:00"/>
    <s v=""/>
    <x v="32"/>
    <s v="5504036333"/>
    <s v="ГЕО-21/00000/00144/Д"/>
    <s v=""/>
    <s v="1"/>
    <s v="Нетиповой ДД"/>
    <x v="0"/>
    <s v=""/>
    <s v="00461-22"/>
    <s v=""/>
    <s v="Дополнительное соглашение №1"/>
    <s v="Дополнительное соглашение №1"/>
    <s v="Андреева И.В."/>
    <s v="Любимов Д.В."/>
    <s v="Договорный документ"/>
    <s v="Управление экономического планирования и анализа"/>
    <s v="Аксенов М.А."/>
    <s v="На бумажном носителе"/>
    <s v="Без сроков "/>
    <d v="2022-04-01T00:00:00"/>
    <s v=""/>
    <s v=""/>
    <s v="Договор возмездного оказания услуг"/>
    <s v="Не предполагает взаиморасчетов"/>
    <s v=""/>
    <s v=""/>
    <s v=""/>
    <s v=""/>
    <s v=""/>
    <s v=""/>
    <s v=""/>
    <s v="нет"/>
    <s v="нет"/>
    <s v=""/>
    <s v=""/>
    <s v=""/>
    <s v=""/>
    <s v="нет"/>
  </r>
  <r>
    <s v="Газпромнефть-ГЕО, ООО"/>
    <s v=""/>
    <s v="Проект"/>
    <s v=""/>
    <s v=""/>
    <x v="58"/>
    <s v=""/>
    <s v=""/>
    <s v=""/>
    <s v=""/>
    <s v=""/>
    <x v="6"/>
    <s v=""/>
    <s v="00461-23"/>
    <s v=""/>
    <s v=""/>
    <s v=""/>
    <s v="Покатов О.Н."/>
    <s v=""/>
    <s v="Договорный документ"/>
    <s v="Блок снабжения и закупок"/>
    <s v=""/>
    <s v=""/>
    <s v=""/>
    <s v=""/>
    <s v=""/>
    <s v=""/>
    <s v=""/>
    <s v=""/>
    <s v=""/>
    <s v=""/>
    <s v=""/>
    <s v=""/>
    <s v=""/>
    <s v=""/>
    <s v=""/>
    <s v="нет"/>
    <s v="нет"/>
    <s v=""/>
    <s v=""/>
    <s v=""/>
    <s v=""/>
    <s v="нет"/>
  </r>
  <r>
    <s v="Газпромнефть-ГЕО, ООО"/>
    <s v=""/>
    <s v="Закрыт"/>
    <d v="2021-07-26T00:00:00"/>
    <s v=""/>
    <x v="325"/>
    <s v=""/>
    <s v=""/>
    <s v="ГЕО-21/26000/00172"/>
    <s v="ГЕО-21/26000/00172"/>
    <s v="Нетиповой ДД"/>
    <x v="2"/>
    <s v=""/>
    <s v="00462-21"/>
    <s v=""/>
    <s v="Договор о конфиденциальности к договору ГПХ Кузнецов В.А."/>
    <s v="Договор о конфиденциальности к договору ГПХ Кузнецов В.А."/>
    <s v="Рябикина М.А."/>
    <s v="Рябикина М.А. - Контрактный инженер по услугам капитального строительства - Управление закупок работ и услуг;"/>
    <s v="Договорный документ"/>
    <s v="Блок по закупкам"/>
    <s v="Созинов С.А."/>
    <s v="На бумажном носителе"/>
    <s v="Без сроков "/>
    <d v="2021-07-26T00:00:00"/>
    <s v=""/>
    <s v=""/>
    <s v="Соглашение о конфиденциальности"/>
    <s v="Не предполагает взаиморасчетов"/>
    <s v=""/>
    <s v=""/>
    <s v=""/>
    <s v=""/>
    <s v=""/>
    <s v=""/>
    <s v=""/>
    <s v="нет"/>
    <s v="нет"/>
    <s v=""/>
    <s v=""/>
    <s v=""/>
    <s v=""/>
    <s v="нет"/>
  </r>
  <r>
    <s v="Газпромнефть-ГЕО, ООО"/>
    <s v="0000073438"/>
    <s v="Зарегистрирован"/>
    <d v="2022-05-01T00:00:00"/>
    <s v=""/>
    <x v="68"/>
    <s v="7720330291"/>
    <s v="ГЕО-21/08000/00296/Р"/>
    <s v=""/>
    <s v="1"/>
    <s v="Нетиповой ДД"/>
    <x v="7"/>
    <s v=""/>
    <s v="00462-22"/>
    <s v=""/>
    <s v="Заявка №1 к Договору № ГЕО-21/08000/00296/Р от «28» декабря 2021 г."/>
    <s v="Оказание услуг по информационно-аналитическому и практическому ведению недропользования на участках недр в периметре лицензионного портфеля"/>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5-01T00:00:00"/>
    <d v="2022-12-31T00:00:00"/>
    <s v="Д-54"/>
    <s v="Договор на выполнение НИР, ОКР и технологических работ"/>
    <s v="Расходная часть"/>
    <s v="Стоимостной"/>
    <s v="20%"/>
    <s v=""/>
    <s v=""/>
    <s v="46 440 000.00"/>
    <s v="38 700 000.00"/>
    <s v="7 740 000.00"/>
    <s v="нет"/>
    <s v="нет"/>
    <s v=""/>
    <s v=""/>
    <s v=""/>
    <s v=""/>
    <s v="нет"/>
  </r>
  <r>
    <s v="Газпромнефть-ГЕО, ООО"/>
    <s v="0000067067"/>
    <s v="Зарегистрирован"/>
    <d v="2023-08-28T00:00:00"/>
    <s v=""/>
    <x v="85"/>
    <s v="7816483740"/>
    <s v="ГЕО-19/09000/00303/Р"/>
    <s v=""/>
    <s v="4"/>
    <s v="Нетиповой ДД"/>
    <x v="8"/>
    <s v=""/>
    <s v="00462-23"/>
    <s v=""/>
    <s v="Наряд-задание № 4 к договору ГЕО-19/09000/00303/Р от 15.11.2019"/>
    <s v="Организации работы здравпунктов и оказанию медицинских услуг с компанией ООО «ММЦ Профмедицина» (Оморинский ЛУ),"/>
    <s v="Покатов О.Н."/>
    <s v=""/>
    <s v="Договорный документ"/>
    <s v="Блок снабжения и закупок"/>
    <s v="Михайлов Ю.А."/>
    <s v="ЭП"/>
    <s v="До исполнения обязательств"/>
    <d v="2023-09-01T00:00:00"/>
    <s v=""/>
    <s v="Д-2"/>
    <s v="Договор возмездного оказания услуг"/>
    <s v="Расходная часть"/>
    <s v="Стоимостной"/>
    <s v="20%"/>
    <s v=""/>
    <s v=""/>
    <s v="13 026 062.16"/>
    <s v="10 855 051.80"/>
    <s v="2 171 010.36"/>
    <s v="нет"/>
    <s v="нет"/>
    <s v=""/>
    <s v=""/>
    <s v=""/>
    <s v=""/>
    <s v="нет"/>
  </r>
  <r>
    <s v="Газпромнефть-ГЕО, ООО"/>
    <s v=""/>
    <s v="Закрыт"/>
    <d v="2021-07-26T00:00:00"/>
    <s v=""/>
    <x v="325"/>
    <s v=""/>
    <s v=""/>
    <s v="ГЕО-21/25000/00171/Р"/>
    <s v="ГЕО-21/25000/00171/Р"/>
    <s v="Типовой ДД"/>
    <x v="2"/>
    <s v="25000 Договор об оказании услуг физическим лицом (без выезда на Лицензионные участки Заказчика)"/>
    <s v="00463-21"/>
    <s v=""/>
    <s v="25000 Договор об оказании услуг физическим лицом (без выезда на Лицензионные участки Заказчика)"/>
    <s v="Организация практики студентов программы дополнительного обучения функции «ЗАКУПКИ» "/>
    <s v="Рябикина М.А."/>
    <s v="Рябикина М.А. - Контрактный инженер по услугам капитального строительства - Управление закупок работ и услуг; "/>
    <s v="Договорный документ"/>
    <s v="Блок по закупкам"/>
    <s v="Титов А.В."/>
    <s v="На бумажном носителе"/>
    <s v="С ограничением по срокам "/>
    <d v="2021-08-09T00:00:00"/>
    <d v="2021-09-05T00:00:00"/>
    <s v="Д-11"/>
    <s v="Договор оказания услуг с физическим лицом"/>
    <s v="Расходная часть"/>
    <s v="Стоимостной"/>
    <s v="13%"/>
    <s v=""/>
    <s v=""/>
    <s v="11 300.00"/>
    <s v="9 831.00"/>
    <s v="1 469.00"/>
    <s v="нет"/>
    <s v="нет"/>
    <s v=""/>
    <s v=""/>
    <s v=""/>
    <s v=""/>
    <s v="нет"/>
  </r>
  <r>
    <s v="Газпромнефть-ГЕО, ООО"/>
    <s v="0000027645"/>
    <s v="Зарегистрирован"/>
    <d v="2022-05-25T00:00:00"/>
    <s v=""/>
    <x v="80"/>
    <s v="5501072608"/>
    <s v="ГЕО-21/10000/00302/Р"/>
    <s v=""/>
    <s v="1"/>
    <s v="Нетиповой ДД"/>
    <x v="0"/>
    <s v=""/>
    <s v="00463-22"/>
    <s v=""/>
    <s v="ДС № 1 к Договору на оказание услуг складской и транспортной логистики (проект «Титан») № ГЕО-21/10000/00302/Р от 31.12.2021г."/>
    <s v="1. Перевод негарантированного объема работ в гарантированный по доставке МТР для обеспечения возможности завоза МТР компании ООО &quot;Технологическая Компания Шлюмберже&quot;,_x000d__x000a_2. Включение тарифа на оплату мобилизации и демобилизации в рамках проведения ОПИ ТС КАМАЗ Арктика._x000d__x000a_3. Увеличение завоза генерального груза в период действия зимних автопрорездов (габаритное оборудование, прочие ТМЦ)"/>
    <s v="Рябикина М.А."/>
    <s v="Нежальских В.А."/>
    <s v="Договорный документ"/>
    <s v="Блок снабжения и закупок"/>
    <s v="Титов А.В."/>
    <s v="На бумажном носителе"/>
    <s v="С ограничением по срокам "/>
    <d v="2022-05-25T00:00:00"/>
    <d v="2022-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n v="0.01"/>
    <n v="0.01"/>
    <n v="0"/>
    <s v="нет"/>
    <s v="нет"/>
    <s v=""/>
    <s v=""/>
    <s v=""/>
    <s v=""/>
    <s v="нет"/>
  </r>
  <r>
    <s v="Газпромнефть-ГЕО, ООО"/>
    <s v="0000084590"/>
    <s v="Зарегистрирован"/>
    <d v="2023-08-31T00:00:00"/>
    <s v=""/>
    <x v="61"/>
    <s v="7708277130"/>
    <s v=""/>
    <s v="ГЕО-23/33200/00150"/>
    <s v="ГЕО-23/33200/00150"/>
    <s v="Типовой ДД"/>
    <x v="1"/>
    <s v="33200 Соглашение об электронном документообороте"/>
    <s v="00463-23"/>
    <s v=""/>
    <s v="33200 Соглашение об электронном документообороте"/>
    <s v="Применение ЭДО с Подрядчиком"/>
    <s v="Безруков А.А."/>
    <s v="Фокин Е.В."/>
    <s v="Договорный документ"/>
    <s v="Блок производственной безопасности"/>
    <s v="Аксенов М.А."/>
    <s v="ЭП"/>
    <s v="С ограничением по срокам "/>
    <d v="2023-08-31T00:00:00"/>
    <d v="2024-08-31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крыт"/>
    <d v="2021-08-01T00:00:00"/>
    <s v=""/>
    <x v="326"/>
    <s v=""/>
    <s v=""/>
    <s v="ГЕО-21/09000/00167/Р"/>
    <s v="ГЕО-21/09000/00167/Р"/>
    <s v="Нетиповой ДД"/>
    <x v="2"/>
    <s v=""/>
    <s v="00464-21"/>
    <s v=""/>
    <s v="Договор комплексного правового сопровождения "/>
    <s v="Комплексное правовое сопровождение деятельности ГПН-ГЕО"/>
    <s v="Цветков Д.В."/>
    <s v="Цветков Д.В."/>
    <s v="Договорный документ"/>
    <s v="Юридическая служба"/>
    <s v="Масалкин Ю.В."/>
    <s v="На бумажном носителе"/>
    <s v="С ограничением по срокам "/>
    <d v="2021-08-01T00:00:00"/>
    <d v="2022-12-31T00:00:00"/>
    <s v=""/>
    <s v="Договор возмездного оказания услуг"/>
    <s v="Расходная часть"/>
    <s v="Стоимостной"/>
    <s v="20%"/>
    <s v=""/>
    <s v=""/>
    <s v="16 401 118.98"/>
    <s v="13 667 599.15"/>
    <s v="2 733 519.83"/>
    <s v="нет"/>
    <s v="нет"/>
    <s v=""/>
    <s v=""/>
    <s v=""/>
    <s v=""/>
    <s v="нет"/>
  </r>
  <r>
    <s v="Газпромнефть-ГЕО, ООО"/>
    <s v="0000091163"/>
    <s v="Зарегистрирован"/>
    <d v="2022-05-26T00:00:00"/>
    <s v=""/>
    <x v="149"/>
    <s v="5001063958"/>
    <s v="ГЕО-21/11505/00195/Р"/>
    <s v=""/>
    <s v="3"/>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64-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едение электронного документоборота"/>
    <s v="Хохлов А.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2-05-27T00:00:00"/>
    <d v="2024-12-31T00:00:00"/>
    <s v="Д-61"/>
    <s v="Аэрофотосъемка, космическая съемка. Создание ортофотопланов"/>
    <s v="Не предполагает взаиморасчетов"/>
    <s v="Рамочный"/>
    <s v=""/>
    <s v=""/>
    <s v=""/>
    <s v=""/>
    <s v=""/>
    <s v=""/>
    <s v="нет"/>
    <s v="нет"/>
    <s v=""/>
    <s v=""/>
    <s v=""/>
    <s v=""/>
    <s v="нет"/>
  </r>
  <r>
    <s v="Газпромнефть-ГЕО, ООО"/>
    <s v=""/>
    <s v="Проект"/>
    <s v=""/>
    <s v=""/>
    <x v="58"/>
    <s v=""/>
    <s v=""/>
    <s v=""/>
    <s v=""/>
    <s v=""/>
    <x v="6"/>
    <s v=""/>
    <s v="00464-23"/>
    <s v=""/>
    <s v=""/>
    <s v=""/>
    <s v="Покатов О.Н."/>
    <s v=""/>
    <s v="Договорный документ"/>
    <s v="Блок снабжения и закупок"/>
    <s v=""/>
    <s v=""/>
    <s v=""/>
    <s v=""/>
    <s v=""/>
    <s v=""/>
    <s v=""/>
    <s v=""/>
    <s v=""/>
    <s v=""/>
    <s v=""/>
    <s v=""/>
    <s v=""/>
    <s v=""/>
    <s v=""/>
    <s v="нет"/>
    <s v="нет"/>
    <s v=""/>
    <s v=""/>
    <s v=""/>
    <s v=""/>
    <s v="нет"/>
  </r>
  <r>
    <s v="Газпромнефть-ГЕО, ООО"/>
    <s v="0000045789"/>
    <s v="Закрыт"/>
    <d v="2022-06-07T00:00:00"/>
    <s v=""/>
    <x v="16"/>
    <s v="7838395487"/>
    <s v=""/>
    <s v="ГЕО-22/08000/00135/Р"/>
    <s v="ГЕО-22/08000/00135/Р"/>
    <s v="Нетиповой ДД"/>
    <x v="2"/>
    <s v=""/>
    <s v="00465-22"/>
    <s v=""/>
    <s v="Приобретение прав на «Зеленую сейсмику 2.0»"/>
    <s v="Приобретение в полном объеме исключительных прав на Ноу-хау созданное в рамках технологического проекта «Зеленая сейсмика 2.0», объект авторского права и право на получение патента на Изобретение, принадлежащее Правообладателю"/>
    <s v="Коротков С.П."/>
    <s v=""/>
    <s v="Договорный документ"/>
    <s v="Управление по разработке"/>
    <s v="Аксенов М.А."/>
    <s v="На бумажном носителе"/>
    <s v="До исполнения обязательств"/>
    <d v="2022-06-07T00:00:00"/>
    <s v=""/>
    <s v="Д-54"/>
    <s v="Договор на выполнение НИР, ОКР и технологических работ"/>
    <s v="Расходная часть"/>
    <s v="Стоимостной"/>
    <s v="иное"/>
    <s v="20,00"/>
    <s v=""/>
    <s v="77 092 078.80"/>
    <s v="73 578 526.57"/>
    <s v="3 513 552.23"/>
    <s v="нет"/>
    <s v="нет"/>
    <s v=""/>
    <s v=""/>
    <s v=""/>
    <s v=""/>
    <s v="нет"/>
  </r>
  <r>
    <s v="Газпромнефть-ГЕО, ООО"/>
    <s v="0000058271"/>
    <s v="Зарегистрирован"/>
    <d v="2023-08-28T00:00:00"/>
    <s v=""/>
    <x v="42"/>
    <s v="7725696878"/>
    <s v="ГЕО-19/11708/00133/Р"/>
    <s v=""/>
    <s v="24"/>
    <s v="Нетиповой ДД"/>
    <x v="3"/>
    <s v=""/>
    <s v="00465-23"/>
    <s v=""/>
    <s v="Совершенствование петрофизической модели Ачимовской толщи в Западной Сибири с учетом требований гипотез НИР-Насыщение"/>
    <s v=" сопровождение работ по лабораторным исследования керна и оперативное использование материалов для совершенствования ПФМ"/>
    <s v="Ябиров Р.З."/>
    <s v=""/>
    <s v="Договорный документ"/>
    <s v="Блок геологии и разработки"/>
    <s v="Аксенов М.А."/>
    <s v="На бумажном носителе"/>
    <s v="С ограничением по срокам "/>
    <d v="2023-08-28T00:00:00"/>
    <d v="2023-12-29T00:00:00"/>
    <s v="Д-54"/>
    <s v="Договор на выполнение НИР, ОКР и технологических работ"/>
    <s v="Расходная часть"/>
    <s v="Рамочный"/>
    <s v="20%"/>
    <s v=""/>
    <s v=""/>
    <s v="6 880 705.20"/>
    <s v="5 733 921.00"/>
    <s v="1 146 784.20"/>
    <s v="нет"/>
    <s v="нет"/>
    <s v=""/>
    <s v=""/>
    <s v=""/>
    <s v=""/>
    <s v="нет"/>
  </r>
  <r>
    <s v="Газпромнефть-ГЕО, ООО"/>
    <s v="0000027645"/>
    <s v="Зарегистрирован"/>
    <d v="2021-07-22T00:00:00"/>
    <s v=""/>
    <x v="80"/>
    <s v="5501072608"/>
    <s v="ГЕО-18/10001/00082/Р"/>
    <s v=""/>
    <s v="7"/>
    <s v="Нетиповой ДД"/>
    <x v="0"/>
    <s v=""/>
    <s v="00466-21"/>
    <s v=""/>
    <s v="ДС № 7 изменение ПиВОР и перечня ШС к договору № ГЕО-18/10001/00082/Р-ГСН-19/10001/00244/Д/ТМН-13 от «29» декабря 2018г."/>
    <s v="административные изменения условий договора на основании приказа 72-П от 03.07.2020 и приказа 85-П от 07.06.2021"/>
    <s v="Рябикина М.А."/>
    <s v="Гусаков Валентин Владимирович"/>
    <s v="Договорный документ"/>
    <s v="Блок по закупкам"/>
    <s v="Титов А.В."/>
    <s v="На бумажном носителе"/>
    <s v="С ограничением по срокам "/>
    <d v="2021-07-22T00:00:00"/>
    <d v="2021-12-31T00:00:00"/>
    <s v="Д-11"/>
    <s v="Услуги складской и транспортной логистики. (Оказываемые услуги для ДО БРД)"/>
    <s v="Не предполагает взаиморасчетов"/>
    <s v=""/>
    <s v=""/>
    <s v=""/>
    <s v=""/>
    <s v=""/>
    <s v=""/>
    <s v=""/>
    <s v="нет"/>
    <s v="нет"/>
    <s v=""/>
    <s v=""/>
    <s v=""/>
    <s v=""/>
    <s v="нет"/>
  </r>
  <r>
    <s v="Газпромнефть-ГЕО, ООО"/>
    <s v="0000066514"/>
    <s v="Зарегистрирован"/>
    <d v="2022-05-26T00:00:00"/>
    <s v=""/>
    <x v="175"/>
    <s v="7725741143"/>
    <s v="ГЕО-21/11513/00019/Р "/>
    <s v=""/>
    <s v="3"/>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66-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2-05-26T00:00:00"/>
    <d v="2023-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58271"/>
    <s v="Зарегистрирован"/>
    <d v="2023-09-12T00:00:00"/>
    <s v=""/>
    <x v="42"/>
    <s v="7725696878"/>
    <s v="ГЕО-19/11708/00133/Р от 25.06.2019"/>
    <s v=""/>
    <s v="23"/>
    <s v="Нетиповой ДД"/>
    <x v="3"/>
    <s v=""/>
    <s v="00466-23"/>
    <s v=""/>
    <s v="Заказ-Наряд №23 к договору №ГЕО-19/11708/00133/Р от 25.06.2019"/>
    <s v="Детализация модели и оценка потенциала расширения Чонского кластера"/>
    <s v="Коротков С.П."/>
    <s v=""/>
    <s v="Договорный документ"/>
    <s v="Управление по разработке"/>
    <s v="Аксенов М.А."/>
    <s v="ЭП"/>
    <s v="С ограничением по срокам "/>
    <d v="2023-08-30T00:00:00"/>
    <d v="2023-12-25T00:00:00"/>
    <s v="Д-54"/>
    <s v="НИОКР, НИР прочие"/>
    <s v="Расходная часть"/>
    <s v="Рамочный"/>
    <s v="20%"/>
    <s v=""/>
    <s v=""/>
    <s v="107 563 927.20"/>
    <s v="89 636 606.00"/>
    <s v="17 927 321.20"/>
    <s v="нет"/>
    <s v="нет"/>
    <s v=""/>
    <s v=""/>
    <s v=""/>
    <s v=""/>
    <s v="нет"/>
  </r>
  <r>
    <s v="Газпромнефть-ГЕО, ООО"/>
    <s v="0000045789"/>
    <s v="Зарегистрирован"/>
    <d v="2021-07-23T00:00:00"/>
    <s v=""/>
    <x v="16"/>
    <s v="7838395487"/>
    <s v="НТЦ-18/29000/01335/Д-ГЕО/ГЕО-19/10124/00001 "/>
    <s v=""/>
    <s v="НТЦ-00765-21Д-ГЕО"/>
    <s v="Нетиповой ДД"/>
    <x v="3"/>
    <s v=""/>
    <s v="00467-21"/>
    <s v=""/>
    <s v="Расчет технологических апсайдов и учет альтернативных подходов к разработке для повышения эффективности реализации проекта Чона"/>
    <s v="Консолидация ресурсной базы проекта Чона на основе ранее выполненных работ по созданию сейсмогеологических моделей терригенных и карбонатных залежей"/>
    <s v="Ябиров Р.З."/>
    <s v=""/>
    <s v="Договорный документ"/>
    <s v="Блок геологии и разработки"/>
    <s v="Аксенов М.А."/>
    <s v="На бумажном носителе"/>
    <s v="С ограничением по срокам "/>
    <d v="2021-07-23T00:00:00"/>
    <d v="2021-12-31T00:00:00"/>
    <s v="Д-3"/>
    <s v="НИОКР, НИР в области геологии и разработки месторождений"/>
    <s v="Расходная часть"/>
    <s v="Рамочный"/>
    <s v="20%"/>
    <s v=""/>
    <s v=""/>
    <s v="40 741 920.00"/>
    <s v="33 951 600.00"/>
    <s v="6 790 320.00"/>
    <s v="нет"/>
    <s v="нет"/>
    <s v=""/>
    <s v=""/>
    <s v=""/>
    <s v=""/>
    <s v="нет"/>
  </r>
  <r>
    <s v="Газпромнефть-ГЕО, ООО"/>
    <s v="0000087258"/>
    <s v="Зарегистрирован"/>
    <d v="2022-05-26T00:00:00"/>
    <s v=""/>
    <x v="324"/>
    <s v="5610133699"/>
    <s v="ГЕО-20/11118/00069/Р"/>
    <s v=""/>
    <s v="1"/>
    <s v="Нетиповой ДД"/>
    <x v="0"/>
    <s v=""/>
    <s v="00467-22"/>
    <s v=""/>
    <s v="Дополнительное соглашение №1"/>
    <s v="Предоставление удаленного доступа к информационным ресурсам (СУДИР)"/>
    <s v="Матвеев В.Н."/>
    <s v="Матвеев В.Н."/>
    <s v="Договорный документ"/>
    <s v="Отдел по работе с подрядными организациями и безопасности на транспорте"/>
    <s v="Масалкин Ю.В."/>
    <s v="На бумажном носителе"/>
    <s v="С ограничением по срокам "/>
    <d v="2022-05-26T00:00:00"/>
    <d v="2022-12-31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3129"/>
    <s v="Зарегистрирован"/>
    <d v="2023-08-31T00:00:00"/>
    <s v=""/>
    <x v="94"/>
    <s v="5603032851"/>
    <s v="ГЕО-22/10968/00279/Р"/>
    <s v=""/>
    <s v="2"/>
    <s v="Нетиповой ДД"/>
    <x v="3"/>
    <s v=""/>
    <s v="00467-23"/>
    <s v=""/>
    <s v="Наряд-заказ №2 к договору ГЕО-22/10968/00279/Р от 31.10.2022"/>
    <s v="Организация работы по утилизации отходов бурения на скв. Солнечного ЛУ с компанией ООО &quot;Велес&quot;"/>
    <s v="Покатов О.Н."/>
    <s v="Покатов О.Н."/>
    <s v="Договорный документ"/>
    <s v="Блок снабжения и закупок"/>
    <s v="Михайлов Ю.А."/>
    <s v="ЭП"/>
    <s v="До исполнения обязательств"/>
    <d v="2023-08-31T00:00:00"/>
    <s v=""/>
    <s v="Д-2"/>
    <s v="Вывоз, транспортировка и размещение отходов производственной деятельности"/>
    <s v="Расходная часть"/>
    <s v="Рамочный"/>
    <s v="20%"/>
    <s v=""/>
    <s v=""/>
    <s v="6 243 456.41"/>
    <s v="5 202 880.34"/>
    <s v="1 040 576.07"/>
    <s v="нет"/>
    <s v="нет"/>
    <s v=""/>
    <s v=""/>
    <s v=""/>
    <s v=""/>
    <s v="нет"/>
  </r>
  <r>
    <s v="Газпромнефть-ГЕО, ООО"/>
    <s v="0000095835"/>
    <s v="Зарегистрирован"/>
    <d v="2024-08-20T00:00:00"/>
    <s v=""/>
    <x v="261"/>
    <s v="7729076392"/>
    <s v=""/>
    <s v="ГЕО-24/36000/00147/Р"/>
    <s v="ГЕО-24/36000/00147/Р"/>
    <s v="Нетиповой ДД"/>
    <x v="2"/>
    <s v=""/>
    <s v="00467-24"/>
    <s v=""/>
    <s v="Сублицензионный договор "/>
    <s v="Закупка лицензии Agisoft Metashape "/>
    <s v="Попов В.А."/>
    <s v="Попов В.А."/>
    <s v="Договорный документ"/>
    <s v="Блок геологии и разработки"/>
    <s v="Аксенов М.А."/>
    <s v="ЭП"/>
    <s v="До исполнения обязательств"/>
    <d v="2024-08-20T00:00:00"/>
    <s v=""/>
    <s v="Д-54"/>
    <s v="Сублицензионный договор"/>
    <s v="Расходная часть"/>
    <s v="Стоимостной"/>
    <s v="без НДС"/>
    <s v=""/>
    <s v=""/>
    <s v="314 500.00"/>
    <s v="314 500.00"/>
    <n v="0"/>
    <s v="нет"/>
    <s v="нет"/>
    <s v=""/>
    <s v=""/>
    <s v=""/>
    <s v=""/>
    <s v="нет"/>
  </r>
  <r>
    <s v="Газпромнефть-ГЕО, ООО"/>
    <s v="0000045789"/>
    <s v="Зарегистрирован"/>
    <d v="2021-07-23T00:00:00"/>
    <s v=""/>
    <x v="16"/>
    <s v="7838395487"/>
    <s v="ГЕО-19/10124/00001/Р от 09.01.2019"/>
    <s v=""/>
    <s v="НТЦ-00208-21Д-ГЕО"/>
    <s v="Нетиповой ДД"/>
    <x v="3"/>
    <s v=""/>
    <s v="00468-21"/>
    <s v=""/>
    <s v="Заказ №НТЦ-00208-21Д-ГЕО к договору №ГЕО-19/10124/00001/Р от 09.01.2019"/>
    <s v="Научно исследовательские работы для формирования предварительной базовой интегрированной концепции разработки в периметре Западных участков территории деятельности АО «Газпромнефть ННГ»"/>
    <s v="Коротков С.П."/>
    <s v=""/>
    <s v="Договорный документ"/>
    <s v="Управление по разработке"/>
    <s v="Аксенов М.А."/>
    <s v="На бумажном носителе"/>
    <s v="С ограничением по срокам "/>
    <d v="2021-07-23T00:00:00"/>
    <d v="2021-12-31T00:00:00"/>
    <s v="Д-3"/>
    <s v="НИОКР, НИР прочие"/>
    <s v="Расходная часть"/>
    <s v="Рамочный"/>
    <s v="20%"/>
    <s v=""/>
    <s v=""/>
    <s v="68 989 800.00"/>
    <s v="57 491 500.00"/>
    <s v="11 498 300.00"/>
    <s v="нет"/>
    <s v="нет"/>
    <s v=""/>
    <s v=""/>
    <s v=""/>
    <s v=""/>
    <s v="нет"/>
  </r>
  <r>
    <s v="Газпромнефть-ГЕО, ООО"/>
    <s v="0000049191"/>
    <s v="Зарегистрирован"/>
    <d v="2022-06-01T00:00:00"/>
    <s v=""/>
    <x v="0"/>
    <s v="7729058675"/>
    <s v=""/>
    <s v="ГЕО-22/33200/00112"/>
    <s v="ГЕО-22/33200/00112"/>
    <s v="Типовой ДД"/>
    <x v="1"/>
    <s v="33200 Соглашение об электронном документообороте"/>
    <s v="00468-22"/>
    <s v=""/>
    <s v="33200 Соглашение об электронном документообороте"/>
    <s v="Переход на ЭДО"/>
    <s v="Сорокин И.М."/>
    <s v=""/>
    <s v="Договорный документ"/>
    <s v="Блок геологии и разработки"/>
    <s v="Аксенов М.А."/>
    <s v="На бумажном носителе"/>
    <s v="Без сроков "/>
    <d v="2022-06-01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регистрирован"/>
    <d v="2023-09-01T00:00:00"/>
    <s v=""/>
    <x v="327"/>
    <s v=""/>
    <s v=""/>
    <s v="ГЕО-23/04500/00151/Р"/>
    <s v="ГЕО-23/04500/00151/Р"/>
    <s v="Нетиповой ДД"/>
    <x v="2"/>
    <s v=""/>
    <s v="00468-23"/>
    <s v=""/>
    <s v="Договор субаренды нежилого помещения"/>
    <s v=" Арендатор обязуется передать Субарендатору за плату во временное владение и пользование часть следующего нежилого помещения общей площадью 26,05 кв.м., в том числе МОП 8,25 кв.м. (далее – Помещение), расположенного на 6 (шестом) этаже в здании (сооружении) по адресу: город Санкт-Петербург, Синопская набережная, дом 22, литер А, кадастровый номер 78:31:0001455:2446. "/>
    <s v="Сергель О.Г."/>
    <s v="Сергель О.Г."/>
    <s v="Договорный документ"/>
    <s v="Отдел административной поддержки бизнеса"/>
    <s v="Буракова О.В."/>
    <s v="На бумажном носителе"/>
    <s v="С ограничением по срокам "/>
    <d v="2023-09-01T00:00:00"/>
    <d v="2024-07-31T00:00:00"/>
    <s v="Д-33"/>
    <s v="Договор субаренды недвижимости"/>
    <s v="Расходная часть"/>
    <s v="Стоимостной"/>
    <s v="20%"/>
    <s v=""/>
    <s v=""/>
    <s v="1 279 504.51"/>
    <s v="1 066 253.76"/>
    <s v="213 250.75"/>
    <s v="нет"/>
    <s v="нет"/>
    <s v=""/>
    <s v=""/>
    <s v=""/>
    <s v=""/>
    <s v="нет"/>
  </r>
  <r>
    <s v="Газпромнефть-ГЕО, ООО"/>
    <s v="0000117178"/>
    <s v="Зарегистрирован"/>
    <d v="2024-08-06T00:00:00"/>
    <s v=""/>
    <x v="306"/>
    <s v="8610017930"/>
    <s v=""/>
    <s v="ГЕО-24/33100/00137"/>
    <s v="ГЕО-24/33100/00137"/>
    <s v="Типовой ДД"/>
    <x v="1"/>
    <s v="33100 Соглашение в области производственной безопасности"/>
    <s v="00468-24"/>
    <s v=""/>
    <s v="33100 Соглашение в области производственной безопасности с ООО &quot;АСТ&quot;"/>
    <s v="Организация безопасности проведения работ согласно обновлённой политике компании в области ПБ"/>
    <s v="Васильева А.И."/>
    <s v="Копылов Е.О."/>
    <s v="Договорный документ"/>
    <s v="Блок производственной безопасности"/>
    <s v="Михайлов Ю.А."/>
    <s v="ЭП"/>
    <s v="Без сроков "/>
    <d v="2024-08-06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Закрыт"/>
    <d v="2021-07-12T00:00:00"/>
    <s v=""/>
    <x v="328"/>
    <s v=""/>
    <s v=""/>
    <s v="ГЕО-21/10926/00175/Р"/>
    <s v="ГЕО-21/10926/00175/Р"/>
    <s v="Нетиповой ДД"/>
    <x v="2"/>
    <s v=""/>
    <s v="00469-21"/>
    <s v=""/>
    <s v="Обучение руководителей и специалистов ООО «ГПН-ГЕО» оказанию первой помощи пострадавшим на производстве"/>
    <s v="Обучение руководителей и специалистов ООО «ГПН-ГЕО» оказанию первой помощи пострадавшим на производстве"/>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1-07-12T00:00:00"/>
    <d v="2021-12-31T00:00:00"/>
    <s v=""/>
    <s v="Обучение по промышленной, экологической безопасности и охране труда"/>
    <s v="Расходная часть"/>
    <s v="Стоимостной"/>
    <s v="без НДС"/>
    <s v=""/>
    <s v=""/>
    <s v="52 000.00"/>
    <s v="52 000.00"/>
    <n v="0"/>
    <s v="нет"/>
    <s v="нет"/>
    <s v=""/>
    <s v=""/>
    <s v=""/>
    <s v=""/>
    <s v="нет"/>
  </r>
  <r>
    <s v="Газпромнефть-ГЕО, ООО"/>
    <s v="0000037860"/>
    <s v="Зарегистрирован"/>
    <d v="2023-08-21T00:00:00"/>
    <s v=""/>
    <x v="20"/>
    <s v="7714024384"/>
    <s v="ГЕО-23/10318/00010/Р+ ПР + ПУР"/>
    <s v=""/>
    <s v="1"/>
    <s v="Нетиповой ДД"/>
    <x v="3"/>
    <s v=""/>
    <s v="00469-23"/>
    <s v=""/>
    <s v="Наряд-заказ №1 на отбор керна Оморинский ЛУ"/>
    <s v="Оказание услуг по отбору керна на Оморинском ЛУ"/>
    <s v="Ушакова М.А."/>
    <s v=""/>
    <s v="Договорный документ"/>
    <s v="Блок геологии и разработки"/>
    <s v="Аксенов М.А."/>
    <s v="ЭП"/>
    <s v="С ограничением по срокам "/>
    <d v="2023-08-21T00:00:00"/>
    <d v="2027-12-31T00:00:00"/>
    <s v=""/>
    <s v="Отбор керна при бурении и реконструкции скважин"/>
    <s v="Расходная часть"/>
    <s v="Рамочный"/>
    <s v="20%"/>
    <s v=""/>
    <s v=""/>
    <s v="15 343 178.51"/>
    <s v="12 785 982.09"/>
    <s v="2 557 196.42"/>
    <s v="нет"/>
    <s v="нет"/>
    <s v=""/>
    <s v=""/>
    <s v=""/>
    <s v=""/>
    <s v="нет"/>
  </r>
  <r>
    <s v="Газпромнефть-ГЕО, ООО"/>
    <s v="0000117178"/>
    <s v="Зарегистрирован"/>
    <d v="2024-08-07T00:00:00"/>
    <s v=""/>
    <x v="306"/>
    <s v="8610017930"/>
    <s v=""/>
    <s v="ГЕО-24/33200/00138"/>
    <s v="ГЕО-24/33200/00138"/>
    <s v="Типовой ДД"/>
    <x v="1"/>
    <s v="33200 Соглашение об электронном документообороте"/>
    <s v="00469-24"/>
    <s v=""/>
    <s v="33200 Соглашение об электронном документообороте с &quot;ООО&quot; АСТ"/>
    <s v="Организация электронного документооборота с контрагентом"/>
    <s v="Васильева А.И."/>
    <s v="Копылов Е.О."/>
    <s v="Договорный документ"/>
    <s v="Блок производственной безопасности"/>
    <s v="Ковтун М.А."/>
    <s v="ЭП"/>
    <s v="Без сроков "/>
    <d v="2024-08-09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7796"/>
    <s v="Зарегистрирован"/>
    <d v="2021-06-29T00:00:00"/>
    <s v=""/>
    <x v="109"/>
    <s v="5003028148"/>
    <s v="ГЕО-19/10900/00266/Р "/>
    <s v=""/>
    <s v="1 к Наряд-заказу 5"/>
    <s v="Нетиповой ДД"/>
    <x v="4"/>
    <s v=""/>
    <s v="00470-21"/>
    <s v=""/>
    <s v="Изменение №1 к НАРЯД-ЗАКАЗУ НА ОКАЗАНИЕ УСЛУГ №5"/>
    <s v="Оказание услуг по обеспечению противофонтанной и газовой безопасности на объектах ООО «ГПН-ГЕО»_x000d__x000a_"/>
    <s v="Цурак Ю.Д."/>
    <s v="Цурак Ю.Д."/>
    <s v="Договорный документ"/>
    <s v="Отдел по промышленной и пожарной безопасности"/>
    <s v="Масалкин Ю.В."/>
    <s v="На бумажном носителе"/>
    <s v="С ограничением по срокам "/>
    <d v="2021-01-01T00:00:00"/>
    <d v="2021-12-03T00:00:00"/>
    <s v=""/>
    <s v="Услуги противофонтанных военизированных частей"/>
    <s v="Расходная часть"/>
    <s v="Рамочный"/>
    <s v="20%"/>
    <s v=""/>
    <s v=""/>
    <s v="5 490 918.00"/>
    <s v="4 575 765.00"/>
    <s v="915 153.00"/>
    <s v="нет"/>
    <s v="нет"/>
    <s v=""/>
    <s v=""/>
    <s v=""/>
    <s v=""/>
    <s v="нет"/>
  </r>
  <r>
    <s v="Газпромнефть-ГЕО, ООО"/>
    <s v="0000025354"/>
    <s v="Зарегистрирован"/>
    <d v="2022-06-23T00:00:00"/>
    <s v=""/>
    <x v="111"/>
    <s v="5003026493"/>
    <s v="ГЕО-21/07000/00283/Р"/>
    <s v=""/>
    <s v="2"/>
    <s v="Типовой ДД"/>
    <x v="0"/>
    <s v="00000 ДС на изменение реквизитов контрагента (адрес, счет)"/>
    <s v="00470-22"/>
    <s v=""/>
    <s v="00000 ДС на изменение реквизитов контрагента (адрес, счет)"/>
    <s v="Добавление в договор условия Банковского сопровождения "/>
    <s v="Раковица Д.К."/>
    <s v="Раковица Д.К."/>
    <s v="Договорный документ"/>
    <s v="Отдел подготовительных работ и экономического анализа"/>
    <s v="Агеев П.А."/>
    <s v="ЭП"/>
    <s v="До исполнения обязательств"/>
    <d v="2022-06-23T00:00:00"/>
    <s v=""/>
    <s v="Д-52"/>
    <s v="Договор подряда"/>
    <s v="Не предполагает взаиморасчетов"/>
    <s v="Рамочный"/>
    <s v=""/>
    <s v=""/>
    <s v=""/>
    <s v=""/>
    <s v=""/>
    <s v=""/>
    <s v="нет"/>
    <s v="нет"/>
    <s v=""/>
    <s v=""/>
    <s v=""/>
    <s v=""/>
    <s v="нет"/>
  </r>
  <r>
    <s v="Газпромнефть-ГЕО, ООО"/>
    <s v="0000040642"/>
    <s v="Зарегистрирован"/>
    <d v="2023-09-01T00:00:00"/>
    <s v=""/>
    <x v="4"/>
    <s v="7736035485"/>
    <s v="ГЕО-22/17000/00343/Р"/>
    <s v=""/>
    <s v="1"/>
    <s v="Нетиповой ДД"/>
    <x v="0"/>
    <s v=""/>
    <s v="00470-23"/>
    <s v=""/>
    <s v="ДС №1 к к договору страхования от несчастных случаев и болезней 0623 LA 000079/ГЕО-22/17000/00343/Р от «30» декабря 2022 г."/>
    <s v="Изменение численности застрахованных в связи с приемом новых сотрудников и увольнением "/>
    <s v="Хужина В.А."/>
    <s v=""/>
    <s v="Договорный документ"/>
    <s v="Управление по работе с персоналом"/>
    <s v="Игнатова Ю.В."/>
    <s v="На бумажном носителе"/>
    <s v="С ограничением по срокам "/>
    <d v="2023-01-01T00:00:00"/>
    <d v="2023-12-31T00:00:00"/>
    <s v="Д-66"/>
    <s v="Договор страхования"/>
    <s v="Расходная часть"/>
    <s v="Рамочный"/>
    <s v="0%"/>
    <s v=""/>
    <s v=""/>
    <s v="20 127.07"/>
    <s v="20 127.07"/>
    <n v="0"/>
    <s v="нет"/>
    <s v="нет"/>
    <s v=""/>
    <s v=""/>
    <s v=""/>
    <s v=""/>
    <s v="нет"/>
  </r>
  <r>
    <s v="Газпромнефть-ГЕО, ООО"/>
    <s v="0000073836"/>
    <s v="Зарегистрирован"/>
    <d v="2024-08-14T00:00:00"/>
    <s v=""/>
    <x v="302"/>
    <s v="1658105798"/>
    <s v=""/>
    <s v="ГЕО-24/33200/00141"/>
    <s v="ГЕО-24/33200/00141"/>
    <s v="Типовой ДД"/>
    <x v="1"/>
    <s v="33200 Соглашение об электронном документообороте"/>
    <s v="00470-24"/>
    <s v=""/>
    <s v="33200 Соглашение об электронном документообороте с ООО &quot;РАИФ&quot;"/>
    <s v="Организация электронного документооборота с контрагентом"/>
    <s v="Васильева А.И."/>
    <s v="Каныгин Д.О."/>
    <s v="Договорный документ"/>
    <s v="Блок главного инженера"/>
    <s v="Трифонов А.В."/>
    <s v="ЭП"/>
    <s v="Без сроков "/>
    <d v="2024-08-14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7804"/>
    <s v="Зарегистрирован"/>
    <d v="2021-07-29T00:00:00"/>
    <s v=""/>
    <x v="153"/>
    <s v="2634048800"/>
    <s v="№ ГЕО-19/11019/00140/Р от 19.06.2019"/>
    <s v=""/>
    <s v="1"/>
    <s v="Нетиповой ДД"/>
    <x v="0"/>
    <s v=""/>
    <s v="00471-21"/>
    <s v=""/>
    <s v="Дополнительное соглашение №1"/>
    <s v="Изменение условий договора согласно внутренним нормативным документам Заказчика"/>
    <s v="Григоренко Е.А."/>
    <s v="Григоренко Е.А."/>
    <s v="Договорный документ"/>
    <s v="Управление проектно-изыскательских работ"/>
    <s v="Перфильев Д.А."/>
    <s v="На бумажном носителе"/>
    <s v="До исполнения обязательств"/>
    <d v="2021-07-29T00:00:00"/>
    <s v=""/>
    <s v="Д-22"/>
    <s v="ПИР Объекты добычи, подготовки и транспорта нефти, вкл. авторский надзор"/>
    <s v="Не предполагает взаиморасчетов"/>
    <s v=""/>
    <s v=""/>
    <s v=""/>
    <s v=""/>
    <s v=""/>
    <s v=""/>
    <s v=""/>
    <s v="нет"/>
    <s v="нет"/>
    <s v=""/>
    <s v=""/>
    <s v=""/>
    <s v=""/>
    <s v="нет"/>
  </r>
  <r>
    <s v="Газпромнефть-ГЕО, ООО"/>
    <s v="0000050630"/>
    <s v="Зарегистрирован"/>
    <d v="2022-05-27T00:00:00"/>
    <s v=""/>
    <x v="329"/>
    <s v="8910002621"/>
    <s v=""/>
    <s v="ГЕО-22/09000/00121/Р"/>
    <s v="ГЕО-22/09000/00121/Р"/>
    <s v="Нетиповой ДД"/>
    <x v="2"/>
    <s v=""/>
    <s v="00471-22"/>
    <s v=""/>
    <s v="Договор на оказание супервайзерскийх услуг (на проетке &quot;Енисей&quot;)"/>
    <s v="оказание услуг 10312 «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на ЛескЛУ (&quot;Енисей&quot;)"/>
    <s v="Паркина И.А."/>
    <s v="Дорогойченков Д."/>
    <s v="Договорный документ"/>
    <s v="Отдел подготовительных работ и экономического анализа"/>
    <s v="Гаврилов С.В."/>
    <s v="На бумажном носителе"/>
    <s v="С ограничением по срокам "/>
    <d v="2022-05-27T00:00:00"/>
    <d v="2023-12-31T00:00:00"/>
    <s v="Д-58"/>
    <s v="Договор возмездного оказания услуг"/>
    <s v="Расходная часть"/>
    <s v="Стоимостной"/>
    <s v="20%"/>
    <s v=""/>
    <s v=""/>
    <s v="22 706 007.26"/>
    <s v="18 921 672.72"/>
    <s v="3 784 334.54"/>
    <s v="нет"/>
    <s v="нет"/>
    <s v=""/>
    <s v=""/>
    <s v=""/>
    <s v=""/>
    <s v="нет"/>
  </r>
  <r>
    <s v="Газпромнефть-ГЕО, ООО"/>
    <s v="0000063179"/>
    <s v="Зарегистрирован"/>
    <d v="2023-08-30T00:00:00"/>
    <s v=""/>
    <x v="54"/>
    <s v="7727747172"/>
    <s v="ГЕО-20/10986/00138/Р от 10.08.2020г. "/>
    <s v=""/>
    <s v="44"/>
    <s v="Нетиповой ДД"/>
    <x v="8"/>
    <s v=""/>
    <s v="00471-23"/>
    <s v=""/>
    <s v="Задание № 44 к Договору № ГЕО-20/10986/00138/Р от 10.08.2020 г."/>
    <s v="Оказание услуг супервайзинга на проекте проект  «Титан»"/>
    <s v="Мормышев А.А."/>
    <s v=""/>
    <s v="Договорный документ"/>
    <s v="Блок производственной безопасности"/>
    <s v="Михайлов Ю.А."/>
    <s v="ЭП"/>
    <s v="До исполнения обязательств"/>
    <d v="2023-09-01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875 252.40"/>
    <s v="729 377.00"/>
    <s v="145 875.40"/>
    <s v="нет"/>
    <s v="нет"/>
    <s v=""/>
    <s v=""/>
    <s v=""/>
    <s v=""/>
    <s v="нет"/>
  </r>
  <r>
    <s v="Газпромнефть-ГЕО, ООО"/>
    <s v="0000073836"/>
    <s v="Зарегистрирован"/>
    <d v="2024-08-19T00:00:00"/>
    <s v=""/>
    <x v="302"/>
    <s v="1658105798"/>
    <s v="ГЕО-24/10000/00140/Р"/>
    <s v=""/>
    <s v="1"/>
    <s v="Нетиповой ДД"/>
    <x v="0"/>
    <s v=""/>
    <s v="00471-24"/>
    <s v=""/>
    <s v="Арбитражное соглашение с ООО &quot;РАИФ&quot;"/>
    <s v="Организация условий арбитража согласно политике Компании"/>
    <s v="Васильева А.И."/>
    <s v="Каныгин Д.О."/>
    <s v="Договорный документ"/>
    <s v="Блок главного инженера"/>
    <s v="Трифонов А.В."/>
    <s v="ЭП"/>
    <s v="С ограничением по срокам "/>
    <d v="2024-08-19T00:00:00"/>
    <d v="2026-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27645"/>
    <s v="Зарегистрирован"/>
    <d v="2021-07-23T00:00:00"/>
    <s v=""/>
    <x v="80"/>
    <s v="5501072608"/>
    <s v="ГЕО-19/10001/00157/Р/ГСН-19/10001/00829/Д/ТМН-15"/>
    <s v=""/>
    <s v="10"/>
    <s v="Нетиповой ДД"/>
    <x v="0"/>
    <s v=""/>
    <s v="00472-21"/>
    <s v=""/>
    <s v="ДС № 10 к договору № ГЕО-19/10001/00157/Р/ГСН-19/10001/00829/Д/ТМН-15 от 15.07.2021г."/>
    <s v="включение актуализированных ЛНД (СК ГПН-АРБ для проекта Енисей, ШС, паспорта КБ)"/>
    <s v="Рябикина М.А."/>
    <s v="Нежальских Вячеслав Андреевич - Начальник отдела материально-технического обеспечения, логистики и сопутствующих сервисов"/>
    <s v="Договорный документ"/>
    <s v="Блок по закупкам"/>
    <s v="Титов А.В."/>
    <s v="На бумажном носителе"/>
    <s v="С ограничением по срокам "/>
    <d v="2021-07-23T00:00:00"/>
    <d v="2022-12-31T00:00:00"/>
    <s v="Д-11"/>
    <s v="Услуги складской и транспортной логистики. (Оказываемые услуги для ДО БРД)"/>
    <s v="Не предполагает взаиморасчетов"/>
    <s v=""/>
    <s v=""/>
    <s v=""/>
    <s v=""/>
    <s v=""/>
    <s v=""/>
    <s v=""/>
    <s v="нет"/>
    <s v="нет"/>
    <s v=""/>
    <s v=""/>
    <s v=""/>
    <s v=""/>
    <s v="нет"/>
  </r>
  <r>
    <s v="Газпромнефть-ГЕО, ООО"/>
    <s v="0000045789"/>
    <s v="Зарегистрирован"/>
    <d v="2022-04-01T00:00:00"/>
    <s v=""/>
    <x v="16"/>
    <s v="7838395487"/>
    <s v="ГЕО-21/00000/00123/Д "/>
    <s v=""/>
    <s v="НТЦ-01762-22Р-ГПН"/>
    <s v="Нетиповой ДД"/>
    <x v="3"/>
    <s v=""/>
    <s v="00472-22"/>
    <s v=""/>
    <s v="Заказ"/>
    <s v="Экспертная система по подбору типовых технологических решений для разработки и изучения АТ (ProБА)"/>
    <s v="Андреева И.В."/>
    <s v="Кондратьев А.Ю."/>
    <s v="Договорный документ"/>
    <s v="Управление экономического планирования и анализа"/>
    <s v="Волков Г.В."/>
    <s v="На бумажном носителе"/>
    <s v="С ограничением по срокам "/>
    <d v="2022-06-01T00:00:00"/>
    <d v="2022-08-25T00:00:00"/>
    <s v="Д-16"/>
    <s v="Договор возмездного оказания услуг"/>
    <s v="Доходная часть"/>
    <s v="Стоимостной"/>
    <s v="20%"/>
    <s v=""/>
    <s v=""/>
    <s v="7 673 410.80"/>
    <s v="6 394 509.00"/>
    <s v="1 278 901.80"/>
    <s v="нет"/>
    <s v="нет"/>
    <s v=""/>
    <s v=""/>
    <s v=""/>
    <s v=""/>
    <s v="нет"/>
  </r>
  <r>
    <s v="Газпромнефть-ГЕО, ООО"/>
    <s v="0000093917"/>
    <s v="Зарегистрирован"/>
    <d v="2023-09-06T00:00:00"/>
    <s v=""/>
    <x v="9"/>
    <s v="5609193118"/>
    <s v="ГЕО-23/09000/00041/Р"/>
    <s v=""/>
    <s v="1"/>
    <s v="Нетиповой ДД"/>
    <x v="0"/>
    <s v=""/>
    <s v="00472-23"/>
    <s v=""/>
    <s v="Дополнительное соглашение №1 к договору ГЕО-23/09000/00041/Р от «31» января 2023 г"/>
    <s v="Изложить приложение № 11 «Формат оценочного листа» по услуге 10360 к Договору в редакции Приложения 1 к дополнительному соглашенгию"/>
    <s v="Покатов О.Н."/>
    <s v=""/>
    <s v="Договорный документ"/>
    <s v="Блок снабжения и закупок"/>
    <s v="Михайлов Ю.А."/>
    <s v="ЭП"/>
    <s v="До исполнения обязательств"/>
    <d v="2023-09-06T00:00:00"/>
    <s v=""/>
    <s v="Д-2"/>
    <s v="Договор возмездного оказания услуг"/>
    <s v="Не предполагает взаиморасчетов"/>
    <s v=""/>
    <s v=""/>
    <s v=""/>
    <s v=""/>
    <s v=""/>
    <s v=""/>
    <s v=""/>
    <s v="нет"/>
    <s v="нет"/>
    <s v=""/>
    <s v=""/>
    <s v=""/>
    <s v=""/>
    <s v="нет"/>
  </r>
  <r>
    <s v="Газпромнефть-ГЕО, ООО"/>
    <s v="0000073836"/>
    <s v="Зарегистрирован"/>
    <d v="2024-08-14T00:00:00"/>
    <s v=""/>
    <x v="302"/>
    <s v="1658105798"/>
    <s v=""/>
    <s v="ГЕО-24/33100/00143"/>
    <s v="ГЕО-24/33100/00143"/>
    <s v="Типовой ДД"/>
    <x v="1"/>
    <s v="33100 Соглашение в области производственной безопасности"/>
    <s v="00472-24"/>
    <s v=""/>
    <s v="33100 Соглашение в области производственной безопасности с ООО &quot;РАИФ&quot;"/>
    <s v="Организация безопасности проведения работ согласно обновлённой политике компании в области ПБ"/>
    <s v="Васильева А.И."/>
    <s v="Каныгин Д.О."/>
    <s v="Договорный документ"/>
    <s v="Блок главного инженера"/>
    <s v="Михайлов Ю.А."/>
    <s v="ЭП"/>
    <s v="Без сроков "/>
    <d v="2024-08-15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93917"/>
    <s v="Обработка результатов согласования"/>
    <d v="2023-09-06T00:00:00"/>
    <s v=""/>
    <x v="9"/>
    <s v="5609193118"/>
    <s v="ГЕО-23/09000/00041/Р"/>
    <s v=""/>
    <s v="2"/>
    <s v="Нетиповой ДД"/>
    <x v="0"/>
    <s v=""/>
    <s v="00473-23"/>
    <s v=""/>
    <s v="Дополнительное соглашение №2 к договору ГЕО-23/09000/00041/Р от «31» января 2023 г"/>
    <s v="О порядке демобилизации оборудования и имущества Исполнителя после окончания Исполнителем работ на территории Лескинского лицензионного участка"/>
    <s v="Покатов О.Н."/>
    <s v=""/>
    <s v="Договорный документ"/>
    <s v="Блок снабжения и закупок"/>
    <s v="Михайлов Ю.А."/>
    <s v="ЭП"/>
    <s v="До исполнения обязательств"/>
    <d v="2023-09-06T00:00:00"/>
    <s v=""/>
    <s v="Д-2"/>
    <s v="Договор возмездного оказания услуг"/>
    <s v="Не предполагает взаиморасчетов"/>
    <s v=""/>
    <s v=""/>
    <s v=""/>
    <s v=""/>
    <s v=""/>
    <s v=""/>
    <s v=""/>
    <s v="нет"/>
    <s v="нет"/>
    <s v=""/>
    <s v=""/>
    <s v=""/>
    <s v=""/>
    <s v="нет"/>
  </r>
  <r>
    <s v="Газпромнефть-ГЕО, ООО"/>
    <s v="0000117353"/>
    <s v="Зарегистрирован"/>
    <d v="2024-08-05T00:00:00"/>
    <s v=""/>
    <x v="320"/>
    <s v="212809355203"/>
    <s v=""/>
    <s v="ГЕО-24/33200/00134"/>
    <s v="ГЕО-24/33200/00134"/>
    <s v="Типовой ДД"/>
    <x v="1"/>
    <s v="33200 Соглашение об электронном документообороте"/>
    <s v="00473-24"/>
    <s v=""/>
    <s v="33200 Соглашение об электронном документообороте с ИП Скибинской В.В."/>
    <s v="Организация электронного документооборота с контрагентом"/>
    <s v="Васильева А.И."/>
    <s v="Нюняйкина О.В."/>
    <s v="Договорный документ"/>
    <s v="Отдел по корпоративным коммуникациям"/>
    <s v="Ковтун М.А."/>
    <s v="ЭП"/>
    <s v="Без сроков "/>
    <d v="2024-08-05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3161"/>
    <s v="Зарегистрирован"/>
    <d v="2021-07-23T00:00:00"/>
    <s v=""/>
    <x v="128"/>
    <s v="7017207750"/>
    <s v="ГЕО-19/10901/00028/Р"/>
    <s v=""/>
    <s v="1"/>
    <s v="Нетиповой ДД"/>
    <x v="0"/>
    <s v=""/>
    <s v="00474-21"/>
    <s v=""/>
    <s v="Дополнительное соглашение № 1 к Договору № ГЕО-19/10901/00028/Р от 22.02.2019 г."/>
    <s v="Внесение дополнения в Приложение №3 «Техническое задание»._x000d__x000a_Добавление производственного объекта – Лескинский лицензионный участок - Красноярский край, Таймырский Долгано-Ненецкий район. Указание маршрута доставки Исполнителя «Место расположения Исполнителя – г. Новый Уренгой – Место расположения Исполнителя»._x000d__x000a_Внесение изменения в Приложение №1 «Протокол согласования договорной цены»"/>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1-07-23T00:00:00"/>
    <d v="2021-12-31T00:00:00"/>
    <s v=""/>
    <s v="Специальная оценка условий труда в соответствии с государственным нормативным требованием охраны труда"/>
    <s v="Не предполагает взаиморасчетов"/>
    <s v=""/>
    <s v=""/>
    <s v=""/>
    <s v=""/>
    <s v=""/>
    <s v=""/>
    <s v=""/>
    <s v="нет"/>
    <s v="нет"/>
    <s v=""/>
    <s v=""/>
    <s v=""/>
    <s v=""/>
    <s v="нет"/>
  </r>
  <r>
    <s v="Газпромнефть-ГЕО, ООО"/>
    <s v="0000011433"/>
    <s v="Зарегистрирован"/>
    <d v="2023-09-19T00:00:00"/>
    <s v=""/>
    <x v="174"/>
    <s v="8604005359"/>
    <s v="ГЕО-21/11104/00291/Р"/>
    <s v=""/>
    <s v="3"/>
    <s v="Нетиповой ДД"/>
    <x v="0"/>
    <s v=""/>
    <s v="00474-23"/>
    <s v=""/>
    <s v="Дополнительное соглашение №3"/>
    <s v="Перевод НГО в ГО для выполнения программы по перевозке флота ГРП на Ми-26"/>
    <s v="Бабиков Н.В."/>
    <s v="Бабиков Н.В."/>
    <s v="Договорный документ"/>
    <s v="Управление транспортного обеспечения и авиаперевозок"/>
    <s v="Титов А.В."/>
    <s v="На бумажном носителе"/>
    <s v="До исполнения обязательств"/>
    <d v="2023-09-19T00:00:00"/>
    <s v=""/>
    <s v="Д-56"/>
    <s v="Авиационное обслуживание (вертолеты)"/>
    <s v="Расходная часть"/>
    <s v="Стоимостной"/>
    <s v="20%"/>
    <s v=""/>
    <s v="139082968.68"/>
    <s v="241 920 000.00"/>
    <s v="201 600 000.00"/>
    <s v="40 320 000.00"/>
    <s v="да"/>
    <s v="нет"/>
    <s v=""/>
    <s v=""/>
    <s v=""/>
    <s v=""/>
    <s v="нет"/>
  </r>
  <r>
    <s v="Газпромнефть-ГЕО, ООО"/>
    <s v=""/>
    <s v="Проект"/>
    <s v=""/>
    <s v=""/>
    <x v="58"/>
    <s v=""/>
    <s v=""/>
    <s v=""/>
    <s v=""/>
    <s v="Нетиповой ДД"/>
    <x v="2"/>
    <s v=""/>
    <s v="00474-24"/>
    <s v=""/>
    <s v="Многосторонний договор по услуге &quot;Видеоаналитика&quot;"/>
    <s v=""/>
    <s v="Филиппов Г.А."/>
    <s v=""/>
    <s v="Договорный документ"/>
    <s v="Управление инжиниринга бурения"/>
    <s v="Трифонов А.В."/>
    <s v="ЭП"/>
    <s v=""/>
    <d v="2024-08-15T00:00:00"/>
    <s v=""/>
    <s v=""/>
    <s v="Договор купли-продажи сопутствующих товаров и услгуг"/>
    <s v="Расходная часть"/>
    <s v="Стоимостной"/>
    <s v=""/>
    <s v=""/>
    <s v=""/>
    <s v=""/>
    <s v=""/>
    <s v=""/>
    <s v="нет"/>
    <s v="нет"/>
    <s v=""/>
    <s v=""/>
    <s v=""/>
    <s v=""/>
    <s v="нет"/>
  </r>
  <r>
    <s v="Газпромнефть-ГЕО, ООО"/>
    <s v="0000065735"/>
    <s v="Зарегистрирован"/>
    <d v="2021-07-29T00:00:00"/>
    <s v=""/>
    <x v="200"/>
    <s v="0274095068"/>
    <s v="№ ГЕО-19/11019/00145/Р от 19.06.2019"/>
    <s v=""/>
    <s v="1"/>
    <s v="Нетиповой ДД"/>
    <x v="0"/>
    <s v=""/>
    <s v="00475-21"/>
    <s v=""/>
    <s v="Дополнительное соглашение №1"/>
    <s v="Изменение условий договора согласно внутренним нормативным документам Заказчика"/>
    <s v="Григоренко Е.А."/>
    <s v="Григоренко Е.А."/>
    <s v="Договорный документ"/>
    <s v="Управление проектно-изыскательских работ"/>
    <s v="Перфильев Д.А."/>
    <s v="На бумажном носителе"/>
    <s v="До исполнения обязательств"/>
    <d v="2021-07-29T00:00:00"/>
    <s v=""/>
    <s v="Д-22"/>
    <s v="ПИР Объекты добычи, подготовки и транспорта нефти, вкл. авторский надзор"/>
    <s v="Не предполагает взаиморасчетов"/>
    <s v=""/>
    <s v=""/>
    <s v=""/>
    <s v=""/>
    <s v=""/>
    <s v=""/>
    <s v=""/>
    <s v="нет"/>
    <s v="нет"/>
    <s v=""/>
    <s v=""/>
    <s v=""/>
    <s v=""/>
    <s v="нет"/>
  </r>
  <r>
    <s v="Газпромнефть-ГЕО, ООО"/>
    <s v="0000064255"/>
    <s v="Зарегистрирован"/>
    <d v="2023-08-31T00:00:00"/>
    <s v=""/>
    <x v="330"/>
    <s v="5029124262"/>
    <s v=""/>
    <s v="ГЕО-23/09000/00154/Р"/>
    <s v="ГЕО-23/09000/00154/Р"/>
    <s v="Нетиповой ДД"/>
    <x v="2"/>
    <s v=""/>
    <s v="00475-23"/>
    <s v=""/>
    <s v="Оценка профессиональных рисков"/>
    <s v="В целях выполнения мероприятий по организации процесса оценки профессиональных рисков "/>
    <s v="Петушкова В.Е."/>
    <s v="Петушкова В.Е."/>
    <s v="Договорный документ"/>
    <s v="Управление производственной безопасности"/>
    <s v="Михайлов Ю.А."/>
    <s v="ЭП"/>
    <s v="С ограничением по срокам "/>
    <d v="2023-08-31T00:00:00"/>
    <d v="2023-12-31T00:00:00"/>
    <s v="Д-2"/>
    <s v="Договор возмездного оказания услуг"/>
    <s v="Расходная часть"/>
    <s v="Стоимостной"/>
    <s v="20%"/>
    <s v=""/>
    <s v=""/>
    <s v="135 360.00"/>
    <s v="112 800.00"/>
    <s v="22 560.00"/>
    <s v="нет"/>
    <s v="нет"/>
    <s v=""/>
    <s v=""/>
    <s v=""/>
    <s v=""/>
    <s v="нет"/>
  </r>
  <r>
    <s v="Газпромнефть-ГЕО, ООО"/>
    <s v="0000040656"/>
    <s v="Зарегистрирован"/>
    <d v="2021-07-23T00:00:00"/>
    <s v=""/>
    <x v="288"/>
    <s v="0814118403"/>
    <s v=""/>
    <s v="ГЕО-21/10402/00170/Р"/>
    <s v="ГЕО-21/10402/00170/Р"/>
    <s v="Нетиповой ДД"/>
    <x v="1"/>
    <s v=""/>
    <s v="00476-21"/>
    <s v=""/>
    <s v="Соглашение об урегулировании претензии по договору от 16.11.2018г. № АНГ-18/10402/00237/Р на выполнение работ по капитальному, текущему ремонту и освоению скважин"/>
    <s v="Соглашение об урегулировании претензии по договору от 16.11.2018г. № АНГ-18/10402/00237/Р на выполнение работ по капитальному, текущему ремонту и освоению скважин"/>
    <s v="Рябикина М.А."/>
    <s v="Ефремов Александр Сергеевич - Начальник управления внутрискважинных работ"/>
    <s v="Договорный документ"/>
    <s v="Блок бурения и ВСР"/>
    <s v="Гаврилов С.В."/>
    <s v="На бумажном носителе"/>
    <s v="До исполнения обязательств"/>
    <d v="2021-07-23T00:00:00"/>
    <s v=""/>
    <s v=""/>
    <s v="Капитальный ремонт и освоение скважин"/>
    <s v="Расходная часть"/>
    <s v="Стоимостной"/>
    <s v="0%"/>
    <s v=""/>
    <s v=""/>
    <s v="9 107 370.92"/>
    <s v="9 107 370.92"/>
    <n v="0"/>
    <s v="нет"/>
    <s v="нет"/>
    <s v=""/>
    <s v=""/>
    <s v=""/>
    <s v=""/>
    <s v="нет"/>
  </r>
  <r>
    <s v="Газпромнефть-ГЕО, ООО"/>
    <s v="0000102205"/>
    <s v="Зарегистрирован"/>
    <d v="2022-06-02T00:00:00"/>
    <s v=""/>
    <x v="14"/>
    <s v="9715287189"/>
    <s v="№ ГЕО-22/11000/00012/Р от 04.01.2022г."/>
    <s v=""/>
    <s v="2"/>
    <s v="Нетиповой ДД"/>
    <x v="0"/>
    <s v=""/>
    <s v="00476-22"/>
    <s v=""/>
    <s v="выполнение работ «Инженерная подготовка площадки скважины №198 на Лескинском ЛУ» с привлечением машин и механизмов Заказчика"/>
    <s v="изменение сроков окончания выполнение работ"/>
    <s v="Калугина С.Б."/>
    <s v="Галлямов Р.Ю."/>
    <s v="Договорный документ"/>
    <s v="Департамент капитального строительства"/>
    <s v="Перфильев Д.А."/>
    <s v="На бумажном носителе"/>
    <s v="До исполнения обязательств"/>
    <d v="2022-06-02T00:00:00"/>
    <s v=""/>
    <s v="Д-61"/>
    <s v="Капитальное строительство и ПИР"/>
    <s v="Не предполагает взаиморасчетов"/>
    <s v="Стоимостной"/>
    <s v=""/>
    <s v=""/>
    <s v=""/>
    <s v=""/>
    <s v=""/>
    <s v=""/>
    <s v="нет"/>
    <s v="нет"/>
    <s v=""/>
    <s v=""/>
    <s v=""/>
    <s v=""/>
    <s v="нет"/>
  </r>
  <r>
    <s v="Газпромнефть-ГЕО, ООО"/>
    <s v=""/>
    <s v="Зарегистрирован"/>
    <d v="2023-09-12T00:00:00"/>
    <s v=""/>
    <x v="331"/>
    <s v=""/>
    <s v=""/>
    <s v="ГЕО-23/33000/00152"/>
    <s v="ГЕО-23/33000/00152"/>
    <s v="Нетиповой ДД"/>
    <x v="1"/>
    <s v=""/>
    <s v="00476-23"/>
    <s v=""/>
    <s v="Меморандум о взаимопонимании по продвижению сервисных услуг за рубежом"/>
    <s v="Поиск, проработка и выполнение совместных проектов по оказанию комплекса сервисных услуг за рубежом"/>
    <s v="Гареев Р.Д."/>
    <s v="Гареев Р.Д."/>
    <s v="Договорный документ"/>
    <s v="Блок коммерческой деятельности"/>
    <s v="Масалкин Ю.В."/>
    <s v="На бумажном носителе"/>
    <s v="До исполнения обязательств"/>
    <d v="2023-09-12T00:00:00"/>
    <s v=""/>
    <s v=""/>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41259"/>
    <s v="Зарегистрирован"/>
    <d v="2024-08-19T00:00:00"/>
    <s v=""/>
    <x v="142"/>
    <s v="7203159800"/>
    <s v="ГЕО-22/10968/00197/Р"/>
    <s v=""/>
    <s v="5"/>
    <s v="Нетиповой ДД"/>
    <x v="0"/>
    <s v=""/>
    <s v="00476-24"/>
    <s v=""/>
    <s v="ДС 5 к договору № ГЕО-22/10968/00197/Р от 12.08.2022г. "/>
    <s v="Частичный перенос объемов работ и денежных средств с 2023 на 2024 год"/>
    <s v="Копылов Е.О."/>
    <s v="Копылов Е.О."/>
    <s v="Договорный документ"/>
    <s v="Отдел экологической безопасности"/>
    <s v="Михайлов Ю.А."/>
    <s v="ЭП"/>
    <s v="С ограничением по срокам "/>
    <d v="2024-08-19T00:00:00"/>
    <d v="2024-10-31T00:00:00"/>
    <s v="Д-2"/>
    <s v="Вывоз, транспортировка и размещение отходов производственной деятельности"/>
    <s v="Расходная часть"/>
    <s v="Стоимостной"/>
    <s v="20%"/>
    <s v=""/>
    <s v=""/>
    <s v="122 056 741.56"/>
    <s v="101 713 951.30"/>
    <s v="20 342 790.26"/>
    <s v="нет"/>
    <s v="нет"/>
    <s v=""/>
    <s v=""/>
    <s v=""/>
    <s v=""/>
    <s v="нет"/>
  </r>
  <r>
    <s v="Газпромнефть-ГЕО, ООО"/>
    <s v="0000062701"/>
    <s v="Зарегистрирован"/>
    <d v="2021-07-29T00:00:00"/>
    <s v=""/>
    <x v="212"/>
    <s v="6318166129"/>
    <s v="№ ГЕО-20/11019/00045/Р от 15.03.2020"/>
    <s v=""/>
    <s v="2"/>
    <s v="Нетиповой ДД"/>
    <x v="0"/>
    <s v=""/>
    <s v="00477-21"/>
    <s v=""/>
    <s v="Дополнительное соглашение №2"/>
    <s v="Изменение условий договора согласно внутренним нормативным документам Заказчика"/>
    <s v="Григоренко Е.А."/>
    <s v="Григоренко Е.А."/>
    <s v="Договорный документ"/>
    <s v="Управление проектно-изыскательских работ"/>
    <s v="Перфильев Д.А."/>
    <s v="На бумажном носителе"/>
    <s v="До исполнения обязательств"/>
    <d v="2021-07-23T00:00:00"/>
    <s v=""/>
    <s v="Д-22"/>
    <s v="ПИР Объекты добычи, подготовки и транспорта нефти, вкл. авторский надзор"/>
    <s v="Не предполагает взаиморасчетов"/>
    <s v=""/>
    <s v=""/>
    <s v=""/>
    <s v=""/>
    <s v=""/>
    <s v=""/>
    <s v=""/>
    <s v="нет"/>
    <s v="нет"/>
    <s v=""/>
    <s v=""/>
    <s v=""/>
    <s v=""/>
    <s v="нет"/>
  </r>
  <r>
    <s v="Газпромнефть-ГЕО, ООО"/>
    <s v="0000091163"/>
    <s v="Зарегистрирован"/>
    <d v="2022-05-27T00:00:00"/>
    <s v=""/>
    <x v="149"/>
    <s v="5001063958"/>
    <s v="ГЕО-21/11505/00195/Р"/>
    <s v=""/>
    <s v="4"/>
    <s v="Нетиповой ДД"/>
    <x v="3"/>
    <s v=""/>
    <s v="00477-22"/>
    <s v=""/>
    <s v="Наряд-заказ №4"/>
    <s v="Выполнение цифровой аэрофотосъемки (ЦАФС) и воздушно-лазерного сканирования (ВЛС) пилотируемым воздушным судном на территории Оморинского ЛУ (Красноярский край, Эвенкийский район. Номер района по ТЗ - 3)"/>
    <s v="Хохлов А.А."/>
    <s v="Хохлов А.А."/>
    <s v="Договорный документ"/>
    <s v="Управление маркшейдерско-землеустроительных работ"/>
    <s v="Перфильев Д.А."/>
    <s v="ЭП"/>
    <s v="С ограничением по срокам "/>
    <d v="2022-05-27T00:00:00"/>
    <d v="2022-12-31T00:00:00"/>
    <s v="Д-61"/>
    <s v="Аэрофотосъемка, космическая съемка. Создание ортофотопланов"/>
    <s v="Расходная часть"/>
    <s v="Рамочный"/>
    <s v="0%"/>
    <s v=""/>
    <s v=""/>
    <s v="14 266 260.00"/>
    <s v="14 266 260.00"/>
    <n v="0"/>
    <s v="нет"/>
    <s v="нет"/>
    <s v=""/>
    <s v=""/>
    <s v=""/>
    <s v=""/>
    <s v="нет"/>
  </r>
  <r>
    <s v="Газпромнефть-ГЕО, ООО"/>
    <s v="0000086584"/>
    <s v="Зарегистрирован"/>
    <d v="2023-10-01T00:00:00"/>
    <s v=""/>
    <x v="113"/>
    <s v="5609077986"/>
    <s v="ГЕО-18/00000/00025Д "/>
    <s v=""/>
    <s v="11"/>
    <s v="Нетиповой ДД"/>
    <x v="0"/>
    <s v=""/>
    <s v="00477-23"/>
    <s v=""/>
    <s v="Дополнительное соглашение № 11 к Операторскому Договору № ГЕО-18/00000/00025Д от 02  октября 2018 г. "/>
    <s v="Дополнительное соглашение № 11 к Операторскому Договору № ГЕО-18/00000/00025Д от 02  октября 2018 г.  об изменении формата отчетных документов"/>
    <s v="Блинова Д.М."/>
    <s v="Блинова Д.М."/>
    <s v="Договорный документ"/>
    <s v="Управление экономического планирования и анализа"/>
    <s v="Шакирзянов Л.Н."/>
    <s v="ЭП"/>
    <s v="До исполнения обязательств"/>
    <d v="2023-10-01T00:00:00"/>
    <s v=""/>
    <s v="Д-20"/>
    <s v="Договор возмездного оказания услуг"/>
    <s v="Не предполагает взаиморасчетов"/>
    <s v="Рамочный"/>
    <s v=""/>
    <s v=""/>
    <s v=""/>
    <s v=""/>
    <s v=""/>
    <s v=""/>
    <s v="нет"/>
    <s v="нет"/>
    <s v=""/>
    <s v=""/>
    <s v=""/>
    <s v=""/>
    <s v="нет"/>
  </r>
  <r>
    <s v="Газпромнефть-ГЕО, ООО"/>
    <s v="0000107108"/>
    <s v="Зарегистрирован"/>
    <d v="2024-08-16T00:00:00"/>
    <s v=""/>
    <x v="332"/>
    <s v="0278106553"/>
    <s v=""/>
    <s v="ГЕО-24/26000/00145"/>
    <s v="ГЕО-24/26000/00145"/>
    <s v="Типовой ДД"/>
    <x v="1"/>
    <s v="26000 Соглашение о конфиденциальности с российским контрагентом"/>
    <s v="00477-24"/>
    <s v=""/>
    <s v="26000 Соглашение о конфиденциальности с российским контрагентом"/>
    <s v="В связи с предпроектной проработкой НИОКР &quot;Многофазный глубинный пробоотборник&quot;"/>
    <s v="Лобанов А.А."/>
    <s v="Лобанов А.А."/>
    <s v="Договорный документ"/>
    <s v="Управление по геологии"/>
    <s v="Трифонов А.В."/>
    <s v="ЭП"/>
    <s v="Без сроков "/>
    <d v="2024-08-16T00:00:00"/>
    <s v=""/>
    <s v="Д-45"/>
    <s v="Соглашение о конфиденциальности"/>
    <s v="Не предполагает взаиморасчетов"/>
    <s v=""/>
    <s v=""/>
    <s v=""/>
    <s v=""/>
    <s v=""/>
    <s v=""/>
    <s v=""/>
    <s v="нет"/>
    <s v="нет"/>
    <s v=""/>
    <s v=""/>
    <s v=""/>
    <s v=""/>
    <s v="нет"/>
  </r>
  <r>
    <s v="Газпромнефть-ГЕО, ООО"/>
    <s v="0000040952"/>
    <s v="Зарегистрирован"/>
    <d v="2021-08-01T00:00:00"/>
    <s v=""/>
    <x v="207"/>
    <s v="7203126844"/>
    <s v="ГЕО-19/10823/00331/Р "/>
    <s v=""/>
    <s v="5"/>
    <s v="Нетиповой ДД"/>
    <x v="0"/>
    <s v=""/>
    <s v="00478-21"/>
    <s v=""/>
    <s v="ДОПОЛНИТЕЛЬНОЕ СОГЛАШЕНИЕ № 5 к Договору № ГЕО-19/10823/00331/Р от 31 декабря2019 г. на оказание услуг по выработке электроэнергии сторонними производителями"/>
    <s v="Перераспределение междуГО и НГО"/>
    <s v="Ахматгалиев С.З."/>
    <s v="Забиров А.А."/>
    <s v="Договорный документ"/>
    <s v="Блок главного инженера"/>
    <s v="Перфильев Д.А."/>
    <s v="На бумажном носителе"/>
    <s v="С ограничением по срокам "/>
    <d v="2021-08-01T00:00:00"/>
    <d v="2022-12-31T00:00:00"/>
    <s v="Д-22"/>
    <s v="Выработка электроэнергии сторонним производителем "/>
    <s v="Не предполагает взаиморасчетов"/>
    <s v=""/>
    <s v=""/>
    <s v=""/>
    <s v=""/>
    <s v=""/>
    <s v=""/>
    <s v=""/>
    <s v="нет"/>
    <s v="нет"/>
    <s v=""/>
    <s v=""/>
    <s v=""/>
    <s v=""/>
    <s v="нет"/>
  </r>
  <r>
    <s v="Газпромнефть-ГЕО, ООО"/>
    <s v="0000059486"/>
    <s v="Закрыт"/>
    <d v="2022-05-30T00:00:00"/>
    <s v=""/>
    <x v="333"/>
    <s v="5504233490"/>
    <s v="ГЕО-21/09000/00251/Р"/>
    <s v=""/>
    <s v="2"/>
    <s v="Нетиповой ДД"/>
    <x v="0"/>
    <s v=""/>
    <s v="00478-22"/>
    <s v=""/>
    <s v="На оказание консультационных услуг (методическое сопровождение) в области гидрометеорологии и смежных с ней областях"/>
    <s v="Увеличение срока договора без изменения стоимости"/>
    <s v="Хисамутдинов С.И."/>
    <s v="Хисамутдинов С.И."/>
    <s v="Договорный документ"/>
    <s v="Производственно-технологический департамент"/>
    <s v="Аксенов М.А."/>
    <s v="На бумажном носителе"/>
    <s v="С ограничением по срокам "/>
    <d v="2022-05-30T00:00:00"/>
    <d v="2022-12-31T00:00:00"/>
    <s v="Д-38"/>
    <s v="Договор возмездного оказания услуг"/>
    <s v="Не предполагает взаиморасчетов"/>
    <s v=""/>
    <s v=""/>
    <s v=""/>
    <s v=""/>
    <s v=""/>
    <s v=""/>
    <s v=""/>
    <s v="нет"/>
    <s v="нет"/>
    <s v=""/>
    <s v=""/>
    <s v=""/>
    <s v=""/>
    <s v="нет"/>
  </r>
  <r>
    <s v="Газпромнефть-ГЕО, ООО"/>
    <s v="0000061621"/>
    <s v="Проект"/>
    <s v=""/>
    <s v=""/>
    <x v="57"/>
    <s v="6381010888"/>
    <s v=""/>
    <s v=""/>
    <s v=""/>
    <s v="Нетиповой ДД"/>
    <x v="2"/>
    <s v=""/>
    <s v="00478-23"/>
    <s v=""/>
    <s v="Договор на оказания услуг по телеметрическому и технологическое  сопровождение при наклонно-направленном и горизонтальном бурении на проекте Южный Оренбург "/>
    <s v="Договор на оказания услуг по телеметрическому и технологическое  сопровождение при наклонно-направленном и горизонтальном бурении на проекте Южный Оренбург "/>
    <s v="Макаринский Е.Ю."/>
    <s v=""/>
    <s v="Договорный документ"/>
    <s v="Отдел инжиниринга бурения"/>
    <s v="Трифонов А.В."/>
    <s v=""/>
    <s v="С ограничением по срокам "/>
    <d v="2023-09-20T00:00:00"/>
    <d v="2023-12-31T00:00:00"/>
    <s v="Д-33"/>
    <s v=""/>
    <s v=""/>
    <s v=""/>
    <s v=""/>
    <s v=""/>
    <s v=""/>
    <s v=""/>
    <s v=""/>
    <s v=""/>
    <s v="нет"/>
    <s v="нет"/>
    <s v=""/>
    <s v=""/>
    <s v=""/>
    <s v=""/>
    <s v="нет"/>
  </r>
  <r>
    <s v="Газпромнефть-ГЕО, ООО"/>
    <s v="0000044244"/>
    <s v="Зарегистрирован"/>
    <d v="2024-09-30T00:00:00"/>
    <s v=""/>
    <x v="192"/>
    <s v="8904034777"/>
    <s v="ГЕО-23/09000/00179/Д"/>
    <s v=""/>
    <s v="1"/>
    <s v="Нетиповой ДД"/>
    <x v="0"/>
    <s v=""/>
    <s v="00478-24"/>
    <s v=""/>
    <s v="Дополнительное соглашение № 1 к договору № ГЕО-23/09000/00179/ на выполнение геологоразведочных работ на Ямбургском месторождении"/>
    <s v="Актуализация Календарного плана без изменения общей суммы по ДД"/>
    <s v="Блинова Д.М."/>
    <s v="Блинова Д.М."/>
    <s v="Договорный документ"/>
    <s v="Управление экономического планирования и анализа"/>
    <s v="Волков Г.В."/>
    <s v="На бумажном носителе"/>
    <s v="С ограничением по срокам "/>
    <d v="2024-09-30T00:00:00"/>
    <d v="2025-12-31T00:00:00"/>
    <s v="Д-16"/>
    <s v="Договор возмездного оказания услуг"/>
    <s v="Не предполагает взаиморасчетов"/>
    <s v="Рамочный"/>
    <s v=""/>
    <s v=""/>
    <s v=""/>
    <s v=""/>
    <s v=""/>
    <s v=""/>
    <s v="нет"/>
    <s v="нет"/>
    <s v=""/>
    <s v=""/>
    <s v=""/>
    <s v=""/>
    <s v="нет"/>
  </r>
  <r>
    <s v="Газпромнефть-ГЕО, ООО"/>
    <s v="0000091084"/>
    <s v="Зарегистрирован"/>
    <d v="2022-05-01T00:00:00"/>
    <s v=""/>
    <x v="198"/>
    <s v="561003662278"/>
    <s v=""/>
    <s v="ГЕО-22/04300/00123/Р"/>
    <s v="ГЕО-22/04300/00123/Р"/>
    <s v="Нетиповой ДД"/>
    <x v="2"/>
    <s v=""/>
    <s v="00479-22"/>
    <s v=""/>
    <s v="Договор аренды земельных участков"/>
    <s v="аренда земельных участков для размещения промышленных объектов и проезда к ним"/>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2-05-01T00:00:00"/>
    <d v="2023-03-31T00:00:00"/>
    <s v="Д-61"/>
    <s v="Договор аренды недвижимости"/>
    <s v="Расходная часть"/>
    <s v="Стоимостной"/>
    <s v="без НДС"/>
    <s v=""/>
    <s v=""/>
    <s v="29 107.39"/>
    <s v="29 107.39"/>
    <n v="0"/>
    <s v="нет"/>
    <s v="нет"/>
    <s v=""/>
    <s v=""/>
    <s v=""/>
    <s v=""/>
    <s v="нет"/>
  </r>
  <r>
    <s v="Газпромнефть-ГЕО, ООО"/>
    <s v="0000061621"/>
    <s v="Зарегистрирован"/>
    <d v="2023-10-18T00:00:00"/>
    <s v=""/>
    <x v="57"/>
    <s v="6381010888"/>
    <s v=""/>
    <s v="ГЕО-23/10000/00171/Р"/>
    <s v="ГЕО-23/10000/00171/Р"/>
    <s v="Нетиповой ДД"/>
    <x v="2"/>
    <s v=""/>
    <s v="00479-23"/>
    <s v=""/>
    <s v="Договор на оказания услуг по телеметрическому и технологическое  сопровождение при наклонно-направленном и горизонтальном бурении на проекте Южный Оренбург "/>
    <s v="Договор на оказания услуг по телеметрическому и технологическое  сопровождение при наклонно-направленном и горизонтальном бурении на проекте Южный Оренбург "/>
    <s v="Макаринский Е.Ю."/>
    <s v="Кольцов К.В."/>
    <s v="Договорный документ"/>
    <s v="Блок главного инженера"/>
    <s v="Трифонов А.В."/>
    <s v="ЭП"/>
    <s v="С ограничением по срокам "/>
    <d v="2023-09-20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5 148 830.07"/>
    <s v="20 957 358.39"/>
    <s v="4 191 471.68"/>
    <s v="нет"/>
    <s v="нет"/>
    <s v=""/>
    <s v=""/>
    <s v=""/>
    <s v=""/>
    <s v="нет"/>
  </r>
  <r>
    <s v="Газпромнефть-ГЕО, ООО"/>
    <s v="0000061621"/>
    <s v="Зарегистрирован"/>
    <d v="2024-08-28T00:00:00"/>
    <s v=""/>
    <x v="57"/>
    <s v="6381010888"/>
    <s v=""/>
    <s v="ГЕО-24/10000/00154/Р"/>
    <s v="ГЕО-24/10000/00154/Р"/>
    <s v="Нетиповой ДД"/>
    <x v="2"/>
    <s v=""/>
    <s v="00479-24"/>
    <s v=""/>
    <s v="Договор с ООО &quot;Траектория-Сервис&quot; на оказание услуг по телеметрическому и технологическому сопровождению при наклонно-направленном и горизонтальном бурении"/>
    <s v="Телеметрическое и технологическое сопровождение при наклонно-направленном и горизонтальном бурении на проекте Южный Оренбург"/>
    <s v="Васильева А.И."/>
    <s v="Окунев В.Н."/>
    <s v="Договорный документ"/>
    <s v="Блок главного инженера"/>
    <s v="Трифонов А.В."/>
    <s v="На бумажном носителе"/>
    <s v="С ограничением по срокам "/>
    <d v="2024-08-28T00:00:00"/>
    <d v="2029-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228244933.33"/>
    <s v="1 097 408 923.39"/>
    <s v="914 507 436.16"/>
    <s v="182 901 487.23"/>
    <s v="да"/>
    <s v="нет"/>
    <s v=""/>
    <s v=""/>
    <s v=""/>
    <s v=""/>
    <s v="да"/>
  </r>
  <r>
    <s v="Газпромнефть-ГЕО, ООО"/>
    <s v="0000070846"/>
    <s v="Зарегистрирован"/>
    <d v="2021-07-26T00:00:00"/>
    <s v=""/>
    <x v="132"/>
    <s v="7014052636"/>
    <s v="АНГ-18/10501/00257/Р"/>
    <s v=""/>
    <s v="3"/>
    <s v="Нетиповой ДД"/>
    <x v="0"/>
    <s v=""/>
    <s v="00480-21"/>
    <s v=""/>
    <s v="Обслуживание погружных установок электроцентробежных насосов"/>
    <s v="Выполнение производственной программы"/>
    <s v="Жданов А.С."/>
    <s v="Жданов А.С."/>
    <s v="Договорный документ"/>
    <s v="Производственно-технологический департамент"/>
    <s v="Перфильев Д.А."/>
    <s v="На бумажном носителе"/>
    <s v="С ограничением по срокам "/>
    <d v="2021-08-16T00:00:00"/>
    <d v="2024-12-31T00:00:00"/>
    <s v="Д-22"/>
    <s v="Обслуживание погружных установок электроцентробежных насосов"/>
    <s v="Расходная часть"/>
    <s v="Стоимостной"/>
    <s v="20%"/>
    <s v=""/>
    <s v=""/>
    <s v="32 809 596.02"/>
    <s v="27 341 330.02"/>
    <s v="5 468 266.00"/>
    <s v="нет"/>
    <s v="нет"/>
    <s v=""/>
    <s v=""/>
    <s v=""/>
    <s v=""/>
    <s v="нет"/>
  </r>
  <r>
    <s v="Газпромнефть-ГЕО, ООО"/>
    <s v="0000084763"/>
    <s v="Зарегистрирован"/>
    <d v="2022-07-01T00:00:00"/>
    <s v=""/>
    <x v="334"/>
    <s v="5639004047"/>
    <s v=""/>
    <s v="ГЕО-22/04300/00120/Р"/>
    <s v="ГЕО-22/04300/00120/Р"/>
    <s v="Нетиповой ДД"/>
    <x v="1"/>
    <s v=""/>
    <s v="00480-22"/>
    <s v=""/>
    <s v="Соглашение об установлении сервитута в отношении части земельного участка (срочного, возмездного)"/>
    <s v="для проезда к скважине № 401ПО Западно-Рубежинск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2-07-01T00:00:00"/>
    <d v="2023-05-31T00:00:00"/>
    <s v="Д-61"/>
    <s v="Договор аренды недвижимости"/>
    <s v="Расходная часть"/>
    <s v="Стоимостной"/>
    <s v="20%"/>
    <s v=""/>
    <s v=""/>
    <n v="0.84"/>
    <n v="0.7"/>
    <n v="0.14000000000000001"/>
    <s v="нет"/>
    <s v="нет"/>
    <s v=""/>
    <s v=""/>
    <s v=""/>
    <s v=""/>
    <s v="нет"/>
  </r>
  <r>
    <s v="Газпромнефть-ГЕО, ООО"/>
    <s v="0000063179"/>
    <s v="Зарегистрирован"/>
    <d v="2023-09-18T00:00:00"/>
    <s v=""/>
    <x v="54"/>
    <s v="7727747172"/>
    <s v="ГЕО-20/10986/00138/Р от 10.08.2020г. "/>
    <s v=""/>
    <s v="42"/>
    <s v="Нетиповой ДД"/>
    <x v="8"/>
    <s v=""/>
    <s v="00480-23"/>
    <s v=""/>
    <s v="Задание № 42 к Договору № ГЕО-20/10986/00138/Р от 10.08.2020 г."/>
    <s v="На привлечение супервайзера производственной безопасности в офис «Супервайзер в СПб» региона «Все федеральные округа»"/>
    <s v="Мормышев А.А."/>
    <s v="Фокин Е.В."/>
    <s v="Договорный документ"/>
    <s v="Блок производственной безопасности"/>
    <s v="Михайлов Ю.А."/>
    <s v="ЭП"/>
    <s v="С ограничением по срокам "/>
    <d v="2023-09-18T00:00:00"/>
    <d v="2023-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862 156.80"/>
    <s v="718 464.00"/>
    <s v="143 692.80"/>
    <s v="нет"/>
    <s v="нет"/>
    <s v=""/>
    <s v=""/>
    <s v=""/>
    <s v=""/>
    <s v="нет"/>
  </r>
  <r>
    <s v="Газпромнефть-ГЕО, ООО"/>
    <s v="0000109980"/>
    <s v="Зарегистрирован"/>
    <d v="2024-08-16T00:00:00"/>
    <s v=""/>
    <x v="335"/>
    <s v="7838112072"/>
    <s v=""/>
    <s v="ГЕО-24/26000/00144"/>
    <s v="ГЕО-24/26000/00144"/>
    <s v="Типовой ДД"/>
    <x v="1"/>
    <s v="26000 Соглашение о конфиденциальности с российским контрагентом"/>
    <s v="00480-24"/>
    <s v=""/>
    <s v="26000 Соглашение о конфиденциальности с российским контрагентом"/>
    <s v="В связи с предпроектной проработкой НИОКР &quot;Многофазный глубинный пробоотборник&quot;"/>
    <s v="Лобанов А.А."/>
    <s v="Лобанов А.А."/>
    <s v="Договорный документ"/>
    <s v="Управление по геологии"/>
    <s v="Трифонов А.В."/>
    <s v="ЭП"/>
    <s v="Без сроков "/>
    <d v="2024-08-16T00:00:00"/>
    <s v=""/>
    <s v="Д-45"/>
    <s v="Соглашение о конфиденциальности"/>
    <s v="Не предполагает взаиморасчетов"/>
    <s v="Рамочный"/>
    <s v=""/>
    <s v=""/>
    <s v=""/>
    <s v=""/>
    <s v=""/>
    <s v=""/>
    <s v="нет"/>
    <s v="нет"/>
    <s v=""/>
    <s v=""/>
    <s v=""/>
    <s v=""/>
    <s v="нет"/>
  </r>
  <r>
    <s v="Газпромнефть-ГЕО, ООО"/>
    <s v="0000069013"/>
    <s v="Зарегистрирован"/>
    <d v="2021-06-05T00:00:00"/>
    <s v=""/>
    <x v="114"/>
    <s v="7203218005"/>
    <s v="ГЕО-21/10924/00124/Р"/>
    <s v=""/>
    <s v="1"/>
    <s v="Нетиповой ДД"/>
    <x v="0"/>
    <s v=""/>
    <s v="00481-21"/>
    <s v=""/>
    <s v="Дополнительное соглашение №1 к Договору № ГЕО-21/10924/00124/Р от 12.05.2021 г. "/>
    <s v="Для оказания услуги 10924 «Экологический мониторинг месторождений» в Уральском ФО (Пухуцяяхский ЛУ), Сибирском ФО и Приволжском ФО (Первомайский ЛУ) "/>
    <s v="Ушакова М.А."/>
    <s v="Багаутдинова И.А."/>
    <s v="Договорный документ"/>
    <s v="Блок производственной безопасности"/>
    <s v="Власов М.М."/>
    <s v="На бумажном носителе"/>
    <s v="С ограничением по срокам "/>
    <d v="2021-06-05T00:00:00"/>
    <d v="2024-12-31T00:00:00"/>
    <s v=""/>
    <s v="Экологический мониторинг месторождений"/>
    <s v="Не предполагает взаиморасчетов"/>
    <s v=""/>
    <s v=""/>
    <s v=""/>
    <s v=""/>
    <s v=""/>
    <s v=""/>
    <s v=""/>
    <s v="нет"/>
    <s v="нет"/>
    <s v=""/>
    <s v=""/>
    <s v=""/>
    <s v=""/>
    <s v="нет"/>
  </r>
  <r>
    <s v="Газпромнефть-ГЕО, ООО"/>
    <s v="0000084590"/>
    <s v="Зарегистрирован"/>
    <d v="2023-09-19T00:00:00"/>
    <s v=""/>
    <x v="61"/>
    <s v="7708277130"/>
    <s v="ГЕО-23/09000/00149/Р"/>
    <s v=""/>
    <s v="1"/>
    <s v="Нетиповой ДД"/>
    <x v="7"/>
    <s v=""/>
    <s v="00481-23"/>
    <s v=""/>
    <s v="Заявка № 1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Титан», скв. № 1ПО Северо-Ямбургского ЛУ."/>
    <s v="Фокин Е.В."/>
    <s v="Фокин Е.В."/>
    <s v="Договорный документ"/>
    <s v="Управление производственной безопасности"/>
    <s v="Михайлов Ю.А."/>
    <s v="ЭП"/>
    <s v="С ограничением по срокам "/>
    <d v="2023-09-19T00:00:00"/>
    <d v="2024-01-31T00:00:00"/>
    <s v="Д-2"/>
    <s v="Договор возмездного оказания услуг"/>
    <s v="Расходная часть"/>
    <s v="Рамочный"/>
    <s v="20%"/>
    <s v=""/>
    <s v=""/>
    <s v="5 529 508.42"/>
    <s v="4 607 923.68"/>
    <s v="921 584.74"/>
    <s v="нет"/>
    <s v="нет"/>
    <s v=""/>
    <s v=""/>
    <s v=""/>
    <s v=""/>
    <s v="нет"/>
  </r>
  <r>
    <s v="Газпромнефть-ГЕО, ООО"/>
    <s v="0000068695"/>
    <s v="Зарегистрирован"/>
    <d v="2024-08-14T00:00:00"/>
    <s v=""/>
    <x v="77"/>
    <s v="1106013435"/>
    <s v="ГЕО-21/10306/00256/Р"/>
    <s v=""/>
    <s v="8"/>
    <s v="Нетиповой ДД"/>
    <x v="0"/>
    <s v=""/>
    <s v="00481-24"/>
    <s v=""/>
    <s v="ДС №8 к ДД №ГЕО-21/10306/00256/Р"/>
    <s v="Заключение ДС №8 к ДД №ГЕО-21/10306/00256/Р о продлении срока выполнения работ до 2025г и раскрытие НГО"/>
    <s v="Покатов О.Н."/>
    <s v=""/>
    <s v="Договорный документ"/>
    <s v="Блок главного инженера"/>
    <s v="Трифонов А.В."/>
    <s v="ЭП"/>
    <s v="С ограничением по срокам "/>
    <d v="2024-08-14T00:00:00"/>
    <d v="2025-12-31T00:00:00"/>
    <s v=""/>
    <s v="Цементирование обсадных колонн и хвостовиков, установка цементных мостов"/>
    <s v="Не предполагает взаиморасчетов"/>
    <s v=""/>
    <s v=""/>
    <s v=""/>
    <s v=""/>
    <s v=""/>
    <s v=""/>
    <s v=""/>
    <s v="нет"/>
    <s v="нет"/>
    <s v=""/>
    <s v=""/>
    <s v=""/>
    <s v=""/>
    <s v="нет"/>
  </r>
  <r>
    <s v="Газпромнефть-ГЕО, ООО"/>
    <s v="0000068442"/>
    <s v="Зарегистрирован"/>
    <d v="2023-09-18T00:00:00"/>
    <s v=""/>
    <x v="92"/>
    <s v="5611027573"/>
    <s v="ГЕО-21/09000/00198/Р"/>
    <s v=""/>
    <s v="7"/>
    <s v="Нетиповой ДД"/>
    <x v="0"/>
    <s v=""/>
    <s v="00482-23"/>
    <s v=""/>
    <s v="ДОПОЛНИТЕЛЬНОЕ СОГЛАШЕНИЕ № 7 К ДОГОВОРУ № ГЕО-21/09000/00198/Р от 06.09.2021 г.  возмездного оказания услуг по охране объектов"/>
    <s v="Продление срока действия договора и срока оказания услуг, а также перераспределение объёмов услуг между статьями затрат и между годами и перевод негарантированного объема услуг в гарантированный"/>
    <s v="Данилов М.В."/>
    <s v="Данилов М.В."/>
    <s v="Договорный документ"/>
    <s v="Блок корпоративной защиты"/>
    <s v="Созинов С.А."/>
    <s v="ЭП"/>
    <s v="С ограничением по срокам "/>
    <d v="2023-10-01T00:00:00"/>
    <d v="2024-02-29T00:00:00"/>
    <s v="Д-60"/>
    <s v="Договор возмездного оказания услуг"/>
    <s v="Расходная часть"/>
    <s v="Рамочный"/>
    <s v="без НДС"/>
    <s v=""/>
    <s v=""/>
    <s v="39 399 587.93"/>
    <s v="39 399 587.93"/>
    <n v="0"/>
    <s v="нет"/>
    <s v="нет"/>
    <s v=""/>
    <s v=""/>
    <s v=""/>
    <s v=""/>
    <s v="нет"/>
  </r>
  <r>
    <s v="Газпромнефть-ГЕО, ООО"/>
    <s v="0000037860"/>
    <s v="Зарегистрирован"/>
    <d v="2024-08-23T00:00:00"/>
    <s v=""/>
    <x v="20"/>
    <s v="7714024384"/>
    <s v="ГЕО-23/10318/00010/Р+ ПР + ПУР"/>
    <s v=""/>
    <s v="1"/>
    <s v="Нетиповой ДД"/>
    <x v="4"/>
    <s v=""/>
    <s v="00482-24"/>
    <s v="2"/>
    <s v="Изменение №1 к Наряд-заказу №2 к Договору №ГЕО-23/10318/00010/Р от 10.01.2023"/>
    <s v="Корректировка объема работ"/>
    <s v="Ушакова М.А."/>
    <s v=""/>
    <s v="Договорный документ"/>
    <s v="Блок геологии и разработки"/>
    <s v="Аксенов М.А."/>
    <s v="ЭП"/>
    <s v="С ограничением по срокам "/>
    <d v="2024-08-23T00:00:00"/>
    <d v="2024-12-31T00:00:00"/>
    <s v=""/>
    <s v="Отбор керна при бурении и реконструкции скважин"/>
    <s v="Расходная часть"/>
    <s v="Рамочный"/>
    <s v="20%"/>
    <s v=""/>
    <s v=""/>
    <s v="9 239 728.15"/>
    <s v="7 699 773.46"/>
    <s v="1 539 954.69"/>
    <s v="нет"/>
    <s v="нет"/>
    <s v=""/>
    <s v=""/>
    <s v=""/>
    <s v=""/>
    <s v="нет"/>
  </r>
  <r>
    <s v="Газпромнефть-ГЕО, ООО"/>
    <s v="0000062188"/>
    <s v="Зарегистрирован"/>
    <d v="2021-07-23T00:00:00"/>
    <s v=""/>
    <x v="336"/>
    <s v="7819316190"/>
    <s v="ГЕО-19/09000/00267/Р"/>
    <s v=""/>
    <s v="2"/>
    <s v="Нетиповой ДД"/>
    <x v="0"/>
    <s v=""/>
    <s v="00483-21"/>
    <s v=""/>
    <s v="на оказание фото- и видео услуг"/>
    <s v="Перераспределение объема услуг по договору без изменения общей стоимости по договору_x000d__x000a_"/>
    <s v="Каратеева М.О."/>
    <s v="Каратеева М.О."/>
    <s v="Договорный документ"/>
    <s v="Отдел по корпоративным коммуникациям"/>
    <s v="Масалкин Ю.В."/>
    <s v="На бумажном носителе"/>
    <s v="С ограничением по срокам "/>
    <d v="2021-07-23T00:00:00"/>
    <d v="2023-12-31T00:00:00"/>
    <s v=""/>
    <s v="Договор возмездного оказания услуг"/>
    <s v="Не предполагает взаиморасчетов"/>
    <s v="Рамочный"/>
    <s v=""/>
    <s v=""/>
    <s v=""/>
    <s v=""/>
    <s v=""/>
    <s v=""/>
    <s v="нет"/>
    <s v="нет"/>
    <s v=""/>
    <s v=""/>
    <s v=""/>
    <s v=""/>
    <s v="нет"/>
  </r>
  <r>
    <s v="Газпромнефть-ГЕО, ООО"/>
    <s v="0000073273"/>
    <s v="Зарегистрирован"/>
    <d v="2022-06-01T00:00:00"/>
    <s v=""/>
    <x v="21"/>
    <s v="5610218014"/>
    <s v="ГЕО-20/10537/00066/Р"/>
    <s v=""/>
    <s v="2"/>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483-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Применение УПД в качестве единого документа для целей БУ"/>
    <s v="Кузнецов В.И."/>
    <s v="Кузнецов В.И."/>
    <s v="Договорный документ"/>
    <s v="Производственно-технологический департамент"/>
    <s v="Перфильев Д.А."/>
    <s v="На бумажном носителе"/>
    <s v="До исполнения обязательств"/>
    <d v="2022-06-01T00:00:00"/>
    <s v=""/>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1621"/>
    <s v="Зарегистрирован"/>
    <d v="2024-08-14T00:00:00"/>
    <s v=""/>
    <x v="57"/>
    <s v="6381010888"/>
    <s v="ГЕО-21/10301/00259/Р"/>
    <s v=""/>
    <s v="6"/>
    <s v="Нетиповой ДД"/>
    <x v="0"/>
    <s v=""/>
    <s v="00483-24"/>
    <s v=""/>
    <s v="ДС №6 к договору ГЕО-21/10301/00259/Р"/>
    <s v="Заключение ДС №6 к договору ГЕО-21/10301/00259/Р о продлении выполнения работ до 2025 года и раскрытии НГО"/>
    <s v="Покатов О.Н."/>
    <s v=""/>
    <s v="Договорный документ"/>
    <s v="Блок главного инженера"/>
    <s v="Трифонов А.В."/>
    <s v="ЭП"/>
    <s v="С ограничением по срокам "/>
    <d v="2024-08-14T00:00:00"/>
    <d v="2025-12-31T00:00:00"/>
    <s v=""/>
    <s v="Технологическое сопровождение (прокат) буровых долот"/>
    <s v="Не предполагает взаиморасчетов"/>
    <s v=""/>
    <s v=""/>
    <s v=""/>
    <s v=""/>
    <s v=""/>
    <s v=""/>
    <s v=""/>
    <s v="нет"/>
    <s v="нет"/>
    <s v=""/>
    <s v=""/>
    <s v=""/>
    <s v=""/>
    <s v="нет"/>
  </r>
  <r>
    <s v="Газпромнефть-ГЕО, ООО"/>
    <s v="0000069013"/>
    <s v="Зарегистрирован"/>
    <d v="2021-06-05T00:00:00"/>
    <s v=""/>
    <x v="114"/>
    <s v="7203218005"/>
    <s v="ГЕО-21/10924/00124/Р"/>
    <s v=""/>
    <s v="1"/>
    <s v="Нетиповой ДД"/>
    <x v="3"/>
    <s v=""/>
    <s v="00484-21"/>
    <s v=""/>
    <s v="НАРЯД-ЗАКАЗ № 1 к Договору № ГЕО-21/10924/00124/Р от 12.05.2021 г."/>
    <s v="Проведение локального экологического мониторинга компонентов окружающей среды в 2021 г. в ДФО, ПФО, СФО, УФО."/>
    <s v="Ушакова М.А."/>
    <s v="Багаутдинова И.А."/>
    <s v="Договорный документ"/>
    <s v="Блок производственной безопасности"/>
    <s v="Власов М.М."/>
    <s v="На бумажном носителе"/>
    <s v="С ограничением по срокам "/>
    <d v="2021-06-05T00:00:00"/>
    <d v="2021-12-31T00:00:00"/>
    <s v=""/>
    <s v="Экологический мониторинг месторождений"/>
    <s v="Не предполагает взаиморасчетов"/>
    <s v=""/>
    <s v=""/>
    <s v=""/>
    <s v=""/>
    <s v=""/>
    <s v=""/>
    <s v=""/>
    <s v="нет"/>
    <s v="нет"/>
    <s v=""/>
    <s v=""/>
    <s v=""/>
    <s v=""/>
    <s v="нет"/>
  </r>
  <r>
    <s v="Газпромнефть-ГЕО, ООО"/>
    <s v=""/>
    <s v="Зарегистрирован"/>
    <d v="2023-08-18T00:00:00"/>
    <s v=""/>
    <x v="337"/>
    <s v=""/>
    <s v=""/>
    <s v="ГЕО-23/08000/00156/Р"/>
    <s v="ГЕО-23/08000/00156/Р"/>
    <s v="Нетиповой ДД"/>
    <x v="2"/>
    <s v=""/>
    <s v="00484-23"/>
    <s v=""/>
    <s v="Договор по проведение ГИС Оморинский ЛУ"/>
    <s v="проведение геофизических исследований при строительстве/реконструкции скважин/ на проведение прострелочно-взрывных работ/ на проведение гидродинамических исследований / проведение промысловых геофизических исследований скважин при контроле за разработкой"/>
    <s v="Ябиров Р.З."/>
    <s v=""/>
    <s v="Договорный документ"/>
    <s v="Блок геологии и разработки"/>
    <s v="Аксенов М.А."/>
    <s v="На бумажном носителе"/>
    <s v="С ограничением по срокам "/>
    <d v="2023-08-18T00:00:00"/>
    <d v="2024-12-31T00:00:00"/>
    <s v="Д-54"/>
    <s v="Договор на выполнение НИР, ОКР и технологических работ"/>
    <s v="Расходная часть"/>
    <s v="Рамочный"/>
    <s v="20%"/>
    <s v=""/>
    <s v=""/>
    <s v="1 139 473 437.16"/>
    <s v="949 561 197.63"/>
    <s v="189 912 239.53"/>
    <s v="нет"/>
    <s v="нет"/>
    <s v=""/>
    <s v=""/>
    <s v=""/>
    <s v=""/>
    <s v="нет"/>
  </r>
  <r>
    <s v="Газпромнефть-ГЕО, ООО"/>
    <s v="0000104605"/>
    <s v="Зарегистрирован"/>
    <d v="2024-08-21T00:00:00"/>
    <s v=""/>
    <x v="55"/>
    <s v="9705112341"/>
    <s v=""/>
    <s v="ГЕО-24/33200/00149"/>
    <s v="ГЕО-24/33200/00149"/>
    <s v="Типовой ДД"/>
    <x v="1"/>
    <s v="33200 Соглашение об электронном документообороте"/>
    <s v="00484-24"/>
    <s v=""/>
    <s v="33200 Соглашение об электронном документообороте"/>
    <s v="Переход на ЭДО"/>
    <s v="Раковица Д.К."/>
    <s v="Раковица Д.К."/>
    <s v="Договорный документ"/>
    <s v="Отдел подготовительных работ и экономического анализа"/>
    <s v="Трифонов А.В."/>
    <s v="ЭП"/>
    <s v="До исполнения обязательств"/>
    <d v="2024-08-21T00:00:00"/>
    <s v=""/>
    <s v="Д-8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7565"/>
    <s v="Зарегистрирован"/>
    <d v="2021-07-15T00:00:00"/>
    <s v=""/>
    <x v="227"/>
    <s v="8603087486"/>
    <s v="№ ГЕО-19/11019/00293/Р/2075-19АН от 02.12.2019"/>
    <s v=""/>
    <s v="2"/>
    <s v="Нетиповой ДД"/>
    <x v="0"/>
    <s v=""/>
    <s v="00485-21"/>
    <s v=""/>
    <s v="Дополнительное соглашение №2"/>
    <s v="Изменение условий договора согласно внутренним нормативным документам Заказчика;_x000d__x000a_Продление сроков оказания услуг АН, срока действия договора.  (!) Без изменения суммы договора "/>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7-15T00:00:00"/>
    <d v="2022-12-31T00:00:00"/>
    <s v="Д-22"/>
    <s v="ПИР Объекты добычи, подготовки и транспорта нефти, вкл. авторский надзор"/>
    <s v="Не предполагает взаиморасчетов"/>
    <s v=""/>
    <s v=""/>
    <s v=""/>
    <s v=""/>
    <s v=""/>
    <s v=""/>
    <s v=""/>
    <s v="нет"/>
    <s v="нет"/>
    <s v=""/>
    <s v=""/>
    <s v=""/>
    <s v=""/>
    <s v="нет"/>
  </r>
  <r>
    <s v="Газпромнефть-ГЕО, ООО"/>
    <s v="0000073305"/>
    <s v="Закрыт"/>
    <d v="2022-06-01T00:00:00"/>
    <s v=""/>
    <x v="64"/>
    <s v="8904080406"/>
    <s v=""/>
    <s v="ГЕО-22/20000/00118/Д"/>
    <s v="ГЕО-22/20000/00118/Д"/>
    <s v="Нетиповой ДД"/>
    <x v="2"/>
    <s v=""/>
    <s v="00485-22"/>
    <s v=""/>
    <s v="Агентский договор на организацию вертолетных авиаперевозок с ООО «УГМ»"/>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2-06-01T00:00:00"/>
    <d v="2022-12-31T00:00:00"/>
    <s v="Д-56"/>
    <s v="Агентский договор"/>
    <s v="Доходная часть"/>
    <s v="Агентский"/>
    <s v="20%"/>
    <s v=""/>
    <s v=""/>
    <s v="199 680.00"/>
    <s v="166 400.00"/>
    <s v="33 280.00"/>
    <s v="нет"/>
    <s v="нет"/>
    <s v=""/>
    <s v=""/>
    <s v=""/>
    <s v=""/>
    <s v="нет"/>
  </r>
  <r>
    <s v="Газпромнефть-ГЕО, ООО"/>
    <s v=""/>
    <s v="Зарегистрирован"/>
    <d v="2023-08-21T00:00:00"/>
    <s v=""/>
    <x v="337"/>
    <s v=""/>
    <s v=""/>
    <s v="ГЕО-23/08000/00158/Р"/>
    <s v="ГЕО-23/08000/00158/Р"/>
    <s v="Нетиповой ДД"/>
    <x v="2"/>
    <s v=""/>
    <s v="00485-23"/>
    <s v=""/>
    <s v="Договор на проведение ГИС Ю.Оренбург"/>
    <s v="на проведение геофизических исследований при строительстве/реконструкции скважин/ на проведение прострелочно-взрывных работ/ на проведение гидродинамических исследований / проведение промысловых геофизических исследований скважин при контроле за разработкой"/>
    <s v="Ябиров Р.З."/>
    <s v=""/>
    <s v="Договорный документ"/>
    <s v="Блок геологии и разработки"/>
    <s v="Аксенов М.А."/>
    <s v="На бумажном носителе"/>
    <s v="С ограничением по срокам "/>
    <d v="2023-08-21T00:00:00"/>
    <d v="2023-12-31T00:00:00"/>
    <s v=""/>
    <s v="Договор на выполнение НИР, ОКР и технологических работ"/>
    <s v="Расходная часть"/>
    <s v="Рамочный"/>
    <s v="20%"/>
    <s v=""/>
    <s v=""/>
    <s v="1 810 793 594.08"/>
    <s v="1 508 994 661.73"/>
    <s v="301 798 932.35"/>
    <s v="нет"/>
    <s v="нет"/>
    <s v=""/>
    <s v=""/>
    <s v=""/>
    <s v=""/>
    <s v="нет"/>
  </r>
  <r>
    <s v="Газпромнефть-ГЕО, ООО"/>
    <s v="0000065849"/>
    <s v="Зарегистрирован"/>
    <d v="2024-08-19T00:00:00"/>
    <s v=""/>
    <x v="73"/>
    <s v="7816556691"/>
    <s v="ГЕО-24/09100/00024/Р"/>
    <s v=""/>
    <s v="2"/>
    <s v="Нетиповой ДД"/>
    <x v="0"/>
    <s v=""/>
    <s v="00485-24"/>
    <s v=""/>
    <s v="ДОПОЛНИТЕЛЬНОЕ СОГЛАШЕНИЕ 2 к Договору на оказание услуг № ГЕО-24/09100/00024/Р от 08.02.2024г."/>
    <s v="Перевод негарантированного объема услуг 2025-2026 г.  в гарантированный и негарантированный объем услуг 2024 г , без изменения  общей стоимости и срока действия договора."/>
    <s v="Северюхина Н.В."/>
    <s v="Северюхина Н.В."/>
    <s v="Договорный документ"/>
    <s v="Управление по работе с персоналом"/>
    <s v="Трифонов А.В."/>
    <s v="На бумажном носителе"/>
    <s v="С ограничением по срокам "/>
    <d v="2024-08-19T00:00:00"/>
    <d v="2026-12-31T00:00:00"/>
    <s v="Д-82"/>
    <s v="Договор на обучение (тренинги, семинары и проч.)"/>
    <s v="Расходная часть"/>
    <s v="Стоимостной"/>
    <s v="20%"/>
    <s v=""/>
    <s v=""/>
    <s v="356 584 320.00"/>
    <s v="297 153 600.00"/>
    <s v="59 430 720.00"/>
    <s v="нет"/>
    <s v="нет"/>
    <s v=""/>
    <s v=""/>
    <s v=""/>
    <s v=""/>
    <s v="нет"/>
  </r>
  <r>
    <s v="Газпромнефть-ГЕО, ООО"/>
    <s v="0000058622"/>
    <s v="Закрыт"/>
    <d v="2021-07-21T00:00:00"/>
    <s v=""/>
    <x v="338"/>
    <s v="8603151854"/>
    <s v=""/>
    <s v="ГЕО-21/00000/00173/Р"/>
    <s v="ГЕО-21/00000/00173/Р"/>
    <s v="Нетиповой ДД"/>
    <x v="1"/>
    <s v=""/>
    <s v="00486-21"/>
    <s v=""/>
    <s v="Уведомление - соглашение о факторинге по договору ДП_67942_66106_42290"/>
    <s v="Заключение договора факторинга по оплате по договору поставки ДП_67942_66106_42290 от 03.08.2020 г."/>
    <s v="Лесняк Н.А."/>
    <s v="Лесняк Наталья Александровна"/>
    <s v="Договорный документ"/>
    <s v="Управление материально-технического обеспечения, транспортного обеспечения и сопутствующих сервисов"/>
    <s v="Масалкин Ю.В."/>
    <s v="На бумажном носителе"/>
    <s v="До исполнения обязательств"/>
    <d v="2022-07-31T00:00:00"/>
    <s v=""/>
    <s v=""/>
    <s v="ПРОЧИЕ ДОГОВОРЫ"/>
    <s v="Расходная часть"/>
    <s v="Стоимостной"/>
    <s v="20%"/>
    <s v=""/>
    <s v=""/>
    <s v="77 910 000.00"/>
    <s v="64 925 000.00"/>
    <s v="12 985 000.00"/>
    <s v="нет"/>
    <s v="нет"/>
    <s v=""/>
    <s v=""/>
    <s v=""/>
    <s v=""/>
    <s v="нет"/>
  </r>
  <r>
    <s v="Газпромнефть-ГЕО, ООО"/>
    <s v="0000092415"/>
    <s v="Зарегистрирован"/>
    <d v="2022-06-01T00:00:00"/>
    <s v=""/>
    <x v="196"/>
    <s v="7728142525"/>
    <s v="ГЕО-19/09000/00227/Р"/>
    <s v=""/>
    <s v="3"/>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486-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Потемкина И.В."/>
    <s v="Потемкина И.В."/>
    <s v="Договорный документ"/>
    <s v="Отдел административной поддержки бизнеса"/>
    <s v="Буракова О.В."/>
    <s v="На бумажном носителе"/>
    <s v="Без сроков "/>
    <d v="2022-06-01T00:00:00"/>
    <s v=""/>
    <s v="Д-4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Зарегистрирован"/>
    <d v="2023-08-18T00:00:00"/>
    <s v=""/>
    <x v="337"/>
    <s v=""/>
    <s v=""/>
    <s v="ГЕО-23/08000/00157/Р"/>
    <s v="ГЕО-23/08000/00157/Р"/>
    <s v="Нетиповой ДД"/>
    <x v="2"/>
    <s v=""/>
    <s v="00486-23"/>
    <s v=""/>
    <s v="Договор на проведение ГИС Енисей"/>
    <s v="на проведение геофизических исследований при строительстве/реконструкции скважин/ на проведение прострелочно-взрывных работ/ на проведение гидродинамических исследований / проведение промысловых геофизических исследований скважин при контроле за разработкой"/>
    <s v="Ябиров Р.З."/>
    <s v=""/>
    <s v="Договорный документ"/>
    <s v="Блок геологии и разработки"/>
    <s v="Аксенов М.А."/>
    <s v="На бумажном носителе"/>
    <s v="С ограничением по срокам "/>
    <d v="2023-08-18T00:00:00"/>
    <d v="2023-12-31T00:00:00"/>
    <s v="Д-54"/>
    <s v="Договор на выполнение НИР, ОКР и технологических работ"/>
    <s v="Расходная часть"/>
    <s v="Рамочный"/>
    <s v="20%"/>
    <s v=""/>
    <s v=""/>
    <s v="232 846 370.86"/>
    <s v="194 038 642.38"/>
    <s v="38 807 728.48"/>
    <s v="нет"/>
    <s v="нет"/>
    <s v=""/>
    <s v=""/>
    <s v=""/>
    <s v=""/>
    <s v="нет"/>
  </r>
  <r>
    <s v="Газпромнефть-ГЕО, ООО"/>
    <s v="0000084590"/>
    <s v="Зарегистрирован"/>
    <d v="2024-09-01T00:00:00"/>
    <s v=""/>
    <x v="61"/>
    <s v="7708277130"/>
    <s v="ГЕО-23/09000/00149/Р"/>
    <s v=""/>
    <s v="21"/>
    <s v="Нетиповой ДД"/>
    <x v="3"/>
    <s v=""/>
    <s v="00486-24"/>
    <s v=""/>
    <s v="Заявка № 21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для проекта «Оморинский», Салаирская площадь, скважина СЛР-3."/>
    <s v="Фокин Е.В."/>
    <s v="Фокин Е.В."/>
    <s v="Договорный документ"/>
    <s v="Управление производственной безопасности"/>
    <s v="Михайлов Ю.А."/>
    <s v="ЭП"/>
    <s v="С ограничением по срокам "/>
    <d v="2024-09-01T00:00:00"/>
    <d v="2024-09-30T00:00:00"/>
    <s v="Д-2"/>
    <s v="Договор возмездного оказания услуг"/>
    <s v="Расходная часть"/>
    <s v="Рамочный"/>
    <s v="20%"/>
    <s v=""/>
    <s v=""/>
    <s v="1 161 710.71"/>
    <s v="968 092.26"/>
    <s v="193 618.45"/>
    <s v="нет"/>
    <s v="нет"/>
    <s v=""/>
    <s v=""/>
    <s v=""/>
    <s v=""/>
    <s v="нет"/>
  </r>
  <r>
    <s v="Газпромнефть-ГЕО, ООО"/>
    <s v="0000040642"/>
    <s v="Закрыт"/>
    <d v="2021-07-29T00:00:00"/>
    <s v=""/>
    <x v="4"/>
    <s v="7736035485"/>
    <s v=""/>
    <s v="ГЕО-21/17000/00174/Р"/>
    <s v="ГЕО-21/17000/00174/Р"/>
    <s v="Нетиповой ДД"/>
    <x v="2"/>
    <s v=""/>
    <s v="00487-21"/>
    <s v=""/>
    <s v="Договор страхования"/>
    <s v="Страхование гражданской ответственности"/>
    <s v="Крутова Е.С."/>
    <s v="Крутова Е.С. - Руководитель направления по ценообразованию и сметному нормированию"/>
    <s v="Договорный документ"/>
    <s v="Департамент капитального строительства"/>
    <s v="Перфильев Д.А."/>
    <s v="На бумажном носителе"/>
    <s v="С ограничением по срокам "/>
    <d v="2021-07-29T00:00:00"/>
    <d v="2022-07-28T00:00:00"/>
    <s v="Д-22"/>
    <s v="Договор страхования"/>
    <s v="Расходная часть"/>
    <s v="Стоимостной"/>
    <s v="без НДС"/>
    <s v=""/>
    <s v=""/>
    <s v="20 000.00"/>
    <s v="20 000.00"/>
    <n v="0"/>
    <s v="нет"/>
    <s v="нет"/>
    <s v=""/>
    <s v=""/>
    <s v=""/>
    <s v=""/>
    <s v="нет"/>
  </r>
  <r>
    <s v="Газпромнефть-ГЕО, ООО"/>
    <s v="0000091163"/>
    <s v="Зарегистрирован"/>
    <d v="2022-05-31T00:00:00"/>
    <s v=""/>
    <x v="149"/>
    <s v="5001063958"/>
    <s v="ГЕО-21/11505/00195/Р"/>
    <s v=""/>
    <s v="5"/>
    <s v="Нетиповой ДД"/>
    <x v="3"/>
    <s v=""/>
    <s v="00487-22"/>
    <s v=""/>
    <s v="Наряд-заказ № 5"/>
    <s v="Выполнение цифровой аэрофотосъемки (ЦАФС) и воздушно-лазерного сканирования (ВЛС) пилотируемым воздушным судном на территории Хамакинской площади Чаяндинского ЛУ (Республика Саха (Якутия). Номер района по ТЗ - 6)"/>
    <s v="Хохлов А.А."/>
    <s v="Хохлов А.А."/>
    <s v="Договорный документ"/>
    <s v="Управление маркшейдерско-землеустроительных работ"/>
    <s v="Перфильев Д.А."/>
    <s v="ЭП"/>
    <s v="С ограничением по срокам "/>
    <d v="2022-05-31T00:00:00"/>
    <d v="2022-12-31T00:00:00"/>
    <s v="Д-61"/>
    <s v="Аэрофотосъемка, космическая съемка. Создание ортофотопланов"/>
    <s v="Расходная часть"/>
    <s v="Рамочный"/>
    <s v="0%"/>
    <s v=""/>
    <s v=""/>
    <s v="15 418 520.00"/>
    <s v="15 418 520.00"/>
    <n v="0"/>
    <s v="нет"/>
    <s v="нет"/>
    <s v=""/>
    <s v=""/>
    <s v=""/>
    <s v=""/>
    <s v="нет"/>
  </r>
  <r>
    <s v="Газпромнефть-ГЕО, ООО"/>
    <s v=""/>
    <s v="Зарегистрирован"/>
    <d v="2023-08-31T00:00:00"/>
    <s v=""/>
    <x v="337"/>
    <s v=""/>
    <s v=""/>
    <s v="ГЕО-23/08000/00155/Р"/>
    <s v="ГЕО-23/08000/00155/Р"/>
    <s v="Нетиповой ДД"/>
    <x v="2"/>
    <s v=""/>
    <s v="00487-23"/>
    <s v=""/>
    <s v="Договор на проведение ГИС Титан"/>
    <s v="на проведение геофизических исследований при контроле за разработкой,  геофизических исследований при строительстве/реконструкции скважин, прострелочно-взрывных работ, вертикального сейсмического профилирования"/>
    <s v="Ябиров Р.З."/>
    <s v=""/>
    <s v="Договорный документ"/>
    <s v="Блок геологии и разработки"/>
    <s v="Аксенов М.А."/>
    <s v="На бумажном носителе"/>
    <s v="С ограничением по срокам "/>
    <d v="2023-08-31T00:00:00"/>
    <d v="2023-12-31T00:00:00"/>
    <s v="Д-54"/>
    <s v="Договор на выполнение НИР, ОКР и технологических работ"/>
    <s v="Расходная часть"/>
    <s v="Рамочный"/>
    <s v="20%"/>
    <s v=""/>
    <s v=""/>
    <s v="12 576 677.30"/>
    <s v="10 480 564.42"/>
    <s v="2 096 112.88"/>
    <s v="нет"/>
    <s v="нет"/>
    <s v=""/>
    <s v=""/>
    <s v=""/>
    <s v=""/>
    <s v="нет"/>
  </r>
  <r>
    <s v="Газпромнефть-ГЕО, ООО"/>
    <s v="0000084590"/>
    <s v="Зарегистрирован"/>
    <d v="2024-09-01T00:00:00"/>
    <s v=""/>
    <x v="61"/>
    <s v="7708277130"/>
    <s v="ГЕО-23/09000/00149/Р"/>
    <s v=""/>
    <s v="22"/>
    <s v="Нетиповой ДД"/>
    <x v="3"/>
    <s v=""/>
    <s v="00487-24"/>
    <s v=""/>
    <s v="Заявка № 22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для проекта «Оморинский», Камовская площадь, скважина КМ-4 бис."/>
    <s v="Фокин Е.В."/>
    <s v=""/>
    <s v="Договорный документ"/>
    <s v="Управление производственной безопасности"/>
    <s v="Михайлов Ю.А."/>
    <s v="ЭП"/>
    <s v="С ограничением по срокам "/>
    <d v="2024-09-01T00:00:00"/>
    <d v="2024-09-30T00:00:00"/>
    <s v="Д-2"/>
    <s v="Договор возмездного оказания услуг"/>
    <s v="Расходная часть"/>
    <s v="Рамочный"/>
    <s v="20%"/>
    <s v=""/>
    <s v=""/>
    <s v="1 161 710.71"/>
    <s v="968 092.26"/>
    <s v="193 618.45"/>
    <s v="нет"/>
    <s v="нет"/>
    <s v=""/>
    <s v=""/>
    <s v=""/>
    <s v=""/>
    <s v="нет"/>
  </r>
  <r>
    <s v="Газпромнефть-ГЕО, ООО"/>
    <s v="0000045789"/>
    <s v="Зарегистрирован"/>
    <d v="2021-07-28T00:00:00"/>
    <s v=""/>
    <x v="16"/>
    <s v="7838395487"/>
    <s v="ГЕО-19/10124/00001/Р от 09.01.2019"/>
    <s v=""/>
    <s v="НТЦ-01340-21Д-ГЕО"/>
    <s v="Нетиповой ДД"/>
    <x v="3"/>
    <s v=""/>
    <s v="00488-21"/>
    <s v=""/>
    <s v="Заказ № НТЦ-01340-21Д-ГЕО к договору №ГЕО-19/10124/00001/Р от 09.01.2019"/>
    <s v="Бизнес-технологический продукт Ачимовская скважина. Этап 1 Региональный"/>
    <s v="Коротков С.П."/>
    <s v=""/>
    <s v="Договорный документ"/>
    <s v="Управление по разработке"/>
    <s v="Аксенов М.А."/>
    <s v="На бумажном носителе"/>
    <s v="С ограничением по срокам "/>
    <d v="2021-07-28T00:00:00"/>
    <d v="2021-12-15T00:00:00"/>
    <s v="Д-3"/>
    <s v="НИОКР, НИР прочие"/>
    <s v="Расходная часть"/>
    <s v="Рамочный"/>
    <s v="20%"/>
    <s v=""/>
    <s v=""/>
    <s v="41 136 276.00"/>
    <s v="34 280 230.00"/>
    <s v="6 856 046.00"/>
    <s v="нет"/>
    <s v="нет"/>
    <s v=""/>
    <s v=""/>
    <s v=""/>
    <s v=""/>
    <s v="нет"/>
  </r>
  <r>
    <s v="Газпромнефть-ГЕО, ООО"/>
    <s v="0000062524"/>
    <s v="Зарегистрирован"/>
    <d v="2023-09-14T00:00:00"/>
    <s v=""/>
    <x v="12"/>
    <s v="5908034187"/>
    <s v="ГЕО-21/10302/00225/Р"/>
    <s v=""/>
    <s v="5"/>
    <s v="Типовой ДД"/>
    <x v="0"/>
    <s v="00000 ДС на изменение реквизитов контрагента (адрес, счет)"/>
    <s v="00488-23"/>
    <s v=""/>
    <s v="00000 ДС на изменение реквизитов контрагента (адрес, счет)"/>
    <s v="Изменение банковских реквизитов контрагента"/>
    <s v="Мячина М.В."/>
    <s v="Мячина М.В."/>
    <s v="Договорный документ"/>
    <s v="Отдел подготовительных работ и экономического анализа"/>
    <s v="Трифонов А.В."/>
    <s v="ЭП"/>
    <s v="С ограничением по срокам "/>
    <d v="2021-12-15T00:00:00"/>
    <d v="2024-12-31T00:00:00"/>
    <s v="Д-33"/>
    <s v="Технологическое сопровождение (прокат) забойных двигателей     "/>
    <s v="Не предполагает взаиморасчетов"/>
    <s v=""/>
    <s v=""/>
    <s v=""/>
    <s v=""/>
    <s v=""/>
    <s v=""/>
    <s v=""/>
    <s v="нет"/>
    <s v="нет"/>
    <s v=""/>
    <s v=""/>
    <s v=""/>
    <s v=""/>
    <s v="нет"/>
  </r>
  <r>
    <s v="Газпромнефть-ГЕО, ООО"/>
    <s v="0000026052"/>
    <s v="Зарегистрирован"/>
    <d v="2024-08-28T00:00:00"/>
    <s v=""/>
    <x v="339"/>
    <s v="0278012129"/>
    <s v=""/>
    <s v="ГЕО-24/26000/00150"/>
    <s v="ГЕО-24/26000/00150"/>
    <s v="Типовой ДД"/>
    <x v="1"/>
    <s v="26000 Соглашение о конфиденциальности с российским контрагентом"/>
    <s v="00488-24"/>
    <s v=""/>
    <s v="26000 Соглашение о конфиденциальности с российским контрагентом АО НПФ Геофизика"/>
    <s v="В связи с предпроектной проработкой НИОКР &quot;Многофазный глубинный пробоотборник&quot;"/>
    <s v="Лобанов А.А."/>
    <s v="Лобанов А.А."/>
    <s v="Договорный документ"/>
    <s v="Управление по геологии"/>
    <s v="Аксенов М.А."/>
    <s v="ЭП"/>
    <s v="Без сроков "/>
    <d v="2024-08-29T00:00:00"/>
    <s v=""/>
    <s v="Д-54"/>
    <s v="Соглашение о конфиденциальности"/>
    <s v="Не предполагает взаиморасчетов"/>
    <s v=""/>
    <s v=""/>
    <s v=""/>
    <s v=""/>
    <s v=""/>
    <s v=""/>
    <s v=""/>
    <s v="нет"/>
    <s v="нет"/>
    <s v=""/>
    <s v=""/>
    <s v=""/>
    <s v=""/>
    <s v="нет"/>
  </r>
  <r>
    <s v="Газпромнефть-ГЕО, ООО"/>
    <s v="0000098088"/>
    <s v="Зарегистрирован"/>
    <d v="2023-09-14T00:00:00"/>
    <s v=""/>
    <x v="305"/>
    <s v="3015092176"/>
    <s v="ГЕО-22/33100/00201"/>
    <s v=""/>
    <s v="1"/>
    <s v="Типовой ДД"/>
    <x v="0"/>
    <s v="33100 Дополнительное соглашение к Соглашениям в  в области производственной безопасности;"/>
    <s v="00489-23"/>
    <s v=""/>
    <s v="33100 Дополнительное соглашение к Соглашениям в  в области производственной безопасности;"/>
    <s v="Актуализация соглашения в области ПБ"/>
    <s v="Каныгин Д.О."/>
    <s v=""/>
    <s v="Договорный документ"/>
    <s v="Управление внутрискважинных работ"/>
    <s v="Михайлов Ю.А."/>
    <s v="ЭП"/>
    <s v="До исполнения обязательств"/>
    <d v="2023-09-14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1621"/>
    <s v="Зарегистрирован"/>
    <d v="2024-08-22T00:00:00"/>
    <s v=""/>
    <x v="57"/>
    <s v="6381010888"/>
    <s v=""/>
    <s v="ГЕО-24/33100/00151"/>
    <s v="ГЕО-24/33100/00151"/>
    <s v="Типовой ДД"/>
    <x v="1"/>
    <s v="33100 Соглашение в области производственной безопасности"/>
    <s v="00489-24"/>
    <s v=""/>
    <s v="33100 Соглашение в области производственной безопасности с ООО «ТРАЕКТОРИЯ-СЕРВИС»"/>
    <s v="Организация безопасности проведения работ согласно обновлённой политике компании в области ПБ"/>
    <s v="Васильева А.И."/>
    <s v="Окунев В.Н."/>
    <s v="Договорный документ"/>
    <s v="Блок главного инженера"/>
    <s v="Михайлов Ю.А."/>
    <s v="ЭП"/>
    <s v="Без сроков "/>
    <d v="2024-08-22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1360"/>
    <s v="Зарегистрирован"/>
    <d v="2023-09-14T00:00:00"/>
    <s v=""/>
    <x v="179"/>
    <s v="3905605417"/>
    <s v="ГЕО-22/09000/00093/Р"/>
    <s v=""/>
    <s v="3"/>
    <s v="Нетиповой ДД"/>
    <x v="0"/>
    <s v=""/>
    <s v="00490-23"/>
    <s v=""/>
    <s v="ДОПОЛНИТЕЛЬНОЕ СОГЛАШЕНИЕ 3 к Договору на оказание услуг № ГЕО-22/09000/00093/Р от 02.05.2022 г."/>
    <s v="Заключение ДС на основании СЗ, в связи с несвоевременным внесением изменений."/>
    <s v="Сасса А.В."/>
    <s v="Сасса А.В."/>
    <s v="Договорный документ"/>
    <s v="Управление по работе с персоналом"/>
    <s v="Игнатова Ю.В."/>
    <s v="На бумажном носителе"/>
    <s v="С ограничением по срокам "/>
    <d v="2023-09-14T00:00:00"/>
    <d v="2023-12-31T00:00:00"/>
    <s v="Д-66"/>
    <s v="Договор возмездного оказания услуг"/>
    <s v="Расходная часть"/>
    <s v="Стоимостной"/>
    <s v="0%"/>
    <s v=""/>
    <s v=""/>
    <n v="0"/>
    <n v="0"/>
    <n v="0"/>
    <s v="нет"/>
    <s v="нет"/>
    <s v=""/>
    <s v=""/>
    <s v=""/>
    <s v=""/>
    <s v="нет"/>
  </r>
  <r>
    <s v="Газпромнефть-ГЕО, ООО"/>
    <s v="0000080408"/>
    <s v="Зарегистрирован"/>
    <d v="2024-08-20T00:00:00"/>
    <s v=""/>
    <x v="104"/>
    <s v="3812043780"/>
    <s v="ГЕО-22/11029/00172/Р"/>
    <s v=""/>
    <s v="5"/>
    <s v="Нетиповой ДД"/>
    <x v="4"/>
    <s v=""/>
    <s v="00490-24"/>
    <s v="2"/>
    <s v="Изм№5 к НЗ№2 к ДД №ГЕО-22/11029/00172/Р от 25.07.2022 (Камовская)"/>
    <s v="Изм№5 к НЗ№2 к ДД №ГЕО-22/11029/00172/Р от 25.07.2022 (Камовская)"/>
    <s v="Мормышев А.А."/>
    <s v="Бабаев Д.Г."/>
    <s v="Договорный документ"/>
    <s v="Департамент капитального строительства"/>
    <s v="Трифонов А.В."/>
    <s v="ЭП"/>
    <s v="До исполнения обязательств"/>
    <d v="2024-08-20T00:00:00"/>
    <s v=""/>
    <s v="Д-82"/>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21 734 577.46"/>
    <s v="101 445 481.22"/>
    <s v="20 289 096.24"/>
    <s v="нет"/>
    <s v="нет"/>
    <s v=""/>
    <s v=""/>
    <s v=""/>
    <s v=""/>
    <s v="нет"/>
  </r>
  <r>
    <s v="Газпромнефть-ГЕО, ООО"/>
    <s v="0000027645"/>
    <s v="Зарегистрирован"/>
    <d v="2022-06-01T00:00:00"/>
    <s v=""/>
    <x v="80"/>
    <s v="5501072608"/>
    <s v="ГЕО-21/10000/00302/Р"/>
    <s v=""/>
    <s v=" 2"/>
    <s v="Нетиповой ДД"/>
    <x v="0"/>
    <s v=""/>
    <s v="00491-22"/>
    <s v=""/>
    <s v="ДС № 2 к ДД № ГЕО-21/10000/00302/Р от 31.12.2021г. с ООО «ГПН-С» на оказание услуг СТЛ в 2022 году на Северо-Ямбургском ЛУ (Проект «Титан») на включение услуг по ТС экскаватор на гусеничном ходу"/>
    <s v="необходимость обеспечения дополнительной потребности ООО «ГПН- ГЕО» в услугах специализированной техники (экскаватор на гусеничном ходу) при реализации производственной программы Проекта «Титан» на Северо-Ямбургском ЛУ в 2022 году"/>
    <s v="Рябикина М.А."/>
    <s v="Нежальских В.А."/>
    <s v="Договорный документ"/>
    <s v="Блок снабжения и закупок"/>
    <s v="Титов А.В."/>
    <s v="На бумажном носителе"/>
    <s v="С ограничением по срокам "/>
    <d v="2022-06-01T00:00:00"/>
    <d v="2022-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n v="0.01"/>
    <n v="0.01"/>
    <n v="0"/>
    <s v="нет"/>
    <s v="нет"/>
    <s v=""/>
    <s v=""/>
    <s v=""/>
    <s v=""/>
    <s v="нет"/>
  </r>
  <r>
    <s v="Газпромнефть-ГЕО, ООО"/>
    <s v=""/>
    <s v="Проект"/>
    <s v=""/>
    <s v=""/>
    <x v="58"/>
    <s v=""/>
    <s v=""/>
    <s v=""/>
    <s v=""/>
    <s v=""/>
    <x v="6"/>
    <s v=""/>
    <s v="00491-23"/>
    <s v=""/>
    <s v=""/>
    <s v=""/>
    <s v="Данилов М.В."/>
    <s v=""/>
    <s v="Договорный документ"/>
    <s v="Блок корпоративной защиты"/>
    <s v=""/>
    <s v=""/>
    <s v=""/>
    <s v=""/>
    <s v=""/>
    <s v=""/>
    <s v=""/>
    <s v=""/>
    <s v=""/>
    <s v=""/>
    <s v=""/>
    <s v=""/>
    <s v=""/>
    <s v=""/>
    <s v=""/>
    <s v="нет"/>
    <s v="нет"/>
    <s v=""/>
    <s v=""/>
    <s v=""/>
    <s v=""/>
    <s v="нет"/>
  </r>
  <r>
    <s v="Газпромнефть-ГЕО, ООО"/>
    <s v="0000061621"/>
    <s v="Зарегистрирован"/>
    <d v="2024-08-30T00:00:00"/>
    <s v=""/>
    <x v="57"/>
    <s v="6381010888"/>
    <s v=""/>
    <s v="ГЕО-24/33400/00155"/>
    <s v="ГЕО-24/33400/00155"/>
    <s v="Нетиповой ДД"/>
    <x v="1"/>
    <s v=""/>
    <s v="00491-24"/>
    <s v=""/>
    <s v="Соглашение о  безопасном использовании информационных систем с ООО &quot;Траектория-Сервис&quot; "/>
    <s v="Организация безопасного использования информационных систем с ООО &quot;Траектория-Сервис&quot; "/>
    <s v="Васильева А.И."/>
    <s v="Окунев В.Н."/>
    <s v="Договорный документ"/>
    <s v="Блок главного инженера"/>
    <s v="Созинов С.А."/>
    <s v="ЭП"/>
    <s v="С ограничением по срокам "/>
    <d v="2024-08-30T00:00:00"/>
    <d v="2029-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72857"/>
    <s v="Закрыт"/>
    <d v="2022-06-01T00:00:00"/>
    <s v=""/>
    <x v="27"/>
    <s v="6679052232"/>
    <s v=""/>
    <s v="ГЕО-22/33200/00119"/>
    <s v="ГЕО-22/33200/00119"/>
    <s v="Типовой ДД"/>
    <x v="1"/>
    <s v="33200 Соглашение об электронном документообороте"/>
    <s v="00492-22"/>
    <s v=""/>
    <s v="33200 Соглашение об электронном документообороте"/>
    <s v="Соглашение об использовании электронного документооборота "/>
    <s v="Калугина С.Б."/>
    <s v="Калугина С.Б."/>
    <s v="Договорный документ"/>
    <s v="Департамент капитального строительства"/>
    <s v="Перфильев Д.А."/>
    <s v="На бумажном носителе"/>
    <s v="Без сроков "/>
    <d v="2022-06-01T00:00:00"/>
    <s v=""/>
    <s v="Д-61"/>
    <s v="Соглашение об использовании электронного документооборота"/>
    <s v="Не предполагает взаиморасчетов"/>
    <s v="Стоимостной"/>
    <s v=""/>
    <s v=""/>
    <s v=""/>
    <s v=""/>
    <s v=""/>
    <s v=""/>
    <s v="нет"/>
    <s v="нет"/>
    <s v=""/>
    <s v=""/>
    <s v=""/>
    <s v=""/>
    <s v="нет"/>
  </r>
  <r>
    <s v="Газпромнефть-ГЕО, ООО"/>
    <s v=""/>
    <s v="Проект"/>
    <s v=""/>
    <s v=""/>
    <x v="58"/>
    <s v=""/>
    <s v=""/>
    <s v=""/>
    <s v=""/>
    <s v=""/>
    <x v="6"/>
    <s v=""/>
    <s v="00492-23"/>
    <s v=""/>
    <s v=""/>
    <s v=""/>
    <s v="Данилов М.В."/>
    <s v=""/>
    <s v="Договорный документ"/>
    <s v="Блок корпоративной защиты"/>
    <s v=""/>
    <s v=""/>
    <s v=""/>
    <s v=""/>
    <s v=""/>
    <s v=""/>
    <s v=""/>
    <s v=""/>
    <s v=""/>
    <s v=""/>
    <s v=""/>
    <s v=""/>
    <s v=""/>
    <s v=""/>
    <s v=""/>
    <s v="нет"/>
    <s v="нет"/>
    <s v=""/>
    <s v=""/>
    <s v=""/>
    <s v=""/>
    <s v="нет"/>
  </r>
  <r>
    <s v="Газпромнефть-ГЕО, ООО"/>
    <s v="0000011433"/>
    <s v="Зарегистрирован"/>
    <d v="2024-08-20T00:00:00"/>
    <s v=""/>
    <x v="174"/>
    <s v="8604005359"/>
    <s v="ГЕО-21/11104/00292/Р"/>
    <s v=""/>
    <s v="8"/>
    <s v="Нетиповой ДД"/>
    <x v="0"/>
    <s v=""/>
    <s v="00492-24"/>
    <s v=""/>
    <s v="ДС № 8 к Д № ГЕО-21/11104/00292/Р с Ютэйр "/>
    <s v="индексация ФОТ "/>
    <s v="Яшкина К.Л."/>
    <s v="Бабиков Н.В."/>
    <s v="Договорный документ"/>
    <s v="Блок снабжения и закупок"/>
    <s v="Титов А.В."/>
    <s v="ЭП"/>
    <s v="До исполнения обязательств"/>
    <d v="2024-08-20T00:00:00"/>
    <s v=""/>
    <s v="Д-56"/>
    <s v="Авиационное обслуживание (вертолеты)"/>
    <s v="Расходная часть"/>
    <s v="Рамочный"/>
    <s v="20%"/>
    <s v=""/>
    <s v=""/>
    <n v="0"/>
    <n v="0"/>
    <n v="0"/>
    <s v="нет"/>
    <s v="нет"/>
    <s v=""/>
    <s v=""/>
    <s v=""/>
    <s v=""/>
    <s v="нет"/>
  </r>
  <r>
    <s v="Газпромнефть-ГЕО, ООО"/>
    <s v="0000068442"/>
    <s v="Зарегистрирован"/>
    <d v="2023-09-25T00:00:00"/>
    <s v=""/>
    <x v="92"/>
    <s v="5611027573"/>
    <s v="ГЕО-21/09000/00198/Р"/>
    <s v=""/>
    <s v="5"/>
    <s v="Нетиповой ДД"/>
    <x v="3"/>
    <s v=""/>
    <s v="00493-23"/>
    <s v=""/>
    <s v="Наряд-Заказ № 5"/>
    <s v="по оказанию услуг охраны по Договору № ГЕО-21/09000/00198/Р от 06.09.2021г._x000a_"/>
    <s v="Данилов М.В."/>
    <s v="Данилов М.В."/>
    <s v="Договорный документ"/>
    <s v="Блок корпоративной защиты"/>
    <s v="Созинов С.А."/>
    <s v="ЭП"/>
    <s v="С ограничением по срокам "/>
    <d v="2023-10-01T00:00:00"/>
    <d v="2024-02-28T00:00:00"/>
    <s v="Д-60"/>
    <s v="Договор возмездного оказания услуг"/>
    <s v="Расходная часть"/>
    <s v="Рамочный"/>
    <s v="без НДС"/>
    <s v=""/>
    <s v=""/>
    <s v="4 200 495.68"/>
    <s v="4 200 495.68"/>
    <n v="0"/>
    <s v="нет"/>
    <s v="нет"/>
    <s v=""/>
    <s v=""/>
    <s v=""/>
    <s v=""/>
    <s v="нет"/>
  </r>
  <r>
    <s v="Газпромнефть-ГЕО, ООО"/>
    <s v="0000105643"/>
    <s v="Зарегистрирован"/>
    <d v="2024-08-29T00:00:00"/>
    <s v=""/>
    <x v="25"/>
    <s v="7717693190"/>
    <s v=""/>
    <s v="ГЕО-24/26000/00152"/>
    <s v="ГЕО-24/26000/00152"/>
    <s v="Типовой ДД"/>
    <x v="1"/>
    <s v="26000 Соглашение о конфиденциальности с российским контрагентом"/>
    <s v="00493-24"/>
    <s v=""/>
    <s v="26000 Соглашение о конфиденциальности с российским контрагентом НТЦ Геомеханика"/>
    <s v="В связи с предпроектной проработкой НИОКР &quot;Многофазный глубинный пробоотборник&quot;"/>
    <s v="Лобанов А.А."/>
    <s v="Лобанов А.А."/>
    <s v="Договорный документ"/>
    <s v="Управление по геологии"/>
    <s v="Аксенов М.А."/>
    <s v="ЭП"/>
    <s v="Без сроков "/>
    <d v="2024-08-29T00:00:00"/>
    <s v=""/>
    <s v="Д-54"/>
    <s v="Соглашение о конфиденциальности"/>
    <s v="Не предполагает взаиморасчетов"/>
    <s v=""/>
    <s v=""/>
    <s v=""/>
    <s v=""/>
    <s v=""/>
    <s v=""/>
    <s v=""/>
    <s v="нет"/>
    <s v="нет"/>
    <s v=""/>
    <s v=""/>
    <s v=""/>
    <s v=""/>
    <s v="нет"/>
  </r>
  <r>
    <s v="Газпромнефть-ГЕО, ООО"/>
    <s v="0000027645"/>
    <s v="Зарегистрирован"/>
    <d v="2021-07-26T00:00:00"/>
    <s v=""/>
    <x v="80"/>
    <s v="5501072608"/>
    <s v="№ ГЕО-19/10001/00157/Р/ГСН-19/10001/00829/Д/ТМН-15"/>
    <s v=""/>
    <s v="11 "/>
    <s v="Нетиповой ДД"/>
    <x v="0"/>
    <s v=""/>
    <s v="00494-21"/>
    <s v=""/>
    <s v="ДС № 11 к Договору № ГЕО-19/10001/00157/Р/ГСН-19/10001/00829/Д/ТМН-15"/>
    <s v="Перевод НГО 2021-2022 гг. в ГО 2021-2022гг., приведение стоимости договора к факту исполнения по состоянию на июнь 2021г. без изменения общей стоимости договора"/>
    <s v="Рябикина М.А."/>
    <s v="Нежальских Вячеслав Андреевич - Начальник отдела материально-технического обеспечения, логистики и сопутствующих сервисов"/>
    <s v="Договорный документ"/>
    <s v="Блок по закупкам"/>
    <s v="Титов А.В."/>
    <s v="На бумажном носителе"/>
    <s v="С ограничением по срокам "/>
    <d v="2021-07-26T00:00:00"/>
    <d v="2022-12-31T00:00:00"/>
    <s v="Д-11"/>
    <s v="Услуги складской и транспортной логистики. (Оказываемые услуги для ДО БРД)"/>
    <s v="Не предполагает взаиморасчетов"/>
    <s v="Стоимостной"/>
    <s v=""/>
    <s v=""/>
    <s v=""/>
    <s v=""/>
    <s v=""/>
    <s v=""/>
    <s v="нет"/>
    <s v="нет"/>
    <s v=""/>
    <s v=""/>
    <s v=""/>
    <s v=""/>
    <s v="нет"/>
  </r>
  <r>
    <s v="Газпромнефть-ГЕО, ООО"/>
    <s v="0000076283"/>
    <s v="Зарегистрирован"/>
    <d v="2023-09-18T00:00:00"/>
    <s v=""/>
    <x v="28"/>
    <s v="4501174492"/>
    <s v="ГЕО-22/11000/00267/Р"/>
    <s v=""/>
    <s v="1"/>
    <s v="Нетиповой ДД"/>
    <x v="4"/>
    <s v=""/>
    <s v="00494-23"/>
    <s v=""/>
    <s v="Изм 1 к НЗ №2 Уралгеопроект, ООО  к договору ГЕО-22/11000/00267/Р от 10.10.2022"/>
    <s v="Изм 1 к НЗ №2 Уралгеопроект, ООО  к договору ГЕО-22/11000/00267/Р от 10.10.2022. Выполнению инженерных изысканий для нужд ООО «ГПН-ГЕО»."/>
    <s v="Мормышев А.А."/>
    <s v="Шолохова И.А."/>
    <s v="Договорный документ"/>
    <s v="Департамент капитального строительства"/>
    <s v="Трифонов А.В."/>
    <s v="ЭП"/>
    <s v="До исполнения обязательств"/>
    <d v="2023-09-18T00:00:00"/>
    <s v=""/>
    <s v="Д-33"/>
    <s v="Капитальное строительство и ПИР"/>
    <s v="Расходная часть"/>
    <s v="Стоимостной"/>
    <s v="20%"/>
    <s v=""/>
    <s v="20205462.82"/>
    <s v="32 814 845.63"/>
    <s v="27 345 704.69"/>
    <s v="5 469 140.94"/>
    <s v="да"/>
    <s v="нет"/>
    <s v=""/>
    <s v=""/>
    <s v=""/>
    <s v=""/>
    <s v="нет"/>
  </r>
  <r>
    <s v="Газпромнефть-ГЕО, ООО"/>
    <s v="0000076283"/>
    <s v="Зарегистрирован"/>
    <d v="2024-08-09T00:00:00"/>
    <s v=""/>
    <x v="28"/>
    <s v="4501174492"/>
    <s v="ГЕО-22/11000/00267/Р"/>
    <s v=""/>
    <s v="6"/>
    <s v="Нетиповой ДД"/>
    <x v="3"/>
    <s v=""/>
    <s v="00494-24"/>
    <s v=""/>
    <s v="НЗ №6 Уралгеопроект, ООО  к договору ГЕО-22/11000/00267/Р от 10.10.2022"/>
    <s v="НАРЯД-ЗАКАЗ №6 с ООО «Уралгеопроект». Выполнению инженерных изысканий для нужд ООО «ГПН-ГЕО»."/>
    <s v="Мормышев А.А."/>
    <s v="Салахутдинов Р.С."/>
    <s v="Договорный документ"/>
    <s v="Департамент капитального строительства"/>
    <s v="Трифонов А.В."/>
    <s v="ЭП"/>
    <s v="С ограничением по срокам "/>
    <d v="2024-08-09T00:00:00"/>
    <d v="2024-08-30T00:00:00"/>
    <s v="Д-45"/>
    <s v="Капитальное строительство и ПИР"/>
    <s v="Расходная часть"/>
    <s v="Стоимостной"/>
    <s v="20%"/>
    <s v=""/>
    <s v="10456445.1"/>
    <s v="1 121 011.85"/>
    <s v="934 176.54"/>
    <s v="186 835.31"/>
    <s v="да"/>
    <s v="нет"/>
    <s v=""/>
    <s v=""/>
    <s v=""/>
    <s v=""/>
    <s v="нет"/>
  </r>
  <r>
    <s v="Газпромнефть-ГЕО, ООО"/>
    <s v="0000057789"/>
    <s v="Зарегистрирован"/>
    <d v="2022-06-01T00:00:00"/>
    <s v=""/>
    <x v="186"/>
    <s v="6319065934"/>
    <s v="ГЕО-22/10000/00053/Р"/>
    <s v=""/>
    <s v="2"/>
    <s v="Типовой ДД"/>
    <x v="0"/>
    <s v="00000 ДС на изменение реквизитов контрагента (адрес, счет)"/>
    <s v="00495-22"/>
    <s v=""/>
    <s v="00000 ДС на изменение реквизитов контрагента (адрес, счет)"/>
    <s v="Изменение платежных реквизитов подрядчика"/>
    <s v="Раковица Д.К."/>
    <s v="Раковица Д.К."/>
    <s v="Договорный документ"/>
    <s v="Отдел подготовительных работ и экономического анализа"/>
    <s v="Гаврилов С.В."/>
    <s v="ЭП"/>
    <s v="С ограничением по срокам "/>
    <d v="2022-06-01T00:00:00"/>
    <d v="2023-03-15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57796"/>
    <s v="Зарегистрирован"/>
    <d v="2023-09-18T00:00:00"/>
    <s v=""/>
    <x v="109"/>
    <s v="5003028148"/>
    <s v="ГЕО-23/10000/00093/Р+ ПР"/>
    <s v=""/>
    <s v="1"/>
    <s v="Нетиповой ДД"/>
    <x v="0"/>
    <s v=""/>
    <s v="00495-23"/>
    <s v=""/>
    <s v="ДС№1 к ДОГОВОРУ № ГЕО-23/10000/00093/Р от 01.06.2023 г."/>
    <s v="ДС№1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 ОЭДК обновлёние."/>
    <s v="Мормышев А.А."/>
    <s v="Хабибуллин Т.Ф."/>
    <s v="Договорный документ"/>
    <s v="Блок производственной безопасности"/>
    <s v="Михайлов Ю.А."/>
    <s v="ЭП"/>
    <s v="До исполнения обязательств"/>
    <d v="2023-09-18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5231160"/>
    <s v=""/>
    <s v=""/>
    <s v=""/>
    <s v="да"/>
    <s v="нет"/>
    <s v=""/>
    <s v=""/>
    <s v=""/>
    <s v=""/>
    <s v="нет"/>
  </r>
  <r>
    <s v="Газпромнефть-ГЕО, ООО"/>
    <s v="0000011433"/>
    <s v="Зарегистрирован"/>
    <d v="2024-08-16T00:00:00"/>
    <s v=""/>
    <x v="174"/>
    <s v="8604005359"/>
    <s v="ГЕО-20/11104/00210/Р от 31.12.2020 г."/>
    <s v=""/>
    <s v="7"/>
    <s v="Нетиповой ДД"/>
    <x v="0"/>
    <s v=""/>
    <s v="00495-24"/>
    <s v=""/>
    <s v="ДС №7 к Договору ГЕО-20/11104/00210/Р от 31.12.2020 г."/>
    <s v="Индексация ФОТ "/>
    <s v="Яшкина К.Л."/>
    <s v="Бабиков Н.В."/>
    <s v="Договорный документ"/>
    <s v="Блок снабжения и закупок"/>
    <s v="Титов А.В."/>
    <s v="ЭП"/>
    <s v="До исполнения обязательств"/>
    <d v="2024-08-16T00:00:00"/>
    <s v=""/>
    <s v="Д-56"/>
    <s v="Договор подряда"/>
    <s v="Расходная часть"/>
    <s v="Тарифный"/>
    <s v="20%"/>
    <s v=""/>
    <s v=""/>
    <n v="0"/>
    <n v="0"/>
    <n v="0"/>
    <s v="нет"/>
    <s v="нет"/>
    <s v=""/>
    <s v=""/>
    <s v=""/>
    <s v=""/>
    <s v="нет"/>
  </r>
  <r>
    <s v="Газпромнефть-ГЕО, ООО"/>
    <s v="0000047108"/>
    <s v="Зарегистрирован"/>
    <d v="2021-07-09T00:00:00"/>
    <s v=""/>
    <x v="340"/>
    <s v="3245502148"/>
    <s v="ГЕО-20/09000/00182/Д/АБ-20/09000/00005/Р"/>
    <s v=""/>
    <s v="1"/>
    <s v="Нетиповой ДД"/>
    <x v="0"/>
    <s v=""/>
    <s v="00496-21"/>
    <s v=""/>
    <s v="Доплнительное соглашение №1"/>
    <s v="Оказание операторских услуг на проекте Енисей"/>
    <s v="Андреева И.В."/>
    <s v="Титиевский Е.Н."/>
    <s v="Договорный документ"/>
    <s v="Управление экономического планирования и анализа"/>
    <s v="Масалкин Ю.В."/>
    <s v="На бумажном носителе"/>
    <s v="До исполнения обязательств"/>
    <d v="2021-07-20T00:00:00"/>
    <s v=""/>
    <s v=""/>
    <s v="Договор возмездного оказания услуг"/>
    <s v="Доходная часть"/>
    <s v="Стоимостной"/>
    <s v="20%"/>
    <s v=""/>
    <s v=""/>
    <s v="2 194 800 000.00"/>
    <s v="1 829 000 000.00"/>
    <s v="365 800 000.00"/>
    <s v="нет"/>
    <s v="нет"/>
    <s v=""/>
    <s v=""/>
    <s v=""/>
    <s v=""/>
    <s v="нет"/>
  </r>
  <r>
    <s v="Газпромнефть-ГЕО, ООО"/>
    <s v="0000064025"/>
    <s v="Закрыт"/>
    <d v="2022-06-16T00:00:00"/>
    <s v=""/>
    <x v="134"/>
    <s v="7728720448"/>
    <s v=""/>
    <s v="ГЕО-22/09000/00137/Д"/>
    <s v="ГЕО-22/09000/00137/Д"/>
    <s v="Нетиповой ДД"/>
    <x v="2"/>
    <s v=""/>
    <s v="00496-22"/>
    <s v=""/>
    <s v="11708; 10124 Договор на выполнение работ по услугам:   «НИОКР, НИР прочие»  и «НИОКР, НИР в области геофизики, геологии и разработки месторождений»"/>
    <s v="Выполнение научно-исследовательской работы для последующей реализации экономически эффективной добычи и первичной подготовки нефти, природного газа, газоконденсата посредством комплекса технико-технологических решений строительства и эксплуатации скважин на Харвутинской площади Ямбургского НГКМ в 2022-2023 г."/>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2-06-01T00:00:00"/>
    <d v="2023-03-01T00:00:00"/>
    <s v="Д-16"/>
    <s v="Договор возмездного оказания услуг"/>
    <s v="Доходная часть"/>
    <s v="Стоимостной"/>
    <s v="20%"/>
    <s v=""/>
    <s v=""/>
    <s v="163 982 400.00"/>
    <s v="136 652 000.00"/>
    <s v="27 330 400.00"/>
    <s v="нет"/>
    <s v="нет"/>
    <s v=""/>
    <s v=""/>
    <s v=""/>
    <s v=""/>
    <s v="нет"/>
  </r>
  <r>
    <s v="Газпромнефть-ГЕО, ООО"/>
    <s v="0000037860"/>
    <s v="Зарегистрирован"/>
    <d v="2023-09-13T00:00:00"/>
    <s v=""/>
    <x v="20"/>
    <s v="7714024384"/>
    <s v="ГЕО-21/10318/00258/Р"/>
    <s v=""/>
    <s v="2"/>
    <s v="Нетиповой ДД"/>
    <x v="3"/>
    <s v=""/>
    <s v="00496-23"/>
    <s v=""/>
    <s v="НАРЯД-ЗАКАЗ №2 к Договору № ГЕО-21/10318/00258/Р от «08» ноября 2021 г."/>
    <s v="Выполнение работ по отбору керна на скважине №401 Западно-Рубежинского ЛУ"/>
    <s v="Мячина М.В."/>
    <s v="Мячина М.В."/>
    <s v="Договорный документ"/>
    <s v="Отдел подготовительных работ и экономического анализа"/>
    <s v="Трифонов А.В."/>
    <s v="На бумажном носителе"/>
    <s v="С ограничением по срокам "/>
    <d v="2023-09-20T00:00:00"/>
    <d v="2023-12-31T00:00:00"/>
    <s v="Д-33"/>
    <s v="Отбор керна при бурении и реконструкции скважин"/>
    <s v="Расходная часть"/>
    <s v="Рамочный"/>
    <s v="20%"/>
    <s v=""/>
    <s v=""/>
    <s v="5 772 934.45"/>
    <s v="4 810 778.71"/>
    <s v="962 155.74"/>
    <s v="нет"/>
    <s v="нет"/>
    <s v=""/>
    <s v=""/>
    <s v=""/>
    <s v=""/>
    <s v="нет"/>
  </r>
  <r>
    <s v="Газпромнефть-ГЕО, ООО"/>
    <s v="0000066314"/>
    <s v="Зарегистрирован"/>
    <d v="2024-09-14T00:00:00"/>
    <s v=""/>
    <x v="74"/>
    <s v="7202242358"/>
    <s v="АНГ-19/11513/00010/Р"/>
    <s v=""/>
    <s v="17"/>
    <s v="Нетиповой ДД"/>
    <x v="3"/>
    <s v=""/>
    <s v="00496-24"/>
    <s v=""/>
    <s v="НАРЯД-ЗАКАЗ № 17 к Договору № АНГ-191151300010Р от 18 февраля 2019"/>
    <s v="Оформление подрядной организацией ООО &quot;Магеллан&quot; разрешительной документации на земельные участки необходимые для строительства скважины 1ПО Южно-Новопортовского ЛУ_x000a_"/>
    <s v="Шевченко А.С."/>
    <s v="Расулов И.Ф."/>
    <s v="Договорный документ"/>
    <s v="Управление маркшейдерско-землеустроительных работ"/>
    <s v="Трифонов А.В."/>
    <s v="ЭП"/>
    <s v="С ограничением по срокам "/>
    <d v="2024-09-14T00:00:00"/>
    <d v="2025-06-20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без НДС"/>
    <s v=""/>
    <s v=""/>
    <s v="1 117 063.14"/>
    <s v="1 117 063.14"/>
    <n v="0"/>
    <s v="нет"/>
    <s v="нет"/>
    <s v=""/>
    <s v=""/>
    <s v=""/>
    <s v=""/>
    <s v="нет"/>
  </r>
  <r>
    <s v="Газпромнефть-ГЕО, ООО"/>
    <s v=""/>
    <s v="Закрыт"/>
    <d v="2022-05-30T00:00:00"/>
    <s v=""/>
    <x v="341"/>
    <s v=""/>
    <s v=""/>
    <s v="ГЕО-22/09000/00130"/>
    <s v="ГЕО-22/09000/00130"/>
    <s v="Нетиповой ДД"/>
    <x v="2"/>
    <s v=""/>
    <s v="00497-22"/>
    <s v=""/>
    <s v="Договор о практической подготовке обучающихся между СПбГУ &quot;Высшая школа журналистики и массовых коммуникаций&quot;"/>
    <s v="Прохождение учебной практики"/>
    <s v="Анчина К.Г."/>
    <s v="Анчина К.Г."/>
    <s v="Договорный документ"/>
    <s v="Отдел по корпоративным коммуникациям"/>
    <s v="Игнатова Ю.В."/>
    <s v="На бумажном носителе"/>
    <s v="С ограничением по срокам "/>
    <d v="2022-07-06T00:00:00"/>
    <d v="2022-07-27T00:00:00"/>
    <s v="Д-66"/>
    <s v="Договор возмездного оказания услуг"/>
    <s v="Не предполагает взаиморасчетов"/>
    <s v=""/>
    <s v=""/>
    <s v=""/>
    <s v=""/>
    <s v=""/>
    <s v=""/>
    <s v=""/>
    <s v="нет"/>
    <s v="нет"/>
    <s v=""/>
    <s v=""/>
    <s v=""/>
    <s v=""/>
    <s v="нет"/>
  </r>
  <r>
    <s v="Газпромнефть-ГЕО, ООО"/>
    <s v="0000084590"/>
    <s v="Зарегистрирован"/>
    <d v="2023-09-25T00:00:00"/>
    <s v=""/>
    <x v="61"/>
    <s v="7708277130"/>
    <s v="ГЕО-23/09000/00149/Р"/>
    <s v=""/>
    <s v="2"/>
    <s v="Нетиповой ДД"/>
    <x v="3"/>
    <s v=""/>
    <s v="00497-23"/>
    <s v=""/>
    <s v="Заявка № 2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Енисей», скв. № 178, скв. № 198, ББС &quot;Енисей&quot;, Лескинского ЛУ"/>
    <s v="Фокин Е.В."/>
    <s v="Фокин Е.В."/>
    <s v="Договорный документ"/>
    <s v="Управление производственной безопасности"/>
    <s v="Михайлов Ю.А."/>
    <s v="ЭП"/>
    <s v="С ограничением по срокам "/>
    <d v="2023-09-25T00:00:00"/>
    <d v="2024-01-31T00:00:00"/>
    <s v="Д-2"/>
    <s v="Договор возмездного оказания услуг"/>
    <s v="Расходная часть"/>
    <s v="Рамочный"/>
    <s v="20%"/>
    <s v=""/>
    <s v=""/>
    <s v="5 325 821.69"/>
    <s v="4 438 184.74"/>
    <s v="887 636.95"/>
    <s v="нет"/>
    <s v="нет"/>
    <s v=""/>
    <s v=""/>
    <s v=""/>
    <s v=""/>
    <s v="нет"/>
  </r>
  <r>
    <s v="Газпромнефть-ГЕО, ООО"/>
    <s v="0000074810"/>
    <s v="Зарегистрирован"/>
    <d v="2024-08-26T00:00:00"/>
    <s v=""/>
    <x v="211"/>
    <s v="7714372367"/>
    <s v="ГЕО/10000/00173/Р"/>
    <s v=""/>
    <s v="9"/>
    <s v="Нетиповой ДД"/>
    <x v="7"/>
    <s v=""/>
    <s v="00497-24"/>
    <s v=""/>
    <s v="Заявка №9 к договору №ГЕО/23/10000/00173/Р от 01.11.2023г."/>
    <s v="Заключение в рамках исполнения договора"/>
    <s v="Переслегин М.В."/>
    <s v="Переслегин М.В."/>
    <s v="Договорный документ"/>
    <s v="Проект &quot;Западно-Зимнее&quot;"/>
    <s v="Аксенов М.А."/>
    <s v="ЭП"/>
    <s v="С ограничением по срокам "/>
    <d v="2024-08-26T00:00:00"/>
    <d v="2024-09-2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5 098 822.66"/>
    <s v="4 249 018.88"/>
    <s v="849 803.78"/>
    <s v="нет"/>
    <s v="нет"/>
    <s v=""/>
    <s v=""/>
    <s v=""/>
    <s v=""/>
    <s v="нет"/>
  </r>
  <r>
    <s v="Газпромнефть-ГЕО, ООО"/>
    <s v="0000045789"/>
    <s v="Зарегистрирован"/>
    <d v="2021-08-01T00:00:00"/>
    <s v=""/>
    <x v="16"/>
    <s v="7838395487"/>
    <s v="№ГЕО-20/11708/00047/Р//НТЦ-20/08000/00383/Д-ГЕО"/>
    <s v=""/>
    <s v="НТЦ-01419-21Д-ГЕО"/>
    <s v="Нетиповой ДД"/>
    <x v="3"/>
    <s v=""/>
    <s v="00498-21"/>
    <s v=""/>
    <s v="НТЦ-01419-21Д-ГЕО"/>
    <s v="Актуализация концептуального проекта по Западно-Зимнему ЛУ (перевод Фазы 2.1 на этап Выбор, с учетом влияния на программу проектов &quot;ЗИМА&quot;)"/>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1-08-01T00:00:00"/>
    <d v="2021-12-31T00:00:00"/>
    <s v="Д-2"/>
    <s v="НИОКР, НИР прочие"/>
    <s v="Расходная часть"/>
    <s v="Рамочный"/>
    <s v="20%"/>
    <s v=""/>
    <s v=""/>
    <s v="21 892 147.50"/>
    <s v="18 243 456.25"/>
    <s v="3 648 691.25"/>
    <s v="нет"/>
    <s v="нет"/>
    <s v=""/>
    <s v=""/>
    <s v=""/>
    <s v=""/>
    <s v="нет"/>
  </r>
  <r>
    <s v="Газпромнефть-ГЕО, ООО"/>
    <s v="0000091163"/>
    <s v="Зарегистрирован"/>
    <d v="2022-05-31T00:00:00"/>
    <s v=""/>
    <x v="149"/>
    <s v="5001063958"/>
    <s v="ГЕО-21/11505/00195/Р"/>
    <s v=""/>
    <s v="6"/>
    <s v="Нетиповой ДД"/>
    <x v="3"/>
    <s v=""/>
    <s v="00498-22"/>
    <s v=""/>
    <s v="Наряд-заказ № 6"/>
    <s v="Выполнение цифровой аэрофотосъемки (ЦАФС) и воздушно-лазерного сканирования (ВЛС) с пилотируемых воздушных средств на территории: Восточный участок ОНГКМ, Царичанский ЛУ, Филатовский ЛУ, Кувайский ЛУ, Ягодный ЛУ, Уранский ЛУ,  Балейкинский ЛУ, Новосамарский ЛУ, Новозаринский ЛУ, Рощинский ЛУ, Капитоновский ЛУ, Центрально-Уранский ЛУ, Краснореченский ЛУ Оренбурской области (Номер района по ТЗ - 1)"/>
    <s v="Хохлов А.А."/>
    <s v="Хохлов А.А."/>
    <s v="Договорный документ"/>
    <s v="Управление маркшейдерско-землеустроительных работ"/>
    <s v="Перфильев Д.А."/>
    <s v="ЭП"/>
    <s v="С ограничением по срокам "/>
    <d v="2022-05-31T00:00:00"/>
    <d v="2022-12-31T00:00:00"/>
    <s v="Д-61"/>
    <s v="Аэрофотосъемка, космическая съемка. Создание ортофотопланов"/>
    <s v="Доходная часть"/>
    <s v="Рамочный"/>
    <s v="0%"/>
    <s v=""/>
    <s v=""/>
    <s v="17 401 746.38"/>
    <s v="17 401 746.38"/>
    <n v="0"/>
    <s v="нет"/>
    <s v="нет"/>
    <s v=""/>
    <s v=""/>
    <s v=""/>
    <s v=""/>
    <s v="нет"/>
  </r>
  <r>
    <s v="Газпромнефть-ГЕО, ООО"/>
    <s v="0000057796"/>
    <s v="Зарегистрирован"/>
    <d v="2024-07-30T00:00:00"/>
    <s v=""/>
    <x v="109"/>
    <s v="5003028148"/>
    <s v=""/>
    <s v="ГЕО-23/33200/00165"/>
    <s v="ГЕО-23/33200/00165"/>
    <s v="Типовой ДД"/>
    <x v="1"/>
    <s v="33200 Соглашение об электронном документообороте"/>
    <s v="00498-23"/>
    <s v=""/>
    <s v="33200 Соглашение об электронном документообороте Газпром газобезопасность, ООО"/>
    <s v="Электонный обмен документами ООО &quot;Газпром газобезопасность&quot;."/>
    <s v="Мормышев А.А."/>
    <s v="Хабибуллин Т.Ф."/>
    <s v="Договорный документ"/>
    <s v="Блок производственной безопасности"/>
    <s v="Михайлов Ю.А."/>
    <s v="ЭП"/>
    <s v="До исполнения обязательств"/>
    <d v="2024-07-30T00:00:00"/>
    <s v=""/>
    <s v="Д-40"/>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4810"/>
    <s v="Зарегистрирован"/>
    <d v="2024-08-26T00:00:00"/>
    <s v=""/>
    <x v="211"/>
    <s v="7714372367"/>
    <s v="ГЕО/10000/00173/Р"/>
    <s v=""/>
    <s v="10"/>
    <s v="Нетиповой ДД"/>
    <x v="7"/>
    <s v=""/>
    <s v="00498-24"/>
    <s v=""/>
    <s v="Заявка №10 к договору №ГЕО/23/10000/00173/Р от 01.11.2023г."/>
    <s v="Заключение в рамках исполнения договора"/>
    <s v="Переслегин М.В."/>
    <s v="Переслегин М.В."/>
    <s v="Договорный документ"/>
    <s v="Проект &quot;Западно-Зимнее&quot;"/>
    <s v="Аксенов М.А."/>
    <s v="ЭП"/>
    <s v="С ограничением по срокам "/>
    <d v="2024-08-26T00:00:00"/>
    <d v="2024-09-2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6 952 939.99"/>
    <s v="5 794 116.66"/>
    <s v="1 158 823.33"/>
    <s v="нет"/>
    <s v="нет"/>
    <s v=""/>
    <s v=""/>
    <s v=""/>
    <s v=""/>
    <s v="нет"/>
  </r>
  <r>
    <s v="Газпромнефть-ГЕО, ООО"/>
    <s v=""/>
    <s v="Закрыт"/>
    <d v="2021-08-04T00:00:00"/>
    <s v=""/>
    <x v="342"/>
    <s v=""/>
    <s v=""/>
    <s v="ГЕО-21/09000/00176/Р"/>
    <s v="ГЕО-21/09000/00176/Р"/>
    <s v="Нетиповой ДД"/>
    <x v="2"/>
    <s v=""/>
    <s v="00499-21"/>
    <s v=""/>
    <s v="Договор оказания услуг по оценке"/>
    <s v="Оценка имузщества ООО &quot;Энерком&quot; в целях его продажи ПАО &quot;Газпром нефть&quot; в связи с передачей лицензии на Солнечный ЛУ."/>
    <s v="Цветков Д.В."/>
    <s v="Цветков Д.В."/>
    <s v="Договорный документ"/>
    <s v="Юридическая служба"/>
    <s v="Шакирзянов Л.Н."/>
    <s v="На бумажном носителе"/>
    <s v="До исполнения обязательств"/>
    <d v="2021-08-06T00:00:00"/>
    <s v=""/>
    <s v="Д-18"/>
    <s v="Договор возмездного оказания услуг"/>
    <s v="Расходная часть"/>
    <s v="Стоимостной"/>
    <s v="без НДС"/>
    <s v=""/>
    <s v=""/>
    <s v="145 000.00"/>
    <s v="145 000.00"/>
    <n v="0"/>
    <s v="нет"/>
    <s v="нет"/>
    <s v=""/>
    <s v=""/>
    <s v=""/>
    <s v=""/>
    <s v="нет"/>
  </r>
  <r>
    <s v="Газпромнефть-ГЕО, ООО"/>
    <s v="0000065735"/>
    <s v="Зарегистрирован"/>
    <d v="2022-06-01T00:00:00"/>
    <s v=""/>
    <x v="200"/>
    <s v="0274095068"/>
    <s v="№ ГЕО-19/11019/00145/Р"/>
    <s v=""/>
    <s v="2"/>
    <s v="Типовой ДД"/>
    <x v="0"/>
    <s v="00000 ДС на изменение реквизитов контрагента (адрес, счет)"/>
    <s v="00499-22"/>
    <s v=""/>
    <s v="00000 ДС на изменение реквизитов контрагента (адрес, счет)"/>
    <s v="Изменение реквизитов Подрядчика "/>
    <s v="Григоренко Е.А."/>
    <s v="Григоренко Е.А."/>
    <s v="Договорный документ"/>
    <s v="Управление проектно-изыскательских работ"/>
    <s v="Перфильев Д.А."/>
    <s v="На бумажном носителе"/>
    <s v="Без сроков "/>
    <d v="2022-06-01T00:00:00"/>
    <s v=""/>
    <s v="Д-61"/>
    <s v="Капитальное строительство и ПИР"/>
    <s v="Не предполагает взаиморасчетов"/>
    <s v=""/>
    <s v=""/>
    <s v=""/>
    <s v=""/>
    <s v=""/>
    <s v=""/>
    <s v=""/>
    <s v="нет"/>
    <s v="нет"/>
    <s v=""/>
    <s v=""/>
    <s v=""/>
    <s v=""/>
    <s v="нет"/>
  </r>
  <r>
    <s v="Газпромнефть-ГЕО, ООО"/>
    <s v="0000058703"/>
    <s v="Проект"/>
    <s v=""/>
    <s v=""/>
    <x v="5"/>
    <s v="5914024719"/>
    <s v="ГЕО-21/10208/00166/Р"/>
    <s v=""/>
    <s v=""/>
    <s v="Нетиповой ДД"/>
    <x v="0"/>
    <s v=""/>
    <s v="00499-23"/>
    <s v=""/>
    <s v="ДС№12. ГЕО-21/10208/00166/Р от 20.07.2021 с ООО &quot;НСХ Азия Дриллинг&quot;"/>
    <s v="НГО в ГО (скважина №401: переезд, бурение, испытание)"/>
    <s v="Мормышев А.А."/>
    <s v="Кольцов К.В."/>
    <s v="Договорный документ"/>
    <s v="Блок бурения и ВСР"/>
    <s v="Трифонов А.В."/>
    <s v="ЭП"/>
    <s v="До исполнения обязательств"/>
    <d v="2023-09-05T00:00:00"/>
    <s v=""/>
    <s v="Д-33"/>
    <s v="Бурение геологоразведочных скважин по суточной или иной фиксирванной ставке (в т.ч. мобильными установками)"/>
    <s v="Расходная часть"/>
    <s v="Тарифный"/>
    <s v="20%"/>
    <s v=""/>
    <s v="982896782.09"/>
    <s v="1 580 449 985.47"/>
    <s v="1 317 041 654.56"/>
    <s v="263 408 330.91"/>
    <s v="да"/>
    <s v="нет"/>
    <s v=""/>
    <s v=""/>
    <s v=""/>
    <s v=""/>
    <s v="нет"/>
  </r>
  <r>
    <s v="Газпромнефть-ГЕО, ООО"/>
    <s v="0000071739"/>
    <s v="Подписание ЭП контрагентом"/>
    <d v="2024-08-29T00:00:00"/>
    <s v=""/>
    <x v="13"/>
    <s v="7710497816"/>
    <s v="ГЕО-22/09000/00014/Р"/>
    <s v=""/>
    <s v="8"/>
    <s v="Нетиповой ДД"/>
    <x v="0"/>
    <s v=""/>
    <s v="00499-24"/>
    <s v=""/>
    <s v="Дополнительное соглашение №8 к договору № ГЕО-22/09000/00014/Р от 07.01.2022г"/>
    <s v="Дополнительное соглашение №8 о продлении срока выполнения работ, раскрытии НГО и перераспределении объемов работ к договору № ГЕО-22/09000/00014/Р от 07.01.2022г "/>
    <s v="Покатов О.Н."/>
    <s v=""/>
    <s v="Договорный документ"/>
    <s v="Блок главного инженера"/>
    <s v="Трифонов А.В."/>
    <s v="ЭП"/>
    <s v="С ограничением по срокам "/>
    <d v="2024-08-29T00:00:00"/>
    <d v="2025-12-31T00:00:00"/>
    <s v=""/>
    <s v="Договор возмездного оказания услуг"/>
    <s v="Не предполагает взаиморасчетов"/>
    <s v=""/>
    <s v=""/>
    <s v=""/>
    <s v=""/>
    <s v=""/>
    <s v=""/>
    <s v=""/>
    <s v="нет"/>
    <s v="нет"/>
    <s v=""/>
    <s v=""/>
    <s v=""/>
    <s v=""/>
    <s v="нет"/>
  </r>
  <r>
    <s v="Газпромнефть-ГЕО, ООО"/>
    <s v="0000065735"/>
    <s v="Зарегистрирован"/>
    <d v="2022-06-01T00:00:00"/>
    <s v=""/>
    <x v="200"/>
    <s v="0274095068"/>
    <s v="№ ГЕО-22/11000/00098/Р"/>
    <s v=""/>
    <s v="1"/>
    <s v="Типовой ДД"/>
    <x v="0"/>
    <s v="00000 ДС на изменение реквизитов контрагента (адрес, счет)"/>
    <s v="00500-22"/>
    <s v=""/>
    <s v="00000 ДС на изменение реквизитов контрагента (адрес, счет)"/>
    <s v="Изменение реквизитов Подрядчика "/>
    <s v="Григоренко Е.А."/>
    <s v="Григоренко Е.А."/>
    <s v="Договорный документ"/>
    <s v="Управление проектно-изыскательских работ"/>
    <s v="Перфильев Д.А."/>
    <s v="На бумажном носителе"/>
    <s v="Без сроков "/>
    <d v="2022-06-01T00:00:00"/>
    <s v=""/>
    <s v="Д-61"/>
    <s v="Капитальное строительство и ПИР"/>
    <s v="Не предполагает взаиморасчетов"/>
    <s v=""/>
    <s v=""/>
    <s v=""/>
    <s v=""/>
    <s v=""/>
    <s v=""/>
    <s v=""/>
    <s v="нет"/>
    <s v="нет"/>
    <s v=""/>
    <s v=""/>
    <s v=""/>
    <s v=""/>
    <s v="нет"/>
  </r>
  <r>
    <s v="Газпромнефть-ГЕО, ООО"/>
    <s v="0000058703"/>
    <s v="Зарегистрирован"/>
    <d v="2023-09-05T00:00:00"/>
    <s v=""/>
    <x v="5"/>
    <s v="5914024719"/>
    <s v="ГЕО-21/10208/00166/Р"/>
    <s v=""/>
    <s v="12"/>
    <s v="Нетиповой ДД"/>
    <x v="0"/>
    <s v=""/>
    <s v="00500-23"/>
    <s v=""/>
    <s v="ДС№12 ДД №ГЕО-21/10208/00166/Р от 20.07.2021 с ООО &quot;НСХ Азия Дриллинг&quot;"/>
    <s v="Дополнительное соглашение №12 ДД №ГЕО-21/10208/00166/Р от 20.07.2021 с ООО &quot;НСХ Азия Дриллинг&quot;."/>
    <s v="Мормышев А.А."/>
    <s v=""/>
    <s v="Договорный документ"/>
    <s v="Блок бурения и ВСР"/>
    <s v="Трифонов А.В."/>
    <s v="ЭП"/>
    <s v="До исполнения обязательств"/>
    <d v="2023-09-05T00:00:00"/>
    <s v=""/>
    <s v="Д-33"/>
    <s v="Бурение геологоразведочных скважин по суточной или иной фиксирванной ставке (в т.ч. мобильными установками)"/>
    <s v="Не предполагает взаиморасчетов"/>
    <s v="Тарифный"/>
    <s v=""/>
    <s v=""/>
    <s v=""/>
    <s v=""/>
    <s v=""/>
    <s v=""/>
    <s v="нет"/>
    <s v="нет"/>
    <s v=""/>
    <s v=""/>
    <s v=""/>
    <s v=""/>
    <s v="нет"/>
  </r>
  <r>
    <s v="Газпромнефть-ГЕО, ООО"/>
    <s v="0000066687"/>
    <s v="Зарегистрирован"/>
    <d v="2024-08-20T00:00:00"/>
    <s v=""/>
    <x v="161"/>
    <s v="9909012867"/>
    <s v="ГЕО-22/10000/00179/Р"/>
    <s v=""/>
    <s v="7"/>
    <s v="Нетиповой ДД"/>
    <x v="0"/>
    <s v=""/>
    <s v="00500-24"/>
    <s v=""/>
    <s v="Дополнительное соглашение № 7 к Договору на оказание услуг по освоению скважин через сепарационную установку № ГЕО-22/10000/00179/Р от 01.08.2022 года"/>
    <s v="Цель заключения данного ДС  - освоение и испытание скважин через сепарационную установку"/>
    <s v="Бикташев Р.С."/>
    <s v="Бикташев Р.С."/>
    <s v="Договорный документ"/>
    <s v="Производственно-технологический департамент"/>
    <s v="Трифонов А.В."/>
    <s v="На бумажном носителе"/>
    <s v="С ограничением по срокам "/>
    <d v="2024-08-20T00:00:00"/>
    <d v="2024-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4 166 474.00"/>
    <s v="11 805 395.00"/>
    <s v="2 361 079.00"/>
    <s v="нет"/>
    <s v="нет"/>
    <s v=""/>
    <s v=""/>
    <s v=""/>
    <s v=""/>
    <s v="нет"/>
  </r>
  <r>
    <s v="Газпромнефть-ГЕО, ООО"/>
    <s v="0000047431"/>
    <s v="Зарегистрирован"/>
    <d v="2020-10-14T00:00:00"/>
    <s v=""/>
    <x v="8"/>
    <s v="7706623585"/>
    <s v=" ГЕО-19/09000/00325/Р "/>
    <s v=""/>
    <s v="1"/>
    <s v="Нетиповой ДД"/>
    <x v="0"/>
    <s v=""/>
    <s v="00501-21"/>
    <s v=""/>
    <s v="Дополнительное соглашение №1"/>
    <s v="Перенос сроков оказания услуг"/>
    <s v="Курашко М.В."/>
    <s v=""/>
    <s v="Договорный документ"/>
    <s v="Управление по работе с персоналом"/>
    <s v="Масалкин Ю.В."/>
    <s v="На бумажном носителе"/>
    <s v="До исполнения обязательств"/>
    <d v="2020-10-12T00:00:00"/>
    <s v=""/>
    <s v=""/>
    <s v="Договор на обучение (тренинги, семинары и проч.)"/>
    <s v="Расходная часть"/>
    <s v="Рамочный"/>
    <s v="20%"/>
    <s v=""/>
    <s v=""/>
    <s v="1 688 400.00"/>
    <s v="1 407 000.00"/>
    <s v="281 400.00"/>
    <s v="нет"/>
    <s v="нет"/>
    <s v=""/>
    <s v=""/>
    <s v=""/>
    <s v=""/>
    <s v="нет"/>
  </r>
  <r>
    <s v="Газпромнефть-ГЕО, ООО"/>
    <s v="0000076283"/>
    <s v="Зарегистрирован"/>
    <d v="2022-05-28T00:00:00"/>
    <s v=""/>
    <x v="28"/>
    <s v="4501174492"/>
    <s v="№ ГЕО-22/11000/00030/Р"/>
    <s v=""/>
    <s v="1"/>
    <s v="Типовой ДД"/>
    <x v="0"/>
    <s v="00000 ДС на изменение реквизитов контрагента (адрес, счет)"/>
    <s v="00501-22"/>
    <s v=""/>
    <s v="00000 ДС на изменение реквизитов контрагента (адрес, счет)"/>
    <s v="Изменение реквизитов Подрядчика"/>
    <s v="Григоренко Е.А."/>
    <s v="Григоренко Е.А."/>
    <s v="Договорный документ"/>
    <s v="Управление проектно-изыскательских работ"/>
    <s v="Перфильев Д.А."/>
    <s v="На бумажном носителе"/>
    <s v="Без сроков "/>
    <d v="2022-05-28T00:00:00"/>
    <s v=""/>
    <s v="Д-61"/>
    <s v="Капитальное строительство и ПИР"/>
    <s v="Не предполагает взаиморасчетов"/>
    <s v=""/>
    <s v=""/>
    <s v=""/>
    <s v=""/>
    <s v=""/>
    <s v=""/>
    <s v=""/>
    <s v="нет"/>
    <s v="нет"/>
    <s v=""/>
    <s v=""/>
    <s v=""/>
    <s v=""/>
    <s v="нет"/>
  </r>
  <r>
    <s v="Газпромнефть-ГЕО, ООО"/>
    <s v=""/>
    <s v="Проект"/>
    <s v=""/>
    <s v=""/>
    <x v="58"/>
    <s v=""/>
    <s v=""/>
    <s v=""/>
    <s v=""/>
    <s v=""/>
    <x v="6"/>
    <s v=""/>
    <s v="00501-23"/>
    <s v=""/>
    <s v=""/>
    <s v=""/>
    <s v="Ларионов Е.(."/>
    <s v=""/>
    <s v="Договорный документ"/>
    <s v="Блок снабжения и закупок"/>
    <s v=""/>
    <s v=""/>
    <s v=""/>
    <s v=""/>
    <s v=""/>
    <s v=""/>
    <s v=""/>
    <s v=""/>
    <s v=""/>
    <s v=""/>
    <s v=""/>
    <s v=""/>
    <s v=""/>
    <s v=""/>
    <s v=""/>
    <s v="нет"/>
    <s v="нет"/>
    <s v=""/>
    <s v=""/>
    <s v=""/>
    <s v=""/>
    <s v="нет"/>
  </r>
  <r>
    <s v="Газпромнефть-ГЕО, ООО"/>
    <s v="0000067067"/>
    <s v="Зарегистрирован"/>
    <d v="2024-08-15T00:00:00"/>
    <s v=""/>
    <x v="85"/>
    <s v="7816483740"/>
    <s v="ГЕО-19/09000/00303/Р"/>
    <s v=""/>
    <s v="10"/>
    <s v="Нетиповой ДД"/>
    <x v="0"/>
    <s v=""/>
    <s v="00501-24"/>
    <s v=""/>
    <s v="Дополнительное соглашение №10 к договору ГЕО-19/09000/00303/Р от 15.11.2019"/>
    <s v="Заключение дополнительного соглашения №10 о внесении изменений в приложение &quot;Расчет стоимости услуг к Договору&quot;, ТЗ к договору ГЕО-19/09000/00303/Р от 15.11.2019"/>
    <s v="Покатов О.Н."/>
    <s v="Евстигнеев В.А."/>
    <s v="Договорный документ"/>
    <s v="Управление производственной безопасности"/>
    <s v="Ядрышников П.Н."/>
    <s v="На бумажном носителе"/>
    <s v="С ограничением по срокам "/>
    <d v="2024-08-15T00:00:00"/>
    <d v="2028-12-31T00:00:00"/>
    <s v="Д-51"/>
    <s v="Договор возмездного оказания услуг"/>
    <s v="Расходная часть"/>
    <s v="Стоимостной"/>
    <s v="20%"/>
    <s v=""/>
    <s v=""/>
    <s v="52 947 771.97"/>
    <s v="44 123 143.31"/>
    <s v="8 824 628.66"/>
    <s v="нет"/>
    <s v="нет"/>
    <s v=""/>
    <s v=""/>
    <s v=""/>
    <s v=""/>
    <s v="нет"/>
  </r>
  <r>
    <s v="Газпромнефть-ГЕО, ООО"/>
    <s v="0000056566"/>
    <s v="Зарегистрирован"/>
    <d v="2023-09-14T00:00:00"/>
    <s v=""/>
    <x v="256"/>
    <s v="7709675951"/>
    <s v="ГЕО-22/10000/00155/Р"/>
    <s v=""/>
    <s v="2"/>
    <s v="Нетиповой ДД"/>
    <x v="3"/>
    <s v=""/>
    <s v="00502-23"/>
    <s v=""/>
    <s v="ЗАКАЗ № 2 к Договору №ГЕО-22/10000/00155/Р от 01.07.2022 г."/>
    <s v="Оказание услуг по проведению специальной оценки условий труда с проведением необходимых лабораторных измерений и составлением всей необходимой документации, предусматривающего перевод негарантированного объема услуг в гарантированный"/>
    <s v="Петушкова В.Е."/>
    <s v="Петушкова В.Е."/>
    <s v="Договорный документ"/>
    <s v="Управление производственной безопасности"/>
    <s v="Михайлов Ю.А."/>
    <s v="На бумажном носителе"/>
    <s v="До исполнения обязательств"/>
    <d v="2023-09-14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9 542.90"/>
    <s v="24 619.08"/>
    <s v="4 923.82"/>
    <s v="нет"/>
    <s v="нет"/>
    <s v=""/>
    <s v=""/>
    <s v=""/>
    <s v=""/>
    <s v="нет"/>
  </r>
  <r>
    <s v="Газпромнефть-ГЕО, ООО"/>
    <s v="0000067067"/>
    <s v="Проект"/>
    <d v="2024-08-23T00:00:00"/>
    <s v=""/>
    <x v="85"/>
    <s v="7816483740"/>
    <s v="ГЕО-19/09000/00303/Р от 15.11.2019г"/>
    <s v=""/>
    <s v="10"/>
    <s v="Нетиповой ДД"/>
    <x v="0"/>
    <s v=""/>
    <s v="00502-24"/>
    <s v=""/>
    <s v="ДС №10 к договору ГЕО-19/09000/00303/Р от 15.11.2019г"/>
    <s v="Заключение ДС №10 о внесении изменений в приложение &quot;Расчет стоимости услуг к Договору&quot;, ТЗ договору ГЕО-19/09000/00303/Р от 15.11.2019г"/>
    <s v="Покатов О.Н."/>
    <s v="Покатов О.Н."/>
    <s v="Договорный документ"/>
    <s v="Управление производственной безопасности"/>
    <s v="Михайлов Ю.А."/>
    <s v="ЭП"/>
    <s v="С ограничением по срокам "/>
    <d v="2024-08-23T00:00:00"/>
    <d v="2028-12-31T00:00:00"/>
    <s v=""/>
    <s v="Договор возмездного оказания услуг"/>
    <s v="Расходная часть"/>
    <s v="Стоимостной"/>
    <s v="20%"/>
    <s v=""/>
    <s v=""/>
    <s v="2 258 326 272.60"/>
    <s v="1 881 938 560.50"/>
    <s v="376 387 712.10"/>
    <s v="нет"/>
    <s v="нет"/>
    <s v=""/>
    <s v=""/>
    <s v=""/>
    <s v=""/>
    <s v="нет"/>
  </r>
  <r>
    <s v="Газпромнефть-ГЕО, ООО"/>
    <s v="0000086733"/>
    <s v="Зарегистрирован"/>
    <d v="2021-08-11T00:00:00"/>
    <s v=""/>
    <x v="164"/>
    <s v="7203336545"/>
    <s v="ГЕО-20/10940/00117/Р"/>
    <s v=""/>
    <s v="1"/>
    <s v="Нетиповой ДД"/>
    <x v="0"/>
    <s v=""/>
    <s v="00503-21"/>
    <s v=""/>
    <s v="ДОПОЛНИТЕЛЬНОЕ СОГЛАШЕНИЕ №1 к Договору на 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 ГЕО-20/10940/00117/Р от 10 июля 2020 г."/>
    <s v="Внесение изменений в реквизиты Исполнителя"/>
    <s v="Липатова О.И."/>
    <s v="Липатова О.И."/>
    <s v="Договорный документ"/>
    <s v="Отдел экологической безопасности"/>
    <s v="Власов М.М."/>
    <s v="На бумажном носителе"/>
    <s v="С ограничением по срокам "/>
    <d v="2020-07-10T00:00:00"/>
    <d v="2022-12-31T00:00:00"/>
    <s v=""/>
    <s v="Супервайзерские услуги при осуществлении деятельности по утилизации и/или обезвреживанию отходов и (при необходимости) рекультивации земель, занятых под шламовые амбары/шламонакопители"/>
    <s v="Не предполагает взаиморасчетов"/>
    <s v=""/>
    <s v=""/>
    <s v=""/>
    <s v=""/>
    <s v=""/>
    <s v=""/>
    <s v=""/>
    <s v="нет"/>
    <s v="нет"/>
    <s v=""/>
    <s v=""/>
    <s v=""/>
    <s v=""/>
    <s v="нет"/>
  </r>
  <r>
    <s v="Газпромнефть-ГЕО, ООО"/>
    <s v="0000041259"/>
    <s v="Зарегистрирован"/>
    <d v="2023-09-22T00:00:00"/>
    <s v=""/>
    <x v="142"/>
    <s v="7203159800"/>
    <s v="ГЕО-22/33100/00198"/>
    <s v=""/>
    <s v="1"/>
    <s v="Типовой ДД"/>
    <x v="0"/>
    <s v="33100 Дополнительное соглашение к Соглашениям в  в области производственной безопасности;"/>
    <s v="00503-23"/>
    <s v=""/>
    <s v="33100 Дополнительное соглашение к Соглашениям в  в области производственной безопасности;"/>
    <s v="Актуализация соглашения в области ПБ"/>
    <s v="Копылов Е.О."/>
    <s v=""/>
    <s v="Договорный документ"/>
    <s v="Отдел экологической безопасности"/>
    <s v="Михайлов Ю.А."/>
    <s v="ЭП"/>
    <s v="До исполнения обязательств"/>
    <d v="2023-09-22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104605"/>
    <s v="Зарегистрирован"/>
    <d v="2024-08-30T00:00:00"/>
    <s v=""/>
    <x v="55"/>
    <s v="9705112341"/>
    <s v="ГЕО-23/10000/00067/Р"/>
    <s v=""/>
    <s v="7"/>
    <s v="Нетиповой ДД"/>
    <x v="0"/>
    <s v=""/>
    <s v="00503-24"/>
    <s v=""/>
    <s v="ДС №7 к Договору №ГЕО-23/10000/00067/Р "/>
    <s v="Индексация расценок"/>
    <s v="Кузьмин Е.А."/>
    <s v=""/>
    <s v="Договорный документ"/>
    <s v="Управление инжиниринга бурения"/>
    <s v="Трифонов А.В."/>
    <s v="На бумажном носителе"/>
    <s v="С ограничением по срокам "/>
    <d v="2024-09-01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31833946"/>
    <s v="9 664 644.83"/>
    <s v="8 053 870.69"/>
    <s v="1 610 774.14"/>
    <s v="да"/>
    <s v="нет"/>
    <s v=""/>
    <s v=""/>
    <s v=""/>
    <s v=""/>
    <s v="нет"/>
  </r>
  <r>
    <s v="Газпромнефть-ГЕО, ООО"/>
    <s v="0000088405"/>
    <s v="Зарегистрирован"/>
    <d v="2021-07-27T00:00:00"/>
    <s v=""/>
    <x v="169"/>
    <s v="6312086734"/>
    <s v="№ ГЕО-20/10838/00020/Р ОТ 01.02.2020"/>
    <s v=""/>
    <s v="1"/>
    <s v="Нетиповой ДД"/>
    <x v="0"/>
    <s v=""/>
    <s v="00504-21"/>
    <s v=""/>
    <s v="Дополнительное соглашение к договору по перераспределение между гарант. и негарант. объёмами работ и по замене перечня нарушений и штрафных санкций."/>
    <s v="Приведение гарантированного объема работ на 2021г. в соответствии с актуальной производственной программой по проекту &quot;Чона&quot; и &quot;Енисей&quot;. Изменение перечня нарушений и штрафных санкций в области ПБ в соответствии с протоколом заочного Заседания Комитета по производственной безопасности БРД № ПТ-100.0170/0000004 от 21 апреля 2021г."/>
    <s v="Забиров А.А."/>
    <s v="Забиров А.А."/>
    <s v="Договорный документ"/>
    <s v="Производственно-технологический департамент"/>
    <s v="Перфильев Д.А."/>
    <s v="На бумажном носителе"/>
    <s v="С ограничением по срокам "/>
    <d v="2021-08-01T00:00:00"/>
    <d v="2022-12-31T00:00:00"/>
    <s v="Д-22"/>
    <s v="Контроль состояния электробезопасности на объектах подрядных организаций"/>
    <s v="Расходная часть"/>
    <s v="Стоимостной"/>
    <s v="20%"/>
    <s v=""/>
    <s v=""/>
    <s v="76 283 557.74"/>
    <s v="63 569 631.45"/>
    <s v="12 713 926.29"/>
    <s v="нет"/>
    <s v="нет"/>
    <s v=""/>
    <s v=""/>
    <s v=""/>
    <s v=""/>
    <s v="нет"/>
  </r>
  <r>
    <s v="Газпромнефть-ГЕО, ООО"/>
    <s v="0000072857"/>
    <s v="Зарегистрирован"/>
    <d v="2022-06-01T00:00:00"/>
    <s v=""/>
    <x v="27"/>
    <s v="6679052232"/>
    <s v="ГЕО-21/10985/00168/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504-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одписание ДД УКЭП"/>
    <s v="Калугина С.Б."/>
    <s v="Калугина С.Б."/>
    <s v="Договорный документ"/>
    <s v="Департамент капитального строительства"/>
    <s v="Перфильев Д.А."/>
    <s v="На бумажном носителе"/>
    <s v="До исполнения обязательств"/>
    <d v="2022-06-01T00:00:00"/>
    <s v=""/>
    <s v="Д-61"/>
    <s v="Капитальное строительство и ПИР"/>
    <s v="Не предполагает взаиморасчетов"/>
    <s v=""/>
    <s v=""/>
    <s v=""/>
    <s v=""/>
    <s v=""/>
    <s v=""/>
    <s v=""/>
    <s v="нет"/>
    <s v="нет"/>
    <s v=""/>
    <s v=""/>
    <s v=""/>
    <s v=""/>
    <s v="нет"/>
  </r>
  <r>
    <s v="Газпромнефть-ГЕО, ООО"/>
    <s v="0000076851"/>
    <s v="Зарегистрирован"/>
    <d v="2024-08-21T00:00:00"/>
    <s v=""/>
    <x v="48"/>
    <s v="2466091092"/>
    <s v="ГЕО-22/11000/00274/Р"/>
    <s v=""/>
    <s v="3"/>
    <s v="Нетиповой ДД"/>
    <x v="4"/>
    <s v=""/>
    <s v="00504-24"/>
    <s v="1"/>
    <s v="Изменение №3 от 21.08.2024г. к Наряд-заказу №1 к Договору № ГЕО-22/11000/00274/Р от 14.10.2022г."/>
    <s v="На выполнение проектных работ"/>
    <s v="Шолохова И.А."/>
    <s v="Салахутдинов Р.С."/>
    <s v="Договорный документ"/>
    <s v="Управление проектно-изыскательских работ"/>
    <s v="Трифонов А.В."/>
    <s v="ЭП"/>
    <s v="До исполнения обязательств"/>
    <d v="2024-08-21T00:00:00"/>
    <s v=""/>
    <s v="Д-82"/>
    <s v="Капитальное строительство и ПИР"/>
    <s v="Расходная часть"/>
    <s v="Рамочный"/>
    <s v="20%"/>
    <s v=""/>
    <s v=""/>
    <s v="16 091 569.69"/>
    <s v="13 409 641.41"/>
    <s v="2 681 928.28"/>
    <s v="нет"/>
    <s v="нет"/>
    <s v=""/>
    <s v=""/>
    <s v=""/>
    <s v=""/>
    <s v="нет"/>
  </r>
  <r>
    <s v="Газпромнефть-ГЕО, ООО"/>
    <s v="0000008602"/>
    <s v="Зарегистрирован"/>
    <d v="2021-07-30T00:00:00"/>
    <s v=""/>
    <x v="32"/>
    <s v="5504036333"/>
    <s v="ГПН-20/20000/04373/Д // ГЕО-20/09000/00216/Р "/>
    <s v=""/>
    <s v="86"/>
    <s v="Нетиповой ДД"/>
    <x v="0"/>
    <s v=""/>
    <s v="00505-21"/>
    <s v=""/>
    <s v="Дополнительное соглашение № 86 к агентскому договору № ГПН-20/20000/04373/Д/ ГЕО-20/09000/00216/Р от 31.12.2020 г."/>
    <s v="Увеличение агентского вознаграждения"/>
    <s v="Курашко М.В."/>
    <s v="Курашко М.В."/>
    <s v="Договорный документ"/>
    <s v="Управление по работе с персоналом"/>
    <s v="Масалкин Ю.В."/>
    <s v="На бумажном носителе"/>
    <s v="До исполнения обязательств"/>
    <d v="2021-07-30T00:00:00"/>
    <s v=""/>
    <s v=""/>
    <s v="Договор на обучение (тренинги, семинары и проч.)"/>
    <s v="Расходная часть"/>
    <s v="Агентский"/>
    <s v="20%"/>
    <s v=""/>
    <s v=""/>
    <s v="10 000 000.00"/>
    <s v="8 333 333.33"/>
    <s v="1 666 666.67"/>
    <s v="нет"/>
    <s v="нет"/>
    <s v=""/>
    <s v=""/>
    <s v=""/>
    <s v=""/>
    <s v="нет"/>
  </r>
  <r>
    <s v="Газпромнефть-ГЕО, ООО"/>
    <s v="0000063179"/>
    <s v="Проект"/>
    <d v="2020-08-10T00:00:00"/>
    <s v=""/>
    <x v="54"/>
    <s v="7727747172"/>
    <s v="ГЕО-21/00000/00107"/>
    <s v=""/>
    <s v="№ ГЕО-20/10986/00138/Р"/>
    <s v="Нетиповой ДД"/>
    <x v="3"/>
    <s v=""/>
    <s v="00505-22"/>
    <s v=""/>
    <s v=""/>
    <s v=""/>
    <s v="Фокин Е.В."/>
    <s v="Фокин Е.В."/>
    <s v="Договорный документ"/>
    <s v="Управление производственной безопасности"/>
    <s v="Власов М.М."/>
    <s v="На бумажном носителе"/>
    <s v="До исполнения обязательств"/>
    <d v="2022-06-01T00:00:00"/>
    <s v=""/>
    <s v="Д-59"/>
    <s v="ПРОЧИЕ ДОГОВОРЫ"/>
    <s v="Расходная часть"/>
    <s v=""/>
    <s v="20%"/>
    <s v=""/>
    <s v=""/>
    <s v="7 951 008.00"/>
    <s v="6 625 840.00"/>
    <s v="1 325 168.00"/>
    <s v="нет"/>
    <s v="нет"/>
    <s v=""/>
    <s v=""/>
    <s v=""/>
    <s v=""/>
    <s v="нет"/>
  </r>
  <r>
    <s v="Газпромнефть-ГЕО, ООО"/>
    <s v="0000071220"/>
    <s v="Зарегистрирован"/>
    <d v="2023-09-22T00:00:00"/>
    <s v=""/>
    <x v="51"/>
    <s v="5401950707"/>
    <s v="ГЕО-23/33100/00078"/>
    <s v=""/>
    <s v="1"/>
    <s v="Типовой ДД"/>
    <x v="0"/>
    <s v="33100 Дополнительное соглашение к Соглашениям в  в области производственной безопасности;"/>
    <s v="00505-23"/>
    <s v=""/>
    <s v="33100 Дополнительное соглашение к Соглашениям в  в области производственной безопасности;"/>
    <s v="Внесение изменений в Соглашение в области производственной безопасности"/>
    <s v="Ларионов Е.(."/>
    <s v="Салихов М.Р."/>
    <s v="Договорный документ"/>
    <s v="Блок снабжения и закупок"/>
    <s v="Михайлов Ю.А."/>
    <s v="ЭП"/>
    <s v="До исполнения обязательств"/>
    <d v="2023-09-22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6851"/>
    <s v="Зарегистрирован"/>
    <d v="2024-08-20T00:00:00"/>
    <s v=""/>
    <x v="48"/>
    <s v="2466091092"/>
    <s v="ГЕО-22/11000/00274/Р"/>
    <s v=""/>
    <s v="5"/>
    <s v="Нетиповой ДД"/>
    <x v="0"/>
    <s v=""/>
    <s v="00505-24"/>
    <s v=""/>
    <s v="ДС №5 к Договору №ГЕО-22/11000/00274/Р от 14.10.2022г"/>
    <s v="Внесение дополнений в статью 1 и статью 2 ДД"/>
    <s v="Шолохова И.А."/>
    <s v="Салахутдинов Р.С."/>
    <s v="Договорный документ"/>
    <s v="Управление проектно-изыскательских работ"/>
    <s v="Трифонов А.В."/>
    <s v="ЭП"/>
    <s v="С ограничением по срокам "/>
    <d v="2024-08-20T00:00:00"/>
    <d v="2026-03-30T00:00:00"/>
    <s v="Д-82"/>
    <s v="Капитальное строительство и ПИР"/>
    <s v="Не предполагает взаиморасчетов"/>
    <s v=""/>
    <s v=""/>
    <s v=""/>
    <s v=""/>
    <s v=""/>
    <s v=""/>
    <s v=""/>
    <s v="нет"/>
    <s v="нет"/>
    <s v=""/>
    <s v=""/>
    <s v=""/>
    <s v=""/>
    <s v="нет"/>
  </r>
  <r>
    <s v="Газпромнефть-ГЕО, ООО"/>
    <s v="0000086733"/>
    <s v="Зарегистрирован"/>
    <d v="2021-08-11T00:00:00"/>
    <s v=""/>
    <x v="164"/>
    <s v="7203336545"/>
    <s v="ГЕО-20/10924/00056/Р"/>
    <s v=""/>
    <s v="2"/>
    <s v="Нетиповой ДД"/>
    <x v="0"/>
    <s v=""/>
    <s v="00506-21"/>
    <s v=""/>
    <s v="ДОПОЛНИТЕЛЬНОЕ СОГЛАШЕНИЕ №2 к Договору на выполнение работ по экологическому мониторингу месторождений № ГЕО-20/10924/00056/Р от 05 марта 2020 г."/>
    <s v="Внесение изменений в реквизиты Подрядчика"/>
    <s v="Липатова О.И."/>
    <s v="Липатова О.И."/>
    <s v="Договорный документ"/>
    <s v="Отдел экологической безопасности"/>
    <s v="Власов М.М."/>
    <s v="На бумажном носителе"/>
    <s v="С ограничением по срокам "/>
    <d v="2021-08-03T00:00:00"/>
    <d v="2021-12-31T00:00:00"/>
    <s v="Д-30"/>
    <s v="Экологический мониторинг месторождений"/>
    <s v="Не предполагает взаиморасчетов"/>
    <s v=""/>
    <s v=""/>
    <s v=""/>
    <s v=""/>
    <s v=""/>
    <s v=""/>
    <s v=""/>
    <s v="нет"/>
    <s v="нет"/>
    <s v=""/>
    <s v=""/>
    <s v=""/>
    <s v=""/>
    <s v="нет"/>
  </r>
  <r>
    <s v="Газпромнефть-ГЕО, ООО"/>
    <s v="0000050147"/>
    <s v="Зарегистрирован"/>
    <d v="2022-06-01T00:00:00"/>
    <s v=""/>
    <x v="343"/>
    <s v="7702303619"/>
    <s v=""/>
    <s v="ГЕО-22/09000/00124/Р"/>
    <s v="ГЕО-22/09000/00124/Р"/>
    <s v="Нетиповой ДД"/>
    <x v="2"/>
    <s v=""/>
    <s v="00506-22"/>
    <s v=""/>
    <s v="на сопровождение Автоматизированной системы управления ЭКОЮРС"/>
    <s v="предоставление доступа к Автоматизированной системе управления ЭКОЮРС"/>
    <s v="Разумовский М.В."/>
    <s v="Разумовский М.В."/>
    <s v="Договорный документ"/>
    <s v="Производственно-технологический департамент"/>
    <s v="Аксенов М.А."/>
    <s v="На бумажном носителе"/>
    <s v="С ограничением по срокам "/>
    <d v="2022-06-01T00:00:00"/>
    <d v="2024-05-31T00:00:00"/>
    <s v="Д-54"/>
    <s v="Договор возмездного оказания услуг"/>
    <s v="Расходная часть"/>
    <s v="Тарифный"/>
    <s v="20%"/>
    <s v=""/>
    <s v=""/>
    <s v="488 088.00"/>
    <s v="406 740.00"/>
    <s v="81 348.00"/>
    <s v="нет"/>
    <s v="нет"/>
    <s v=""/>
    <s v=""/>
    <s v=""/>
    <s v=""/>
    <s v="нет"/>
  </r>
  <r>
    <s v="Газпромнефть-ГЕО, ООО"/>
    <s v="0000084590"/>
    <s v="Зарегистрирован"/>
    <d v="2023-10-01T00:00:00"/>
    <s v=""/>
    <x v="61"/>
    <s v="7708277130"/>
    <s v="ГЕО-23/09000/00149/Р"/>
    <s v=""/>
    <s v="3"/>
    <s v="Нетиповой ДД"/>
    <x v="7"/>
    <s v=""/>
    <s v="00506-23"/>
    <s v=""/>
    <s v="Заявка № 3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Южный Оренбург», скв. № 401, Западно-Рубежинский ЛУ"/>
    <s v="Фокин Е.В."/>
    <s v="Фокин Е.В."/>
    <s v="Договорный документ"/>
    <s v="Управление производственной безопасности"/>
    <s v="Ядрышников П.Н."/>
    <s v="ЭП"/>
    <s v="С ограничением по срокам "/>
    <d v="2023-10-01T00:00:00"/>
    <d v="2024-02-29T00:00:00"/>
    <s v="Д-51"/>
    <s v="Договор возмездного оказания услуг"/>
    <s v="Расходная часть"/>
    <s v="Рамочный"/>
    <s v="20%"/>
    <s v=""/>
    <s v=""/>
    <s v="5 078 238.61"/>
    <s v="4 231 865.51"/>
    <s v="846 373.10"/>
    <s v="нет"/>
    <s v="нет"/>
    <s v=""/>
    <s v=""/>
    <s v=""/>
    <s v=""/>
    <s v="нет"/>
  </r>
  <r>
    <s v="Газпромнефть-ГЕО, ООО"/>
    <s v="0000062701"/>
    <s v="Зарегистрирован"/>
    <d v="2021-08-03T00:00:00"/>
    <s v=""/>
    <x v="212"/>
    <s v="6318166129"/>
    <s v=""/>
    <s v="ГЕО-21/00000/00184"/>
    <s v="ГЕО-21/00000/00184"/>
    <s v="Типовой ДД"/>
    <x v="1"/>
    <s v="00000 Соглашение об электронном документообороте"/>
    <s v="00507-21"/>
    <s v=""/>
    <s v="00000 Соглашение об электронном документообороте"/>
    <s v="Переход на электронный документооборот"/>
    <s v="Григоренко Е.А."/>
    <s v="Григоренко Е.А."/>
    <s v="Договорный документ"/>
    <s v="Управление проектно-изыскательских работ"/>
    <s v="Перфильев Д.А."/>
    <s v="На бумажном носителе"/>
    <s v="Без сроков "/>
    <d v="2021-08-03T00:00:00"/>
    <s v=""/>
    <s v="Д-22"/>
    <s v="ПРОЧИЕ ДОГОВОРЫ"/>
    <s v="Не предполагает взаиморасчетов"/>
    <s v=""/>
    <s v=""/>
    <s v=""/>
    <s v=""/>
    <s v=""/>
    <s v=""/>
    <s v=""/>
    <s v="нет"/>
    <s v="нет"/>
    <s v=""/>
    <s v=""/>
    <s v=""/>
    <s v=""/>
    <s v="нет"/>
  </r>
  <r>
    <s v="Газпромнефть-ГЕО, ООО"/>
    <s v="0000099166"/>
    <s v="Зарегистрирован"/>
    <d v="2023-09-30T00:00:00"/>
    <s v=""/>
    <x v="101"/>
    <s v="5648004029"/>
    <s v=""/>
    <s v="ГЕО-23/04300/00159/Р"/>
    <s v="ГЕО-23/04300/00159/Р"/>
    <s v="Типовой ДД"/>
    <x v="2"/>
    <s v="04300 Договор аренды земельных участков (под строительство)"/>
    <s v="00507-23"/>
    <s v=""/>
    <s v="04300 Договор аренды земельных участков (под строительство)"/>
    <s v="для строительства промышленных и иных объектов, а именно (но, не ограничиваясь) для размещения бурового оборудования при бурении скважины № 341 ПО и подъездного пути к ней Солнечн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9-30T00:00:00"/>
    <d v="2024-08-30T00:00:00"/>
    <s v="Д-33"/>
    <s v="Договор аренды недвижимости"/>
    <s v="Расходная часть"/>
    <s v="Стоимостной"/>
    <s v="20%"/>
    <s v=""/>
    <s v=""/>
    <s v="2 178 000.00"/>
    <s v="1 815 000.00"/>
    <s v="363 000.00"/>
    <s v="нет"/>
    <s v="нет"/>
    <s v=""/>
    <s v=""/>
    <s v=""/>
    <s v=""/>
    <s v="нет"/>
  </r>
  <r>
    <s v="Газпромнефть-ГЕО, ООО"/>
    <s v="0000087804"/>
    <s v="Закрыт"/>
    <d v="2021-08-03T00:00:00"/>
    <s v=""/>
    <x v="153"/>
    <s v="2634048800"/>
    <s v=""/>
    <s v="ГЕО-21/00000/00185"/>
    <s v="ГЕО-21/00000/00185"/>
    <s v="Типовой ДД"/>
    <x v="1"/>
    <s v="00000 Соглашение об электронном документообороте"/>
    <s v="00508-21"/>
    <s v=""/>
    <s v="00000 Соглашение об электронном документообороте"/>
    <s v="Переход на электронный документооборот"/>
    <s v="Григоренко Е.А."/>
    <s v="Григоренко Е.А."/>
    <s v="Договорный документ"/>
    <s v="Управление проектно-изыскательских работ"/>
    <s v="Перфильев Д.А."/>
    <s v="На бумажном носителе"/>
    <s v="Без сроков "/>
    <d v="2021-08-03T00:00:00"/>
    <s v=""/>
    <s v="Д-22"/>
    <s v="ПРОЧИЕ ДОГОВОРЫ"/>
    <s v="Не предполагает взаиморасчетов"/>
    <s v=""/>
    <s v=""/>
    <s v=""/>
    <s v=""/>
    <s v=""/>
    <s v=""/>
    <s v=""/>
    <s v="нет"/>
    <s v="нет"/>
    <s v=""/>
    <s v=""/>
    <s v=""/>
    <s v=""/>
    <s v="нет"/>
  </r>
  <r>
    <s v="Газпромнефть-ГЕО, ООО"/>
    <s v="0000099166"/>
    <s v="Зарегистрирован"/>
    <d v="2023-09-30T00:00:00"/>
    <s v=""/>
    <x v="101"/>
    <s v="5648004029"/>
    <s v=""/>
    <s v="ГЕО-23/04500/00160/Р"/>
    <s v="ГЕО-23/04500/00160/Р"/>
    <s v="Нетиповой ДД"/>
    <x v="2"/>
    <s v=""/>
    <s v="00508-23"/>
    <s v=""/>
    <s v="Договор субаренды земельного участка"/>
    <s v="для строительства промышленных и иных объектов, в том числе (но не ограничиваясь) для размещения подъездного пути к скважине №341ПО Солнечн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9-30T00:00:00"/>
    <d v="2024-08-30T00:00:00"/>
    <s v="Д-33"/>
    <s v="Договор субаренды недвижимости"/>
    <s v="Расходная часть"/>
    <s v="Стоимостной"/>
    <s v="20%"/>
    <s v=""/>
    <s v=""/>
    <s v="860 310.00"/>
    <s v="716 925.00"/>
    <s v="143 385.00"/>
    <s v="нет"/>
    <s v="нет"/>
    <s v=""/>
    <s v=""/>
    <s v=""/>
    <s v=""/>
    <s v="нет"/>
  </r>
  <r>
    <s v="Газпромнефть-ГЕО, ООО"/>
    <s v="0000084590"/>
    <s v="Зарегистрирован"/>
    <d v="2024-09-05T00:00:00"/>
    <s v=""/>
    <x v="61"/>
    <s v="7708277130"/>
    <s v="ГЕО-23/09000/00149/Р"/>
    <s v=""/>
    <s v="23"/>
    <s v="Нетиповой ДД"/>
    <x v="3"/>
    <s v=""/>
    <s v="00508-24"/>
    <s v=""/>
    <s v="Заявка № 23 (РГ по ПБ)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е «Южный Оренбург», Корнаваринский ЛУ, скважина № 342 Р."/>
    <s v="Фокин Е.В."/>
    <s v="Фокин Е.В."/>
    <s v="Договорный документ"/>
    <s v="Управление производственной безопасности"/>
    <s v="Михайлов Ю.А."/>
    <s v="На бумажном носителе"/>
    <s v="С ограничением по срокам "/>
    <d v="2024-09-05T00:00:00"/>
    <d v="2024-12-31T00:00:00"/>
    <s v="Д-2"/>
    <s v="Договор возмездного оказания услуг"/>
    <s v="Расходная часть"/>
    <s v="Рамочный"/>
    <s v="20%"/>
    <s v=""/>
    <s v=""/>
    <s v="4 320 105.79"/>
    <s v="3 600 088.16"/>
    <s v="720 017.63"/>
    <s v="нет"/>
    <s v="нет"/>
    <s v=""/>
    <s v=""/>
    <s v=""/>
    <s v=""/>
    <s v="нет"/>
  </r>
  <r>
    <s v="Газпромнефть-ГЕО, ООО"/>
    <s v="0000063161"/>
    <s v="Зарегистрирован"/>
    <d v="2021-08-12T00:00:00"/>
    <s v=""/>
    <x v="128"/>
    <s v="7017207750"/>
    <s v="ГЕО-19/10901/00028/Р от 22.02.2019 г."/>
    <s v=""/>
    <s v="5 "/>
    <s v="Нетиповой ДД"/>
    <x v="3"/>
    <s v=""/>
    <s v="00509-21"/>
    <s v="1"/>
    <s v="Задание №5 к № ГЕО-19/10901/00028/Р от 22.02.2019 г."/>
    <s v="Проведение производственного контроля за вредными и опасными производственными факторами на производственных объектах нефтепромысла Общества (Лескинский лицензионный участок - Красноярский край, Таймырский Долгано-Ненецкий район)"/>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1-08-12T00:00:00"/>
    <d v="2021-08-31T00:00:00"/>
    <s v=""/>
    <s v="Специальная оценка условий труда в соответствии с государственным нормативным требованием охраны труда"/>
    <s v="Расходная часть"/>
    <s v="Стоимостной"/>
    <s v="без НДС"/>
    <s v=""/>
    <s v=""/>
    <s v="56 150.00"/>
    <s v="56 150.00"/>
    <n v="0"/>
    <s v="нет"/>
    <s v="нет"/>
    <s v=""/>
    <s v=""/>
    <s v=""/>
    <s v=""/>
    <s v="нет"/>
  </r>
  <r>
    <s v="Газпромнефть-ГЕО, ООО"/>
    <s v=""/>
    <s v="Закрыт"/>
    <d v="2022-06-01T00:00:00"/>
    <s v=""/>
    <x v="344"/>
    <s v=""/>
    <s v=""/>
    <s v="ГЕО-22/23300/00128/Р"/>
    <s v="ГЕО-22/23300/00128/Р"/>
    <s v="Нетиповой ДД"/>
    <x v="2"/>
    <s v=""/>
    <s v="00509-22"/>
    <s v=""/>
    <s v="Оказание спонсорской помощи"/>
    <s v="Спонсорская помощь в целях организации и проведения мероприятия: Научно-практическая конференция «Байкал-Гео’22» по тематике «Геологоразведка: Вызовы и современные решения»"/>
    <s v="Лофицкая А.С."/>
    <s v="Лофицкая А.С."/>
    <s v="Договорный документ"/>
    <s v="Проект &quot;Южный Оренбург&quot;"/>
    <s v="Шакирзянов Л.Н."/>
    <s v="На бумажном носителе"/>
    <s v="С ограничением по срокам "/>
    <d v="2022-06-01T00:00:00"/>
    <d v="2022-06-25T00:00:00"/>
    <s v="Д-53"/>
    <s v="Договор об экономических, научных и культурных связях"/>
    <s v="Расходная часть"/>
    <s v="Стоимостной"/>
    <s v="20%"/>
    <s v=""/>
    <s v=""/>
    <s v="300 000.00"/>
    <s v="250 000.00"/>
    <s v="50 000.00"/>
    <s v="нет"/>
    <s v="да"/>
    <s v="100"/>
    <s v="300 000,00"/>
    <s v=""/>
    <s v=""/>
    <s v="нет"/>
  </r>
  <r>
    <s v="Газпромнефть-ГЕО, ООО"/>
    <s v="0000099595"/>
    <s v="Зарегистрирован"/>
    <d v="2023-09-30T00:00:00"/>
    <s v=""/>
    <x v="265"/>
    <s v="5648004036"/>
    <s v=""/>
    <s v="ГЕО-23/04500/00161/Р"/>
    <s v="ГЕО-23/04500/00161/Р"/>
    <s v="Нетиповой ДД"/>
    <x v="2"/>
    <s v=""/>
    <s v="00509-23"/>
    <s v=""/>
    <s v="Договор субаренды земельного участка "/>
    <s v="для строительства промышленных и иных объектов, в том числе (но не ограничиваясь) для размещения подъездного пути к скважине №341ПО Солнечн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09-30T00:00:00"/>
    <d v="2024-08-30T00:00:00"/>
    <s v="Д-33"/>
    <s v="Договор субаренды недвижимости"/>
    <s v="Расходная часть"/>
    <s v="Стоимостной"/>
    <s v="20%"/>
    <s v=""/>
    <s v=""/>
    <s v="346 500.00"/>
    <s v="288 750.00"/>
    <s v="57 750.00"/>
    <s v="нет"/>
    <s v="нет"/>
    <s v=""/>
    <s v=""/>
    <s v=""/>
    <s v=""/>
    <s v="нет"/>
  </r>
  <r>
    <s v="Газпромнефть-ГЕО, ООО"/>
    <s v="0000084590"/>
    <s v="Зарегистрирован"/>
    <d v="2024-09-05T00:00:00"/>
    <s v=""/>
    <x v="61"/>
    <s v="7708277130"/>
    <s v="ГЕО-23/09000/00149/Р"/>
    <s v=""/>
    <s v="24"/>
    <s v="Нетиповой ДД"/>
    <x v="3"/>
    <s v=""/>
    <s v="00509-24"/>
    <s v=""/>
    <s v="Заявка № 24 (Супервайзер по ПБ)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супервайзера по производственной безопасности на проекте «Южный Оренбург», Корнаваринский ЛУ, скважина № 342 Р."/>
    <s v="Фокин Е.В."/>
    <s v="Фокин Е.В."/>
    <s v="Договорный документ"/>
    <s v="Управление производственной безопасности"/>
    <s v="Михайлов Ю.А."/>
    <s v="На бумажном носителе"/>
    <s v="С ограничением по срокам "/>
    <d v="2024-09-05T00:00:00"/>
    <d v="2024-12-31T00:00:00"/>
    <s v="Д-2"/>
    <s v="Договор возмездного оказания услуг"/>
    <s v="Расходная часть"/>
    <s v="Рамочный"/>
    <s v="20%"/>
    <s v=""/>
    <s v=""/>
    <s v="2 749 877.29"/>
    <s v="2 291 564.41"/>
    <s v="458 312.88"/>
    <s v="нет"/>
    <s v="нет"/>
    <s v=""/>
    <s v=""/>
    <s v=""/>
    <s v=""/>
    <s v="нет"/>
  </r>
  <r>
    <s v="Газпромнефть-ГЕО, ООО"/>
    <s v="0000065735"/>
    <s v="Зарегистрирован"/>
    <d v="2021-08-03T00:00:00"/>
    <s v=""/>
    <x v="200"/>
    <s v="0274095068"/>
    <s v=""/>
    <s v="ГЕО-21/00000/00186"/>
    <s v="ГЕО-21/00000/00186"/>
    <s v="Типовой ДД"/>
    <x v="1"/>
    <s v="00000 Соглашение об электронном документообороте"/>
    <s v="00510-21"/>
    <s v=""/>
    <s v="00000 Соглашение об электронном документообороте"/>
    <s v="Переход на электронный документооборот"/>
    <s v="Григоренко Е.А."/>
    <s v="Григоренко Е.А."/>
    <s v="Договорный документ"/>
    <s v="Управление проектно-изыскательских работ"/>
    <s v="Перфильев Д.А."/>
    <s v="На бумажном носителе"/>
    <s v="Без сроков "/>
    <d v="2021-08-03T00:00:00"/>
    <s v=""/>
    <s v="Д-22"/>
    <s v="ПРОЧИЕ ДОГОВОРЫ"/>
    <s v="Не предполагает взаиморасчетов"/>
    <s v=""/>
    <s v=""/>
    <s v=""/>
    <s v=""/>
    <s v=""/>
    <s v=""/>
    <s v=""/>
    <s v="нет"/>
    <s v="нет"/>
    <s v=""/>
    <s v=""/>
    <s v=""/>
    <s v=""/>
    <s v="нет"/>
  </r>
  <r>
    <s v="Газпромнефть-ГЕО, ООО"/>
    <s v="0000111925"/>
    <s v="Зарегистрирован"/>
    <d v="2024-08-01T00:00:00"/>
    <s v=""/>
    <x v="345"/>
    <s v="550312402430"/>
    <s v="ГЕО-24/25000/00004/Р"/>
    <s v=""/>
    <s v="1"/>
    <s v="Нетиповой ДД"/>
    <x v="0"/>
    <s v=""/>
    <s v="00510-24"/>
    <s v=""/>
    <s v="ДС №1 к ДД №ГЕО-24/25000/00004/Р"/>
    <s v="Увеличение сроков перечисления стоимости услуг по договору до 24 (двадцати четырёх) календарных дней для исключения риска просрочек платежей по данным договорам ГПХ в связи с исполнением Приказа № 07-П от 22.01.2024 «О внедрении централизованного контроля исполнения платежей с использованием сервисов ООО «Газпром ЕРЦ»» в периметре Дочерних Обществ компании «Газпром»"/>
    <s v="Васильева А.И."/>
    <s v="Васильева А.И."/>
    <s v="Договорный документ"/>
    <s v="Блок снабжения и закупок"/>
    <s v="Масалкин Ю.В."/>
    <s v="На бумажном носителе"/>
    <s v="С ограничением по срокам "/>
    <d v="2024-08-01T00:00:00"/>
    <d v="2024-12-27T00:00:00"/>
    <s v=""/>
    <s v="Договор оказания услуг с физическим лицом"/>
    <s v="Не предполагает взаиморасчетов"/>
    <s v=""/>
    <s v=""/>
    <s v=""/>
    <s v=""/>
    <s v=""/>
    <s v=""/>
    <s v=""/>
    <s v="нет"/>
    <s v="нет"/>
    <s v=""/>
    <s v=""/>
    <s v=""/>
    <s v=""/>
    <s v="нет"/>
  </r>
  <r>
    <s v="Газпромнефть-ГЕО, ООО"/>
    <s v="0000048275"/>
    <s v="Зарегистрирован"/>
    <d v="2022-06-01T00:00:00"/>
    <s v=""/>
    <x v="83"/>
    <s v="7709267582"/>
    <s v=""/>
    <s v="ГЕО-22/09000/00134/Р"/>
    <s v="ГЕО-22/09000/00134/Р"/>
    <s v="Нетиповой ДД"/>
    <x v="2"/>
    <s v=""/>
    <s v="00511-22"/>
    <s v=""/>
    <s v="Договор на оказание услуг"/>
    <s v="Услуга по по разработке «Комплексного плана ликвидации чрезвычайных ситуаций при строительстве разведочной скважины 198 ПО на Лескинском лицензионном участке»"/>
    <s v="Морозов А.В."/>
    <s v="Белоусов О.В."/>
    <s v="Договорный документ"/>
    <s v="Отдел по промышленной и пожарной безопасности"/>
    <s v="Власов М.М."/>
    <s v="На бумажном носителе"/>
    <s v="С ограничением по срокам "/>
    <d v="2022-06-01T00:00:00"/>
    <d v="2022-07-30T00:00:00"/>
    <s v="Д-59"/>
    <s v="Договор возмездного оказания услуг"/>
    <s v="Расходная часть"/>
    <s v="Стоимостной"/>
    <s v="20%"/>
    <s v=""/>
    <s v=""/>
    <s v="650 000.00"/>
    <s v="541 666.67"/>
    <s v="108 333.33"/>
    <s v="нет"/>
    <s v="нет"/>
    <s v=""/>
    <s v=""/>
    <s v=""/>
    <s v=""/>
    <s v="нет"/>
  </r>
  <r>
    <s v="Газпромнефть-ГЕО, ООО"/>
    <s v="0000042879"/>
    <s v="Зарегистрирован"/>
    <d v="2023-09-25T00:00:00"/>
    <s v=""/>
    <x v="346"/>
    <s v="7838017968"/>
    <s v=""/>
    <s v="ГЕО-23/09000/00169/Р"/>
    <s v="ГЕО-23/09000/00169/Р"/>
    <s v="Нетиповой ДД"/>
    <x v="2"/>
    <s v=""/>
    <s v="00511-23"/>
    <s v=""/>
    <s v="Сублицензионный договор"/>
    <s v="закупка лицензий на техническое сопровождение программного обеспечения системы «КИБ Серчинформ»"/>
    <s v="Аршинина М.Н."/>
    <s v="Аршинина М.Н."/>
    <s v="Договорный документ"/>
    <s v="Блок корпоративной защиты"/>
    <s v="Созинов С.А."/>
    <s v="ЭП"/>
    <s v="С ограничением по срокам "/>
    <d v="2023-09-25T00:00:00"/>
    <d v="2023-12-31T00:00:00"/>
    <s v="Д-60"/>
    <s v="Договор возмездного оказания услуг"/>
    <s v="Расходная часть"/>
    <s v="Стоимостной"/>
    <s v="0%"/>
    <s v=""/>
    <s v=""/>
    <s v="606 990.00"/>
    <s v="606 990.00"/>
    <n v="0"/>
    <s v="нет"/>
    <s v="нет"/>
    <s v=""/>
    <s v=""/>
    <s v=""/>
    <s v=""/>
    <s v="нет"/>
  </r>
  <r>
    <s v="Газпромнефть-ГЕО, ООО"/>
    <s v="0000114895"/>
    <s v="Зарегистрирован"/>
    <d v="2024-08-01T00:00:00"/>
    <s v=""/>
    <x v="112"/>
    <s v="110603361944"/>
    <s v="ГЕО-24/25000/00042/Р"/>
    <s v=""/>
    <s v="1"/>
    <s v="Нетиповой ДД"/>
    <x v="0"/>
    <s v=""/>
    <s v="00511-24"/>
    <s v=""/>
    <s v="ДС №1 к ДД №ГЕО-24/25000/00042/Р"/>
    <s v="Увеличение сроков перечисления стоимости услуг по договору до 24 (двадцати четырёх) календарных дней для исключения риска просрочек платежей по данным договорам ГПХ в связи с исполнением Приказа № 07-П от 22.01.2024 «О внедрении централизованного контроля исполнения платежей с использованием сервисов ООО «Газпром ЕРЦ»» в периметре Дочерних Обществ компании «Газпром»"/>
    <s v="Васильева А.И."/>
    <s v="Васильева А.И."/>
    <s v="Договорный документ"/>
    <s v="Блок экономики и финансов"/>
    <s v="Масалкин Ю.В."/>
    <s v="На бумажном носителе"/>
    <s v="С ограничением по срокам "/>
    <d v="2024-08-01T00:00:00"/>
    <d v="2024-12-27T00:00:00"/>
    <s v=""/>
    <s v="Договор оказания услуг с физическим лицом"/>
    <s v="Не предполагает взаиморасчетов"/>
    <s v=""/>
    <s v=""/>
    <s v=""/>
    <s v=""/>
    <s v=""/>
    <s v=""/>
    <s v=""/>
    <s v="нет"/>
    <s v="нет"/>
    <s v=""/>
    <s v=""/>
    <s v=""/>
    <s v=""/>
    <s v="нет"/>
  </r>
  <r>
    <s v="Газпромнефть-ГЕО, ООО"/>
    <s v="0000060723"/>
    <s v="Зарегистрирован"/>
    <d v="2021-09-01T00:00:00"/>
    <s v=""/>
    <x v="49"/>
    <s v="3811088474"/>
    <s v="АНГ-19/11513/00007/Р"/>
    <s v=""/>
    <s v="26"/>
    <s v="Нетиповой ДД"/>
    <x v="3"/>
    <s v=""/>
    <s v="00512-21"/>
    <s v=""/>
    <s v="Наряд-заказ № 26 к Договору № АНГ-19/11513/00007/Р "/>
    <s v="оформление 2-х Распоряжений о выполнении работ по гелогическому изучению недр на землях лесного фонда сроком на 7 лет на  Игнялинском и Вакунайском лицензионных участках (для подъездных путей к объектам)"/>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9-01T00:00:00"/>
    <d v="2022-12-31T00:00:00"/>
    <s v="Д-22"/>
    <s v="Выполнение комплекса топографо-геодезических, землеустроительных и лесоустроительных  работ "/>
    <s v="Расходная часть"/>
    <s v="Рамочный"/>
    <s v="иное"/>
    <s v="20,00"/>
    <s v=""/>
    <s v="249 105.20"/>
    <s v="207 587.66"/>
    <s v="41 517.54"/>
    <s v="нет"/>
    <s v="нет"/>
    <s v=""/>
    <s v=""/>
    <s v=""/>
    <s v=""/>
    <s v="нет"/>
  </r>
  <r>
    <s v="Газпромнефть-ГЕО, ООО"/>
    <s v="0000068442"/>
    <s v="Зарегистрирован"/>
    <d v="2022-07-17T00:00:00"/>
    <s v=""/>
    <x v="92"/>
    <s v="5611027573"/>
    <s v="№ ГЕО-21/09000/00198/Р от 06.09.2021 г."/>
    <s v=""/>
    <s v="4"/>
    <s v="Нетиповой ДД"/>
    <x v="0"/>
    <s v=""/>
    <s v="00512-22"/>
    <s v=""/>
    <s v="Дополнительное соглашение № 4 к договору № ГЕО-21/09000/00198/Р от 06.09.2021 г."/>
    <s v="Перевод негарантированого объема 2022 года КПП и ССП 107 суток, в гарантированный объем 2022 г.  "/>
    <s v="Страдымов А.Г."/>
    <s v="Страдымов А.Г."/>
    <s v="Договорный документ"/>
    <s v="Блок корпоративной защиты"/>
    <s v="Масалкин Ю.В."/>
    <s v="На бумажном носителе"/>
    <s v="С ограничением по срокам "/>
    <d v="2022-07-17T00:00:00"/>
    <d v="2022-10-31T00:00:00"/>
    <s v=""/>
    <s v="Договор возмездного оказания услуг"/>
    <s v="Не предполагает взаиморасчетов"/>
    <s v=""/>
    <s v=""/>
    <s v=""/>
    <s v=""/>
    <s v=""/>
    <s v=""/>
    <s v=""/>
    <s v="нет"/>
    <s v="нет"/>
    <s v=""/>
    <s v=""/>
    <s v=""/>
    <s v=""/>
    <s v="нет"/>
  </r>
  <r>
    <s v="Газпромнефть-ГЕО, ООО"/>
    <s v="0000076283"/>
    <s v="Зарегистрирован"/>
    <d v="2023-09-20T00:00:00"/>
    <s v=""/>
    <x v="28"/>
    <s v="4501174492"/>
    <s v="ГЕО-22/33100/00245"/>
    <s v=""/>
    <s v="1"/>
    <s v="Типовой ДД"/>
    <x v="0"/>
    <s v="33100 Дополнительное соглашение к Соглашениям в  в области производственной безопасности;"/>
    <s v="00512-23"/>
    <s v=""/>
    <s v="33100 Дополнительное соглашение к Соглашениям в  в области производственной безопасности ДС1 к №ГЕО-22/33100/00245 от 10.10.2022."/>
    <s v="ДОПОЛНИТЕЛЬНОЕ СОГЛАШЕНИЕ №1 к Соглашение ПБ №ГЕО-22/33100/00245 от 10.10.2022._x000a_"/>
    <s v="Мормышев А.А."/>
    <s v="Янбаев М.Х."/>
    <s v="Договорный документ"/>
    <s v="Блок производственной безопасности"/>
    <s v="Михайлов Ю.А."/>
    <s v="ЭП"/>
    <s v="До исполнения обязательств"/>
    <d v="2023-09-2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115916"/>
    <s v="Зарегистрирован"/>
    <d v="2024-08-01T00:00:00"/>
    <s v=""/>
    <x v="230"/>
    <s v="280795166589"/>
    <s v="ГЕО-24/25000/00083/Р"/>
    <s v=""/>
    <s v="1"/>
    <s v="Нетиповой ДД"/>
    <x v="0"/>
    <s v=""/>
    <s v="00512-24"/>
    <s v=""/>
    <s v="ДС №1 к ДД №ГЕО-24/25000/00083/Р (Котова А.М.)"/>
    <s v="Увеличение сроков перечисления стоимости услуг по договору до 24 (двадцати четырёх) календарных дней для исключения риска просрочек платежей по данным договорам ГПХ в связи с исполнением Приказа № 07-П от 22.01.2024 «О внедрении централизованного контроля исполнения платежей с использованием сервисов ООО «Газпром ЕРЦ»» в периметре Дочерних Обществ компании «Газпром»"/>
    <s v="Васильева А.И."/>
    <s v="Васильева А.И."/>
    <s v="Договорный документ"/>
    <s v="Блок экономики и финансов"/>
    <s v="Масалкин Ю.В."/>
    <s v="На бумажном носителе"/>
    <s v="С ограничением по срокам "/>
    <d v="2024-08-01T00:00:00"/>
    <d v="2024-12-27T00:00:00"/>
    <s v=""/>
    <s v="Договор оказания услуг с физическим лицом"/>
    <s v="Не предполагает взаиморасчетов"/>
    <s v=""/>
    <s v=""/>
    <s v=""/>
    <s v=""/>
    <s v=""/>
    <s v=""/>
    <s v=""/>
    <s v="нет"/>
    <s v="нет"/>
    <s v=""/>
    <s v=""/>
    <s v=""/>
    <s v=""/>
    <s v="нет"/>
  </r>
  <r>
    <s v="Газпромнефть-ГЕО, ООО"/>
    <s v="0000027605"/>
    <s v="Зарегистрирован"/>
    <d v="2021-08-01T00:00:00"/>
    <s v=""/>
    <x v="67"/>
    <s v="8605003932"/>
    <s v=""/>
    <s v="ГЕО-21/10900/00177/Р"/>
    <s v="ГЕО-21/10900/00177/Р"/>
    <s v="Нетиповой ДД"/>
    <x v="2"/>
    <s v=""/>
    <s v="00513-21"/>
    <s v=""/>
    <s v="оказание экспертно-консультационных услуг, связанных с локализацией"/>
    <s v="оказание экспертно-консультационных услуг, связанных с локализацией_x000d__x000a_и ликвидацией разливов нефтепродуктов_x000d__x000a_"/>
    <s v="Белоусов О.В."/>
    <s v="Белоусов О.В."/>
    <s v="Договорный документ"/>
    <s v="Отдел по промышленной и пожарной безопасности"/>
    <s v="Масалкин Ю.В."/>
    <s v="На бумажном носителе"/>
    <s v="С ограничением по срокам "/>
    <d v="2021-08-01T00:00:00"/>
    <d v="2024-07-31T00:00:00"/>
    <s v=""/>
    <s v="Услуги, связанные с обеспечением промышленной безопасности, охраной окружающей среды, охраны труда и здоровья"/>
    <s v="Расходная часть"/>
    <s v="Рамочный"/>
    <s v="20%"/>
    <s v=""/>
    <s v=""/>
    <s v="6 125 400.15"/>
    <s v="5 104 500.12"/>
    <s v="1 020 900.03"/>
    <s v="нет"/>
    <s v="нет"/>
    <s v=""/>
    <s v=""/>
    <s v=""/>
    <s v=""/>
    <s v="нет"/>
  </r>
  <r>
    <s v="Газпромнефть-ГЕО, ООО"/>
    <s v="0000067067"/>
    <s v="Зарегистрирован"/>
    <d v="2022-06-01T00:00:00"/>
    <s v=""/>
    <x v="24"/>
    <s v="7816483740"/>
    <s v="ГЕО-19/09000/00303/P"/>
    <s v=""/>
    <s v="4"/>
    <s v="Нетиповой ДД"/>
    <x v="0"/>
    <s v=""/>
    <s v="00513-22"/>
    <s v=""/>
    <s v="Дополнительное соглашение №4 к договору № ГЕО-19/09000/00303/P от 15.11.2019"/>
    <s v="Дополнительное соглашение №4 к Договору №ГЕО-19/09000/00303/Р от 15.11.2019г., предусматривает:_x000d__x000a_1) включение условий применения электронного документооборота._x000d__x000a_2) продление срока оказания услуг и действия договора до 31.12.2028 г. без увеличения стоимости, ввиду наличия в портфеле ГРР проектов, реализуемых ООО «ГПН-ГЕО» в 2025-2028 гг. (перераспределение негарантированного объема 2022-2024 гг. на период 2025-2028 гг.)._x000d__x000a_3) включение варианта врачебного здравпункта в исполнении на шасси комплекс прицепов вагон-домов модели «Кедр 42» в Приложение №7 «Техническое задание»;_x000d__x000a_4) включение в Приложении №1 «Расчёт стоимости» ставок организации медицинского врачебного пункта в исполнении «Кедр 42» с телемедицинским оборудованием: _x000d__x000a_- «Консервация здравпункта (К.42.2.4 исполнение «Кедр 42»)»;_x000d__x000a_- «Эксплуатация здравпункта (К.42.2.4 исполнение «Кедр 42»)»; _x000d__x000a_- «Телемедицинское оборудование (таблица 2 приложения 8 к ТЗ)»; _x000d__x000a_- «Мобилизация» (здравпункта в исполнении «Кедр 42»)._x000d__x000a_ 5) Перераспределение негарантированных объемов в гарантированные, в связи с необходимостью оказания услуг в 2022 г., в том числе с использованием здравпункта в исполнении «Кедр 42» и телемедицинского оборудования в УрФО._x000d__x000a__x000d__x000a_Стоимость услуг по ДС№4:_x000d__x000a_-0,02 руб. без НДС, в том числе перераспределение негарантированных объемов в гарантированные:_x000d__x000a_- увеличение гарантированного объема 280 321,58 руб. без НДС;_x000d__x000a_- уменьшение негарантированного объема - 280 321,60  руб. без НДС._x000d__x000a_"/>
    <s v="Табуева М.А."/>
    <s v="Ядрышников П.Н."/>
    <s v="Договорный документ"/>
    <s v="Управление производственной безопасности"/>
    <s v="Власов М.М."/>
    <s v="На бумажном носителе"/>
    <s v="С ограничением по срокам "/>
    <d v="2022-06-01T00:00:00"/>
    <d v="2028-12-31T00:00:00"/>
    <s v="Д-59"/>
    <s v="Договор возмездного оказания услуг"/>
    <s v="Не предполагает взаиморасчетов"/>
    <s v=""/>
    <s v=""/>
    <s v=""/>
    <s v=""/>
    <s v=""/>
    <s v=""/>
    <s v=""/>
    <s v="нет"/>
    <s v="нет"/>
    <s v=""/>
    <s v=""/>
    <s v=""/>
    <s v=""/>
    <s v="нет"/>
  </r>
  <r>
    <s v="Газпромнефть-ГЕО, ООО"/>
    <s v="0000039779"/>
    <s v="Зарегистрирован"/>
    <d v="2023-09-22T00:00:00"/>
    <s v=""/>
    <x v="139"/>
    <s v="0277067693"/>
    <s v="ГЕО-23/10318/00013/Р"/>
    <s v=""/>
    <s v="1"/>
    <s v="Нетиповой ДД"/>
    <x v="0"/>
    <s v=""/>
    <s v="00513-23"/>
    <s v=""/>
    <s v="ДС№1 к ДД №ГЕО-23/10318/00013/Р от 09.01.2023 АО &quot;НПП &quot;Бурсервис&quot;"/>
    <s v="Дополнительного соглашения №1 к Договору подряда №ГЕО-23/10318/00013/Р от 09.01.2023  заключенному между ООО «ГПН-ГЕО» и АО «НПП «Бурсервис» на выполнение работ «на отбор керна при бурении и реконструкции скважин (10318)»"/>
    <s v="Мормышев А.А."/>
    <s v=""/>
    <s v="Договорный документ"/>
    <s v="Блок бурения и ВСР"/>
    <s v="Трифонов А.В."/>
    <s v="ЭП"/>
    <s v="До исполнения обязательств"/>
    <d v="2023-09-22T00:00:00"/>
    <s v=""/>
    <s v="Д-33"/>
    <s v="Отбор керна при бурении и реконструкции скважин"/>
    <s v="Расходная часть"/>
    <s v="Рамочный"/>
    <s v="20%"/>
    <s v=""/>
    <s v="17522260.73"/>
    <s v="79 898 822.57"/>
    <s v="66 582 352.14"/>
    <s v="13 316 470.43"/>
    <s v="да"/>
    <s v="нет"/>
    <s v=""/>
    <s v=""/>
    <s v=""/>
    <s v=""/>
    <s v="нет"/>
  </r>
  <r>
    <s v="Газпромнефть-ГЕО, ООО"/>
    <s v="0000087796"/>
    <s v="Зарегистрирован"/>
    <d v="2024-08-01T00:00:00"/>
    <s v=""/>
    <x v="89"/>
    <s v="692700520683"/>
    <s v="ГЕО-24/25000/00026/Р"/>
    <s v=""/>
    <s v="1"/>
    <s v="Нетиповой ДД"/>
    <x v="0"/>
    <s v=""/>
    <s v="00513-24"/>
    <s v=""/>
    <s v="ДС №1 к ДД №ГЕО-24/25000/00026/Р (Кунова С.С.)"/>
    <s v="Увеличение сроков перечисления стоимости услуг по договору до 24 (двадцати четырёх) календарных дней для исключения риска просрочек платежей по данным договорам ГПХ в связи с исполнением Приказа № 07-П от 22.01.2024 «О внедрении централизованного контроля исполнения платежей с использованием сервисов ООО «Газпром ЕРЦ»» в периметре Дочерних Обществ компании «Газпром»"/>
    <s v="Васильева А.И."/>
    <s v="Васильева А.И."/>
    <s v="Договорный документ"/>
    <s v="Блок перспективного планирования"/>
    <s v="Масалкин Ю.В."/>
    <s v="На бумажном носителе"/>
    <s v="С ограничением по срокам "/>
    <d v="2024-08-01T00:00:00"/>
    <d v="2024-12-28T00:00:00"/>
    <s v=""/>
    <s v="Договор оказания услуг с физическим лицом"/>
    <s v="Не предполагает взаиморасчетов"/>
    <s v=""/>
    <s v=""/>
    <s v=""/>
    <s v=""/>
    <s v=""/>
    <s v=""/>
    <s v=""/>
    <s v="нет"/>
    <s v="нет"/>
    <s v=""/>
    <s v=""/>
    <s v=""/>
    <s v=""/>
    <s v="нет"/>
  </r>
  <r>
    <s v="Газпромнефть-ГЕО, ООО"/>
    <s v="0000097271"/>
    <s v="Зарегистрирован"/>
    <d v="2021-08-01T00:00:00"/>
    <s v=""/>
    <x v="347"/>
    <s v="7840095272"/>
    <s v=""/>
    <s v="ГЕО-21/26000/00178"/>
    <s v="ГЕО-21/26000/00178"/>
    <s v="Типовой ДД"/>
    <x v="1"/>
    <s v="26000 Соглашение о конфиденциальности с дочерним обществом ГК ГПН"/>
    <s v="00514-21"/>
    <s v=""/>
    <s v="26000 Соглашение о конфиденциальности с дочерним обществом ГК ГПН"/>
    <s v="Обмен информацией в рамках оказания услуг комплексного правового сопровождения деятельности ООО &quot;ГПН-ГЕО&quot;"/>
    <s v="Цветков Д.В."/>
    <s v="Цветков Д.В."/>
    <s v="Договорный документ"/>
    <s v="Юридическая служба"/>
    <s v="Масалкин Ю.В."/>
    <s v="На бумажном носителе"/>
    <s v="С ограничением по срокам "/>
    <d v="2021-08-01T00:00:00"/>
    <d v="2036-07-01T00:00:00"/>
    <s v=""/>
    <s v="Соглашение о конфиденциальности"/>
    <s v="Не предполагает взаиморасчетов"/>
    <s v=""/>
    <s v=""/>
    <s v=""/>
    <s v=""/>
    <s v=""/>
    <s v=""/>
    <s v=""/>
    <s v="нет"/>
    <s v="нет"/>
    <s v=""/>
    <s v=""/>
    <s v=""/>
    <s v=""/>
    <s v="нет"/>
  </r>
  <r>
    <s v="Газпромнефть-ГЕО, ООО"/>
    <s v="0000060723"/>
    <s v="Зарегистрирован"/>
    <d v="2022-06-06T00:00:00"/>
    <s v=""/>
    <x v="49"/>
    <s v="3811088474"/>
    <s v="АНГ-19/11513/00007/Р"/>
    <s v=""/>
    <s v="30"/>
    <s v="Нетиповой ДД"/>
    <x v="3"/>
    <s v=""/>
    <s v="00514-22"/>
    <s v=""/>
    <s v="Наряд-заказ № 30 к Договору № АНГ-19/11513/00007/Р "/>
    <s v="Переоформление ДА по проекту &quot;ЧОНА&quot; на новый срок"/>
    <s v="Титаева И.А."/>
    <s v="Титаева И.А."/>
    <s v="Договорный документ"/>
    <s v="Управление маркшейдерско-землеустроительных работ"/>
    <s v="Перфильев Д.А."/>
    <s v="ЭП"/>
    <s v="С ограничением по срокам "/>
    <d v="2022-06-06T00:00:00"/>
    <d v="2023-03-31T00:00:00"/>
    <s v="Д-61"/>
    <s v="Договор подряда"/>
    <s v="Расходная часть"/>
    <s v="Рамочный"/>
    <s v="20%"/>
    <s v=""/>
    <s v=""/>
    <s v="1 904 495.63"/>
    <s v="1 587 079.69"/>
    <s v="317 415.94"/>
    <s v="нет"/>
    <s v="нет"/>
    <s v=""/>
    <s v=""/>
    <s v=""/>
    <s v=""/>
    <s v="нет"/>
  </r>
  <r>
    <s v="Газпромнефть-ГЕО, ООО"/>
    <s v="0000039779"/>
    <s v="Зарегистрирован"/>
    <d v="2023-09-25T00:00:00"/>
    <s v=""/>
    <x v="139"/>
    <s v="0277067693"/>
    <s v="ГЕО-23/10318/00013/Р"/>
    <s v=""/>
    <s v="1"/>
    <s v="Нетиповой ДД"/>
    <x v="4"/>
    <s v=""/>
    <s v="00514-23"/>
    <s v="1"/>
    <s v="Изм. №1 к НЗ№1 к ДД №ГЕО-23/10318/00013/Р от 09.01.2023 АО &quot;НПП &quot;Бурсервис&quot;"/>
    <s v="Изм. №1 к НЗ№1 к Договору подряда №ГЕО-23/10318/00013/Р от 09.01.2023  заключенному между ООО «ГПН-ГЕО» и АО «НПП «Бурсервис» на выполнение работ «на отбор керна при бурении и реконструкции скважин (10318)»"/>
    <s v="Мормышев А.А."/>
    <s v="Дунаев Э.В."/>
    <s v="Договорный документ"/>
    <s v="Блок бурения и ВСР"/>
    <s v="Трифонов А.В."/>
    <s v="ЭП"/>
    <s v="До исполнения обязательств"/>
    <d v="2023-09-25T00:00:00"/>
    <s v=""/>
    <s v="Д-33"/>
    <s v="Отбор керна при бурении и реконструкции скважин"/>
    <s v="Расходная часть"/>
    <s v="Рамочный"/>
    <s v="20%"/>
    <s v=""/>
    <s v="17522260.73"/>
    <s v="79 898 822.57"/>
    <s v="66 582 352.14"/>
    <s v="13 316 470.43"/>
    <s v="да"/>
    <s v="нет"/>
    <s v=""/>
    <s v=""/>
    <s v=""/>
    <s v=""/>
    <s v="нет"/>
  </r>
  <r>
    <s v="Газпромнефть-ГЕО, ООО"/>
    <s v="0000110719"/>
    <s v="Зарегистрирован"/>
    <d v="2024-08-01T00:00:00"/>
    <s v=""/>
    <x v="348"/>
    <s v="240700153927"/>
    <s v="ГЕО-24/25000/00001/Р"/>
    <s v=""/>
    <s v="1"/>
    <s v="Нетиповой ДД"/>
    <x v="0"/>
    <s v=""/>
    <s v="00514-24"/>
    <s v=""/>
    <s v="ДС №1 к ДД № ГЕО-24/25000/00001/Р (Хорошавина Г.Г.)"/>
    <s v="Увеличение сроков перечисления стоимости услуг по договору до 24 (двадцати четырёх) календарных дней для исключения риска просрочек платежей по данным договорам ГПХ в связи с исполнением Приказа № 07-П от 22.01.2024 «О внедрении централизованного контроля исполнения платежей с использованием сервисов ООО «Газпром ЕРЦ»» в периметре Дочерних Обществ компании «Газпром»"/>
    <s v="Васильева А.И."/>
    <s v="Леденев Ю.А."/>
    <s v="Договорный документ"/>
    <s v="Блок снабжения и закупок"/>
    <s v="Масалкин Ю.В."/>
    <s v="На бумажном носителе"/>
    <s v="С ограничением по срокам "/>
    <d v="2024-08-01T00:00:00"/>
    <d v="2024-12-31T00:00:00"/>
    <s v=""/>
    <s v="Договор оказания услуг с физическим лицом"/>
    <s v="Не предполагает взаиморасчетов"/>
    <s v="Тарифный"/>
    <s v=""/>
    <s v=""/>
    <s v=""/>
    <s v=""/>
    <s v=""/>
    <s v=""/>
    <s v="нет"/>
    <s v="нет"/>
    <s v=""/>
    <s v=""/>
    <s v=""/>
    <s v=""/>
    <s v="нет"/>
  </r>
  <r>
    <s v="Газпромнефть-ГЕО, ООО"/>
    <s v="0000040222"/>
    <s v="Закрыт"/>
    <d v="2022-06-07T00:00:00"/>
    <s v=""/>
    <x v="137"/>
    <s v="7736227885"/>
    <s v=""/>
    <s v="ГЕО-22/01200/00132/Р"/>
    <s v="ГЕО-22/01200/00132/Р"/>
    <s v="Нетиповой ДД"/>
    <x v="2"/>
    <s v=""/>
    <s v="00515-22"/>
    <s v=""/>
    <s v="Договор оказания услуг по обновлению ПО С-Терра"/>
    <s v="Обновление ПО Программно-аппаратного комплекса «С-Терра VPN» с версии 4.2 на версию 4.3._x000d_"/>
    <s v="Сорокин И.М."/>
    <s v="Сорокин И.М."/>
    <s v="Договорный документ"/>
    <s v="Блок геологии и разработки"/>
    <s v="Аксенов М.А."/>
    <s v="На бумажном носителе"/>
    <s v="До исполнения обязательств"/>
    <d v="2022-06-07T00:00:00"/>
    <s v=""/>
    <s v="Д-54"/>
    <s v="Договор поставки/купли продажи движимого имущества"/>
    <s v="Расходная часть"/>
    <s v="Стоимостной"/>
    <s v="без НДС"/>
    <s v=""/>
    <s v=""/>
    <s v="349 600.00"/>
    <s v="349 600.00"/>
    <n v="0"/>
    <s v="нет"/>
    <s v="да"/>
    <s v="100"/>
    <s v="349 600,00"/>
    <s v=""/>
    <s v=""/>
    <s v="нет"/>
  </r>
  <r>
    <s v="Газпромнефть-ГЕО, ООО"/>
    <s v="0000076851"/>
    <s v="Зарегистрирован"/>
    <d v="2023-09-19T00:00:00"/>
    <s v=""/>
    <x v="48"/>
    <s v="2466091092"/>
    <s v="ГЕО-22/11000/00274/Р"/>
    <s v=""/>
    <s v="1"/>
    <s v="Нетиповой ДД"/>
    <x v="4"/>
    <s v=""/>
    <s v="00515-23"/>
    <s v="№ 3"/>
    <s v="ИЗМЕНЕНИЕ № 1 к Наряд-заказу № 3 к Договору № ГЕО-22/11000/00274/Р от 14.10.2022 г."/>
    <s v="На выполнение проектных работ "/>
    <s v="Шолохова И.А."/>
    <s v="Салахутдинов Р.С."/>
    <s v="Договорный документ"/>
    <s v="Управление проектно-изыскательских работ"/>
    <s v="Трифонов А.В."/>
    <s v="ЭП"/>
    <s v="До исполнения обязательств"/>
    <d v="2023-09-19T00:00:00"/>
    <s v=""/>
    <s v="Д-33"/>
    <s v="Капитальное строительство и ПИР"/>
    <s v="Расходная часть"/>
    <s v="Рамочный"/>
    <s v="20%"/>
    <s v=""/>
    <s v=""/>
    <s v="18 468 744.79"/>
    <s v="15 390 620.66"/>
    <s v="3 078 124.13"/>
    <s v="нет"/>
    <s v="нет"/>
    <s v=""/>
    <s v=""/>
    <s v=""/>
    <s v=""/>
    <s v="нет"/>
  </r>
  <r>
    <s v="Газпромнефть-ГЕО, ООО"/>
    <s v="0000050147"/>
    <s v="Зарегистрирован"/>
    <d v="2024-09-01T00:00:00"/>
    <s v=""/>
    <x v="343"/>
    <s v="7702303619"/>
    <s v=""/>
    <s v="ГЕО-24/09000/00160/Р"/>
    <s v="ГЕО-24/09000/00160/Р"/>
    <s v="Нетиповой ДД"/>
    <x v="2"/>
    <s v=""/>
    <s v="00515-24"/>
    <s v=""/>
    <s v="на сопровождение Автоматизированной системы управления ЭКОЮРС"/>
    <s v="предоставление доступа к Автоматизированной системе управления ЭКОЮРС"/>
    <s v="Разумовский М.В."/>
    <s v="Разумовский М.В."/>
    <s v="Договорный документ"/>
    <s v="Блок геологии и разработки"/>
    <s v="Аксенов М.А."/>
    <s v="ЭП"/>
    <s v="С ограничением по срокам "/>
    <d v="2024-09-01T00:00:00"/>
    <d v="2026-08-31T00:00:00"/>
    <s v="Д-41"/>
    <s v="Договор возмездного оказания услуг"/>
    <s v="Расходная часть"/>
    <s v="Тарифный"/>
    <s v="20%"/>
    <s v=""/>
    <s v=""/>
    <s v="536 976.00"/>
    <s v="447 480.00"/>
    <s v="89 496.00"/>
    <s v="нет"/>
    <s v="нет"/>
    <s v=""/>
    <s v=""/>
    <s v=""/>
    <s v=""/>
    <s v="нет"/>
  </r>
  <r>
    <s v="Газпромнефть-ГЕО, ООО"/>
    <s v=""/>
    <s v="Закрыт"/>
    <d v="2022-06-01T00:00:00"/>
    <s v=""/>
    <x v="349"/>
    <s v=""/>
    <s v=""/>
    <s v="ГЕО-22/09000/00129/Р"/>
    <s v="ГЕО-22/09000/00129/Р"/>
    <s v="Нетиповой ДД"/>
    <x v="2"/>
    <s v=""/>
    <s v="00516-22"/>
    <s v=""/>
    <s v="Договор на оказание услуг по предоставлению питания"/>
    <s v="Питание Суперинтенданта (сотрудника ООО &quot;ГПН-ГЕО&quot;) на Северо - Ямбургском ЛУ (проект Титан)"/>
    <s v="Долгов Д.Г."/>
    <s v="Касатов И.Н."/>
    <s v="Договорный документ"/>
    <s v="Управление материально-технического обеспечения, транспортного обеспечения и сопутствующих сервисов"/>
    <s v="Аксенов М.А."/>
    <s v="На бумажном носителе"/>
    <s v="С ограничением по срокам "/>
    <d v="2022-06-01T00:00:00"/>
    <d v="2022-12-31T00:00:00"/>
    <s v="Д-54"/>
    <s v="Договор возмездного оказания услуг"/>
    <s v="Расходная часть"/>
    <s v="Стоимостной"/>
    <s v="20%"/>
    <s v=""/>
    <s v=""/>
    <s v="269 640.00"/>
    <s v="224 700.00"/>
    <s v="44 940.00"/>
    <s v="нет"/>
    <s v="нет"/>
    <s v=""/>
    <s v=""/>
    <s v=""/>
    <s v=""/>
    <s v="нет"/>
  </r>
  <r>
    <s v="Газпромнефть-ГЕО, ООО"/>
    <s v="0000094782"/>
    <s v="Зарегистрирован"/>
    <d v="2023-09-01T00:00:00"/>
    <s v=""/>
    <x v="314"/>
    <s v="7842182386"/>
    <s v=""/>
    <s v="ГЕО-23/33200/00162"/>
    <s v="ГЕО-23/33200/00162"/>
    <s v="Типовой ДД"/>
    <x v="1"/>
    <s v="33200 Соглашение об электронном документообороте"/>
    <s v="00516-23"/>
    <s v=""/>
    <s v="33200 Соглашение об электронном документообороте"/>
    <s v="Переход на электронный документооборот"/>
    <s v="Сергель О.Г."/>
    <s v="Сергель О.Г."/>
    <s v="Договорный документ"/>
    <s v="Отдел административной поддержки бизнеса"/>
    <s v="Ковтун М.А."/>
    <s v="На бумажном носителе"/>
    <s v="До исполнения обязательств"/>
    <d v="2023-09-01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8216"/>
    <s v="Зарегистрирован"/>
    <d v="2024-09-11T00:00:00"/>
    <s v=""/>
    <x v="38"/>
    <s v="8605013881"/>
    <s v="ГЕО-21/10308/00236/Р"/>
    <s v=""/>
    <s v="11"/>
    <s v="Нетиповой ДД"/>
    <x v="0"/>
    <s v=""/>
    <s v="00516-24"/>
    <s v=""/>
    <s v="ДС №11 к Договору №ГЕО-21/10308/00236/Р от 04.10.2021 г. с АО «ПГО «Тюменьпромгеофизика» "/>
    <s v="1. Перевод части негарантированного объема услуг 2024 г. в гарантированный объем 2024 г.;_x000a_2. Пролонгация договора до 31.12.2025 г.;_x000a_3. Увеличение единичных расценок с 01.01.2025 г.;_x000a_4. Уменьшение неиспользованного негарантированного объема услуг 2023 г.;_x000a_5. Уменьшение общей стоимости договора путем перераспределения объемов"/>
    <s v="Ушакова М.А."/>
    <s v=""/>
    <s v="Договорный документ"/>
    <s v="Блок геологии и разработки"/>
    <s v="Аксенов М.А."/>
    <s v="ЭП"/>
    <s v="С ограничением по срокам "/>
    <d v="2024-09-11T00:00:00"/>
    <d v="2025-12-31T00:00:00"/>
    <s v="Д-41"/>
    <s v="ГТИ при бурении"/>
    <s v="Расходная часть"/>
    <s v="Рамочный"/>
    <s v="20%"/>
    <s v=""/>
    <s v=""/>
    <s v="409 246 540.07"/>
    <s v="341 038 783.39"/>
    <s v="68 207 756.68"/>
    <s v="нет"/>
    <s v="нет"/>
    <s v=""/>
    <s v=""/>
    <s v=""/>
    <s v=""/>
    <s v="нет"/>
  </r>
  <r>
    <s v="Газпромнефть-ГЕО, ООО"/>
    <s v=""/>
    <s v="Зарегистрирован"/>
    <d v="2022-06-01T00:00:00"/>
    <s v=""/>
    <x v="350"/>
    <s v=""/>
    <s v=""/>
    <s v="ГЕО-22/09000/00125/Р"/>
    <s v="ГЕО-22/09000/00125/Р"/>
    <s v="Нетиповой ДД"/>
    <x v="2"/>
    <s v=""/>
    <s v="00517-22"/>
    <s v=""/>
    <s v="Договор на оказание услуг по предоставлению питания"/>
    <s v="Питание сотрудников  ООО &quot;ГПН-ГЕО&quot; и персонала НТЦ на проекте Южный Оренбург"/>
    <s v="Долгов Д.Г."/>
    <s v="Касатов И.Н."/>
    <s v="Договорный документ"/>
    <s v="Управление материально-технического обеспечения, транспортного обеспечения и сопутствующих сервисов"/>
    <s v="Аксенов М.А."/>
    <s v="На бумажном носителе"/>
    <s v="С ограничением по срокам "/>
    <d v="2022-06-01T00:00:00"/>
    <d v="2022-12-31T00:00:00"/>
    <s v="Д-54"/>
    <s v="Договор возмездного оказания услуг"/>
    <s v="Расходная часть"/>
    <s v="Стоимостной"/>
    <s v="20%"/>
    <s v=""/>
    <s v=""/>
    <s v="342 400.00"/>
    <s v="285 333.33"/>
    <s v="57 066.67"/>
    <s v="нет"/>
    <s v="нет"/>
    <s v=""/>
    <s v=""/>
    <s v=""/>
    <s v=""/>
    <s v="нет"/>
  </r>
  <r>
    <s v="Газпромнефть-ГЕО, ООО"/>
    <s v="0000048275"/>
    <s v="Зарегистрирован"/>
    <d v="2023-09-25T00:00:00"/>
    <s v=""/>
    <x v="83"/>
    <s v="7709267582"/>
    <s v="ГЕО-22/10951/00165/Р"/>
    <s v=""/>
    <s v="2"/>
    <s v="Нетиповой ДД"/>
    <x v="0"/>
    <s v=""/>
    <s v="00517-23"/>
    <s v=""/>
    <s v="ДС №2 к Договору ГЕО-22/10951/00165/Р от 29.07.2022г с ЦАСЭО "/>
    <s v="замена ОЛ (ОЭДК) "/>
    <s v="Яшкина К.Л."/>
    <s v="Морозов А.В."/>
    <s v="Договорный документ"/>
    <s v="Блок производственной безопасности"/>
    <s v="Михайлов Ю.А."/>
    <s v="ЭП"/>
    <s v="С ограничением по срокам "/>
    <d v="2023-09-25T00:00:00"/>
    <d v="2025-12-31T00:00:00"/>
    <s v="Д-2"/>
    <s v="Профилактика и ликвидация аварийных разливов нефти (услуги аварийно-спасательного формирования)"/>
    <s v="Не предполагает взаиморасчетов"/>
    <s v="Рамочный"/>
    <s v=""/>
    <s v=""/>
    <s v=""/>
    <s v=""/>
    <s v=""/>
    <s v=""/>
    <s v="нет"/>
    <s v="нет"/>
    <s v=""/>
    <s v=""/>
    <s v=""/>
    <s v=""/>
    <s v="нет"/>
  </r>
  <r>
    <s v="Газпромнефть-ГЕО, ООО"/>
    <s v="0000068442"/>
    <s v="Зарегистрирован"/>
    <d v="2024-09-09T00:00:00"/>
    <s v=""/>
    <x v="92"/>
    <s v="5611027573"/>
    <s v="ГЕО-21/09000/00198/Р"/>
    <s v=""/>
    <s v="12"/>
    <s v="Нетиповой ДД"/>
    <x v="0"/>
    <s v=""/>
    <s v="00517-24"/>
    <s v=""/>
    <s v="ДС № 12 к Д № ГЕО-21/09000/00198/Р"/>
    <s v="Продление срока действия договора и оказания услуг до 21.08.2025 г.;_x000a_Перераспределение неосвоенных объемов услуг 2024 г. между статьями, годами и раскрытие негарантированного объема услуг для мобилизации, организации работы контрольно-пропускного пункта и системы согласования пропусков в период по 18.06.2025 г. "/>
    <s v="Страдымов А.Г."/>
    <s v="Страдымов А.Г."/>
    <s v="Договорный документ"/>
    <s v="Блок корпоративной защиты"/>
    <s v="Трифонов А.В."/>
    <s v="ЭП"/>
    <s v="С ограничением по срокам "/>
    <d v="2025-01-01T00:00:00"/>
    <d v="2025-06-21T00:00:00"/>
    <s v="Д-45"/>
    <s v="Договор возмездного оказания услуг"/>
    <s v="Расходная часть"/>
    <s v="Рамочный"/>
    <s v="без НДС"/>
    <s v=""/>
    <s v=""/>
    <s v="39 391 063.24"/>
    <s v="39 391 063.24"/>
    <n v="0"/>
    <s v="нет"/>
    <s v="нет"/>
    <s v=""/>
    <s v=""/>
    <s v=""/>
    <s v=""/>
    <s v="нет"/>
  </r>
  <r>
    <s v="Газпромнефть-ГЕО, ООО"/>
    <s v="0000000059"/>
    <s v="Зарегистрирован"/>
    <d v="2021-04-09T00:00:00"/>
    <s v=""/>
    <x v="131"/>
    <s v="8905000428"/>
    <s v=""/>
    <s v="ДС 1 и ПР к  ДС 1 к ГЕО-19/00000/00186/ННГ-19/00000/01228 от 07.08.2019"/>
    <s v="ДС 1 и ПР к  ДС 1 к ГЕО-19/00000/00186/ННГ-19/00000/01228 от 07.08.2019"/>
    <s v="Типовой ДД"/>
    <x v="1"/>
    <s v="00000 Соглашение об электронном документообороте"/>
    <s v="00518-21"/>
    <s v=""/>
    <s v="ДС №1 к Соглашению об электронном документообороте ГЕО-19/00000/00186/ННГ-19/00000/01228 от 07.08.2019"/>
    <s v="Переход на ЭДО"/>
    <s v="Малова Д.П."/>
    <s v="Малова Д.П."/>
    <s v="Договорный документ"/>
    <s v="Финансовое управление"/>
    <s v="Масалкин Ю.В."/>
    <s v="На бумажном носителе"/>
    <s v="С ограничением по срокам "/>
    <d v="2021-08-23T00:00:00"/>
    <d v="2023-08-07T00:00:00"/>
    <s v=""/>
    <s v="ПРОЧИЕ ДОГОВОРЫ"/>
    <s v="Не предполагает взаиморасчетов"/>
    <s v=""/>
    <s v=""/>
    <s v=""/>
    <s v=""/>
    <s v=""/>
    <s v=""/>
    <s v=""/>
    <s v="нет"/>
    <s v="нет"/>
    <s v=""/>
    <s v=""/>
    <s v=""/>
    <s v=""/>
    <s v="нет"/>
  </r>
  <r>
    <s v="Газпромнефть-ГЕО, ООО"/>
    <s v="0000087258"/>
    <s v="Зарегистрирован"/>
    <d v="2022-06-07T00:00:00"/>
    <s v=""/>
    <x v="324"/>
    <s v="5610133699"/>
    <s v="ГЕО-20/11118/00069/Р"/>
    <s v=""/>
    <s v="2"/>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518-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Переход на ЭДО"/>
    <s v="Матвеев В.Н."/>
    <s v="Матвеев В.Н."/>
    <s v="Договорный документ"/>
    <s v="Отдел по работе с подрядными организациями и безопасности на транспорте"/>
    <s v="Масалкин Ю.В."/>
    <s v="На бумажном носителе"/>
    <s v="До исполнения обязательств"/>
    <d v="2022-06-07T00:00:00"/>
    <s v=""/>
    <s v=""/>
    <s v="Договор возмездного оказания услуг"/>
    <s v="Не предполагает взаиморасчетов"/>
    <s v=""/>
    <s v=""/>
    <s v=""/>
    <s v=""/>
    <s v=""/>
    <s v=""/>
    <s v=""/>
    <s v="нет"/>
    <s v="нет"/>
    <s v=""/>
    <s v=""/>
    <s v=""/>
    <s v=""/>
    <s v="нет"/>
  </r>
  <r>
    <s v="Газпромнефть-ГЕО, ООО"/>
    <s v="0000074858"/>
    <s v="Зарегистрирован"/>
    <d v="2023-10-01T00:00:00"/>
    <s v=""/>
    <x v="248"/>
    <s v="5609097622"/>
    <s v="ГЕО-20/11112/00108/Р"/>
    <s v=""/>
    <s v="10"/>
    <s v="Нетиповой ДД"/>
    <x v="0"/>
    <s v=""/>
    <s v="00518-23"/>
    <s v=""/>
    <s v="Смена банковских реквизитов АВТОДЕЛЮКС"/>
    <s v="Смена банковских реквизитов АВТОДЕЛЮКС, в соответствии с п.6.6. ДД изменения реквизитов должны быть закреплены ДС"/>
    <s v="Гусаков В.В."/>
    <s v="Гусаков В.В."/>
    <s v="Договорный документ"/>
    <s v="Управление транспортного обеспечения и авиаперевозок"/>
    <s v="Титов А.В."/>
    <s v="ЭП"/>
    <s v="С ограничением по срокам "/>
    <d v="2023-10-01T00:00:00"/>
    <d v="2023-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0716"/>
    <s v="Зарегистрирован"/>
    <d v="2024-09-05T00:00:00"/>
    <s v=""/>
    <x v="18"/>
    <s v="7728803870"/>
    <s v="ГЕО-21/10303/00204/Р"/>
    <s v=""/>
    <s v="16"/>
    <s v="Нетиповой ДД"/>
    <x v="0"/>
    <s v=""/>
    <s v="00518-24"/>
    <s v=""/>
    <s v="ДОПОЛНИТЕЛЬНОЕ СОГЛАШЕНИЕ № 16 к Договору № ОРН-18/10303/03693/Р от 20.12.2018г."/>
    <s v="- увеличение объема хим. реагентов для оказания услуг необходимых для бурения двух оставшихся скважин в договоре в 2024-2025 годы_x000a_- увеличение суммы договора достаточного для бурения двух оставшихся скважин в договоре_x000a_- включение резерва во договору в размере 21% от стоимости двух оставшихся скважин"/>
    <s v="Покатов О.Н."/>
    <s v=""/>
    <s v="Договорный документ"/>
    <s v="Блок главного инженера"/>
    <s v="Трифонов А.В."/>
    <s v="ЭП"/>
    <s v="С ограничением по срокам "/>
    <d v="2024-09-05T00:00:00"/>
    <d v="2025-12-31T00:00:00"/>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5789"/>
    <s v="Зарегистрирован"/>
    <d v="2021-08-16T00:00:00"/>
    <s v=""/>
    <x v="16"/>
    <s v="7838395487"/>
    <s v=""/>
    <s v="ДС 1 к №ГЕО-19/00000/00198//НТЦ-19/00000/01365 от «01» августа 2019 г."/>
    <s v="ДС 1 к №ГЕО-19/00000/00198//НТЦ-19/00000/01365 от «01» августа 2019 г."/>
    <s v="Типовой ДД"/>
    <x v="1"/>
    <s v="00000 Соглашение об электронном документообороте"/>
    <s v="00519-21"/>
    <s v=""/>
    <s v="Дополнительное соглашение № 1 к Соглашению об использовании электронного документооборота №ГЕО-19/00000/00198//НТЦ-19/00000/01365 от «01» августа 2019 г."/>
    <s v="Переход на электроннный документооборот"/>
    <s v="Малова Д.П."/>
    <s v="Малова Д.П."/>
    <s v="Договорный документ"/>
    <s v="Финансовое управление"/>
    <s v="Масалкин Ю.В."/>
    <s v="На бумажном носителе"/>
    <s v="С ограничением по срокам "/>
    <d v="2021-08-16T00:00:00"/>
    <d v="2024-08-30T00:00:00"/>
    <s v=""/>
    <s v="ПРОЧИЕ ДОГОВОРЫ"/>
    <s v="Не предполагает взаиморасчетов"/>
    <s v=""/>
    <s v=""/>
    <s v=""/>
    <s v=""/>
    <s v=""/>
    <s v=""/>
    <s v=""/>
    <s v="нет"/>
    <s v="нет"/>
    <s v=""/>
    <s v=""/>
    <s v=""/>
    <s v=""/>
    <s v="нет"/>
  </r>
  <r>
    <s v="Газпромнефть-ГЕО, ООО"/>
    <s v="0000074858"/>
    <s v="Зарегистрирован"/>
    <d v="2022-06-01T00:00:00"/>
    <s v=""/>
    <x v="248"/>
    <s v="5609097622"/>
    <s v="ГЕО-20/11112/00108/Р"/>
    <s v=""/>
    <s v="4"/>
    <s v="Нетиповой ДД"/>
    <x v="0"/>
    <s v=""/>
    <s v="00519-22"/>
    <s v=""/>
    <s v="Дополнительное соглашение №4 на индексацию тарифов 6,1% и 6,3%"/>
    <s v="Индексация действующих тарифов пасссажирский (Ford Transit) и оперативный (Toyota Hilux) транспорта в соответствии с Протоколом ПТ-100.0364/0000021 от 15.03.22 очного заседания Экспертного совета по управлению взаимоотношениями с контрагентами БРД ПАО «Газпром нефть» № 15 от 09.03.22, а именно: 6,1% по оперативным/легковым перевозкам (до 8 пассажиро-мест, оперативный транспорт) на дизельном топливе и в размере 6,3% по пассажирской технике, автобусам, вахтовым автомобилям, грузо- пассажирским автомобилям (с 8 и более пассажиро-местами)."/>
    <s v="Гусаков В.В."/>
    <s v="Гусаков В.В."/>
    <s v="Договорный документ"/>
    <s v="Блок снабжения и закупок"/>
    <s v="Титов А.В."/>
    <s v="На бумажном носителе"/>
    <s v="С ограничением по срокам "/>
    <d v="2022-06-01T00:00:00"/>
    <d v="2022-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18 372.72"/>
    <s v="98 643.93"/>
    <s v="19 728.79"/>
    <s v="нет"/>
    <s v="нет"/>
    <s v=""/>
    <s v=""/>
    <s v=""/>
    <s v=""/>
    <s v="нет"/>
  </r>
  <r>
    <s v="Газпромнефть-ГЕО, ООО"/>
    <s v="0000073438"/>
    <s v="Зарегистрирован"/>
    <d v="2023-09-25T00:00:00"/>
    <s v=""/>
    <x v="68"/>
    <s v="7720330291"/>
    <s v="ГЕО-21/08000/00296/Р"/>
    <s v=""/>
    <s v="8"/>
    <s v="Нетиповой ДД"/>
    <x v="0"/>
    <s v=""/>
    <s v="00519-23"/>
    <s v=""/>
    <s v="Дополнительное соглашение № 8 к Договору № ГЕО-21/08000/00296/Р от «28» декабря 2021 г."/>
    <s v="Перераспределение объемов. "/>
    <s v="Мормышев А.А."/>
    <s v="Мустафин И.Р."/>
    <s v="Договорный документ"/>
    <s v="Блок геологии и разработки"/>
    <s v="Аксенов М.А."/>
    <s v="ЭП"/>
    <s v="До исполнения обязательств"/>
    <d v="2023-09-25T00:00:00"/>
    <s v=""/>
    <s v="Д-58"/>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68442"/>
    <s v="Зарегистрирован"/>
    <d v="2024-09-15T00:00:00"/>
    <s v=""/>
    <x v="92"/>
    <s v="5611027573"/>
    <s v="ГЕО-21/09000/00198/Р"/>
    <s v=""/>
    <s v="9"/>
    <s v="Нетиповой ДД"/>
    <x v="3"/>
    <s v=""/>
    <s v="00519-24"/>
    <s v=""/>
    <s v="Наряд-заказ № 9"/>
    <s v="Мобилизация КПП, организация работы контрольно-пропускного пункта и системы согласования пропусков по 18.06.2025г."/>
    <s v="Страдымов А.Г."/>
    <s v="Страдымов А.Г."/>
    <s v="Договорный документ"/>
    <s v="Блок корпоративной защиты"/>
    <s v="Трифонов А.В."/>
    <s v="На бумажном носителе"/>
    <s v="С ограничением по срокам "/>
    <d v="2024-09-15T00:00:00"/>
    <d v="2025-06-18T00:00:00"/>
    <s v="Д-82"/>
    <s v="Договор возмездного оказания услуг"/>
    <s v="Расходная часть"/>
    <s v="Рамочный"/>
    <s v="без НДС"/>
    <s v=""/>
    <s v=""/>
    <s v="7 306 133.16"/>
    <s v="7 306 133.16"/>
    <n v="0"/>
    <s v="нет"/>
    <s v="нет"/>
    <s v=""/>
    <s v=""/>
    <s v=""/>
    <s v=""/>
    <s v="нет"/>
  </r>
  <r>
    <s v="Газпромнефть-ГЕО, ООО"/>
    <s v="0000037846, 0000008602"/>
    <s v="Зарегистрирован"/>
    <d v="2021-08-09T00:00:00"/>
    <s v=""/>
    <x v="351"/>
    <s v="8905032518, 5504036333"/>
    <s v="ГЕО-20/24000/00187/Р/ГПН-20/36000/03726/Д"/>
    <s v=""/>
    <s v="Соглашение о перемене лиц в обязательстве"/>
    <s v="Нетиповой ДД"/>
    <x v="0"/>
    <s v=""/>
    <s v="00520-21"/>
    <s v=""/>
    <s v="Соглашение о перемене лиц в обязательстве к сублицензионному договору № ГПН-20/36000/03726/Д  от 30.10.2020г."/>
    <s v="Изменение владельца договора со стороны поставщика."/>
    <s v="Разумовский М.В."/>
    <s v="Гаврилов Антон Борисович"/>
    <s v="Договорный документ"/>
    <s v="Производственно-технологический департамент"/>
    <s v="Аксенов М.А."/>
    <s v="На бумажном носителе"/>
    <s v="С ограничением по срокам "/>
    <d v="2021-08-09T00:00:00"/>
    <d v="2023-06-30T00:00:00"/>
    <s v="Д-3"/>
    <s v="Лицензионный договор"/>
    <s v="Расходная часть"/>
    <s v="Агентский"/>
    <s v="20%"/>
    <s v=""/>
    <s v=""/>
    <n v="1"/>
    <n v="0.83"/>
    <n v="0.17"/>
    <s v="нет"/>
    <s v="нет"/>
    <s v=""/>
    <s v=""/>
    <s v=""/>
    <s v=""/>
    <s v="нет"/>
  </r>
  <r>
    <s v="Газпромнефть-ГЕО, ООО"/>
    <s v="0000045789"/>
    <s v="Зарегистрирован"/>
    <d v="2022-06-15T00:00:00"/>
    <s v=""/>
    <x v="16"/>
    <s v="7838395487"/>
    <s v="ГЕО-21/11708/00165/Р"/>
    <s v=""/>
    <s v="НТЦ-00892-22Д-ГЕО"/>
    <s v="Нетиповой ДД"/>
    <x v="3"/>
    <s v=""/>
    <s v="00520-22"/>
    <s v=""/>
    <s v="Заказ"/>
    <s v="«Программа развития компетенций/потенциала»"/>
    <s v="Курашко М.В."/>
    <s v=""/>
    <s v="Договорный документ"/>
    <s v="Управление по работе с персоналом"/>
    <s v="Игнатова Ю.В."/>
    <s v="На бумажном носителе"/>
    <s v="До исполнения обязательств"/>
    <d v="2022-06-15T00:00:00"/>
    <s v=""/>
    <s v="Д-66"/>
    <s v="Договор на обучение (тренинги, семинары и проч.)"/>
    <s v="Расходная часть"/>
    <s v="Рамочный"/>
    <s v="20%"/>
    <s v=""/>
    <s v=""/>
    <s v="14 398 380.00"/>
    <s v="11 998 650.00"/>
    <s v="2 399 730.00"/>
    <s v="нет"/>
    <s v="нет"/>
    <s v=""/>
    <s v=""/>
    <s v=""/>
    <s v=""/>
    <s v="нет"/>
  </r>
  <r>
    <s v="Газпромнефть-ГЕО, ООО"/>
    <s v="0000073438"/>
    <s v="Зарегистрирован"/>
    <d v="2023-09-26T00:00:00"/>
    <s v=""/>
    <x v="68"/>
    <s v="7720330291"/>
    <s v="ГЕО-21/08000/00296/Р"/>
    <s v=""/>
    <s v="14"/>
    <s v="Нетиповой ДД"/>
    <x v="7"/>
    <s v=""/>
    <s v="00520-23"/>
    <s v="8"/>
    <s v="Заявка № 14 к ДД № ГЕО-21/08000/00296/Р от 28.12.2021"/>
    <s v="Заявка №14 к Договору № ГЕО-21/08000/00296/Р от 28.12.2021 с ФГБУ «ВНИГНИ» на оказание услуг по «Разработке проектной документации по геологическому изучению недр включая поиски и оценку месторождений (залежей) УВС в пределах Усть-Енисейского лицензионного участка. Этап 1. Проведение геофизических работ»."/>
    <s v="Мормышев А.А."/>
    <s v="Мустафин И.Р."/>
    <s v="Договорный документ"/>
    <s v="Блок геологии и разработки"/>
    <s v="Аксенов М.А."/>
    <s v="ЭП"/>
    <s v="До исполнения обязательств"/>
    <d v="2023-09-26T00:00:00"/>
    <s v=""/>
    <s v="Д-58"/>
    <s v="Договор на выполнение НИР, ОКР и технологических работ"/>
    <s v="Расходная часть"/>
    <s v="Стоимостной"/>
    <s v="20%"/>
    <s v=""/>
    <s v=""/>
    <s v="3 019 779.26"/>
    <s v="2 516 482.72"/>
    <s v="503 296.54"/>
    <s v="нет"/>
    <s v="нет"/>
    <s v=""/>
    <s v=""/>
    <s v=""/>
    <s v=""/>
    <s v="нет"/>
  </r>
  <r>
    <s v="Газпромнефть-ГЕО, ООО"/>
    <s v="0000068695"/>
    <s v="Зарегистрирован"/>
    <d v="2024-08-31T00:00:00"/>
    <d v="2025-12-31T00:00:00"/>
    <x v="77"/>
    <s v="1106013435"/>
    <s v="ГЕО-21/10306/00256/P"/>
    <s v=""/>
    <s v="9"/>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520-24"/>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Применение УПД (универсальный передаточный документ) в рамках ЭДО. "/>
    <s v="Паркина И.А."/>
    <s v=""/>
    <s v="Договорный документ"/>
    <s v="Отдел подготовительных работ и экономического анализа"/>
    <s v="Трифонов А.В."/>
    <s v="ЭП"/>
    <s v="До исполнения обязательств"/>
    <d v="2024-08-31T00:00:00"/>
    <s v=""/>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n v="0"/>
    <n v="0"/>
    <n v="0"/>
    <s v="нет"/>
    <s v="нет"/>
    <s v=""/>
    <s v=""/>
    <s v=""/>
    <s v=""/>
    <s v="нет"/>
  </r>
  <r>
    <s v="Газпромнефть-ГЕО, ООО"/>
    <s v=""/>
    <s v="Проект"/>
    <s v=""/>
    <s v=""/>
    <x v="58"/>
    <s v=""/>
    <s v=""/>
    <s v=""/>
    <s v=""/>
    <s v="Нетиповой ДД"/>
    <x v="6"/>
    <s v=""/>
    <s v="00521-21"/>
    <s v=""/>
    <s v=""/>
    <s v=""/>
    <s v="Хисамутдинов С.И."/>
    <s v=""/>
    <s v="Договорный документ"/>
    <s v="Производственно-технологический департамент"/>
    <s v=""/>
    <s v=""/>
    <s v=""/>
    <s v=""/>
    <s v=""/>
    <s v=""/>
    <s v=""/>
    <s v=""/>
    <s v=""/>
    <s v=""/>
    <s v=""/>
    <s v=""/>
    <s v=""/>
    <s v=""/>
    <s v=""/>
    <s v="нет"/>
    <s v="нет"/>
    <s v=""/>
    <s v=""/>
    <s v=""/>
    <s v=""/>
    <s v="нет"/>
  </r>
  <r>
    <s v="Газпромнефть-ГЕО, ООО"/>
    <s v="0000078552"/>
    <s v="Закрыт"/>
    <d v="2022-06-07T00:00:00"/>
    <s v=""/>
    <x v="352"/>
    <s v="7203391553"/>
    <s v="ГЕО-21/09000/00263/Р"/>
    <s v=""/>
    <s v="1"/>
    <s v="Нетиповой ДД"/>
    <x v="0"/>
    <s v=""/>
    <s v="00521-22"/>
    <s v=""/>
    <s v="ДОПОЛНИТЕЛЬНОЕ СОГЛАШЕНИЕ № 1 К ДОГОВОРУ № 6492-Р/ГЕО-21/09000/00269/Р ОТ 24.11.2021 г."/>
    <s v="включение новых единичных расценок без увеличения общей цены по договору (оценка НМА)"/>
    <s v="Долгов Д.Г."/>
    <s v="Долгов Д.Г."/>
    <s v="Договорный документ"/>
    <s v="Управление материально-технического обеспечения, транспортного обеспечения и сопутствующих сервисов"/>
    <s v="Аксенов М.А."/>
    <s v="На бумажном носителе"/>
    <s v="С ограничением по срокам "/>
    <d v="2022-06-15T00:00:00"/>
    <d v="2022-12-31T00:00:00"/>
    <s v="Д-54"/>
    <s v="Договор возмездного оказания услуг"/>
    <s v="Не предполагает взаиморасчетов"/>
    <s v="Рамочный"/>
    <s v=""/>
    <s v=""/>
    <s v=""/>
    <s v=""/>
    <s v=""/>
    <s v=""/>
    <s v="нет"/>
    <s v="нет"/>
    <s v=""/>
    <s v=""/>
    <s v=""/>
    <s v=""/>
    <s v="нет"/>
  </r>
  <r>
    <s v="Газпромнефть-ГЕО, ООО"/>
    <s v="0000073563"/>
    <s v="Зарегистрирован"/>
    <d v="2023-09-26T00:00:00"/>
    <s v=""/>
    <x v="120"/>
    <s v="8609322418"/>
    <s v="ГЕО-22/33100/00194"/>
    <s v=""/>
    <s v="1"/>
    <s v="Типовой ДД"/>
    <x v="0"/>
    <s v="33100 Дополнительное соглашение к Соглашениям в  в области производственной безопасности;"/>
    <s v="00521-23"/>
    <s v=""/>
    <s v="33100 Дополнительное соглашение к Соглашениям в  в области производственной безопасности;"/>
    <s v="Актуализация соглашения о ПБ "/>
    <s v="Яшкина К.Л."/>
    <s v=""/>
    <s v="Договорный документ"/>
    <s v="Блок производственной безопасности"/>
    <s v="Михайлов Ю.А."/>
    <s v="ЭП"/>
    <s v="С ограничением по срокам "/>
    <d v="2023-09-26T00:00:00"/>
    <d v="2024-07-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4590"/>
    <s v="Зарегистрирован"/>
    <d v="2024-09-16T00:00:00"/>
    <s v=""/>
    <x v="61"/>
    <s v="7708277130"/>
    <s v="ГЕО-23/09000/00149/Р"/>
    <s v=""/>
    <s v="25"/>
    <s v="Нетиповой ДД"/>
    <x v="7"/>
    <s v=""/>
    <s v="00521-24"/>
    <s v=""/>
    <s v="Заявка № 25 (РГ по ПБ в сейсморазведке) к договору о предоставлении труда работников (персонала) № ГЕО-23/09000/00149/Р от 28.08.2023 г."/>
    <s v="Рассмотрение вопроса о возможности заключения Заявки № 25 на привлечение руководителя группы по производственной безопасности в сейсморазведке для проекта «Южный Оренбург» (ЭРР) в рамках Договора № ГЕО-23/09000/00149/Р от «28» августа 2023 г. со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
    <s v="Фокин Е.В."/>
    <s v="Фокин Е.В."/>
    <s v="Договорный документ"/>
    <s v="Управление производственной безопасности"/>
    <s v="Михайлов Ю.А."/>
    <s v="На бумажном носителе"/>
    <s v="С ограничением по срокам "/>
    <d v="2024-09-16T00:00:00"/>
    <d v="2024-10-30T00:00:00"/>
    <s v="Д-2"/>
    <s v="Договор возмездного оказания услуг"/>
    <s v="Расходная часть"/>
    <s v="Рамочный"/>
    <s v="20%"/>
    <s v=""/>
    <s v=""/>
    <s v="1 240 945.58"/>
    <s v="1 034 121.32"/>
    <s v="206 824.26"/>
    <s v="нет"/>
    <s v="нет"/>
    <s v=""/>
    <s v=""/>
    <s v=""/>
    <s v=""/>
    <s v="нет"/>
  </r>
  <r>
    <s v="Газпромнефть-ГЕО, ООО"/>
    <s v=""/>
    <s v="Проект"/>
    <s v=""/>
    <s v=""/>
    <x v="58"/>
    <s v=""/>
    <s v=""/>
    <s v=""/>
    <s v=""/>
    <s v="Нетиповой ДД"/>
    <x v="2"/>
    <s v=""/>
    <s v="00522-21"/>
    <s v=""/>
    <s v="На предоставление услуг по производству и предоставлению авиаметеорологической информации"/>
    <s v="Проект договора для определения НМЦ для Эксплуатация метеорологического оборудования на Лескинском ЛУ"/>
    <s v="Хисамутдинов С.И."/>
    <s v="Хисамутдинов С.И."/>
    <s v="Договорный документ"/>
    <s v="Производственно-технологический департамент"/>
    <s v="Масалкин Ю.В."/>
    <s v="На бумажном носителе"/>
    <s v="С ограничением по срокам "/>
    <d v="2022-03-01T00:00:00"/>
    <d v="2023-12-31T00:00:00"/>
    <s v=""/>
    <s v="Договор возмездного оказания услуг"/>
    <s v=""/>
    <s v=""/>
    <s v="20%"/>
    <s v=""/>
    <s v=""/>
    <s v=""/>
    <s v=""/>
    <s v=""/>
    <s v="нет"/>
    <s v="нет"/>
    <s v=""/>
    <s v=""/>
    <s v=""/>
    <s v=""/>
    <s v="нет"/>
  </r>
  <r>
    <s v="Газпромнефть-ГЕО, ООО"/>
    <s v=""/>
    <s v="Проект"/>
    <s v=""/>
    <s v=""/>
    <x v="58"/>
    <s v=""/>
    <s v=""/>
    <s v=""/>
    <s v=""/>
    <s v="Типовой ДД"/>
    <x v="1"/>
    <s v=""/>
    <s v="00522-23"/>
    <s v=""/>
    <s v=""/>
    <s v=""/>
    <s v="Коваленко М.В."/>
    <s v=""/>
    <s v="Договорный документ"/>
    <s v="Блок производственной безопасности"/>
    <s v=""/>
    <s v=""/>
    <s v=""/>
    <s v=""/>
    <s v=""/>
    <s v=""/>
    <s v=""/>
    <s v=""/>
    <s v=""/>
    <s v=""/>
    <s v=""/>
    <s v=""/>
    <s v=""/>
    <s v=""/>
    <s v=""/>
    <s v="нет"/>
    <s v="нет"/>
    <s v=""/>
    <s v=""/>
    <s v=""/>
    <s v=""/>
    <s v="нет"/>
  </r>
  <r>
    <s v="Газпромнефть-ГЕО, ООО"/>
    <s v="0000084590"/>
    <s v="Зарегистрирован"/>
    <d v="2024-10-01T00:00:00"/>
    <s v=""/>
    <x v="61"/>
    <s v="7708277130"/>
    <s v="ГЕО-23/09000/00149/Р"/>
    <s v=""/>
    <s v="26"/>
    <s v="Нетиповой ДД"/>
    <x v="7"/>
    <s v=""/>
    <s v="00522-24"/>
    <s v=""/>
    <s v="Заявка № 26 (гидрогеолог)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Ведущего специалиста по экологической безопасности – гидрогеолога"/>
    <s v="Фокин Е.В."/>
    <s v=""/>
    <s v="Договорный документ"/>
    <s v="Управление производственной безопасности"/>
    <s v="Михайлов Ю.А."/>
    <s v="ЭП"/>
    <s v="С ограничением по срокам "/>
    <d v="2024-10-01T00:00:00"/>
    <d v="2024-12-28T00:00:00"/>
    <s v="Д-40"/>
    <s v="Договор возмездного оказания услуг"/>
    <s v="Расходная часть"/>
    <s v="Рамочный"/>
    <s v="20%"/>
    <s v=""/>
    <s v=""/>
    <s v="752 892.22"/>
    <s v="627 410.18"/>
    <s v="125 482.04"/>
    <s v="нет"/>
    <s v="нет"/>
    <s v=""/>
    <s v=""/>
    <s v=""/>
    <s v=""/>
    <s v="нет"/>
  </r>
  <r>
    <s v="Газпромнефть-ГЕО, ООО"/>
    <s v="0000045789"/>
    <s v="Зарегистрирован"/>
    <d v="2021-08-06T00:00:00"/>
    <s v=""/>
    <x v="16"/>
    <s v="7838395487"/>
    <s v="№ НТЦ-18/09000/01305/Д-ГЕО/ГЕО-19/09000/00045/Р "/>
    <s v=""/>
    <s v="НТЦ-01762-21Д         "/>
    <s v="Нетиповой ДД"/>
    <x v="3"/>
    <s v=""/>
    <s v="00523-21"/>
    <s v=""/>
    <s v="Заказ"/>
    <s v="Информационно-консультационные услуги в формате вебинара по теме: _x000d__x000a_«Концептуальное проектирование системы энергоснабжения», 26.08.2021-27.08.2021, Филиппов В.А._x000d__x000a_"/>
    <s v="Курашко М.В."/>
    <s v=""/>
    <s v="Договорный документ"/>
    <s v="Управление по работе с персоналом"/>
    <s v="Игнатова Ю.В."/>
    <s v="На бумажном носителе"/>
    <s v="До исполнения обязательств"/>
    <d v="2021-08-26T00:00:00"/>
    <s v=""/>
    <s v="Д-30"/>
    <s v="Договор возмездного оказания услуг"/>
    <s v="Расходная часть"/>
    <s v="Рамочный"/>
    <s v="20%"/>
    <s v=""/>
    <s v=""/>
    <s v="33 120.00"/>
    <s v="27 600.00"/>
    <s v="5 520.00"/>
    <s v="нет"/>
    <s v="нет"/>
    <s v=""/>
    <s v=""/>
    <s v=""/>
    <s v=""/>
    <s v="нет"/>
  </r>
  <r>
    <s v="Газпромнефть-ГЕО, ООО"/>
    <s v="0000067067"/>
    <s v="Зарегистрирован"/>
    <d v="2023-09-27T00:00:00"/>
    <s v=""/>
    <x v="85"/>
    <s v="7816483740"/>
    <s v="ГЕО-19/09000/00303/Р"/>
    <s v=""/>
    <s v="8"/>
    <s v="Нетиповой ДД"/>
    <x v="0"/>
    <s v=""/>
    <s v="00523-23"/>
    <s v=""/>
    <s v="Дополнительное соглашение №8 к договору ГЕО-19/09000/00303/Р от_x0009_15.11.2019"/>
    <s v="Изложить приложение раздел 13 договора в новой редакции, заменить приложение № 2 к Договору в редакции Приложения 2 к дополнительному соглашению"/>
    <s v="Покатов О.Н."/>
    <s v=""/>
    <s v="Договорный документ"/>
    <s v="Управление производственной безопасности"/>
    <s v="Михайлов Ю.А."/>
    <s v="ЭП"/>
    <s v="До исполнения обязательств"/>
    <d v="2023-09-27T00:00:00"/>
    <s v=""/>
    <s v="Д-2"/>
    <s v="Договор возмездного оказания услуг"/>
    <s v="Не предполагает взаиморасчетов"/>
    <s v=""/>
    <s v=""/>
    <s v=""/>
    <s v=""/>
    <s v=""/>
    <s v=""/>
    <s v=""/>
    <s v="нет"/>
    <s v="нет"/>
    <s v=""/>
    <s v=""/>
    <s v=""/>
    <s v=""/>
    <s v="нет"/>
  </r>
  <r>
    <s v="Газпромнефть-ГЕО, ООО"/>
    <s v="0000084590"/>
    <s v="Зарегистрирован"/>
    <d v="2024-10-01T00:00:00"/>
    <s v=""/>
    <x v="61"/>
    <s v="7708277130"/>
    <s v="ГЕО-23/09000/00149/Р"/>
    <s v=""/>
    <s v="27"/>
    <s v="Нетиповой ДД"/>
    <x v="7"/>
    <s v=""/>
    <s v="00523-24"/>
    <s v=""/>
    <s v="Заявка № 27 (Статист)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Ведущего специалиста по статистике и анализу в области производственной безопасности"/>
    <s v="Фокин Е.В."/>
    <s v="Фокин Е.В."/>
    <s v="Договорный документ"/>
    <s v="Управление производственной безопасности"/>
    <s v="Михайлов Ю.А."/>
    <s v="ЭП"/>
    <s v="С ограничением по срокам "/>
    <d v="2024-10-01T00:00:00"/>
    <d v="2024-12-28T00:00:00"/>
    <s v="Д-40"/>
    <s v="Договор возмездного оказания услуг"/>
    <s v="Расходная часть"/>
    <s v="Рамочный"/>
    <s v="20%"/>
    <s v=""/>
    <s v=""/>
    <s v="630 227.24"/>
    <s v="525 189.37"/>
    <s v="105 037.87"/>
    <s v="нет"/>
    <s v="нет"/>
    <s v=""/>
    <s v=""/>
    <s v=""/>
    <s v=""/>
    <s v="нет"/>
  </r>
  <r>
    <s v="Газпромнефть-ГЕО, ООО"/>
    <s v="0000087384"/>
    <s v="Обработка результатов согласования"/>
    <s v=""/>
    <s v=""/>
    <x v="34"/>
    <s v="7204183725"/>
    <s v=""/>
    <s v=""/>
    <s v=""/>
    <s v="Нетиповой ДД"/>
    <x v="2"/>
    <s v=""/>
    <s v="00524-21"/>
    <s v=""/>
    <s v="Рамочный договор о выполнении операторских работ и оказании операторских услуг"/>
    <s v="Оказание операторских услуг ООО &quot;Карабашские-6&quot;"/>
    <s v="Сафронова С.С."/>
    <s v="Сафронова С.С."/>
    <s v="Договорный документ"/>
    <s v="Кластер «Интеграция, совместные предприятия, зарубежные активы»"/>
    <s v="Масалкин Ю.В."/>
    <s v="На бумажном носителе"/>
    <s v="До исполнения обязательств"/>
    <d v="2021-10-01T00:00:00"/>
    <s v=""/>
    <s v=""/>
    <s v="Оказание операторских услуг по опытно-промышленной эксплуатации скважины"/>
    <s v="Доходная часть"/>
    <s v="Рамочный"/>
    <s v="20%"/>
    <s v=""/>
    <s v=""/>
    <s v="128 772 000.00"/>
    <s v="107 310 000.00"/>
    <s v="21 462 000.00"/>
    <s v="нет"/>
    <s v="нет"/>
    <s v=""/>
    <s v=""/>
    <s v=""/>
    <s v=""/>
    <s v="нет"/>
  </r>
  <r>
    <s v="Газпромнефть-ГЕО, ООО"/>
    <s v="0000061300"/>
    <s v="Зарегистрирован"/>
    <d v="2022-06-10T00:00:00"/>
    <s v=""/>
    <x v="191"/>
    <s v="5603011386"/>
    <s v="ГЕО-22/09000/00066/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524-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ереход на ЭДО"/>
    <s v="Раковица Д.К."/>
    <s v="Раковица Д.К."/>
    <s v="Договорный документ"/>
    <s v="Отдел подготовительных работ и экономического анализа"/>
    <s v="Гаврилов С.В."/>
    <s v="На бумажном носителе"/>
    <s v="С ограничением по срокам "/>
    <d v="2022-06-10T00:00:00"/>
    <d v="2023-03-15T00:00:00"/>
    <s v="Д-58"/>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93724"/>
    <s v="Закрыт"/>
    <d v="2023-09-28T00:00:00"/>
    <s v=""/>
    <x v="129"/>
    <s v="8601057334"/>
    <s v=""/>
    <s v="ГЕО-23/33200/00163"/>
    <s v="ГЕО-23/33200/00163"/>
    <s v="Типовой ДД"/>
    <x v="1"/>
    <s v="33200 Соглашение об электронном документообороте"/>
    <s v="00524-23"/>
    <s v=""/>
    <s v="33200 Соглашение об электронном документообороте"/>
    <s v="Для осуществления электронного документооборота"/>
    <s v="Ларионов Е.(."/>
    <s v=""/>
    <s v="Договорный документ"/>
    <s v="Блок снабжения и закупок"/>
    <s v="Ковтун М.А."/>
    <s v="ЭП"/>
    <s v="Без сроков "/>
    <d v="2023-09-28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4590"/>
    <s v="Зарегистрирован"/>
    <d v="2024-10-01T00:00:00"/>
    <s v=""/>
    <x v="61"/>
    <s v="7708277130"/>
    <s v="ГЕО-23/09000/00149/Р"/>
    <s v=""/>
    <s v="1"/>
    <s v="Нетиповой ДД"/>
    <x v="4"/>
    <s v=""/>
    <s v="00524-24"/>
    <s v="22"/>
    <s v="Изменение №1 к Заявке № 22 (РГ по ПБ) к договору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для проекта «Оморинский», Камовская площадь, скважина КМ-4 бис."/>
    <s v="Фокин Е.В."/>
    <s v="Фокин Е.В."/>
    <s v="Договорный документ"/>
    <s v="Управление производственной безопасности"/>
    <s v="Михайлов Ю.А."/>
    <s v="ЭП"/>
    <s v="С ограничением по срокам "/>
    <d v="2024-09-01T00:00:00"/>
    <d v="2024-10-02T00:00:00"/>
    <s v="Д-40"/>
    <s v="Договор возмездного оказания услуг"/>
    <s v="Расходная часть"/>
    <s v="Рамочный"/>
    <s v="20%"/>
    <s v=""/>
    <s v=""/>
    <s v="1 269 494.44"/>
    <s v="1 057 912.03"/>
    <s v="211 582.41"/>
    <s v="нет"/>
    <s v="нет"/>
    <s v=""/>
    <s v=""/>
    <s v=""/>
    <s v=""/>
    <s v="нет"/>
  </r>
  <r>
    <s v="Газпромнефть-ГЕО, ООО"/>
    <s v="0000027605"/>
    <s v="Закрыт"/>
    <d v="2021-11-19T00:00:00"/>
    <s v=""/>
    <x v="67"/>
    <s v="8605003932"/>
    <s v=""/>
    <s v="ГЕО-21/10322/00262/Р"/>
    <s v="ГЕО-21/10322/00262/Р"/>
    <s v="Нетиповой ДД"/>
    <x v="2"/>
    <s v=""/>
    <s v="00525-21"/>
    <s v=""/>
    <s v="на оперативную доставку сил и средств в случае возникновения чрезвычайной ситуации, связанной с локализацией и ликвидацией разлива нефти/нефтепродуктов"/>
    <s v="Оперативная доставка сил и средств_x000d__x000a_ в случае возникновения чрезвычайной ситуации, _x000d__x000a_связанной с локализацией и ликвидацией разлива _x000d__x000a_нефти/нефтепродуктов на объектах ООО ГПН-ГЕО  _x000d__x000a_"/>
    <s v="Белоусов О.В."/>
    <s v="Белоусов О.В."/>
    <s v="Договорный документ"/>
    <s v="Отдел по промышленной и пожарной безопасности"/>
    <s v="Власов М.М."/>
    <s v="На бумажном носителе"/>
    <s v="С ограничением по срокам "/>
    <d v="2021-11-19T00:00:00"/>
    <d v="2022-07-31T00:00:00"/>
    <s v="Д-30"/>
    <s v="Аварийные работы, включая аренду аварийного инструмента, инструмента для ликвидации скважины и предоставление мастера по аварийным работам"/>
    <s v="Расходная часть"/>
    <s v="Рамочный"/>
    <s v="20%"/>
    <s v=""/>
    <s v=""/>
    <s v="105 233 600.40"/>
    <s v="87 694 667.00"/>
    <s v="17 538 933.40"/>
    <s v="нет"/>
    <s v="нет"/>
    <s v=""/>
    <s v=""/>
    <s v=""/>
    <s v=""/>
    <s v="нет"/>
  </r>
  <r>
    <s v="Газпромнефть-ГЕО, ООО"/>
    <s v="0000088405"/>
    <s v="Зарегистрирован"/>
    <d v="2022-06-08T00:00:00"/>
    <s v=""/>
    <x v="169"/>
    <s v="6312086734"/>
    <s v="ЕО-20/Ю803/00003/Р"/>
    <s v=""/>
    <s v="4"/>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525-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я квалифицированной электронной подписи (УКЭП) при подписании договорных документов в целях повышения эффективности сотрудничества и взаимного снижения издержек. "/>
    <s v="Забиров А.А."/>
    <s v="Забиров А.А."/>
    <s v="Договорный документ"/>
    <s v="Производственно-технологический департамент"/>
    <s v="Перфильев Д.А."/>
    <s v="На бумажном носителе"/>
    <s v="До исполнения обязательств"/>
    <d v="2022-06-08T00:00:00"/>
    <s v=""/>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9013"/>
    <s v="Зарегистрирован"/>
    <d v="2023-09-22T00:00:00"/>
    <s v=""/>
    <x v="114"/>
    <s v="7203218005"/>
    <s v="ГЕО-21/10924/00124/Р"/>
    <s v=""/>
    <s v="7"/>
    <s v="Нетиповой ДД"/>
    <x v="0"/>
    <s v=""/>
    <s v="00525-23"/>
    <s v=""/>
    <s v="Дополнительное соглашение №7 к Договору №ГЕО-21/10924/00124/Р от 12.05.2021 г. "/>
    <s v="Частичный перевод услуг из негарантированного объема в гарантированный по УФО и СФО"/>
    <s v="Липатова О.И."/>
    <s v="Липатова О.И."/>
    <s v="Договорный документ"/>
    <s v="Отдел экологической безопасности"/>
    <s v="Михайлов Ю.А."/>
    <s v="ЭП"/>
    <s v="С ограничением по срокам "/>
    <d v="2023-09-22T00:00:00"/>
    <d v="2023-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без НДС"/>
    <s v=""/>
    <s v=""/>
    <s v="1 460 612.07"/>
    <s v="1 460 612.07"/>
    <n v="0"/>
    <s v="нет"/>
    <s v="нет"/>
    <s v=""/>
    <s v=""/>
    <s v=""/>
    <s v=""/>
    <s v="нет"/>
  </r>
  <r>
    <s v="Газпромнефть-ГЕО, ООО"/>
    <s v="0000093724"/>
    <s v="Обработка результатов согласования"/>
    <d v="2024-07-01T00:00:00"/>
    <s v=""/>
    <x v="129"/>
    <s v="8601057334"/>
    <s v="ГЕО-23/08000/00156/Р"/>
    <s v=""/>
    <s v="3"/>
    <s v="Нетиповой ДД"/>
    <x v="0"/>
    <s v=""/>
    <s v="00525-24"/>
    <s v=""/>
    <s v="Дополнительное соглашение №3"/>
    <s v="Изменение ед.расценок"/>
    <s v="Ябиров Р.З."/>
    <s v=""/>
    <s v="Договорный документ"/>
    <s v="Блок геологии и разработки"/>
    <s v="Аксенов М.А."/>
    <s v="ЭП"/>
    <s v="С ограничением по срокам "/>
    <d v="2024-07-01T00:00:00"/>
    <d v="2024-12-31T00:00:00"/>
    <s v="Д-41"/>
    <s v="Договор на выполнение НИР, ОКР и технологических работ"/>
    <s v="Расходная часть"/>
    <s v="Рамочный"/>
    <s v="20%"/>
    <s v=""/>
    <s v=""/>
    <s v="949 561 197.63"/>
    <s v="791 300 998.03"/>
    <s v="158 260 199.60"/>
    <s v="нет"/>
    <s v="нет"/>
    <s v=""/>
    <s v=""/>
    <s v=""/>
    <s v=""/>
    <s v="нет"/>
  </r>
  <r>
    <s v="Газпромнефть-ГЕО, ООО"/>
    <s v="0000069013"/>
    <s v="Зарегистрирован"/>
    <d v="2023-09-25T00:00:00"/>
    <s v=""/>
    <x v="114"/>
    <s v="7203218005"/>
    <s v="ГЕО-21/10924/00124/Р"/>
    <s v=""/>
    <s v="6"/>
    <s v="Нетиповой ДД"/>
    <x v="3"/>
    <s v=""/>
    <s v="00526-23"/>
    <s v=""/>
    <s v="НАРЯД-ЗАКАЗ № 6 к ДОГОВОРУ № ГЕО-21/10924/00124/Р от 12.05.2021 г. на выполнение работ по экологическому мониторингу месторождений "/>
    <s v="Выполнение Исполнителем работ по экологическому мониторингу месторождений в 2023 г. "/>
    <s v="Липатова О.И."/>
    <s v="Липатова О.И."/>
    <s v="Договорный документ"/>
    <s v="Отдел экологической безопасности"/>
    <s v="Михайлов Ю.А."/>
    <s v="ЭП"/>
    <s v="С ограничением по срокам "/>
    <d v="2023-09-25T00:00:00"/>
    <d v="2023-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без НДС"/>
    <s v=""/>
    <s v=""/>
    <s v="1 460 612.07"/>
    <s v="1 460 612.07"/>
    <n v="0"/>
    <s v="нет"/>
    <s v="нет"/>
    <s v=""/>
    <s v=""/>
    <s v=""/>
    <s v=""/>
    <s v="нет"/>
  </r>
  <r>
    <s v="Газпромнефть-ГЕО, ООО"/>
    <s v="0000118091"/>
    <s v="Зарегистрирован"/>
    <d v="2024-10-02T00:00:00"/>
    <s v=""/>
    <x v="353"/>
    <s v="5638068432"/>
    <s v=""/>
    <s v="ГЕО-24/36000/00165/Р"/>
    <s v="ГЕО-24/36000/00165/Р"/>
    <s v="Нетиповой ДД"/>
    <x v="2"/>
    <s v=""/>
    <s v="00526-24"/>
    <s v=""/>
    <s v="Сублицензионный договор (&quot;ООО Медиатехнологии&quot;, ПО &quot;nanoCAD&quot;)"/>
    <s v="Предоставление неисключительного права (простой лицензии) на использование программного обеспечения Nanocad. "/>
    <s v="Васильева А.И."/>
    <s v="Попов В.А."/>
    <s v="Договорный документ"/>
    <s v="Блок геологии и разработки"/>
    <s v="Аксенов М.А."/>
    <s v="На бумажном носителе"/>
    <s v="До исполнения обязательств"/>
    <d v="2024-10-02T00:00:00"/>
    <s v=""/>
    <s v="Д-58"/>
    <s v="Сублицензионный договор"/>
    <s v="Расходная часть"/>
    <s v="Рамочный"/>
    <s v="иное"/>
    <s v=""/>
    <s v=""/>
    <s v="4 420 399.98"/>
    <s v="4 410 399.98"/>
    <s v="10 000.00"/>
    <s v="нет"/>
    <s v="нет"/>
    <s v=""/>
    <s v=""/>
    <s v=""/>
    <s v=""/>
    <s v="нет"/>
  </r>
  <r>
    <s v="Газпромнефть-ГЕО, ООО"/>
    <s v="0000088405"/>
    <s v="Зарегистрирован"/>
    <d v="2022-06-08T00:00:00"/>
    <s v=""/>
    <x v="169"/>
    <s v="6312086734"/>
    <s v="ГЕО-20/Ю838/00020/Р"/>
    <s v=""/>
    <s v="4"/>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527-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я квалифицированной электронной подписи (УКЭП) при подписании договорных документов в целях повышения эффективности сотрудничества и взаимного снижения издержек. "/>
    <s v="Забиров А.А."/>
    <s v="Забиров А.А."/>
    <s v="Договорный документ"/>
    <s v="Производственно-технологический департамент"/>
    <s v="Перфильев Д.А."/>
    <s v="На бумажном носителе"/>
    <s v="До исполнения обязательств"/>
    <d v="2022-06-08T00:00:00"/>
    <s v=""/>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0222"/>
    <s v="Зарегистрирован"/>
    <d v="2023-10-02T00:00:00"/>
    <s v=""/>
    <x v="354"/>
    <s v="7736227885"/>
    <s v=""/>
    <s v="ГЕО-23/01200/00167/Р"/>
    <s v="ГЕО-23/01200/00167/Р"/>
    <s v="Нетиповой ДД"/>
    <x v="2"/>
    <s v=""/>
    <s v="00527-23"/>
    <s v=""/>
    <s v="Договор поставки"/>
    <s v="Предоставление сертификатов на техподдержку ПО С-Терра"/>
    <s v="Сорокин И.М."/>
    <s v="Сорокин И.М."/>
    <s v="Договорный документ"/>
    <s v="Блок геологии и разработки"/>
    <s v="Аксенов М.А."/>
    <s v="На бумажном носителе"/>
    <s v="До исполнения обязательств"/>
    <d v="2023-10-02T00:00:00"/>
    <s v=""/>
    <s v="Д-54"/>
    <s v="Договор поставки/купли продажи движимого имущества"/>
    <s v="Расходная часть"/>
    <s v="Стоимостной"/>
    <s v="20%"/>
    <s v=""/>
    <s v=""/>
    <s v="434 000.00"/>
    <s v="361 666.67"/>
    <s v="72 333.33"/>
    <s v="нет"/>
    <s v="нет"/>
    <s v=""/>
    <s v=""/>
    <s v=""/>
    <s v=""/>
    <s v="нет"/>
  </r>
  <r>
    <s v="Газпромнефть-ГЕО, ООО"/>
    <s v="0000118091"/>
    <s v="Зарегистрирован"/>
    <d v="2024-09-19T00:00:00"/>
    <s v=""/>
    <x v="353"/>
    <s v="5638068432"/>
    <s v=""/>
    <s v="ГЕО-24/33200/00156"/>
    <s v="ГЕО-24/33200/00156"/>
    <s v="Типовой ДД"/>
    <x v="1"/>
    <s v="33200 Соглашение об электронном документообороте"/>
    <s v="00527-24"/>
    <s v=""/>
    <s v="33200 Соглашение об электронном документообороте с ООО «МЕДИАТЕХНОЛОГИИ» "/>
    <s v="Организация электронного документооборота с контрагентом"/>
    <s v="Васильева А.И."/>
    <s v="Попов В.А."/>
    <s v="Договорный документ"/>
    <s v="Блок геологии и разработки"/>
    <s v="Ковтун М.А."/>
    <s v="ЭП"/>
    <s v="До исполнения обязательств"/>
    <d v="2024-09-20T00:00:00"/>
    <s v=""/>
    <s v="Д-29"/>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0878"/>
    <s v="Закрыт"/>
    <d v="2021-08-27T00:00:00"/>
    <s v=""/>
    <x v="40"/>
    <s v="7826711272"/>
    <s v="ГЕО-21/09000/00001/Р"/>
    <s v=""/>
    <s v="1"/>
    <s v="Нетиповой ДД"/>
    <x v="0"/>
    <s v=""/>
    <s v="00528-21"/>
    <s v=""/>
    <s v="ДОПОЛНИТЕЛЬНОЕ СОГЛАШЕНИЕ № 1 К ДОГОВОРУ НА СЕРВИСНОЕ ОБСЛУЖИВАНИЕ №ДОУ-155-20/ ГЕО-21/09000/00001/Р от 01.01.2021"/>
    <s v="1. Уточнение структуры законтрактованных услуг в Приложении №1 – создание главы 3 (п.3.1-3.6) «Услуги по сервисному обслуживанию объекта (переменная часть)»; 2. Изменение лимита по видам услуг в переменной части Приложения №2 (без изменения общей стоимости по договору), выделение лимита на «Прочие услуги», выполняемые по заявкам Заказчика. 3. Внести в расшифровку п.1.1.13, далее п.3.4 Приложения №1 к ДС №1 «Прочие услуги» уточнение «Для административно-хозяйственного и социально-бытового обеспечения»."/>
    <s v="Буракова О.В."/>
    <s v="Сергель О.Г."/>
    <s v="Договорный документ"/>
    <s v="Отдел административной поддержки бизнеса"/>
    <s v="Буракова О.В."/>
    <s v="На бумажном носителе"/>
    <s v="С ограничением по срокам "/>
    <d v="2021-08-16T00:00:00"/>
    <d v="2023-12-31T00:00:00"/>
    <s v="Д-1"/>
    <s v="Договор возмездного оказания услуг"/>
    <s v="Расходная часть"/>
    <s v="Стоимостной"/>
    <s v="20%"/>
    <s v=""/>
    <s v=""/>
    <s v="29 637 548.86"/>
    <s v="24 697 957.38"/>
    <s v="4 939 591.48"/>
    <s v="нет"/>
    <s v="нет"/>
    <s v=""/>
    <s v=""/>
    <s v=""/>
    <s v=""/>
    <s v="нет"/>
  </r>
  <r>
    <s v="Газпромнефть-ГЕО, ООО"/>
    <s v="0000040878"/>
    <s v="Зарегистрирован"/>
    <d v="2022-06-01T00:00:00"/>
    <s v=""/>
    <x v="40"/>
    <s v="7826711272"/>
    <s v="ДАТ/ГЕО-19/11100/00254/Р"/>
    <s v=""/>
    <s v="4"/>
    <s v="Нетиповой ДД"/>
    <x v="0"/>
    <s v=""/>
    <s v="00528-22"/>
    <s v=""/>
    <s v="О сроках подписания ПУД по ЭДО"/>
    <s v="Включение в ДД типовых требований по обмену ЭДО в редакции Комплекса Парадной"/>
    <s v="Гусаков В.В."/>
    <s v="Гусаков В.В."/>
    <s v="Договорный документ"/>
    <s v="Блок снабжения и закупок"/>
    <s v="Титов А.В."/>
    <s v="На бумажном носителе"/>
    <s v="С ограничением по срокам "/>
    <d v="2022-06-01T00:00:00"/>
    <d v="2022-12-31T00:00:00"/>
    <s v="Д-56"/>
    <s v="Договор возмездного оказания услуг"/>
    <s v="Не предполагает взаиморасчетов"/>
    <s v="Тарифный"/>
    <s v=""/>
    <s v=""/>
    <s v=""/>
    <s v=""/>
    <s v=""/>
    <s v=""/>
    <s v="нет"/>
    <s v="нет"/>
    <s v=""/>
    <s v=""/>
    <s v=""/>
    <s v=""/>
    <s v="нет"/>
  </r>
  <r>
    <s v="Газпромнефть-ГЕО, ООО"/>
    <s v="0000038433"/>
    <s v="Зарегистрирован"/>
    <d v="2023-10-17T00:00:00"/>
    <s v=""/>
    <x v="117"/>
    <s v="7707113869"/>
    <s v="ГЕО-23/09000/00036/Р"/>
    <s v=""/>
    <s v="1"/>
    <s v="Нетиповой ДД"/>
    <x v="0"/>
    <s v=""/>
    <s v="00528-23"/>
    <s v=""/>
    <s v="ДС№1 к договору об оказании услуг № ГЕО-23/09000/00036/Р"/>
    <s v="Внедрение программно-аппаратного комплекса Travel-click, предназначенного для выполнения взаимных обязательств Сторонами в рамках настоящего Договора на безвозмездной основе."/>
    <s v="Сергель О.Г."/>
    <s v="Сергель О.Г."/>
    <s v="Договорный документ"/>
    <s v="Отдел административной поддержки бизнеса"/>
    <s v="Буракова О.В."/>
    <s v="ЭП"/>
    <s v="С ограничением по срокам "/>
    <d v="2023-10-17T00:00:00"/>
    <d v="2026-02-28T00:00:00"/>
    <s v="Д-33"/>
    <s v="Договор возмездного оказания услуг"/>
    <s v="Расходная часть"/>
    <s v="Стоимостной"/>
    <s v="20%"/>
    <s v=""/>
    <s v=""/>
    <n v="0"/>
    <n v="0"/>
    <n v="0"/>
    <s v="нет"/>
    <s v="нет"/>
    <s v=""/>
    <s v=""/>
    <s v=""/>
    <s v=""/>
    <s v="нет"/>
  </r>
  <r>
    <s v="Газпромнефть-ГЕО, ООО"/>
    <s v="0000076283"/>
    <s v="Зарегистрирован"/>
    <d v="2024-09-18T00:00:00"/>
    <s v=""/>
    <x v="28"/>
    <s v="4501174492"/>
    <s v="ГЕО-22/11000/00267/Р"/>
    <s v=""/>
    <s v="7"/>
    <s v="Нетиповой ДД"/>
    <x v="3"/>
    <s v=""/>
    <s v="00528-24"/>
    <s v=""/>
    <s v="НЗ №7 Уралгеопроект, ООО  к договору ГЕО-22/11000/00267/Р от 10.10.2022"/>
    <s v="НАРЯД-ЗАКАЗ №7 с ООО «Уралгеопроект». Выполнению инженерных изысканий для нужд ООО «ГПН-ГЕО»."/>
    <s v="Мормышев А.А."/>
    <s v=""/>
    <s v="Договорный документ"/>
    <s v="Департамент капитального строительства"/>
    <s v="Трифонов А.В."/>
    <s v="ЭП"/>
    <s v="С ограничением по срокам "/>
    <d v="2024-09-18T00:00:00"/>
    <d v="2024-12-28T00:00:00"/>
    <s v="Д-45"/>
    <s v="Капитальное строительство и ПИР"/>
    <s v="Расходная часть"/>
    <s v="Стоимостной"/>
    <s v="20%"/>
    <s v=""/>
    <s v=""/>
    <s v="11 337 214.04"/>
    <s v="9 447 678.37"/>
    <s v="1 889 535.67"/>
    <s v="нет"/>
    <s v="нет"/>
    <s v=""/>
    <s v=""/>
    <s v=""/>
    <s v=""/>
    <s v="нет"/>
  </r>
  <r>
    <s v="Газпромнефть-ГЕО, ООО"/>
    <s v="0000045789"/>
    <s v="Зарегистрирован"/>
    <d v="2021-06-21T00:00:00"/>
    <s v=""/>
    <x v="16"/>
    <s v="7838395487"/>
    <s v="ГЕО-19/10124/00001/Р от 09.01.2019"/>
    <s v=""/>
    <s v="2"/>
    <s v="Нетиповой ДД"/>
    <x v="0"/>
    <s v=""/>
    <s v="00529-21"/>
    <s v=""/>
    <s v="ДС2 к заказу №НТЦ-20/07000/00116/Д-ГЕО к договору №ГЕО-19/10124/00001/Р от 09.01.2019"/>
    <s v="Оценка свойств и параметров углеводородной системы по данным исследования каменного материала и пластовых флюидов скважины Лескинская 178ПО"/>
    <s v="Коротков С.П."/>
    <s v=""/>
    <s v="Договорный документ"/>
    <s v="Управление по разработке"/>
    <s v="Аксенов М.А."/>
    <s v="На бумажном носителе"/>
    <s v="С ограничением по срокам "/>
    <d v="2021-08-11T00:00:00"/>
    <d v="2021-12-31T00:00:00"/>
    <s v="Д-3"/>
    <s v="НИОКР, НИР прочие"/>
    <s v="Расходная часть"/>
    <s v="Рамочный"/>
    <s v="20%"/>
    <s v=""/>
    <s v=""/>
    <s v="29 086 800.00"/>
    <s v="24 239 000.00"/>
    <s v="4 847 800.00"/>
    <s v="нет"/>
    <s v="нет"/>
    <s v=""/>
    <s v=""/>
    <s v=""/>
    <s v=""/>
    <s v="нет"/>
  </r>
  <r>
    <s v="Газпромнефть-ГЕО, ООО"/>
    <s v="0000087378"/>
    <s v="Зарегистрирован"/>
    <d v="2023-09-27T00:00:00"/>
    <s v=""/>
    <x v="97"/>
    <s v="7204203139"/>
    <s v="ГЕО-21/08000/00297/Р"/>
    <s v=""/>
    <s v="7/23-297"/>
    <s v="Нетиповой ДД"/>
    <x v="3"/>
    <s v=""/>
    <s v="00529-23"/>
    <s v=""/>
    <s v="Комплексные исследования керна скважины 198 Лескинского ЛУ (интервалы отбора керна 3240.00-3974.70)"/>
    <s v="Необходимость проведения работ вызвана в связи с получением нового кернового материала из скважины №198 Лескинского ЛУ для построения геолого-гидродинамической модели пластов"/>
    <s v="Ябиров Р.З."/>
    <s v=""/>
    <s v="Договорный документ"/>
    <s v="Блок геологии и разработки"/>
    <s v="Ковтун М.А."/>
    <s v="На бумажном носителе"/>
    <s v="С ограничением по срокам "/>
    <d v="2023-09-27T00:00:00"/>
    <d v="2023-10-25T00:00:00"/>
    <s v="Д-62"/>
    <s v="Договор на выполнение НИР, ОКР и технологических работ"/>
    <s v="Расходная часть"/>
    <s v="Рамочный"/>
    <s v="20%"/>
    <s v=""/>
    <s v=""/>
    <s v="6 485 595.07"/>
    <s v="5 404 662.56"/>
    <s v="1 080 932.51"/>
    <s v="нет"/>
    <s v="нет"/>
    <s v=""/>
    <s v=""/>
    <s v=""/>
    <s v=""/>
    <s v="нет"/>
  </r>
  <r>
    <s v="Газпромнефть-ГЕО, ООО"/>
    <s v="0000025354"/>
    <s v="Зарегистрирован"/>
    <d v="2024-10-21T00:00:00"/>
    <d v="2025-12-31T00:00:00"/>
    <x v="111"/>
    <s v="5003026493"/>
    <s v=""/>
    <s v="ГЕО-24/10000/00173"/>
    <s v="ГЕО-24/10000/00173"/>
    <s v="Нетиповой ДД"/>
    <x v="1"/>
    <s v=""/>
    <s v="00529-24"/>
    <s v=""/>
    <s v="Соглашение  об урегулировании взаимных претензионных требований и подведении итогового сальдо встречных предоставлений с ГПБ по Договору № ГЕО-21/07000/00283/Р от 20.12.2021 г."/>
    <s v="Урегулирование взаимных претензионных требований, согласно условиям ДД"/>
    <s v="Яшкина К.Л."/>
    <s v="Асюлев К.С."/>
    <s v="Договорный документ"/>
    <s v="Блок бурения и ВСР"/>
    <s v="Трифонов А.В."/>
    <s v="ЭП"/>
    <s v="До исполнения обязательств"/>
    <d v="2024-10-21T00:00:00"/>
    <s v=""/>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Зарегистрирован"/>
    <d v="2021-08-12T00:00:00"/>
    <s v=""/>
    <x v="355"/>
    <s v=""/>
    <s v=""/>
    <s v="ГЕО-21/26000/00179"/>
    <s v="ГЕО-21/26000/00179"/>
    <s v="Типовой ДД"/>
    <x v="1"/>
    <s v="26000 Соглашение о конфиденциальности с российским контрагентом"/>
    <s v="00530-21"/>
    <s v=""/>
    <s v="26000 Соглашение о конфиденциальности с российским контрагентом"/>
    <s v="Заключение соглашения о конфиденциальности с СПД"/>
    <s v="Ахматгалиев С.З."/>
    <s v="Ахматгалиев С.З."/>
    <s v="Договорный документ"/>
    <s v="Блок геологии и разработки"/>
    <s v="Аксенов М.А."/>
    <s v="На бумажном носителе"/>
    <s v="С ограничением по срокам "/>
    <d v="2021-08-12T00:00:00"/>
    <d v="2027-12-31T00:00:00"/>
    <s v="Д-3"/>
    <s v="Соглашение о конфиденциальности"/>
    <s v="Не предполагает взаиморасчетов"/>
    <s v=""/>
    <s v=""/>
    <s v=""/>
    <s v=""/>
    <s v=""/>
    <s v=""/>
    <s v=""/>
    <s v="нет"/>
    <s v="нет"/>
    <s v=""/>
    <s v=""/>
    <s v=""/>
    <s v=""/>
    <s v="нет"/>
  </r>
  <r>
    <s v="Газпромнефть-ГЕО, ООО"/>
    <s v="0000087378"/>
    <s v="Зарегистрирован"/>
    <d v="2023-09-27T00:00:00"/>
    <s v=""/>
    <x v="97"/>
    <s v="7204203139"/>
    <s v="ГЕО-21/08000/00297/Р"/>
    <s v=""/>
    <s v="8/23-297"/>
    <s v="Нетиповой ДД"/>
    <x v="3"/>
    <s v=""/>
    <s v="00530-23"/>
    <s v=""/>
    <s v="Тестирование кислотных составов на керне скважины 198 Лескинского месторождения"/>
    <s v="Проведение исследований вызвана необходимостью изучить совместимости технологических жидкостей находящихся в стволе скважины, в пласте при проведении кислотного ОПЗ, определение степени изменения ФЕС с целью увеличения нефтеотдачи пластов"/>
    <s v="Ябиров Р.З."/>
    <s v=""/>
    <s v="Договорный документ"/>
    <s v="Блок геологии и разработки"/>
    <s v="Ковтун М.А."/>
    <s v="На бумажном носителе"/>
    <s v="С ограничением по срокам "/>
    <d v="2023-09-27T00:00:00"/>
    <d v="2023-10-30T00:00:00"/>
    <s v="Д-62"/>
    <s v="Договор на выполнение НИР, ОКР и технологических работ"/>
    <s v="Расходная часть"/>
    <s v="Рамочный"/>
    <s v="20%"/>
    <s v=""/>
    <s v=""/>
    <s v="2 928 370.00"/>
    <s v="2 440 308.33"/>
    <s v="488 061.67"/>
    <s v="нет"/>
    <s v="нет"/>
    <s v=""/>
    <s v=""/>
    <s v=""/>
    <s v=""/>
    <s v="нет"/>
  </r>
  <r>
    <s v="Газпромнефть-ГЕО, ООО"/>
    <s v="0000008602"/>
    <s v="Закрыт"/>
    <d v="2021-09-09T00:00:00"/>
    <s v=""/>
    <x v="32"/>
    <s v="5504036333"/>
    <s v=""/>
    <s v="ГЕО-21/09000/00206/Д"/>
    <s v="ГЕО-21/09000/00206/Д"/>
    <s v="Нетиповой ДД"/>
    <x v="2"/>
    <s v=""/>
    <s v="00531-21"/>
    <s v=""/>
    <s v="Договор об отчуждении исключительных прав на РИД"/>
    <s v="Договор об отчуждении исключительных прав на РИД"/>
    <s v="Андреева И.В."/>
    <s v="Гаврилов А.Б."/>
    <s v="Договорный документ"/>
    <s v="Управление экономического планирования и анализа"/>
    <s v="Аксенов М.А."/>
    <s v="На бумажном носителе"/>
    <s v="Без сроков "/>
    <d v="2021-08-12T00:00:00"/>
    <s v=""/>
    <s v="Д-3"/>
    <s v="Договор возмездного оказания услуг"/>
    <s v="Доходная часть"/>
    <s v="Стоимостной"/>
    <s v="20%"/>
    <s v=""/>
    <s v=""/>
    <s v="219 939.66"/>
    <s v="183 283.05"/>
    <s v="36 656.61"/>
    <s v="нет"/>
    <s v="нет"/>
    <s v=""/>
    <s v=""/>
    <s v=""/>
    <s v=""/>
    <s v="нет"/>
  </r>
  <r>
    <s v="Газпромнефть-ГЕО, ООО"/>
    <s v="0000074858"/>
    <s v="Зарегистрирован"/>
    <d v="2022-06-01T00:00:00"/>
    <s v=""/>
    <x v="248"/>
    <s v="5609097622"/>
    <s v="ГЕО-20/11112/00108/Р"/>
    <s v=""/>
    <s v="5"/>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531-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О формировании и подписании УПД по ЭДО"/>
    <s v="Гусаков В.В."/>
    <s v="Гусаков В.В."/>
    <s v="Договорный документ"/>
    <s v="Блок снабжения и закупок"/>
    <s v="Титов А.В."/>
    <s v="На бумажном носителе"/>
    <s v="До исполнения обязательств"/>
    <d v="2022-06-01T00:00:00"/>
    <s v=""/>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19598"/>
    <s v="Обработка результатов согласования"/>
    <s v=""/>
    <s v=""/>
    <x v="63"/>
    <s v="9909012867"/>
    <s v=""/>
    <s v=""/>
    <s v=""/>
    <s v="Нетиповой ДД"/>
    <x v="2"/>
    <s v=""/>
    <s v="00531-24"/>
    <s v=""/>
    <s v="Договор на оказание консультационных услуг"/>
    <s v="Оказание консультационных услугу по теме: «Пластовые флюиды: отбор, исследования проб, экспертиза и PVT-моделирование»"/>
    <s v="Блинова Д.М."/>
    <s v="Блинова Д.М."/>
    <s v="Договорный документ"/>
    <s v="Управление экономического планирования и анализа"/>
    <s v="Аксенов М.А."/>
    <s v="На бумажном носителе"/>
    <s v="С ограничением по срокам "/>
    <d v="2024-09-19T00:00:00"/>
    <d v="2024-12-30T00:00:00"/>
    <s v="Д-54"/>
    <s v="Договор возмездного оказания услуг"/>
    <s v="Доходная часть"/>
    <s v="Рамочный"/>
    <s v="20%"/>
    <s v=""/>
    <s v=""/>
    <s v="1 800 000.00"/>
    <s v="1 500 000.00"/>
    <s v="300 000.00"/>
    <s v="нет"/>
    <s v="нет"/>
    <s v=""/>
    <s v=""/>
    <s v=""/>
    <s v=""/>
    <s v="нет"/>
  </r>
  <r>
    <s v="Газпромнефть-ГЕО, ООО"/>
    <s v="0000098012"/>
    <s v="Закрыт"/>
    <d v="2021-08-21T00:00:00"/>
    <s v=""/>
    <x v="356"/>
    <s v="452602389704"/>
    <s v=""/>
    <s v="ГЕО-21/25000/00180/Р"/>
    <s v="ГЕО-21/25000/00180/Р"/>
    <s v="Нетиповой ДД"/>
    <x v="2"/>
    <s v=""/>
    <s v="00532-21"/>
    <s v=""/>
    <s v="Договор возмездного оказания услуг"/>
    <s v="Договор ГПХ на оказание услуг"/>
    <s v="Евстигнеев В.А."/>
    <s v="Евстигнеев В.А."/>
    <s v="Договорный документ"/>
    <s v="Управление производственной безопасности"/>
    <s v="Масалкин Ю.В."/>
    <s v="На бумажном носителе"/>
    <s v="С ограничением по срокам "/>
    <d v="2021-08-21T00:00:00"/>
    <d v="2021-12-21T00:00:00"/>
    <s v=""/>
    <s v="Договор оказания услуг с физическим лицом"/>
    <s v="Расходная часть"/>
    <s v="Стоимостной"/>
    <s v="13%"/>
    <s v=""/>
    <s v=""/>
    <s v="361 600.00"/>
    <s v="314 592.00"/>
    <s v="47 008.00"/>
    <s v="нет"/>
    <s v="нет"/>
    <s v=""/>
    <s v=""/>
    <s v=""/>
    <s v=""/>
    <s v="нет"/>
  </r>
  <r>
    <s v="Газпромнефть-ГЕО, ООО"/>
    <s v="0000045789"/>
    <s v="Зарегистрирован"/>
    <d v="2022-06-13T00:00:00"/>
    <s v=""/>
    <x v="16"/>
    <s v="7838395487"/>
    <s v="ГЕО-21/11708/00165/Р//НТЦ-21/09000/00768/Д"/>
    <s v=""/>
    <s v="НТЦ-01457-22"/>
    <s v="Нетиповой ДД"/>
    <x v="3"/>
    <s v=""/>
    <s v="00532-22"/>
    <s v=""/>
    <s v="Заказ НТЦ-01457-22"/>
    <s v="Вариантная проработка образов методологий интегрированного Бизнес-Кейса» (Продукт – Техническая политика)"/>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2-06-13T00:00:00"/>
    <d v="2022-07-31T00:00:00"/>
    <s v="Д-52"/>
    <s v="Договор на выполнение НИР, ОКР и технологических работ"/>
    <s v="Расходная часть"/>
    <s v="Рамочный"/>
    <s v="20%"/>
    <s v=""/>
    <s v=""/>
    <s v="6 365 400.00"/>
    <s v="5 304 500.00"/>
    <s v="1 060 900.00"/>
    <s v="нет"/>
    <s v="нет"/>
    <s v=""/>
    <s v=""/>
    <s v=""/>
    <s v=""/>
    <s v="нет"/>
  </r>
  <r>
    <s v="Газпромнефть-ГЕО, ООО"/>
    <s v="0000084590"/>
    <s v="Зарегистрирован"/>
    <d v="2023-10-05T00:00:00"/>
    <s v=""/>
    <x v="61"/>
    <s v="7708277130"/>
    <s v=""/>
    <s v="ГЕО-23/33400/00164"/>
    <s v="ГЕО-23/33400/00164"/>
    <s v="Нетиповой ДД"/>
    <x v="1"/>
    <s v=""/>
    <s v="00532-23"/>
    <s v=""/>
    <s v="Соглашение о безопасном использовании информационных систем "/>
    <s v="Предоставление доступа к автоматизированной информационной системе удаленного доступа к информационным ресурсам «СУДИР» для организации работы Подрядной организации в программных продуктах Заказчика (по подаче заявки)_x000d__x000a_"/>
    <s v="Безруков А.А."/>
    <s v="Фокин Е.В."/>
    <s v="Договорный документ"/>
    <s v="Блок производственной безопасности"/>
    <s v="Созинов С.А."/>
    <s v="ЭП"/>
    <s v="С ограничением по срокам "/>
    <d v="2023-10-05T00:00:00"/>
    <d v="2024-12-31T00:00:00"/>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
    <s v="Обработка результатов согласования"/>
    <s v=""/>
    <s v=""/>
    <x v="357"/>
    <s v=""/>
    <s v=""/>
    <s v=""/>
    <s v=""/>
    <s v="Нетиповой ДД"/>
    <x v="2"/>
    <s v=""/>
    <s v="00532-24"/>
    <s v=""/>
    <s v="1.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ТН ВНК 1)"/>
    <s v="1.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_x000a_"/>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Рамочный"/>
    <s v=""/>
    <s v=""/>
    <s v=""/>
    <s v=""/>
    <s v=""/>
    <s v=""/>
    <s v="нет"/>
    <s v="нет"/>
    <s v=""/>
    <s v=""/>
    <s v=""/>
    <s v=""/>
    <s v="нет"/>
  </r>
  <r>
    <s v="Газпромнефть-ГЕО, ООО"/>
    <s v=""/>
    <s v="Закрыт"/>
    <d v="2021-09-01T00:00:00"/>
    <s v=""/>
    <x v="355"/>
    <s v=""/>
    <s v=""/>
    <s v="ГЕО-21/00000/00196/Д"/>
    <s v="ГЕО-21/00000/00196/Д"/>
    <s v="Нетиповой ДД"/>
    <x v="2"/>
    <s v=""/>
    <s v="00533-21"/>
    <s v=""/>
    <s v="Оператораский договор на проведение комплекса СРР на территории В-Шапшинского ЛУ"/>
    <s v="Проведение комплекса СРР на территории В-Шапшинского ЛУ"/>
    <s v="Ахматгалиев С.З."/>
    <s v="Ахматгалиев С.З."/>
    <s v="Договорный документ"/>
    <s v="Блок геологии и разработки"/>
    <s v="Аксенов М.А."/>
    <s v="На бумажном носителе"/>
    <s v="С ограничением по срокам "/>
    <d v="2021-09-01T00:00:00"/>
    <d v="2022-12-31T00:00:00"/>
    <s v="Д-3"/>
    <s v="ПРОЧИЕ ДОГОВОРЫ"/>
    <s v="Доходная часть"/>
    <s v="Стоимостной"/>
    <s v="20%"/>
    <s v=""/>
    <s v=""/>
    <s v="850 542 557.85"/>
    <s v="708 785 464.87"/>
    <s v="141 757 092.98"/>
    <s v="нет"/>
    <s v="нет"/>
    <s v=""/>
    <s v=""/>
    <s v=""/>
    <s v=""/>
    <s v="нет"/>
  </r>
  <r>
    <s v="Газпромнефть-ГЕО, ООО"/>
    <s v="0000093917"/>
    <s v="Зарегистрирован"/>
    <d v="2022-06-01T00:00:00"/>
    <s v=""/>
    <x v="9"/>
    <s v="5609193118"/>
    <s v="№ГЕО-20/10986/00128/Р"/>
    <s v=""/>
    <s v="7"/>
    <s v="Нетиповой ДД"/>
    <x v="3"/>
    <s v=""/>
    <s v="00533-22"/>
    <s v=""/>
    <s v="Нраяд заказ на оказние услуг № 7"/>
    <s v="на оказание услуг по обеспечению безопасных условий труда для работников и соблюдению требований промышленной безопасности на скважине № 198 Лескинского лицензионного участка "/>
    <s v="Хабибуллин Т.Ф."/>
    <s v="Хабибуллин Т.Ф."/>
    <s v="Договорный документ"/>
    <s v="Отдел по промышленной и пожарной безопасности"/>
    <s v="Власов М.М."/>
    <s v="На бумажном носителе"/>
    <s v="С ограничением по срокам "/>
    <d v="2022-06-01T00:00:00"/>
    <d v="2022-09-09T00:00:00"/>
    <s v="Д-59"/>
    <s v="Договор купли-продажи сопутствующих товаров и услгуг"/>
    <s v="Расходная часть"/>
    <s v="Стоимостной"/>
    <s v="20%"/>
    <s v=""/>
    <s v=""/>
    <s v="24 560 245.20"/>
    <s v="20 466 871.00"/>
    <s v="4 093 374.20"/>
    <s v="нет"/>
    <s v="нет"/>
    <s v=""/>
    <s v=""/>
    <s v=""/>
    <s v=""/>
    <s v="нет"/>
  </r>
  <r>
    <s v="Газпромнефть-ГЕО, ООО"/>
    <s v="0000088498"/>
    <s v="Зарегистрирован"/>
    <d v="2023-09-30T00:00:00"/>
    <d v="2023-09-30T00:00:00"/>
    <x v="95"/>
    <s v="3023006808"/>
    <s v="ГЕО-22/10000/00312/Р"/>
    <s v=""/>
    <s v="№3"/>
    <s v="Нетиповой ДД"/>
    <x v="0"/>
    <s v=""/>
    <s v="00533-23"/>
    <s v=""/>
    <s v="Дополнительное соглашение №3"/>
    <s v="перевод части негарантированного объёма работ в гарантированный объём "/>
    <s v="Рымаренко А.А."/>
    <s v="Рымаренко А.А."/>
    <s v="Договорный документ"/>
    <s v="Управление внутрискважинных работ"/>
    <s v="Трифонов А.В."/>
    <s v="ЭП"/>
    <s v="С ограничением по срокам "/>
    <d v="2023-09-30T00:00:00"/>
    <d v="2024-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Обработка результатов согласования"/>
    <s v=""/>
    <s v=""/>
    <x v="357"/>
    <s v=""/>
    <s v=""/>
    <s v=""/>
    <s v=""/>
    <s v="Нетиповой ДД"/>
    <x v="0"/>
    <s v=""/>
    <s v="00533-24"/>
    <s v=""/>
    <s v="1.2. ДС №1 к МДД подряда на бурение АО ТН ВНК с ООО МУБР"/>
    <s v="1.2. ДС №1 к МДД подряда на бурение АО ТН ВНК с ООО МУБР"/>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84973"/>
    <s v="Зарегистрирован"/>
    <d v="2022-05-04T00:00:00"/>
    <s v=""/>
    <x v="205"/>
    <s v="8601066868"/>
    <s v="ГЕО-22/24000/00085"/>
    <s v=""/>
    <s v="Протокол разногласий к ГЕО-22/24000/00085"/>
    <s v="Нетиповой ДД"/>
    <x v="11"/>
    <s v=""/>
    <s v="00534-22"/>
    <s v=""/>
    <s v="Протокол разногласий к соглашению о предоставлении демо версии Кибер ГРП "/>
    <s v="Урегулирование разногласий "/>
    <s v="Рымаренко А.А."/>
    <s v="Рымаренко А.А."/>
    <s v="Договорный документ"/>
    <s v="Управление внутрискважинных работ"/>
    <s v="Гаврилов С.В."/>
    <s v="На бумажном носителе"/>
    <s v="До исполнения обязательств"/>
    <d v="2022-06-10T00:00:00"/>
    <s v=""/>
    <s v="Д-58"/>
    <s v="Лицензионный договор"/>
    <s v="Не предполагает взаиморасчетов"/>
    <s v=""/>
    <s v=""/>
    <s v=""/>
    <s v=""/>
    <s v=""/>
    <s v=""/>
    <s v=""/>
    <s v="нет"/>
    <s v="нет"/>
    <s v=""/>
    <s v=""/>
    <s v=""/>
    <s v=""/>
    <s v="нет"/>
  </r>
  <r>
    <s v="Газпромнефть-ГЕО, ООО"/>
    <s v="0000042879"/>
    <s v="Зарегистрирован"/>
    <d v="2023-10-03T00:00:00"/>
    <s v=""/>
    <x v="346"/>
    <s v="7838017968"/>
    <s v=""/>
    <s v="ГЕО-23/33200/00168"/>
    <s v="ГЕО-23/33200/00168"/>
    <s v="Типовой ДД"/>
    <x v="1"/>
    <s v="33200 Соглашение об электронном документообороте"/>
    <s v="00534-23"/>
    <s v=""/>
    <s v="33200 Соглашение об электронном документообороте"/>
    <s v="Для осуществления электронного документооборота"/>
    <s v="Аршинина М.Н."/>
    <s v="Аршинина М.Н."/>
    <s v="Договорный документ"/>
    <s v="Блок корпоративной защиты"/>
    <s v="Созинов С.А."/>
    <s v="ЭП"/>
    <s v="Без сроков "/>
    <d v="2023-10-03T00:00:00"/>
    <s v=""/>
    <s v="Д-60"/>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Обработка результатов согласования"/>
    <s v=""/>
    <s v=""/>
    <x v="358"/>
    <s v=""/>
    <s v=""/>
    <s v=""/>
    <s v=""/>
    <s v="Нетиповой ДД"/>
    <x v="2"/>
    <s v=""/>
    <s v="00534-24"/>
    <s v=""/>
    <s v="2.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ТН ВНК 2)"/>
    <s v="2.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45789"/>
    <s v="Зарегистрирован"/>
    <d v="2021-06-01T00:00:00"/>
    <s v=""/>
    <x v="16"/>
    <s v="7838395487"/>
    <s v="ГЕО-21/00000/00123/Д"/>
    <s v=""/>
    <s v="НТЦ-01571-21Р-ГПН"/>
    <s v="Нетиповой ДД"/>
    <x v="3"/>
    <s v=""/>
    <s v="00535-21"/>
    <s v=""/>
    <s v="Методическое и экспертное сопровождение реализации технологических проектов Технологической стратегии БРД"/>
    <s v="«Экспертная система по подбору типовых технологических решений для разработки и изучения АТ (ProБА)» в рамках выполнения работ этапа «Выбор» технологического проекта I18PRD0695 «Экспертная система по подбору типовых технологических решений для разработки и изучения АТ (ProБА)»"/>
    <s v="Андреева И.В."/>
    <s v="Назметдинов Р.М."/>
    <s v="Договорный документ"/>
    <s v="Управление экономического планирования и анализа"/>
    <s v="Агеев П.А."/>
    <s v="На бумажном носителе"/>
    <s v="С ограничением по срокам "/>
    <d v="2021-06-01T00:00:00"/>
    <d v="2021-12-31T00:00:00"/>
    <s v="Д-2"/>
    <s v="ПРОЧИЕ ДОГОВОРЫ"/>
    <s v="Доходная часть"/>
    <s v="Стоимостной"/>
    <s v="20%"/>
    <s v=""/>
    <s v=""/>
    <s v="13 951 656.00"/>
    <s v="11 626 380.00"/>
    <s v="2 325 276.00"/>
    <s v="нет"/>
    <s v="нет"/>
    <s v=""/>
    <s v=""/>
    <s v=""/>
    <s v=""/>
    <s v="нет"/>
  </r>
  <r>
    <s v="Газпромнефть-ГЕО, ООО"/>
    <s v="0000040878"/>
    <s v="Зарегистрирован"/>
    <d v="2022-06-01T00:00:00"/>
    <s v=""/>
    <x v="40"/>
    <s v="7826711272"/>
    <s v="ДАТ/ГЕО-19/11100/00254/Р"/>
    <s v=""/>
    <s v="5"/>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535-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О формировании и подписании УПД по ЭДО"/>
    <s v="Гусаков В.В."/>
    <s v="Гусаков В.В."/>
    <s v="Договорный документ"/>
    <s v="Блок снабжения и закупок"/>
    <s v="Титов А.В."/>
    <s v="На бумажном носителе"/>
    <s v="До исполнения обязательств"/>
    <d v="2022-06-01T00:00:00"/>
    <s v=""/>
    <s v="Д-56"/>
    <s v="Договор возмездного оказания услуг"/>
    <s v="Не предполагает взаиморасчетов"/>
    <s v=""/>
    <s v=""/>
    <s v=""/>
    <s v=""/>
    <s v=""/>
    <s v=""/>
    <s v=""/>
    <s v="нет"/>
    <s v="нет"/>
    <s v=""/>
    <s v=""/>
    <s v=""/>
    <s v=""/>
    <s v="нет"/>
  </r>
  <r>
    <s v="Газпромнефть-ГЕО, ООО"/>
    <s v="0000048216"/>
    <s v="Зарегистрирован"/>
    <d v="2023-10-23T00:00:00"/>
    <s v=""/>
    <x v="38"/>
    <s v="8605013881"/>
    <s v="ГЕО-22/33100/00056"/>
    <s v=""/>
    <s v="1"/>
    <s v="Типовой ДД"/>
    <x v="0"/>
    <s v="33100 Дополнительное соглашение к Соглашениям в  в области производственной безопасности;"/>
    <s v="00535-23"/>
    <s v=""/>
    <s v="33100 Дополнительное соглашение к Соглашениям в  в области производственной безопасности;"/>
    <s v="Внесение изменений в Соглашение в области производственной безопасности"/>
    <s v="Ларионов Е.(."/>
    <s v="Янбаев М.Х."/>
    <s v="Договорный документ"/>
    <s v="Блок снабжения и закупок"/>
    <s v="Михайлов Ю.А."/>
    <s v="ЭП"/>
    <s v="До исполнения обязательств"/>
    <d v="2023-10-23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Обработка результатов согласования"/>
    <s v=""/>
    <s v=""/>
    <x v="357"/>
    <s v=""/>
    <s v=""/>
    <s v=""/>
    <s v=""/>
    <s v="Нетиповой ДД"/>
    <x v="0"/>
    <s v=""/>
    <s v="00535-24"/>
    <s v=""/>
    <s v="2.1. ДС №1 к МДД подряда на бурение АО ТН ВНК с ООО МУБР_лот №2"/>
    <s v="2.1 ДС №1 к МДД подряда на бурение АО ТН ВНК с ООО МУБР_лот №2"/>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45789"/>
    <s v="Обработка результатов согласования"/>
    <d v="2021-05-18T00:00:00"/>
    <s v=""/>
    <x v="16"/>
    <s v="7838395487"/>
    <s v="ГЕО-21/00000/00123/Д"/>
    <s v=""/>
    <s v=""/>
    <s v="Нетиповой ДД"/>
    <x v="0"/>
    <s v=""/>
    <s v="00536-21"/>
    <s v=""/>
    <s v="Дополнительное соглашение №1"/>
    <s v="Дополнительное соглашение №1"/>
    <s v="Андреева И.В."/>
    <s v="Назметдинов Р.М."/>
    <s v="Договорный документ"/>
    <s v="Управление экономического планирования и анализа"/>
    <s v="Агеев П.А."/>
    <s v="На бумажном носителе"/>
    <s v="Без сроков "/>
    <d v="2021-05-18T00:00:00"/>
    <s v=""/>
    <s v="Д-2"/>
    <s v="ПРОЧИЕ ДОГОВОРЫ"/>
    <s v="Не предполагает взаиморасчетов"/>
    <s v=""/>
    <s v=""/>
    <s v=""/>
    <s v=""/>
    <s v=""/>
    <s v=""/>
    <s v=""/>
    <s v="нет"/>
    <s v="нет"/>
    <s v=""/>
    <s v=""/>
    <s v=""/>
    <s v=""/>
    <s v="нет"/>
  </r>
  <r>
    <s v="Газпромнефть-ГЕО, ООО"/>
    <s v="0000068695"/>
    <s v="Зарегистрирован"/>
    <d v="2022-06-17T00:00:00"/>
    <s v=""/>
    <x v="77"/>
    <s v="1106013435"/>
    <s v="ГЕО-21/10306/00256/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536-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Мячина М.В."/>
    <s v="Мячина М.В."/>
    <s v="Договорный документ"/>
    <s v="Отдел подготовительных работ и экономического анализа"/>
    <s v="Гаврилов С.В."/>
    <s v="На бумажном носителе"/>
    <s v="До исполнения обязательств"/>
    <d v="2022-06-17T00:00:00"/>
    <s v=""/>
    <s v="Д-58"/>
    <s v="Цементирование обсадных колонн и хвостовиков, установка цементных мостов"/>
    <s v="Не предполагает взаиморасчетов"/>
    <s v="Стоимостной"/>
    <s v=""/>
    <s v=""/>
    <s v=""/>
    <s v=""/>
    <s v=""/>
    <s v=""/>
    <s v="нет"/>
    <s v="нет"/>
    <s v=""/>
    <s v=""/>
    <s v=""/>
    <s v=""/>
    <s v="нет"/>
  </r>
  <r>
    <s v="Газпромнефть-ГЕО, ООО"/>
    <s v="0000088498"/>
    <s v="Зарегистрирован"/>
    <d v="2023-10-04T00:00:00"/>
    <s v=""/>
    <x v="95"/>
    <s v="3023006808"/>
    <s v="ГЕО-22/10000/00312/Р"/>
    <s v=""/>
    <s v="1"/>
    <s v="Нетиповой ДД"/>
    <x v="0"/>
    <s v=""/>
    <s v="00536-23"/>
    <s v=""/>
    <s v="ДОПОЛНИТЕЛЬНОЕ СОГЛАШЕНИЕ № 1 к Соглашению в области производственной безопасности "/>
    <s v="Актуализация соглашения в области производственной безопасности "/>
    <s v="Рымаренко А.А."/>
    <s v="Рымаренко А.А."/>
    <s v="Договорный документ"/>
    <s v="Управление внутрискважинных работ"/>
    <s v="Михайлов Ю.А."/>
    <s v="ЭП"/>
    <s v="Без сроков "/>
    <d v="2023-10-04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Обработка результатов согласования"/>
    <s v=""/>
    <s v=""/>
    <x v="357"/>
    <s v=""/>
    <s v=""/>
    <s v=""/>
    <s v=""/>
    <s v="Нетиповой ДД"/>
    <x v="2"/>
    <s v=""/>
    <s v="00536-24"/>
    <s v=""/>
    <s v="3.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СН МНГ 1)"/>
    <s v="3.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60954"/>
    <s v="Зарегистрирован"/>
    <d v="2022-06-20T00:00:00"/>
    <s v=""/>
    <x v="75"/>
    <s v="5603007580"/>
    <s v="ГЕО-22/10000/00036/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537-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именение усиленной квалифицированной электронной подписи (УКЭП) при подписании ДД (ЭД в части ДД)"/>
    <s v="Мячина М.В."/>
    <s v="Мячина М.В."/>
    <s v="Договорный документ"/>
    <s v="Отдел подготовительных работ и экономического анализа"/>
    <s v="Имангулов А.Р."/>
    <s v="На бумажном носителе"/>
    <s v="До исполнения обязательств"/>
    <d v="2022-06-20T00:00:00"/>
    <s v=""/>
    <s v="Д-2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51935"/>
    <s v="Зарегистрирован"/>
    <d v="2023-10-10T00:00:00"/>
    <s v=""/>
    <x v="50"/>
    <s v="7709832820"/>
    <s v="ГЕО-22/33100/00245"/>
    <s v=""/>
    <s v="ДС № 1 к Соглашению по ПБ №ГЕО-23/33100/00024"/>
    <s v="Типовой ДД"/>
    <x v="0"/>
    <s v="33100 Дополнительное соглашение к Соглашениям в  в области производственной безопасности;"/>
    <s v="00537-23"/>
    <s v=""/>
    <s v="33100 Дополнительное соглашение к Соглашениям в  в области производственной безопасности ООО &quot;НьюТек Сервисез&quot;"/>
    <s v="ДОПОЛНИТЕЛЬНОЕ СОГЛАШЕНИЕ №1 к Соглашение ПБ №ГЕО-23/33100/00024 от 30.01.2023г._x000a_"/>
    <s v="Мормышев А.А."/>
    <s v="Салихов М.Р."/>
    <s v="Договорный документ"/>
    <s v="Блок производственной безопасности"/>
    <s v="Михайлов Ю.А."/>
    <s v="ЭП"/>
    <s v="До исполнения обязательств"/>
    <d v="2023-10-1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Обработка результатов согласования"/>
    <s v=""/>
    <s v=""/>
    <x v="357"/>
    <s v=""/>
    <s v=""/>
    <s v=""/>
    <s v=""/>
    <s v="Нетиповой ДД"/>
    <x v="0"/>
    <s v=""/>
    <s v="00537-24"/>
    <s v=""/>
    <s v="3.1. ДС №1 к МДД подряда на бурение ПАО СН МНГ с ООО МУБР_лот №1"/>
    <s v="3.1. ДС №1 к МДД подряда на бурение ПАО СН МНГ с ООО МУБР_лот №1"/>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60723"/>
    <s v="Зарегистрирован"/>
    <d v="2021-09-06T00:00:00"/>
    <s v=""/>
    <x v="49"/>
    <s v="3811088474"/>
    <s v="АНГ-19/11513/00007/Р"/>
    <s v=""/>
    <s v="27"/>
    <s v="Нетиповой ДД"/>
    <x v="3"/>
    <s v=""/>
    <s v="00538-21"/>
    <s v=""/>
    <s v="Наряд-заказ № 27 к Договору № АНГ-19/11513/00007/Р "/>
    <s v=" разработка 5 проектов рекультивации фактически нарушенных земельных участков для объектов проекта Енисей"/>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9-06T00:00:00"/>
    <d v="2022-03-31T00:00:00"/>
    <s v="Д-22"/>
    <s v="Выполнение комплекса топографо-геодезических, землеустроительных и лесоустроительных  работ "/>
    <s v="Расходная часть"/>
    <s v="Рамочный"/>
    <s v="20%"/>
    <s v=""/>
    <s v=""/>
    <s v="376 789.08"/>
    <s v="313 990.90"/>
    <s v="62 798.18"/>
    <s v="нет"/>
    <s v="нет"/>
    <s v=""/>
    <s v=""/>
    <s v=""/>
    <s v=""/>
    <s v="нет"/>
  </r>
  <r>
    <s v="Газпромнефть-ГЕО, ООО"/>
    <s v=""/>
    <s v="Зарегистрирован"/>
    <d v="2022-06-09T00:00:00"/>
    <s v=""/>
    <x v="359"/>
    <s v=""/>
    <s v="ГЕО-21/11000/00301/Р"/>
    <s v=""/>
    <s v="1"/>
    <s v="Нетиповой ДД"/>
    <x v="0"/>
    <s v=""/>
    <s v="00538-22"/>
    <s v=""/>
    <s v="Дополнительное соглашениеи №1 к Договору № ГСН-21/11000/00301/Р/ГСН-21/09000/03038/Д от 30.12.2021 на пользование зимними автодорогами и проездами по проекту «Титан»"/>
    <s v="Изменение объемов работ и порядка расчетов за выполненные работы"/>
    <s v="Крутова Е.С."/>
    <s v="Крутова Е.С."/>
    <s v="Договорный документ"/>
    <s v="Департамент капитального строительства"/>
    <s v="Перфильев Д.А."/>
    <s v="На бумажном носителе"/>
    <s v="До исполнения обязательств"/>
    <d v="2022-06-09T00:00:00"/>
    <s v=""/>
    <s v="Д-61"/>
    <s v="Капитальное строительство и ПИР"/>
    <s v="Не предполагает взаиморасчетов"/>
    <s v="Тарифный"/>
    <s v=""/>
    <s v=""/>
    <s v=""/>
    <s v=""/>
    <s v=""/>
    <s v=""/>
    <s v="нет"/>
    <s v="нет"/>
    <s v=""/>
    <s v=""/>
    <s v=""/>
    <s v=""/>
    <s v="нет"/>
  </r>
  <r>
    <s v="Газпромнефть-ГЕО, ООО"/>
    <s v="0000048356"/>
    <s v="Зарегистрирован"/>
    <d v="2023-10-06T00:00:00"/>
    <s v=""/>
    <x v="152"/>
    <s v="8601034898"/>
    <s v="ГЕО-22/10000/00144/Р"/>
    <s v=""/>
    <s v="3"/>
    <s v="Нетиповой ДД"/>
    <x v="0"/>
    <s v=""/>
    <s v="00538-23"/>
    <s v=""/>
    <s v="ДС №3 к договору №ГЕО-22/10000/00144/Р от 27.06.2022г. Защита Югры, ООО."/>
    <s v="Корректировка копеек ввиду некорректного отображения."/>
    <s v="Мормышев А.А."/>
    <s v=""/>
    <s v="Договорный документ"/>
    <s v="Блок производственной безопасности"/>
    <s v="Михайлов Ю.А."/>
    <s v="ЭП"/>
    <s v="До исполнения обязательств"/>
    <d v="2023-10-06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
    <s v="Обработка результатов согласования"/>
    <s v=""/>
    <s v=""/>
    <x v="357"/>
    <s v=""/>
    <s v=""/>
    <s v=""/>
    <s v=""/>
    <s v="Нетиповой ДД"/>
    <x v="2"/>
    <s v=""/>
    <s v="00538-24"/>
    <s v=""/>
    <s v="4.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СН МНГ 2)"/>
    <s v="4.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
    <s v="Зарегистрирован"/>
    <d v="2021-08-16T00:00:00"/>
    <s v=""/>
    <x v="360"/>
    <s v=""/>
    <s v=""/>
    <s v="ГЕО-21/101108/00193/Р"/>
    <s v="ГЕО-21/101108/00193/Р"/>
    <s v="Нетиповой ДД"/>
    <x v="2"/>
    <s v=""/>
    <s v="00539-21"/>
    <s v=""/>
    <s v="Изучение процессов образования АСПО в пластовых условиях"/>
    <s v="Специальные лабораторные исследования керна и пластовых флюидов (в том числе уникальные исследования, новые технологии исследований)"/>
    <s v="Рузимуродов И.П."/>
    <s v="Николаев В.А."/>
    <s v="Договорный документ"/>
    <s v="Управление закупок работ и услуг"/>
    <s v="Аксенов М.А."/>
    <s v="На бумажном носителе"/>
    <s v="С ограничением по срокам "/>
    <d v="2021-08-16T00:00:00"/>
    <d v="2023-12-31T00:00:00"/>
    <s v="Д-3"/>
    <s v="Услуги по специальным лабораторным исследованиям керна и пластовых флюидов (в том числе уникальные исследования, новые технологии исследований)"/>
    <s v="Расходная часть"/>
    <s v="Рамочный"/>
    <s v="20%"/>
    <s v=""/>
    <s v=""/>
    <s v="19 218 628.50"/>
    <s v="16 015 523.75"/>
    <s v="3 203 104.75"/>
    <s v="нет"/>
    <s v="нет"/>
    <s v=""/>
    <s v=""/>
    <s v=""/>
    <s v=""/>
    <s v="нет"/>
  </r>
  <r>
    <s v="Газпромнефть-ГЕО, ООО"/>
    <s v="0000079678, 0000060956"/>
    <s v="Зарегистрирован"/>
    <d v="2022-05-30T00:00:00"/>
    <s v=""/>
    <x v="361"/>
    <s v="7725314818, 8911017194"/>
    <s v="ГЕО-19/10111/00141/Р"/>
    <s v=""/>
    <s v="8"/>
    <s v="Нетиповой ДД"/>
    <x v="0"/>
    <s v=""/>
    <s v="00539-22"/>
    <s v=""/>
    <s v="Уведомление-соглашение о фактоинге к договору ГЕО-19/10111/00141/Р от 29.04.2019"/>
    <s v="Заключение соглашения о фактоинге к договору ГЕО-19/10111/00141/Р от 29.04.2019"/>
    <s v="Ахматгалиев С.З."/>
    <s v=""/>
    <s v="Договорный документ"/>
    <s v="Блок геологии и разработки"/>
    <s v="Аксенов М.А."/>
    <s v="На бумажном носителе"/>
    <s v="До исполнения обязательств"/>
    <d v="2022-05-30T00:00:00"/>
    <s v=""/>
    <s v="Д-54"/>
    <s v="Договор финансирования под уступку денежного требования"/>
    <s v="Не предполагает взаиморасчетов"/>
    <s v=""/>
    <s v=""/>
    <s v=""/>
    <s v=""/>
    <s v=""/>
    <s v=""/>
    <s v=""/>
    <s v="нет"/>
    <s v="нет"/>
    <s v=""/>
    <s v=""/>
    <s v=""/>
    <s v=""/>
    <s v="нет"/>
  </r>
  <r>
    <s v="Газпромнефть-ГЕО, ООО"/>
    <s v="0000068695"/>
    <s v="Зарегистрирован"/>
    <d v="2023-10-09T00:00:00"/>
    <s v=""/>
    <x v="77"/>
    <s v="1106013435"/>
    <s v="ГЕО-23/33100/00043"/>
    <s v=""/>
    <s v="1"/>
    <s v="Типовой ДД"/>
    <x v="0"/>
    <s v="33100 Дополнительное соглашение к Соглашениям в  в области производственной безопасности;"/>
    <s v="00539-23"/>
    <s v=""/>
    <s v="33100 Дополнительное соглашение к Соглашениям в  в области производственной безопасности ООО &quot;Бурсервис&quot;"/>
    <s v="ДОПОЛНИТЕЛЬНОЕ СОГЛАШЕНИЕ №1 к Соглашение ПБ №ГЕО-23/33100/00043 от 17.02.2023г._x000a_"/>
    <s v="Мормышев А.А."/>
    <s v="Салихов М.Р."/>
    <s v="Договорный документ"/>
    <s v="Блок производственной безопасности"/>
    <s v="Михайлов Ю.А."/>
    <s v="ЭП"/>
    <s v="До исполнения обязательств"/>
    <d v="2023-10-1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Обработка результатов согласования"/>
    <s v=""/>
    <s v=""/>
    <x v="357"/>
    <s v=""/>
    <s v=""/>
    <s v=""/>
    <s v=""/>
    <s v="Нетиповой ДД"/>
    <x v="0"/>
    <s v=""/>
    <s v="00539-24"/>
    <s v=""/>
    <s v="4.1. ДС №1 к МДД подряда на бурение ПАО СН МНГ с ООО МУБР_лот №2"/>
    <s v="4.1. ДС №1 к МДД подряда на бурение ПАО СН МНГ с ООО МУБР_лот №2"/>
    <s v="Макаринский Е.Ю."/>
    <s v=""/>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27645"/>
    <s v="Закрыт"/>
    <d v="2021-08-25T00:00:00"/>
    <s v=""/>
    <x v="80"/>
    <s v="5501072608"/>
    <s v=""/>
    <s v="ГЕО-21/01200/00189/Р"/>
    <s v="ГЕО-21/01200/00189/Р"/>
    <s v="Нетиповой ДД"/>
    <x v="2"/>
    <s v=""/>
    <s v="00540-21"/>
    <s v=""/>
    <s v="01200 Договор  поставки МТР"/>
    <s v="Договор поставки МТР между ООО &quot;ГПН-ГЕО&quot; и ООО &quot;Газпромнефть-Снабжение&quot;. Поставка СИЗ для сотрудников ГЕО."/>
    <s v="Долгов Д.Г."/>
    <s v="Долгов Данил Геннадьевич"/>
    <s v="Договорный документ"/>
    <s v="Блок по закупкам"/>
    <s v="Аксенов М.А."/>
    <s v="На бумажном носителе"/>
    <s v="С ограничением по срокам "/>
    <d v="2021-08-16T00:00:00"/>
    <d v="2021-12-31T00:00:00"/>
    <s v="Д-3"/>
    <s v="Договор поставки/купли продажи движимого имущества"/>
    <s v="Расходная часть"/>
    <s v="Стоимостной"/>
    <s v="20%"/>
    <s v=""/>
    <s v=""/>
    <s v="3 786 796.91"/>
    <s v="3 155 664.09"/>
    <s v="631 132.82"/>
    <s v="нет"/>
    <s v="нет"/>
    <s v=""/>
    <s v=""/>
    <s v=""/>
    <s v=""/>
    <s v="нет"/>
  </r>
  <r>
    <s v="Газпромнефть-ГЕО, ООО"/>
    <s v="0000048878"/>
    <s v="Зарегистрирован"/>
    <d v="2022-06-01T00:00:00"/>
    <s v=""/>
    <x v="29"/>
    <s v="1645019164"/>
    <s v="№ГЕО-19/10111/00120/P"/>
    <s v=""/>
    <s v="8"/>
    <s v="Нетиповой ДД"/>
    <x v="0"/>
    <s v=""/>
    <s v="00540-22"/>
    <s v=""/>
    <s v="Дополнительное соглашение к договору на выполнение работ по обработке и интерпретации данных СРР №ГЕО-19/10111/00120/P на перевод из НГО в ГО"/>
    <s v="Перевод из НГО в ГО объемов по Уранскому, Краснореченскому и ВУ ОНГКМ для исполнения ДД с ГПН-Оренбург"/>
    <s v="Мурзин Р.Р."/>
    <s v="Мурзин Р.Р."/>
    <s v="Договорный документ"/>
    <s v="Управление сейсморазведочных работ"/>
    <s v="Аксенов М.А."/>
    <s v="На бумажном носителе"/>
    <s v="С ограничением по срокам "/>
    <d v="2022-06-01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Агентский"/>
    <s v="20%"/>
    <s v=""/>
    <s v=""/>
    <s v="36 179 076.00"/>
    <s v="30 149 230.00"/>
    <s v="6 029 846.00"/>
    <s v="нет"/>
    <s v="нет"/>
    <s v=""/>
    <s v=""/>
    <s v=""/>
    <s v=""/>
    <s v="нет"/>
  </r>
  <r>
    <s v="Газпромнефть-ГЕО, ООО"/>
    <s v="0000076851"/>
    <s v="Зарегистрирован"/>
    <d v="2023-10-04T00:00:00"/>
    <s v=""/>
    <x v="48"/>
    <s v="2466091092"/>
    <s v="ГЕО-22/11000/00274/Р"/>
    <s v=""/>
    <s v="5"/>
    <s v="Нетиповой ДД"/>
    <x v="3"/>
    <s v=""/>
    <s v="00540-23"/>
    <s v=""/>
    <s v="Наряд-заказ №5 к Договору №ГЕО-22/11000/00274/Р от 14.10.2022"/>
    <s v="Выполнение проектных работ по объекту &quot;Строительство разведочной скважины №342Р месторождения им. В.П. Орлова&quot; "/>
    <s v="Шолохова И.А."/>
    <s v="Салахутдинов Р.С."/>
    <s v="Договорный документ"/>
    <s v="Управление проектно-изыскательских работ"/>
    <s v="Трифонов А.В."/>
    <s v="ЭП"/>
    <s v="До исполнения обязательств"/>
    <d v="2023-10-09T00:00:00"/>
    <s v=""/>
    <s v="Д-33"/>
    <s v="Капитальное строительство и ПИР"/>
    <s v="Расходная часть"/>
    <s v="Рамочный"/>
    <s v="20%"/>
    <s v=""/>
    <s v=""/>
    <s v="13 065 835.94"/>
    <s v="10 888 196.62"/>
    <s v="2 177 639.32"/>
    <s v="нет"/>
    <s v="нет"/>
    <s v=""/>
    <s v=""/>
    <s v=""/>
    <s v=""/>
    <s v="нет"/>
  </r>
  <r>
    <s v="Газпромнефть-ГЕО, ООО"/>
    <s v=""/>
    <s v="Обработка результатов согласования"/>
    <s v=""/>
    <s v=""/>
    <x v="357"/>
    <s v=""/>
    <s v=""/>
    <s v=""/>
    <s v=""/>
    <s v="Нетиповой ДД"/>
    <x v="2"/>
    <s v=""/>
    <s v="00540-24"/>
    <s v=""/>
    <s v="5.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СН МНГ 3)"/>
    <s v="5.1.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27605"/>
    <s v="Зарегистрирован"/>
    <d v="2022-05-23T00:00:00"/>
    <s v=""/>
    <x v="67"/>
    <s v="8605003932"/>
    <s v=""/>
    <s v="ГЕО-22/10000/00127"/>
    <s v="ГЕО-22/10000/00127"/>
    <s v="Нетиповой ДД"/>
    <x v="1"/>
    <s v=""/>
    <s v="00541-22"/>
    <s v=""/>
    <s v="Соглашение о применении усиленной квалифицированный электронной подписи (УКЭП) при подписании договорных документов"/>
    <s v="Соглашение о применении усиленной квалифицированный электронной подписи (УКЭП) при подписании договорных документов"/>
    <s v="Ахматгалиев С.З."/>
    <s v=""/>
    <s v="Договорный документ"/>
    <s v="Блок геологии и разработки"/>
    <s v="Аксенов М.А."/>
    <s v="На бумажном носителе"/>
    <s v="Без сроков "/>
    <d v="2022-05-23T00:00:00"/>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76851"/>
    <s v="Зарегистрирован"/>
    <d v="2023-10-05T00:00:00"/>
    <s v=""/>
    <x v="48"/>
    <s v="2466091092"/>
    <s v="ГЕО-22/33100/00275"/>
    <s v=""/>
    <s v="1"/>
    <s v="Нетиповой ДД"/>
    <x v="0"/>
    <s v=""/>
    <s v="00541-23"/>
    <s v=""/>
    <s v="Дополнительное соглашение №1 к Соглашению в области производственной безопасности № ГЕО-22/33100/00275 от 14.10.2022"/>
    <s v="Соглашение в области Производственной безопасности"/>
    <s v="Шолохова И.А."/>
    <s v="Салахутдинов Р.С."/>
    <s v="Договорный документ"/>
    <s v="Управление проектно-изыскательских работ"/>
    <s v="Трифонов А.В."/>
    <s v="ЭП"/>
    <s v="До исполнения обязательств"/>
    <d v="2023-10-05T00:00:00"/>
    <s v=""/>
    <s v="Д-33"/>
    <s v="Капитальное строительство и ПИР"/>
    <s v="Не предполагает взаиморасчетов"/>
    <s v=""/>
    <s v=""/>
    <s v=""/>
    <s v=""/>
    <s v=""/>
    <s v=""/>
    <s v=""/>
    <s v="нет"/>
    <s v="нет"/>
    <s v=""/>
    <s v=""/>
    <s v=""/>
    <s v=""/>
    <s v="нет"/>
  </r>
  <r>
    <s v="Газпромнефть-ГЕО, ООО"/>
    <s v=""/>
    <s v="Доработка"/>
    <s v=""/>
    <s v=""/>
    <x v="357"/>
    <s v=""/>
    <s v=""/>
    <s v=""/>
    <s v=""/>
    <s v="Нетиповой ДД"/>
    <x v="0"/>
    <s v=""/>
    <s v="00541-24"/>
    <s v=""/>
    <s v="5.1. ДС №1 к МДД подряда на бурение ПАО СН МНГ с ООО МУБР_лот №3"/>
    <s v="5.1. ДС №1 к МДД подряда на бурение ПАО СН МНГ с ООО МУБР_лот №3"/>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63179"/>
    <s v="Зарегистрирован"/>
    <d v="2022-06-14T00:00:00"/>
    <s v=""/>
    <x v="54"/>
    <s v="7727747172"/>
    <s v="ГЕО-20/10986/00138/Р от 10.08.2020 г."/>
    <s v=""/>
    <s v="19"/>
    <s v="Нетиповой ДД"/>
    <x v="3"/>
    <s v=""/>
    <s v="00542-22"/>
    <s v=""/>
    <s v="ЗАДАНИЕ НА ОКАЗАНИЕ УСЛУГ № 19 к Договору № ГЕО-20/10986/00138/Р от 10.08.2020 г."/>
    <s v="Оказание СП услуг по контролю состояния ПБ в 2022 году на территории ЛУ в Сибирском федеральном округе (Проект «Оморинский»)"/>
    <s v="Рябикина М.А."/>
    <s v="Фокин Е.В."/>
    <s v="Договорный документ"/>
    <s v="Блок производственной безопасности"/>
    <s v="Власов М.М."/>
    <s v="ЭП"/>
    <s v="С ограничением по срокам "/>
    <d v="2022-07-18T00:00:00"/>
    <d v="2022-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6 546 618.00"/>
    <s v="5 455 515.00"/>
    <s v="1 091 103.00"/>
    <s v="нет"/>
    <s v="нет"/>
    <s v=""/>
    <s v=""/>
    <s v=""/>
    <s v=""/>
    <s v="нет"/>
  </r>
  <r>
    <s v="Газпромнефть-ГЕО, ООО"/>
    <s v="0000084590"/>
    <s v="Зарегистрирован"/>
    <d v="2023-10-10T00:00:00"/>
    <s v=""/>
    <x v="61"/>
    <s v="7708277130"/>
    <s v=""/>
    <s v="ГЕО-23/33300/00166"/>
    <s v="ГЕО-23/33300/00166"/>
    <s v="Нетиповой ДД"/>
    <x v="2"/>
    <s v=""/>
    <s v="00542-23"/>
    <s v=""/>
    <s v="Договор об обработке персональных данных"/>
    <s v="С целью выполнения работ по договору, для урегулирования: передачи, обработки, хранения и уничтожения персональных данных, привлекаемого персонала по договору о найме персонала. "/>
    <s v="Безруков А.А."/>
    <s v="Фокин Е.В."/>
    <s v="Договорный документ"/>
    <s v="Блок производственной безопасности"/>
    <s v="Созинов С.А."/>
    <s v="ЭП"/>
    <s v="С ограничением по срокам "/>
    <d v="2023-10-10T00:00:00"/>
    <d v="2024-12-31T00:00:00"/>
    <s v="Д-60"/>
    <s v="Договор об обработке персональных данных"/>
    <s v="Не предполагает взаиморасчетов"/>
    <s v=""/>
    <s v=""/>
    <s v=""/>
    <s v=""/>
    <s v=""/>
    <s v=""/>
    <s v=""/>
    <s v="нет"/>
    <s v="нет"/>
    <s v=""/>
    <s v=""/>
    <s v=""/>
    <s v=""/>
    <s v="нет"/>
  </r>
  <r>
    <s v="Газпромнефть-ГЕО, ООО"/>
    <s v=""/>
    <s v="Обработка результатов согласования"/>
    <s v=""/>
    <s v=""/>
    <x v="362"/>
    <s v=""/>
    <s v=""/>
    <s v=""/>
    <s v=""/>
    <s v="Нетиповой ДД"/>
    <x v="2"/>
    <s v=""/>
    <s v="00542-24"/>
    <s v=""/>
    <s v="6.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Хантос 1_фин вар)"/>
    <s v="6.1. Рамочный договор между ООО &quot;НСХ Азия Дриллинг&quot;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
    <s v="Проект"/>
    <s v=""/>
    <s v=""/>
    <x v="58"/>
    <s v=""/>
    <s v=""/>
    <s v=""/>
    <s v=""/>
    <s v=""/>
    <x v="6"/>
    <s v=""/>
    <s v="00543-21"/>
    <s v=""/>
    <s v=""/>
    <s v=""/>
    <s v="Савельева И.И."/>
    <s v=""/>
    <s v="Договорный документ"/>
    <s v="Отдел административной поддержки бизнеса"/>
    <s v=""/>
    <s v=""/>
    <s v=""/>
    <s v=""/>
    <s v=""/>
    <s v=""/>
    <s v=""/>
    <s v=""/>
    <s v=""/>
    <s v=""/>
    <s v=""/>
    <s v=""/>
    <s v=""/>
    <s v=""/>
    <s v=""/>
    <s v="нет"/>
    <s v="нет"/>
    <s v=""/>
    <s v=""/>
    <s v=""/>
    <s v=""/>
    <s v="нет"/>
  </r>
  <r>
    <s v="Газпромнефть-ГЕО, ООО"/>
    <s v="0000008602"/>
    <s v="Зарегистрирован"/>
    <d v="2022-10-31T00:00:00"/>
    <s v=""/>
    <x v="32"/>
    <s v="5504036333"/>
    <s v=""/>
    <s v="ГЕО-22/20000/00173/Р"/>
    <s v="ГЕО-22/20000/00173/Р"/>
    <s v="Нетиповой ДД"/>
    <x v="2"/>
    <s v=""/>
    <s v="00543-22"/>
    <s v=""/>
    <s v="АГЕНТСКИЙ  ДОГОВОР "/>
    <s v="В соответствии с условиями настоящего Договора, Агент обязуется за вознаграждение совершать юридические и иные действия от своего имени, но за счет Принципала, связанные с организацией тестирования и прокторинга сотрудников подрядных организаций в рамках проекта «Внешняя оценка знаний», Принципал обязуется возместить Агенту понесенные расходы и уплатить агентское вознаграждение."/>
    <s v="Григорьева А.А."/>
    <s v="Григорьева А.А."/>
    <s v="Договорный документ"/>
    <s v="Блок производственной безопасности"/>
    <s v="Власов М.М."/>
    <s v="На бумажном носителе"/>
    <s v="С ограничением по срокам "/>
    <d v="2022-10-31T00:00:00"/>
    <d v="2025-05-31T00:00:00"/>
    <s v="Д-59"/>
    <s v="Агентский договор"/>
    <s v="Расходная часть"/>
    <s v="Агентский"/>
    <s v="20%"/>
    <s v=""/>
    <s v=""/>
    <s v="1 191 600.00"/>
    <s v="993 000.00"/>
    <s v="198 600.00"/>
    <s v="нет"/>
    <s v="нет"/>
    <s v=""/>
    <s v=""/>
    <s v=""/>
    <s v=""/>
    <s v="нет"/>
  </r>
  <r>
    <s v="Газпромнефть-ГЕО, ООО"/>
    <s v="0000110719"/>
    <s v="Зарегистрирован"/>
    <d v="2023-10-16T00:00:00"/>
    <s v=""/>
    <x v="348"/>
    <s v="240700153927"/>
    <s v="ГЕО-23/25000/00085/Р"/>
    <s v=""/>
    <s v="1"/>
    <s v="Нетиповой ДД"/>
    <x v="0"/>
    <s v=""/>
    <s v="00543-23"/>
    <s v=""/>
    <s v="25000 Договор об оказании услуг физическим лицом (без выезда на Лицензионные участки Заказчика)"/>
    <s v="Доп. соглашение к договор на оказание услуг по организации отправки/встречи авиарейсов (вертолеты) на п/п Богучаны. "/>
    <s v="Бабиков Н.В."/>
    <s v=""/>
    <s v="Договорный документ"/>
    <s v="Управление транспортного обеспечения и авиаперевозок"/>
    <s v="Масалкин Ю.В."/>
    <s v="На бумажном носителе"/>
    <s v="С ограничением по срокам "/>
    <d v="2023-10-16T00:00:00"/>
    <d v="2023-12-31T00:00:00"/>
    <s v=""/>
    <s v="Договор оказания услуг с физическим лицом"/>
    <s v="Расходная часть"/>
    <s v="Тарифный"/>
    <s v="13%"/>
    <s v=""/>
    <s v=""/>
    <s v="328 967.10"/>
    <s v="286 201.10"/>
    <s v="42 766.00"/>
    <s v="нет"/>
    <s v="нет"/>
    <s v=""/>
    <s v=""/>
    <s v=""/>
    <s v=""/>
    <s v="нет"/>
  </r>
  <r>
    <s v="Газпромнефть-ГЕО, ООО"/>
    <s v="0000071739"/>
    <s v="Зарегистрирован"/>
    <d v="2024-08-31T00:00:00"/>
    <d v="2025-12-31T00:00:00"/>
    <x v="13"/>
    <s v="7710497816"/>
    <s v="ГЕО-22/09000/00014/Р"/>
    <s v=""/>
    <s v="9"/>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543-24"/>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Применение УПД (универсальный передаточный документ) в рамках ЭДО."/>
    <s v="Паркина И.А."/>
    <s v="Паркина И.А."/>
    <s v="Договорный документ"/>
    <s v="Отдел подготовительных работ и экономического анализа"/>
    <s v="Трифонов А.В."/>
    <s v="ЭП"/>
    <s v="До исполнения обязательств"/>
    <d v="2024-08-31T00:00:00"/>
    <s v=""/>
    <s v="Д-45"/>
    <s v="Договор возмездного оказания услуг"/>
    <s v="Расходная часть"/>
    <s v="Стоимостной"/>
    <s v="20%"/>
    <s v=""/>
    <s v=""/>
    <n v="0"/>
    <n v="0"/>
    <n v="0"/>
    <s v="нет"/>
    <s v="нет"/>
    <s v=""/>
    <s v=""/>
    <s v=""/>
    <s v=""/>
    <s v="нет"/>
  </r>
  <r>
    <s v="Газпромнефть-ГЕО, ООО"/>
    <s v="0000097271"/>
    <s v="Зарегистрирован"/>
    <d v="2021-08-23T00:00:00"/>
    <s v=""/>
    <x v="347"/>
    <s v="7840095272"/>
    <s v=""/>
    <s v="ГЕО-21/00000/00182"/>
    <s v="ГЕО-21/00000/00182"/>
    <s v="Типовой ДД"/>
    <x v="1"/>
    <s v="00000 Соглашение об электронном документообороте"/>
    <s v="00544-21"/>
    <s v=""/>
    <s v="00000 Соглашение об электронном документообороте"/>
    <s v="Организация электронного документооборота с ООО &quot;ГПН-ЭР&quot; в рамках Договора комплексного правового сопровождения №№ ГЕО-21/09000/00167/Р от 01.08.2021г."/>
    <s v="Цветков Д.В."/>
    <s v="Цветков Д.В."/>
    <s v="Договорный документ"/>
    <s v="Юридическая служба"/>
    <s v="Масалкин Ю.В."/>
    <s v="На бумажном носителе"/>
    <s v="До исполнения обязательств"/>
    <d v="2021-09-01T00:00:00"/>
    <s v=""/>
    <s v=""/>
    <s v="ПРОЧИЕ ДОГОВОРЫ"/>
    <s v="Не предполагает взаиморасчетов"/>
    <s v=""/>
    <s v=""/>
    <s v=""/>
    <s v=""/>
    <s v=""/>
    <s v=""/>
    <s v=""/>
    <s v="нет"/>
    <s v="нет"/>
    <s v=""/>
    <s v=""/>
    <s v=""/>
    <s v=""/>
    <s v="нет"/>
  </r>
  <r>
    <s v="Газпромнефть-ГЕО, ООО"/>
    <s v=""/>
    <s v="Зарегистрирован"/>
    <d v="2022-05-16T00:00:00"/>
    <s v=""/>
    <x v="363"/>
    <s v=""/>
    <s v=""/>
    <s v="ГЕО-22/33100/00126"/>
    <s v="ГЕО-22/33100/00126"/>
    <s v="Типовой ДД"/>
    <x v="1"/>
    <s v="33100 Соглашение в области производственной безопасности"/>
    <s v="00544-22"/>
    <s v=""/>
    <s v="33100 Соглашение в области производственной безопасности"/>
    <s v="Соглашение в области производственной безопасности"/>
    <s v="Бабиков Н.В."/>
    <s v="Бабиков Н.В."/>
    <s v="Договорный документ"/>
    <s v="Блок снабжения и закупок"/>
    <s v="Масалкин Ю.В."/>
    <s v="На бумажном носителе"/>
    <s v="До исполнения обязательств"/>
    <d v="2022-05-16T00:00:00"/>
    <s v=""/>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1214"/>
    <s v="Зарегистрирован"/>
    <d v="2023-10-06T00:00:00"/>
    <s v=""/>
    <x v="284"/>
    <s v="7729421433"/>
    <s v="ГЕО-23/10000/00126/Р"/>
    <s v=""/>
    <s v="1"/>
    <s v="Нетиповой ДД"/>
    <x v="0"/>
    <s v=""/>
    <s v="00544-23"/>
    <s v=""/>
    <s v="ДС №1 к Договору №ГЕО-23/10000/00126/Р от 26.07.2023г. "/>
    <s v="Продление срока действия договора и срока оказания услуг, без увеличения стоимости договора"/>
    <s v="Безруков А.А."/>
    <s v="Гулин В.Д."/>
    <s v="Договорный документ"/>
    <s v="Блок геологии и разработки"/>
    <s v="Шакирзянов Л.Н."/>
    <s v="ЭП"/>
    <s v="До исполнения обязательств"/>
    <d v="2023-10-06T00:00:00"/>
    <s v=""/>
    <s v="Д-2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117178"/>
    <s v="Зарегистрирован"/>
    <d v="2024-10-07T00:00:00"/>
    <s v=""/>
    <x v="306"/>
    <s v="8610017930"/>
    <s v="ГЕО-24/10000/00136/Р"/>
    <s v=""/>
    <s v="1"/>
    <s v="Нетиповой ДД"/>
    <x v="0"/>
    <s v=""/>
    <s v="00544-24"/>
    <s v=""/>
    <s v="ДС № 1 к Договору № ГЕО-24/10000/00136/Р от 06.08.2024"/>
    <s v="Раскрытие негарантированного объема"/>
    <s v="Копылов Е.О."/>
    <s v=""/>
    <s v="Договорный документ"/>
    <s v="Отдел экологической безопасности"/>
    <s v="Ядрышников П.Н."/>
    <s v="ЭП"/>
    <s v="С ограничением по срокам "/>
    <d v="2024-10-07T00:00:00"/>
    <d v="2024-12-31T00:00:00"/>
    <s v="Д-3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5 189 621.00"/>
    <s v="12 658 017.50"/>
    <s v="2 531 603.50"/>
    <s v="нет"/>
    <s v="нет"/>
    <s v=""/>
    <s v=""/>
    <s v=""/>
    <s v=""/>
    <s v="нет"/>
  </r>
  <r>
    <s v="Газпромнефть-ГЕО, ООО"/>
    <s v="0000062928"/>
    <s v="Зарегистрирован"/>
    <d v="2022-06-14T00:00:00"/>
    <s v=""/>
    <x v="136"/>
    <s v="7701645627"/>
    <s v="ГЕО-20/11501/00184/Р"/>
    <s v=""/>
    <s v="4"/>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545-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Титаева И.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2-06-14T00:00:00"/>
    <d v="2023-12-31T00:00:00"/>
    <s v="Д-61"/>
    <s v="Договор возмездного оказания услуг"/>
    <s v="Не предполагает взаиморасчетов"/>
    <s v=""/>
    <s v=""/>
    <s v=""/>
    <s v=""/>
    <s v=""/>
    <s v=""/>
    <s v=""/>
    <s v="нет"/>
    <s v="нет"/>
    <s v=""/>
    <s v=""/>
    <s v=""/>
    <s v=""/>
    <s v="нет"/>
  </r>
  <r>
    <s v="Газпромнефть-ГЕО, ООО"/>
    <s v="0000074810"/>
    <s v="Зарегистрирован"/>
    <d v="2023-11-01T00:00:00"/>
    <s v=""/>
    <x v="211"/>
    <s v="7714372367"/>
    <s v=""/>
    <s v="ГЕО-23/10000/00173/Р"/>
    <s v="ГЕО-23/10000/00173/Р"/>
    <s v="Нетиповой ДД"/>
    <x v="2"/>
    <s v=""/>
    <s v="00545-23"/>
    <s v=""/>
    <s v="Договора на выполнение работ по поставке пространственных данных по направлению геологоразведочных работ"/>
    <s v="В целях реализации стратегии выполнения региональных НИР осуществляется безальтернативная закупка с последующим заключением договора с ФГБУ «Росгеолфондом» на выполнение работ по поставке пространственных данных по направлению геологоразведочных работ"/>
    <s v="Коваленко М.В."/>
    <s v="Аксенов М.А."/>
    <s v="Договорный документ"/>
    <s v="Блок геологии и разработки"/>
    <s v="Шакирзянов Л.Н."/>
    <s v="ЭП"/>
    <s v="С ограничением по срокам "/>
    <d v="2023-11-01T00:00:00"/>
    <d v="2027-12-31T00:00:00"/>
    <s v="Д-2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48 289 881.17"/>
    <s v="206 908 234.31"/>
    <s v="41 381 646.86"/>
    <s v="нет"/>
    <s v="нет"/>
    <s v=""/>
    <s v=""/>
    <s v=""/>
    <s v=""/>
    <s v="нет"/>
  </r>
  <r>
    <s v="Газпромнефть-ГЕО, ООО"/>
    <s v="0000040255"/>
    <s v="Зарегистрирован"/>
    <d v="2024-09-27T00:00:00"/>
    <s v=""/>
    <x v="88"/>
    <s v="7729407742"/>
    <s v="ГЕО-22/10986/00341/Р"/>
    <s v=""/>
    <s v="5"/>
    <s v="Нетиповой ДД"/>
    <x v="0"/>
    <s v=""/>
    <s v="00545-24"/>
    <s v=""/>
    <s v="ДС № 5 к Договору № ГЕО-22/10986/00341/Р от 30.12.2022 г."/>
    <s v="Раскрытие негарантированного объема"/>
    <s v="Копылов Е.О."/>
    <s v=""/>
    <s v="Договорный документ"/>
    <s v="Отдел экологической безопасности"/>
    <s v="Михайлов Ю.А."/>
    <s v="ЭП"/>
    <s v="До исполнения обязательств"/>
    <d v="2024-09-27T00:00:00"/>
    <s v=""/>
    <s v="Д-40"/>
    <s v="Супервайзинг ПЭБ и ОТ"/>
    <s v="Расходная часть"/>
    <s v="Рамочный"/>
    <s v="20%"/>
    <s v=""/>
    <s v=""/>
    <s v="209 576 725.20"/>
    <s v="174 647 271.00"/>
    <s v="34 929 454.20"/>
    <s v="нет"/>
    <s v="нет"/>
    <s v=""/>
    <s v=""/>
    <s v=""/>
    <s v=""/>
    <s v="нет"/>
  </r>
  <r>
    <s v="Газпромнефть-ГЕО, ООО"/>
    <s v="0000067067"/>
    <s v="Зарегистрирован"/>
    <d v="2021-08-01T00:00:00"/>
    <s v=""/>
    <x v="24"/>
    <s v="7816483740"/>
    <s v="ГЕО-19/09000/00303/Р от 15 ноября 2019 г."/>
    <s v=""/>
    <s v="2"/>
    <s v="Нетиповой ДД"/>
    <x v="0"/>
    <s v=""/>
    <s v="00546-21"/>
    <s v=""/>
    <s v="Соглашение о перемене лиц в обязательстве по договору на оказание услуг по организации работы здравпунктов и оказание медицинских услуг"/>
    <s v="Передача обязательств по договору № ГЕО-19/09000/00303/Р от15 ноября 2019 г."/>
    <s v="Евстигнеев В.А."/>
    <s v="Евстигнеев В.А."/>
    <s v="Договорный документ"/>
    <s v="Управление производственной безопасности"/>
    <s v="Масалкин Ю.В."/>
    <s v="На бумажном носителе"/>
    <s v="С ограничением по срокам "/>
    <d v="2021-08-01T00:00:00"/>
    <d v="2024-12-31T00:00:00"/>
    <s v=""/>
    <s v="Договор возмездного оказания услуг"/>
    <s v="Расходная часть"/>
    <s v="Рамочный"/>
    <s v="20%"/>
    <s v=""/>
    <s v=""/>
    <s v="2 258 326 278.77"/>
    <s v="1 881 938 565.64"/>
    <s v="376 387 713.13"/>
    <s v="нет"/>
    <s v="нет"/>
    <s v=""/>
    <s v=""/>
    <s v=""/>
    <s v=""/>
    <s v="нет"/>
  </r>
  <r>
    <s v="Газпромнефть-ГЕО, ООО"/>
    <s v=""/>
    <s v="Закрыт"/>
    <d v="2022-06-27T00:00:00"/>
    <s v=""/>
    <x v="364"/>
    <s v=""/>
    <s v=""/>
    <s v="ГЕО-22/25000/00136/Р"/>
    <s v="ГЕО-22/25000/00136/Р"/>
    <s v="Типовой ДД"/>
    <x v="2"/>
    <s v="25000 Договор об оказании услуг физическим лицом (без выезда на Лицензионные участки Заказчика)"/>
    <s v="00546-22"/>
    <s v=""/>
    <s v="25000 Договор об оказании услуг физическим лицом (без выезда на Лицензионные участки Заказчика)"/>
    <s v="организация практики студентов дополнительного образования функции Закупки"/>
    <s v="Рябикина М.А."/>
    <s v=""/>
    <s v="Договорный документ"/>
    <s v="Блок снабжения и закупок"/>
    <s v="Титов А.В."/>
    <s v="На бумажном носителе"/>
    <s v="С ограничением по срокам "/>
    <d v="2022-06-27T00:00:00"/>
    <d v="2022-07-26T00:00:00"/>
    <s v="Д-56"/>
    <s v="Договор оказания услуг с физическим лицом"/>
    <s v="Расходная часть"/>
    <s v="Стоимостной"/>
    <s v="13%"/>
    <s v=""/>
    <s v=""/>
    <s v="11 300.00"/>
    <s v="9 831.00"/>
    <s v="1 469.00"/>
    <s v="нет"/>
    <s v="нет"/>
    <s v=""/>
    <s v=""/>
    <s v=""/>
    <s v=""/>
    <s v="нет"/>
  </r>
  <r>
    <s v="Газпромнефть-ГЕО, ООО"/>
    <s v="0000105641"/>
    <s v="Зарегистрирован"/>
    <d v="2023-10-18T00:00:00"/>
    <s v=""/>
    <x v="133"/>
    <s v="8619017847"/>
    <s v=""/>
    <s v="ГЕО-23/26000/00170"/>
    <s v="ГЕО-23/26000/00170"/>
    <s v="Типовой ДД"/>
    <x v="1"/>
    <s v="26000 Соглашение о конфиденциальности с российским контрагентом"/>
    <s v="00546-23"/>
    <s v=""/>
    <s v="26000 Соглашение о конфиденциальности с российским контрагентом"/>
    <s v="Для оказания операторских услуг ООО &quot;СПД&quot;"/>
    <s v="Ушакова М.А."/>
    <s v=""/>
    <s v="Договорный документ"/>
    <s v="Блок геологии и разработки"/>
    <s v="Созинов С.А."/>
    <s v="ЭП"/>
    <s v="С ограничением по срокам "/>
    <d v="2023-10-18T00:00:00"/>
    <d v="2028-10-12T00:00:00"/>
    <s v="Д-60"/>
    <s v="Соглашение о конфиденциальности"/>
    <s v="Не предполагает взаиморасчетов"/>
    <s v=""/>
    <s v=""/>
    <s v=""/>
    <s v=""/>
    <s v=""/>
    <s v=""/>
    <s v=""/>
    <s v="нет"/>
    <s v="нет"/>
    <s v=""/>
    <s v=""/>
    <s v=""/>
    <s v=""/>
    <s v="нет"/>
  </r>
  <r>
    <s v="Газпромнефть-ГЕО, ООО"/>
    <s v="0000057796"/>
    <s v="Зарегистрирован"/>
    <d v="2024-09-27T00:00:00"/>
    <d v="2025-12-31T00:00:00"/>
    <x v="109"/>
    <s v="5003028148"/>
    <s v="ГЕО-23/10000/00093/Р+ ПР"/>
    <s v=""/>
    <s v="3"/>
    <s v="Нетиповой ДД"/>
    <x v="3"/>
    <s v=""/>
    <s v="00546-24"/>
    <s v=""/>
    <s v="НЗ №3 к ДОГОВОРУ № ГЕО-23/10000/00093/Р от 01.06.2023 г."/>
    <s v="Наряд-Заказ №3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
    <s v="Мормышев А.А."/>
    <s v="Хабибуллин Т.Ф."/>
    <s v="Договорный документ"/>
    <s v="Блок производственной безопасности"/>
    <s v="Михайлов Ю.А."/>
    <s v="ЭП"/>
    <s v="С ограничением по срокам "/>
    <d v="2024-10-01T00:00:00"/>
    <d v="2024-12-31T00:00:00"/>
    <s v="Д-4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 583 912.00"/>
    <s v="2 153 260.00"/>
    <s v="430 652.00"/>
    <s v="нет"/>
    <s v="нет"/>
    <s v=""/>
    <s v=""/>
    <s v=""/>
    <s v=""/>
    <s v="нет"/>
  </r>
  <r>
    <s v="Газпромнефть-ГЕО, ООО"/>
    <s v="0000091163"/>
    <s v="Зарегистрирован"/>
    <d v="2021-08-24T00:00:00"/>
    <s v=""/>
    <x v="149"/>
    <s v="5001063958"/>
    <s v=""/>
    <s v="ГЕО-21/11505/00195/Р"/>
    <s v="ГЕО-21/11505/00195/Р"/>
    <s v="Нетиповой ДД"/>
    <x v="2"/>
    <s v=""/>
    <s v="00547-21"/>
    <s v=""/>
    <s v="Выполнение цифровой аэрофотосъемки и воздушно-лазерного сканирования с пилотируемых и беспилотных воздушных средств, геофизических съемок с беспилотных воздушных средств на территории РФ"/>
    <s v="С целью выполнения цифровой аэрофотосъемки и воздушно-лазерного сканирования с пилотируемых и беспилотных воздушных средств, геофизических съемок с беспилотных воздушных средств на территории РФ"/>
    <s v="Авдеева Д.Б."/>
    <s v="А.А. Хохлов - Руководитель направления по маркшейдерским работам"/>
    <s v="Договорный документ"/>
    <s v="Блок главного инженера"/>
    <s v="Перфильев Д.А."/>
    <s v="На бумажном носителе"/>
    <s v="С ограничением по срокам "/>
    <d v="2021-08-24T00:00:00"/>
    <d v="2024-12-31T00:00:00"/>
    <s v="Д-22"/>
    <s v="Аэрофотосъемка, космическая съемка. Создание ортофотопланов"/>
    <s v="Расходная часть"/>
    <s v="Рамочный"/>
    <s v="без НДС"/>
    <s v=""/>
    <s v=""/>
    <s v="461 969 100.00"/>
    <s v="461 969 100.00"/>
    <n v="0"/>
    <s v="нет"/>
    <s v="нет"/>
    <s v=""/>
    <s v=""/>
    <s v=""/>
    <s v=""/>
    <s v="нет"/>
  </r>
  <r>
    <s v="Газпромнефть-ГЕО, ООО"/>
    <s v="0000044973"/>
    <s v="Зарегистрирован"/>
    <d v="2022-03-21T00:00:00"/>
    <s v=""/>
    <x v="158"/>
    <s v="7709413265"/>
    <s v="ГЕО-22/07100/00042/Р"/>
    <s v=""/>
    <s v="б/н"/>
    <s v="Нетиповой ДД"/>
    <x v="11"/>
    <s v=""/>
    <s v="00547-22"/>
    <s v="б/н"/>
    <s v="ПР к Договору № ГЕО-22/071000/00042/Р от 07.03.2022"/>
    <s v="Урегулирование разногласий к Договору (Протокол разногласий) с учетом подписанного ПУР к Договору № ГЕО-22/071000/00042/Р от 07.03.2022 г. (прилагается)"/>
    <s v="Шкателов А.А."/>
    <s v="Веселкин А.С."/>
    <s v="Договорный документ"/>
    <s v="Блок бурения и ВСР"/>
    <s v="Гаврилов С.В."/>
    <s v="На бумажном носителе"/>
    <s v="С ограничением по срокам "/>
    <d v="2022-03-21T00:00:00"/>
    <d v="2023-03-15T00:00:00"/>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
    <s v="Обработка результатов согласования"/>
    <s v=""/>
    <s v=""/>
    <x v="365"/>
    <s v=""/>
    <s v=""/>
    <s v=""/>
    <s v=""/>
    <s v="Нетиповой ДД"/>
    <x v="0"/>
    <s v=""/>
    <s v="00547-24"/>
    <s v=""/>
    <s v="6.1 ДС к ДД на бурение НОМ Проспект_ГПНХ +МНГ_лот №1"/>
    <s v="6.1 ДС к ДД на бурение НОМ Проспект_ГПНХ +МНГ_лот №1"/>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62928"/>
    <s v="Зарегистрирован"/>
    <d v="2021-08-20T00:00:00"/>
    <s v=""/>
    <x v="136"/>
    <s v="7701645627"/>
    <s v="ГЕО-20/11501/00184/Р"/>
    <s v=""/>
    <s v="НЗ 1"/>
    <s v="Нетиповой ДД"/>
    <x v="4"/>
    <s v=""/>
    <s v="00548-21"/>
    <s v=""/>
    <s v="НАРЯД-ЗАКАЗ № 1 (изменение к наряд-заказу № 1 от 20.04.2021г.) по договору № ГЕО-20/11501/00184/Р"/>
    <s v="Выполнение камеральных маркшейдерских работ"/>
    <s v="Хохлов А.А."/>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1-08-20T00:00:00"/>
    <d v="2023-12-31T00:00:00"/>
    <s v="Д-22"/>
    <s v="Разработка проекта производства маркшейдерских работ"/>
    <s v="Расходная часть"/>
    <s v="Рамочный"/>
    <s v="0%"/>
    <s v=""/>
    <s v=""/>
    <s v="1 897 498.24"/>
    <s v="1 897 498.24"/>
    <n v="0"/>
    <s v="нет"/>
    <s v="нет"/>
    <s v=""/>
    <s v=""/>
    <s v=""/>
    <s v=""/>
    <s v="нет"/>
  </r>
  <r>
    <s v="Газпромнефть-ГЕО, ООО"/>
    <s v=""/>
    <s v="Проект"/>
    <s v=""/>
    <s v=""/>
    <x v="58"/>
    <s v=""/>
    <s v=""/>
    <s v=""/>
    <s v=""/>
    <s v=""/>
    <x v="6"/>
    <s v=""/>
    <s v="00548-23"/>
    <s v=""/>
    <s v=""/>
    <s v=""/>
    <s v="Ябиров Р.З."/>
    <s v=""/>
    <s v="Договорный документ"/>
    <s v=""/>
    <s v=""/>
    <s v=""/>
    <s v=""/>
    <s v=""/>
    <s v=""/>
    <s v=""/>
    <s v=""/>
    <s v=""/>
    <s v=""/>
    <s v=""/>
    <s v=""/>
    <s v=""/>
    <s v=""/>
    <s v=""/>
    <s v=""/>
    <s v="нет"/>
    <s v="нет"/>
    <s v=""/>
    <s v=""/>
    <s v=""/>
    <s v=""/>
    <s v="нет"/>
  </r>
  <r>
    <s v="Газпромнефть-ГЕО, ООО"/>
    <s v=""/>
    <s v="Обработка результатов согласования"/>
    <s v=""/>
    <s v=""/>
    <x v="362"/>
    <s v=""/>
    <s v=""/>
    <s v=""/>
    <s v=""/>
    <s v="Нетиповой ДД"/>
    <x v="2"/>
    <s v=""/>
    <s v="00548-24"/>
    <s v=""/>
    <s v="7.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Хантос 2_фин вар)"/>
    <s v="7. Рамочный договор между ООО “МУБР”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38756"/>
    <s v="Зарегистрирован"/>
    <d v="2023-10-12T00:00:00"/>
    <s v=""/>
    <x v="299"/>
    <s v="8620006279"/>
    <s v="ГЕО-23/33100/00139"/>
    <s v=""/>
    <s v="1"/>
    <s v="Типовой ДД"/>
    <x v="0"/>
    <s v="33100 Дополнительное соглашение к Соглашениям в  в области производственной безопасности;"/>
    <s v="00549-23"/>
    <s v=""/>
    <s v="33100 Дополнительное соглашение к Соглашениям в  в области производственной безопасности;"/>
    <s v="Актуализация соглашения в области ПБ"/>
    <s v="Рымаренко А.А."/>
    <s v="Рымаренко А.А."/>
    <s v="Договорный документ"/>
    <s v="Управление внутрискважинных работ"/>
    <s v="Михайлов Ю.А."/>
    <s v="ЭП"/>
    <s v="Без сроков "/>
    <d v="2023-10-2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Обработка результатов согласования"/>
    <s v=""/>
    <s v=""/>
    <x v="365"/>
    <s v=""/>
    <s v=""/>
    <s v=""/>
    <s v=""/>
    <s v="Нетиповой ДД"/>
    <x v="0"/>
    <s v=""/>
    <s v="00549-24"/>
    <s v=""/>
    <s v="7.1 ДС к МДД на бурение НОМ Проспект_ГПНХ+МНГ_лот №2"/>
    <s v="7.1 ДС к МДД на бурение НОМ Проспект_ГПНХ+МНГ_лот №2"/>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62082"/>
    <s v="Зарегистрирован"/>
    <d v="2021-08-20T00:00:00"/>
    <s v=""/>
    <x v="122"/>
    <s v="7704627560"/>
    <s v="ГЕО-19/10201/00155/Р"/>
    <s v=""/>
    <s v="5"/>
    <s v="Нетиповой ДД"/>
    <x v="0"/>
    <s v=""/>
    <s v="00550-21"/>
    <s v=""/>
    <s v="Дополнительное соглашение №5 к Договору № ГЕО-19/10201/00155/Р от 11.07.2019г."/>
    <s v="Включение единичных расценок на организацию временного жилого городка на период строительства поисково-оценочных скважин №178 ПО и №198 ПО на Лескинском ЛУ"/>
    <s v="Кулагина А.А."/>
    <s v="Дорогойченков Д.В."/>
    <s v="Договорный документ"/>
    <s v="Блок бурения и ВСР"/>
    <s v="Гаврилов С.В."/>
    <s v="На бумажном носителе"/>
    <s v="До исполнения обязательств"/>
    <d v="2021-08-25T00:00:00"/>
    <s v=""/>
    <s v=""/>
    <s v="Геолого-разведочное бурение под ключ"/>
    <s v="Не предполагает взаиморасчетов"/>
    <s v="Стоимостной"/>
    <s v=""/>
    <s v=""/>
    <s v=""/>
    <s v=""/>
    <s v=""/>
    <s v=""/>
    <s v="нет"/>
    <s v="нет"/>
    <s v=""/>
    <s v=""/>
    <s v=""/>
    <s v=""/>
    <s v="нет"/>
  </r>
  <r>
    <s v="Газпромнефть-ГЕО, ООО"/>
    <s v=""/>
    <s v="Обработка результатов согласования"/>
    <s v=""/>
    <s v=""/>
    <x v="362"/>
    <s v=""/>
    <s v=""/>
    <s v=""/>
    <s v=""/>
    <s v="Нетиповой ДД"/>
    <x v="2"/>
    <s v=""/>
    <s v="00550-24"/>
    <s v=""/>
    <s v="8.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Хантос 3_фин вар)"/>
    <s v="8. Рамочный договор между ООО &quot;НСХ Азия Дриллинг&quot;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38712"/>
    <s v="Зарегистрирован"/>
    <d v="2023-10-30T00:00:00"/>
    <s v=""/>
    <x v="366"/>
    <s v="7736050003"/>
    <s v=""/>
    <s v="ГЕО-23/09000/00172/Д"/>
    <s v="ГЕО-23/09000/00172/Д"/>
    <s v="Нетиповой ДД"/>
    <x v="2"/>
    <s v=""/>
    <s v="00551-23"/>
    <s v=""/>
    <s v="Доходный договор с ПАО «Газпром» на выполнение НИР по Нерутинской зоне"/>
    <s v="ДАННАЯ ВЕРСИЯ ДОГОВОРА СОГЛАСОВАНА ПАО ГАЗПРОМ. ПРОСЬБА УКАЗЫВАТЬ ТОЛЬКО КРИТИЧНЫЕ ЗАМЕЧАНИЯ. Основные согласования получены в почте. _x000a__x000a_Заключается доходный договор по поручению председателя правления ПАО «Газпром» Миллера А.Б. между Департаментом 307 (Заказчик) и Газпромнефть-ГЕО (Исполнитель) на бесконкурентной основе._x000a_"/>
    <s v="Блинова Д.М."/>
    <s v="Блинова Д.М."/>
    <s v="Договорный документ"/>
    <s v="Управление экономического планирования и анализа"/>
    <s v="Масалкин Ю.В."/>
    <s v="На бумажном носителе"/>
    <s v="С ограничением по срокам "/>
    <d v="2024-10-30T00:00:00"/>
    <d v="2023-12-31T00:00:00"/>
    <s v=""/>
    <s v="Договор возмездного оказания услуг"/>
    <s v="Доходная часть"/>
    <s v="Рамочный"/>
    <s v="20%"/>
    <s v=""/>
    <s v=""/>
    <s v="1 502 626 604.84"/>
    <s v="1 252 188 837.37"/>
    <s v="250 437 767.47"/>
    <s v="нет"/>
    <s v="нет"/>
    <s v=""/>
    <s v=""/>
    <s v=""/>
    <s v=""/>
    <s v="нет"/>
  </r>
  <r>
    <s v="Газпромнефть-ГЕО, ООО"/>
    <s v=""/>
    <s v="Обработка результатов согласования"/>
    <s v=""/>
    <s v=""/>
    <x v="362"/>
    <s v=""/>
    <s v=""/>
    <s v=""/>
    <s v=""/>
    <s v="Нетиповой ДД"/>
    <x v="0"/>
    <s v=""/>
    <s v="00551-24"/>
    <s v=""/>
    <s v="8.1. ДС к МДД на бурение НОМ Проспект_ГПНХ+МНГ_лот №3"/>
    <s v="8.1. ДС к МДД на бурение НОМ Проспект_ГПНХ+МНГ_лот №3"/>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44114"/>
    <s v="Закрыт"/>
    <d v="2021-08-25T00:00:00"/>
    <s v=""/>
    <x v="226"/>
    <s v="7728639370"/>
    <s v=""/>
    <s v="ГЕО-21/01200/00188/Р"/>
    <s v="ГЕО-21/01200/00188/Р"/>
    <s v="Типовой ДД"/>
    <x v="2"/>
    <s v="01200 Договор  поставки МТР"/>
    <s v="00552-21"/>
    <s v=""/>
    <s v="01200 Договор  поставки МТР"/>
    <s v="Поставка блоков ФБС (выкуп из свободных запасов ООО &quot;Газпромнефть - Развитие&quot; блоков ФБС 9.4.6-Т 252 шт для нужд проекта Енисей"/>
    <s v="Долгов Д.Г."/>
    <s v="Долгов Д.Г."/>
    <s v="Договорный документ"/>
    <s v="Блок по закупкам"/>
    <s v="Аксенов М.А."/>
    <s v="На бумажном носителе"/>
    <s v="До исполнения обязательств"/>
    <d v="2021-08-25T00:00:00"/>
    <s v=""/>
    <s v="Д-3"/>
    <s v="Договор поставки/купли продажи движимого имущества"/>
    <s v="Расходная часть"/>
    <s v="Стоимостной"/>
    <s v="20%"/>
    <s v=""/>
    <s v=""/>
    <s v="1 047 613.39"/>
    <s v="873 011.16"/>
    <s v="174 602.23"/>
    <s v="нет"/>
    <s v="нет"/>
    <s v=""/>
    <s v=""/>
    <s v=""/>
    <s v=""/>
    <s v="нет"/>
  </r>
  <r>
    <s v="Газпромнефть-ГЕО, ООО"/>
    <s v="0000100119"/>
    <s v="Зарегистрирован"/>
    <d v="2023-10-24T00:00:00"/>
    <s v=""/>
    <x v="367"/>
    <s v="7703668940"/>
    <s v=""/>
    <s v="ГЕО-23/24000/00175/Р"/>
    <s v="ГЕО-23/24000/00175/Р"/>
    <s v="Нетиповой ДД"/>
    <x v="2"/>
    <s v=""/>
    <s v="00552-23"/>
    <s v=""/>
    <s v="Договор публичной оферты"/>
    <s v="Договор-оферта № 922160/2033072  от 24.10.2023 г. по тарифу Партнерский безлимит (лицензионный договор)"/>
    <s v="Безруков А.А."/>
    <s v=""/>
    <s v="Договорный документ"/>
    <s v="Газпромнефть-ГЕО, ООО"/>
    <s v="Власов М.М."/>
    <s v="На бумажном носителе"/>
    <s v="С ограничением по срокам "/>
    <d v="2023-10-24T00:00:00"/>
    <d v="2024-10-24T00:00:00"/>
    <s v="Д-15"/>
    <s v="Лицензионный договор"/>
    <s v="Расходная часть"/>
    <s v="Тарифный"/>
    <s v="20%"/>
    <s v=""/>
    <s v=""/>
    <s v="349 000.00"/>
    <s v="290 833.33"/>
    <s v="58 166.67"/>
    <s v="нет"/>
    <s v="да"/>
    <s v="100"/>
    <s v="349 000,00"/>
    <s v=""/>
    <s v=""/>
    <s v="нет"/>
  </r>
  <r>
    <s v="Газпромнефть-ГЕО, ООО"/>
    <s v=""/>
    <s v="Обработка результатов согласования"/>
    <s v=""/>
    <s v=""/>
    <x v="368"/>
    <s v=""/>
    <s v=""/>
    <s v=""/>
    <s v=""/>
    <s v="Нетиповой ДД"/>
    <x v="2"/>
    <s v=""/>
    <s v="00552-24"/>
    <s v=""/>
    <s v="9.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1)"/>
    <s v=" 9.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
    <s v="Зарегистрирован"/>
    <d v="2021-08-23T00:00:00"/>
    <s v=""/>
    <x v="369"/>
    <s v=""/>
    <s v=""/>
    <s v="ГЕО-21/101108/00194/Р"/>
    <s v="ГЕО-21/101108/00194/Р"/>
    <s v="Нетиповой ДД"/>
    <x v="2"/>
    <s v=""/>
    <s v="00553-21"/>
    <s v=""/>
    <s v="Услуги по специальным лабораторным исследованиям керна и пластовых флюидов. Специальные фильтрационные исследования для   определения минимального давления смесимости на модели тонкой трубки"/>
    <s v="Целью выполнения работы являются лабораторные исследования вытеснения нефти газом на модели тонкой трубки («slim tube») для определения минимального давления смесимости с использованием моделей рекомбинированной до пластовых условий нефти в пластовых термобарических условиях (давление до/не менее 50 МПа, температура – до/не менее 120 ˚С) "/>
    <s v="Рузимуродов И.П."/>
    <s v="Николаев В.А."/>
    <s v="Договорный документ"/>
    <s v="Управление закупок работ и услуг"/>
    <s v="Аксенов М.А."/>
    <s v="На бумажном носителе"/>
    <s v="С ограничением по срокам "/>
    <d v="2021-08-23T00:00:00"/>
    <d v="2023-12-31T00:00:00"/>
    <s v="Д-3"/>
    <s v="Услуги по специальным лабораторным исследованиям керна и пластовых флюидов (в том числе уникальные исследования, новые технологии исследований)"/>
    <s v="Расходная часть"/>
    <s v="Рамочный"/>
    <s v="20%"/>
    <s v=""/>
    <s v=""/>
    <s v="26 141 002.48"/>
    <s v="21 784 168.73"/>
    <s v="4 356 833.75"/>
    <s v="нет"/>
    <s v="нет"/>
    <s v=""/>
    <s v=""/>
    <s v=""/>
    <s v=""/>
    <s v="нет"/>
  </r>
  <r>
    <s v="Газпромнефть-ГЕО, ООО"/>
    <s v="0000048356"/>
    <s v="Зарегистрирован"/>
    <d v="2023-10-20T00:00:00"/>
    <s v=""/>
    <x v="152"/>
    <s v="8601034898"/>
    <s v="ГЕО-22/10000/00144/Р"/>
    <s v=""/>
    <s v="10"/>
    <s v="Нетиповой ДД"/>
    <x v="3"/>
    <s v=""/>
    <s v="00553-23"/>
    <s v=""/>
    <s v="НЗ № 10. Защита Югры, ООО к ДД № ГЕО-22/10000/00144/Р от 27.06.2022г."/>
    <s v="Сибирский федеральный округ, Лескинский лицензионный участок, проект «Енисей» с 01.11.2023г. по 31.08.2024г. "/>
    <s v="Мормышев А.А."/>
    <s v="Белоусов О.В."/>
    <s v="Договорный документ"/>
    <s v="Блок производственной безопасности"/>
    <s v="Михайлов Ю.А."/>
    <s v="ЭП"/>
    <s v="До исполнения обязательств"/>
    <d v="2023-10-20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0 630 102.16"/>
    <s v="17 191 751.80"/>
    <s v="3 438 350.36"/>
    <s v="нет"/>
    <s v="нет"/>
    <s v=""/>
    <s v=""/>
    <s v=""/>
    <s v=""/>
    <s v="нет"/>
  </r>
  <r>
    <s v="Газпромнефть-ГЕО, ООО"/>
    <s v=""/>
    <s v="Обработка результатов согласования"/>
    <s v=""/>
    <s v=""/>
    <x v="368"/>
    <s v=""/>
    <s v=""/>
    <s v=""/>
    <s v=""/>
    <s v="Нетиповой ДД"/>
    <x v="0"/>
    <s v=""/>
    <s v="00553-24"/>
    <s v=""/>
    <s v="9.1 ДС №1 к МДД подряда на бурение в рамках НОМ Проспект_ГПН ННГ_лот №1"/>
    <s v="9.1. ДС №1 к МДД подряда на бурение в рамках НОМ Проспект_ГПН ННГ_лот №1"/>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40656"/>
    <s v="Зарегистрирован"/>
    <d v="2023-10-21T00:00:00"/>
    <s v=""/>
    <x v="288"/>
    <s v="0814118403"/>
    <s v="ГЕО-22/33100/00264"/>
    <s v=""/>
    <s v="1"/>
    <s v="Типовой ДД"/>
    <x v="0"/>
    <s v="33100 Дополнительное соглашение к Соглашениям в  в области производственной безопасности;"/>
    <s v="00554-23"/>
    <s v=""/>
    <s v="33100 Дополнительное соглашение к Соглашениям в  в области производственной безопасности АО &quot;ССК&quot; 82-П"/>
    <s v="ДОПОЛНИТЕЛЬНОЕ СОГЛАШЕНИЕ №1 к Соглашению ПБ №ГЕО-22/33100/00264 от 21.10.2022г._x000a_"/>
    <s v="Мормышев А.А."/>
    <s v="Анисимов А.Н."/>
    <s v="Договорный документ"/>
    <s v="Блок производственной безопасности"/>
    <s v="Михайлов Ю.А."/>
    <s v="На бумажном носителе"/>
    <s v="До исполнения обязательств"/>
    <d v="2023-10-21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Обработка результатов согласования"/>
    <s v=""/>
    <s v=""/>
    <x v="368"/>
    <s v=""/>
    <s v=""/>
    <s v=""/>
    <s v=""/>
    <s v="Нетиповой ДД"/>
    <x v="2"/>
    <s v=""/>
    <s v="00554-24"/>
    <s v=""/>
    <s v="10.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2)"/>
    <s v=" 10.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84590"/>
    <s v="Зарегистрирован"/>
    <d v="2023-10-22T00:00:00"/>
    <s v=""/>
    <x v="61"/>
    <s v="7708277130"/>
    <s v="ГЕО-23/09000/00149/Р"/>
    <s v=""/>
    <s v="4"/>
    <s v="Нетиповой ДД"/>
    <x v="7"/>
    <s v=""/>
    <s v="00555-23"/>
    <s v=""/>
    <s v="Заявка № 4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Оморинский», Салаирский ЛУ (скв.3 Сал)"/>
    <s v="Фокин Е.В."/>
    <s v="Фокин Е.В."/>
    <s v="Договорный документ"/>
    <s v="Управление производственной безопасности"/>
    <s v="Михайлов Ю.А."/>
    <s v="ЭП"/>
    <s v="С ограничением по срокам "/>
    <d v="2023-10-22T00:00:00"/>
    <d v="2023-11-30T00:00:00"/>
    <s v="Д-2"/>
    <s v="Договор возмездного оказания услуг"/>
    <s v="Расходная часть"/>
    <s v="Рамочный"/>
    <s v="20%"/>
    <s v=""/>
    <s v=""/>
    <s v="1 596 399.73"/>
    <s v="1 330 333.11"/>
    <s v="266 066.62"/>
    <s v="нет"/>
    <s v="нет"/>
    <s v=""/>
    <s v=""/>
    <s v=""/>
    <s v=""/>
    <s v="нет"/>
  </r>
  <r>
    <s v="Газпромнефть-ГЕО, ООО"/>
    <s v=""/>
    <s v="Обработка результатов согласования"/>
    <s v=""/>
    <s v=""/>
    <x v="368"/>
    <s v=""/>
    <s v=""/>
    <s v=""/>
    <s v=""/>
    <s v="Нетиповой ДД"/>
    <x v="0"/>
    <s v=""/>
    <s v="00555-24"/>
    <s v=""/>
    <s v="10.1. ДС №1 к МДД подряда на бурение в рамках НОМ Проспект_ГПН ННГ_лот №2"/>
    <s v="10.1. ДС №1 к МДД подряда на бурение в рамках НОМ Проспект_ГПН ННГ_лот №2"/>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
    <s v="Закрыт"/>
    <d v="2022-05-30T00:00:00"/>
    <s v=""/>
    <x v="370"/>
    <s v=""/>
    <s v=""/>
    <s v="ГЕО-22/26000/00131"/>
    <s v="ГЕО-22/26000/00131"/>
    <s v="Типовой ДД"/>
    <x v="1"/>
    <s v="26000 Договор о конфиденциальности с физическим лицом"/>
    <s v="00556-22"/>
    <s v=""/>
    <s v="26000 Договор о конфиденциальности с физическим лицом"/>
    <s v="Договор о конфиденциальности между ООО «ГПН-ГЕО» и физическим лицом - практикантом СПбГУ - Прокопенко Марией Олеговной"/>
    <s v="Анчина К.Г."/>
    <s v="Анчина К.Г."/>
    <s v="Договорный документ"/>
    <s v="Отдел по корпоративным коммуникациям"/>
    <s v="Созинов С.А."/>
    <s v="На бумажном носителе"/>
    <s v="С ограничением по срокам "/>
    <d v="2022-07-06T00:00:00"/>
    <d v="2022-07-27T00:00:00"/>
    <s v="Д-60"/>
    <s v="Соглашение о конфиденциальности"/>
    <s v="Не предполагает взаиморасчетов"/>
    <s v=""/>
    <s v=""/>
    <s v=""/>
    <s v=""/>
    <s v=""/>
    <s v=""/>
    <s v=""/>
    <s v="нет"/>
    <s v="нет"/>
    <s v=""/>
    <s v=""/>
    <s v=""/>
    <s v=""/>
    <s v="нет"/>
  </r>
  <r>
    <s v="Газпромнефть-ГЕО, ООО"/>
    <s v="0000062928"/>
    <s v="Зарегистрирован"/>
    <d v="2023-10-25T00:00:00"/>
    <s v=""/>
    <x v="136"/>
    <s v="7701645627"/>
    <s v="ГЕО-20/11501/00184/Р"/>
    <s v=""/>
    <s v="6"/>
    <s v="Нетиповой ДД"/>
    <x v="3"/>
    <s v=""/>
    <s v="00556-23"/>
    <s v=""/>
    <s v="Заказ 6 к договору ГЕО-20/11501/00184/Р"/>
    <s v="Выполнение камеральных маркшейдерских работ"/>
    <s v="Хохлов А.А."/>
    <s v=""/>
    <s v="Договорный документ"/>
    <s v="Управление маркшейдерско-землеустроительных работ"/>
    <s v="Трифонов А.В."/>
    <s v="ЭП"/>
    <s v="С ограничением по срокам "/>
    <d v="2023-10-25T00:00:00"/>
    <d v="2023-12-29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без НДС"/>
    <s v=""/>
    <s v=""/>
    <s v="1 179 472.16"/>
    <s v="1 179 472.16"/>
    <n v="0"/>
    <s v="нет"/>
    <s v="нет"/>
    <s v=""/>
    <s v=""/>
    <s v=""/>
    <s v=""/>
    <s v="нет"/>
  </r>
  <r>
    <s v="Газпромнефть-ГЕО, ООО"/>
    <s v=""/>
    <s v="Обработка результатов согласования"/>
    <s v=""/>
    <s v=""/>
    <x v="368"/>
    <s v=""/>
    <s v=""/>
    <s v=""/>
    <s v=""/>
    <s v="Нетиповой ДД"/>
    <x v="2"/>
    <s v=""/>
    <s v="00556-24"/>
    <s v=""/>
    <s v="11.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3)"/>
    <s v=" 11.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39779"/>
    <s v="Зарегистрирован"/>
    <d v="2022-06-27T00:00:00"/>
    <s v=""/>
    <x v="139"/>
    <s v="0277067693"/>
    <s v=""/>
    <s v="ГЕО-22/20000/00140/Д"/>
    <s v="ГЕО-22/20000/00140/Д"/>
    <s v="Нетиповой ДД"/>
    <x v="2"/>
    <s v=""/>
    <s v="00557-22"/>
    <s v=""/>
    <s v="Агентский договор на организацию вертолетных авиаперевозок с АО «НПП «Бурсервис»"/>
    <s v="Авиаперевозка персонала и груза КА"/>
    <s v="Титова Е.В."/>
    <s v="Титова Е.В."/>
    <s v="Договорный документ"/>
    <s v="Блок снабжения и закупок"/>
    <s v="Агеев П.А."/>
    <s v="ЭП"/>
    <s v="С ограничением по срокам "/>
    <d v="2022-07-01T00:00:00"/>
    <d v="2023-03-15T00:00:00"/>
    <s v="Д-52"/>
    <s v="Агентский договор"/>
    <s v="Доходная часть"/>
    <s v="Агентский"/>
    <s v="20%"/>
    <s v=""/>
    <s v=""/>
    <s v="95 462.59"/>
    <s v="79 552.16"/>
    <s v="15 910.43"/>
    <s v="нет"/>
    <s v="нет"/>
    <s v=""/>
    <s v=""/>
    <s v=""/>
    <s v=""/>
    <s v="нет"/>
  </r>
  <r>
    <s v="Газпромнефть-ГЕО, ООО"/>
    <s v="0000048216"/>
    <s v="Зарегистрирован"/>
    <d v="2023-12-18T00:00:00"/>
    <s v=""/>
    <x v="38"/>
    <s v="8605013881"/>
    <s v="ГЕО-21/10308/00236/Р"/>
    <s v=""/>
    <s v="10"/>
    <s v="Нетиповой ДД"/>
    <x v="0"/>
    <s v=""/>
    <s v="00557-23"/>
    <s v=""/>
    <s v="ДС №10 к Договору №ГЕО-21/10308/00236/Р от 04.10.2021 г."/>
    <s v="Перевод части негарантированного объема 2024 г в гарантированный без изменения общей стоимости Договора"/>
    <s v="Ларионов Е.А."/>
    <s v=""/>
    <s v="Договорный документ"/>
    <s v="Блок снабжения и закупок"/>
    <s v="Аксенов М.А."/>
    <s v="ЭП"/>
    <s v="С ограничением по срокам "/>
    <d v="2023-12-18T00:00:00"/>
    <d v="2024-12-31T00:00:00"/>
    <s v=""/>
    <s v="ГТИ при бурении"/>
    <s v="Расходная часть"/>
    <s v="Рамочный"/>
    <s v="20%"/>
    <s v=""/>
    <s v="59863677.02"/>
    <s v="409 302 534.42"/>
    <s v="341 085 445.35"/>
    <s v="68 217 089.07"/>
    <s v="да"/>
    <s v="нет"/>
    <s v=""/>
    <s v=""/>
    <s v=""/>
    <s v=""/>
    <s v="нет"/>
  </r>
  <r>
    <s v="Газпромнефть-ГЕО, ООО"/>
    <s v=""/>
    <s v="Обработка результатов согласования"/>
    <s v=""/>
    <s v=""/>
    <x v="368"/>
    <s v=""/>
    <s v=""/>
    <s v=""/>
    <s v=""/>
    <s v="Нетиповой ДД"/>
    <x v="0"/>
    <s v=""/>
    <s v="00557-24"/>
    <s v=""/>
    <s v="11.1. ДС №1 к МДД подряда на бурение в рамках НОМ Проспект_ГПН ННГ_лот №3"/>
    <s v="11.1. ДС №1 к МДД подряда на бурение в рамках НОМ Проспект_ГПН ННГ_лот №3"/>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0000067554"/>
    <s v="Зарегистрирован"/>
    <d v="2021-08-30T00:00:00"/>
    <s v=""/>
    <x v="208"/>
    <s v="7204168131"/>
    <s v="ГЕО-20/10924/00051/Р"/>
    <s v=""/>
    <s v=" 4"/>
    <s v="Нетиповой ДД"/>
    <x v="0"/>
    <s v=""/>
    <s v="00558-21"/>
    <s v=""/>
    <s v="Дополнительное соглашение № 4 к Договору на выполнение работ по экологическому мониторингу месторождений № ГЕО-20/10924/00051/Р от 05 марта 2020 г."/>
    <s v="Замена Приложения «Соглашение в области производственной безопасности»"/>
    <s v="Липатова О.И."/>
    <s v="Липатова О.И."/>
    <s v="Договорный документ"/>
    <s v="Отдел экологической безопасности"/>
    <s v="Власов М.М."/>
    <s v="На бумажном носителе"/>
    <s v="С ограничением по срокам "/>
    <d v="2021-08-30T00:00:00"/>
    <d v="2022-12-31T00:00:00"/>
    <s v="Д-30"/>
    <s v="Экологический мониторинг месторождений"/>
    <s v="Не предполагает взаиморасчетов"/>
    <s v=""/>
    <s v=""/>
    <s v=""/>
    <s v=""/>
    <s v=""/>
    <s v=""/>
    <s v=""/>
    <s v="нет"/>
    <s v="нет"/>
    <s v=""/>
    <s v=""/>
    <s v=""/>
    <s v=""/>
    <s v="нет"/>
  </r>
  <r>
    <s v="Газпромнефть-ГЕО, ООО"/>
    <s v="0000048356"/>
    <s v="Зарегистрирован"/>
    <d v="2022-06-27T00:00:00"/>
    <s v=""/>
    <x v="152"/>
    <s v="8601034898"/>
    <s v=""/>
    <s v="ГЕО-22/10000/00144/Р"/>
    <s v="ГЕО-22/10000/00144/Р"/>
    <s v="Типовой ДД"/>
    <x v="2"/>
    <s v="10904 Договор на выполнение работ и оказание услуг в области пожарной безопасности"/>
    <s v="00558-22"/>
    <s v=""/>
    <s v="10904 Договор на выполнение работ и оказание услуг в области пожарной безопасности"/>
    <s v="услуги по обеспечению противопожарной безопасности, в том числе охрана от пожаров, тушение возникших пожаров, выполнение первоочередных аварийно-спасательных работ, ликвидация чрезвычайных ситуаций и их последствий, выполнение комплекса пожарно-профилактических мероприятий, на объектах Заказчика и объектах подрядных организаций Заказчика"/>
    <s v="Коваленко М.В."/>
    <s v="Морозов Анатолий Владимирович "/>
    <s v="Договорный документ"/>
    <s v="Управление закупок работ и услуг"/>
    <s v="Власов М.М."/>
    <s v="На бумажном носителе"/>
    <s v="С ограничением по срокам "/>
    <d v="2022-06-27T00:00:00"/>
    <d v="2026-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0"/>
    <s v="1 118 776 035.51"/>
    <s v="932 313 362.92"/>
    <s v="186 462 672.59"/>
    <s v="да"/>
    <s v="нет"/>
    <s v=""/>
    <s v=""/>
    <s v=""/>
    <s v=""/>
    <s v="нет"/>
  </r>
  <r>
    <s v="Газпромнефть-ГЕО, ООО"/>
    <s v="0000048216"/>
    <s v="Зарегистрирован"/>
    <d v="2023-10-18T00:00:00"/>
    <s v=""/>
    <x v="38"/>
    <s v="8605013881"/>
    <s v="ГЕО-21/10308/00236/Р"/>
    <s v=""/>
    <s v="8"/>
    <s v="Нетиповой ДД"/>
    <x v="0"/>
    <s v=""/>
    <s v="00558-23"/>
    <s v=""/>
    <s v="ДС №8 к Договору ГЕО-21/10308/00236/Р от 04.10.2021 г."/>
    <s v="Перевод части негарантированного объема в гарантированный в 2023 г. + актуализация Оценочного листа"/>
    <s v="Безруков А.А."/>
    <s v="Ларионов Е.А. "/>
    <s v="Договорный документ"/>
    <s v="Блок геологии и разработки"/>
    <s v="Шакирзянов Л.Н."/>
    <s v="ЭП"/>
    <s v="До исполнения обязательств"/>
    <d v="2023-10-18T00:00:00"/>
    <s v=""/>
    <s v="Д-20"/>
    <s v="ГТИ при бурении"/>
    <s v="Расходная часть"/>
    <s v="Рамочный"/>
    <s v="20%"/>
    <s v=""/>
    <s v=""/>
    <s v="8 442 342.60"/>
    <s v="7 035 285.50"/>
    <s v="1 407 057.10"/>
    <s v="нет"/>
    <s v="нет"/>
    <s v=""/>
    <s v=""/>
    <s v=""/>
    <s v=""/>
    <s v="нет"/>
  </r>
  <r>
    <s v="Газпромнефть-ГЕО, ООО"/>
    <s v=""/>
    <s v="Обработка результатов согласования"/>
    <s v=""/>
    <s v=""/>
    <x v="368"/>
    <s v=""/>
    <s v=""/>
    <s v=""/>
    <s v=""/>
    <s v="Нетиповой ДД"/>
    <x v="2"/>
    <s v=""/>
    <s v="00558-24"/>
    <s v=""/>
    <s v="12.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4)"/>
    <s v=" 12.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67554"/>
    <s v="Зарегистрирован"/>
    <d v="2021-08-30T00:00:00"/>
    <s v=""/>
    <x v="208"/>
    <s v="7204168131"/>
    <s v="ГЕО-20/10924/00055/Р"/>
    <s v=""/>
    <s v=" 4"/>
    <s v="Нетиповой ДД"/>
    <x v="0"/>
    <s v=""/>
    <s v="00559-21"/>
    <s v=""/>
    <s v="Дополнительное соглашение № 4 к Договору на выполнение работ по экологическому мониторингу месторождений № ГЕО-20/10924/00055/Р от 05 марта 2020 г."/>
    <s v="Внесение изменений в Приложение &quot;Соглашение в области ПБ&quot;"/>
    <s v="Липатова О.И."/>
    <s v="Липатова О.И."/>
    <s v="Договорный документ"/>
    <s v="Отдел экологической безопасности"/>
    <s v="Власов М.М."/>
    <s v="На бумажном носителе"/>
    <s v="С ограничением по срокам "/>
    <d v="2021-08-30T00:00:00"/>
    <d v="2022-12-31T00:00:00"/>
    <s v="Д-30"/>
    <s v="Экологический мониторинг месторождений"/>
    <s v="Не предполагает взаиморасчетов"/>
    <s v=""/>
    <s v=""/>
    <s v=""/>
    <s v=""/>
    <s v=""/>
    <s v=""/>
    <s v=""/>
    <s v="нет"/>
    <s v="нет"/>
    <s v=""/>
    <s v=""/>
    <s v=""/>
    <s v=""/>
    <s v="нет"/>
  </r>
  <r>
    <s v="Газпромнефть-ГЕО, ООО"/>
    <s v=""/>
    <s v="Закрыт"/>
    <d v="2022-06-27T00:00:00"/>
    <s v=""/>
    <x v="364"/>
    <s v=""/>
    <s v=""/>
    <s v="ГЕО-22/26000/00133"/>
    <s v="ГЕО-22/26000/00133"/>
    <s v="Типовой ДД"/>
    <x v="1"/>
    <s v="26000 Договор о конфиденциальности с физическим лицом"/>
    <s v="00559-22"/>
    <s v=""/>
    <s v="26000 Договор о конфиденциальности с физическим лицом"/>
    <s v="Заключение договора о конфиденциальности с физ.лицом, оказывающего Обществу услуги на основании договора ГПХ, по неразглашению информации, составляющей коммерческую тайну и иной конфиденциальной информации Общества и его контрагентов."/>
    <s v="Коваленко М.В."/>
    <s v="Рябикина Маргарита Андреевна"/>
    <s v="Договорный документ"/>
    <s v="Управление закупок работ и услуг"/>
    <s v="Созинов С.А."/>
    <s v="На бумажном носителе"/>
    <s v="С ограничением по срокам "/>
    <d v="2022-06-27T00:00:00"/>
    <d v="2022-07-26T00:00:00"/>
    <s v="Д-60"/>
    <s v="Соглашение о конфиденциальности"/>
    <s v="Не предполагает взаиморасчетов"/>
    <s v=""/>
    <s v=""/>
    <s v=""/>
    <s v=""/>
    <s v=""/>
    <s v=""/>
    <s v=""/>
    <s v="нет"/>
    <s v="нет"/>
    <s v=""/>
    <s v=""/>
    <s v=""/>
    <s v=""/>
    <s v="нет"/>
  </r>
  <r>
    <s v="Газпромнефть-ГЕО, ООО"/>
    <s v="0000051935"/>
    <s v="Зарегистрирован"/>
    <d v="2023-10-21T00:00:00"/>
    <s v=""/>
    <x v="50"/>
    <s v="7709832820"/>
    <s v="ГЕО-23/10000/00023/Р"/>
    <s v=""/>
    <s v="2"/>
    <s v="Нетиповой ДД"/>
    <x v="0"/>
    <s v=""/>
    <s v="00559-23"/>
    <s v=""/>
    <s v="ДС №2 к договору ГЕО-23/10000/00023/Р от 30.01.2023. Вкл. ГК и Резистивиметр"/>
    <s v="Вкл. ГК и Резистивиметр"/>
    <s v="Мормышев А.А."/>
    <s v="Дунаев Э.В."/>
    <s v="Договорный документ"/>
    <s v="Блок главного инженера"/>
    <s v="Трифонов А.В."/>
    <s v="ЭП"/>
    <s v="До исполнения обязательств"/>
    <d v="2023-10-2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
    <s v="Обработка результатов согласования"/>
    <s v=""/>
    <s v=""/>
    <x v="368"/>
    <s v=""/>
    <s v=""/>
    <s v=""/>
    <s v=""/>
    <s v="Нетиповой ДД"/>
    <x v="0"/>
    <s v=""/>
    <s v="00559-24"/>
    <s v=""/>
    <s v="12.1. ДС №1 к МДД подряда на бурение в рамках НОМ Проспект_ГПН ННГ_лот №4"/>
    <s v="12.1. ДС №1 к МДД подряда на бурение в рамках НОМ Проспект_ГПН ННГ_лот №4"/>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
    <s v="Проект"/>
    <s v=""/>
    <s v=""/>
    <x v="58"/>
    <s v=""/>
    <s v=""/>
    <s v=""/>
    <s v=""/>
    <s v=""/>
    <x v="6"/>
    <s v=""/>
    <s v="00560-21"/>
    <s v=""/>
    <s v=""/>
    <s v=""/>
    <s v="Сафронова С.С."/>
    <s v=""/>
    <s v="Договорный документ"/>
    <s v="Кластер «Интеграция, совместные предприятия, зарубежные активы»"/>
    <s v=""/>
    <s v=""/>
    <s v=""/>
    <s v=""/>
    <s v=""/>
    <s v=""/>
    <s v=""/>
    <s v=""/>
    <s v=""/>
    <s v=""/>
    <s v=""/>
    <s v=""/>
    <s v=""/>
    <s v=""/>
    <s v=""/>
    <s v="нет"/>
    <s v="нет"/>
    <s v=""/>
    <s v=""/>
    <s v=""/>
    <s v=""/>
    <s v="нет"/>
  </r>
  <r>
    <s v="Газпромнефть-ГЕО, ООО"/>
    <s v=""/>
    <s v="Проект"/>
    <s v=""/>
    <s v=""/>
    <x v="58"/>
    <s v=""/>
    <s v=""/>
    <s v=""/>
    <s v=""/>
    <s v=""/>
    <x v="6"/>
    <s v=""/>
    <s v="00560-23"/>
    <s v=""/>
    <s v=""/>
    <s v=""/>
    <s v="Ушакова М.А."/>
    <s v=""/>
    <s v="Договорный документ"/>
    <s v=""/>
    <s v=""/>
    <s v=""/>
    <s v=""/>
    <s v=""/>
    <s v=""/>
    <s v=""/>
    <s v=""/>
    <s v=""/>
    <s v=""/>
    <s v=""/>
    <s v=""/>
    <s v=""/>
    <s v=""/>
    <s v=""/>
    <s v=""/>
    <s v="нет"/>
    <s v="нет"/>
    <s v=""/>
    <s v=""/>
    <s v=""/>
    <s v=""/>
    <s v="нет"/>
  </r>
  <r>
    <s v="Газпромнефть-ГЕО, ООО"/>
    <s v=""/>
    <s v="Обработка результатов согласования"/>
    <s v=""/>
    <s v=""/>
    <x v="368"/>
    <s v=""/>
    <s v=""/>
    <s v=""/>
    <s v=""/>
    <s v="Нетиповой ДД"/>
    <x v="2"/>
    <s v=""/>
    <s v="00560-24"/>
    <s v=""/>
    <s v="13. Договор подряда  на бурение эксплуатационных, геологоразведочных скважин, выполнение работ по зарезке боковых стволов по суточной ставке (20230613 Договор НОМ 2023_v11 лот № БУР НОМ ННГ 5)"/>
    <s v=" 13. Рамочный договор между ООО “НГ-Бурение” и АО «Газпромнефть-ННГ», ПАО «СН-МНГ», ООО «Газпромнефть-Хантос», ООО «ГПН-ГЕО», ООО «Газпромнефть-Оренбург», АО «Мессояханефтегаз», ООО «Газпромнефть-Ямал», ООО «Газпромнефть-Заполярье», ООО «Газпромнефть-Восток», АО «Томскнефть» ВНК представляемыми ООО «Нефтесервисные решения»"/>
    <s v="Макаринский Е.Ю."/>
    <s v="Макаринский Е.Ю."/>
    <s v="Договорный документ"/>
    <s v="Блок главного инженера"/>
    <s v="Трифонов А.В."/>
    <s v="На бумажном носителе"/>
    <s v="С ограничением по срокам "/>
    <d v="2024-10-01T00:00:00"/>
    <d v="2034-12-31T00:00:00"/>
    <s v="Д-82"/>
    <s v="Договор возмездного оказания услуг"/>
    <s v="Не предполагает взаиморасчетов"/>
    <s v=""/>
    <s v=""/>
    <s v=""/>
    <s v=""/>
    <s v=""/>
    <s v=""/>
    <s v=""/>
    <s v="нет"/>
    <s v="нет"/>
    <s v=""/>
    <s v=""/>
    <s v=""/>
    <s v=""/>
    <s v="нет"/>
  </r>
  <r>
    <s v="Газпромнефть-ГЕО, ООО"/>
    <s v="0000045789"/>
    <s v="Зарегистрирован"/>
    <d v="2022-06-17T00:00:00"/>
    <s v=""/>
    <x v="16"/>
    <s v="7838395487"/>
    <s v="ГЕО-21/11708/00165/Р"/>
    <s v=""/>
    <s v="НТЦ-01098-22Д-ГЕО"/>
    <s v="Нетиповой ДД"/>
    <x v="3"/>
    <s v=""/>
    <s v="00561-22"/>
    <s v=""/>
    <s v="Западная Часть ОГМ НЗ к договору ГЕО-21/11708/00165/Р//НТЦ-21/09000/00768/Д от 12.07.2021"/>
    <s v="&quot;Научно-исследовательские работы для формирования предварительной базовой интегрированной концепции разработки в периметре западной части отдаленной группы месторождений (ОГМ)&quot;"/>
    <s v="Коротков С.П."/>
    <s v=""/>
    <s v="Договорный документ"/>
    <s v="Управление по разработке"/>
    <s v="Аксенов М.А."/>
    <s v="На бумажном носителе"/>
    <s v="С ограничением по срокам "/>
    <d v="2022-06-17T00:00:00"/>
    <d v="2022-08-25T00:00:00"/>
    <s v="Д-54"/>
    <s v="Договор на выполнение НИР, ОКР и технологических работ"/>
    <s v="Расходная часть"/>
    <s v="Рамочный"/>
    <s v="20%"/>
    <s v=""/>
    <s v=""/>
    <s v="81 032 520.00"/>
    <s v="67 527 100.00"/>
    <s v="13 505 420.00"/>
    <s v="нет"/>
    <s v="нет"/>
    <s v=""/>
    <s v=""/>
    <s v=""/>
    <s v=""/>
    <s v="нет"/>
  </r>
  <r>
    <s v="Газпромнефть-ГЕО, ООО"/>
    <s v="0000044244"/>
    <s v="Зарегистрирован"/>
    <d v="2023-11-10T00:00:00"/>
    <s v=""/>
    <x v="192"/>
    <s v="8904034777"/>
    <s v=""/>
    <s v="ГЕО-23/09000/00179/Д"/>
    <s v="ГЕО-23/09000/00179/Д"/>
    <s v="Нетиповой ДД"/>
    <x v="2"/>
    <s v=""/>
    <s v="00561-23"/>
    <s v=""/>
    <s v="Доходный договор с ООО «Газпром добыча Ямбург» на выполнение ПГРР на Ямбургском ЛУ"/>
    <s v="Заключается договор с ООО «Газпром добыча Ямбург» на выполнение ГРР с использованием высокотехнологичных методов исследований для подготовки к освоению Ачимовских отложений Ямбургского НГКМ.  "/>
    <s v="Блинова Д.М."/>
    <s v="Блинова Д.М."/>
    <s v="Договорный документ"/>
    <s v="Управление экономического планирования и анализа"/>
    <s v="Масалкин Ю.В."/>
    <s v="На бумажном носителе"/>
    <s v="С ограничением по срокам "/>
    <d v="2023-10-20T00:00:00"/>
    <d v="2025-12-31T00:00:00"/>
    <s v=""/>
    <s v="Договор возмездного оказания услуг"/>
    <s v="Доходная часть"/>
    <s v="Рамочный"/>
    <s v="20%"/>
    <s v=""/>
    <s v=""/>
    <s v="1 015 511 895.17"/>
    <s v="846 259 912.64"/>
    <s v="169 251 982.53"/>
    <s v="нет"/>
    <s v="нет"/>
    <s v=""/>
    <s v=""/>
    <s v=""/>
    <s v=""/>
    <s v="нет"/>
  </r>
  <r>
    <s v="Газпромнефть-ГЕО, ООО"/>
    <s v="0000113169"/>
    <s v="Зарегистрирован"/>
    <d v="2024-09-27T00:00:00"/>
    <s v=""/>
    <x v="371"/>
    <s v="7729443885"/>
    <s v=""/>
    <s v="ГЕО-24/33200/00157"/>
    <s v="ГЕО-24/33200/00157"/>
    <s v="Типовой ДД"/>
    <x v="1"/>
    <s v="33200 Соглашение об электронном документообороте"/>
    <s v="00561-24"/>
    <s v=""/>
    <s v="33200 Соглашение об электронном документообороте"/>
    <s v="Для подписания ПУД в ЭДО (Контур.Диадок)"/>
    <s v="Разгоняев И.А."/>
    <s v="Разгоняев И.А."/>
    <s v="Договорный документ"/>
    <s v="Управление материально-технического обеспечения, транспортного обеспечения и сопутствующих сервисов"/>
    <s v="Трифонов А.В."/>
    <s v="ЭП"/>
    <s v="До исполнения обязательств"/>
    <d v="2024-09-27T00:00:00"/>
    <s v=""/>
    <s v="Д-45"/>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5789"/>
    <s v="Зарегистрирован"/>
    <d v="2022-06-21T00:00:00"/>
    <s v=""/>
    <x v="16"/>
    <s v="7838395487"/>
    <s v="ГЕО-21/11708/00165/Р"/>
    <s v=""/>
    <s v="НТЦ-01598-22Д-ГЕО"/>
    <s v="Нетиповой ДД"/>
    <x v="3"/>
    <s v=""/>
    <s v="00562-22"/>
    <s v=""/>
    <s v="ГеоМехМ Лески НЗ НЗ к договору ГЕО-21/11708/00165/Р//НТЦ-21/09000/00768/Д от 12.07.2021"/>
    <s v="&quot;Геомеханическая модель с обоснованием ОТР Лескинского ЛУ&quot;"/>
    <s v="Коротков С.П."/>
    <s v=""/>
    <s v="Договорный документ"/>
    <s v="Управление по разработке"/>
    <s v="Аксенов М.А."/>
    <s v="На бумажном носителе"/>
    <s v="С ограничением по срокам "/>
    <d v="2022-06-21T00:00:00"/>
    <d v="2022-11-25T00:00:00"/>
    <s v="Д-54"/>
    <s v="Договор на выполнение НИР, ОКР и технологических работ"/>
    <s v="Расходная часть"/>
    <s v="Рамочный"/>
    <s v="20%"/>
    <s v=""/>
    <s v=""/>
    <s v="14 891 011.20"/>
    <s v="12 409 176.00"/>
    <s v="2 481 835.20"/>
    <s v="нет"/>
    <s v="нет"/>
    <s v=""/>
    <s v=""/>
    <s v=""/>
    <s v=""/>
    <s v="нет"/>
  </r>
  <r>
    <s v="Газпромнефть-ГЕО, ООО"/>
    <s v="0000025354"/>
    <s v="Зарегистрирован"/>
    <d v="2023-10-20T00:00:00"/>
    <s v=""/>
    <x v="111"/>
    <s v="5003026493"/>
    <s v="ГЕО-21/07000/00283/Р"/>
    <s v=""/>
    <s v="4"/>
    <s v="Нетиповой ДД"/>
    <x v="0"/>
    <s v=""/>
    <s v="00562-23"/>
    <s v=""/>
    <s v="Дополнительное соглашение № 4 к договору ГЕО-21/07000/00283/Р от 20.12.2021"/>
    <s v="Применение округления до двух знаков после запятой"/>
    <s v="Покатов О.Н."/>
    <s v="Покатов О.Н."/>
    <s v="Договорный документ"/>
    <s v="Блок главного инженера"/>
    <s v="Трифонов А.В."/>
    <s v="ЭП"/>
    <s v="До исполнения обязательств"/>
    <d v="2023-10-20T00:00:00"/>
    <s v=""/>
    <s v="Д-33"/>
    <s v="Договор подряда"/>
    <s v="Не предполагает взаиморасчетов"/>
    <s v=""/>
    <s v=""/>
    <s v=""/>
    <s v=""/>
    <s v=""/>
    <s v=""/>
    <s v=""/>
    <s v="нет"/>
    <s v="нет"/>
    <s v=""/>
    <s v=""/>
    <s v=""/>
    <s v=""/>
    <s v="нет"/>
  </r>
  <r>
    <s v="Газпромнефть-ГЕО, ООО"/>
    <s v=""/>
    <s v="Зарегистрирован"/>
    <d v="2024-10-03T00:00:00"/>
    <s v=""/>
    <x v="372"/>
    <s v=""/>
    <s v=""/>
    <s v="ГЕО-24/26000/00164"/>
    <s v="ГЕО-24/26000/00164"/>
    <s v="Типовой ДД"/>
    <x v="1"/>
    <s v="26000 Соглашение о конфиденциальности с дочерним обществом ПАО «Газпром»"/>
    <s v="00562-24"/>
    <s v=""/>
    <s v="26000 Соглашение о конфиденциальности с дочерним обществом ПАО «Газпром»"/>
    <s v="Получение данных от АО &quot;Газпром добыча Томск&quot; для работы над НИР Лугинецкая группа"/>
    <s v="Переслегин М.В."/>
    <s v="Переслегин М.В."/>
    <s v="Договорный документ"/>
    <s v="Проект &quot;Западно-Зимнее&quot;"/>
    <s v="Аксенов М.А."/>
    <s v="На бумажном носителе"/>
    <s v="С ограничением по срокам "/>
    <d v="2024-10-01T00:00:00"/>
    <d v="2029-12-31T00:00:00"/>
    <s v="Д-54"/>
    <s v="Соглашение о конфиденциальности"/>
    <s v="Не предполагает взаиморасчетов"/>
    <s v=""/>
    <s v=""/>
    <s v=""/>
    <s v=""/>
    <s v=""/>
    <s v=""/>
    <s v=""/>
    <s v="нет"/>
    <s v="нет"/>
    <s v=""/>
    <s v=""/>
    <s v=""/>
    <s v=""/>
    <s v="нет"/>
  </r>
  <r>
    <s v="Газпромнефть-ГЕО, ООО"/>
    <s v="0000089914"/>
    <s v="Закрыт"/>
    <d v="2021-08-07T00:00:00"/>
    <s v=""/>
    <x v="118"/>
    <s v="8601068576"/>
    <s v=""/>
    <s v="ГЕО-21/00000/00282/Д"/>
    <s v="ГЕО-21/00000/00282/Д"/>
    <s v="Нетиповой ДД"/>
    <x v="2"/>
    <s v=""/>
    <s v="00563-21"/>
    <s v=""/>
    <s v="Договор о выполнении операторских работ и оказании операторских услуг "/>
    <s v="Договоро выполнении операторских работ и оказании операторских услуг  по методическому, организационному и научно-техническому сопровождению проектов ООО &quot;ГПН-Салым&quot; на этапе &quot;Поиск&quot;, на лицензионных участках Салымский 3 месторождение Солхэм и Салымский 5, по работам направленным на Геолого-Техническое исследование скважин"/>
    <s v="Андреева И.В."/>
    <s v="Коротков С.П."/>
    <s v="Договорный документ"/>
    <s v="Управление экономического планирования и анализа"/>
    <s v="Аксенов М.А."/>
    <s v="На бумажном носителе"/>
    <s v="С ограничением по срокам "/>
    <d v="2021-08-07T00:00:00"/>
    <d v="2023-12-31T00:00:00"/>
    <s v="Д-3"/>
    <s v="ПРОЧИЕ ДОГОВОРЫ"/>
    <s v="Доходная часть"/>
    <s v="Стоимостной"/>
    <s v="20%"/>
    <s v=""/>
    <s v=""/>
    <s v="348 033 668.51"/>
    <s v="290 028 057.09"/>
    <s v="58 005 611.42"/>
    <s v="нет"/>
    <s v="нет"/>
    <s v=""/>
    <s v=""/>
    <s v=""/>
    <s v=""/>
    <s v="нет"/>
  </r>
  <r>
    <s v="Газпромнефть-ГЕО, ООО"/>
    <s v="0000087378"/>
    <s v="Зарегистрирован"/>
    <d v="2022-06-10T00:00:00"/>
    <s v=""/>
    <x v="97"/>
    <s v="7204203139"/>
    <s v="ГЕО-19/10156/00057/Р "/>
    <s v=""/>
    <s v="7/22-057"/>
    <s v="Нетиповой ДД"/>
    <x v="3"/>
    <s v=""/>
    <s v="00563-22"/>
    <s v=""/>
    <s v="Изготовление и отправка образцов керна скважины №540ST2 Вынгаяхинского месторождения в Казанский Федеральный Университет"/>
    <s v="Отправка образцов керна для проведения исследований"/>
    <s v="Ябиров Р.З."/>
    <s v=""/>
    <s v="Договорный документ"/>
    <s v="Блок геологии и разработки"/>
    <s v="Аксенов М.А."/>
    <s v="На бумажном носителе"/>
    <s v="С ограничением по срокам "/>
    <d v="2022-06-10T00:00:00"/>
    <d v="2022-07-25T00:00:00"/>
    <s v="Д-54"/>
    <s v="Договор на выполнение НИР, ОКР и технологических работ"/>
    <s v="Расходная часть"/>
    <s v="Рамочный"/>
    <s v="20%"/>
    <s v=""/>
    <s v=""/>
    <s v="225 814.09"/>
    <s v="188 178.41"/>
    <s v="37 635.68"/>
    <s v="нет"/>
    <s v="нет"/>
    <s v=""/>
    <s v=""/>
    <s v=""/>
    <s v=""/>
    <s v="нет"/>
  </r>
  <r>
    <s v="Газпромнефть-ГЕО, ООО"/>
    <s v="0000025354"/>
    <s v="Зарегистрирован"/>
    <d v="2023-10-20T00:00:00"/>
    <s v=""/>
    <x v="111"/>
    <s v="5003026493"/>
    <s v="ГЕО-21/07000/00283/Р"/>
    <s v=""/>
    <s v="1"/>
    <s v="Нетиповой ДД"/>
    <x v="3"/>
    <s v=""/>
    <s v="00563-23"/>
    <s v=""/>
    <s v="Наряд-заказ №1 к договору ГЕО-21/07000/00283/Р от 20.12.2021"/>
    <s v="Раскрытие не гарантированной части договора на 2023 год"/>
    <s v="Покатов О.Н."/>
    <s v=""/>
    <s v="Договорный документ"/>
    <s v="Блок главного инженера"/>
    <s v="Трифонов А.В."/>
    <s v="ЭП"/>
    <s v="До исполнения обязательств"/>
    <d v="2023-10-21T00:00:00"/>
    <s v=""/>
    <s v="Д-33"/>
    <s v="Договор подряда"/>
    <s v="Не предполагает взаиморасчетов"/>
    <s v=""/>
    <s v=""/>
    <s v=""/>
    <s v=""/>
    <s v=""/>
    <s v=""/>
    <s v=""/>
    <s v="нет"/>
    <s v="нет"/>
    <s v=""/>
    <s v=""/>
    <s v=""/>
    <s v=""/>
    <s v="нет"/>
  </r>
  <r>
    <s v="Газпромнефть-ГЕО, ООО"/>
    <s v="0000073438"/>
    <s v="Зарегистрирован"/>
    <d v="2021-08-19T00:00:00"/>
    <s v=""/>
    <x v="68"/>
    <s v="7720330291"/>
    <s v="ГЕО-19/10187/00123/Р от «30» мая 2019 г."/>
    <s v=""/>
    <s v="7"/>
    <s v="Нетиповой ДД"/>
    <x v="0"/>
    <s v=""/>
    <s v="00564-21"/>
    <s v=""/>
    <s v="ДС №7 к Договору № ГЕО-19/10187/00123/Р от «30» мая 2019 г."/>
    <s v="Перевод негарантированного объема в гарантированный"/>
    <s v="Коротков С.П."/>
    <s v=""/>
    <s v="Договорный документ"/>
    <s v="Управление по разработке"/>
    <s v="Аксенов М.А."/>
    <s v="На бумажном носителе"/>
    <s v="С ограничением по срокам "/>
    <d v="2021-08-19T00:00:00"/>
    <d v="2021-12-31T00:00:00"/>
    <s v="Д-3"/>
    <s v="Оценка ресурсов участков, планируемых к лицензированию"/>
    <s v="Не предполагает взаиморасчетов"/>
    <s v="Рамочный"/>
    <s v=""/>
    <s v=""/>
    <s v=""/>
    <s v=""/>
    <s v=""/>
    <s v=""/>
    <s v="нет"/>
    <s v="нет"/>
    <s v=""/>
    <s v=""/>
    <s v=""/>
    <s v=""/>
    <s v="нет"/>
  </r>
  <r>
    <s v="Газпромнефть-ГЕО, ООО"/>
    <s v="0000073438"/>
    <s v="Зарегистрирован"/>
    <d v="2021-08-19T00:00:00"/>
    <s v=""/>
    <x v="68"/>
    <s v="7720330291"/>
    <s v="ГЕО-19/10187/00123/Р"/>
    <s v=""/>
    <s v="17"/>
    <s v="Нетиповой ДД"/>
    <x v="3"/>
    <s v=""/>
    <s v="00565-21"/>
    <s v=""/>
    <s v="Заказ №17 к к Договору № ГЕО-19/10187/00123/Р от «30» мая 2019 г."/>
    <s v="Разработка проектов ГИН"/>
    <s v="Коротков С.П."/>
    <s v=""/>
    <s v="Договорный документ"/>
    <s v="Управление по разработке"/>
    <s v="Аксенов М.А."/>
    <s v="На бумажном носителе"/>
    <s v="С ограничением по срокам "/>
    <d v="2021-08-19T00:00:00"/>
    <d v="2021-12-31T00:00:00"/>
    <s v="Д-3"/>
    <s v="Оценка ресурсов участков, планируемых к лицензированию"/>
    <s v="Расходная часть"/>
    <s v="Рамочный"/>
    <s v="20%"/>
    <s v=""/>
    <s v=""/>
    <s v="4 188 000.00"/>
    <s v="3 490 000.00"/>
    <s v="698 000.00"/>
    <s v="нет"/>
    <s v="нет"/>
    <s v=""/>
    <s v=""/>
    <s v=""/>
    <s v=""/>
    <s v="нет"/>
  </r>
  <r>
    <s v="Газпромнефть-ГЕО, ООО"/>
    <s v="0000045789"/>
    <s v="Зарегистрирован"/>
    <d v="2022-06-07T00:00:00"/>
    <s v=""/>
    <x v="16"/>
    <s v="7838395487"/>
    <s v="ГЕО-21/11708/00165/Р//НТЦ-21/09000/00768/Д"/>
    <s v=""/>
    <s v="НТЦ-01276-22Д-ГЕО"/>
    <s v="Нетиповой ДД"/>
    <x v="3"/>
    <s v=""/>
    <s v="00565-22"/>
    <s v=""/>
    <s v="Специализированная переобработка СРР 3Д для поиска зон интенсивной трещиноватости"/>
    <s v="прогноз зон развития интенсивной трещиноватости в пределах перспективных рифейских объектов Салаирской площади для выбора оптимальной проводки БГС в скв. Слр-3ПО и создание комплексной сейсмогеологической модели с уточнением оценки РБ перспективных объектов по результатам бурения и испытания скважины Слр-3ПО"/>
    <s v="Ябиров Р.З."/>
    <s v=""/>
    <s v="Договорный документ"/>
    <s v="Блок геологии и разработки"/>
    <s v="Аксенов М.А."/>
    <s v="На бумажном носителе"/>
    <s v="С ограничением по срокам "/>
    <d v="2022-06-07T00:00:00"/>
    <d v="2023-12-29T00:00:00"/>
    <s v="Д-54"/>
    <s v="Договор на выполнение НИР, ОКР и технологических работ"/>
    <s v="Расходная часть"/>
    <s v="Рамочный"/>
    <s v="20%"/>
    <s v=""/>
    <s v=""/>
    <s v="95 875 200.00"/>
    <s v="79 896 000.00"/>
    <s v="15 979 200.00"/>
    <s v="нет"/>
    <s v="нет"/>
    <s v=""/>
    <s v=""/>
    <s v=""/>
    <s v=""/>
    <s v="нет"/>
  </r>
  <r>
    <s v="Газпромнефть-ГЕО, ООО"/>
    <s v="0000073563"/>
    <s v="Зарегистрирован"/>
    <d v="2023-10-20T00:00:00"/>
    <s v=""/>
    <x v="120"/>
    <s v="8609322418"/>
    <s v="ГЕО-22/10402/00187/Р"/>
    <s v=""/>
    <s v="7"/>
    <s v="Нетиповой ДД"/>
    <x v="0"/>
    <s v=""/>
    <s v="00565-23"/>
    <s v=""/>
    <s v="ДС 7 к Д № ГЕО-22/10402/00187/Р"/>
    <s v="Раскрытие НГО"/>
    <s v="Яшкина К.Л."/>
    <s v="Конюх М.В."/>
    <s v="Договорный документ"/>
    <s v="Блок бурения и ВСР"/>
    <s v="Трифонов А.В."/>
    <s v="ЭП"/>
    <s v="До исполнения обязательств"/>
    <d v="2023-10-20T00:00:00"/>
    <s v=""/>
    <s v="Д-33"/>
    <s v="Капитальный ремонт и освоение скважин"/>
    <s v="Расходная часть"/>
    <s v="Рамочный"/>
    <s v="20%"/>
    <s v=""/>
    <s v=""/>
    <s v="1 014 180 387.78"/>
    <s v="845 150 323.15"/>
    <s v="169 030 064.63"/>
    <s v="нет"/>
    <s v="нет"/>
    <s v=""/>
    <s v=""/>
    <s v=""/>
    <s v=""/>
    <s v="нет"/>
  </r>
  <r>
    <s v="Газпромнефть-ГЕО, ООО"/>
    <s v=""/>
    <s v="Проект"/>
    <s v=""/>
    <s v=""/>
    <x v="58"/>
    <s v=""/>
    <s v=""/>
    <s v=""/>
    <s v=""/>
    <s v="Нетиповой ДД"/>
    <x v="1"/>
    <s v=""/>
    <s v="00566-21"/>
    <s v=""/>
    <s v=""/>
    <s v=""/>
    <s v="Евстигнеев В.А."/>
    <s v="Евстигнеев В.А."/>
    <s v="Договорный документ"/>
    <s v="Управление производственной безопасности"/>
    <s v="Масалкин Ю.В."/>
    <s v=""/>
    <s v="С ограничением по срокам "/>
    <d v="2021-08-23T00:00:00"/>
    <d v="2024-12-31T00:00:00"/>
    <s v=""/>
    <s v=""/>
    <s v=""/>
    <s v=""/>
    <s v=""/>
    <s v=""/>
    <s v=""/>
    <s v=""/>
    <s v=""/>
    <s v=""/>
    <s v="нет"/>
    <s v="нет"/>
    <s v=""/>
    <s v=""/>
    <s v=""/>
    <s v=""/>
    <s v="нет"/>
  </r>
  <r>
    <s v="Газпромнефть-ГЕО, ООО"/>
    <s v="0000037846"/>
    <s v="Зарегистрирован"/>
    <d v="2022-07-01T00:00:00"/>
    <s v=""/>
    <x v="26"/>
    <s v="8905032518"/>
    <s v=""/>
    <s v="ГЕО-22/09000/00169/Р"/>
    <s v="ГЕО-22/09000/00169/Р"/>
    <s v="Нетиповой ДД"/>
    <x v="2"/>
    <s v=""/>
    <s v="00566-22"/>
    <s v=""/>
    <s v="Договор оказания телекоммуникационных услуг"/>
    <s v="Оказание телекоммуникационных услуг на ЛУ проекта &quot;Южный Оренбург&quot;"/>
    <s v="Сорокин И.М."/>
    <s v="Сорокин И.М."/>
    <s v="Договорный документ"/>
    <s v="Блок геологии и разработки"/>
    <s v="Аксенов М.А."/>
    <s v="На бумажном носителе"/>
    <s v="С ограничением по срокам "/>
    <d v="2022-07-01T00:00:00"/>
    <d v="2024-12-31T00:00:00"/>
    <s v="Д-54"/>
    <s v="Договор возмездного оказания услуг"/>
    <s v="Расходная часть"/>
    <s v="Стоимостной"/>
    <s v="20%"/>
    <s v=""/>
    <s v=""/>
    <s v="6 648 233.23"/>
    <s v="5 540 194.36"/>
    <s v="1 108 038.87"/>
    <s v="нет"/>
    <s v="нет"/>
    <s v=""/>
    <s v=""/>
    <s v=""/>
    <s v=""/>
    <s v="нет"/>
  </r>
  <r>
    <s v="Газпромнефть-ГЕО, ООО"/>
    <s v="0000084590"/>
    <s v="Зарегистрирован"/>
    <d v="2023-10-29T00:00:00"/>
    <s v=""/>
    <x v="61"/>
    <s v="7708277130"/>
    <s v="ГЕО-23/09000/00149/Р"/>
    <s v=""/>
    <s v="5"/>
    <s v="Нетиповой ДД"/>
    <x v="7"/>
    <s v=""/>
    <s v="00566-23"/>
    <s v=""/>
    <s v="Заявка № 5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на Проект «Оморинский», Камовский ЛУ (скв.4 Кам)"/>
    <s v="Фокин Е.В."/>
    <s v="Фокин Е.В."/>
    <s v="Договорный документ"/>
    <s v="Управление производственной безопасности"/>
    <s v="Михайлов Ю.А."/>
    <s v="ЭП"/>
    <s v="С ограничением по срокам "/>
    <d v="2023-10-29T00:00:00"/>
    <d v="2023-12-10T00:00:00"/>
    <s v="Д-2"/>
    <s v="Договор возмездного оказания услуг"/>
    <s v="Расходная часть"/>
    <s v="Рамочный"/>
    <s v="20%"/>
    <s v=""/>
    <s v=""/>
    <s v="1 685 539.91"/>
    <s v="1 404 616.59"/>
    <s v="280 923.32"/>
    <s v="нет"/>
    <s v="нет"/>
    <s v=""/>
    <s v=""/>
    <s v=""/>
    <s v=""/>
    <s v="нет"/>
  </r>
  <r>
    <s v="Газпромнефть-ГЕО, ООО"/>
    <s v="0000097250"/>
    <s v="Зарегистрирован"/>
    <d v="2021-07-22T00:00:00"/>
    <s v=""/>
    <x v="373"/>
    <s v="7203225690"/>
    <s v=""/>
    <s v="ГЕО-21/26000/00187"/>
    <s v="ГЕО-21/26000/00187"/>
    <s v="Типовой ДД"/>
    <x v="1"/>
    <s v="26000 Соглашение о конфиденциальности с российским контрагентом"/>
    <s v="00567-21"/>
    <s v=""/>
    <s v="26000 Соглашение о конфиденциальности с российским контрагентом"/>
    <s v="В целях возможной передачи конфиденциальной информации в ходе проведения изыскательских работ для нужд ООО &quot;ГПН-ГЕО&quot;"/>
    <s v="Григоренко Е.А."/>
    <s v="Григоренко Е.А."/>
    <s v="Договорный документ"/>
    <s v="Управление проектно-изыскательских работ"/>
    <s v="Перфильев Д.А."/>
    <s v="На бумажном носителе"/>
    <s v="До исполнения обязательств"/>
    <d v="2021-07-22T00:00:00"/>
    <s v=""/>
    <s v="Д-22"/>
    <s v="Соглашение о конфиденциальности"/>
    <s v="Не предполагает взаиморасчетов"/>
    <s v=""/>
    <s v=""/>
    <s v=""/>
    <s v=""/>
    <s v=""/>
    <s v=""/>
    <s v=""/>
    <s v="нет"/>
    <s v="нет"/>
    <s v=""/>
    <s v=""/>
    <s v=""/>
    <s v=""/>
    <s v="нет"/>
  </r>
  <r>
    <s v="Газпромнефть-ГЕО, ООО"/>
    <s v="0000065735"/>
    <s v="Зарегистрирован"/>
    <d v="2022-06-21T00:00:00"/>
    <s v=""/>
    <x v="200"/>
    <s v="0274095068"/>
    <s v="№ ГЕО-19/11019/00145/Р "/>
    <s v=""/>
    <s v="8"/>
    <s v="Типовой ДД"/>
    <x v="3"/>
    <s v="11018, 11019, 11020, 11021, 11022  Наряд-заказ к Договору (рамочному) на выполнение  работ по услугам &quot;Капитальное строительство и ПИР&quot;"/>
    <s v="00567-22"/>
    <s v=""/>
    <s v="11018, 11019, 11020, 11021, 11022  Наряд-заказ к Договору (рамочному) на выполнение  работ по услугам &quot;Капитальное строительство и ПИР&quot;"/>
    <s v="Выполнение проектных работ по объекту «Строительство поисковой скважины Сал-3П Салаирской площади Омор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6-21T00:00:00"/>
    <d v="2022-12-30T00:00:00"/>
    <s v="Д-61"/>
    <s v="Капитальное строительство и ПИР"/>
    <s v="Расходная часть"/>
    <s v="Рамочный"/>
    <s v="20%"/>
    <s v=""/>
    <s v=""/>
    <s v="7 495 313.87"/>
    <s v="6 246 094.89"/>
    <s v="1 249 218.98"/>
    <s v="нет"/>
    <s v="нет"/>
    <s v=""/>
    <s v=""/>
    <s v=""/>
    <s v=""/>
    <s v="нет"/>
  </r>
  <r>
    <s v="Газпромнефть-ГЕО, ООО"/>
    <s v=""/>
    <s v="Проект"/>
    <s v=""/>
    <s v=""/>
    <x v="58"/>
    <s v=""/>
    <s v=""/>
    <s v=""/>
    <s v=""/>
    <s v="Типовой ДД"/>
    <x v="0"/>
    <s v="ДС по актуализации методологии оценки эффективности деятельности контрагентов и мотивации в области ПБ в действующих договорах"/>
    <s v="00567-23"/>
    <s v=""/>
    <s v="ДС по актуализации методологии оценки эффективности деятельности контрагентов и мотивации в области ПБ в действующих договорах"/>
    <s v=""/>
    <s v="Ушакова М.А."/>
    <s v=""/>
    <s v="Договорный документ"/>
    <s v="Отдел экологической безопасности"/>
    <s v=""/>
    <s v=""/>
    <s v=""/>
    <s v=""/>
    <s v=""/>
    <s v=""/>
    <s v=""/>
    <s v=""/>
    <s v=""/>
    <s v=""/>
    <s v=""/>
    <s v=""/>
    <s v=""/>
    <s v=""/>
    <s v=""/>
    <s v="нет"/>
    <s v="нет"/>
    <s v=""/>
    <s v=""/>
    <s v=""/>
    <s v=""/>
    <s v="нет"/>
  </r>
  <r>
    <s v="Газпромнефть-ГЕО, ООО"/>
    <s v="0000118342"/>
    <s v="Зарегистрирован"/>
    <d v="2024-10-01T00:00:00"/>
    <s v=""/>
    <x v="374"/>
    <s v="563903290160"/>
    <s v=""/>
    <s v="ГЕО-24/04300/00159/Р"/>
    <s v="ГЕО-24/04300/00159/Р"/>
    <s v="Нетиповой ДД"/>
    <x v="2"/>
    <s v=""/>
    <s v="00567-24"/>
    <s v=""/>
    <s v="Договор субаренды земельного участка"/>
    <s v="для строительства промышленных и иных объектов, в том числе (но не ограничиваясь) для размещения бурового оборудования при бурении поисково-оценочной скважины 201 Надежд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4-10-01T00:00:00"/>
    <d v="2025-09-01T00:00:00"/>
    <s v="Д-82"/>
    <s v="Договор аренды недвижимости"/>
    <s v="Расходная часть"/>
    <s v="Стоимостной"/>
    <s v="20%"/>
    <s v=""/>
    <s v=""/>
    <s v="603 900.00"/>
    <s v="503 250.00"/>
    <s v="100 650.00"/>
    <s v="нет"/>
    <s v="нет"/>
    <s v=""/>
    <s v=""/>
    <s v=""/>
    <s v=""/>
    <s v="нет"/>
  </r>
  <r>
    <s v="Газпромнефть-ГЕО, ООО"/>
    <s v="0000067067"/>
    <s v="Зарегистрирован"/>
    <d v="2021-08-23T00:00:00"/>
    <s v=""/>
    <x v="24"/>
    <s v="7816483740"/>
    <s v=""/>
    <s v="ГЕО-21/00000/00191"/>
    <s v="ГЕО-21/00000/00191"/>
    <s v="Нетиповой ДД"/>
    <x v="1"/>
    <s v=""/>
    <s v="00568-21"/>
    <s v=""/>
    <s v="Соглашение о взаимодействии в области охраны здоровья"/>
    <s v="Заключение соглашения о взаимодействии в области охраны здоровья."/>
    <s v="Евстигнеев В.А."/>
    <s v="Евстигнеев В.А."/>
    <s v="Договорный документ"/>
    <s v="Управление производственной безопасности"/>
    <s v="Масалкин Ю.В."/>
    <s v="На бумажном носителе"/>
    <s v="С ограничением по срокам "/>
    <d v="2021-08-23T00:00:00"/>
    <d v="2024-12-31T00:00:00"/>
    <s v=""/>
    <s v="ПРОЧИЕ ДОГОВОРЫ"/>
    <s v="Не предполагает взаиморасчетов"/>
    <s v=""/>
    <s v=""/>
    <s v=""/>
    <s v=""/>
    <s v=""/>
    <s v=""/>
    <s v=""/>
    <s v="нет"/>
    <s v="нет"/>
    <s v=""/>
    <s v=""/>
    <s v=""/>
    <s v=""/>
    <s v="нет"/>
  </r>
  <r>
    <s v="Газпромнефть-ГЕО, ООО"/>
    <s v="0000050630"/>
    <s v="Зарегистрирован"/>
    <d v="2022-05-27T00:00:00"/>
    <s v=""/>
    <x v="329"/>
    <s v="8910002621"/>
    <s v=""/>
    <s v="ГЕО-22/33200/00142"/>
    <s v="ГЕО-22/33200/00142"/>
    <s v="Типовой ДД"/>
    <x v="1"/>
    <s v="33200 Соглашение об электронном документообороте"/>
    <s v="00568-22"/>
    <s v=""/>
    <s v="33200 Соглашение об электронном документообороте"/>
    <s v="Соглашение об использовании электронного документооборота"/>
    <s v="Паркина И.А."/>
    <s v="Паркина И.А."/>
    <s v="Договорный документ"/>
    <s v="Отдел подготовительных работ и экономического анализа"/>
    <s v="Николаев М.Н."/>
    <s v="На бумажном носителе"/>
    <s v="Без сроков "/>
    <d v="2022-05-27T00:00:00"/>
    <s v=""/>
    <s v="Д-57"/>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Проект"/>
    <s v=""/>
    <s v=""/>
    <x v="58"/>
    <s v=""/>
    <s v=""/>
    <s v=""/>
    <s v=""/>
    <s v="Типовой ДД"/>
    <x v="0"/>
    <s v="ДС по актуализации методологии оценки эффективности деятельности контрагентов и мотивации в области ПБ в действующих договорах"/>
    <s v="00568-23"/>
    <s v=""/>
    <s v="ДС по актуализации методологии оценки эффективности деятельности контрагентов и мотивации в области ПБ в действующих договорах"/>
    <s v=""/>
    <s v="Усламин Д.В."/>
    <s v=""/>
    <s v="Договорный документ"/>
    <s v="Отдел экологической безопасности"/>
    <s v=""/>
    <s v=""/>
    <s v=""/>
    <s v=""/>
    <s v=""/>
    <s v=""/>
    <s v=""/>
    <s v=""/>
    <s v=""/>
    <s v=""/>
    <s v=""/>
    <s v=""/>
    <s v=""/>
    <s v=""/>
    <s v=""/>
    <s v="нет"/>
    <s v="нет"/>
    <s v=""/>
    <s v=""/>
    <s v=""/>
    <s v=""/>
    <s v="нет"/>
  </r>
  <r>
    <s v="Газпромнефть-ГЕО, ООО"/>
    <s v="0000109980"/>
    <s v="Обработка результатов согласования"/>
    <s v=""/>
    <s v=""/>
    <x v="335"/>
    <s v="7838112072"/>
    <s v=""/>
    <s v=""/>
    <s v=""/>
    <s v="Нетиповой ДД"/>
    <x v="2"/>
    <s v=""/>
    <s v="00568-24"/>
    <s v=""/>
    <s v=" Договор на выполнение работ между АО «Инжиниринговый центр «Кронштадт» и ООО «ГПН-ГЕО»"/>
    <s v="В целях обеспечения эффективности процесса закупки работ по анализу и исследованию ЗИП, разработке Конструкторской документации на ЗИП и изготовлению и поставке Готового экземпляра ЗИП, а также в рамках исполнения поручения Комитета по бизнес-инжинирингу, согласно Протоколу КомБИ от 14.11.2023 г."/>
    <s v="Васильева А.И."/>
    <s v="Нежальских В.А."/>
    <s v="Договорный документ"/>
    <s v="Блок снабжения и закупок"/>
    <s v="Титов А.В."/>
    <s v="ЭП"/>
    <s v="С ограничением по срокам "/>
    <d v="2024-09-30T00:00:00"/>
    <d v="2025-12-31T00:00:00"/>
    <s v="Д-47"/>
    <s v="Договор возмездного оказания услуг"/>
    <s v="Расходная часть"/>
    <s v="Рамочный"/>
    <s v="20%"/>
    <s v=""/>
    <s v=""/>
    <s v="1 500 000.00"/>
    <s v="1 250 000.00"/>
    <s v="250 000.00"/>
    <s v="нет"/>
    <s v="нет"/>
    <s v=""/>
    <s v=""/>
    <s v=""/>
    <s v=""/>
    <s v="нет"/>
  </r>
  <r>
    <s v="Газпромнефть-ГЕО, ООО"/>
    <s v="0000087129"/>
    <s v="Закрыт"/>
    <d v="2021-08-11T00:00:00"/>
    <s v=""/>
    <x v="375"/>
    <s v="5020039654"/>
    <s v=""/>
    <s v="ГЕО-21/09000/00192/Р"/>
    <s v="ГЕО-21/09000/00192/Р"/>
    <s v="Нетиповой ДД"/>
    <x v="2"/>
    <s v=""/>
    <s v="00569-21"/>
    <s v=""/>
    <s v="Оказание услуги  по организации участия представителей ООО &quot;ГПН-ГЕО&quot; во ВНОТ"/>
    <s v="Участие во всеросийской неделе охраны труда."/>
    <s v="Евстигнеев В.А."/>
    <s v="Евстигнеев В.А."/>
    <s v="Договорный документ"/>
    <s v="Управление производственной безопасности"/>
    <s v="Игнатова Ю.В."/>
    <s v="На бумажном носителе"/>
    <s v="С ограничением по срокам "/>
    <d v="2021-08-11T00:00:00"/>
    <d v="2021-10-30T00:00:00"/>
    <s v="Д-30"/>
    <s v="Договор возмездного оказания услуг"/>
    <s v="Расходная часть"/>
    <s v="Стоимостной"/>
    <s v="без НДС"/>
    <s v=""/>
    <s v=""/>
    <s v="90 000.00"/>
    <s v="90 000.00"/>
    <n v="0"/>
    <s v="нет"/>
    <s v="нет"/>
    <s v=""/>
    <s v=""/>
    <s v=""/>
    <s v=""/>
    <s v="нет"/>
  </r>
  <r>
    <s v="Газпромнефть-ГЕО, ООО"/>
    <s v="0000066314"/>
    <s v="Зарегистрирован"/>
    <d v="2023-10-30T00:00:00"/>
    <s v=""/>
    <x v="74"/>
    <s v="7202242358"/>
    <s v="АНГ-19/11513/00010/Р"/>
    <s v=""/>
    <s v="6"/>
    <s v="Типовой ДД"/>
    <x v="0"/>
    <s v="ДС по актуализации методологии оценки эффективности деятельности контрагентов и мотивации в области ПБ в действующих договорах"/>
    <s v="00569-23"/>
    <s v=""/>
    <s v="ДС №6 по актуализации методологии оценки эффективности деятельности контрагентов и мотивации в области ПБ в действующих договорах"/>
    <s v="Исполнение приказа №113-П от 20.10.2023, для актуализации оценки эффективности деятельности КА"/>
    <s v="Титаева И.А."/>
    <s v=""/>
    <s v="Договорный документ"/>
    <s v="Управление маркшейдерско-землеустроительных работ"/>
    <s v="Трифонов А.В."/>
    <s v="ЭП"/>
    <s v="С ограничением по срокам "/>
    <d v="2023-10-30T00:00:00"/>
    <d v="2024-12-31T00:00:00"/>
    <s v="Д-33"/>
    <s v="Договор возмездного оказания услуг"/>
    <s v="Не предполагает взаиморасчетов"/>
    <s v=""/>
    <s v=""/>
    <s v=""/>
    <s v=""/>
    <s v=""/>
    <s v=""/>
    <s v=""/>
    <s v="нет"/>
    <s v="нет"/>
    <s v=""/>
    <s v=""/>
    <s v=""/>
    <s v=""/>
    <s v="нет"/>
  </r>
  <r>
    <s v="Газпромнефть-ГЕО, ООО"/>
    <s v="0000118342"/>
    <s v="Зарегистрирован"/>
    <d v="2024-10-01T00:00:00"/>
    <s v=""/>
    <x v="374"/>
    <s v="563903290160"/>
    <s v=""/>
    <s v="ГЕО-24/04300/00158/Р"/>
    <s v="ГЕО-24/04300/00158/Р"/>
    <s v="Нетиповой ДД"/>
    <x v="2"/>
    <s v=""/>
    <s v="00569-24"/>
    <s v=""/>
    <s v="Договор аренды земельного участка"/>
    <s v="для строительства промышленных и иных объектов, в том числе (но не ограничиваясь) для размещения бурового оборудования при бурении поисково-оценочной скважины 201 Надежд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4-10-01T00:00:00"/>
    <d v="2025-09-01T00:00:00"/>
    <s v="Д-82"/>
    <s v="Договор аренды недвижимости"/>
    <s v="Расходная часть"/>
    <s v="Стоимостной"/>
    <s v="20%"/>
    <s v=""/>
    <s v=""/>
    <s v="1 646 700.00"/>
    <s v="1 372 250.00"/>
    <s v="274 450.00"/>
    <s v="нет"/>
    <s v="нет"/>
    <s v=""/>
    <s v=""/>
    <s v=""/>
    <s v=""/>
    <s v="нет"/>
  </r>
  <r>
    <s v="Газпромнефть-ГЕО, ООО"/>
    <s v="0000097250"/>
    <s v="Зарегистрирован"/>
    <d v="2021-08-24T00:00:00"/>
    <s v=""/>
    <x v="373"/>
    <s v="7203225690"/>
    <s v=""/>
    <s v="ГЕО-21/00000/00190"/>
    <s v="ГЕО-21/00000/00190"/>
    <s v="Типовой ДД"/>
    <x v="1"/>
    <s v="00000 Соглашение об электронном документообороте"/>
    <s v="00570-21"/>
    <s v=""/>
    <s v="00000 Соглашение об электронном документообороте"/>
    <s v="Переход на электронный документооборот"/>
    <s v="Григоренко Е.А."/>
    <s v="Григоренко Е.А."/>
    <s v="Договорный документ"/>
    <s v="Управление проектно-изыскательских работ"/>
    <s v="Перфильев Д.А."/>
    <s v="На бумажном носителе"/>
    <s v="До исполнения обязательств"/>
    <d v="2021-08-24T00:00:00"/>
    <s v=""/>
    <s v="Д-22"/>
    <s v="ПРОЧИЕ ДОГОВОРЫ"/>
    <s v="Не предполагает взаиморасчетов"/>
    <s v=""/>
    <s v=""/>
    <s v=""/>
    <s v=""/>
    <s v=""/>
    <s v=""/>
    <s v=""/>
    <s v="нет"/>
    <s v="нет"/>
    <s v=""/>
    <s v=""/>
    <s v=""/>
    <s v=""/>
    <s v="нет"/>
  </r>
  <r>
    <s v="Газпромнефть-ГЕО, ООО"/>
    <s v="0000047853"/>
    <s v="Зарегистрирован"/>
    <d v="2022-07-01T00:00:00"/>
    <s v=""/>
    <x v="376"/>
    <s v="7812014560"/>
    <s v=""/>
    <s v="ГЕО-22/33200/00158"/>
    <s v="ГЕО-22/33200/00158"/>
    <s v="Нетиповой ДД"/>
    <x v="1"/>
    <s v=""/>
    <s v="00570-22"/>
    <s v=""/>
    <s v="Соглашение об электронном документообороте"/>
    <s v="Переход на ЭДО"/>
    <s v="Сорокин И.М."/>
    <s v=""/>
    <s v="Договорный документ"/>
    <s v="Блок геологии и разработки"/>
    <s v="Аксенов М.А."/>
    <s v="На бумажном носителе"/>
    <s v="Без сроков "/>
    <d v="2022-07-01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7108"/>
    <s v="Зарегистрирован"/>
    <d v="2023-10-01T00:00:00"/>
    <s v=""/>
    <x v="19"/>
    <s v="3245502148"/>
    <s v="ГЕО-20/09000/00182/Д"/>
    <s v=""/>
    <s v="6"/>
    <s v="Нетиповой ДД"/>
    <x v="0"/>
    <s v=""/>
    <s v="00570-23"/>
    <s v=""/>
    <s v="Дополнительное соглашение №6 к операторскому договору № ГЕО-20/09000/00182/Д"/>
    <s v="Внести изменения в части закрытия ЭД"/>
    <s v="Андреева И.В."/>
    <s v="Андреева И.В."/>
    <s v="Договорный документ"/>
    <s v="Кластер &quot;Традиционные запасы&quot;"/>
    <s v="Николаев М.Н."/>
    <s v="ЭП"/>
    <s v="До исполнения обязательств"/>
    <d v="2023-10-01T00:00:00"/>
    <s v=""/>
    <s v="Д-57"/>
    <s v="Договор возмездного оказания услуг"/>
    <s v="Не предполагает взаиморасчетов"/>
    <s v=""/>
    <s v=""/>
    <s v=""/>
    <s v=""/>
    <s v=""/>
    <s v=""/>
    <s v=""/>
    <s v="нет"/>
    <s v="нет"/>
    <s v=""/>
    <s v=""/>
    <s v=""/>
    <s v=""/>
    <s v="нет"/>
  </r>
  <r>
    <s v="Газпромнефть-ГЕО, ООО"/>
    <s v="0000076851"/>
    <s v="Зарегистрирован"/>
    <d v="2024-09-20T00:00:00"/>
    <s v=""/>
    <x v="48"/>
    <s v="2466091092"/>
    <s v="ГЕО-22/11000/00274/Р"/>
    <s v=""/>
    <s v="10"/>
    <s v="Нетиповой ДД"/>
    <x v="3"/>
    <s v=""/>
    <s v="00570-24"/>
    <s v=""/>
    <s v="Наряд-заказ №10 от 20.09.2024г. к Договору № ГЕО-22/11000/00274/Р от 14.10.2022г."/>
    <s v="На проведение авторского надзора за строительством"/>
    <s v="Шолохова И.А."/>
    <s v=""/>
    <s v="Договорный документ"/>
    <s v="Управление проектно-изыскательских работ"/>
    <s v="Трифонов А.В."/>
    <s v="ЭП"/>
    <s v="С ограничением по срокам "/>
    <d v="2024-09-20T00:00:00"/>
    <d v="2025-09-30T00:00:00"/>
    <s v="Д-45"/>
    <s v="Капитальное строительство и ПИР"/>
    <s v="Расходная часть"/>
    <s v="Рамочный"/>
    <s v="20%"/>
    <s v=""/>
    <s v=""/>
    <s v="3 823 117.97"/>
    <s v="3 185 931.64"/>
    <s v="637 186.33"/>
    <s v="нет"/>
    <s v="нет"/>
    <s v=""/>
    <s v=""/>
    <s v=""/>
    <s v=""/>
    <s v="нет"/>
  </r>
  <r>
    <s v="Газпромнефть-ГЕО, ООО"/>
    <s v="0000039295"/>
    <s v="Зарегистрирован"/>
    <d v="2021-08-10T00:00:00"/>
    <s v=""/>
    <x v="90"/>
    <s v="8618006063"/>
    <s v="ГЕО-20/00000/00196/Д"/>
    <s v=""/>
    <s v="1"/>
    <s v="Нетиповой ДД"/>
    <x v="0"/>
    <s v=""/>
    <s v="00571-21"/>
    <s v=""/>
    <s v="ДС №1 к договору о выполнении операторских работ и об оказании операторских услуг"/>
    <s v="Корректировка объема работ в соответствии с фактическим выполнением"/>
    <s v="Андреева И.В."/>
    <s v="Коротков С.П."/>
    <s v="Договорный документ"/>
    <s v="Управление экономического планирования и анализа"/>
    <s v="Аксенов М.А."/>
    <s v="На бумажном носителе"/>
    <s v="С ограничением по срокам "/>
    <d v="2021-08-10T00:00:00"/>
    <d v="2022-12-31T00:00:00"/>
    <s v="Д-3"/>
    <s v="ПРОЧИЕ ДОГОВОРЫ"/>
    <s v="Доходная часть"/>
    <s v="Стоимостной"/>
    <s v="20%"/>
    <s v=""/>
    <s v=""/>
    <s v="935 383 632.25"/>
    <s v="779 486 360.21"/>
    <s v="155 897 272.04"/>
    <s v="нет"/>
    <s v="нет"/>
    <s v=""/>
    <s v=""/>
    <s v=""/>
    <s v=""/>
    <s v="нет"/>
  </r>
  <r>
    <s v="Газпромнефть-ГЕО, ООО"/>
    <s v="0000106378"/>
    <s v="Зарегистрирован"/>
    <d v="2023-11-17T00:00:00"/>
    <s v=""/>
    <x v="377"/>
    <s v="7714458367"/>
    <s v=""/>
    <s v="ГЕО-23/01200/00190/Р"/>
    <s v="ГЕО-23/01200/00190/Р"/>
    <s v="Нетиповой ДД"/>
    <x v="2"/>
    <s v=""/>
    <s v="00571-23"/>
    <s v=""/>
    <s v="Договор купли-продажи подарочных карт "/>
    <s v="Заключение  договора на поставку подарочных универсальных карт в детские магазины в качестве Новогоднего подарка для детей сотрудников ООО &quot;ГПН-ГЕО&quot;"/>
    <s v="Лесняк Н.А."/>
    <s v="Лесняк Н.А."/>
    <s v="Договорный документ"/>
    <s v="Управление материально-технического обеспечения, транспортного обеспечения и сопутствующих сервисов"/>
    <s v="Буракова О.В."/>
    <s v="ЭП"/>
    <s v="С ограничением по срокам "/>
    <d v="2023-11-13T00:00:00"/>
    <d v="2024-12-31T00:00:00"/>
    <s v="Д-33"/>
    <s v="Договор поставки/купли продажи движимого имущества"/>
    <s v="Расходная часть"/>
    <s v="Стоимостной"/>
    <s v="без НДС"/>
    <s v=""/>
    <s v="646269"/>
    <s v="646 269.00"/>
    <s v="646 269.00"/>
    <n v="0"/>
    <s v="да"/>
    <s v="нет"/>
    <s v=""/>
    <s v=""/>
    <s v=""/>
    <s v=""/>
    <s v="нет"/>
  </r>
  <r>
    <s v="Газпромнефть-ГЕО, ООО"/>
    <s v="0000118319"/>
    <s v="Зарегистрирован"/>
    <d v="2024-10-01T00:00:00"/>
    <s v=""/>
    <x v="378"/>
    <s v="563902816926"/>
    <s v=""/>
    <s v="ГЕО-24/40000/00162/Р"/>
    <s v="ГЕО-24/40000/00162/Р"/>
    <s v="Нетиповой ДД"/>
    <x v="1"/>
    <s v=""/>
    <s v="00571-24"/>
    <s v=""/>
    <s v="Соглашение об установлении сервитута земельного участка"/>
    <s v="для размещения подъездного пути при бурении поисково-оценочной скважины 201 Надеждинск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4-09-24T00:00:00"/>
    <s v=""/>
    <s v="Д-82"/>
    <s v="Соглашение о сервитуте"/>
    <s v="Расходная часть"/>
    <s v="Стоимостной"/>
    <s v="13%"/>
    <s v=""/>
    <s v=""/>
    <s v="352 000.00"/>
    <s v="306 240.00"/>
    <s v="45 760.00"/>
    <s v="нет"/>
    <s v="нет"/>
    <s v=""/>
    <s v=""/>
    <s v=""/>
    <s v=""/>
    <s v="нет"/>
  </r>
  <r>
    <s v="Газпромнефть-ГЕО, ООО"/>
    <s v="0000045789"/>
    <s v="Зарегистрирован"/>
    <d v="2021-09-01T00:00:00"/>
    <s v=""/>
    <x v="16"/>
    <s v="7838395487"/>
    <s v="№ГЕО-20/11708/00047/Р//НТЦ-20/08000/00383/Д-ГЕО"/>
    <s v=""/>
    <s v="НТЦ-1717-21Д-ГЕО"/>
    <s v="Нетиповой ДД"/>
    <x v="3"/>
    <s v=""/>
    <s v="00572-21"/>
    <s v=""/>
    <s v="НТЦ-1717-21Д-ГЕО"/>
    <s v="Разработка предварительной концепции наземного обустройства по крупному проекту ГРР &quot;Оморинский&quot;"/>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1-09-01T00:00:00"/>
    <d v="2021-10-31T00:00:00"/>
    <s v="Д-2"/>
    <s v="НИОКР, НИР прочие"/>
    <s v="Расходная часть"/>
    <s v="Рамочный"/>
    <s v="20%"/>
    <s v=""/>
    <s v=""/>
    <s v="5 382 000.00"/>
    <s v="4 485 000.00"/>
    <s v="897 000.00"/>
    <s v="нет"/>
    <s v="нет"/>
    <s v=""/>
    <s v=""/>
    <s v=""/>
    <s v=""/>
    <s v="нет"/>
  </r>
  <r>
    <s v="Газпромнефть-ГЕО, ООО"/>
    <s v="0000074810"/>
    <s v="Зарегистрирован"/>
    <d v="2023-11-01T00:00:00"/>
    <s v=""/>
    <x v="211"/>
    <s v="7714372367"/>
    <s v=""/>
    <s v="ГЕО-23/33200/00174"/>
    <s v="ГЕО-23/33200/00174"/>
    <s v="Типовой ДД"/>
    <x v="1"/>
    <s v="33200 Соглашение об электронном документообороте"/>
    <s v="00572-23"/>
    <s v=""/>
    <s v="33200 Соглашение об электронном документообороте"/>
    <s v="Соглашение заключается с целью обмена электронными документами"/>
    <s v="Коваленко М.В."/>
    <s v="Аксенов М.А."/>
    <s v="Договорный документ"/>
    <s v="Блок геологии и разработки"/>
    <s v="Шакирзянов Л.Н."/>
    <s v="На бумажном носителе"/>
    <s v="До исполнения обязательств"/>
    <d v="2023-11-01T00:00:00"/>
    <s v=""/>
    <s v="Д-20"/>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4590"/>
    <s v="Зарегистрирован"/>
    <d v="2024-10-02T00:00:00"/>
    <s v=""/>
    <x v="61"/>
    <s v="7708277130"/>
    <s v="ГЕО-23/09000/00149/Р"/>
    <s v=""/>
    <s v="29"/>
    <s v="Нетиповой ДД"/>
    <x v="7"/>
    <s v=""/>
    <s v="00572-24"/>
    <s v=""/>
    <s v="Заявка № 29 к договору о предоставлении труда работников (персонала) № ГЕО-23/09000/00149/Р от 28.08.2023 г."/>
    <s v="Заключение Заявки № 29 на привлечение супервайзера по производственной безопасности в сейсморазведке на Южно-Ямской площади (СРР ООО «СПД») в рамках договора № ГЕО-23/09000/00149/Р от «28» августа 2023 г. со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
    <s v="Подколзин А.С."/>
    <s v="Подколзин А.С."/>
    <s v="Договорный документ"/>
    <s v="Управление производственной безопасности"/>
    <s v="Ядрышников П.Н."/>
    <s v="ЭП"/>
    <s v="С ограничением по срокам "/>
    <d v="2024-10-02T00:00:00"/>
    <d v="2024-11-20T00:00:00"/>
    <s v="Д-32"/>
    <s v="Договор возмездного оказания услуг"/>
    <s v="Расходная часть"/>
    <s v="Рамочный"/>
    <s v="20%"/>
    <s v=""/>
    <s v=""/>
    <s v="1 017 191.68"/>
    <s v="847 659.73"/>
    <s v="169 531.95"/>
    <s v="нет"/>
    <s v="нет"/>
    <s v=""/>
    <s v=""/>
    <s v=""/>
    <s v=""/>
    <s v="нет"/>
  </r>
  <r>
    <s v="Газпромнефть-ГЕО, ООО"/>
    <s v="0000039295"/>
    <s v="Обработка результатов согласования"/>
    <s v=""/>
    <s v=""/>
    <x v="90"/>
    <s v="8618006063"/>
    <s v=""/>
    <s v=""/>
    <s v=""/>
    <s v="Нетиповой ДД"/>
    <x v="1"/>
    <s v=""/>
    <s v="00573-21"/>
    <s v=""/>
    <s v="Соглашение в области производственной безопасности (ПБ)"/>
    <s v="Соглашение в области производственной безопасности (ПБ)"/>
    <s v="Андреева И.В."/>
    <s v="Метелкин Д.В."/>
    <s v="Договорный документ"/>
    <s v="Управление экономического планирования и анализа"/>
    <s v="Волков Г.В."/>
    <s v="На бумажном носителе"/>
    <s v="Без сроков "/>
    <d v="2021-07-21T00:00:00"/>
    <s v=""/>
    <s v=""/>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106378"/>
    <s v="Зарегистрирован"/>
    <d v="2023-11-17T00:00:00"/>
    <s v=""/>
    <x v="377"/>
    <s v="7714458367"/>
    <s v=""/>
    <s v="ГЕО-23/33200/00191"/>
    <s v="ГЕО-23/33200/00191"/>
    <s v="Типовой ДД"/>
    <x v="1"/>
    <s v="33200 Соглашение об электронном документообороте"/>
    <s v="00573-23"/>
    <s v=""/>
    <s v="33200 Соглашение об электронном документообороте"/>
    <s v="Соглашение об электронном документообороте между ООО &quot;ГПН-ГЕО&quot; и ООО &quot;Лоялти сервис&quot;"/>
    <s v="Лесняк Н.А."/>
    <s v="Лесняк Н.А."/>
    <s v="Договорный документ"/>
    <s v="Управление материально-технического обеспечения, транспортного обеспечения и сопутствующих сервисов"/>
    <s v="Ковтун М.А."/>
    <s v="ЭП"/>
    <s v="Без сроков "/>
    <d v="2023-11-13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Обработка результатов согласования"/>
    <s v=""/>
    <s v=""/>
    <x v="379"/>
    <s v=""/>
    <s v=""/>
    <s v=""/>
    <s v=""/>
    <s v="Нетиповой ДД"/>
    <x v="0"/>
    <s v=""/>
    <s v="00573-24"/>
    <s v=""/>
    <s v="13.1. ДС №1 к МДД подряда на бурение в рамках НОМ Проспект_ГПН ННГ_лот №5"/>
    <s v="13.1. ДС №1 к МДД подряда на бурение в рамках НОМ Проспект_ГПН ННГ_лот №5"/>
    <s v="Макаринский Е.Ю."/>
    <s v="Макаринский Е.Ю."/>
    <s v="Договорный документ"/>
    <s v="Блок главного инженера"/>
    <s v="Трифонов А.В."/>
    <s v="На бумажном носителе"/>
    <s v="Без сроков "/>
    <d v="2024-10-01T00:00:00"/>
    <s v=""/>
    <s v="Д-82"/>
    <s v="Договор возмездного оказания услуг"/>
    <s v="Не предполагает взаиморасчетов"/>
    <s v=""/>
    <s v=""/>
    <s v=""/>
    <s v=""/>
    <s v=""/>
    <s v=""/>
    <s v=""/>
    <s v="нет"/>
    <s v="нет"/>
    <s v=""/>
    <s v=""/>
    <s v=""/>
    <s v=""/>
    <s v="нет"/>
  </r>
  <r>
    <s v="Газпромнефть-ГЕО, ООО"/>
    <s v=""/>
    <s v="Проект"/>
    <s v=""/>
    <s v=""/>
    <x v="380"/>
    <s v=""/>
    <s v=""/>
    <s v=""/>
    <s v=""/>
    <s v="Нетиповой ДД"/>
    <x v="2"/>
    <s v=""/>
    <s v="00574-23"/>
    <s v=""/>
    <s v=""/>
    <s v="На выполнение проектно-изыскательских работ, проведение авторского надзора за строительством"/>
    <s v="Шолохова И.А."/>
    <s v="Салахутдинов Р.С."/>
    <s v="Договорный документ"/>
    <s v="Управление проектно-изыскательских работ"/>
    <s v="Трифонов А.В."/>
    <s v="На бумажном носителе"/>
    <s v="До исполнения обязательств"/>
    <s v=""/>
    <s v=""/>
    <s v="Д-33"/>
    <s v="Капитальное строительство и ПИР"/>
    <s v="Расходная часть"/>
    <s v="Рамочный"/>
    <s v="20%"/>
    <s v=""/>
    <s v=""/>
    <s v="6 251 345 724.00"/>
    <s v="5 209 454 770.00"/>
    <s v="1 041 890 954.00"/>
    <s v="нет"/>
    <s v="нет"/>
    <s v=""/>
    <s v=""/>
    <s v=""/>
    <s v=""/>
    <s v="нет"/>
  </r>
  <r>
    <s v="Газпромнефть-ГЕО, ООО"/>
    <s v="0000058271"/>
    <s v="Зарегистрирован"/>
    <d v="2024-10-10T00:00:00"/>
    <d v="2025-12-31T00:00:00"/>
    <x v="42"/>
    <s v="7725696878"/>
    <s v="ГЕО-24/10000/00053/Р"/>
    <s v=""/>
    <s v="1"/>
    <s v="Нетиповой ДД"/>
    <x v="4"/>
    <s v=""/>
    <s v="00574-24"/>
    <s v="2"/>
    <s v="Изменение № 1 к Наряд-заказу № 2 от к договору № ГЕО-24/10000/00053/Р от 18.03.2024"/>
    <s v="Корректировка срока работ в связи с корректировкой срока по генеральному доходному договору_x000a__x000a_Протокол экспертной группы будет приложен позднее"/>
    <s v="Симонова А.Д."/>
    <s v="Останков А.В."/>
    <s v="Договорный документ"/>
    <s v="Проектный офис &quot;Газовый разведчик&quot;"/>
    <s v="Волков Г.В."/>
    <s v="ЭП"/>
    <s v="С ограничением по срокам "/>
    <d v="2024-04-26T00:00:00"/>
    <d v="2025-07-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92348"/>
    <s v="Зарегистрирован"/>
    <d v="2021-10-06T00:00:00"/>
    <s v=""/>
    <x v="381"/>
    <s v="7820332662"/>
    <s v=""/>
    <s v="ГЕО-21/00000/00222"/>
    <s v="ГЕО-21/00000/00222"/>
    <s v="Типовой ДД"/>
    <x v="1"/>
    <s v="00000 Соглашение об электронном документообороте"/>
    <s v="00575-21"/>
    <s v=""/>
    <s v="00000 Соглашение об электронном документообороте"/>
    <s v="Переход на электронный документооборот"/>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1-10-06T00:00:00"/>
    <d v="2022-12-31T00:00:00"/>
    <s v=""/>
    <s v="ПРОЧИЕ ДОГОВОРЫ"/>
    <s v="Не предполагает взаиморасчетов"/>
    <s v=""/>
    <s v=""/>
    <s v=""/>
    <s v=""/>
    <s v=""/>
    <s v=""/>
    <s v=""/>
    <s v="нет"/>
    <s v="нет"/>
    <s v=""/>
    <s v=""/>
    <s v=""/>
    <s v=""/>
    <s v="нет"/>
  </r>
  <r>
    <s v="Газпромнефть-ГЕО, ООО"/>
    <s v="0000048356"/>
    <s v="Зарегистрирован"/>
    <d v="2024-09-30T00:00:00"/>
    <s v=""/>
    <x v="152"/>
    <s v="8601034898"/>
    <s v="ГЕО-22/10000/00144/Р"/>
    <s v=""/>
    <s v="14"/>
    <s v="Нетиповой ДД"/>
    <x v="3"/>
    <s v=""/>
    <s v="00575-24"/>
    <s v=""/>
    <s v="НЗ №14. Защита Югры, ООО к ДД № ГЕО-22/10000/00144/Р от 27.06.2022г. ЮО"/>
    <s v="На оказание услуг в области пожарной безопасности в 2024 году в Приволжском федеральном округе на Корнаваринском лицензионном участке, скважина №342Р."/>
    <s v="Мормышев А.А."/>
    <s v="Белоусов О.В."/>
    <s v="Договорный документ"/>
    <s v="Блок производственной безопасности"/>
    <s v="Михайлов Ю.А."/>
    <s v="ЭП"/>
    <s v="С ограничением по срокам "/>
    <d v="2024-10-01T00:00:00"/>
    <d v="2024-12-31T00:00:00"/>
    <s v="Д-4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 119 139.64"/>
    <s v="1 765 949.70"/>
    <s v="353 189.94"/>
    <s v="нет"/>
    <s v="нет"/>
    <s v=""/>
    <s v=""/>
    <s v=""/>
    <s v=""/>
    <s v="нет"/>
  </r>
  <r>
    <s v="Газпромнефть-ГЕО, ООО"/>
    <s v="0000089597"/>
    <s v="Зарегистрирован"/>
    <d v="2021-12-02T00:00:00"/>
    <s v=""/>
    <x v="155"/>
    <s v="7811455562"/>
    <s v=""/>
    <s v="ГЕО-21/33200/00272"/>
    <s v="ГЕО-21/33200/00272"/>
    <s v="Типовой ДД"/>
    <x v="1"/>
    <s v="33200 Соглашение об электронном документообороте"/>
    <s v="00576-21"/>
    <s v=""/>
    <s v="33200 Соглашение об электронном документообороте"/>
    <s v="Переход на электронный документооборот"/>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1-12-02T00:00:00"/>
    <d v="2022-05-31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7121"/>
    <s v="Зарегистрирован"/>
    <d v="2023-10-23T00:00:00"/>
    <s v=""/>
    <x v="62"/>
    <s v="7202171361"/>
    <s v="ГЕО-22/33100/00252"/>
    <s v=""/>
    <s v="1"/>
    <s v="Типовой ДД"/>
    <x v="0"/>
    <s v="33100 Дополнительное соглашение к Соглашениям в  в области производственной безопасности;"/>
    <s v="00576-23"/>
    <s v=""/>
    <s v="33100 Дополнительное соглашение к Соглашениям в  в области производственной безопасности;"/>
    <s v="Актуализация Соглашения по ПБ во исполнение Приказа №76-П от 24.07.2023"/>
    <s v="Ушакова М.А."/>
    <s v=""/>
    <s v="Договорный документ"/>
    <s v="Блок снабжения и закупок"/>
    <s v="Михайлов Ю.А."/>
    <s v="ЭП"/>
    <s v="До исполнения обязательств"/>
    <d v="2023-10-23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104605"/>
    <s v="Зарегистрирован"/>
    <d v="2024-10-04T00:00:00"/>
    <s v=""/>
    <x v="55"/>
    <s v="9705112341"/>
    <s v="ГЕО-23/10000/00067/Р"/>
    <s v=""/>
    <s v="8"/>
    <s v="Нетиповой ДД"/>
    <x v="0"/>
    <s v=""/>
    <s v="00576-24"/>
    <s v=""/>
    <s v="ДС №8 к Договору №ГЕО-23/10000/00067/Р "/>
    <s v="В целях исполнения решений Комитета по производственной безопасности БРД ПАО «Газпром нефть»"/>
    <s v="Кузьмин Е.А."/>
    <s v="Кузьмин Е.А."/>
    <s v="Договорный документ"/>
    <s v="Управление инжиниринга бурения"/>
    <s v="Трифонов А.В."/>
    <s v="ЭП"/>
    <s v="С ограничением по срокам "/>
    <d v="2024-10-04T00:00:00"/>
    <d v="2025-12-31T00:00:00"/>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0%"/>
    <s v=""/>
    <s v=""/>
    <n v="0"/>
    <n v="0"/>
    <n v="0"/>
    <s v="нет"/>
    <s v="нет"/>
    <s v=""/>
    <s v=""/>
    <s v=""/>
    <s v=""/>
    <s v="нет"/>
  </r>
  <r>
    <s v="Газпромнефть-ГЕО, ООО"/>
    <s v="0000059938"/>
    <s v="Закрыт"/>
    <d v="2021-09-07T00:00:00"/>
    <s v=""/>
    <x v="204"/>
    <s v="3808225339"/>
    <s v=""/>
    <s v="ГЕО-21/00000/00197"/>
    <s v="ГЕО-21/00000/00197"/>
    <s v="Типовой ДД"/>
    <x v="1"/>
    <s v="00000 Соглашение об электронном документообороте"/>
    <s v="00577-21"/>
    <s v=""/>
    <s v="00000 Соглашение об электронном документообороте"/>
    <s v="Переход на электронный документооборот"/>
    <s v="Буракова О.В."/>
    <s v="Буракова О.В."/>
    <s v="Договорный документ"/>
    <s v="Отдел административной поддержки бизнеса"/>
    <s v="Ковтун М.А."/>
    <s v="На бумажном носителе"/>
    <s v="До исполнения обязательств"/>
    <d v="2021-09-07T00:00:00"/>
    <s v=""/>
    <s v="Д-5"/>
    <s v="ПРОЧИЕ ДОГОВОРЫ"/>
    <s v="Не предполагает взаиморасчетов"/>
    <s v=""/>
    <s v=""/>
    <s v=""/>
    <s v=""/>
    <s v=""/>
    <s v=""/>
    <s v=""/>
    <s v="нет"/>
    <s v="нет"/>
    <s v=""/>
    <s v=""/>
    <s v=""/>
    <s v=""/>
    <s v="нет"/>
  </r>
  <r>
    <s v="Газпромнефть-ГЕО, ООО"/>
    <s v="0000066687"/>
    <s v="Зарегистрирован"/>
    <d v="2023-10-30T00:00:00"/>
    <s v=""/>
    <x v="161"/>
    <s v="9909012867"/>
    <s v="ГЕО-22/10000/00179/Р"/>
    <s v=""/>
    <s v="5"/>
    <s v="Нетиповой ДД"/>
    <x v="0"/>
    <s v=""/>
    <s v="00577-23"/>
    <s v=""/>
    <s v="ДС №5 к договору на оказание услуг по освоению скважин через сепарационную установку"/>
    <s v="Цель заключения данного ДС  - освоение и испытание скважин через сепарационную установку"/>
    <s v="Бикташев Р.С."/>
    <s v="Бикташев Р.С."/>
    <s v="Договорный документ"/>
    <s v="Производственно-технологический департамент"/>
    <s v="Трифонов А.В."/>
    <s v="На бумажном носителе"/>
    <s v="С ограничением по срокам "/>
    <d v="2023-10-30T00:00:00"/>
    <d v="2024-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26 179 250.00"/>
    <s v="21 816 041.67"/>
    <s v="4 363 208.33"/>
    <s v="нет"/>
    <s v="нет"/>
    <s v=""/>
    <s v=""/>
    <s v=""/>
    <s v=""/>
    <s v="нет"/>
  </r>
  <r>
    <s v="Газпромнефть-ГЕО, ООО"/>
    <s v="0000118342"/>
    <s v="Зарегистрирован"/>
    <d v="2024-10-01T00:00:00"/>
    <s v=""/>
    <x v="374"/>
    <s v="563903290160"/>
    <s v=""/>
    <s v="ГЕО-24/40000/00161/Р"/>
    <s v="ГЕО-24/40000/00161/Р"/>
    <s v="Нетиповой ДД"/>
    <x v="1"/>
    <s v=""/>
    <s v="00577-24"/>
    <s v=""/>
    <s v="Соглашение об установлении сервитута земельного участка"/>
    <s v="для размещения подъездного пути при бурении поисково-оценочной скважины 201 Надеждинского лицензионного участка "/>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4-09-27T00:00:00"/>
    <s v=""/>
    <s v="Д-82"/>
    <s v="Соглашение о сервитуте"/>
    <s v="Расходная часть"/>
    <s v="Стоимостной"/>
    <s v="20%"/>
    <s v=""/>
    <s v=""/>
    <s v="462 000.00"/>
    <s v="385 000.00"/>
    <s v="77 000.00"/>
    <s v="нет"/>
    <s v="нет"/>
    <s v=""/>
    <s v=""/>
    <s v=""/>
    <s v=""/>
    <s v="нет"/>
  </r>
  <r>
    <s v="Газпромнефть-ГЕО, ООО"/>
    <s v="0000067067"/>
    <s v="Зарегистрирован"/>
    <d v="2022-06-23T00:00:00"/>
    <s v=""/>
    <x v="24"/>
    <s v="7816483740"/>
    <s v="ГЕО-19/10900/00290/Р"/>
    <s v=""/>
    <s v="2"/>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578-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Переход на ЭДО"/>
    <s v="Евстигнеев В.А."/>
    <s v="Евстигнеев В.А."/>
    <s v="Договорный документ"/>
    <s v="Управление производственной безопасности"/>
    <s v="Масалкин Ю.В."/>
    <s v="На бумажном носителе"/>
    <s v="До исполнения обязательств"/>
    <d v="2022-06-23T00:00:00"/>
    <s v=""/>
    <s v=""/>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93917"/>
    <s v="Зарегистрирован"/>
    <d v="2024-09-30T00:00:00"/>
    <s v=""/>
    <x v="9"/>
    <s v="5609193118"/>
    <s v="ГЕО-23/09000/00041/Р"/>
    <s v=""/>
    <s v="8"/>
    <s v="Нетиповой ДД"/>
    <x v="3"/>
    <s v=""/>
    <s v="00578-24"/>
    <s v=""/>
    <s v="Наряд-заказ №8 к договору ГЕО-23/09000/00041/Р"/>
    <s v="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Корнаваринском лицензионном участке "/>
    <s v="Покатов О.Н."/>
    <s v="Хабибуллин Т.Ф."/>
    <s v="Договорный документ"/>
    <s v="Управление производственной безопасности"/>
    <s v="Ядрышников П.Н."/>
    <s v="ЭП"/>
    <s v="С ограничением по срокам "/>
    <d v="2024-09-30T00:00:00"/>
    <d v="2024-12-31T00:00:00"/>
    <s v="Д-32"/>
    <s v="Договор возмездного оказания услуг"/>
    <s v="Расходная часть"/>
    <s v="Стоимостной"/>
    <s v="20%"/>
    <s v=""/>
    <s v=""/>
    <s v="24 777 024.00"/>
    <s v="20 647 520.00"/>
    <s v="4 129 504.00"/>
    <s v="нет"/>
    <s v="нет"/>
    <s v=""/>
    <s v=""/>
    <s v=""/>
    <s v=""/>
    <s v="нет"/>
  </r>
  <r>
    <s v="Газпромнефть-ГЕО, ООО"/>
    <s v="0000057554"/>
    <s v="Зарегистрирован"/>
    <d v="2021-08-26T00:00:00"/>
    <s v=""/>
    <x v="209"/>
    <s v="3811089799"/>
    <s v="№ ГЕО-20/00000/00202 от 29.12.2020 г. "/>
    <s v=""/>
    <s v="1"/>
    <s v="Типовой ДД"/>
    <x v="0"/>
    <s v="00000 Дополнительное соглашение на изменение Приложения к ранее заключенным договорам &quot;Соглашение в области производственной безопасности&quot; (код по КТ-020 выбирать в соответствии с кодом договора)"/>
    <s v="00579-21"/>
    <s v=""/>
    <s v="00000 Дополнительное соглашение на изменение Приложения к ранее заключенным договорам &quot;Соглашение в области производственной безопасности&quot; (код по КТ-020 выбирать в соответствии с кодом договора)"/>
    <s v="Актуализация Соглашения по ПБ во исполнение Приказа ООО &quot;ГПН-ГЕО&quot; №122-П от 30.07.2021"/>
    <s v="Ушакова М.А."/>
    <s v=""/>
    <s v="Договорный документ"/>
    <s v="Блок по закупкам"/>
    <s v="Титов А.В."/>
    <s v="На бумажном носителе"/>
    <s v="С ограничением по срокам "/>
    <d v="2021-08-26T00:00:00"/>
    <d v="2025-12-31T00:00:00"/>
    <s v="Д-11"/>
    <s v="Авиационное обслуживание (вертолеты)"/>
    <s v="Не предполагает взаиморасчетов"/>
    <s v=""/>
    <s v=""/>
    <s v=""/>
    <s v=""/>
    <s v=""/>
    <s v=""/>
    <s v=""/>
    <s v="нет"/>
    <s v="нет"/>
    <s v=""/>
    <s v=""/>
    <s v=""/>
    <s v=""/>
    <s v="нет"/>
  </r>
  <r>
    <s v="Газпромнефть-ГЕО, ООО"/>
    <s v="0000050630"/>
    <s v="Зарегистрирован"/>
    <d v="2022-05-27T00:00:00"/>
    <s v=""/>
    <x v="329"/>
    <s v="8910002621"/>
    <s v=""/>
    <s v="ГЕО-22/26000/00141"/>
    <s v="ГЕО-22/26000/00141"/>
    <s v="Типовой ДД"/>
    <x v="1"/>
    <s v="26000 Соглашение о конфиденциальности с дочерним обществом ГК ГПН"/>
    <s v="00579-22"/>
    <s v=""/>
    <s v="26000 Соглашение о конфиденциальности с дочерним обществом ГК ГПН"/>
    <s v="Заключение Соглашения о конфиденциальности"/>
    <s v="Паркина И.А."/>
    <s v="Паркина И.А."/>
    <s v="Договорный документ"/>
    <s v="Отдел подготовительных работ и экономического анализа"/>
    <s v="Николаев М.Н."/>
    <s v="На бумажном носителе"/>
    <s v="Без сроков "/>
    <d v="2022-05-27T00:00:00"/>
    <s v=""/>
    <s v="Д-57"/>
    <s v="Соглашение о конфиденциальности"/>
    <s v="Не предполагает взаиморасчетов"/>
    <s v=""/>
    <s v=""/>
    <s v=""/>
    <s v=""/>
    <s v=""/>
    <s v=""/>
    <s v=""/>
    <s v="нет"/>
    <s v="нет"/>
    <s v=""/>
    <s v=""/>
    <s v=""/>
    <s v=""/>
    <s v="нет"/>
  </r>
  <r>
    <s v="Газпромнефть-ГЕО, ООО"/>
    <s v="0000047475"/>
    <s v="Зарегистрирован"/>
    <d v="2024-09-26T00:00:00"/>
    <s v=""/>
    <x v="273"/>
    <s v="7708096662"/>
    <s v="ГЕО-24/09000/00105/Р"/>
    <s v=""/>
    <s v="1"/>
    <s v="Нетиповой ДД"/>
    <x v="0"/>
    <s v=""/>
    <s v="00579-24"/>
    <s v=""/>
    <s v="Дополнительное соглашение №1 к Договор на оказание аудиторских услуг ГЕО-24/09000/00105/Р от 18.06.2024"/>
    <s v="Внесение в Договор изменений."/>
    <s v="Малова Д.П."/>
    <s v="Малова Д.П."/>
    <s v="Договорный документ"/>
    <s v="Финансовое управление"/>
    <s v="Ковтун М.А."/>
    <s v="ЭП"/>
    <s v="С ограничением по срокам "/>
    <d v="2024-09-26T00:00:00"/>
    <d v="2027-02-26T00:00:00"/>
    <s v="Д-29"/>
    <s v="Договор возмездного оказания услуг"/>
    <s v="Не предполагает взаиморасчетов"/>
    <s v=""/>
    <s v=""/>
    <s v=""/>
    <s v=""/>
    <s v=""/>
    <s v=""/>
    <s v=""/>
    <s v="нет"/>
    <s v="нет"/>
    <s v=""/>
    <s v=""/>
    <s v=""/>
    <s v=""/>
    <s v="нет"/>
  </r>
  <r>
    <s v="Газпромнефть-ГЕО, ООО"/>
    <s v="0000098581"/>
    <s v="Закрыт"/>
    <d v="2021-08-25T00:00:00"/>
    <s v=""/>
    <x v="382"/>
    <s v="860310247015"/>
    <s v="ГЕО-21/25000/00163/Р от 20.07.2021"/>
    <s v=""/>
    <s v="1"/>
    <s v="Нетиповой ДД"/>
    <x v="0"/>
    <s v=""/>
    <s v="00580-21"/>
    <s v=""/>
    <s v="Соглашение о расторжении "/>
    <s v="Соглашение о расторжении договора оказания услуг №ГЕО-21/25000/00163/Р от 20.07.2021"/>
    <s v="Хохлов А.А."/>
    <s v="Хохлов А.А."/>
    <s v="Договорный документ"/>
    <s v="Управление маркшейдерско-землеустроительных работ"/>
    <s v="Масалкин Ю.В."/>
    <s v="На бумажном носителе"/>
    <s v="Без сроков "/>
    <d v="2021-08-25T00:00:00"/>
    <s v=""/>
    <s v=""/>
    <s v="Договор оказания услуг с физическим лицом"/>
    <s v="Не предполагает взаиморасчетов"/>
    <s v="Стоимостной"/>
    <s v=""/>
    <s v=""/>
    <s v=""/>
    <s v=""/>
    <s v=""/>
    <s v=""/>
    <s v="нет"/>
    <s v="нет"/>
    <s v=""/>
    <s v=""/>
    <s v=""/>
    <s v=""/>
    <s v="нет"/>
  </r>
  <r>
    <s v="Газпромнефть-ГЕО, ООО"/>
    <s v="0000103611"/>
    <s v="Зарегистрирован"/>
    <d v="2023-11-07T00:00:00"/>
    <s v=""/>
    <x v="383"/>
    <s v="460502521373"/>
    <s v=""/>
    <s v="ГЕО-23/25000/00177/Р"/>
    <s v="ГЕО-23/25000/00177/Р"/>
    <s v="Типовой ДД"/>
    <x v="2"/>
    <s v="25000 Договор об оказании услуг физическим лицом (без выезда на Лицензионные участки Заказчика)"/>
    <s v="00580-23"/>
    <s v=""/>
    <s v="25000 Договор об оказании услуг физическим лицом (без выезда на Лицензионные участки Заказчика)"/>
    <s v="Методическое сопровождение, разработка методических рекомендаций по применению малоглубинной сейсморазведки на участках работ Накынского рудного поля"/>
    <s v="Безруков А.А."/>
    <s v=""/>
    <s v="Договорный документ"/>
    <s v="Блок общих вопросов"/>
    <s v="Масалкин Ю.В."/>
    <s v="На бумажном носителе"/>
    <s v="С ограничением по срокам "/>
    <d v="2023-11-07T00:00:00"/>
    <d v="2023-11-30T00:00:00"/>
    <s v=""/>
    <s v="Договор оказания услуг с физическим лицом"/>
    <s v="Расходная часть"/>
    <s v="Стоимостной"/>
    <s v="13%"/>
    <s v=""/>
    <s v=""/>
    <s v="772 250.00"/>
    <s v="671 857.00"/>
    <s v="100 393.00"/>
    <s v="нет"/>
    <s v="нет"/>
    <s v=""/>
    <s v=""/>
    <s v=""/>
    <s v=""/>
    <s v="нет"/>
  </r>
  <r>
    <s v="Газпромнефть-ГЕО, ООО"/>
    <s v="0000080868"/>
    <s v="На подписании"/>
    <d v="2024-10-09T00:00:00"/>
    <s v=""/>
    <x v="384"/>
    <s v="781802539455"/>
    <s v=""/>
    <s v="ГЕО-24/09000/00176/Р"/>
    <s v="ГЕО-24/09000/00176/Р"/>
    <s v="Нетиповой ДД"/>
    <x v="2"/>
    <s v=""/>
    <s v="00580-24"/>
    <s v=""/>
    <s v="Договор на оказание фото- и видеоуслуг с ИП Зубковым Александром Михайловичем"/>
    <s v="Оказание услуг по проведению фото- и видеосъемок, созданию видеороликов по заказу ООО «ГПН-ГЕО» "/>
    <s v="Васильева А.И."/>
    <s v="Нюняйкина О.В."/>
    <s v="Договорный документ"/>
    <s v="Отдел по корпоративным коммуникациям"/>
    <s v="Ковтун М.А."/>
    <s v="На бумажном носителе"/>
    <s v="С ограничением по срокам "/>
    <d v="2024-10-10T00:00:00"/>
    <d v="2026-12-31T00:00:00"/>
    <s v="Д-62"/>
    <s v="Договор возмездного оказания услуг"/>
    <s v="Расходная часть"/>
    <s v="Стоимостной"/>
    <s v="без НДС"/>
    <s v=""/>
    <s v="1751192.34"/>
    <s v="12 716 046.24"/>
    <s v="12 716 046.24"/>
    <n v="0"/>
    <s v="да"/>
    <s v="нет"/>
    <s v=""/>
    <s v=""/>
    <s v=""/>
    <s v=""/>
    <s v="нет"/>
  </r>
  <r>
    <s v="Газпромнефть-ГЕО, ООО"/>
    <s v="0000067067"/>
    <s v="Зарегистрирован"/>
    <d v="2022-06-23T00:00:00"/>
    <s v=""/>
    <x v="24"/>
    <s v="7816483740"/>
    <s v=""/>
    <s v="ГЕО-22/33200/00138"/>
    <s v="ГЕО-22/33200/00138"/>
    <s v="Типовой ДД"/>
    <x v="1"/>
    <s v="33200 Соглашение об электронном документообороте"/>
    <s v="00581-22"/>
    <s v=""/>
    <s v="33200 Соглашение об электронном документообороте"/>
    <s v="Переход на ЭДО с ПО"/>
    <s v="Евстигнеев В.А."/>
    <s v="Евстигнеев В.А."/>
    <s v="Договорный документ"/>
    <s v="Управление производственной безопасности"/>
    <s v="Масалкин Ю.В."/>
    <s v="На бумажном носителе"/>
    <s v="До исполнения обязательств"/>
    <d v="2022-06-23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3563"/>
    <s v="Зарегистрирован"/>
    <d v="2023-10-31T00:00:00"/>
    <s v=""/>
    <x v="120"/>
    <s v="8609322418"/>
    <s v=""/>
    <s v=""/>
    <s v="8"/>
    <s v="Типовой ДД"/>
    <x v="0"/>
    <s v="00000 ДС на изменение реквизитов контрагента (адрес, счет)"/>
    <s v="00581-23"/>
    <s v=""/>
    <s v="00000 ДС на изменение реквизитов контрагента (адрес, счет)"/>
    <s v="Изменение реквизитов"/>
    <s v="Яшкина К.Л."/>
    <s v="Конюх М.В."/>
    <s v="Договорный документ"/>
    <s v="Блок бурения и ВСР"/>
    <s v="Трифонов А.В."/>
    <s v="ЭП"/>
    <s v="До исполнения обязательств"/>
    <d v="2023-10-3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58271"/>
    <s v="Зарегистрирован"/>
    <d v="2024-10-10T00:00:00"/>
    <d v="2025-12-31T00:00:00"/>
    <x v="42"/>
    <s v="7725696878"/>
    <s v="ГЕО-19/11708/00133/Р"/>
    <s v=""/>
    <s v="2"/>
    <s v="Нетиповой ДД"/>
    <x v="4"/>
    <s v=""/>
    <s v="00581-24"/>
    <s v="27"/>
    <s v="Изменение № 2 к Наряд-заказу № 27 от 05.12.2023 к договору № ГЕО-19/11708/00133/Р от 25.06.2019"/>
    <s v="Корректировка срока работ в связи с корректировкой срока работ по доходному договору"/>
    <s v="Симонова А.Д."/>
    <s v="Останков А.В."/>
    <s v="Договорный документ"/>
    <s v="Проектный офис &quot;Газовый разведчик&quot;"/>
    <s v="Волков Г.В."/>
    <s v="ЭП"/>
    <s v="С ограничением по срокам "/>
    <d v="2013-12-05T00:00:00"/>
    <d v="2024-11-30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45789"/>
    <s v="Зарегистрирован"/>
    <d v="2021-08-24T00:00:00"/>
    <s v=""/>
    <x v="16"/>
    <s v="7838395487"/>
    <s v="НТЦ-18/29000/01335/Д-ГЕО/ГЕО-19/10124/00001 "/>
    <s v=""/>
    <s v="НТЦ-01815-21Д-ГЕО"/>
    <s v="Нетиповой ДД"/>
    <x v="3"/>
    <s v=""/>
    <s v="00582-21"/>
    <s v=""/>
    <s v="Комплексное сопровождение работ по созданию концепции геологического строения проекта «Программа проектов ГРР “Развитие Оренбуржья”» на Солнечном, Корнаваринском, Надеждинском, Западно-Рубежинском ЛУ. Сценарий 2"/>
    <s v="Комплексное сопровождение работ и создание концепции геологического строения залежей УВ Солнечного, Корнаваринского, Надеждинского, Западно-Рубежинского, Первомайского ЛУ"/>
    <s v="Ябиров Р.З."/>
    <s v="Ябиров Р.З."/>
    <s v="Договорный документ"/>
    <s v="Блок геологии и разработки"/>
    <s v="Аксенов М.А."/>
    <s v="На бумажном носителе"/>
    <s v="С ограничением по срокам "/>
    <d v="2021-08-24T00:00:00"/>
    <d v="2021-12-31T00:00:00"/>
    <s v="Д-3"/>
    <s v="НИОКР, НИР в области геологии и разработки месторождений"/>
    <s v="Расходная часть"/>
    <s v="Рамочный"/>
    <s v="20%"/>
    <s v=""/>
    <s v=""/>
    <s v="38 759 836.20"/>
    <s v="32 299 863.50"/>
    <s v="6 459 972.70"/>
    <s v="нет"/>
    <s v="нет"/>
    <s v=""/>
    <s v=""/>
    <s v=""/>
    <s v=""/>
    <s v="нет"/>
  </r>
  <r>
    <s v="Газпромнефть-ГЕО, ООО"/>
    <s v="0000098050"/>
    <s v="Зарегистрирован"/>
    <d v="2023-11-07T00:00:00"/>
    <s v=""/>
    <x v="385"/>
    <s v="026504548167"/>
    <s v=""/>
    <s v="ГЕО-23/25000/00178/Р"/>
    <s v="ГЕО-23/25000/00178/Р"/>
    <s v="Типовой ДД"/>
    <x v="2"/>
    <s v="25000 Договор об оказании услуг физическим лицом (без выезда на Лицензионные участки Заказчика)"/>
    <s v="00582-23"/>
    <s v=""/>
    <s v="25000 Договор об оказании услуг физическим лицом (без выезда на Лицензионные участки Заказчика)"/>
    <s v="Переобработка и интерпретация сейсморазведочных данных на участках работ Накынкого рудного поля, Вилюйской геолого-разведочной экспедиции АК ПАО «АЛРОСА»"/>
    <s v="Безруков А.А."/>
    <s v="Власов М.М."/>
    <s v="Договорный документ"/>
    <s v="Газпромнефть-ГЕО, ООО"/>
    <s v="Масалкин Ю.В."/>
    <s v="На бумажном носителе"/>
    <s v="С ограничением по срокам "/>
    <d v="2023-11-07T00:00:00"/>
    <d v="2023-11-30T00:00:00"/>
    <s v=""/>
    <s v="Договор оказания услуг с физическим лицом"/>
    <s v="Расходная часть"/>
    <s v="Стоимостной"/>
    <s v="13%"/>
    <s v=""/>
    <s v=""/>
    <s v="1 290 000.00"/>
    <s v="1 122 300.00"/>
    <s v="167 700.00"/>
    <s v="нет"/>
    <s v="нет"/>
    <s v=""/>
    <s v=""/>
    <s v=""/>
    <s v=""/>
    <s v="нет"/>
  </r>
  <r>
    <s v="Газпромнефть-ГЕО, ООО"/>
    <s v="0000080408"/>
    <s v="Зарегистрирован"/>
    <d v="2024-10-07T00:00:00"/>
    <s v=""/>
    <x v="104"/>
    <s v="3812043780"/>
    <s v="ГЕО-22/11029/00172/Р"/>
    <s v=""/>
    <s v="6"/>
    <s v="Нетиповой ДД"/>
    <x v="3"/>
    <s v=""/>
    <s v="00582-24"/>
    <s v=""/>
    <s v="НЗ №6 к ДД №ГЕО-22/11029/00172/Р от 25.07.2022"/>
    <s v="Наряд-заказ №6 к Договору №ГЕО-22/11029/00172/Р от 25.07.2022  – Рекультивация."/>
    <s v="Мормышев А.А."/>
    <s v="Бабаев Д.Г."/>
    <s v="Договорный документ"/>
    <s v="Департамент капитального строительства"/>
    <s v="Трифонов А.В."/>
    <s v="ЭП"/>
    <s v="С ограничением по срокам "/>
    <d v="2024-10-10T00:00:00"/>
    <d v="2024-11-30T00:00:00"/>
    <s v="Д-45"/>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60 498 251.93"/>
    <s v="50 415 209.94"/>
    <s v="10 083 041.99"/>
    <s v="нет"/>
    <s v="нет"/>
    <s v=""/>
    <s v=""/>
    <s v=""/>
    <s v=""/>
    <s v="нет"/>
  </r>
  <r>
    <s v="Газпромнефть-ГЕО, ООО"/>
    <s v="0000068442"/>
    <s v="Зарегистрирован"/>
    <d v="2021-09-06T00:00:00"/>
    <s v=""/>
    <x v="92"/>
    <s v="5611027573"/>
    <s v=""/>
    <s v="ГЕО-21/09000/00198/Р"/>
    <s v="ГЕО-21/09000/00198/Р"/>
    <s v="Типовой ДД"/>
    <x v="2"/>
    <s v="09000 Договор на оказание возмездных услуг по охране объектов (пропускного и внутриобъектового режима)"/>
    <s v="00583-21"/>
    <s v=""/>
    <s v="Договор возмездного оказания услуг по охране объектов (Южный Оренбург)"/>
    <s v="Оказание услуг по охране объектов (внутриобъектового режима) на проекте «Южный Оренбург»"/>
    <s v="Шабалин С.В."/>
    <s v="Страдымов А.Г."/>
    <s v="Договорный документ"/>
    <s v="Блок корпоративной защиты"/>
    <s v="Созинов С.А."/>
    <s v="На бумажном носителе"/>
    <s v="С ограничением по срокам "/>
    <d v="2021-10-01T00:00:00"/>
    <d v="2023-02-28T00:00:00"/>
    <s v="Д-35"/>
    <s v="Договор возмездного оказания услуг"/>
    <s v="Расходная часть"/>
    <s v="Рамочный"/>
    <s v="без НДС"/>
    <s v=""/>
    <s v=""/>
    <s v="39 413 590.96"/>
    <s v="39 413 590.96"/>
    <n v="0"/>
    <s v="нет"/>
    <s v="нет"/>
    <s v=""/>
    <s v=""/>
    <s v=""/>
    <s v=""/>
    <s v="нет"/>
  </r>
  <r>
    <s v="Газпромнефть-ГЕО, ООО"/>
    <s v="0000080408"/>
    <s v="Зарегистрирован"/>
    <d v="2023-11-01T00:00:00"/>
    <s v=""/>
    <x v="104"/>
    <s v="3812043780"/>
    <s v="ГЕО-22/11029/00172/Р"/>
    <s v=""/>
    <s v="4"/>
    <s v="Нетиповой ДД"/>
    <x v="3"/>
    <s v=""/>
    <s v="00583-23"/>
    <s v=""/>
    <s v="НЗ №4 к ДД №ГЕО-22/11029/00172/Р от 25.07.2022"/>
    <s v="Наряд-заказ №4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
    <s v="Мормышев А.А."/>
    <s v="Галлямов Р.Ю."/>
    <s v="Договорный документ"/>
    <s v="Блок главного инженера"/>
    <s v="Трифонов А.В."/>
    <s v="ЭП"/>
    <s v="До исполнения обязательств"/>
    <d v="2023-11-01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74 835 280.23"/>
    <s v="145 696 066.86"/>
    <s v="29 139 213.37"/>
    <s v="нет"/>
    <s v="нет"/>
    <s v=""/>
    <s v=""/>
    <s v=""/>
    <s v=""/>
    <s v="нет"/>
  </r>
  <r>
    <s v="Газпромнефть-ГЕО, ООО"/>
    <s v="0000068695"/>
    <s v="Зарегистрирован"/>
    <d v="2024-10-01T00:00:00"/>
    <d v="2025-12-31T00:00:00"/>
    <x v="77"/>
    <s v="1106013435"/>
    <s v="ГЕО-23/10000/00032/Р +ПР + ПУР"/>
    <s v=""/>
    <s v="3"/>
    <s v="Нетиповой ДД"/>
    <x v="0"/>
    <s v=""/>
    <s v="00583-24"/>
    <s v=""/>
    <s v="ДС№3 к №ГЕО-23/10000/00032/Р от 06.02.2023г. с БурСервис, ООО"/>
    <s v="Без увеличения стоимости Договора:_x000a_- приведение к факту работ 2023;_x000a_- раскрытие негарантированного объёма 2024 года;_x000a_- изменение срока действия Договора."/>
    <s v="Мормышев А.А."/>
    <s v="Дунаев Э.В."/>
    <s v="Договорный документ"/>
    <s v="Блок бурения и ВСР"/>
    <s v="Трифонов А.В."/>
    <s v="ЭП"/>
    <s v="С ограничением по срокам "/>
    <d v="2024-10-01T00:00:00"/>
    <d v="2025-12-31T00:00:00"/>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9013"/>
    <s v="Зарегистрирован"/>
    <d v="2021-08-30T00:00:00"/>
    <s v=""/>
    <x v="114"/>
    <s v="7203218005"/>
    <s v="ГЕО-21/10924/00124/Р "/>
    <s v=""/>
    <s v=" 2"/>
    <s v="Нетиповой ДД"/>
    <x v="0"/>
    <s v=""/>
    <s v="00584-21"/>
    <s v=""/>
    <s v="Дополнительное соглашение № 2 к Договору 10924 Экологический мониторинг месторождений № ГЕО-21/10924/00124/Р от 12.05.2021 г."/>
    <s v="Внесение изменений в стоимость договора"/>
    <s v="Липатова О.И."/>
    <s v=""/>
    <s v="Договорный документ"/>
    <s v="Отдел экологической безопасности"/>
    <s v="Власов М.М."/>
    <s v="На бумажном носителе"/>
    <s v="С ограничением по срокам "/>
    <d v="2021-08-30T00:00:00"/>
    <d v="2024-12-31T00:00:00"/>
    <s v="Д-30"/>
    <s v="Экологический мониторинг месторождений"/>
    <s v="Расходная часть"/>
    <s v="Стоимостной"/>
    <s v="без НДС"/>
    <s v=""/>
    <s v=""/>
    <s v="146 030 672.99"/>
    <s v="146 030 672.99"/>
    <n v="0"/>
    <s v="нет"/>
    <s v="нет"/>
    <s v=""/>
    <s v=""/>
    <s v=""/>
    <s v=""/>
    <s v="нет"/>
  </r>
  <r>
    <s v="Газпромнефть-ГЕО, ООО"/>
    <s v="0000068442"/>
    <s v="Зарегистрирован"/>
    <d v="2022-07-06T00:00:00"/>
    <s v=""/>
    <x v="92"/>
    <s v="5611027573"/>
    <s v="ГЕО-21/09000/00198/Р"/>
    <s v=""/>
    <s v="2"/>
    <s v="Нетиповой ДД"/>
    <x v="3"/>
    <s v=""/>
    <s v="00584-22"/>
    <s v=""/>
    <s v="Наряд-заказ № 2 к Договору № ГЕО-21/09000/00198/Р от 06.09.2021 г."/>
    <s v="Наряд-Заказ № 2 по оказанию услуг охраны по Договору № ГЕО-21/09000/00198/Р от 06.09.2021 г_x000d__x000a_"/>
    <s v="Страдымов А.Г."/>
    <s v="Страдымов А.Г."/>
    <s v="Договорный документ"/>
    <s v="Блок корпоративной защиты"/>
    <s v="Созинов С.А."/>
    <s v="ЭП"/>
    <s v="С ограничением по срокам "/>
    <d v="2022-07-17T00:00:00"/>
    <d v="2022-10-31T00:00:00"/>
    <s v="Д-60"/>
    <s v="Договор возмездного оказания услуг"/>
    <s v="Расходная часть"/>
    <s v="Рамочный"/>
    <s v="без НДС"/>
    <s v=""/>
    <s v=""/>
    <s v="2 870 804.08"/>
    <s v="2 870 804.08"/>
    <n v="0"/>
    <s v="нет"/>
    <s v="нет"/>
    <s v=""/>
    <s v=""/>
    <s v=""/>
    <s v=""/>
    <s v="нет"/>
  </r>
  <r>
    <s v="Газпромнефть-ГЕО, ООО"/>
    <s v="0000080408"/>
    <s v="Зарегистрирован"/>
    <d v="2023-11-01T00:00:00"/>
    <s v=""/>
    <x v="104"/>
    <s v="3812043780"/>
    <s v="ГЕО-22/11029/00171/Р"/>
    <s v=""/>
    <s v="5"/>
    <s v="Нетиповой ДД"/>
    <x v="3"/>
    <s v=""/>
    <s v="00584-23"/>
    <s v=""/>
    <s v="НЗ №5 к ДД №ГЕО-22/11029/00171/Р от 25.07.2022"/>
    <s v="Наряд-заказ №5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
    <s v="Договорный документ"/>
    <s v="Блок главного инженера"/>
    <s v="Трифонов А.В."/>
    <s v="ЭП"/>
    <s v="До исполнения обязательств"/>
    <d v="2023-11-10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58 166 033.60"/>
    <s v="131 805 028.00"/>
    <s v="26 361 005.60"/>
    <s v="нет"/>
    <s v="нет"/>
    <s v=""/>
    <s v=""/>
    <s v=""/>
    <s v=""/>
    <s v="нет"/>
  </r>
  <r>
    <s v="Газпромнефть-ГЕО, ООО"/>
    <s v="0000090774"/>
    <s v="Зарегистрирован"/>
    <d v="2024-10-01T00:00:00"/>
    <s v=""/>
    <x v="70"/>
    <s v="7724490000"/>
    <s v="ГЕО-22/09000/00203/Р"/>
    <s v=""/>
    <s v="3"/>
    <s v="Нетиповой ДД"/>
    <x v="0"/>
    <s v=""/>
    <s v="00584-24"/>
    <s v=""/>
    <s v="ДС №3 к договору № 78209402/ГЕО-22/09000/00203/Р от «10» августа 2022г."/>
    <s v="Увеличение стоимости по договору оказания услуг почтовой связи (Бокс-сервис (с односторонним обменом корреспонденции)"/>
    <s v="Исаева И.С."/>
    <s v="Исаева И.С."/>
    <s v="Договорный документ"/>
    <s v="Отдел административной поддержки бизнеса"/>
    <s v="Буракова О.В."/>
    <s v="На бумажном носителе"/>
    <s v="С ограничением по срокам "/>
    <d v="2024-10-01T00:00:00"/>
    <d v="2025-12-31T00:00:00"/>
    <s v="Д-33"/>
    <s v="Договор возмездного оказания услуг"/>
    <s v="Расходная часть"/>
    <s v="Стоимостной"/>
    <s v="20%"/>
    <s v=""/>
    <s v=""/>
    <s v="210 081.50"/>
    <s v="175 067.92"/>
    <s v="35 013.58"/>
    <s v="нет"/>
    <s v="да"/>
    <s v="5"/>
    <s v="10 504,08"/>
    <s v=""/>
    <s v=""/>
    <s v="нет"/>
  </r>
  <r>
    <s v="Газпромнефть-ГЕО, ООО"/>
    <s v="0000045789"/>
    <s v="Зарегистрирован"/>
    <d v="2021-09-01T00:00:00"/>
    <s v=""/>
    <x v="16"/>
    <s v="7838395487"/>
    <s v="ГЕО-21/11708/00165/Р"/>
    <s v=""/>
    <s v="1"/>
    <s v="Нетиповой ДД"/>
    <x v="0"/>
    <s v=""/>
    <s v="00585-21"/>
    <s v=""/>
    <s v="Дополнительное соглашение №1 к Договору № ГЕО-21/11708/00165/Р//НТЦ-21/09000/00768/Д от 12.07.2021 "/>
    <s v="Дополнение Перечня работ пунктом 1.50 &quot;Сервисные услуги Блока Закупок и импортозамещения&quot;"/>
    <s v="Быков Н.В."/>
    <s v="Коротков С.П,"/>
    <s v="Договорный документ"/>
    <s v="Блок геологии и разработки"/>
    <s v="Аксенов М.А."/>
    <s v="На бумажном носителе"/>
    <s v="С ограничением по срокам "/>
    <d v="2021-09-01T00:00:00"/>
    <d v="2026-12-31T00:00:00"/>
    <s v="Д-3"/>
    <s v="НИОКР, НИР прочие"/>
    <s v="Не предполагает взаиморасчетов"/>
    <s v="Рамочный"/>
    <s v=""/>
    <s v=""/>
    <s v=""/>
    <s v=""/>
    <s v=""/>
    <s v=""/>
    <s v="нет"/>
    <s v="нет"/>
    <s v=""/>
    <s v=""/>
    <s v=""/>
    <s v=""/>
    <s v="нет"/>
  </r>
  <r>
    <s v="Газпромнефть-ГЕО, ООО"/>
    <s v="0000113367"/>
    <s v="Зарегистрирован"/>
    <d v="2023-11-07T00:00:00"/>
    <s v=""/>
    <x v="386"/>
    <s v="720316646988"/>
    <s v=""/>
    <s v="ГЕО-23/25000/00176/Р"/>
    <s v="ГЕО-23/25000/00176/Р"/>
    <s v="Типовой ДД"/>
    <x v="2"/>
    <s v="25000 Договор об оказании услуг физическим лицом (без выезда на Лицензионные участки Заказчика)"/>
    <s v="00585-23"/>
    <s v=""/>
    <s v="25000 Договор об оказании услуг физическим лицом (без выезда на Лицензионные участки Заказчика)"/>
    <s v="Формирование отчетной документации к методическим рекомендациям по применению малоглубинной сейсморазведки на участках работ Накынского рудного поля"/>
    <s v="Безруков А.А."/>
    <s v="Власов М.М."/>
    <s v="Договорный документ"/>
    <s v="Газпромнефть-ГЕО, ООО"/>
    <s v="Масалкин Ю.В."/>
    <s v="На бумажном носителе"/>
    <s v="С ограничением по срокам "/>
    <d v="2023-11-07T00:00:00"/>
    <d v="2023-11-25T00:00:00"/>
    <s v=""/>
    <s v="Договор оказания услуг с физическим лицом"/>
    <s v="Расходная часть"/>
    <s v="Стоимостной"/>
    <s v="13%"/>
    <s v=""/>
    <s v=""/>
    <s v="166 000.00"/>
    <s v="144 420.00"/>
    <s v="21 580.00"/>
    <s v="нет"/>
    <s v="нет"/>
    <s v=""/>
    <s v=""/>
    <s v=""/>
    <s v=""/>
    <s v="нет"/>
  </r>
  <r>
    <s v="Газпромнефть-ГЕО, ООО"/>
    <s v="0000074810"/>
    <s v="Зарегистрирован"/>
    <d v="2024-10-02T00:00:00"/>
    <s v=""/>
    <x v="211"/>
    <s v="7714372367"/>
    <s v="ГЕО-23/10000/00173/Р"/>
    <s v=""/>
    <s v="1"/>
    <s v="Типовой ДД"/>
    <x v="0"/>
    <s v="00000 ДС на изменение реквизитов контрагента (адрес, счет)"/>
    <s v="00585-24"/>
    <s v=""/>
    <s v="ДС №1 к договору № ГЕО-23/10000/00173/Р от 01.11.2023"/>
    <s v="Изменение банковских реквизитов Исполнителя в разделе 14 Договора"/>
    <s v="Переслегин М.В."/>
    <s v="Переслегин М.В."/>
    <s v="Договорный документ"/>
    <s v="Проект &quot;Западно-Зимнее&quot;"/>
    <s v="Аксенов М.А."/>
    <s v="ЭП"/>
    <s v="С ограничением по срокам "/>
    <d v="2024-10-02T00:00:00"/>
    <d v="2027-12-31T00:00:00"/>
    <s v="Д-4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84590"/>
    <s v="Зарегистрирован"/>
    <d v="2023-11-02T00:00:00"/>
    <s v=""/>
    <x v="61"/>
    <s v="7708277130"/>
    <s v="ГЕО-23/09000/00149/Р"/>
    <s v=""/>
    <s v="1"/>
    <s v="Нетиповой ДД"/>
    <x v="0"/>
    <s v=""/>
    <s v="00586-23"/>
    <s v=""/>
    <s v="ДС 1 к договору ГЕО-23/09000/00149/Р"/>
    <s v="уточнение условий Технического задания"/>
    <s v="Коваленко М.В."/>
    <s v="Фокин Е.В."/>
    <s v="Договорный документ"/>
    <s v="Блок производственной безопасности"/>
    <s v="Михайлов Ю.А."/>
    <s v="ЭП"/>
    <s v="До исполнения обязательств"/>
    <d v="2023-11-02T00:00:00"/>
    <s v=""/>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065849"/>
    <s v="Зарегистрирован"/>
    <d v="2024-10-01T00:00:00"/>
    <s v=""/>
    <x v="73"/>
    <s v="7816556691"/>
    <s v="ГЕО-24/09100/00024/Р"/>
    <s v=""/>
    <s v="3"/>
    <s v="Нетиповой ДД"/>
    <x v="0"/>
    <s v=""/>
    <s v="00586-24"/>
    <s v=""/>
    <s v="Дополнительное соглашение № 3 к Договору на оказание услуг № ГЕО-24/09100/00024/Р от «08» февраля» 2024 г."/>
    <s v="Перераспределение негарантированного объема услуг 2025г. И 2026 г. в гарантированный объем 2024 г."/>
    <s v="Петушкова В.Е."/>
    <s v="Михайлов Ю.А."/>
    <s v="Договорный документ"/>
    <s v="Управление производственной безопасности"/>
    <s v="Ядрышников П.Н."/>
    <s v="ЭП"/>
    <s v="С ограничением по срокам "/>
    <d v="2024-10-01T00:00:00"/>
    <d v="2026-12-31T00:00:00"/>
    <s v="Д-32"/>
    <s v="Договор на обучение (тренинги, семинары и проч.)"/>
    <s v="Расходная часть"/>
    <s v="Стоимостной"/>
    <s v="без НДС"/>
    <s v=""/>
    <s v=""/>
    <n v="0"/>
    <n v="0"/>
    <n v="0"/>
    <s v="нет"/>
    <s v="нет"/>
    <s v=""/>
    <s v=""/>
    <s v=""/>
    <s v=""/>
    <s v="нет"/>
  </r>
  <r>
    <s v="Газпромнефть-ГЕО, ООО"/>
    <s v="0000057750"/>
    <s v="Зарегистрирован"/>
    <d v="2023-11-01T00:00:00"/>
    <s v=""/>
    <x v="182"/>
    <s v="0814118403"/>
    <s v="ГЕО-22/10000/00226/Р"/>
    <s v=""/>
    <s v="4"/>
    <s v="Нетиповой ДД"/>
    <x v="0"/>
    <s v=""/>
    <s v="00587-23"/>
    <s v=""/>
    <s v="ДС№4 к ДД №ГЕО-22/10000/00226/Р от 20.09.2022   "/>
    <s v="ДС№4 к ДД №ГЕО-22/10000/00226/Р от 20.09.2022. ДС новые ед. расценки на клин."/>
    <s v="Мормышев А.А."/>
    <s v="Чупров В.В."/>
    <s v="Договорный документ"/>
    <s v="Блок главного инженера"/>
    <s v="Трифонов А.В."/>
    <s v="На бумажном носителе"/>
    <s v="До исполнения обязательств"/>
    <d v="2023-11-0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0408"/>
    <s v="Обработка результатов согласования"/>
    <d v="2024-10-16T00:00:00"/>
    <s v=""/>
    <x v="104"/>
    <s v="3812043780"/>
    <s v=""/>
    <s v="ГЕО-24/11000/00168/Р"/>
    <s v="ГЕО-24/11000/00168/Р"/>
    <s v="Нетиповой ДД"/>
    <x v="2"/>
    <s v=""/>
    <s v="00587-24"/>
    <s v=""/>
    <s v="Договор подряда с ООО &quot;СТС&quot; на выполнение строительно-монтажных работ (СМР) Объектов инженерной подготовки и дорог месторождений нефти и газа  Оморинского ЛУ"/>
    <s v="Выполнение работ по устройству зимних проездов и инженерной подготовки геологоразведочных скважин на Оморинском лицензионном участке"/>
    <s v="Васильева А.И."/>
    <s v="Бабаев Д.Г."/>
    <s v="Договорный документ"/>
    <s v="Блок главного инженера"/>
    <s v="Трифонов А.В."/>
    <s v="ЭП"/>
    <s v="С ограничением по срокам "/>
    <d v="2024-10-16T00:00:00"/>
    <d v="2027-12-31T00:00:00"/>
    <s v="Д-45"/>
    <s v="Капитальное строительство и ПИР"/>
    <s v="Расходная часть"/>
    <s v="Стоимостной"/>
    <s v="20%"/>
    <s v=""/>
    <s v="611314888"/>
    <s v="1 975 352 158.80"/>
    <s v="1 646 126 799.00"/>
    <s v="329 225 359.80"/>
    <s v="да"/>
    <s v="нет"/>
    <s v=""/>
    <s v=""/>
    <s v=""/>
    <s v=""/>
    <s v="да"/>
  </r>
  <r>
    <s v="Газпромнефть-ГЕО, ООО"/>
    <s v="0000063984"/>
    <s v="Зарегистрирован"/>
    <d v="2021-08-25T00:00:00"/>
    <s v=""/>
    <x v="141"/>
    <s v="3808099451"/>
    <s v="АНГ-18/10985/00282/Р"/>
    <s v=""/>
    <s v="5"/>
    <s v="Нетиповой ДД"/>
    <x v="0"/>
    <s v=""/>
    <s v="00588-21"/>
    <s v=""/>
    <s v="Дополнительное соглашение №5 к Договору № АНГ-18/10985/00282/Р от 29.12.2018 г."/>
    <s v="Перераспределение объема работ 2021 года:_x000d__x000a_o Уменьшение объема работ по утилизации отходов бурения (твердая фаза);_x000d__x000a_o Уменьшение объема работ по рекультивации нарушенных земель, занятых под _x000d__x000a_шламовые амбары/шламонакопители;_x000d__x000a_o Увеличение объема работ по утилизации отходов бурения (жидкая фаза)._x000d__x000a_ Частичное раскрытие негарантированного объема 2021 года на утилизацию твёрдых _x000d__x000a_отходов бурения и рекультивацию нарушенных земель._x000d__x000a_ Уменьшение единичной расценки по демобилизации оборудования._x000d__x000a_ Уменьшение Дополнительных затрат Заказчика на выплату мотивационного _x000d__x000a_вознаграждения в области Производственной безопасности в размере 2% от стоимости _x000d__x000a_работ по году."/>
    <s v="Калугина С.Б."/>
    <s v=""/>
    <s v="Договорный документ"/>
    <s v="Департамент капитального строительства"/>
    <s v="Перфильев Д.А."/>
    <s v="На бумажном носителе"/>
    <s v="До исполнения обязательств"/>
    <d v="2021-08-25T00:00:00"/>
    <s v=""/>
    <s v="Д-22"/>
    <s v="Утилизация отходов бурения и рекультивация нарушенных земель, занятых под шламовые амбары/шламонакопители"/>
    <s v="Расходная часть"/>
    <s v="Стоимостной"/>
    <s v="20%"/>
    <s v=""/>
    <s v=""/>
    <s v="3 328 752.72"/>
    <s v="2 773 960.60"/>
    <s v="554 792.12"/>
    <s v="нет"/>
    <s v="нет"/>
    <s v=""/>
    <s v=""/>
    <s v=""/>
    <s v=""/>
    <s v="нет"/>
  </r>
  <r>
    <s v="Газпромнефть-ГЕО, ООО"/>
    <s v="0000060723"/>
    <s v="Зарегистрирован"/>
    <d v="2023-11-01T00:00:00"/>
    <s v=""/>
    <x v="49"/>
    <s v="3811088474"/>
    <s v="АНГ-19/11513/00007/Р"/>
    <s v=""/>
    <s v="4"/>
    <s v="Типовой ДД"/>
    <x v="0"/>
    <s v="ДС по актуализации методологии оценки эффективности деятельности контрагентов и мотивации в области ПБ в действующих договорах"/>
    <s v="00588-23"/>
    <s v=""/>
    <s v="ДС по актуализации методологии оценки эффективности деятельности контрагентов и мотивации в области ПБ в действующих договорах"/>
    <s v="Исполнение приказа №113-П от 20.10.2023, для актуализации оценки эффективности деятельности КА"/>
    <s v="Титаева И.А."/>
    <s v="Титаева И.А."/>
    <s v="Договорный документ"/>
    <s v="Управление маркшейдерско-землеустроительных работ"/>
    <s v="Трифонов А.В."/>
    <s v="ЭП"/>
    <s v="С ограничением по срокам "/>
    <d v="2023-11-01T00:00:00"/>
    <d v="2024-12-31T00:00:00"/>
    <s v="Д-33"/>
    <s v="Договор возмездного оказания услуг"/>
    <s v="Не предполагает взаиморасчетов"/>
    <s v=""/>
    <s v=""/>
    <s v=""/>
    <s v=""/>
    <s v=""/>
    <s v=""/>
    <s v=""/>
    <s v="нет"/>
    <s v="нет"/>
    <s v=""/>
    <s v=""/>
    <s v=""/>
    <s v=""/>
    <s v="нет"/>
  </r>
  <r>
    <s v="Газпромнефть-ГЕО, ООО"/>
    <s v="0000040642"/>
    <s v="Зарегистрирован"/>
    <d v="2024-10-16T00:00:00"/>
    <s v=""/>
    <x v="4"/>
    <s v="7736035485"/>
    <s v="ГЕО-23/17000/00231/Р"/>
    <s v=""/>
    <s v="2"/>
    <s v="Нетиповой ДД"/>
    <x v="0"/>
    <s v=""/>
    <s v="00588-24"/>
    <s v=""/>
    <s v="Дополнительное соглашение №2 к договору страхования от несчастных случаев и болезней 0624 LA 000079/ГЕО-23/17000/00231/Р от «29» декабря 2023 г"/>
    <s v="Пересмотр численности застрахованных лиц по договору, в связи приемом новых сотрудников и увольнением сотрудников ООО &quot;ГПН-ГЕО&quot;"/>
    <s v="Северюхина Н.В."/>
    <s v="Северюхина Н.В."/>
    <s v="Договорный документ"/>
    <s v="Управление по работе с персоналом"/>
    <s v="Игнатова Ю.В."/>
    <s v="На бумажном носителе"/>
    <s v="С ограничением по срокам "/>
    <d v="2024-10-16T00:00:00"/>
    <d v="2024-12-31T00:00:00"/>
    <s v="Д-66"/>
    <s v="Договор страхования"/>
    <s v="Расходная часть"/>
    <s v="Агентский"/>
    <s v="без НДС"/>
    <s v=""/>
    <s v=""/>
    <s v="5 074.61"/>
    <s v="5 074.61"/>
    <n v="0"/>
    <s v="нет"/>
    <s v="нет"/>
    <s v=""/>
    <s v=""/>
    <s v=""/>
    <s v=""/>
    <s v="нет"/>
  </r>
  <r>
    <s v="Газпромнефть-ГЕО, ООО"/>
    <s v="0000093917"/>
    <s v="Зарегистрирован"/>
    <d v="2021-09-01T00:00:00"/>
    <s v=""/>
    <x v="9"/>
    <s v="5609193118"/>
    <s v="ГЕО-20/11104/00152/Д от 22.09.2021"/>
    <s v=""/>
    <s v="1"/>
    <s v="Нетиповой ДД"/>
    <x v="0"/>
    <s v=""/>
    <s v="00589-21"/>
    <s v=""/>
    <s v="ДС №1 к Агентскому договору ГЕО-20/11104/00152/Д от 22.09.2020"/>
    <s v="Продление срока действия договора"/>
    <s v="Титова Е.В."/>
    <s v=""/>
    <s v="Договорный документ"/>
    <s v="Блок по закупкам"/>
    <s v="Титов А.В."/>
    <s v="На бумажном носителе"/>
    <s v="С ограничением по срокам "/>
    <d v="2021-09-01T00:00:00"/>
    <d v="2021-09-15T00:00:00"/>
    <s v="Д-11"/>
    <s v="Авиационное обслуживание (вертолеты)"/>
    <s v="Не предполагает взаиморасчетов"/>
    <s v="Агентский"/>
    <s v=""/>
    <s v=""/>
    <s v=""/>
    <s v=""/>
    <s v=""/>
    <s v=""/>
    <s v="нет"/>
    <s v="нет"/>
    <s v=""/>
    <s v=""/>
    <s v=""/>
    <s v=""/>
    <s v="нет"/>
  </r>
  <r>
    <s v="Газпромнефть-ГЕО, ООО"/>
    <s v="0000057164, 0000027645"/>
    <s v="Зарегистрирован"/>
    <d v="2023-12-01T00:00:00"/>
    <s v=""/>
    <x v="387"/>
    <s v="7728654530, 5501072608"/>
    <s v="ГЕО-23/07000/00055/Р/4/ГЦР-Д/52/ВГС"/>
    <s v=""/>
    <s v="1"/>
    <s v="Нетиповой ДД"/>
    <x v="0"/>
    <s v=""/>
    <s v="00589-23"/>
    <s v=""/>
    <s v="О ПЕРЕМЕНЕ ЛИЦ В ОБЯЗАТЕЛЬСТВЕ  к Договору на выполнение полевых и камеральных работ несейсмическими методами № ГЕО-23/07000/00055/Р/4/ГЦР-Д/52/ВГС от 09.01.2023г."/>
    <s v="Передача прав и обязанностей первоначального исполнителя к новому исполнителю"/>
    <s v="Гулин В.Д."/>
    <s v="Гулин В.Д."/>
    <s v="Договорный документ"/>
    <s v="Блок геологии и разработки"/>
    <s v="Аксенов М.А."/>
    <s v="На бумажном носителе"/>
    <s v="С ограничением по срокам "/>
    <d v="2023-12-01T00:00:00"/>
    <d v="2025-12-31T00:00:00"/>
    <s v="Д-54"/>
    <s v="Договор подряда"/>
    <s v="Не предполагает взаиморасчетов"/>
    <s v="Рамочный"/>
    <s v=""/>
    <s v=""/>
    <s v=""/>
    <s v=""/>
    <s v=""/>
    <s v=""/>
    <s v="нет"/>
    <s v="нет"/>
    <s v=""/>
    <s v=""/>
    <s v=""/>
    <s v=""/>
    <s v="нет"/>
  </r>
  <r>
    <s v="Газпромнефть-ГЕО, ООО"/>
    <s v="0000044244"/>
    <s v="Зарегистрирован"/>
    <d v="2024-06-01T00:00:00"/>
    <s v=""/>
    <x v="192"/>
    <s v="8904034777"/>
    <s v=""/>
    <s v="ГЕО-24/40000/00166/Р"/>
    <s v="ГЕО-24/40000/00166/Р"/>
    <s v="Нетиповой ДД"/>
    <x v="1"/>
    <s v=""/>
    <s v="00589-24"/>
    <s v=""/>
    <s v="Соглашение об установлении сервитута (по форме ООО &quot;Газпром добыча Ямбург&quot;)"/>
    <s v="Обеспечение беспрепятственного прохода и проезда по земельным участкам ООО &quot;Газпром добыча Ямбург&quot; для проведения геологоразведочных работ ООО &quot;ГПН-ГЕО&quot;  на Северо-Ямбургском ЛУ"/>
    <s v="Шевченко А.С."/>
    <s v="Шевченко А.С."/>
    <s v="Договорный документ"/>
    <s v="Управление маркшейдерско-землеустроительных работ"/>
    <s v="Трифонов А.В."/>
    <s v="На бумажном носителе"/>
    <s v="С ограничением по срокам "/>
    <d v="2024-06-02T00:00:00"/>
    <d v="2024-12-31T00:00:00"/>
    <s v="Д-82"/>
    <s v="Соглашение о сервитуте"/>
    <s v="Расходная часть"/>
    <s v="Стоимостной"/>
    <s v="20%"/>
    <s v=""/>
    <s v=""/>
    <s v="1 833.68"/>
    <s v="1 528.07"/>
    <n v="305.61"/>
    <s v="нет"/>
    <s v="нет"/>
    <s v=""/>
    <s v=""/>
    <s v=""/>
    <s v=""/>
    <s v="нет"/>
  </r>
  <r>
    <s v="Газпромнефть-ГЕО, ООО"/>
    <s v="0000080408"/>
    <s v="Зарегистрирован"/>
    <d v="2023-11-01T00:00:00"/>
    <s v=""/>
    <x v="104"/>
    <s v="3812043780"/>
    <s v="ГЕО-22/11029/00172/Р"/>
    <s v=""/>
    <s v="5"/>
    <s v="Нетиповой ДД"/>
    <x v="3"/>
    <s v=""/>
    <s v="00590-23"/>
    <s v=""/>
    <s v="НЗ №5 к ДД №ГЕО-22/11029/00172/Р от 25.07.2022"/>
    <s v="Наряд-заказ №5 к Договору №ГЕО-22/11029/00172/Р от 25.07.2022  – «Выполнение работ по инженерной подготовке площадки и проездов к геологоразведочной скважине КМ Оморинского лицензионного участка»"/>
    <s v="Мормышев А.А."/>
    <s v=""/>
    <s v="Договорный документ"/>
    <s v="Блок главного инженера"/>
    <s v="Трифонов А.В."/>
    <s v="ЭП"/>
    <s v="До исполнения обязательств"/>
    <d v="2023-11-01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60 262 105.40"/>
    <s v="50 218 421.17"/>
    <s v="10 043 684.23"/>
    <s v="нет"/>
    <s v="нет"/>
    <s v=""/>
    <s v=""/>
    <s v=""/>
    <s v=""/>
    <s v="нет"/>
  </r>
  <r>
    <s v="Газпромнефть-ГЕО, ООО"/>
    <s v="0000045671"/>
    <s v="Зарегистрирован"/>
    <d v="2021-09-01T00:00:00"/>
    <s v=""/>
    <x v="71"/>
    <s v="8905039143"/>
    <s v="ГЕО-20/09000/00058/Р"/>
    <s v=""/>
    <s v="3"/>
    <s v="Типовой ДД"/>
    <x v="0"/>
    <s v="00000 ДС на изменение реквизитов контрагента (адрес, счет)"/>
    <s v="00591-21"/>
    <s v=""/>
    <s v="ДС на изменение реквизитов контрагента "/>
    <s v="Изменение реквизитов расчетного счета контрагента ООО &quot;Партнеры Ноябрьск&quot;"/>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Без сроков "/>
    <d v="2021-09-01T00:00:00"/>
    <s v=""/>
    <s v="Д-11"/>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40255"/>
    <s v="Зарегистрирован"/>
    <d v="2023-11-07T00:00:00"/>
    <s v=""/>
    <x v="88"/>
    <s v="7729407742"/>
    <s v="ГЕО-22/10986/00341/Р"/>
    <s v=""/>
    <s v="3"/>
    <s v="Типовой ДД"/>
    <x v="0"/>
    <s v="ДС по актуализации методологии оценки эффективности деятельности контрагентов и мотивации в области ПБ в действующих договорах"/>
    <s v="00591-23"/>
    <s v=""/>
    <s v="ДС №3 по актуализации методологии оценки эффективности деятельности контрагентов и мотивации в области ПБ в действующих договорах"/>
    <s v="ДС по актуализации методологии оценки эффективности деятельности контрагентов и мотивации в области ПБ в действующих договорах"/>
    <s v="Копылов Е.О."/>
    <s v=""/>
    <s v="Договорный документ"/>
    <s v="Отдел экологической безопасности"/>
    <s v="Михайлов Ю.А."/>
    <s v="ЭП"/>
    <s v="До исполнения обязательств"/>
    <d v="2023-11-07T00:00:00"/>
    <s v=""/>
    <s v="Д-2"/>
    <s v="Супервайзинг ПЭБ и ОТ"/>
    <s v="Не предполагает взаиморасчетов"/>
    <s v="Рамочный"/>
    <s v=""/>
    <s v=""/>
    <s v=""/>
    <s v=""/>
    <s v=""/>
    <s v=""/>
    <s v="нет"/>
    <s v="нет"/>
    <s v=""/>
    <s v=""/>
    <s v=""/>
    <s v=""/>
    <s v="нет"/>
  </r>
  <r>
    <s v="Газпромнефть-ГЕО, ООО"/>
    <s v="0000058271"/>
    <s v="Зарегистрирован"/>
    <d v="2024-10-03T00:00:00"/>
    <d v="2025-12-31T00:00:00"/>
    <x v="42"/>
    <s v="7725696878"/>
    <s v="ГЕО-24/10000/00053/Р"/>
    <s v=""/>
    <s v="1"/>
    <s v="Нетиповой ДД"/>
    <x v="4"/>
    <s v=""/>
    <s v="00591-24"/>
    <s v="3"/>
    <s v="Изменение №1 к Заказ-Наряду №3 от 08.05.2024 г. к Договору ГЕО-24/10000/00053/Р от 18.03.2024 г."/>
    <s v="Корректировка объема работ, уменьшение производственной программы для заключения ЗаказНаряда №4 (отдельным договорным документом) "/>
    <s v="Безруков А.А."/>
    <s v="Киямов Р.Т."/>
    <s v="Договорный документ"/>
    <s v="Блок геологии и разработки"/>
    <s v="Аксенов М.А."/>
    <s v="ЭП"/>
    <s v="До исполнения обязательств"/>
    <d v="2024-10-03T00:00:00"/>
    <s v=""/>
    <s v="Д-4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10 195 202.00"/>
    <s v="91 829 335.00"/>
    <s v="18 365 867.00"/>
    <s v="нет"/>
    <s v="нет"/>
    <s v=""/>
    <s v=""/>
    <s v=""/>
    <s v=""/>
    <s v="да"/>
  </r>
  <r>
    <s v="Газпромнефть-ГЕО, ООО"/>
    <s v="0000063179"/>
    <s v="Зарегистрирован"/>
    <d v="2021-08-31T00:00:00"/>
    <s v=""/>
    <x v="54"/>
    <s v="7727747172"/>
    <s v="ГЕО-20/10986/00138/Р от 10.08.2020г."/>
    <s v=""/>
    <s v="7"/>
    <s v="Нетиповой ДД"/>
    <x v="0"/>
    <s v=""/>
    <s v="00592-21"/>
    <s v=""/>
    <s v="ДС № 7 для исполнения операторского договора с Компанией «Салым Петролеум Девелопмент Н.В.» (СПД) на  Восточно-Шапшинском ЛУ"/>
    <s v="Перераспределение негарантированного объма услуг 2021-2022гг. в гарантированный по Договору № ГЕО-20/10986/00138/Р от 10.08.2020г. с компанией ООО «ОГК» на оказание супервайзерских услуг по контролю состояния производственной безопасности и безопасности дорожного движения в 2021-2022гг. для исполнения операторского договора с Компанией «Салым Петролеум Девелопмент Н.В.» (СПД) на  Восточно-Шапшинском ЛУ и перераспределения НГО для покрытия ориентировочной планируемой потребности на 2021-2022г. по проектам СРР и ПРБ (Титан, Хамбатей и проч., в том числе по планируемым доходным операторским договорам с СПД, ГПН-Хантос и т.д. по объемам, территориально относящимся к УрФО)."/>
    <s v="Рябикина М.А."/>
    <s v="Анисимов Андрей Николаевич - Руководитель региональных проектов по производственной безопасности кластера &quot;Восточная Сибирь и Ор"/>
    <s v="Договорный документ"/>
    <s v="Блок производственной безопасности"/>
    <s v="Власов М.М."/>
    <s v="На бумажном носителе"/>
    <s v="С ограничением по срокам "/>
    <d v="2021-08-31T00:00:00"/>
    <d v="2024-12-31T00:00:00"/>
    <s v="Д-30"/>
    <s v="Супервайзинг ПЭБ и ОТ"/>
    <s v="Не предполагает взаиморасчетов"/>
    <s v=""/>
    <s v=""/>
    <s v=""/>
    <s v=""/>
    <s v=""/>
    <s v=""/>
    <s v=""/>
    <s v="нет"/>
    <s v="нет"/>
    <s v=""/>
    <s v=""/>
    <s v=""/>
    <s v=""/>
    <s v="нет"/>
  </r>
  <r>
    <s v="Газпромнефть-ГЕО, ООО"/>
    <s v=""/>
    <s v="Зарегистрирован"/>
    <d v="2022-07-01T00:00:00"/>
    <s v=""/>
    <x v="388"/>
    <s v=""/>
    <s v="ГЕО-22/10000/00036/Р"/>
    <s v=""/>
    <s v="1"/>
    <s v="Нетиповой ДД"/>
    <x v="0"/>
    <s v=""/>
    <s v="00592-22"/>
    <s v=""/>
    <s v="Дополнительное соглашение №1  Договору № ГЕО-22/10000/00036/Р от 14.02.2022г. на выполнение работ по обработке призабойной зоны пласта."/>
    <s v="1. Индексация ставки ОПЗ за счет увеличения стоимости соляно-кислотного раствора HCL на 12,9%;_x000d__x000a_2. Индексацию справочных расценок соляно-кислотных растворов различной концентрации от 3 до 24% с контроллером железа 2000 мг/л и 5000 мг/л с 20.06.2022 г.;_x000d__x000a_Выделение затрат на эксплуатацию Протектора фонтанной арматуры (ПФА) из ставки «ОПЗ кислотными составами» в справочную опциональную дополнительную ставку, что в свою очередь влечет совокупное изменение (уменьшение) суммы договора на 3,2%._x000d__x000a_"/>
    <s v="Рымаренко А.А."/>
    <s v="Рымаренко А.А."/>
    <s v="Договорный документ"/>
    <s v="Управление внутрискважинных работ"/>
    <s v="Масалкин Ю.В."/>
    <s v="На бумажном носителе"/>
    <s v="С ограничением по срокам "/>
    <d v="2022-07-01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63 922 511.38"/>
    <s v="53 268 759.48"/>
    <s v="10 653 751.90"/>
    <s v="нет"/>
    <s v="нет"/>
    <s v=""/>
    <s v=""/>
    <s v=""/>
    <s v=""/>
    <s v="нет"/>
  </r>
  <r>
    <s v="Газпромнефть-ГЕО, ООО"/>
    <s v="0000041259"/>
    <s v="Зарегистрирован"/>
    <d v="2023-11-07T00:00:00"/>
    <s v=""/>
    <x v="142"/>
    <s v="7203159800"/>
    <s v="ГЕО-22/10968/00197/Р"/>
    <s v=""/>
    <s v="4"/>
    <s v="Типовой ДД"/>
    <x v="0"/>
    <s v="ДС по актуализации методологии оценки эффективности деятельности контрагентов и мотивации в области ПБ в действующих договорах"/>
    <s v="00592-23"/>
    <s v=""/>
    <s v="ДС 4 к договору № ГЕО-22/10968/00197/Р от 12.08.2022г. по актуализации методологии оценки эффективности деятельности контрагентов и мотивации в области ПБ в действующих договорах"/>
    <s v="ДС по актуализации методологии оценки эффективности деятельности контрагентов и мотивации в области ПБ в действующих договорах"/>
    <s v="Копылов Е.О."/>
    <s v=""/>
    <s v="Договорный документ"/>
    <s v="Отдел экологической безопасности"/>
    <s v="Михайлов Ю.А."/>
    <s v="ЭП"/>
    <s v="До исполнения обязательств"/>
    <d v="2023-11-07T00:00:00"/>
    <s v=""/>
    <s v="Д-2"/>
    <s v="Вывоз, транспортировка и размещение отходов производственной деятельности"/>
    <s v="Не предполагает взаиморасчетов"/>
    <s v=""/>
    <s v=""/>
    <s v=""/>
    <s v=""/>
    <s v=""/>
    <s v=""/>
    <s v=""/>
    <s v="нет"/>
    <s v="нет"/>
    <s v=""/>
    <s v=""/>
    <s v=""/>
    <s v=""/>
    <s v="нет"/>
  </r>
  <r>
    <s v="Газпромнефть-ГЕО, ООО"/>
    <s v="0000058271"/>
    <s v="Зарегистрирован"/>
    <d v="2024-10-04T00:00:00"/>
    <d v="2025-12-31T00:00:00"/>
    <x v="42"/>
    <s v="7725696878"/>
    <s v="ГЕО-24/10000/00053/Р"/>
    <s v=""/>
    <s v="4"/>
    <s v="Нетиповой ДД"/>
    <x v="3"/>
    <s v=""/>
    <s v="00592-24"/>
    <s v=""/>
    <s v="Заказ-Наряд №4 к Договору ГЕО-24/10000/00053/Р от 18.03.2024 г."/>
    <s v="Научно-исследовательские работы для формирования предварительной базовой интегрированной концепции разработки в пределах Пякутинской площади"/>
    <s v="Безруков А.А."/>
    <s v="Лежнина Марина Игоревна"/>
    <s v="Договорный документ"/>
    <s v="Блок геологии и разработки"/>
    <s v="Аксенов М.А."/>
    <s v="ЭП"/>
    <s v="До исполнения обязательств"/>
    <d v="2024-10-04T00:00:00"/>
    <s v=""/>
    <s v="Д-4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66 975 058.80"/>
    <s v="55 812 549.00"/>
    <s v="11 162 509.80"/>
    <s v="нет"/>
    <s v="нет"/>
    <s v=""/>
    <s v=""/>
    <s v=""/>
    <s v=""/>
    <s v="да"/>
  </r>
  <r>
    <s v="Газпромнефть-ГЕО, ООО"/>
    <s v="0000063179"/>
    <s v="Зарегистрирован"/>
    <d v="2021-08-31T00:00:00"/>
    <s v=""/>
    <x v="54"/>
    <s v="7727747172"/>
    <s v="ГЕО-20/10986/00138/Р от 10.08.2020г."/>
    <s v=""/>
    <s v="9"/>
    <s v="Нетиповой ДД"/>
    <x v="3"/>
    <s v=""/>
    <s v="00593-21"/>
    <s v=""/>
    <s v="Задание № 9 на оказание СП услуг по контролю состояния ПБ и БДД в 2021-2022гг. для исполнения операторского договора с Компанией «Салым Петролеум Девелопмент Н.В.» (СПД) на  В.-Шапшинском ЛУ"/>
    <s v="Оказание супервайзерских услуг по контролю состояния производственной безопасности и безопасности дорожного движения в 2021-2022гг. для исполнения операторского договора с Компанией «Салым Петролеум Девелопмент Н.В.» (СПД) на  Восточно-Шапшинском ЛУ"/>
    <s v="Рябикина М.А."/>
    <s v="Анисимов Андрей Николаевич - Руководитель региональных проектов по ПБ кластера &quot;Восточная Сибирь и ОРБ"/>
    <s v="Договорный документ"/>
    <s v="Блок производственной безопасности"/>
    <s v="Власов М.М."/>
    <s v="На бумажном носителе"/>
    <s v="С ограничением по срокам "/>
    <d v="2021-08-31T00:00:00"/>
    <d v="2022-09-30T00:00:00"/>
    <s v="Д-30"/>
    <s v="Супервайзинг ПЭБ и ОТ"/>
    <s v="Расходная часть"/>
    <s v="Рамочный"/>
    <s v="20%"/>
    <s v=""/>
    <s v=""/>
    <s v="31 828 596.00"/>
    <s v="26 523 830.00"/>
    <s v="5 304 766.00"/>
    <s v="нет"/>
    <s v="нет"/>
    <s v=""/>
    <s v=""/>
    <s v=""/>
    <s v=""/>
    <s v="нет"/>
  </r>
  <r>
    <s v="Газпромнефть-ГЕО, ООО"/>
    <s v="0000041259"/>
    <s v="Зарегистрирован"/>
    <d v="2023-11-07T00:00:00"/>
    <s v=""/>
    <x v="142"/>
    <s v="7203159800"/>
    <s v="ГЕО-22/10968/00244/Р"/>
    <s v=""/>
    <s v="2"/>
    <s v="Типовой ДД"/>
    <x v="0"/>
    <s v="ДС по актуализации методологии оценки эффективности деятельности контрагентов и мотивации в области ПБ в действующих договорах"/>
    <s v="00593-23"/>
    <s v=""/>
    <s v="ДС №2 к ГЕО-22/10968/00244/Р от 23.09.2022 г. по актуализации методологии оценки эффективности деятельности контрагентов и мотивации в области ПБ в действующих договорах"/>
    <s v="ДС по актуализации методологии оценки эффективности деятельности контрагентов и мотивации в области ПБ в действующих договорах"/>
    <s v="Копылов Е.О."/>
    <s v=""/>
    <s v="Договорный документ"/>
    <s v="Отдел экологической безопасности"/>
    <s v="Михайлов Ю.А."/>
    <s v="ЭП"/>
    <s v="До исполнения обязательств"/>
    <d v="2023-11-07T00:00:00"/>
    <s v=""/>
    <s v="Д-2"/>
    <s v="Вывоз, транспортировка и размещение отходов производственной деятельности"/>
    <s v="Не предполагает взаиморасчетов"/>
    <s v=""/>
    <s v=""/>
    <s v=""/>
    <s v=""/>
    <s v=""/>
    <s v=""/>
    <s v=""/>
    <s v="нет"/>
    <s v="нет"/>
    <s v=""/>
    <s v=""/>
    <s v=""/>
    <s v=""/>
    <s v="нет"/>
  </r>
  <r>
    <s v="Газпромнефть-ГЕО, ООО"/>
    <s v="0000109980"/>
    <s v="Подписание ЭП контрагентом"/>
    <d v="2024-10-15T00:00:00"/>
    <s v=""/>
    <x v="335"/>
    <s v="7838112072"/>
    <s v=""/>
    <s v="ГЕО-24/33200/00163"/>
    <s v="ГЕО-24/33200/00163"/>
    <s v="Типовой ДД"/>
    <x v="1"/>
    <s v="33200 Соглашение об электронном документообороте"/>
    <s v="00593-24"/>
    <s v=""/>
    <s v="33200 Соглашение об электронном документообороте c АО «Инжиниринговый центр «Кронштадт»"/>
    <s v="Организация электронного документооборота с контрагентом"/>
    <s v="Васильева А.И."/>
    <s v="Нежальских В.А."/>
    <s v="Договорный документ"/>
    <s v="Блок снабжения и закупок"/>
    <s v="Ковтун М.А."/>
    <s v="ЭП"/>
    <s v="Без сроков "/>
    <d v="2024-10-15T00:00:00"/>
    <s v=""/>
    <s v="Д-29"/>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97250"/>
    <s v="Закрыт"/>
    <d v="2021-09-01T00:00:00"/>
    <s v=""/>
    <x v="373"/>
    <s v="7203225690"/>
    <s v="ГЕО-21/11019/00160/Р"/>
    <s v=""/>
    <s v="1"/>
    <s v="Нетиповой ДД"/>
    <x v="0"/>
    <s v=""/>
    <s v="00594-21"/>
    <s v=""/>
    <s v="Дополнительное соглашение №1"/>
    <s v="Увеличение объемов работ, увеличение стоимости договор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09-01T00:00:00"/>
    <d v="2022-12-31T00:00:00"/>
    <s v="Д-22"/>
    <s v="ПИР Объекты добычи, подготовки и транспорта нефти, вкл. авторский надзор"/>
    <s v="Расходная часть"/>
    <s v="Стоимостной"/>
    <s v="20%"/>
    <s v=""/>
    <s v=""/>
    <s v="21 124 280.02"/>
    <s v="17 603 566.68"/>
    <s v="3 520 713.34"/>
    <s v="нет"/>
    <s v="нет"/>
    <s v=""/>
    <s v=""/>
    <s v=""/>
    <s v=""/>
    <s v="нет"/>
  </r>
  <r>
    <s v="Газпромнефть-ГЕО, ООО"/>
    <s v="0000048356"/>
    <s v="Зарегистрирован"/>
    <d v="2022-06-27T00:00:00"/>
    <s v=""/>
    <x v="152"/>
    <s v="8601034898"/>
    <s v=""/>
    <s v="ГЕО-22/33100/00145"/>
    <s v="ГЕО-22/33100/00145"/>
    <s v="Типовой ДД"/>
    <x v="1"/>
    <s v="33100 Соглашение в области производственной безопасности"/>
    <s v="00594-22"/>
    <s v=""/>
    <s v="33100 Соглашение в области производственной безопасности"/>
    <s v="В целях обеспечения ПБ при оказании услуг "/>
    <s v="Коваленко М.В."/>
    <s v="Белоусов Олег Викторович"/>
    <s v="Договорный документ"/>
    <s v="Управление закупок работ и услуг"/>
    <s v="Власов М.М."/>
    <s v="На бумажном носителе"/>
    <s v="С ограничением по срокам "/>
    <d v="2022-06-27T00:00:00"/>
    <d v="2026-07-31T00:00:00"/>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9141"/>
    <s v="Зарегистрирован"/>
    <d v="2023-12-25T00:00:00"/>
    <s v=""/>
    <x v="181"/>
    <s v="7203215460"/>
    <s v="ГЕО-22/10000/00057/Р"/>
    <s v=""/>
    <s v="4"/>
    <s v="Нетиповой ДД"/>
    <x v="0"/>
    <s v=""/>
    <s v="00594-23"/>
    <s v=""/>
    <s v="ДС №4 к договору №ГЕО-22/10000/00057/Р от 18.03.2022 г. с ПАО «ГЕОТЕК»"/>
    <s v="Перенос срока демобилизации без изменения стоимости работ."/>
    <s v="Ушакова М.А."/>
    <s v=""/>
    <s v="Договорный документ"/>
    <s v="Блок геологии и разработки"/>
    <s v="Аксенов М.А."/>
    <s v="ЭП"/>
    <s v="С ограничением по срокам "/>
    <d v="2023-12-25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3 502 844.67"/>
    <s v="11 252 370.56"/>
    <s v="2 250 474.11"/>
    <s v="нет"/>
    <s v="нет"/>
    <s v=""/>
    <s v=""/>
    <s v=""/>
    <s v=""/>
    <s v="нет"/>
  </r>
  <r>
    <s v="Газпромнефть-ГЕО, ООО"/>
    <s v="0000062894"/>
    <s v="Зарегистрирован"/>
    <d v="2024-10-07T00:00:00"/>
    <d v="2025-12-31T00:00:00"/>
    <x v="47"/>
    <s v="7017253595"/>
    <s v="ГЕО-24/10150/00055/Р"/>
    <s v=""/>
    <s v="1"/>
    <s v="Типовой ДД"/>
    <x v="0"/>
    <s v="00000 ДС на изменение реквизитов контрагента (адрес, счет)"/>
    <s v="00594-24"/>
    <s v=""/>
    <s v="00000 ДС на изменение реквизитов контрагента (адрес, счет)"/>
    <s v="Изменение банковских реквизитов контрагента"/>
    <s v="Кузнецов В.Э."/>
    <s v="Кузнецов В.Э."/>
    <s v="Договорный документ"/>
    <s v="Блок снабжения и закупок"/>
    <s v="Аксенов М.А."/>
    <s v="ЭП"/>
    <s v="До исполнения обязательств"/>
    <d v="2024-10-07T00:00:00"/>
    <s v=""/>
    <s v="Д-41"/>
    <s v="Газодинамические исследования"/>
    <s v="Расходная часть"/>
    <s v="Рамочный"/>
    <s v="20%"/>
    <s v=""/>
    <s v=""/>
    <s v="2 703 360 437.35"/>
    <s v="2 252 800 364.46"/>
    <s v="450 560 072.89"/>
    <s v="нет"/>
    <s v="нет"/>
    <s v=""/>
    <s v=""/>
    <s v=""/>
    <s v=""/>
    <s v="нет"/>
  </r>
  <r>
    <s v="Газпромнефть-ГЕО, ООО"/>
    <s v=""/>
    <s v="Проект"/>
    <s v=""/>
    <s v=""/>
    <x v="58"/>
    <s v=""/>
    <s v=""/>
    <s v=""/>
    <s v=""/>
    <s v=""/>
    <x v="6"/>
    <s v=""/>
    <s v="00595-21"/>
    <s v=""/>
    <s v=""/>
    <s v=""/>
    <s v="Кукленков М.А."/>
    <s v=""/>
    <s v="Договорный документ"/>
    <s v="Департамент капитального строительства"/>
    <s v=""/>
    <s v=""/>
    <s v=""/>
    <s v=""/>
    <s v=""/>
    <s v=""/>
    <s v=""/>
    <s v=""/>
    <s v=""/>
    <s v=""/>
    <s v=""/>
    <s v=""/>
    <s v=""/>
    <s v=""/>
    <s v=""/>
    <s v="нет"/>
    <s v="нет"/>
    <s v=""/>
    <s v=""/>
    <s v=""/>
    <s v=""/>
    <s v="нет"/>
  </r>
  <r>
    <s v="Газпромнефть-ГЕО, ООО"/>
    <s v="0000086570"/>
    <s v="Зарегистрирован"/>
    <d v="2022-07-01T00:00:00"/>
    <s v=""/>
    <x v="389"/>
    <s v="561504779598"/>
    <s v=""/>
    <s v="ГЕО-22/25000/00146/Р"/>
    <s v="ГЕО-22/25000/00146/Р"/>
    <s v="Типовой ДД"/>
    <x v="2"/>
    <s v="25000 Договор об оказании услуг физическим лицом (без выезда на Лицензионные участки Заказчика)"/>
    <s v="00595-22"/>
    <s v=""/>
    <s v="25000 Договор об оказании услуг физическим лицом (без выезда на Лицензионные участки Заказчика)"/>
    <s v="Заключение договора возмездного оказания услуг в отношении расположенных в границах Оренбургской области объектов недвижимого имущества и земельных участков, необходимых для эксплуатации объектов Заказчика"/>
    <s v="Титаева И.А."/>
    <s v="Титаева И.А."/>
    <s v="Договорный документ"/>
    <s v="Управление маркшейдерско-землеустроительных работ"/>
    <s v="Масалкин Ю.В."/>
    <s v="На бумажном носителе"/>
    <s v="С ограничением по срокам "/>
    <d v="2022-07-01T00:00:00"/>
    <d v="2023-12-31T00:00:00"/>
    <s v=""/>
    <s v="Договор оказания услуг с физическим лицом"/>
    <s v="Расходная часть"/>
    <s v="Стоимостной"/>
    <s v="13%"/>
    <s v=""/>
    <s v=""/>
    <s v="1 170 000.00"/>
    <s v="1 017 900.00"/>
    <s v="152 100.00"/>
    <s v="нет"/>
    <s v="нет"/>
    <s v=""/>
    <s v=""/>
    <s v=""/>
    <s v=""/>
    <s v="нет"/>
  </r>
  <r>
    <s v="Газпромнефть-ГЕО, ООО"/>
    <s v="0000070856"/>
    <s v="Проект"/>
    <d v="2023-11-02T00:00:00"/>
    <s v=""/>
    <x v="163"/>
    <s v="7722319952"/>
    <s v="ГЕО-23/10000/00094/Р"/>
    <s v=""/>
    <s v="1"/>
    <s v="Типовой ДД"/>
    <x v="0"/>
    <s v="ДС по актуализации методологии оценки эффективности деятельности контрагентов и мотивации в области ПБ в действующих договорах"/>
    <s v="00595-23"/>
    <s v=""/>
    <s v="ДС по актуализации методологии оценки эффективности деятельности контрагентов и мотивации в области ПБ в действующих договорах"/>
    <s v="Исполнение приказа №113-П от 20.10.2023, для актуализации оценки эффективности деятельности КА"/>
    <s v="Горев М.А."/>
    <s v="Горев М.А."/>
    <s v="Договорный документ"/>
    <s v="Управление маркшейдерско-землеустроительных работ"/>
    <s v="Трифонов А.В."/>
    <s v="ЭП"/>
    <s v="С ограничением по срокам "/>
    <d v="2023-11-02T00:00:00"/>
    <d v="2025-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95835"/>
    <s v="Зарегистрирован"/>
    <d v="2024-10-17T00:00:00"/>
    <d v="2025-12-31T00:00:00"/>
    <x v="261"/>
    <s v="7729076392"/>
    <s v=""/>
    <s v="ГЕО-24/36000/00175/Р"/>
    <s v="ГЕО-24/36000/00175/Р"/>
    <s v="Нетиповой ДД"/>
    <x v="2"/>
    <s v=""/>
    <s v="00595-24"/>
    <s v=""/>
    <s v="Сублицензионный договор "/>
    <s v="Закупка лицензий Slider Диаграммы"/>
    <s v="Попов В.А."/>
    <s v="Попов В.А."/>
    <s v="Договорный документ"/>
    <s v="Блок геологии и разработки"/>
    <s v="Трифонов А.В."/>
    <s v="ЭП"/>
    <s v="До исполнения обязательств"/>
    <d v="2024-10-17T00:00:00"/>
    <s v=""/>
    <s v="Д-45"/>
    <s v="Сублицензионный договор"/>
    <s v="Расходная часть"/>
    <s v="Стоимостной"/>
    <s v="без НДС"/>
    <s v=""/>
    <s v=""/>
    <s v="1 490 001.00"/>
    <s v="1 490 001.00"/>
    <n v="0"/>
    <s v="нет"/>
    <s v="нет"/>
    <s v=""/>
    <s v=""/>
    <s v=""/>
    <s v=""/>
    <s v="нет"/>
  </r>
  <r>
    <s v="Газпромнефть-ГЕО, ООО"/>
    <s v="0000099345"/>
    <s v="Закрыт"/>
    <d v="2021-09-30T00:00:00"/>
    <s v=""/>
    <x v="390"/>
    <s v="7816600358"/>
    <s v=""/>
    <s v="ГЕО-21/09000/00215/Р"/>
    <s v="ГЕО-21/09000/00215/Р"/>
    <s v="Нетиповой ДД"/>
    <x v="2"/>
    <s v=""/>
    <s v="00596-21"/>
    <s v=""/>
    <s v="Договор на оказание услуг по оценке ИТ оборудования"/>
    <s v="Формирование корректной цены продажи на основании отчета независимого оценщика на 19 объектов оценки (Коммутатор Ethernet MES2124P 2 шт, Точка доступа WEP-12AC 16 шт, Маршрутизатор ESR-100 1 шт)  в ГПН-ИТО_x000d__x000a__x000d__x000a_Оценку будут проводить камерально "/>
    <s v="Долгов Д.Г."/>
    <s v="Долгов Данил Геннадьевич"/>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1-09-30T00:00:00"/>
    <s v=""/>
    <s v="Д-11"/>
    <s v="Договор возмездного оказания услуг"/>
    <s v="Расходная часть"/>
    <s v="Стоимостной"/>
    <s v="без НДС"/>
    <s v=""/>
    <s v=""/>
    <s v="5 000.00"/>
    <s v="5 000.00"/>
    <n v="0"/>
    <s v="нет"/>
    <s v="нет"/>
    <s v=""/>
    <s v=""/>
    <s v=""/>
    <s v=""/>
    <s v="нет"/>
  </r>
  <r>
    <s v="Газпромнефть-ГЕО, ООО"/>
    <s v="0000086570"/>
    <s v="Зарегистрирован"/>
    <d v="2022-07-01T00:00:00"/>
    <s v=""/>
    <x v="389"/>
    <s v="561504779598"/>
    <s v=""/>
    <s v="ГЕО-22/26000/00143"/>
    <s v="ГЕО-22/26000/00143"/>
    <s v="Типовой ДД"/>
    <x v="1"/>
    <s v="26000 Договор о конфиденциальности с физическим лицом"/>
    <s v="00596-22"/>
    <s v=""/>
    <s v="26000 Договор о конфиденциальности с физическим лицом"/>
    <s v="Заключение договора о конфиденциальности, в связи с заключением договора возмездного оказания услуг в отношении расположенных в границах Оренбургской области объектов недвижимого имущества и земельных участков, необходимых для эксплуатации объектов Заказчика"/>
    <s v="Титаева И.А."/>
    <s v="Титаева И.А."/>
    <s v="Договорный документ"/>
    <s v="Управление маркшейдерско-землеустроительных работ"/>
    <s v="Масалкин Ю.В."/>
    <s v="На бумажном носителе"/>
    <s v="С ограничением по срокам "/>
    <d v="2022-07-01T00:00:00"/>
    <d v="2023-12-31T00:00:00"/>
    <s v=""/>
    <s v="Соглашение о конфиденциальности"/>
    <s v="Не предполагает взаиморасчетов"/>
    <s v="Стоимостной"/>
    <s v=""/>
    <s v=""/>
    <s v=""/>
    <s v=""/>
    <s v=""/>
    <s v=""/>
    <s v="нет"/>
    <s v="нет"/>
    <s v=""/>
    <s v=""/>
    <s v=""/>
    <s v=""/>
    <s v="нет"/>
  </r>
  <r>
    <s v="Газпромнефть-ГЕО, ООО"/>
    <s v="0000060954"/>
    <s v="Зарегистрирован"/>
    <d v="2023-11-01T00:00:00"/>
    <s v=""/>
    <x v="75"/>
    <s v="5603007580"/>
    <s v="ГЕО-22/10000/00036/Р"/>
    <s v=""/>
    <s v="6"/>
    <s v="Типовой ДД"/>
    <x v="0"/>
    <s v="ДС по актуализации методологии оценки эффективности деятельности контрагентов и мотивации в области ПБ в действующих договорах"/>
    <s v="00596-23"/>
    <s v=""/>
    <s v="ДС по актуализации методологии оценки эффективности деятельности контрагентов и мотивации в области ПБ в действующих договорах"/>
    <s v=" В рамках исполнения поручений операционного комитета БРД от 15.05.2023 г., необходимо актуализировать методологию ОЭДК и мотивации в области ПБ в действующих договорах по услугам П-2 и ОП (при наличии в договоре условий ОЭДК). "/>
    <s v="Рымаренко А.А."/>
    <s v="Рымаренко А.А."/>
    <s v="Договорный документ"/>
    <s v="Управление внутрискважинных работ"/>
    <s v="Михайлов Ю.А."/>
    <s v="ЭП"/>
    <s v="С ограничением по срокам "/>
    <d v="2023-11-01T00:00:00"/>
    <d v="2024-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118342"/>
    <s v="На подписании"/>
    <d v="2024-10-14T00:00:00"/>
    <s v=""/>
    <x v="374"/>
    <s v="563903290160"/>
    <s v=""/>
    <s v="ГЕО-24/04300/00169/Р"/>
    <s v="ГЕО-24/04300/00169/Р"/>
    <s v="Нетиповой ДД"/>
    <x v="1"/>
    <s v=""/>
    <s v="00596-24"/>
    <s v=""/>
    <s v="Соглашение о возмещении убытков сельскохозяйственного производства, в т.ч. упущенной выгоды при временном занятии земельного участка"/>
    <s v="возмещение убытков сельскохозяйственного производства при временном занятии части земельного участка для строительства промышленных и иных объектов, в том числе (но не ограничиваясь) для размещения бурового оборудования при бурении поисково-оценочной скважины 201 Надеждинск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4-10-14T00:00:00"/>
    <s v=""/>
    <s v="Д-82"/>
    <s v="Договор аренды недвижимости"/>
    <s v="Расходная часть"/>
    <s v="Стоимостной"/>
    <s v="без НДС"/>
    <s v=""/>
    <s v=""/>
    <s v="287 184.48"/>
    <s v="287 184.48"/>
    <n v="0"/>
    <s v="нет"/>
    <s v="нет"/>
    <s v=""/>
    <s v=""/>
    <s v=""/>
    <s v=""/>
    <s v="нет"/>
  </r>
  <r>
    <s v="Газпромнефть-ГЕО, ООО"/>
    <s v="0000065735"/>
    <s v="Зарегистрирован"/>
    <d v="2022-06-23T00:00:00"/>
    <s v=""/>
    <x v="200"/>
    <s v="0274095068"/>
    <s v="№ ГЕО-19/11019/00145/Р "/>
    <s v=""/>
    <s v="9"/>
    <s v="Типовой ДД"/>
    <x v="3"/>
    <s v="11018, 11019, 11020, 11021, 11022  Наряд-заказ к Договору (рамочному) на выполнение  работ по услугам &quot;Капитальное строительство и ПИР&quot;"/>
    <s v="00597-22"/>
    <s v=""/>
    <s v="11018, 11019, 11020, 11021, 11022  Наряд-заказ к Договору (рамочному) на выполнение  работ по услугам &quot;Капитальное строительство и ПИР&quot;"/>
    <s v="Выполнение проектных работ по объекту «Строительство разведочных скважин №4, №4бис Камовской площади Оморинского лицензионного участ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8-01T00:00:00"/>
    <d v="2022-12-30T00:00:00"/>
    <s v="Д-61"/>
    <s v="Капитальное строительство и ПИР"/>
    <s v="Расходная часть"/>
    <s v="Рамочный"/>
    <s v="20%"/>
    <s v=""/>
    <s v=""/>
    <s v="7 149 542.75"/>
    <s v="5 957 952.29"/>
    <s v="1 191 590.46"/>
    <s v="нет"/>
    <s v="нет"/>
    <s v=""/>
    <s v=""/>
    <s v=""/>
    <s v=""/>
    <s v="нет"/>
  </r>
  <r>
    <s v="Газпромнефть-ГЕО, ООО"/>
    <s v="0000118342"/>
    <s v="На подписании"/>
    <d v="2024-10-14T00:00:00"/>
    <s v=""/>
    <x v="374"/>
    <s v="563903290160"/>
    <s v=""/>
    <s v="ГЕО-24/04500/00170/Р"/>
    <s v="ГЕО-24/04500/00170/Р"/>
    <s v="Нетиповой ДД"/>
    <x v="1"/>
    <s v=""/>
    <s v="00597-24"/>
    <s v=""/>
    <s v="Соглашение о возмещении убытков сельскохозяйственного производства, в т.ч. упущенной выгоды при временном занятии земельного участка"/>
    <s v="возмещение убытков сельскохозяйственного производства при временном занятии части земельного участка для строительства промышленных и иных объектов, в том числе (но не ограничиваясь) для размещения бурового оборудования при бурении поисково-оценочной скважины 201 Надеждинского лицензионного участка и размещения подъездного пути к скважине"/>
    <s v="Сазонова А.С."/>
    <s v="Трифонов А.В."/>
    <s v="Договорный документ"/>
    <s v="Управление маркшейдерско-землеустроительных работ"/>
    <s v="Трифонов А.В."/>
    <s v="На бумажном носителе"/>
    <s v="До исполнения обязательств"/>
    <d v="2024-10-14T00:00:00"/>
    <s v=""/>
    <s v="Д-82"/>
    <s v="Договор субаренды недвижимости"/>
    <s v="Расходная часть"/>
    <s v="Стоимостной"/>
    <s v="без НДС"/>
    <s v=""/>
    <s v=""/>
    <s v="105 320.16"/>
    <s v="105 320.16"/>
    <n v="0"/>
    <s v="нет"/>
    <s v="нет"/>
    <s v=""/>
    <s v=""/>
    <s v=""/>
    <s v=""/>
    <s v="нет"/>
  </r>
  <r>
    <s v="Газпромнефть-ГЕО, ООО"/>
    <s v="0000093574"/>
    <s v="Зарегистрирован"/>
    <d v="2022-07-01T00:00:00"/>
    <s v=""/>
    <x v="391"/>
    <s v="7712100495"/>
    <s v=""/>
    <s v="ГЕО-22/01200/00152/Д"/>
    <s v="ГЕО-22/01200/00152/Д"/>
    <s v="Нетиповой ДД"/>
    <x v="2"/>
    <s v=""/>
    <s v="00598-22"/>
    <s v=""/>
    <s v="Договор купли-продажи "/>
    <s v="Реализация ДТ в адрес подрядной организации ООО «Ябмургтранссервис», предоставляющей ООО «ГПН-ГЕО» услуги специализированной техники (экскаватор на гусеничном ходу) при реализации производственной программы Проекта «Титан» на Северо-Ямбургском ЛУ в 2022 году."/>
    <s v="Нежальских В.А."/>
    <s v="Нежальских В.А."/>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2-07-01T00:00:00"/>
    <d v="2022-12-31T00:00:00"/>
    <s v="Д-56"/>
    <s v="Договор поставки/купли продажи движимого имущества"/>
    <s v="Доходная часть"/>
    <s v="Стоимостной"/>
    <s v="20%"/>
    <s v=""/>
    <s v=""/>
    <s v="4 889 219.81"/>
    <s v="4 074 349.84"/>
    <s v="814 869.97"/>
    <s v="нет"/>
    <s v="нет"/>
    <s v=""/>
    <s v=""/>
    <s v=""/>
    <s v=""/>
    <s v="нет"/>
  </r>
  <r>
    <s v="Газпромнефть-ГЕО, ООО"/>
    <s v="0000093724"/>
    <s v="Зарегистрирован"/>
    <d v="2023-10-31T00:00:00"/>
    <s v=""/>
    <x v="129"/>
    <s v="8601057334"/>
    <s v="ГЕО-23/08000/00156/Р"/>
    <s v=""/>
    <s v="1"/>
    <s v="Нетиповой ДД"/>
    <x v="0"/>
    <s v=""/>
    <s v="00598-23"/>
    <s v=""/>
    <s v="ДС №1 к договору ГЕО-23/08000/00156/Р от 18.08.2023 г.  "/>
    <s v="Актуализация расценок, ввод новых расценок, перераспределение объемов без увеличения общей стоимости договора"/>
    <s v="Безруков А.А."/>
    <s v="Ларионов Е.А."/>
    <s v="Договорный документ"/>
    <s v="Блок геологии и разработки"/>
    <s v="Аксенов М.А."/>
    <s v="ЭП"/>
    <s v="До исполнения обязательств"/>
    <d v="2023-10-31T00:00:00"/>
    <s v=""/>
    <s v=""/>
    <s v="Договор на выполнение НИР, ОКР и технологических работ"/>
    <s v="Не предполагает взаиморасчетов"/>
    <s v="Рамочный"/>
    <s v=""/>
    <s v=""/>
    <s v=""/>
    <s v=""/>
    <s v=""/>
    <s v=""/>
    <s v="нет"/>
    <s v="нет"/>
    <s v=""/>
    <s v=""/>
    <s v=""/>
    <s v=""/>
    <s v="нет"/>
  </r>
  <r>
    <s v="Газпромнефть-ГЕО, ООО"/>
    <s v="0000118342"/>
    <s v="На подписании"/>
    <d v="2024-10-14T00:00:00"/>
    <s v=""/>
    <x v="374"/>
    <s v="563903290160"/>
    <s v=""/>
    <s v="ГЕО-24/40000/00172/Р"/>
    <s v="ГЕО-24/40000/00172/Р"/>
    <s v="Нетиповой ДД"/>
    <x v="1"/>
    <s v=""/>
    <s v="00598-24"/>
    <s v=""/>
    <s v="Соглашение о возмещении убытков сельскохозяйственного производства, в т.ч. упущенной выгоды при временном занятии земельного участка"/>
    <s v="возмещение убытков сельскохозяйственного производства при временном занятии части земельного участка для размещения подъездного пути при бурении поисково-оценочной скважины 201 Надеждинск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4-10-14T00:00:00"/>
    <s v=""/>
    <s v="Д-82"/>
    <s v="Соглашение о сервитуте"/>
    <s v="Расходная часть"/>
    <s v="Стоимостной"/>
    <s v="без НДС"/>
    <s v=""/>
    <s v=""/>
    <s v="5 644.80"/>
    <s v="5 644.80"/>
    <n v="0"/>
    <s v="нет"/>
    <s v="нет"/>
    <s v=""/>
    <s v=""/>
    <s v=""/>
    <s v=""/>
    <s v="нет"/>
  </r>
  <r>
    <s v="Газпромнефть-ГЕО, ООО"/>
    <s v="0000062928"/>
    <s v="Зарегистрирован"/>
    <d v="2023-11-10T00:00:00"/>
    <s v=""/>
    <x v="136"/>
    <s v="7701645627"/>
    <s v="ГЕО-20/11501/00184/Р"/>
    <s v=""/>
    <s v="7"/>
    <s v="Нетиповой ДД"/>
    <x v="0"/>
    <s v=""/>
    <s v="00599-23"/>
    <s v=""/>
    <s v="ДС 7 к договору № ГЕО-20/11501/00184/Р от 29.11.2020"/>
    <s v="Продление договора до 31.12.2026"/>
    <s v="Хохлов А.А."/>
    <s v="Хохлов А.А."/>
    <s v="Договорный документ"/>
    <s v="Управление маркшейдерско-землеустроительных работ"/>
    <s v="Трифонов А.В."/>
    <s v="ЭП"/>
    <s v="С ограничением по срокам "/>
    <d v="2023-11-10T00:00:00"/>
    <d v="2026-12-31T00:00:00"/>
    <s v="Д-33"/>
    <s v="Договор возмездного оказания услуг"/>
    <s v="Не предполагает взаиморасчетов"/>
    <s v=""/>
    <s v=""/>
    <s v=""/>
    <s v=""/>
    <s v=""/>
    <s v=""/>
    <s v=""/>
    <s v="нет"/>
    <s v="нет"/>
    <s v=""/>
    <s v=""/>
    <s v=""/>
    <s v=""/>
    <s v="нет"/>
  </r>
  <r>
    <s v="Газпромнефть-ГЕО, ООО"/>
    <s v="0000118319"/>
    <s v="На подписании"/>
    <d v="2024-10-14T00:00:00"/>
    <s v=""/>
    <x v="378"/>
    <s v="563902816926"/>
    <s v=""/>
    <s v="ГЕО-24/40000/00171/Р"/>
    <s v="ГЕО-24/40000/00171/Р"/>
    <s v="Нетиповой ДД"/>
    <x v="1"/>
    <s v=""/>
    <s v="00599-24"/>
    <s v=""/>
    <s v="Соглашение о возмещении убытков сельскохозяйственного производства, в т.ч. упущенной выгоды при временном занятии земельного участка"/>
    <s v="возмещение убытков сельскохозяйственного производства при временном занятии части земельного участка для размещения подъездного пути при бурении поисково-оценочной скважины 201 Надеждинск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4-10-14T00:00:00"/>
    <s v=""/>
    <s v="Д-82"/>
    <s v="Соглашение о сервитуте"/>
    <s v="Расходная часть"/>
    <s v="Стоимостной"/>
    <s v="13%"/>
    <s v=""/>
    <s v=""/>
    <s v="5 160.96"/>
    <s v="4 489.96"/>
    <n v="671"/>
    <s v="нет"/>
    <s v="нет"/>
    <s v=""/>
    <s v=""/>
    <s v=""/>
    <s v=""/>
    <s v="нет"/>
  </r>
  <r>
    <s v="Газпромнефть-ГЕО, ООО"/>
    <s v="0000087403"/>
    <s v="Зарегистрирован"/>
    <d v="2022-07-01T00:00:00"/>
    <s v=""/>
    <x v="392"/>
    <s v="8601065060"/>
    <s v=""/>
    <s v="ГЕО-22/33200/00147"/>
    <s v="ГЕО-22/33200/00147"/>
    <s v="Типовой ДД"/>
    <x v="1"/>
    <s v="33200 Соглашение об электронном документообороте"/>
    <s v="00600-22"/>
    <s v=""/>
    <s v="33200 Соглашение об электронном документообороте"/>
    <s v="Переход на ЭДО"/>
    <s v="Евстигнеев В.А."/>
    <s v="Евстигнеев В.А."/>
    <s v="Договорный документ"/>
    <s v="Управление производственной безопасности"/>
    <s v="Масалкин Ю.В."/>
    <s v="На бумажном носителе"/>
    <s v="Без сроков "/>
    <d v="2022-07-01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1360"/>
    <s v="Зарегистрирован"/>
    <d v="2023-10-31T00:00:00"/>
    <s v=""/>
    <x v="179"/>
    <s v="3905605417"/>
    <s v="ГЕО-22/09000/00093/Р"/>
    <s v=""/>
    <s v="4"/>
    <s v="Нетиповой ДД"/>
    <x v="0"/>
    <s v=""/>
    <s v="00600-23"/>
    <s v=""/>
    <s v="ДОПОЛНИТЕЛЬНОЕ СОГЛАШЕНИЕ 4 к Договору на оказание услуг № ГЕО-22/09000/00093/Р от 02.05.2022 г."/>
    <s v="Перевод негарантированного объема услуг 2024-2025 г.  в гарантированный и негарантированный объем услуг 2023 г , без изменения  общей стоимости и срока действия договора."/>
    <s v="Курашко М.В."/>
    <s v="Лейман Д.Д."/>
    <s v="Договорный документ"/>
    <s v="Управление по работе с персоналом"/>
    <s v="Игнатова Ю.В."/>
    <s v="На бумажном носителе"/>
    <s v="С ограничением по срокам "/>
    <d v="2023-10-31T00:00:00"/>
    <d v="2023-12-31T00:00:00"/>
    <s v="Д-66"/>
    <s v="Договор возмездного оказания услуг"/>
    <s v="Расходная часть"/>
    <s v="Стоимостной"/>
    <s v="без НДС"/>
    <s v=""/>
    <s v=""/>
    <s v="14 198 902.94"/>
    <s v="14 198 902.94"/>
    <n v="0"/>
    <s v="нет"/>
    <s v="нет"/>
    <s v=""/>
    <s v=""/>
    <s v=""/>
    <s v=""/>
    <s v="нет"/>
  </r>
  <r>
    <s v="Газпромнефть-ГЕО, ООО"/>
    <s v="0000118342"/>
    <s v="На подписании"/>
    <d v="2024-10-14T00:00:00"/>
    <s v=""/>
    <x v="374"/>
    <s v="563903290160"/>
    <s v=""/>
    <s v="ГЕО-24/33200/00167"/>
    <s v="ГЕО-24/33200/00167"/>
    <s v="Типовой ДД"/>
    <x v="1"/>
    <s v="33200 Соглашение об электронном документообороте"/>
    <s v="00600-24"/>
    <s v=""/>
    <s v="33200 Соглашение об электронном документообороте"/>
    <s v="Переход на электронный документооборот, ЭДО"/>
    <s v="Сазонова А.С."/>
    <s v="Сазонова А.С."/>
    <s v="Договорный документ"/>
    <s v="Управление маркшейдерско-землеустроительных работ"/>
    <s v="Ковтун М.А."/>
    <s v="На бумажном носителе"/>
    <s v="Без сроков "/>
    <d v="2024-10-14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2955"/>
    <s v="Зарегистрирован"/>
    <d v="2021-08-31T00:00:00"/>
    <s v=""/>
    <x v="127"/>
    <s v="8602068466"/>
    <s v="ГЕО-21/11031/00040/Р"/>
    <s v=""/>
    <s v="1"/>
    <s v="Нетиповой ДД"/>
    <x v="0"/>
    <s v=""/>
    <s v="00601-21"/>
    <s v=""/>
    <s v="Дополнительное соглашение №1 к Договору  №ГЕО-21/11031/00040/Р от 01.03.2021"/>
    <s v="Корректировка сроков по этапам календарного плана,  прочие административные изменения, переход на ЭДО"/>
    <s v="Крутова Е.С."/>
    <s v=""/>
    <s v="Договорный документ"/>
    <s v="Департамент капитального строительства"/>
    <s v="Перфильев Д.А."/>
    <s v="На бумажном носителе"/>
    <s v="До исполнения обязательств"/>
    <d v="2021-03-01T00:00:00"/>
    <s v=""/>
    <s v="Д-22"/>
    <s v="СМР Комплекс работ по разработке карьеров_x000a_(примечание: разработка карьеров грунта, в т.ч. гидронамывным способом)"/>
    <s v="Не предполагает взаиморасчетов"/>
    <s v="Стоимостной"/>
    <s v=""/>
    <s v=""/>
    <s v=""/>
    <s v=""/>
    <s v=""/>
    <s v=""/>
    <s v="нет"/>
    <s v="нет"/>
    <s v=""/>
    <s v=""/>
    <s v=""/>
    <s v=""/>
    <s v="нет"/>
  </r>
  <r>
    <s v="Газпромнефть-ГЕО, ООО"/>
    <s v="0000040952"/>
    <s v="Зарегистрирован"/>
    <d v="2022-06-27T00:00:00"/>
    <s v=""/>
    <x v="207"/>
    <s v="7203126844"/>
    <s v=""/>
    <s v="ГЕО-22/10000/00150/Р"/>
    <s v="ГЕО-22/10000/00150/Р"/>
    <s v="Нетиповой ДД"/>
    <x v="2"/>
    <s v=""/>
    <s v="00601-22"/>
    <s v=""/>
    <s v="Договор на оказание услуг по эксплуатации теплоэнергетического оборудования, сетей тепловодоснабжения и канализации  (10808)"/>
    <s v="Услуги по проведению пусконаладочных и режимно-наладочных работ на оборудовании водоподготовки, очистки хозяйственно-бытовых стоков и комплекса для термического обезвреживания отходов, проведение лабораторных исследований проб питьевой воды и сточных вод, поставка одного комплекта фильтрующих материалов в объёме одного обслуживания установки водоподготовки "/>
    <s v="Забиров А.А."/>
    <s v="Забиров А.А."/>
    <s v="Договорный документ"/>
    <s v="Производственно-технологический департамент"/>
    <s v="Перфильев Д.А."/>
    <s v="ЭП"/>
    <s v="С ограничением по срокам "/>
    <d v="2022-06-27T00:00:00"/>
    <d v="2022-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 400 020.76"/>
    <s v="1 166 683.97"/>
    <s v="233 336.79"/>
    <s v="нет"/>
    <s v="нет"/>
    <s v=""/>
    <s v=""/>
    <s v=""/>
    <s v=""/>
    <s v="нет"/>
  </r>
  <r>
    <s v="Газпромнефть-ГЕО, ООО"/>
    <s v="0000095835"/>
    <s v="Зарегистрирован"/>
    <d v="2023-11-01T00:00:00"/>
    <s v=""/>
    <x v="261"/>
    <s v="7729076392"/>
    <s v=""/>
    <s v="ГЕО-23/24000/00192/Р"/>
    <s v="ГЕО-23/24000/00192/Р"/>
    <s v="Нетиповой ДД"/>
    <x v="2"/>
    <s v=""/>
    <s v="00601-23"/>
    <s v=""/>
    <s v="24000 Рамочный лицензионный договор на предоставление или приобретение прав использования программ для электронных вычислительных машин (ЭВМ), предполагающий заключение, присоединение, выдачу дополнительного договорного документа "/>
    <s v="Предоставление неисключительного права (простой лицензии) на использование программного обеспечения «Система безопасного управления средой виртуализации zVirt» вендора Orion Soft"/>
    <s v="Безруков А.А."/>
    <s v="Попов В.А."/>
    <s v="Договорный документ"/>
    <s v="Блок геологии и разработки"/>
    <s v="Шакирзянов Л.Н."/>
    <s v="На бумажном носителе"/>
    <s v="До исполнения обязательств"/>
    <d v="2023-11-01T00:00:00"/>
    <s v=""/>
    <s v="Д-20"/>
    <s v="Лицензионный договор"/>
    <s v="Расходная часть"/>
    <s v="Стоимостной"/>
    <s v="без НДС"/>
    <s v=""/>
    <s v=""/>
    <s v="24 288 000.00"/>
    <s v="24 288 000.00"/>
    <n v="0"/>
    <s v="нет"/>
    <s v="нет"/>
    <s v=""/>
    <s v=""/>
    <s v=""/>
    <s v=""/>
    <s v="нет"/>
  </r>
  <r>
    <s v="Газпромнефть-ГЕО, ООО"/>
    <s v="0000066314"/>
    <s v="Зарегистрирован"/>
    <d v="2024-10-10T00:00:00"/>
    <d v="2025-12-31T00:00:00"/>
    <x v="74"/>
    <s v="7202242358"/>
    <s v="АНГ-19/11513/00010/Р"/>
    <s v=""/>
    <s v="18"/>
    <s v="Нетиповой ДД"/>
    <x v="3"/>
    <s v=""/>
    <s v="00601-24"/>
    <s v=""/>
    <s v="НАРЯД-ЗАКАЗ № 18 к Договору № АНГ-191151300010Р от 18 февраля 2019"/>
    <s v="Разработка подрядной организацией ООО &quot;Магеллан&quot; проекта рекультивации нарушенных земельных участков для объекта: Площадка базы подрядных организаций и размещения строительных материалов на ПК0 автозимника на площадку поисково-оценочной скважины № 1 Северо-Ямбургского ЛУ"/>
    <s v="Шевченко А.С."/>
    <s v="Расулов И.Ф."/>
    <s v="Договорный документ"/>
    <s v="Управление маркшейдерско-землеустроительных работ"/>
    <s v="Трифонов А.В."/>
    <s v="ЭП"/>
    <s v="С ограничением по срокам "/>
    <d v="2024-10-14T00:00:00"/>
    <d v="2024-11-28T00:00:00"/>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без НДС"/>
    <s v=""/>
    <s v=""/>
    <s v="244 902.70"/>
    <s v="244 902.70"/>
    <n v="0"/>
    <s v="нет"/>
    <s v="нет"/>
    <s v=""/>
    <s v=""/>
    <s v=""/>
    <s v=""/>
    <s v="нет"/>
  </r>
  <r>
    <s v="Газпромнефть-ГЕО, ООО"/>
    <s v="0000073305"/>
    <s v="Зарегистрирован"/>
    <d v="2021-08-31T00:00:00"/>
    <s v=""/>
    <x v="64"/>
    <s v="8904080406"/>
    <s v="ГЕО-21/11031/00101/Р"/>
    <s v=""/>
    <s v="1"/>
    <s v="Нетиповой ДД"/>
    <x v="0"/>
    <s v=""/>
    <s v="00602-21"/>
    <s v=""/>
    <s v="Дополнительное соглашение №1 к Договору №ГЕО-21/11031/00101/Р от 25.03.2021г."/>
    <s v="Корректировка сроков по этапам, прочие административные изменения, переход на ЭДО"/>
    <s v="Крутова Е.С."/>
    <s v=""/>
    <s v="Договорный документ"/>
    <s v="Департамент капитального строительства"/>
    <s v="Перфильев Д.А."/>
    <s v="На бумажном носителе"/>
    <s v="До исполнения обязательств"/>
    <d v="2021-03-25T00:00:00"/>
    <s v=""/>
    <s v="Д-22"/>
    <s v="СМР Комплекс работ по разработке карьеров_x000a_(примечание: разработка карьеров грунта, в т.ч. гидронамывным способом)"/>
    <s v="Не предполагает взаиморасчетов"/>
    <s v="Стоимостной"/>
    <s v=""/>
    <s v=""/>
    <s v=""/>
    <s v=""/>
    <s v=""/>
    <s v=""/>
    <s v="нет"/>
    <s v="нет"/>
    <s v=""/>
    <s v=""/>
    <s v=""/>
    <s v=""/>
    <s v="нет"/>
  </r>
  <r>
    <s v="Газпромнефть-ГЕО, ООО"/>
    <s v="0000057650"/>
    <s v="Зарегистрирован"/>
    <d v="2023-10-24T00:00:00"/>
    <s v=""/>
    <x v="393"/>
    <s v="8901001822"/>
    <s v=""/>
    <s v="ГЕО-23/01200/00180/Д"/>
    <s v="ГЕО-23/01200/00180/Д"/>
    <s v="Нетиповой ДД"/>
    <x v="2"/>
    <s v=""/>
    <s v="00602-23"/>
    <s v=""/>
    <s v="Договор поставки "/>
    <s v="Коллеги, добрый день!_x000a_По запросу от ГПН-Ямал, на основании ранее подготовленного и согласованного КП на реализацию с баланса ГПН-ГЕО резервуара РС-500, проводим реализацию. _x000a_Резервуар РС-500 был закуплен в 2019 году для проекта Южный Ямал по цене 498 000,00 руб. без НДС, но не был вовлечен в производство в связи с переносом старта проекта._x000a_С 2019 года резервуар хранился на сладе ГПН-Снабжение в г. Лабытнанги, на проектах ГПН-ГЕО не востребован (подтверждение служб приложено, дополнительно приложен протокол ПДК). _x000a_Цена сформирована на основе независимой оцени и составляет 490 854,88 руб. без НДС._x000a_Прошу рассмотреть и согласовать договор. _x000a_"/>
    <s v="Нежальских В.А."/>
    <s v="Нежальских В.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3-10-24T00:00:00"/>
    <d v="2023-12-31T00:00:00"/>
    <s v="Д-56"/>
    <s v="Договор поставки/купли продажи движимого имущества"/>
    <s v="Доходная часть"/>
    <s v="Стоимостной"/>
    <s v="20%"/>
    <s v=""/>
    <s v=""/>
    <s v="589 025.86"/>
    <s v="490 854.88"/>
    <s v="98 170.98"/>
    <s v="нет"/>
    <s v="нет"/>
    <s v=""/>
    <s v=""/>
    <s v=""/>
    <s v=""/>
    <s v="нет"/>
  </r>
  <r>
    <s v="Газпромнефть-ГЕО, ООО"/>
    <s v="0000019598"/>
    <s v="Зарегистрирован"/>
    <d v="2021-09-02T00:00:00"/>
    <s v=""/>
    <x v="63"/>
    <s v="9909012867"/>
    <s v="ГЕО-21/10421/00132/Р"/>
    <s v=""/>
    <s v="2"/>
    <s v="Нетиповой ДД"/>
    <x v="0"/>
    <s v=""/>
    <s v="00603-21"/>
    <s v=""/>
    <s v="Дополнительное соглашение №2 к Договору №ГЕО-21/10421/00132/Р от 14.06.2021г. на проведение операции по закачке азота в пласт"/>
    <s v="Раскрытие негарантированного объема"/>
    <s v="Рымаренко А.А."/>
    <s v="Рымаренко А.А."/>
    <s v="Договорный документ"/>
    <s v="Управление внутрискважинных работ"/>
    <s v="Гаврилов С.В."/>
    <s v="На бумажном носителе"/>
    <s v="С ограничением по срокам "/>
    <d v="2021-09-02T00:00:00"/>
    <d v="2021-12-31T00:00:00"/>
    <s v=""/>
    <s v="Аренда азотной установки для скважин"/>
    <s v="Не предполагает взаиморасчетов"/>
    <s v="Стоимостной"/>
    <s v=""/>
    <s v=""/>
    <s v=""/>
    <s v=""/>
    <s v=""/>
    <s v=""/>
    <s v="нет"/>
    <s v="нет"/>
    <s v=""/>
    <s v=""/>
    <s v=""/>
    <s v=""/>
    <s v="нет"/>
  </r>
  <r>
    <s v="Газпромнефть-ГЕО, ООО"/>
    <s v="0000084590"/>
    <s v="Зарегистрирован"/>
    <d v="2023-11-03T00:00:00"/>
    <s v=""/>
    <x v="61"/>
    <s v="7708277130"/>
    <s v="ГЕО-23/09000/00149/Р"/>
    <s v=""/>
    <s v="1"/>
    <s v="Нетиповой ДД"/>
    <x v="4"/>
    <s v=""/>
    <s v="00603-23"/>
    <s v="2"/>
    <s v="Изменение №1 к Заявке № 2"/>
    <s v="1._x0009_Изложить раздел 1, Заявки № 2 к Договору № ГЕО-23/09000/00149/Р от 25.09.2023 г. в части Ф.И.О. работника в следующей редакции:_x000a_- Москаленко Евгений Николаевич._x000a_- Учайкин Иван Сергеевич."/>
    <s v="Фокин Е.В."/>
    <s v="Фокин Е.В."/>
    <s v="Договорный документ"/>
    <s v="Управление производственной безопасности"/>
    <s v="Михайлов Ю.А."/>
    <s v="ЭП"/>
    <s v="С ограничением по срокам "/>
    <d v="2023-10-20T00:00:00"/>
    <d v="2024-01-31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0000105641"/>
    <s v="На подписании ЭП"/>
    <d v="2024-10-28T00:00:00"/>
    <s v=""/>
    <x v="133"/>
    <s v="8619017847"/>
    <s v="ГЕО-23/10000/00202/Д"/>
    <s v=""/>
    <s v="1"/>
    <s v="Нетиповой ДД"/>
    <x v="4"/>
    <s v=""/>
    <s v="00603-24"/>
    <s v="1"/>
    <s v="Изменение НЗ №1 к Договору №MOS/23/0080/ГЕО-23/10000/00202/Д от «06» декабря 2023 года "/>
    <s v="Изменение Общей стоимости Наряд-заказа №1 и Приложения №3 Расчет стоимости работ к НЗ №1 (перераспределение затрат по статьям)"/>
    <s v="Котова А.М."/>
    <s v="Котова А.М."/>
    <s v="Договорный документ"/>
    <s v="Управление экономического планирования и анализа"/>
    <s v="Аксенов М.А."/>
    <s v="ЭП"/>
    <s v="С ограничением по срокам "/>
    <d v="2024-10-28T00:00:00"/>
    <d v="2027-12-31T00:00:00"/>
    <s v="Д-4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Рамочный"/>
    <s v="20%"/>
    <s v=""/>
    <s v=""/>
    <s v="602 820 690.43"/>
    <s v="502 350 575.36"/>
    <s v="100 470 115.07"/>
    <s v="нет"/>
    <s v="нет"/>
    <s v=""/>
    <s v=""/>
    <s v=""/>
    <s v=""/>
    <s v="нет"/>
  </r>
  <r>
    <s v="Газпромнефть-ГЕО, ООО"/>
    <s v="0000104605"/>
    <s v="Зарегистрирован"/>
    <d v="2023-11-01T00:00:00"/>
    <s v=""/>
    <x v="55"/>
    <s v="9705112341"/>
    <s v="ГЕО-23/10000/00067/Р"/>
    <s v=""/>
    <s v="3"/>
    <s v="Нетиповой ДД"/>
    <x v="3"/>
    <s v=""/>
    <s v="00604-23"/>
    <s v=""/>
    <s v="Наряд-заказ №3 на оказание услуг  по Договору №ГЕО-23/10000/00067/Р от &quot;31&quot; марта 2023г."/>
    <s v="Заключение Наряд-заказа №3 на оказание услуг по Договору №ГЕО-23/10000/00067/Р от &quot;31&quot; марта 2023г."/>
    <s v="Мячина М.В."/>
    <s v="Мячина М.В."/>
    <s v="Договорный документ"/>
    <s v="Отдел подготовительных работ и экономического анализа"/>
    <s v="Трифонов А.В."/>
    <s v="ЭП"/>
    <s v="С ограничением по срокам "/>
    <d v="2023-11-01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 071 560.00"/>
    <s v="1 726 300.00"/>
    <s v="345 260.00"/>
    <s v="нет"/>
    <s v="нет"/>
    <s v=""/>
    <s v=""/>
    <s v=""/>
    <s v=""/>
    <s v="нет"/>
  </r>
  <r>
    <s v="Газпромнефть-ГЕО, ООО"/>
    <s v="0000084590"/>
    <s v="Проект"/>
    <d v="2024-11-16T00:00:00"/>
    <s v=""/>
    <x v="61"/>
    <s v="7708277130"/>
    <s v="ГЕО-23/09000/00149/Р"/>
    <s v=""/>
    <s v=""/>
    <s v="Нетиповой ДД"/>
    <x v="7"/>
    <s v=""/>
    <s v="00604-24"/>
    <s v=""/>
    <s v="Заявка № 28 (РГ по ПБ в сейсморазведке) к договору о предоставлении труда работников (персонала) № ГЕО-23/09000/00149/Р от 28.08.2023 г."/>
    <s v="Рассмотрение вопроса о возможности заключения Заявки № 28 на привлечение руководителя группы по производственной безопасности в сейсморазведке для объекта Южно-Ямской ЛУ, ХМАО, Уральский федеральный округ. в рамках Договора № ГЕО-23/09000/00149/Р от «28» августа 2023 г. со ООО «Свифт Текникал» на оказание услуг по предоставлению труда работников (персонала), путем временного направления своих работников с их согласия к Заказчику для выполнения этими Работниками их трудовых функций в интересах, под управлением и контролем Заказчика."/>
    <s v="Фокин Е.В."/>
    <s v="Фокин Е.В."/>
    <s v="Договорный документ"/>
    <s v="Управление производственной безопасности"/>
    <s v="Михайлов Ю.А."/>
    <s v="ЭП"/>
    <s v="С ограничением по срокам "/>
    <d v="2024-11-16T00:00:00"/>
    <d v="2025-04-12T00:00:00"/>
    <s v="Д-40"/>
    <s v="Договор возмездного оказания услуг"/>
    <s v="Расходная часть"/>
    <s v="Рамочный"/>
    <s v="20%"/>
    <s v=""/>
    <s v=""/>
    <s v="4 054 784.53"/>
    <s v="3 378 987.11"/>
    <s v="675 797.42"/>
    <s v="нет"/>
    <s v="нет"/>
    <s v=""/>
    <s v=""/>
    <s v=""/>
    <s v=""/>
    <s v="нет"/>
  </r>
  <r>
    <s v="Газпромнефть-ГЕО, ООО"/>
    <s v=""/>
    <s v="Зарегистрирован"/>
    <d v="2022-07-01T00:00:00"/>
    <s v=""/>
    <x v="394"/>
    <s v=""/>
    <s v=""/>
    <s v="ГЕО-22/10000/00155/Р"/>
    <s v="ГЕО-22/10000/00155/Р"/>
    <s v="Нетиповой ДД"/>
    <x v="2"/>
    <s v=""/>
    <s v="00605-22"/>
    <s v=""/>
    <s v="10901 Договор на выполнение работ по услуге «Специальная оценка условий труда»"/>
    <s v="услуги по проведению специальной оценки условий труда с проведением необходимых лабораторных измерений и составлением всей необходимой документации "/>
    <s v="Коваленко М.В."/>
    <s v="Петушкова Виктория Евгеньевна"/>
    <s v="Договорный документ"/>
    <s v="Управление закупок работ и услуг"/>
    <s v="Власов М.М."/>
    <s v="На бумажном носителе"/>
    <s v="С ограничением по срокам "/>
    <d v="2022-07-01T00:00:00"/>
    <d v="2025-04-30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2252436.9"/>
    <s v="3 598 571.14"/>
    <s v="2 998 809.28"/>
    <s v="599 761.86"/>
    <s v="да"/>
    <s v="нет"/>
    <s v=""/>
    <s v=""/>
    <s v=""/>
    <s v=""/>
    <s v="нет"/>
  </r>
  <r>
    <s v="Газпромнефть-ГЕО, ООО"/>
    <s v="0000058271"/>
    <s v="Зарегистрирован"/>
    <d v="2023-11-17T00:00:00"/>
    <s v=""/>
    <x v="42"/>
    <s v="7725696878"/>
    <s v="ГЕО-19/11708/00133/Р от 25.06.2019"/>
    <s v=""/>
    <s v="25"/>
    <s v="Нетиповой ДД"/>
    <x v="3"/>
    <s v=""/>
    <s v="00605-23"/>
    <s v=""/>
    <s v="Заказ-Наряд №25 к договору №ГЕО-19/11708/00133/Р от 25.06.2019"/>
    <s v="Создание единой программы воспроизводства минерально-сырьевой базы Нерутинской зоны (часть 1)"/>
    <s v="Коротков С.П."/>
    <s v=""/>
    <s v="Договорный документ"/>
    <s v="Управление по разработке"/>
    <s v="Аксенов М.А."/>
    <s v="ЭП"/>
    <s v="С ограничением по срокам "/>
    <d v="2023-11-17T00:00:00"/>
    <d v="2024-03-22T00:00:00"/>
    <s v="Д-54"/>
    <s v="НИОКР, НИР прочие"/>
    <s v="Расходная часть"/>
    <s v="Рамочный"/>
    <s v="20%"/>
    <s v=""/>
    <s v=""/>
    <s v="221 236 398.28"/>
    <s v="184 363 665.23"/>
    <s v="36 872 733.05"/>
    <s v="нет"/>
    <s v="нет"/>
    <s v=""/>
    <s v=""/>
    <s v=""/>
    <s v=""/>
    <s v="нет"/>
  </r>
  <r>
    <s v="Газпромнефть-ГЕО, ООО"/>
    <s v="0000099166"/>
    <s v="Закрыт"/>
    <d v="2021-09-13T00:00:00"/>
    <s v=""/>
    <x v="101"/>
    <s v="5648004029"/>
    <s v=""/>
    <s v="ГЕО-21/04300/00199/Р"/>
    <s v="ГЕО-21/04300/00199/Р"/>
    <s v="Нетиповой ДД"/>
    <x v="2"/>
    <s v=""/>
    <s v="00606-21"/>
    <s v=""/>
    <s v="Договор субаренды земельного участка"/>
    <s v="Прием во временное владение и пользование части земельного участка для строительства подъездного пути к скважине №341ПО Солнечного ЛУ"/>
    <s v="Федоров А.Г."/>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9-10T00:00:00"/>
    <d v="2022-08-09T00:00:00"/>
    <s v="Д-22"/>
    <s v="Договор аренды недвижимости"/>
    <s v="Расходная часть"/>
    <s v="Стоимостной"/>
    <s v="20%"/>
    <s v=""/>
    <s v=""/>
    <s v="782 100.00"/>
    <s v="651 750.00"/>
    <s v="130 350.00"/>
    <s v="нет"/>
    <s v="нет"/>
    <s v=""/>
    <s v=""/>
    <s v=""/>
    <s v=""/>
    <s v="нет"/>
  </r>
  <r>
    <s v="Газпромнефть-ГЕО, ООО"/>
    <s v="0000058271"/>
    <s v="Зарегистрирован"/>
    <d v="2023-11-21T00:00:00"/>
    <s v=""/>
    <x v="42"/>
    <s v="7725696878"/>
    <s v="ГЕО-19/11708/00133/Р от 25.06.2019"/>
    <s v=""/>
    <s v="26"/>
    <s v="Нетиповой ДД"/>
    <x v="3"/>
    <s v=""/>
    <s v="00606-23"/>
    <s v=""/>
    <s v="Заказ-Наряд №26 к договору №ГЕО-19/11708/00133/Р от 25.06.2019"/>
    <s v="Быстрые победы 2кв  24г. Научно исследовательские работы по оценке перспективности действующих участков с целью доизучения в периметре территории деятельности АО «Газпромнефть ННГ»"/>
    <s v="Коротков С.П."/>
    <s v=""/>
    <s v="Договорный документ"/>
    <s v="Управление по разработке"/>
    <s v="Аксенов М.А."/>
    <s v="ЭП"/>
    <s v="С ограничением по срокам "/>
    <d v="2023-11-21T00:00:00"/>
    <d v="2024-06-25T00:00:00"/>
    <s v="Д-54"/>
    <s v="НИОКР, НИР прочие"/>
    <s v="Расходная часть"/>
    <s v="Рамочный"/>
    <s v="20%"/>
    <s v=""/>
    <s v=""/>
    <s v="53 719 376.40"/>
    <s v="44 766 147.00"/>
    <s v="8 953 229.40"/>
    <s v="нет"/>
    <s v="нет"/>
    <s v=""/>
    <s v=""/>
    <s v=""/>
    <s v=""/>
    <s v="нет"/>
  </r>
  <r>
    <s v="Газпромнефть-ГЕО, ООО"/>
    <s v="0000039714"/>
    <s v="Подписание ЭП контрагентом"/>
    <d v="2024-10-29T00:00:00"/>
    <s v=""/>
    <x v="1"/>
    <s v="7734033757"/>
    <s v=""/>
    <s v="ГЕО-24/10000/00177/Р"/>
    <s v="ГЕО-24/10000/00177/Р"/>
    <s v="Нетиповой ДД"/>
    <x v="2"/>
    <s v=""/>
    <s v="00606-24"/>
    <s v=""/>
    <s v="Договор с ЦГЭ на оказание Супервайзерских услуг полевых работ площадными геофизическими методами"/>
    <s v="Супервайзерские услуги полевых работ площадными геофизическими методами на лицензионных участках дочерних обществ (ДО) ПАО «Газпром нефть» и совместных предприятий (СП) в 2024-2027 гг. "/>
    <s v="Васильева А.И."/>
    <s v="Дакиров В.С."/>
    <s v="Договорный документ"/>
    <s v="Блок геологии и разработки"/>
    <s v="Трифонов А.В."/>
    <s v="ЭП"/>
    <s v="С ограничением по срокам "/>
    <d v="2024-12-01T00:00:00"/>
    <d v="2027-12-31T00:00:00"/>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3017689"/>
    <s v="62 576 046.96"/>
    <s v="52 146 705.80"/>
    <s v="10 429 341.16"/>
    <s v="да"/>
    <s v="нет"/>
    <s v=""/>
    <s v=""/>
    <s v=""/>
    <s v=""/>
    <s v="нет"/>
  </r>
  <r>
    <s v="Газпромнефть-ГЕО, ООО"/>
    <s v="0000084039"/>
    <s v="Зарегистрирован"/>
    <d v="2021-09-15T00:00:00"/>
    <s v=""/>
    <x v="395"/>
    <s v="3443110618"/>
    <s v="ГЕО-20/10919/00072/Р "/>
    <s v=""/>
    <s v="3"/>
    <s v="Нетиповой ДД"/>
    <x v="0"/>
    <s v=""/>
    <s v="00607-21"/>
    <s v=""/>
    <s v="Дополнительное соглашение № 3 к Договору на оказание услуг по разработке разрешительной природоохранной документации № ГЕО-20/10919/00072/Р от 12.05.2020 г."/>
    <s v="Внесение изменений в Приложение № 1"/>
    <s v="Липатова О.И."/>
    <s v="Липатова О.И."/>
    <s v="Договорный документ"/>
    <s v="Отдел экологической безопасности"/>
    <s v="Власов М.М."/>
    <s v="На бумажном носителе"/>
    <s v="С ограничением по срокам "/>
    <d v="2021-09-15T00:00:00"/>
    <d v="2023-12-31T00:00:00"/>
    <s v="Д-30"/>
    <s v="Разработка разрешительной природоохранной документации"/>
    <s v="Не предполагает взаиморасчетов"/>
    <s v=""/>
    <s v=""/>
    <s v=""/>
    <s v=""/>
    <s v=""/>
    <s v=""/>
    <s v=""/>
    <s v="нет"/>
    <s v="нет"/>
    <s v=""/>
    <s v=""/>
    <s v=""/>
    <s v=""/>
    <s v="нет"/>
  </r>
  <r>
    <s v="Газпромнефть-ГЕО, ООО"/>
    <s v="0000093917"/>
    <s v="Зарегистрирован"/>
    <d v="2022-06-01T00:00:00"/>
    <s v=""/>
    <x v="9"/>
    <s v="5609193118"/>
    <s v="ГЕО-20/10986/00128/Р"/>
    <s v=""/>
    <s v="5"/>
    <s v="Нетиповой ДД"/>
    <x v="0"/>
    <s v=""/>
    <s v="00607-22"/>
    <s v=""/>
    <s v="Дополнительное соглашение №5 к Договору №ГЕО-20/10986/00128/Р от 07.08.2020 г. "/>
    <s v="Оказание услуг по защите персонала от возможного воздействия сероводорода. Перевод негарантированного объёма услгу из Солнечного ЛУ 2023 года в негаранитрованный объём услуг Лескинского ЛУ 2022 года. "/>
    <s v="Хабибуллин Т.Ф."/>
    <s v="Хабибуллин Т.Ф."/>
    <s v="Договорный документ"/>
    <s v="Отдел по промышленной и пожарной безопасности"/>
    <s v="Масалкин Ю.В."/>
    <s v="На бумажном носителе"/>
    <s v="Без сроков "/>
    <d v="2022-06-01T00:00:00"/>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40 029 447.10"/>
    <s v="200 024 539.25"/>
    <s v="40 004 907.85"/>
    <s v="нет"/>
    <s v="нет"/>
    <s v=""/>
    <s v=""/>
    <s v=""/>
    <s v=""/>
    <s v="нет"/>
  </r>
  <r>
    <s v="Газпромнефть-ГЕО, ООО"/>
    <s v="0000096939"/>
    <s v="Зарегистрирован"/>
    <d v="2024-10-22T00:00:00"/>
    <d v="2025-12-31T00:00:00"/>
    <x v="396"/>
    <s v="1653001805"/>
    <s v=""/>
    <s v="ГЕО-24/26000/00174"/>
    <s v="ГЕО-24/26000/00174"/>
    <s v="Типовой ДД"/>
    <x v="1"/>
    <s v="26000 Соглашение о конфиденциальности с российским контрагентом"/>
    <s v="00607-24"/>
    <s v=""/>
    <s v="26000 Соглашение о конфиденциальности с российским контрагентом"/>
    <s v="Заключение СОК для заключения договора финансирования (по агентской схеме) и в ходе оказания услуг по договору финансирования (по агентской схеме)."/>
    <s v="Коростелев И.С."/>
    <s v="Коростелев И.С."/>
    <s v="Договорный документ"/>
    <s v="Финансовое управление"/>
    <s v="Созинов С.А."/>
    <s v="ЭП"/>
    <s v="С ограничением по срокам "/>
    <d v="2024-10-28T00:00:00"/>
    <d v="2029-10-27T00:00:00"/>
    <s v="Д-31"/>
    <s v="Соглашение о конфиденциальности"/>
    <s v="Не предполагает взаиморасчетов"/>
    <s v=""/>
    <s v=""/>
    <s v=""/>
    <s v=""/>
    <s v=""/>
    <s v=""/>
    <s v=""/>
    <s v="нет"/>
    <s v="нет"/>
    <s v=""/>
    <s v=""/>
    <s v=""/>
    <s v=""/>
    <s v="нет"/>
  </r>
  <r>
    <s v="Газпромнефть-ГЕО, ООО"/>
    <s v="0000048356"/>
    <s v="Зарегистрирован"/>
    <d v="2022-06-28T00:00:00"/>
    <s v=""/>
    <x v="152"/>
    <s v="8601034898"/>
    <s v="ГЕО-22/10000/00144/Р"/>
    <s v=""/>
    <s v="1"/>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608-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в договор условий применения усиленной квалифицированной электронной подписи"/>
    <s v="Рябикина М.А."/>
    <s v="Морозов А.В."/>
    <s v="Договорный документ"/>
    <s v="Блок производственной безопасности"/>
    <s v="Власов М.М."/>
    <s v="На бумажном носителе"/>
    <s v="С ограничением по срокам "/>
    <d v="2022-06-28T00:00:00"/>
    <d v="2026-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76283"/>
    <s v="Зарегистрирован"/>
    <d v="2023-11-07T00:00:00"/>
    <s v=""/>
    <x v="28"/>
    <s v="4501174492"/>
    <s v="ГЕО-22/11000/00267/Р"/>
    <s v=""/>
    <s v="2"/>
    <s v="Нетиповой ДД"/>
    <x v="4"/>
    <s v=""/>
    <s v="00608-23"/>
    <s v="ЗК № 2 к Д № ГЕО-22/11000/00267/Р"/>
    <s v="ИЗМ №2 к НЗ №2 Уралгеопроект, ООО  к договору ГЕО-22/11000/00267/Р от 10.10.2022"/>
    <s v="ИЗМ №2 к НЗ №2 Уралгеопроект, ООО  к договору ГЕО-22/11000/00267/Р от 10.10.2022. Выполнению инженерных изысканий для нужд ООО «ГПН-ГЕО»."/>
    <s v="Мормышев А.А."/>
    <s v="Салахутдинов Р.С."/>
    <s v="Договорный документ"/>
    <s v="Департамент капитального строительства"/>
    <s v="Трифонов А.В."/>
    <s v="ЭП"/>
    <s v="До исполнения обязательств"/>
    <d v="2023-11-07T00:00:00"/>
    <s v=""/>
    <s v="Д-33"/>
    <s v="Капитальное строительство и ПИР"/>
    <s v="Расходная часть"/>
    <s v="Стоимостной"/>
    <s v="20%"/>
    <s v=""/>
    <s v="20205462.82"/>
    <s v="49 731 241.58"/>
    <s v="41 442 701.32"/>
    <s v="8 288 540.26"/>
    <s v="да"/>
    <s v="нет"/>
    <s v=""/>
    <s v=""/>
    <s v=""/>
    <s v=""/>
    <s v="нет"/>
  </r>
  <r>
    <s v="Газпромнефть-ГЕО, ООО"/>
    <s v="0000093724"/>
    <s v="Зарегистрирован"/>
    <d v="2024-10-17T00:00:00"/>
    <d v="2025-12-31T00:00:00"/>
    <x v="129"/>
    <s v="8601057334"/>
    <s v="ГЕО-23/08000/00156/Р"/>
    <s v=""/>
    <s v="3"/>
    <s v="Нетиповой ДД"/>
    <x v="0"/>
    <s v=""/>
    <s v="00608-24"/>
    <s v=""/>
    <s v="Дополнительное соглашение №3 к договору ГЕО-23/08000/00156/Р от 18.08.2023г. с ООО &quot;АЛАТАУ-7&quot; "/>
    <s v="Дополнительное соглашение об изменении единичных расценок"/>
    <s v="Кузнецов В.Э."/>
    <s v=""/>
    <s v="Договорный документ"/>
    <s v="Блок геологии и разработки"/>
    <s v="Трифонов А.В."/>
    <s v="ЭП"/>
    <s v="С ограничением по срокам "/>
    <d v="2024-07-01T00:00:00"/>
    <d v="2024-12-31T00:00:00"/>
    <s v="Д-45"/>
    <s v="Договор на выполнение НИР, ОКР и технологических работ"/>
    <s v="Расходная часть"/>
    <s v="Рамочный"/>
    <s v="20%"/>
    <s v=""/>
    <s v="589524637.13"/>
    <s v="1 139 473 437.16"/>
    <s v="949 561 197.63"/>
    <s v="189 912 239.53"/>
    <s v="да"/>
    <s v="нет"/>
    <s v=""/>
    <s v=""/>
    <s v=""/>
    <s v=""/>
    <s v="нет"/>
  </r>
  <r>
    <s v="Газпромнефть-ГЕО, ООО"/>
    <s v="0000076851"/>
    <s v="Подписание ЭП контрагентом"/>
    <d v="2024-10-15T00:00:00"/>
    <s v=""/>
    <x v="48"/>
    <s v="2466091092"/>
    <s v="ГЕО-22/11000/00274/Р"/>
    <s v=""/>
    <s v="1"/>
    <s v="Нетиповой ДД"/>
    <x v="4"/>
    <s v=""/>
    <s v="00609-24"/>
    <s v="НЗ №8 "/>
    <s v="Изменение №1 к Наряд-заказу №8 к Договору № ГЕО-22/11000/00274/Р от 14.10.2022г."/>
    <s v="На выполнение проектных работ"/>
    <s v="Шолохова И.А."/>
    <s v="Салахутдинов Р.С."/>
    <s v="Договорный документ"/>
    <s v="Управление проектно-изыскательских работ"/>
    <s v="Трифонов А.В."/>
    <s v="ЭП"/>
    <s v="До исполнения обязательств"/>
    <d v="2024-10-15T00:00:00"/>
    <s v=""/>
    <s v="Д-45"/>
    <s v="Капитальное строительство и ПИР"/>
    <s v="Расходная часть"/>
    <s v="Рамочный"/>
    <s v="20%"/>
    <s v=""/>
    <s v=""/>
    <s v="22 945 287.30"/>
    <s v="19 121 072.75"/>
    <s v="3 824 214.55"/>
    <s v="нет"/>
    <s v="нет"/>
    <s v=""/>
    <s v=""/>
    <s v=""/>
    <s v=""/>
    <s v="нет"/>
  </r>
  <r>
    <s v="Газпромнефть-ГЕО, ООО"/>
    <s v="0000000059"/>
    <s v="Обработка результатов согласования"/>
    <s v=""/>
    <s v=""/>
    <x v="131"/>
    <s v="8905000428"/>
    <s v="№ ГЕО-22/09000/00102/Д "/>
    <s v=""/>
    <s v=""/>
    <s v="Нетиповой ДД"/>
    <x v="0"/>
    <s v=""/>
    <s v="00610-22"/>
    <s v=""/>
    <s v="Дополнительное соглашение №1 к Договору № ГЕО-22/09000/00102/Д "/>
    <s v="Измение сроков выполнения работ по 2 Этапу"/>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2-06-30T00:00:00"/>
    <d v="2022-12-31T00:00:00"/>
    <s v="Д-16"/>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71220"/>
    <s v="Зарегистрирован"/>
    <d v="2023-11-15T00:00:00"/>
    <s v=""/>
    <x v="51"/>
    <s v="5401950707"/>
    <s v="ГЕО-23/10000/00054/Р"/>
    <s v=""/>
    <s v="1"/>
    <s v="Типовой ДД"/>
    <x v="0"/>
    <s v="ДС по актуализации методологии оценки эффективности деятельности контрагентов и мотивации в области ПБ в действующих договорах"/>
    <s v="00610-23"/>
    <s v=""/>
    <s v="ДС по актуализации методологии оценки эффективности деятельности контрагентов и мотивации в области ПБ в действующих договорах"/>
    <s v="Актуализация подходов ОЭДК в соответствии с п.5 - 6 Решения операционного комитета от 15.05.2023"/>
    <s v="Безруков А.А."/>
    <s v="Чернов И.В."/>
    <s v="Договорный документ"/>
    <s v="Блок геологии и разработки"/>
    <s v="Шакирзянов Л.Н."/>
    <s v="ЭП"/>
    <s v="До исполнения обязательств"/>
    <d v="2023-11-15T00:00:00"/>
    <s v=""/>
    <s v="Д-2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Проект"/>
    <s v=""/>
    <s v=""/>
    <x v="58"/>
    <s v=""/>
    <s v=""/>
    <s v=""/>
    <s v=""/>
    <s v="Типовой ДД"/>
    <x v="1"/>
    <s v="33200 Соглашение об электронном документообороте"/>
    <s v="00610-24"/>
    <s v=""/>
    <s v="33200 Соглашение об электронном документообороте"/>
    <s v=""/>
    <s v="Паркина И.А."/>
    <s v=""/>
    <s v="Договорный документ"/>
    <s v="Отдел подготовительных работ и экономического анализа"/>
    <s v=""/>
    <s v=""/>
    <s v=""/>
    <s v=""/>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7295"/>
    <s v="Зарегистрирован"/>
    <d v="2022-10-10T00:00:00"/>
    <s v=""/>
    <x v="150"/>
    <s v="7708639661"/>
    <s v="ГЕО-22/10419/00039/Р"/>
    <s v=""/>
    <s v="2"/>
    <s v="Нетиповой ДД"/>
    <x v="0"/>
    <s v=""/>
    <s v="00611-22"/>
    <s v=""/>
    <s v="Дополнительное соглашение №2 к договору №ГЕО-22/10419/00039/Р от 21.02.2022 г."/>
    <s v="применить новые сроки оплаты, в соответствии с пунктом 1.2.7. Протокола ЭС по управлению взаимоотношениями с контрагентами БРД ПАО «Газпром нефть» от 09.03.2022 (14 к.дн.)"/>
    <s v="Раковица Д.К."/>
    <s v=""/>
    <s v="Договорный документ"/>
    <s v="Отдел подготовительных работ и экономического анализа"/>
    <s v="Трифонов А.В."/>
    <s v="ЭП"/>
    <s v="С ограничением по срокам "/>
    <d v="2022-10-10T00:00:00"/>
    <d v="2022-12-31T00:00:00"/>
    <s v="Д-33"/>
    <s v="Услуги  по свинчиванию и спуску труб и НКТ, включая оборудование, инженерную поддержку и инструменты. Запись и предоставлнение момента свинчивания в цифровом виде"/>
    <s v="Не предполагает взаиморасчетов"/>
    <s v="Стоимостной"/>
    <s v=""/>
    <s v=""/>
    <s v=""/>
    <s v=""/>
    <s v=""/>
    <s v=""/>
    <s v="нет"/>
    <s v="нет"/>
    <s v=""/>
    <s v=""/>
    <s v=""/>
    <s v=""/>
    <s v="нет"/>
  </r>
  <r>
    <s v="Газпромнефть-ГЕО, ООО"/>
    <s v="0000060716"/>
    <s v="Зарегистрирован"/>
    <d v="2024-10-01T00:00:00"/>
    <d v="2025-12-31T00:00:00"/>
    <x v="18"/>
    <s v="7728803870"/>
    <s v="ГЕО-21/10303/00204/Р"/>
    <s v=""/>
    <s v="17"/>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611-24"/>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Применение УПД (универсальный передаточный документ) в рамках ЭДО."/>
    <s v="Паркина И.А."/>
    <s v="Паркина И.А."/>
    <s v="Договорный документ"/>
    <s v="Отдел подготовительных работ и экономического анализа"/>
    <s v="Трифонов А.В."/>
    <s v="ЭП"/>
    <s v="До исполнения обязательств"/>
    <d v="2024-10-01T00:00:00"/>
    <s v=""/>
    <s v="Д-45"/>
    <s v="Приготовление и инженерное сопровождение буровых растворов"/>
    <s v="Расходная часть"/>
    <s v="Стоимостной"/>
    <s v="20%"/>
    <s v=""/>
    <s v=""/>
    <n v="0"/>
    <n v="0"/>
    <n v="0"/>
    <s v="нет"/>
    <s v="нет"/>
    <s v=""/>
    <s v=""/>
    <s v=""/>
    <s v=""/>
    <s v="нет"/>
  </r>
  <r>
    <s v="Газпромнефть-ГЕО, ООО"/>
    <s v=""/>
    <s v="Зарегистрирован"/>
    <d v="2021-09-07T00:00:00"/>
    <s v=""/>
    <x v="397"/>
    <s v=""/>
    <s v=""/>
    <s v="ГЕО-21/26000/00223"/>
    <s v="ГЕО-21/26000/00223"/>
    <s v="Типовой ДД"/>
    <x v="1"/>
    <s v="26000 Соглашение о конфиденциальности с российским контрагентом"/>
    <s v="00612-21"/>
    <s v=""/>
    <s v="26000 Соглашение о конфиденциальности с российским контрагентом"/>
    <s v="проведение тестировании новых видоd жидкости ГРП на керне по проекту «Большая Ачимовка» "/>
    <s v="Рымаренко А.А."/>
    <s v="Рымаренко А.А."/>
    <s v="Договорный документ"/>
    <s v="Управление внутрискважинных работ"/>
    <s v="Масалкин Ю.В."/>
    <s v="На бумажном носителе"/>
    <s v="С ограничением по срокам "/>
    <d v="2021-09-07T00:00:00"/>
    <d v="2024-10-01T00:00:00"/>
    <s v=""/>
    <s v="Соглашение о конфиденциальности"/>
    <s v="Не предполагает взаиморасчетов"/>
    <s v=""/>
    <s v=""/>
    <s v=""/>
    <s v=""/>
    <s v=""/>
    <s v=""/>
    <s v=""/>
    <s v="нет"/>
    <s v="нет"/>
    <s v=""/>
    <s v=""/>
    <s v=""/>
    <s v=""/>
    <s v="нет"/>
  </r>
  <r>
    <s v="Газпромнефть-ГЕО, ООО"/>
    <s v="0000092348"/>
    <s v="Зарегистрирован"/>
    <d v="2022-06-30T00:00:00"/>
    <s v=""/>
    <x v="381"/>
    <s v="7820332662"/>
    <s v="ГЕО-20/09000/00075/Р"/>
    <s v=""/>
    <s v="1"/>
    <s v="Типовой ДД"/>
    <x v="0"/>
    <s v="00000 ДС на изменение реквизитов контрагента (адрес, счет)"/>
    <s v="00612-22"/>
    <s v=""/>
    <s v="00000 ДС на изменение реквизитов контрагента (адрес, счет)"/>
    <s v="Изменение реквизитов контрагента"/>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2-06-30T00:00:00"/>
    <d v="2022-12-31T00:00:00"/>
    <s v=""/>
    <s v="Договор возмездного оказания услуг"/>
    <s v="Не предполагает взаиморасчетов"/>
    <s v=""/>
    <s v=""/>
    <s v=""/>
    <s v=""/>
    <s v=""/>
    <s v=""/>
    <s v=""/>
    <s v="нет"/>
    <s v="нет"/>
    <s v=""/>
    <s v=""/>
    <s v=""/>
    <s v=""/>
    <s v="нет"/>
  </r>
  <r>
    <s v="Газпромнефть-ГЕО, ООО"/>
    <s v="0000093917"/>
    <s v="Проект"/>
    <s v=""/>
    <s v=""/>
    <x v="9"/>
    <s v="5609193118"/>
    <s v=""/>
    <s v=""/>
    <s v=""/>
    <s v="Типовой ДД"/>
    <x v="1"/>
    <s v="33100 Соглашение в области производственной безопасности"/>
    <s v="00612-23"/>
    <s v=""/>
    <s v="33100 Соглашение в области производственной безопасности"/>
    <s v="1. Заключение Соглашения в области производственной безопасности"/>
    <s v="Покатов О.Н."/>
    <s v="Покатов О.Н."/>
    <s v="Договорный документ"/>
    <s v="Блок снабжения и закупок"/>
    <s v="Михайлов Ю.А."/>
    <s v="ЭП"/>
    <s v=""/>
    <s v=""/>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Обработка результатов согласования"/>
    <s v=""/>
    <s v=""/>
    <x v="398"/>
    <s v=""/>
    <s v=""/>
    <s v=""/>
    <s v=""/>
    <s v="Типовой ДД"/>
    <x v="2"/>
    <s v="25000 Договор ГПХ на оказании услуг физическим лицом "/>
    <s v="00612-24"/>
    <s v=""/>
    <s v="25000 Договор ГПХ на оказании услуг физическим лицом "/>
    <s v="Оказание услуг в области управления исполнением договоров, разработке модели данных и их визуализации "/>
    <s v="Ушакова М.А."/>
    <s v=""/>
    <s v="Договорный документ"/>
    <s v="Блок снабжения и закупок"/>
    <s v="Масалкин Ю.В."/>
    <s v="На бумажном носителе"/>
    <s v="С ограничением по срокам "/>
    <d v="2024-11-04T00:00:00"/>
    <d v="2025-03-31T00:00:00"/>
    <s v=""/>
    <s v="Договор оказания услуг с физическим лицом"/>
    <s v="Расходная часть"/>
    <s v="Стоимостной"/>
    <s v="13%"/>
    <s v=""/>
    <s v=""/>
    <s v="245 000.00"/>
    <s v="213 150.00"/>
    <s v="31 850.00"/>
    <s v="нет"/>
    <s v="нет"/>
    <s v=""/>
    <s v=""/>
    <s v=""/>
    <s v=""/>
    <s v="нет"/>
  </r>
  <r>
    <s v="Газпромнефть-ГЕО, ООО"/>
    <s v="0000099166"/>
    <s v="Закрыт"/>
    <d v="2021-09-08T00:00:00"/>
    <s v=""/>
    <x v="101"/>
    <s v="5648004029"/>
    <s v=""/>
    <s v="ГЕО-21/04500/00201/Р"/>
    <s v="ГЕО-21/04500/00201/Р"/>
    <s v="Нетиповой ДД"/>
    <x v="1"/>
    <s v=""/>
    <s v="00613-21"/>
    <s v=""/>
    <s v="СОГЛАШЕНИЕ о возмещении убытков сельскохозяйственного производства, в т. ч. упущенной выгоды при временном занятии земельного участка"/>
    <s v="возмещении убытков сельскохозяйственного производства, в т. ч. упущенной выгоды при временном занятии земельного участка 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До исполнения обязательств"/>
    <d v="2021-09-08T00:00:00"/>
    <s v=""/>
    <s v="Д-22"/>
    <s v="Договор субаренды недвижимости"/>
    <s v="Расходная часть"/>
    <s v="Стоимостной"/>
    <s v="без НДС"/>
    <s v=""/>
    <s v=""/>
    <s v="72 590.26"/>
    <s v="72 590.26"/>
    <n v="0"/>
    <s v="нет"/>
    <s v="нет"/>
    <s v=""/>
    <s v=""/>
    <s v=""/>
    <s v=""/>
    <s v="нет"/>
  </r>
  <r>
    <s v="Газпромнефть-ГЕО, ООО"/>
    <s v="0000087804"/>
    <s v="Зарегистрирован"/>
    <d v="2022-06-27T00:00:00"/>
    <s v=""/>
    <x v="153"/>
    <s v="2634048800"/>
    <s v="№ ГЕО-19/11019/00140/Р от 19.06.2019 г."/>
    <s v=""/>
    <s v="7"/>
    <s v="Типовой ДД"/>
    <x v="3"/>
    <s v="11000 Наряд-заказ к Договору (рамочному) на выполнение  &quot;ПИР Объекты системы энергообеспечения месторождений нефти и газа (сети выше 35), вкл. авторский надзор&quot;"/>
    <s v="00613-22"/>
    <s v=""/>
    <s v="11000 Наряд-заказ к Договору (рамочному) на выполнение  &quot;ПИР Объекты системы энергообеспечения месторождений нефти и газа (сети выше 35), вкл. авторский надзор&quot;"/>
    <s v="Выполнение проектных работ по объекту «Временная база хранения со складом ГСМ 6000 м3. Корректировка»"/>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2-06-27T00:00:00"/>
    <d v="2022-08-15T00:00:00"/>
    <s v=""/>
    <s v="ПИР Объекты добычи, подготовки и транспорта нефти, вкл. авторский надзор"/>
    <s v="Расходная часть"/>
    <s v="Рамочный"/>
    <s v="20%"/>
    <s v=""/>
    <s v=""/>
    <s v="406 780.21"/>
    <s v="338 983.51"/>
    <s v="67 796.70"/>
    <s v="нет"/>
    <s v="нет"/>
    <s v=""/>
    <s v=""/>
    <s v=""/>
    <s v=""/>
    <s v="нет"/>
  </r>
  <r>
    <s v="Газпромнефть-ГЕО, ООО"/>
    <s v="0000093917"/>
    <s v="Зарегистрирован"/>
    <d v="2023-11-13T00:00:00"/>
    <s v=""/>
    <x v="9"/>
    <s v="5609193118"/>
    <s v=""/>
    <s v="ГЕО-23/33100/00181"/>
    <s v="ГЕО-23/33100/00181"/>
    <s v="Типовой ДД"/>
    <x v="1"/>
    <s v="33100 Соглашение в области производственной безопасности"/>
    <s v="00613-23"/>
    <s v=""/>
    <s v="33100 Соглашение в области производственной безопасности"/>
    <s v="1. Заключение Соглашения в области производственной безопасности"/>
    <s v="Покатов О.Н."/>
    <s v="Покатов О.Н."/>
    <s v="Договорный документ"/>
    <s v="Управление производственной безопасности"/>
    <s v="Михайлов Ю.А."/>
    <s v="ЭП"/>
    <s v="Без сроков "/>
    <d v="2023-11-13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6570"/>
    <s v="На подписании"/>
    <s v=""/>
    <s v=""/>
    <x v="389"/>
    <s v="561504779598"/>
    <s v="ГЕО-23/25000/00208/Р"/>
    <s v=""/>
    <s v="1"/>
    <s v="Нетиповой ДД"/>
    <x v="0"/>
    <s v=""/>
    <s v="00613-24"/>
    <s v=""/>
    <s v="ДС №1 к ДД № ГЕО-23/25000/00208/Р (Расторжение ДД ГПХ Сазонова А.П.)"/>
    <s v="Расторжение Договора ГПХ"/>
    <s v="Васильева А.И."/>
    <s v="Расулов И.Ф."/>
    <s v="Договорный документ"/>
    <s v="Управление маркшейдерско-землеустроительных работ"/>
    <s v="Масалкин Ю.В."/>
    <s v="На бумажном носителе"/>
    <s v="С ограничением по срокам "/>
    <d v="2024-10-29T00:00:00"/>
    <d v="2024-10-31T00:00:00"/>
    <s v="НК-428"/>
    <s v="Договор оказания услуг с физическим лицом"/>
    <s v="Не предполагает взаиморасчетов"/>
    <s v=""/>
    <s v=""/>
    <s v=""/>
    <s v=""/>
    <s v=""/>
    <s v=""/>
    <s v=""/>
    <s v="нет"/>
    <s v="нет"/>
    <s v=""/>
    <s v=""/>
    <s v=""/>
    <s v=""/>
    <s v="нет"/>
  </r>
  <r>
    <s v="Газпромнефть-ГЕО, ООО"/>
    <s v="0000008602"/>
    <s v="Зарегистрирован"/>
    <d v="2021-10-12T00:00:00"/>
    <s v=""/>
    <x v="32"/>
    <s v="5504036333"/>
    <s v="ГПН-18/09000/02142/Р от 07 сентября 2018 г."/>
    <s v=""/>
    <s v="11"/>
    <s v="Нетиповой ДД"/>
    <x v="0"/>
    <s v=""/>
    <s v="00614-21"/>
    <s v=""/>
    <s v="Дополнительное соглашение №11 к Договору о выполнении операторских работ и оказании операторских услуг (проект Ю. Оренбург, КНЗР, Первомайский)"/>
    <s v="1. добавлена программа работ и оказания услуг ГРР по Первомайскому ЛУ на 2021-2022гг. в рамках выделенного лимита по проекту Ю.Оренбург (без увеличения общей стоимости действующего ДС №10);_x000d__x000a_2. добавлены условия авансирования закупок МТР"/>
    <s v="Частухина Е.В."/>
    <s v="Частухина Е.В."/>
    <s v="Договорный документ"/>
    <s v="Управление экономического планирования и анализа"/>
    <s v="Шакирзянов Л.Н."/>
    <s v="На бумажном носителе"/>
    <s v="С ограничением по срокам "/>
    <d v="2021-01-01T00:00:00"/>
    <d v="2022-12-31T00:00:00"/>
    <s v="Д-18"/>
    <s v="ПРОЧИЕ ДОГОВОРЫ"/>
    <s v="Доходная часть"/>
    <s v="Стоимостной"/>
    <s v="20%"/>
    <s v=""/>
    <s v=""/>
    <s v="6 550 834 033.45"/>
    <s v="5 459 028 361.21"/>
    <s v="1 091 805 672.24"/>
    <s v="нет"/>
    <s v="нет"/>
    <s v=""/>
    <s v=""/>
    <s v=""/>
    <s v=""/>
    <s v="нет"/>
  </r>
  <r>
    <s v="Газпромнефть-ГЕО, ООО"/>
    <s v="0000067067"/>
    <s v="Проект"/>
    <s v=""/>
    <s v=""/>
    <x v="85"/>
    <s v="7816483740"/>
    <s v=""/>
    <s v=""/>
    <s v=""/>
    <s v="Типовой ДД"/>
    <x v="1"/>
    <s v="33100 Соглашение в области производственной безопасности"/>
    <s v="00614-23"/>
    <s v=""/>
    <s v="33100 Соглашение в области производственной безопасности"/>
    <s v="1. Заключение Соглашения в области производственной безопасности"/>
    <s v="Покатов О.Н."/>
    <s v="Покатов О.Н."/>
    <s v="Договорный документ"/>
    <s v="Управление производственной безопасности"/>
    <s v="Михайлов Ю.А."/>
    <s v="ЭП"/>
    <s v=""/>
    <s v=""/>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0716"/>
    <s v="Обработка результатов согласования"/>
    <d v="2024-10-24T00:00:00"/>
    <s v=""/>
    <x v="18"/>
    <s v="7728803870"/>
    <s v="ГЕО-21/10303/00204/Р"/>
    <s v=""/>
    <s v="17"/>
    <s v="Нетиповой ДД"/>
    <x v="0"/>
    <s v=""/>
    <s v="00614-24"/>
    <s v=""/>
    <s v="ДОПОЛНИТЕЛЬНОЕ СОГЛАШЕНИЕ № 17 к Договору № ОРН-18/10303/03693/Р от 20.12.2018г."/>
    <s v="- перераспределение гарантированного объема работ из 2025 в 2024 год по ставке &quot;&quot;Инженерное сопровождение (2 инженера)&quot;&quot;_x000a_- уменьшение норматива строительства скважины с 204 сут. до 185 сут. в соответствии с обновленной производственной программой_x000a_- перераспределение высвободившегося объема работ в ставку &quot;&quot;Резервные средства на непредвиденные расходы&quot;&quot;_x000a_- приведение рецептуры буровых растворов в соответствие к утвержденной программе бурения (без изменения объема хим. реагентов и стоимости работ) приложение 10.8 к расчету стоимости&quot;"/>
    <s v="Покатов О.Н."/>
    <s v=""/>
    <s v="Договорный документ"/>
    <s v="Блок главного инженера"/>
    <s v="Трифонов А.В."/>
    <s v="ЭП"/>
    <s v="С ограничением по срокам "/>
    <d v="2024-10-24T00:00:00"/>
    <d v="2025-12-31T00:00:00"/>
    <s v="Д-45"/>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
    <s v="Зарегистрирован"/>
    <d v="2021-09-08T00:00:00"/>
    <s v=""/>
    <x v="399"/>
    <s v=""/>
    <s v=""/>
    <s v="ГЕО-21/10303/00204/Р"/>
    <s v="ГЕО-21/10303/00204/Р"/>
    <s v="Нетиповой ДД"/>
    <x v="2"/>
    <s v=""/>
    <s v="00615-21"/>
    <s v=""/>
    <s v="СОГЛАШЕНИЕ О ПЕРЕМЕНЕ ЛИЦ В ОБЯЗАТЕЛЬСТВЕ  к Договору № ОРН-18/10303/03693/Р от 20.12.2018г. "/>
    <s v="Перемена лиц в обязательстве"/>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1-10-01T00:00:00"/>
    <d v="2024-12-31T00:00:00"/>
    <s v=""/>
    <s v="Приготовление и инженерное сопровождение буровых растворов"/>
    <s v="Расходная часть"/>
    <s v="Стоимостной"/>
    <s v="20%"/>
    <s v=""/>
    <s v=""/>
    <s v="93 561 801.40"/>
    <s v="77 968 167.83"/>
    <s v="15 593 633.57"/>
    <s v="нет"/>
    <s v="нет"/>
    <s v=""/>
    <s v=""/>
    <s v=""/>
    <s v=""/>
    <s v="нет"/>
  </r>
  <r>
    <s v="Газпромнефть-ГЕО, ООО"/>
    <s v="0000052955"/>
    <s v="Зарегистрирован"/>
    <d v="2022-06-29T00:00:00"/>
    <s v=""/>
    <x v="127"/>
    <s v="8602068466"/>
    <s v="ГЕО-21/11031/00040/Р"/>
    <s v=""/>
    <s v="4"/>
    <s v="Типовой ДД"/>
    <x v="0"/>
    <s v="00000 ДС на изменение реквизитов контрагента (адрес, счет)"/>
    <s v="00615-22"/>
    <s v=""/>
    <s v="00000 ДС на изменение реквизитов контрагента (адрес, счет)"/>
    <s v="Изменение реквизитов &quot;Исполнителя&quot;"/>
    <s v="Крутова Е.С."/>
    <s v="Крутова Е.С."/>
    <s v="Договорный документ"/>
    <s v="Департамент капитального строительства"/>
    <s v="Перфильев Д.А."/>
    <s v="На бумажном носителе"/>
    <s v="До исполнения обязательств"/>
    <d v="2022-06-29T00:00:00"/>
    <s v=""/>
    <s v="Д-61"/>
    <s v="Капитальное строительство и ПИР"/>
    <s v="Не предполагает взаиморасчетов"/>
    <s v=""/>
    <s v=""/>
    <s v=""/>
    <s v=""/>
    <s v=""/>
    <s v=""/>
    <s v=""/>
    <s v="нет"/>
    <s v="нет"/>
    <s v=""/>
    <s v=""/>
    <s v=""/>
    <s v=""/>
    <s v="нет"/>
  </r>
  <r>
    <s v="Газпромнефть-ГЕО, ООО"/>
    <s v="0000067067"/>
    <s v="Зарегистрирован"/>
    <d v="2023-11-13T00:00:00"/>
    <s v=""/>
    <x v="85"/>
    <s v="7816483740"/>
    <s v=""/>
    <s v="ГЕО-23/33100/00182"/>
    <s v="ГЕО-23/33100/00182"/>
    <s v="Типовой ДД"/>
    <x v="1"/>
    <s v="33100 Соглашение в области производственной безопасности"/>
    <s v="00615-23"/>
    <s v=""/>
    <s v="33100 Соглашение в области производственной безопасности"/>
    <s v="1. Заключение Соглашения в области производственной безопасности"/>
    <s v="Покатов О.Н."/>
    <s v="Покатов О.Н."/>
    <s v="Договорный документ"/>
    <s v="Управление производственной безопасности"/>
    <s v="Михайлов Ю.А."/>
    <s v="ЭП"/>
    <s v="Без сроков "/>
    <d v="2023-11-13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3438"/>
    <s v="На подписании ЭП"/>
    <d v="2024-10-31T00:00:00"/>
    <s v=""/>
    <x v="68"/>
    <s v="7720330291"/>
    <s v="ГЕО-21/08000/00296/Р"/>
    <s v=""/>
    <s v="13"/>
    <s v="Нетиповой ДД"/>
    <x v="0"/>
    <s v=""/>
    <s v="00615-24"/>
    <s v=""/>
    <s v="ДС №13 ВНИГНИ № ГЕО-21/08000/00296/Р от 28.12.2021"/>
    <s v="1. Внесение изменений в механизм перевода негарантированного объема работ в гарантированный (выдача Заявок) _x000a_2. Перераспределение невостребованного гарантированного объёма работ 2022-2023гг. в негарантированный объем работ 2024-2026гг.; _x000a_3. Перераспределение негарантированного объёма работ 2022-2023гг. в гарантированный объем работ 2024 _x000a_4. Внесение изменений в Заявку на выполнение работ №9 по Договору."/>
    <s v="Мормышев А.А."/>
    <s v="Мустафин И.Р."/>
    <s v="Договорный документ"/>
    <s v="Блок геологии и разработки"/>
    <s v="Трифонов А.В."/>
    <s v="ЭП"/>
    <s v="С ограничением по срокам "/>
    <d v="2024-10-24T00:00:00"/>
    <d v="2026-12-31T00:00:00"/>
    <s v="Д-45"/>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
    <s v="Зарегистрирован"/>
    <d v="2021-08-23T00:00:00"/>
    <s v=""/>
    <x v="400"/>
    <s v=""/>
    <s v=""/>
    <s v="ГЕО-21/26000/00200"/>
    <s v="ГЕО-21/26000/00200"/>
    <s v="Типовой ДД"/>
    <x v="1"/>
    <s v="26000 Соглашение о конфиденциальности с российским контрагентом"/>
    <s v="00616-21"/>
    <s v=""/>
    <s v="26000 Соглашение о конфиденциальности с российским контрагентом"/>
    <s v="обусловлена возможной передачей конфиденциальной информации в ходе проведения работ по договору№ ГЕО-21/101108/00194/Р от «23» августа 2021 г."/>
    <s v="Николаев В.А."/>
    <s v="Николаев В.А."/>
    <s v="Договорный документ"/>
    <s v="Управление по разработке"/>
    <s v="Масалкин Ю.В."/>
    <s v="На бумажном носителе"/>
    <s v="Без сроков "/>
    <d v="2021-08-23T00:00:00"/>
    <s v=""/>
    <s v=""/>
    <s v="Соглашение о конфиденциальности"/>
    <s v="Не предполагает взаиморасчетов"/>
    <s v=""/>
    <s v=""/>
    <s v=""/>
    <s v=""/>
    <s v=""/>
    <s v=""/>
    <s v=""/>
    <s v="нет"/>
    <s v="нет"/>
    <s v=""/>
    <s v=""/>
    <s v=""/>
    <s v=""/>
    <s v="нет"/>
  </r>
  <r>
    <s v="Газпромнефть-ГЕО, ООО"/>
    <s v="0000074858"/>
    <s v="Зарегистрирован"/>
    <d v="2022-07-01T00:00:00"/>
    <s v=""/>
    <x v="248"/>
    <s v="5609097622"/>
    <s v="ГЕО-20/11112/00108/Р"/>
    <s v=""/>
    <s v="6"/>
    <s v="Нетиповой ДД"/>
    <x v="0"/>
    <s v=""/>
    <s v="00616-22"/>
    <s v=""/>
    <s v="Дополнительное соглашение №6 о введении перечня штрафов(сокращенный 13 штрафов)"/>
    <s v="ДС по утверждению перечня нарушений и штрафных санкций в области ПБ"/>
    <s v="Гусаков В.В."/>
    <s v="Гусаков В.В."/>
    <s v="Договорный документ"/>
    <s v="Блок снабжения и закупок"/>
    <s v="Титов А.В."/>
    <s v="ЭП"/>
    <s v="До исполнения обязательств"/>
    <d v="2022-07-01T00:00:00"/>
    <s v=""/>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0000062421"/>
    <s v="Зарегистрирован"/>
    <d v="2023-11-11T00:00:00"/>
    <s v=""/>
    <x v="245"/>
    <s v="6924010964"/>
    <s v="ГЕО-22/11104/00265/Р"/>
    <s v=""/>
    <s v="2"/>
    <s v="Нетиповой ДД"/>
    <x v="0"/>
    <s v=""/>
    <s v="00616-23"/>
    <s v=""/>
    <s v="ДС №2. Конверс Авиа. №ГЕО-22/11104/00265/Р от 15.10.2022."/>
    <s v="ДС №2. из НГО в ГО"/>
    <s v="Мормышев А.А."/>
    <s v="Бабиков Н.В."/>
    <s v="Договорный документ"/>
    <s v="Блок снабжения и закупок"/>
    <s v="Титов А.В."/>
    <s v="ЭП"/>
    <s v="До исполнения обязательств"/>
    <d v="2023-11-11T00:00:00"/>
    <s v=""/>
    <s v="Д-56"/>
    <s v="Авиационное обслуживание (вертолеты)"/>
    <s v="Расходная часть"/>
    <s v="Стоимостной"/>
    <s v="20%"/>
    <s v=""/>
    <s v=""/>
    <s v="190 815 432.00"/>
    <s v="159 012 860.00"/>
    <s v="31 802 572.00"/>
    <s v="нет"/>
    <s v="нет"/>
    <s v=""/>
    <s v=""/>
    <s v=""/>
    <s v=""/>
    <s v="нет"/>
  </r>
  <r>
    <s v="Газпромнефть-ГЕО, ООО"/>
    <s v="0000067121"/>
    <s v="Зарегистрирован"/>
    <d v="2024-10-30T00:00:00"/>
    <d v="2024-10-31T00:00:00"/>
    <x v="62"/>
    <s v="7202171361"/>
    <s v="ГЕО-22/10000/00276/Р"/>
    <s v=""/>
    <s v="4"/>
    <s v="Типовой ДД"/>
    <x v="0"/>
    <s v="00000 ДС на изменение реквизитов контрагента (адрес, счет)"/>
    <s v="00616-24"/>
    <s v=""/>
    <s v="00000 ДС на изменение реквизитов контрагента (адрес, счет)"/>
    <s v="Смена банковских реквизитов подрядчика"/>
    <s v="Ушакова М.А."/>
    <s v=""/>
    <s v="Договорный документ"/>
    <s v="Блок геологии и разработки"/>
    <s v="Трифонов А.В."/>
    <s v="ЭП"/>
    <s v="С ограничением по срокам "/>
    <d v="2024-10-30T00:00:00"/>
    <d v="2026-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88405"/>
    <s v="Зарегистрирован"/>
    <d v="2021-09-10T00:00:00"/>
    <s v=""/>
    <x v="169"/>
    <s v="6312086734"/>
    <s v="№ ГЕО-20/10838/00020/Р ОТ 01.02.2020"/>
    <s v=""/>
    <s v="2"/>
    <s v="Нетиповой ДД"/>
    <x v="0"/>
    <s v=""/>
    <s v="00617-21"/>
    <s v=""/>
    <s v="Дополнительное соглашение к договору по перераспределение между гарант. и негарант. объёмами работ"/>
    <s v="Приведение негарантированного объема работ в гарантированный в 2021г. в связи с производственной необходимостью. "/>
    <s v="Забиров А.А."/>
    <s v="Забиров А.А."/>
    <s v="Договорный документ"/>
    <s v="Производственно-технологический департамент"/>
    <s v="Перфильев Д.А."/>
    <s v="На бумажном носителе"/>
    <s v="С ограничением по срокам "/>
    <d v="2021-09-10T00:00:00"/>
    <d v="2022-12-31T00:00:00"/>
    <s v="Д-22"/>
    <s v="Контроль состояния электробезопасности на объектах подрядных организаций"/>
    <s v="Не предполагает взаиморасчетов"/>
    <s v="Стоимостной"/>
    <s v=""/>
    <s v=""/>
    <s v=""/>
    <s v=""/>
    <s v=""/>
    <s v=""/>
    <s v="нет"/>
    <s v="нет"/>
    <s v=""/>
    <s v=""/>
    <s v=""/>
    <s v=""/>
    <s v="нет"/>
  </r>
  <r>
    <s v="Газпромнефть-ГЕО, ООО"/>
    <s v="0000048356"/>
    <s v="Зарегистрирован"/>
    <d v="2023-11-15T00:00:00"/>
    <s v=""/>
    <x v="152"/>
    <s v="8601034898"/>
    <s v="ГЕО-22/10000/00144/Р"/>
    <s v=""/>
    <s v="4"/>
    <s v="Нетиповой ДД"/>
    <x v="0"/>
    <s v=""/>
    <s v="00617-23"/>
    <s v=""/>
    <s v="ДС №4 к договору №ГЕО-22/10000/00144/Р от 27.06.2022г."/>
    <s v="Перераспреджеление по договору 2023-2024гг. Выделение ставок &quot;проживание&quot;."/>
    <s v="Мормышев А.А."/>
    <s v="Белоусов О.В."/>
    <s v="Договорный документ"/>
    <s v="Блок производственной безопасности"/>
    <s v="Ядрышников П.Н."/>
    <s v="ЭП"/>
    <s v="До исполнения обязательств"/>
    <d v="2023-11-15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111925"/>
    <s v="На согласовании"/>
    <s v=""/>
    <s v=""/>
    <x v="345"/>
    <s v="550312402430"/>
    <s v="ГЕО-24/25000/00004/Р"/>
    <s v=""/>
    <s v="2"/>
    <s v="Нетиповой ДД"/>
    <x v="0"/>
    <s v=""/>
    <s v="00617-24"/>
    <s v=""/>
    <s v="ДС №2 К ДД №ГЕО-24/25000/00004/Р (Васильева А.И., продление ДД ГПХ)"/>
    <s v="Закрытие потребности в оказании дополнительных услуг с ноября 2024 года по подготовке и сопровождению согласования закупочных решений, оформлении презентационных материалов в рамках Управления исполнением договорных обязательств"/>
    <s v="Васильева А.И."/>
    <s v="Васильева А.И."/>
    <s v="Договорный документ"/>
    <s v="Блок снабжения и закупок"/>
    <s v="Масалкин Ю.В."/>
    <s v="На бумажном носителе"/>
    <s v="С ограничением по срокам "/>
    <d v="2024-11-01T00:00:00"/>
    <d v="2025-07-31T00:00:00"/>
    <s v=""/>
    <s v="Договор оказания услуг с физическим лицом"/>
    <s v="Расходная часть"/>
    <s v="Стоимостной"/>
    <s v="13%"/>
    <s v=""/>
    <s v=""/>
    <s v="1 440 000.00"/>
    <s v="1 252 800.00"/>
    <s v="187 200.00"/>
    <s v="нет"/>
    <s v="нет"/>
    <s v=""/>
    <s v=""/>
    <s v=""/>
    <s v=""/>
    <s v="нет"/>
  </r>
  <r>
    <s v="Газпромнефть-ГЕО, ООО"/>
    <s v="0000069013"/>
    <s v="Зарегистрирован"/>
    <d v="2023-11-15T00:00:00"/>
    <s v=""/>
    <x v="114"/>
    <s v="7203218005"/>
    <s v=""/>
    <s v="ГЕО-23/33100/00183"/>
    <s v="ГЕО-23/33100/00183"/>
    <s v="Типовой ДД"/>
    <x v="1"/>
    <s v="33100 Соглашение в области производственной безопасности"/>
    <s v="00618-23"/>
    <s v=""/>
    <s v="33100 Соглашение в области производственной безопасности"/>
    <s v="Заключение соглашение ПБ согласно требованиям приказа от 27.07.2023 № 76-П"/>
    <s v="Липатова О.И."/>
    <s v=""/>
    <s v="Договорный документ"/>
    <s v="Отдел экологической безопасности"/>
    <s v="Михайлов Ю.А."/>
    <s v="ЭП"/>
    <s v="Без сроков "/>
    <d v="2023-11-20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58974"/>
    <s v="На согласовании"/>
    <s v=""/>
    <s v=""/>
    <x v="178"/>
    <s v="8909001670"/>
    <s v=""/>
    <s v=""/>
    <s v=""/>
    <s v="Нетиповой ДД"/>
    <x v="1"/>
    <s v=""/>
    <s v="00618-24"/>
    <s v=""/>
    <s v="Соглашение об установлении сервитута в отношении частей земельных участков"/>
    <s v="Для размещения линейного объекта «Автозимник с площадкой техники на Южно-Новопортовском лицензионном участке»"/>
    <s v="Шевченко А.С."/>
    <s v="Шевченко А.С."/>
    <s v="Договорный документ"/>
    <s v="Управление маркшейдерско-землеустроительных работ"/>
    <s v="Трифонов А.В."/>
    <s v="ЭП"/>
    <s v="С ограничением по срокам "/>
    <d v="2024-12-01T00:00:00"/>
    <d v="2025-11-01T00:00:00"/>
    <s v="Д-45"/>
    <s v="Соглашение о сервитуте"/>
    <s v="Расходная часть"/>
    <s v="Стоимостной"/>
    <s v="без НДС"/>
    <s v=""/>
    <s v=""/>
    <s v="5 795 446.24"/>
    <s v="5 795 446.24"/>
    <n v="0"/>
    <s v="нет"/>
    <s v="нет"/>
    <s v=""/>
    <s v=""/>
    <s v=""/>
    <s v=""/>
    <s v="нет"/>
  </r>
  <r>
    <s v="Газпромнефть-ГЕО, ООО"/>
    <s v="0000040642"/>
    <s v="Зарегистрирован"/>
    <d v="2021-09-17T00:00:00"/>
    <s v=""/>
    <x v="4"/>
    <s v="7736035485"/>
    <s v="20 DR 077 / ГЕО-20/17000/00171/Р "/>
    <s v=""/>
    <s v="1"/>
    <s v="Типовой ДД"/>
    <x v="0"/>
    <s v="00000 ДС на изменение реквизитов контрагента (адрес, счет)"/>
    <s v="00619-21"/>
    <s v=""/>
    <s v="Дополнительное соглашение №1 к договору (полису) страхования рисков при разведке и разработке месторождений № 20 DR 077 / ГЕО-20/17000/00171/Р от 23 октября 2020 г."/>
    <s v="ДС (внесение изменений в п.1 договора) в связи с переименованием ООО &quot;Газпромнефть-Аэро Брянск&quot; в ООО &quot;Гыдан Энерджи&quot; и уточнение реквизитов - адреса &quot;Гыдан Энерджи&quot; "/>
    <s v="Шишова О.П."/>
    <s v="Шишова О.П."/>
    <s v="Договорный документ"/>
    <s v="Кластер &quot;Традиционные запасы&quot;"/>
    <s v="Николаев М.Н."/>
    <s v="На бумажном носителе"/>
    <s v="С ограничением по срокам "/>
    <d v="2021-08-13T00:00:00"/>
    <d v="2021-10-31T00:00:00"/>
    <s v=""/>
    <s v="Договор страхования"/>
    <s v="Не предполагает взаиморасчетов"/>
    <s v=""/>
    <s v=""/>
    <s v=""/>
    <s v=""/>
    <s v=""/>
    <s v=""/>
    <s v=""/>
    <s v="нет"/>
    <s v="нет"/>
    <s v=""/>
    <s v=""/>
    <s v=""/>
    <s v=""/>
    <s v="нет"/>
  </r>
  <r>
    <s v="Газпромнефть-ГЕО, ООО"/>
    <s v="0000069013"/>
    <s v="Зарегистрирован"/>
    <d v="2023-11-20T00:00:00"/>
    <s v=""/>
    <x v="114"/>
    <s v="7203218005"/>
    <s v="ГЕО-21/10924/00124/Р"/>
    <s v=""/>
    <s v="8"/>
    <s v="Нетиповой ДД"/>
    <x v="0"/>
    <s v=""/>
    <s v="00619-23"/>
    <s v=""/>
    <s v="Дополнительное соглашение №8 к Договору №ГЕО-21/10924/00124/Р от 12.05.2021 г. "/>
    <s v="Внесение изменение в гл. 22 Договора, исключение из Договора Приложения №8 &quot;Соглашение в области ПБ&quot;"/>
    <s v="Липатова О.И."/>
    <s v=""/>
    <s v="Договорный документ"/>
    <s v="Отдел экологической безопасности"/>
    <s v="Михайлов Ю.А."/>
    <s v="ЭП"/>
    <s v="С ограничением по срокам "/>
    <d v="2023-11-20T00:00:00"/>
    <d v="2024-12-31T00:00:00"/>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
    <s v="Доработка"/>
    <s v=""/>
    <s v=""/>
    <x v="398"/>
    <s v=""/>
    <s v=""/>
    <s v=""/>
    <s v=""/>
    <s v="Типовой ДД"/>
    <x v="1"/>
    <s v="26000 Договор о конфиденциальности с физическим лицом"/>
    <s v="00619-24"/>
    <s v=""/>
    <s v="26000 Договор о конфиденциальности с физическим лицом"/>
    <s v="В рамках заключаемого договора ГПХ https://tessa.gazprom-neft.local/edo/card/261767e5-7230-4910-a158-f27a4a0447fb "/>
    <s v="Ушакова М.А."/>
    <s v=""/>
    <s v="Договорный документ"/>
    <s v="Блок снабжения и закупок"/>
    <s v="Титов А.В."/>
    <s v="На бумажном носителе"/>
    <s v="С ограничением по срокам "/>
    <d v="2024-10-31T00:00:00"/>
    <d v="2027-12-31T00:00:00"/>
    <s v="Д-56"/>
    <s v="Соглашение о конфиденциальности"/>
    <s v="Не предполагает взаиморасчетов"/>
    <s v=""/>
    <s v=""/>
    <s v=""/>
    <s v=""/>
    <s v=""/>
    <s v=""/>
    <s v=""/>
    <s v="нет"/>
    <s v="нет"/>
    <s v=""/>
    <s v=""/>
    <s v=""/>
    <s v=""/>
    <s v="нет"/>
  </r>
  <r>
    <s v="Газпромнефть-ГЕО, ООО"/>
    <s v="0000040642"/>
    <s v="Зарегистрирован"/>
    <d v="2021-09-17T00:00:00"/>
    <s v=""/>
    <x v="4"/>
    <s v="7736035485"/>
    <s v="№ 20 GL 0702 / ГЕО-20/17000/00172/Р"/>
    <s v=""/>
    <s v="1"/>
    <s v="Типовой ДД"/>
    <x v="0"/>
    <s v="00000 ДС на изменение реквизитов контрагента (адрес, счет)"/>
    <s v="00620-21"/>
    <s v=""/>
    <s v="Дополнительное соглашение №1 к Договору Страхования Общей Гражданской  Ответственности и Ответственности Товаропроизводителя (ПОЛИСУ) № 20 GL 0702 / ГЕО-20/17000/00172/Р  от 30.10.2020 г."/>
    <s v="ДС (внесение изменений в п.1 договора) в связи с переименованием ООО &quot;Газпромнефть-Аэро Брянск&quot; в ООО &quot;Гыдан Энерджи&quot; и уточнение реквизитов - адреса &quot;Гыдан Энерджи&quot; "/>
    <s v="Шишова О.П."/>
    <s v="Шишова О.П."/>
    <s v="Договорный документ"/>
    <s v="Кластер &quot;Традиционные запасы&quot;"/>
    <s v="Николаев М.Н."/>
    <s v="На бумажном носителе"/>
    <s v="С ограничением по срокам "/>
    <d v="2021-08-13T00:00:00"/>
    <d v="2021-10-31T00:00:00"/>
    <s v=""/>
    <s v="Договор страхования"/>
    <s v="Не предполагает взаиморасчетов"/>
    <s v=""/>
    <s v=""/>
    <s v=""/>
    <s v=""/>
    <s v=""/>
    <s v=""/>
    <s v=""/>
    <s v="нет"/>
    <s v="нет"/>
    <s v=""/>
    <s v=""/>
    <s v=""/>
    <s v=""/>
    <s v="нет"/>
  </r>
  <r>
    <s v="Газпромнефть-ГЕО, ООО"/>
    <s v="0000068695"/>
    <s v="Зарегистрирован"/>
    <d v="2022-07-01T00:00:00"/>
    <s v=""/>
    <x v="77"/>
    <s v="1106013435"/>
    <s v="ГЕО-21/10306/00256/Р"/>
    <s v=""/>
    <s v="1"/>
    <s v="Нетиповой ДД"/>
    <x v="0"/>
    <s v=""/>
    <s v="00620-22"/>
    <s v=""/>
    <s v="Дополнительное соглашение №1 к договору № ГЕО-21/10306/00256/Р от 26.10.2021г."/>
    <s v="Сокращение срока оплаты до 14-ти дней"/>
    <s v="Мячина М.В."/>
    <s v="Мячина М.В."/>
    <s v="Договорный документ"/>
    <s v="Отдел подготовительных работ и экономического анализа"/>
    <s v="Имангулов А.Р."/>
    <s v="На бумажном носителе"/>
    <s v="С ограничением по срокам "/>
    <d v="2022-07-01T00:00:00"/>
    <d v="2024-12-31T00:00:00"/>
    <s v="Д-23"/>
    <s v="Цементирование обсадных колонн и хвостовиков, установка цементных мостов"/>
    <s v="Не предполагает взаиморасчетов"/>
    <s v="Стоимостной"/>
    <s v=""/>
    <s v=""/>
    <s v=""/>
    <s v=""/>
    <s v=""/>
    <s v=""/>
    <s v="нет"/>
    <s v="нет"/>
    <s v=""/>
    <s v=""/>
    <s v=""/>
    <s v=""/>
    <s v="нет"/>
  </r>
  <r>
    <s v="Газпромнефть-ГЕО, ООО"/>
    <s v="0000071220"/>
    <s v="Зарегистрирован"/>
    <d v="2023-11-15T00:00:00"/>
    <s v=""/>
    <x v="51"/>
    <s v="5401950707"/>
    <s v=""/>
    <s v="ГЕО-23/33200/00185"/>
    <s v="ГЕО-23/33200/00185"/>
    <s v="Типовой ДД"/>
    <x v="1"/>
    <s v="33200 Соглашение об электронном документообороте"/>
    <s v="00620-23"/>
    <s v=""/>
    <s v="33200 Соглашение об электронном документообороте"/>
    <s v="Актуализация типовой формы Соглашения об ЭДО согласно приказа №123-П от 10.11.2023"/>
    <s v="Ларионов Е.А."/>
    <s v=""/>
    <s v="Договорный документ"/>
    <s v="Блок снабжения и закупок"/>
    <s v="Аксенов М.А."/>
    <s v="ЭП"/>
    <s v="Без сроков "/>
    <d v="2023-11-15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0037"/>
    <s v="Подписание ЭП контрагентом"/>
    <d v="2024-04-22T00:00:00"/>
    <s v=""/>
    <x v="221"/>
    <s v="7802754982"/>
    <s v="ГЕО-24/20000/00079/Р"/>
    <s v=""/>
    <s v="ГЕО-24/20000/00079/Р"/>
    <s v="Нетиповой ДД"/>
    <x v="0"/>
    <s v=""/>
    <s v="00620-24"/>
    <s v=""/>
    <s v="Агентский договор с ООО &quot;Сбербанк Факторинг&quot;"/>
    <s v="Организация применения факторинга по закупке от ПАО &quot;Газпром нефть&quot;"/>
    <s v="Коростелев И.С."/>
    <s v="Коростелев И.С."/>
    <s v="Договорный документ"/>
    <s v="Финансовое управление"/>
    <s v="Ковтун М.А."/>
    <s v="ЭП"/>
    <s v="С ограничением по срокам "/>
    <d v="2024-10-31T00:00:00"/>
    <d v="2026-12-31T00:00:00"/>
    <s v="Д-29"/>
    <s v="Агентский договор"/>
    <s v="Расходная часть"/>
    <s v="Агентский"/>
    <s v="20%"/>
    <s v=""/>
    <s v=""/>
    <n v="0"/>
    <n v="0"/>
    <n v="0"/>
    <s v="нет"/>
    <s v="нет"/>
    <s v=""/>
    <s v=""/>
    <s v=""/>
    <s v=""/>
    <s v="нет"/>
  </r>
  <r>
    <s v="Газпромнефть-ГЕО, ООО"/>
    <s v=""/>
    <s v="Закрыт"/>
    <d v="2021-09-20T00:00:00"/>
    <s v=""/>
    <x v="401"/>
    <s v=""/>
    <s v=""/>
    <s v="ГЕО-21/25000/00203/Р"/>
    <s v="ГЕО-21/25000/00203/Р"/>
    <s v="Типовой ДД"/>
    <x v="2"/>
    <s v="25000 Договор об оказании услуг физическим лицом (без выезда на Лицензионные участки Заказчика)"/>
    <s v="00621-21"/>
    <s v=""/>
    <s v="25000 Договор об оказании услуг физическим лицом (без выезда на Лицензионные участки Заказчика)"/>
    <s v="Получение услуг по договору ГПХ"/>
    <s v="Колоколов С.В."/>
    <s v="Куропятник Д.А. - Подрядчик - Управление инвестиционного планирования"/>
    <s v="Договорный документ"/>
    <s v="Управление инвестиционного планирования"/>
    <s v="Масалкин Ю.В."/>
    <s v="На бумажном носителе"/>
    <s v="С ограничением по срокам "/>
    <d v="2021-09-20T00:00:00"/>
    <d v="2021-11-05T00:00:00"/>
    <s v=""/>
    <s v="Договор оказания услуг с физическим лицом"/>
    <s v="Расходная часть"/>
    <s v="Стоимостной"/>
    <s v="13%"/>
    <s v=""/>
    <s v=""/>
    <s v="416 000.00"/>
    <s v="361 920.00"/>
    <s v="54 080.00"/>
    <s v="нет"/>
    <s v="нет"/>
    <s v=""/>
    <s v=""/>
    <s v=""/>
    <s v=""/>
    <s v="нет"/>
  </r>
  <r>
    <s v="Газпромнефть-ГЕО, ООО"/>
    <s v="0000073438"/>
    <s v="Зарегистрирован"/>
    <d v="2022-07-05T00:00:00"/>
    <s v=""/>
    <x v="68"/>
    <s v="7720330291"/>
    <s v="ГЕО-21/08000/00296/Р"/>
    <s v=""/>
    <s v="2"/>
    <s v="Нетиповой ДД"/>
    <x v="0"/>
    <s v=""/>
    <s v="00621-22"/>
    <s v=""/>
    <s v="Дополнительное соглашение № 2 к Договору № ГЕО-21/08000/00296/Р от «28» декабря 2021 г."/>
    <s v="Перевод негарантированного объема в гарантированный"/>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7-05T00:00:00"/>
    <d v="2026-12-31T00:00:00"/>
    <s v="Д-54"/>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72857"/>
    <s v="Закрыт"/>
    <d v="2021-09-13T00:00:00"/>
    <s v=""/>
    <x v="27"/>
    <s v="6679052232"/>
    <s v=""/>
    <s v="ГЕО-21/00000/00207"/>
    <s v="ГЕО-21/00000/00207"/>
    <s v="Типовой ДД"/>
    <x v="1"/>
    <s v="00000 Соглашение в области производственной безопасности"/>
    <s v="00622-21"/>
    <s v=""/>
    <s v="00000 Соглашение в области производственной безопасности"/>
    <s v="Соблюдение требований Заказчика в области производственной безопасности"/>
    <s v="Кукленков М.А."/>
    <s v="Михаил Александрович Кукленков"/>
    <s v="Договорный документ"/>
    <s v="Департамент капитального строительства"/>
    <s v="Масалкин Ю.В."/>
    <s v="На бумажном носителе"/>
    <s v="С ограничением по срокам "/>
    <d v="2021-09-13T00:00:00"/>
    <d v="2022-12-31T00:00:00"/>
    <s v=""/>
    <s v="ПРОЧИЕ ДОГОВОРЫ"/>
    <s v="Не предполагает взаиморасчетов"/>
    <s v=""/>
    <s v=""/>
    <s v=""/>
    <s v=""/>
    <s v=""/>
    <s v=""/>
    <s v=""/>
    <s v="нет"/>
    <s v="нет"/>
    <s v=""/>
    <s v=""/>
    <s v=""/>
    <s v=""/>
    <s v="нет"/>
  </r>
  <r>
    <s v="Газпромнефть-ГЕО, ООО"/>
    <s v="0000073438"/>
    <s v="Зарегистрирован"/>
    <d v="2022-07-05T00:00:00"/>
    <s v=""/>
    <x v="68"/>
    <s v="7720330291"/>
    <s v="ГЕО-21/08000/00296/Р"/>
    <s v=""/>
    <s v="2"/>
    <s v="Нетиповой ДД"/>
    <x v="7"/>
    <s v=""/>
    <s v="00622-22"/>
    <s v=""/>
    <s v="Заявка на выполнение работ  по теме: &quot;Разработка Дополнения №1 к проекту работ по разведке Хамбатейского газоконденсатного месторождения, поиску и оценке новых залежей углеводородов&quot;"/>
    <s v="Разработку проектов ГИН (проекты поисково-оценочных работ, проекты разведочных работ, комбинированные и зональные проекты геологического изучения недр) в 2022 году"/>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7-05T00:00:00"/>
    <d v="2022-12-31T00:00:00"/>
    <s v="Д-54"/>
    <s v="Договор на выполнение НИР, ОКР и технологических работ"/>
    <s v="Расходная часть"/>
    <s v="Стоимостной"/>
    <s v="20%"/>
    <s v=""/>
    <s v=""/>
    <s v="8 137 591.20"/>
    <s v="6 781 326.00"/>
    <s v="1 356 265.20"/>
    <s v="нет"/>
    <s v="нет"/>
    <s v=""/>
    <s v=""/>
    <s v=""/>
    <s v=""/>
    <s v="нет"/>
  </r>
  <r>
    <s v="Газпромнефть-ГЕО, ООО"/>
    <s v="0000093724"/>
    <s v="Зарегистрирован"/>
    <d v="2023-11-15T00:00:00"/>
    <s v=""/>
    <x v="129"/>
    <s v="8601057334"/>
    <s v=""/>
    <s v="ГЕО-23/33200/00186"/>
    <s v="ГЕО-23/33200/00186"/>
    <s v="Типовой ДД"/>
    <x v="1"/>
    <s v="33200 Соглашение об электронном документообороте"/>
    <s v="00622-23"/>
    <s v=""/>
    <s v="33200 Соглашение об электронном документообороте"/>
    <s v="Актуализация типовой формы Соглашения об ЭДО согласно приказа №123-П от 10.11.2023"/>
    <s v="Ларионов Е.А."/>
    <s v=""/>
    <s v="Договорный документ"/>
    <s v="Блок снабжения и закупок"/>
    <s v="Аксенов М.А."/>
    <s v="ЭП"/>
    <s v="Без сроков "/>
    <d v="2023-11-15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4590"/>
    <s v="Проект"/>
    <s v=""/>
    <s v=""/>
    <x v="61"/>
    <s v="7708277130"/>
    <s v="ГЕО-23/09000/00149/Р"/>
    <s v=""/>
    <s v=""/>
    <s v="Нетиповой ДД"/>
    <x v="0"/>
    <s v=""/>
    <s v="00622-24"/>
    <s v=""/>
    <s v="Дополнительное соглашение № 4 к договору ГЕО-23/09000/00149/Р от «28» августа 2023 г."/>
    <s v="Заключение Дополнительного соглашения к договору №ГЕО-23/09000/00149/Р ОТ 28.08.2023 г., предусматривающее изменение сроков оказания услуг без корректировки стоимости (действие договора до 31.12.2027 г.)"/>
    <s v="Фокин Е.В."/>
    <s v="Фокин Е.В."/>
    <s v="Договорный документ"/>
    <s v="Управление производственной безопасности"/>
    <s v="Михайлов Ю.А."/>
    <s v="ЭП"/>
    <s v="С ограничением по срокам "/>
    <d v="2024-11-30T00:00:00"/>
    <d v="2027-12-31T00:00:00"/>
    <s v="Д-2"/>
    <s v="Договор возмездного оказания услуг"/>
    <s v="Не предполагает взаиморасчетов"/>
    <s v="Рамочный"/>
    <s v=""/>
    <s v=""/>
    <s v=""/>
    <s v=""/>
    <s v=""/>
    <s v=""/>
    <s v="нет"/>
    <s v="нет"/>
    <s v=""/>
    <s v=""/>
    <s v=""/>
    <s v=""/>
    <s v="нет"/>
  </r>
  <r>
    <s v="Газпромнефть-ГЕО, ООО"/>
    <s v=""/>
    <s v="Зарегистрирован"/>
    <d v="2021-08-16T00:00:00"/>
    <s v=""/>
    <x v="402"/>
    <s v=""/>
    <s v=""/>
    <s v="ГЕО-21/26000/00202"/>
    <s v="ГЕО-21/26000/00202"/>
    <s v="Типовой ДД"/>
    <x v="1"/>
    <s v="26000 Соглашение о конфиденциальности с российским контрагентом"/>
    <s v="00623-21"/>
    <s v=""/>
    <s v="26000 Соглашение о конфиденциальности с российским контрагентом"/>
    <s v="обусловлена возможной передачей конфиденциальной информации в ходе проведения работ по договору № ГЕО-21/101108/00193/Р от «16» августа 2021г."/>
    <s v="Николаев В.А."/>
    <s v="Николаев В.А."/>
    <s v="Договорный документ"/>
    <s v="Управление по разработке"/>
    <s v="Масалкин Ю.В."/>
    <s v="На бумажном носителе"/>
    <s v="До исполнения обязательств"/>
    <d v="2021-08-16T00:00:00"/>
    <s v=""/>
    <s v=""/>
    <s v="Соглашение о конфиденциальности"/>
    <s v="Не предполагает взаиморасчетов"/>
    <s v=""/>
    <s v=""/>
    <s v=""/>
    <s v=""/>
    <s v=""/>
    <s v=""/>
    <s v=""/>
    <s v="нет"/>
    <s v="нет"/>
    <s v=""/>
    <s v=""/>
    <s v=""/>
    <s v=""/>
    <s v="нет"/>
  </r>
  <r>
    <s v="Газпромнефть-ГЕО, ООО"/>
    <s v="0000027645"/>
    <s v="Зарегистрирован"/>
    <d v="2022-07-15T00:00:00"/>
    <s v=""/>
    <x v="80"/>
    <s v="5501072608"/>
    <s v="ГЕО-18/18000/00046/Р "/>
    <s v=""/>
    <s v="20"/>
    <s v="Нетиповой ДД"/>
    <x v="12"/>
    <s v=""/>
    <s v="00623-22"/>
    <s v=""/>
    <s v="Приложение № 20 от 01.07.2022г. к Агентскому договору № ГЕО-18/18000/00046/Р от 06.12.2018 г."/>
    <s v="Внесение лимитов в договор по АВ на паставку МТР в период с 20.07.2022 по 30.06.2023 г. для проектов ГЕО."/>
    <s v="Лесняк Н.А."/>
    <s v=""/>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7-15T00:00:00"/>
    <d v="2023-06-30T00:00:00"/>
    <s v="Д-56"/>
    <s v="Агентский договор"/>
    <s v="Расходная часть"/>
    <s v="Агентский"/>
    <s v="20%"/>
    <s v=""/>
    <s v=""/>
    <s v="51 356 823.12"/>
    <s v="42 797 352.60"/>
    <s v="8 559 470.52"/>
    <s v="нет"/>
    <s v="нет"/>
    <s v=""/>
    <s v=""/>
    <s v=""/>
    <s v=""/>
    <s v="нет"/>
  </r>
  <r>
    <s v="Газпромнефть-ГЕО, ООО"/>
    <s v=""/>
    <s v="Закрыт"/>
    <d v="2022-07-05T00:00:00"/>
    <s v=""/>
    <x v="403"/>
    <s v=""/>
    <s v=""/>
    <s v="ГЕО-22/25000/00153/Р"/>
    <s v="ГЕО-22/25000/00153/Р"/>
    <s v="Типовой ДД"/>
    <x v="2"/>
    <s v="25000 Договор об оказании услуг физическим лицом (без выезда на Лицензионные участки Заказчика)"/>
    <s v="00624-22"/>
    <s v=""/>
    <s v="25000 Договор об оказании услуг физическим лицом (без выезда на Лицензионные участки Заказчика)"/>
    <s v="организация практики студентов дополнительного образования функции Закупки"/>
    <s v="Рябикина М.А."/>
    <s v="Рябикина М.А."/>
    <s v="Договорный документ"/>
    <s v="Блок снабжения и закупок"/>
    <s v="Титов А.В."/>
    <s v="На бумажном носителе"/>
    <s v="С ограничением по срокам "/>
    <d v="2022-07-15T00:00:00"/>
    <d v="2022-08-15T00:00:00"/>
    <s v="Д-56"/>
    <s v="Договор оказания услуг с физическим лицом"/>
    <s v="Расходная часть"/>
    <s v="Стоимостной"/>
    <s v="13%"/>
    <s v=""/>
    <s v=""/>
    <s v="11 300.00"/>
    <s v="9 831.00"/>
    <s v="1 469.00"/>
    <s v="нет"/>
    <s v="нет"/>
    <s v=""/>
    <s v=""/>
    <s v=""/>
    <s v=""/>
    <s v="нет"/>
  </r>
  <r>
    <s v="Газпромнефть-ГЕО, ООО"/>
    <s v="0000051935"/>
    <s v="Зарегистрирован"/>
    <d v="2023-11-15T00:00:00"/>
    <s v=""/>
    <x v="50"/>
    <s v="7709832820"/>
    <s v="ГЕО-23/10000/00023/Р"/>
    <s v=""/>
    <s v="3"/>
    <s v="Типовой ДД"/>
    <x v="0"/>
    <s v="ДС по актуализации методологии оценки эффективности деятельности контрагентов и мотивации в области ПБ в действующих договорах"/>
    <s v="00624-23"/>
    <s v=""/>
    <s v="ДС№3 ОЭДК к ДД ГЕО-23/10000/00023/Р от 30.01.2023 НьюТек Сервисез, ООО"/>
    <s v="ОЭДК "/>
    <s v="Мормышев А.А."/>
    <s v="Дунаев Э.В."/>
    <s v="Договорный документ"/>
    <s v="Блок бурения и ВСР"/>
    <s v="Трифонов А.В."/>
    <s v="ЭП"/>
    <s v="До исполнения обязательств"/>
    <d v="2023-11-15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5349"/>
    <s v="На проверке"/>
    <d v="2024-11-01T00:00:00"/>
    <s v=""/>
    <x v="140"/>
    <s v="5610220126"/>
    <s v="ГЕО-22/10000/00065/Р"/>
    <s v=""/>
    <s v="10"/>
    <s v="Нетиповой ДД"/>
    <x v="0"/>
    <s v=""/>
    <s v="00624-24"/>
    <s v=""/>
    <s v="ДС №10 к договору ГЕО-22/10000/00056/Р от 31.03.2022 с ООО &quot;ОКТАН СЕРВИС&quot;"/>
    <s v="ДС №10 к договору с ООО «ОКТАН СЕРВИС» предусматривающее, продление сроков действия договора на 2025-26 гг."/>
    <s v="Бикташев Р.С."/>
    <s v="Бикташев Р.С."/>
    <s v="Договорный документ"/>
    <s v="Производственно-технологический департамент"/>
    <s v="Перфильев Д.А."/>
    <s v="ЭП"/>
    <s v="С ограничением по срокам "/>
    <d v="2024-11-01T00:00:00"/>
    <d v="2026-12-31T00:00:00"/>
    <s v="Д-2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417 344 770.56"/>
    <s v="347 787 308.80"/>
    <s v="69 557 461.76"/>
    <s v="нет"/>
    <s v="нет"/>
    <s v=""/>
    <s v=""/>
    <s v=""/>
    <s v=""/>
    <s v="нет"/>
  </r>
  <r>
    <s v="Газпромнефть-ГЕО, ООО"/>
    <s v=""/>
    <s v="Зарегистрирован"/>
    <d v="2022-07-05T00:00:00"/>
    <s v=""/>
    <x v="403"/>
    <s v=""/>
    <s v=""/>
    <s v="ГЕО-22/26000/00149"/>
    <s v="ГЕО-22/26000/00149"/>
    <s v="Типовой ДД"/>
    <x v="1"/>
    <s v="26000 Договор о конфиденциальности с физическим лицом"/>
    <s v="00625-22"/>
    <s v=""/>
    <s v="26000 Договор о конфиденциальности с физическим лицом"/>
    <s v="Заключение договора о конфиденциальности с физ.лицом, оказывающего Обществу услуги на основании договора ГПХ, по неразглашению информации, составляющей коммерческую тайну и иной конфиденциальной информации Общества и его контрагентов."/>
    <s v="Рябикина М.А."/>
    <s v="Рябикина М.А."/>
    <s v="Договорный документ"/>
    <s v="Блок корпоративной защиты"/>
    <s v="Созинов С.А."/>
    <s v="На бумажном носителе"/>
    <s v="Без сроков "/>
    <d v="2022-07-05T00:00:00"/>
    <s v=""/>
    <s v="Д-60"/>
    <s v="Соглашение о конфиденциальности"/>
    <s v="Не предполагает взаиморасчетов"/>
    <s v=""/>
    <s v=""/>
    <s v=""/>
    <s v=""/>
    <s v=""/>
    <s v=""/>
    <s v=""/>
    <s v="нет"/>
    <s v="нет"/>
    <s v=""/>
    <s v=""/>
    <s v=""/>
    <s v=""/>
    <s v="нет"/>
  </r>
  <r>
    <s v="Газпромнефть-ГЕО, ООО"/>
    <s v="0000068695"/>
    <s v="Зарегистрирован"/>
    <d v="2023-11-20T00:00:00"/>
    <s v=""/>
    <x v="77"/>
    <s v="1106013435"/>
    <s v="ГЕО-23/10000/00032/Р +ПР + ПУР"/>
    <s v=""/>
    <s v="1"/>
    <s v="Типовой ДД"/>
    <x v="0"/>
    <s v="ДС по актуализации методологии оценки эффективности деятельности контрагентов и мотивации в области ПБ в действующих договорах"/>
    <s v="00625-23"/>
    <s v=""/>
    <s v="ДС№1 ОЭДК к ДД ГЕО-23/10000/00032/Р от 06.02.2023. БурСервис, ООО"/>
    <s v="ОЭДК"/>
    <s v="Мормышев А.А."/>
    <s v="Дунаев Э.В."/>
    <s v="Договорный документ"/>
    <s v="Блок бурения и ВСР"/>
    <s v="Трифонов А.В."/>
    <s v="ЭП"/>
    <s v="До исполнения обязательств"/>
    <d v="2023-11-14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5789"/>
    <s v="Зарегистрирован"/>
    <d v="2022-06-27T00:00:00"/>
    <s v=""/>
    <x v="16"/>
    <s v="7838395487"/>
    <s v="ГЕО-21/11708/00165/Р"/>
    <s v=""/>
    <s v="1"/>
    <s v="Нетиповой ДД"/>
    <x v="4"/>
    <s v=""/>
    <s v="00626-22"/>
    <s v="НТЦ-00052-22Д-ГЕО"/>
    <s v="Изменение № 1 к Заказу № НТЦ-00052-22Д-ГЕО MGI Закачка газа НЗ к договору ГЕО-21/11708/00165/Р//НТЦ-21/09000/00768/Д от 12.07.2021"/>
    <s v="&quot;Сопровождение формирования концепций разработки для пилотной закачки газа в пласт&quot;"/>
    <s v="Коротков С.П."/>
    <s v=""/>
    <s v="Договорный документ"/>
    <s v="Управление по разработке"/>
    <s v="Аксенов М.А."/>
    <s v="На бумажном носителе"/>
    <s v="С ограничением по срокам "/>
    <d v="2022-06-27T00:00:00"/>
    <d v="2022-12-30T00:00:00"/>
    <s v="Д-54"/>
    <s v="Договор на выполнение НИР, ОКР и технологических работ"/>
    <s v="Расходная часть"/>
    <s v="Рамочный"/>
    <s v="20%"/>
    <s v=""/>
    <s v=""/>
    <s v="14 880 000.00"/>
    <s v="12 400 000.00"/>
    <s v="2 480 000.00"/>
    <s v="нет"/>
    <s v="нет"/>
    <s v=""/>
    <s v=""/>
    <s v=""/>
    <s v=""/>
    <s v="нет"/>
  </r>
  <r>
    <s v="Газпромнефть-ГЕО, ООО"/>
    <s v="0000068695"/>
    <s v="Зарегистрирован"/>
    <d v="2023-11-20T00:00:00"/>
    <s v=""/>
    <x v="77"/>
    <s v="1106013435"/>
    <s v="ГЕО-23/10000/00035/Р +ПР + ПУР"/>
    <s v=""/>
    <s v="1"/>
    <s v="Типовой ДД"/>
    <x v="0"/>
    <s v="ДС по актуализации методологии оценки эффективности деятельности контрагентов и мотивации в области ПБ в действующих договорах"/>
    <s v="00626-23"/>
    <s v=""/>
    <s v="ДС№1 ОЭДК к ДД №ГЕО-23/10000/00035/Р от 10.02.2023г. Бурсервис, ООО"/>
    <s v="ОЭДК"/>
    <s v="Мормышев А.А."/>
    <s v="Дунаев Э.В."/>
    <s v="Договорный документ"/>
    <s v="Блок бурения и ВСР"/>
    <s v="Трифонов А.В."/>
    <s v="ЭП"/>
    <s v="До исполнения обязательств"/>
    <d v="2023-11-14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Закрыт"/>
    <d v="2021-10-18T00:00:00"/>
    <s v=""/>
    <x v="404"/>
    <s v=""/>
    <s v=""/>
    <s v="ГЕО-21/25000/00233/Р"/>
    <s v="ГЕО-21/25000/00233/Р"/>
    <s v="Типовой ДД"/>
    <x v="2"/>
    <s v="25000 Договор об оказании услуг физическим лицом (без выезда на Лицензионные участки Заказчика)"/>
    <s v="00627-21"/>
    <s v=""/>
    <s v="25000 Договор об оказании услуг физическим лицом (без выезда на Лицензионные участки Заказчика)"/>
    <s v="Получение услуг по договору ГПХ"/>
    <s v="Белов Л.К."/>
    <s v="Белов Л.К."/>
    <s v="Договорный документ"/>
    <s v="Управление инвестиционного планирования"/>
    <s v="Масалкин Ю.В."/>
    <s v="На бумажном носителе"/>
    <s v="С ограничением по срокам "/>
    <d v="2021-10-18T00:00:00"/>
    <d v="2022-01-28T00:00:00"/>
    <s v=""/>
    <s v="Договор оказания услуг с физическим лицом"/>
    <s v="Расходная часть"/>
    <s v="Стоимостной"/>
    <s v="13%"/>
    <s v=""/>
    <s v=""/>
    <s v="120 000.00"/>
    <s v="104 400.00"/>
    <s v="15 600.00"/>
    <s v="нет"/>
    <s v="нет"/>
    <s v=""/>
    <s v=""/>
    <s v=""/>
    <s v=""/>
    <s v="нет"/>
  </r>
  <r>
    <s v="Газпромнефть-ГЕО, ООО"/>
    <s v="0000087378"/>
    <s v="Зарегистрирован"/>
    <d v="2022-06-27T00:00:00"/>
    <s v=""/>
    <x v="97"/>
    <s v="7204203139"/>
    <s v="ГЕО-19/10156/00057/Р"/>
    <s v=""/>
    <s v="4/22-057"/>
    <s v="Нетиповой ДД"/>
    <x v="3"/>
    <s v=""/>
    <s v="00627-22"/>
    <s v=""/>
    <s v="Заказ № 4/22-057 НЗ к договору ГЕО-19/10156/00057/Р от 07.03.2019"/>
    <s v="&quot;Комплексные исследования керна скважины 178 Лескинского ЛУ (интервалы отбора керна 2783-2791.5; 3506-3526.94; 3780-3792.25; 3916-3925.76)&quot;"/>
    <s v="Коротков С.П."/>
    <s v=""/>
    <s v="Договорный документ"/>
    <s v="Управление по разработке"/>
    <s v="Аксенов М.А."/>
    <s v="На бумажном носителе"/>
    <s v="С ограничением по срокам "/>
    <d v="2022-06-27T00:00:00"/>
    <d v="2022-07-29T00:00:00"/>
    <s v="Д-54"/>
    <s v="Договор на выполнение НИР, ОКР и технологических работ"/>
    <s v="Расходная часть"/>
    <s v="Рамочный"/>
    <s v="20%"/>
    <s v=""/>
    <s v=""/>
    <s v="5 449 023.85"/>
    <s v="4 540 853.21"/>
    <s v="908 170.64"/>
    <s v="нет"/>
    <s v="нет"/>
    <s v=""/>
    <s v=""/>
    <s v=""/>
    <s v=""/>
    <s v="нет"/>
  </r>
  <r>
    <s v="Газпромнефть-ГЕО, ООО"/>
    <s v="0000086565"/>
    <s v="Подписание ЭП контрагентом"/>
    <d v="2023-11-15T00:00:00"/>
    <s v=""/>
    <x v="106"/>
    <s v="0278127289"/>
    <s v=""/>
    <s v="ГЕО-23/33200/00187"/>
    <s v="ГЕО-23/33200/00187"/>
    <s v="Типовой ДД"/>
    <x v="1"/>
    <s v="33200 Соглашение об электронном документообороте"/>
    <s v="00627-23"/>
    <s v=""/>
    <s v="33200 Соглашение об электронном документообороте"/>
    <s v="Соглашение ЭДО"/>
    <s v="Ябиров Р.З."/>
    <s v=""/>
    <s v="Договорный документ"/>
    <s v="Блок геологии и разработки"/>
    <s v="Аксенов М.А."/>
    <s v="ЭП"/>
    <s v="Без сроков "/>
    <d v="2023-11-30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3161"/>
    <s v="Зарегистрирован"/>
    <d v="2021-09-14T00:00:00"/>
    <s v=""/>
    <x v="128"/>
    <s v="7017207750"/>
    <s v="ГЕО-19/10901/00028/Р"/>
    <s v=""/>
    <s v="6"/>
    <s v="Нетиповой ДД"/>
    <x v="3"/>
    <s v=""/>
    <s v="00628-21"/>
    <s v=""/>
    <s v="Задание №6 к № ГЕО-19/10901/00028/Р от 22.02.2019 г."/>
    <s v="Проведение специальной оценки условий труда и производственного контроля за вредными и опасными производственными факторами на рабочих местах расположенных в офисах Общества"/>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1-09-20T00:00:00"/>
    <d v="2021-10-31T00:00:00"/>
    <s v=""/>
    <s v="Специальная оценка условий труда в соответствии с государственным нормативным требованием охраны труда"/>
    <s v="Расходная часть"/>
    <s v="Стоимостной"/>
    <s v="без НДС"/>
    <s v=""/>
    <s v=""/>
    <s v="229 770.00"/>
    <s v="229 770.00"/>
    <n v="0"/>
    <s v="нет"/>
    <s v="нет"/>
    <s v=""/>
    <s v=""/>
    <s v=""/>
    <s v=""/>
    <s v="нет"/>
  </r>
  <r>
    <s v="Газпромнефть-ГЕО, ООО"/>
    <s v="0000087378"/>
    <s v="Зарегистрирован"/>
    <d v="2022-06-27T00:00:00"/>
    <s v=""/>
    <x v="97"/>
    <s v="7204203139"/>
    <s v="ГЕО-19/10156/00057/Р"/>
    <s v=""/>
    <s v="5/22-057"/>
    <s v="Нетиповой ДД"/>
    <x v="3"/>
    <s v=""/>
    <s v="00628-22"/>
    <s v=""/>
    <s v="Заказ № 5/22-057 НЗ к договору ГЕО-19/10156/00057/Р от 07.03.2019"/>
    <s v="&quot;Комплексные исследования керна скважины 178 Лескинского ЛУ (интервалы отбора керна 3960-3966.2; 4216.46-4222-46; 4488-4500.2)&quot;"/>
    <s v="Коротков С.П."/>
    <s v=""/>
    <s v="Договорный документ"/>
    <s v="Управление по разработке"/>
    <s v="Аксенов М.А."/>
    <s v="На бумажном носителе"/>
    <s v="С ограничением по срокам "/>
    <d v="2022-06-27T00:00:00"/>
    <d v="2022-07-29T00:00:00"/>
    <s v="Д-54"/>
    <s v="Договор на выполнение НИР, ОКР и технологических работ"/>
    <s v="Расходная часть"/>
    <s v="Рамочный"/>
    <s v="20%"/>
    <s v=""/>
    <s v=""/>
    <s v="862 028.59"/>
    <s v="718 357.16"/>
    <s v="143 671.43"/>
    <s v="нет"/>
    <s v="нет"/>
    <s v=""/>
    <s v=""/>
    <s v=""/>
    <s v=""/>
    <s v="нет"/>
  </r>
  <r>
    <s v="Газпромнефть-ГЕО, ООО"/>
    <s v="0000087378"/>
    <s v="Зарегистрирован"/>
    <d v="2023-11-15T00:00:00"/>
    <s v=""/>
    <x v="97"/>
    <s v="7204203139"/>
    <s v=""/>
    <s v="ГЕО-23/33200/00188"/>
    <s v="ГЕО-23/33200/00188"/>
    <s v="Типовой ДД"/>
    <x v="1"/>
    <s v="33200 Соглашение об электронном документообороте"/>
    <s v="00628-23"/>
    <s v=""/>
    <s v="33200 Соглашение об электронном документообороте"/>
    <s v="Соглашение по ЭДО"/>
    <s v="Ябиров Р.З."/>
    <s v=""/>
    <s v="Договорный документ"/>
    <s v="Блок геологии и разработки"/>
    <s v="Аксенов М.А."/>
    <s v="ЭП"/>
    <s v="Без сроков "/>
    <d v="2023-11-15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3179"/>
    <s v="Зарегистрирован"/>
    <d v="2021-09-10T00:00:00"/>
    <s v=""/>
    <x v="54"/>
    <s v="7727747172"/>
    <s v="ГЕО-20/10986/00138/Р от 10.08.2020г."/>
    <s v=""/>
    <s v="1"/>
    <s v="Нетиповой ДД"/>
    <x v="9"/>
    <s v=""/>
    <s v="00629-21"/>
    <s v="Задание 8 "/>
    <s v="Дополнения № 1 к Заданию № 8 к Договору № ГЕО-20/10986/00138/Р от 10.08.2020г. с компанией ООО «ОГК» на оказание супервайзерских услуг по контролю состояния производственной безопасности по Проекту «Большая Ачимовка» (проект «Ачимовка MGI»)"/>
    <s v="Дополнения № 1 к Заданию № 8 к Договору № ГЕО-20/10986/00138/Р от 10.08.2020г. с компанией ООО «ОГК» на оказание супервайзерских услуг по контролю состояния производственной безопасности по Проекту «Большая Ачимовка» (проект «Ачимовка MGI») в 2021 году для лицензионных участков Проекта «Большая Ачимовка» (проект «Ачимовка MGI») без увеличения стоимости задания."/>
    <s v="Рябикина М.А."/>
    <s v="А.Н. Анисимов -3. Руководитель региональных проектов по производственной безопасности кластера «Восточная Сибирь и Оренбург»"/>
    <s v="Договорный документ"/>
    <s v="Блок производственной безопасности"/>
    <s v="Власов М.М."/>
    <s v="На бумажном носителе"/>
    <s v="С ограничением по срокам "/>
    <d v="2021-06-26T00:00:00"/>
    <d v="2021-10-02T00:00:00"/>
    <s v="Д-30"/>
    <s v="Супервайзинг ПЭБ и ОТ"/>
    <s v="Расходная часть"/>
    <s v="Тарифный"/>
    <s v="20%"/>
    <s v=""/>
    <s v=""/>
    <s v="2 066 169.60"/>
    <s v="1 721 808.00"/>
    <s v="344 361.60"/>
    <s v="нет"/>
    <s v="нет"/>
    <s v=""/>
    <s v=""/>
    <s v=""/>
    <s v=""/>
    <s v="нет"/>
  </r>
  <r>
    <s v="Газпромнефть-ГЕО, ООО"/>
    <s v="0000063179"/>
    <s v="Зарегистрирован"/>
    <d v="2022-07-05T00:00:00"/>
    <s v=""/>
    <x v="54"/>
    <s v="7727747172"/>
    <s v="ГЕО-20/10986/00138/Р от 10.08.2020г."/>
    <s v=""/>
    <s v="9"/>
    <s v="Нетиповой ДД"/>
    <x v="0"/>
    <s v=""/>
    <s v="00629-22"/>
    <s v=""/>
    <s v="перенос НГО 2020-2021гг. в НГО 2022г."/>
    <s v="Для возможности обеспечения проектной деятельности Общества в части сопровождения полевых работ специалистами СП и возможности оперативного заключения Заданий на оказание услуг СП между Обществом и ООО «ОГК» перенос невостребованного объема НГО работ периодов 2020-2021гг.  в НГО 2022г. без изменения общей стоимости ДД, без изменения общей стоимости гарантированного и негарантированного объема работ, без изменения существенных условий ДД и без изменения тарифов ДД."/>
    <s v="Рябикина М.А."/>
    <s v="Фокин Евгений Васильевич - Руководитель направления по развитию супервайзинга производственной безопасности, Управление производ"/>
    <s v="Договорный документ"/>
    <s v="Блок производственной безопасности"/>
    <s v="Власов М.М."/>
    <s v="ЭП"/>
    <s v="С ограничением по срокам "/>
    <d v="2022-07-05T00:00:00"/>
    <d v="2024-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n v="0.01"/>
    <n v="0.01"/>
    <n v="0"/>
    <s v="нет"/>
    <s v="нет"/>
    <s v=""/>
    <s v=""/>
    <s v=""/>
    <s v=""/>
    <s v="нет"/>
  </r>
  <r>
    <s v="Газпромнефть-ГЕО, ООО"/>
    <s v="0000062894"/>
    <s v="Зарегистрирован"/>
    <d v="2023-11-14T00:00:00"/>
    <s v=""/>
    <x v="47"/>
    <s v="7017253595"/>
    <s v="ГЕО-23/33100/00026"/>
    <s v=""/>
    <s v="1"/>
    <s v="Типовой ДД"/>
    <x v="0"/>
    <s v="33100 Дополнительное соглашение к Соглашениям в  в области производственной безопасности;"/>
    <s v="00629-23"/>
    <s v=""/>
    <s v="33100 Дополнительное соглашение к Соглашениям в  в области производственной безопасности;"/>
    <s v="Актуализация Соглашения по ПБ"/>
    <s v="Ушакова М.А."/>
    <s v=""/>
    <s v="Договорный документ"/>
    <s v="Блок производственной безопасности"/>
    <s v="Михайлов Ю.А."/>
    <s v="ЭП"/>
    <s v="До исполнения обязательств"/>
    <d v="2023-11-14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0495"/>
    <s v="Зарегистрирован"/>
    <d v="2021-09-20T00:00:00"/>
    <s v=""/>
    <x v="167"/>
    <s v="0275009544"/>
    <s v=""/>
    <s v="ГЕО-21/00000/00205"/>
    <s v="ГЕО-21/00000/00205"/>
    <s v="Типовой ДД"/>
    <x v="1"/>
    <s v="00000 Соглашение в области производственной безопасности"/>
    <s v="00630-21"/>
    <s v=""/>
    <s v="00000 Соглашение в области производственной безопасности"/>
    <s v="Заключение соглашения по ПБ"/>
    <s v="Ахматгалиев С.З."/>
    <s v="Ахматгалиев С.З."/>
    <s v="Договорный документ"/>
    <s v="Блок геологии и разработки"/>
    <s v="Аксенов М.А."/>
    <s v="На бумажном носителе"/>
    <s v="До исполнения обязательств"/>
    <d v="2021-09-20T00:00:00"/>
    <s v=""/>
    <s v="Д-3"/>
    <s v="ПРОЧИЕ ДОГОВОРЫ"/>
    <s v="Не предполагает взаиморасчетов"/>
    <s v=""/>
    <s v=""/>
    <s v=""/>
    <s v=""/>
    <s v=""/>
    <s v=""/>
    <s v=""/>
    <s v="нет"/>
    <s v="нет"/>
    <s v=""/>
    <s v=""/>
    <s v=""/>
    <s v=""/>
    <s v="нет"/>
  </r>
  <r>
    <s v="Газпромнефть-ГЕО, ООО"/>
    <s v="0000096994"/>
    <s v="Зарегистрирован"/>
    <d v="2023-11-20T00:00:00"/>
    <s v=""/>
    <x v="102"/>
    <s v="6316103250"/>
    <s v="ГЕО-22/10000/00318/Р"/>
    <s v=""/>
    <s v="1"/>
    <s v="Типовой ДД"/>
    <x v="0"/>
    <s v="ДС по актуализации методологии оценки эффективности деятельности контрагентов и мотивации в области ПБ в действующих договорах"/>
    <s v="00630-23"/>
    <s v=""/>
    <s v="ДС№1 ОЭДК к ДД №ГЕО-22/10000/00318/Р от 05.12.2022. БАРБУС, ООО"/>
    <s v="ОЭДК"/>
    <s v="Мормышев А.А."/>
    <s v="Дунаев Э.В."/>
    <s v="Договорный документ"/>
    <s v="Блок бурения и ВСР"/>
    <s v="Трифонов А.В."/>
    <s v="ЭП"/>
    <s v="До исполнения обязательств"/>
    <d v="2023-11-14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0495"/>
    <s v="Закрыт"/>
    <d v="2021-09-23T00:00:00"/>
    <s v=""/>
    <x v="167"/>
    <s v="0275009544"/>
    <s v=""/>
    <s v="ГЕО-21/10110/00217/Р + ПР"/>
    <s v="ГЕО-21/10110/00217/Р + ПР"/>
    <s v="Нетиповой ДД"/>
    <x v="2"/>
    <s v=""/>
    <s v="00631-21"/>
    <s v=""/>
    <s v="Проведение полевых сейсморазведочных работ 2Д, 3Д (10110) на Хамбатейском ЛУ"/>
    <s v="Проведение полевых сейсморазведочных работ 2Д, 3Д (10110) на Хамбатейском ЛУ"/>
    <s v="Ахматгалиев С.З."/>
    <s v="Ахматгалиев С.З."/>
    <s v="Договорный документ"/>
    <s v="Блок геологии и разработки"/>
    <s v="Аксенов М.А."/>
    <s v="На бумажном носителе"/>
    <s v="С ограничением по срокам "/>
    <d v="2021-09-01T00:00:00"/>
    <d v="2022-12-01T00:00:00"/>
    <s v="Д-3"/>
    <s v="Полевые сейсморазведочные работы 2Д, 3Д"/>
    <s v="Расходная часть"/>
    <s v="Стоимостной"/>
    <s v="20%"/>
    <s v=""/>
    <s v=""/>
    <s v="1 102 609 800.00"/>
    <s v="918 841 500.00"/>
    <s v="183 768 300.00"/>
    <s v="нет"/>
    <s v="нет"/>
    <s v=""/>
    <s v=""/>
    <s v=""/>
    <s v=""/>
    <s v="нет"/>
  </r>
  <r>
    <s v="Газпромнефть-ГЕО, ООО"/>
    <s v="0000103544"/>
    <s v="Зарегистрирован"/>
    <d v="2022-07-05T00:00:00"/>
    <s v=""/>
    <x v="268"/>
    <s v="563903365352"/>
    <s v=""/>
    <s v="ГЕО-22/04500/00151/Р"/>
    <s v="ГЕО-22/04500/00151/Р"/>
    <s v="Нетиповой ДД"/>
    <x v="2"/>
    <s v=""/>
    <s v="00631-22"/>
    <s v=""/>
    <s v="Договор субаренды земельного участка"/>
    <s v="для строительства промышленных и иных объектов, в том числе (но не ограничиваясь) для размещения бурового оборудования при бурении скважины 401ПО Западно-Рубежинского лицензионного участка и размещения подъездного пути к скважине"/>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2-07-05T00:00:00"/>
    <d v="2023-06-04T00:00:00"/>
    <s v="Д-61"/>
    <s v="Договор субаренды недвижимости"/>
    <s v="Расходная часть"/>
    <s v="Стоимостной"/>
    <s v="13%"/>
    <s v=""/>
    <s v=""/>
    <s v="478 500.00"/>
    <s v="416 295.00"/>
    <s v="62 205.00"/>
    <s v="нет"/>
    <s v="нет"/>
    <s v=""/>
    <s v=""/>
    <s v=""/>
    <s v=""/>
    <s v="нет"/>
  </r>
  <r>
    <s v="Газпромнефть-ГЕО, ООО"/>
    <s v="0000071220"/>
    <s v="Зарегистрирован"/>
    <d v="2023-11-15T00:00:00"/>
    <s v=""/>
    <x v="51"/>
    <s v="5401950707"/>
    <s v="ГЕО-23/10000/00054/Р"/>
    <s v=""/>
    <s v="2"/>
    <s v="Нетиповой ДД"/>
    <x v="0"/>
    <s v=""/>
    <s v="00631-23"/>
    <s v=""/>
    <s v="Дополнительное соглашение №2 к Договору ГЕО-23/10000/00054/Р от 10.03.2023 г."/>
    <s v="Внесение реквизитов отдельного банковского счета в Приложение №22 &quot;Условия банковского сопровождения&quot;"/>
    <s v="Ларионов Е.А."/>
    <s v=""/>
    <s v="Договорный документ"/>
    <s v="Блок снабжения и закупок"/>
    <s v="Шакирзянов Л.Н."/>
    <s v="ЭП"/>
    <s v="С ограничением по срокам "/>
    <d v="2023-11-15T00:00:00"/>
    <d v="2025-12-31T00:00:00"/>
    <s v="Д-2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1165"/>
    <s v="Зарегистрирован"/>
    <d v="2022-07-11T00:00:00"/>
    <s v=""/>
    <x v="405"/>
    <s v="7202095640"/>
    <s v=""/>
    <s v="ГЕО-22/11000/00166/Р"/>
    <s v="ГЕО-22/11000/00166/Р"/>
    <s v="Нетиповой ДД"/>
    <x v="2"/>
    <s v=""/>
    <s v="00632-22"/>
    <s v=""/>
    <s v="10206  Договор подряда на выполнение проектно-изыскательных работ при бурении и/или реконструкции скважин, включая разработку (изменение) индивидуальных и групповых рабочих проектов, авторский надзор"/>
    <s v="Выполнение проектных работ по объекту «Строительство поисково-оценочной скважины №72ПО Хамбатейского лицензионного участка. Корректировка»"/>
    <s v="Эзбин Н.В."/>
    <s v="Григоренко Е.А."/>
    <s v="Договорный документ"/>
    <s v="Управление проектно-изыскательских работ"/>
    <s v="Перфильев Д.А."/>
    <s v="На бумажном носителе"/>
    <s v="С ограничением по срокам "/>
    <d v="2022-07-11T00:00:00"/>
    <d v="2022-12-31T00:00:00"/>
    <s v="Д-61"/>
    <s v="Капитальное строительство и ПИР"/>
    <s v="Расходная часть"/>
    <s v="Стоимостной"/>
    <s v="20%"/>
    <s v=""/>
    <s v=""/>
    <s v="816 000.00"/>
    <s v="680 000.00"/>
    <s v="136 000.00"/>
    <s v="нет"/>
    <s v="нет"/>
    <s v=""/>
    <s v=""/>
    <s v=""/>
    <s v=""/>
    <s v="нет"/>
  </r>
  <r>
    <s v="Газпромнефть-ГЕО, ООО"/>
    <s v="0000082130"/>
    <s v="Зарегистрирован"/>
    <d v="2023-11-17T00:00:00"/>
    <s v=""/>
    <x v="17"/>
    <s v="7203027949"/>
    <s v=""/>
    <s v="ГЕО-23/33200/00189"/>
    <s v="ГЕО-23/33200/00189"/>
    <s v="Типовой ДД"/>
    <x v="1"/>
    <s v="33200 Соглашение об электронном документообороте"/>
    <s v="00632-23"/>
    <s v=""/>
    <s v="33200 Соглашение об электронном документообороте"/>
    <s v="Переход на ЭДО"/>
    <s v="Ябиров Р.З."/>
    <s v=""/>
    <s v="Договорный документ"/>
    <s v="Блок геологии и разработки"/>
    <s v="Аксенов М.А."/>
    <s v="ЭП"/>
    <s v="Без сроков "/>
    <d v="2023-11-17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3273"/>
    <s v="Закрыт"/>
    <d v="2021-09-01T00:00:00"/>
    <s v=""/>
    <x v="21"/>
    <s v="5610218014"/>
    <s v="ГЕО-20/10111/00217/Д/ОРН-20/20000/03369/Р"/>
    <s v=""/>
    <s v="1"/>
    <s v="Нетиповой ДД"/>
    <x v="0"/>
    <s v=""/>
    <s v="00633-21"/>
    <s v=""/>
    <s v="Агентский договор на выполнение обработки и комплексной интерпретации геолого-геофизических данных 3D с целью изучения геологического строения Ягодного участка недр в 2021-2022 г.г."/>
    <s v="Увеличение объема выполнения работ по обработке и комплексной интерпретации геолого-геофизических данных 3D с целью изучения геологического строения недр Ягодной площади в 2021-2022 г.г."/>
    <s v="Мурзин Р.Р."/>
    <s v="Мурзин Р.Р."/>
    <s v="Договорный документ"/>
    <s v="Управление сейсморазведочных работ"/>
    <s v="Масалкин Ю.В."/>
    <s v="На бумажном носителе"/>
    <s v="С ограничением по срокам "/>
    <d v="2021-01-11T00:00:00"/>
    <d v="2022-01-31T00:00:00"/>
    <s v=""/>
    <s v="Обработка и интерпретация сейсмических данных 3Д, 2Д"/>
    <s v="Доходная часть"/>
    <s v="Агентский"/>
    <s v="20%"/>
    <s v=""/>
    <s v=""/>
    <s v="4 819 744.80"/>
    <s v="4 016 454.00"/>
    <s v="803 290.80"/>
    <s v="нет"/>
    <s v="нет"/>
    <s v=""/>
    <s v=""/>
    <s v=""/>
    <s v=""/>
    <s v="нет"/>
  </r>
  <r>
    <s v="Газпромнефть-ГЕО, ООО"/>
    <s v="0000103544"/>
    <s v="Закрыт"/>
    <d v="2022-07-05T00:00:00"/>
    <s v=""/>
    <x v="268"/>
    <s v="563903365352"/>
    <s v=""/>
    <s v="ГЕО-22/04500/00154/Р"/>
    <s v="ГЕО-22/04500/00154/Р"/>
    <s v="Нетиповой ДД"/>
    <x v="1"/>
    <s v=""/>
    <s v="00633-22"/>
    <s v=""/>
    <s v="СОГЛАШЕНИЕ о возмещении убытков сельскохозяйственного производства, в т. ч. упущенной выгоды при временном занятии земельного участка"/>
    <s v="возмещении убытков сельскохозяйственного производства, включая упущенную выгоду и затраты на биологическую рекультивацию при временном занятии части земельного участка для размещения бурового оборудования при бурении скважины № 401ПО Западно-Рубежинск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До исполнения обязательств"/>
    <d v="2022-07-05T00:00:00"/>
    <s v=""/>
    <s v="Д-61"/>
    <s v="Договор субаренды недвижимости"/>
    <s v="Расходная часть"/>
    <s v="Стоимостной"/>
    <s v="иное"/>
    <s v="13,00"/>
    <s v=""/>
    <s v="364 533.15"/>
    <s v="363 628.35"/>
    <n v="904.8"/>
    <s v="нет"/>
    <s v="нет"/>
    <s v=""/>
    <s v=""/>
    <s v=""/>
    <s v=""/>
    <s v="нет"/>
  </r>
  <r>
    <s v="Газпромнефть-ГЕО, ООО"/>
    <s v="0000076283"/>
    <s v="Зарегистрирован"/>
    <d v="2023-11-16T00:00:00"/>
    <s v=""/>
    <x v="28"/>
    <s v="4501174492"/>
    <s v="ГЕО-22/11000/00267/Р"/>
    <s v=""/>
    <s v="3"/>
    <s v="Типовой ДД"/>
    <x v="0"/>
    <s v="ДС по актуализации методологии оценки эффективности деятельности контрагентов и мотивации в области ПБ в действующих договорах"/>
    <s v="00633-23"/>
    <s v=""/>
    <s v="ДС№3 ОЭДК к ДД №ГЕО-22/11000/00267/Р от 10.10.2022. Уралгеопроект, ООО"/>
    <s v="ОЭДК"/>
    <s v="Мормышев А.А."/>
    <s v="Шолохова И.А."/>
    <s v="Договорный документ"/>
    <s v="Управление проектно-изыскательских работ"/>
    <s v="Трифонов А.В."/>
    <s v="ЭП"/>
    <s v="До исполнения обязательств"/>
    <d v="2023-11-16T00:00:00"/>
    <s v=""/>
    <s v="Д-33"/>
    <s v="Капитальное строительство и ПИР"/>
    <s v="Не предполагает взаиморасчетов"/>
    <s v=""/>
    <s v=""/>
    <s v=""/>
    <s v=""/>
    <s v=""/>
    <s v=""/>
    <s v=""/>
    <s v="нет"/>
    <s v="нет"/>
    <s v=""/>
    <s v=""/>
    <s v=""/>
    <s v=""/>
    <s v="нет"/>
  </r>
  <r>
    <s v="Газпромнефть-ГЕО, ООО"/>
    <s v="0000027645"/>
    <s v="Зарегистрирован"/>
    <d v="2021-09-17T00:00:00"/>
    <s v=""/>
    <x v="80"/>
    <s v="5501072608"/>
    <s v="ГЕО-19/10001/00157/Р/ГСН-19/10001/00829/Д/ТМН-15 от «15» июля 2019г."/>
    <s v=""/>
    <s v="12"/>
    <s v="Нетиповой ДД"/>
    <x v="0"/>
    <s v=""/>
    <s v="00634-21"/>
    <s v=""/>
    <s v="ДС № 12 к договору № ГЕО-19/10001/00157/Р/ГСН-19/10001/00829/Д/ТМН-15 от «15» июля 2019г."/>
    <s v="Внесение изменений в пункт 6 «Численность персонала Исполнителя, задействованного в проекте» Приложения 13.1 «Водная доставка, услуги ПРР и хранения» без изменения стоимости договора, физического объема, без изменения тарифов и единичных расценок."/>
    <s v="Рябикина М.А."/>
    <s v="Нежальских Вячеслав Андреевич - Начальник отдела материально-технического обеспечения, логистики и сопутствующих сервисов"/>
    <s v="Договорный документ"/>
    <s v="Блок по закупкам"/>
    <s v="Титов А.В."/>
    <s v="На бумажном носителе"/>
    <s v="С ограничением по срокам "/>
    <d v="2021-09-17T00:00:00"/>
    <d v="2022-12-31T00:00:00"/>
    <s v="Д-11"/>
    <s v="Услуги складской и транспортной логистики. (Оказываемые услуги для ДО БРД)"/>
    <s v="Не предполагает взаиморасчетов"/>
    <s v=""/>
    <s v=""/>
    <s v=""/>
    <s v=""/>
    <s v=""/>
    <s v=""/>
    <s v=""/>
    <s v="нет"/>
    <s v="нет"/>
    <s v=""/>
    <s v=""/>
    <s v=""/>
    <s v=""/>
    <s v="нет"/>
  </r>
  <r>
    <s v="Газпромнефть-ГЕО, ООО"/>
    <s v="0000061903"/>
    <s v="Зарегистрирован"/>
    <d v="2022-07-11T00:00:00"/>
    <s v=""/>
    <x v="180"/>
    <s v="9909012867"/>
    <s v="ГЕО-21/10301/00261/Р"/>
    <s v=""/>
    <s v="2"/>
    <s v="Нетиповой ДД"/>
    <x v="0"/>
    <s v=""/>
    <s v="00634-22"/>
    <s v=""/>
    <s v="Дополнительное соглашение №2 к договору № ГЕО-21/10301/00261/Р от 08.11.2021 г."/>
    <s v="Индексация расценок, включение в договор валютной оговорки"/>
    <s v="Мячина М.В."/>
    <s v="Мячина М.В."/>
    <s v="Договорный документ"/>
    <s v="Отдел подготовительных работ и экономического анализа"/>
    <s v="Масалкин Ю.В."/>
    <s v="На бумажном носителе"/>
    <s v="С ограничением по срокам "/>
    <d v="2022-03-01T00:00:00"/>
    <d v="2025-03-31T00:00:00"/>
    <s v=""/>
    <s v="Технологическое сопровождение (прокат) буровых долот"/>
    <s v="Расходная часть"/>
    <s v="Стоимостной"/>
    <s v="20%"/>
    <s v=""/>
    <s v=""/>
    <s v="3 543 665.28"/>
    <s v="2 953 054.40"/>
    <s v="590 610.88"/>
    <s v="нет"/>
    <s v="нет"/>
    <s v=""/>
    <s v=""/>
    <s v=""/>
    <s v=""/>
    <s v="нет"/>
  </r>
  <r>
    <s v="Газпромнефть-ГЕО, ООО"/>
    <s v="0000058271"/>
    <s v="Зарегистрирован"/>
    <d v="2023-11-13T00:00:00"/>
    <s v=""/>
    <x v="42"/>
    <s v="7725696878"/>
    <s v="ГЕО-19/11708/00133/Р от 25.06.2019 г."/>
    <s v=""/>
    <s v="2"/>
    <s v="Нетиповой ДД"/>
    <x v="0"/>
    <s v=""/>
    <s v="00634-23"/>
    <s v="Заказ-наряд №7"/>
    <s v="ДС №2 к НЗ №7 к Договору №ГЕО-19/11708/00133/Р от 25.06.2019 г. на уменьшение суммы Наряд-Заказа №7"/>
    <s v="Уменьшение суммы Наряд-Заказа №7"/>
    <s v="Коротков С.П."/>
    <s v=""/>
    <s v="Договорный документ"/>
    <s v="Управление по разработке"/>
    <s v="Шакирзянов Л.Н."/>
    <s v="ЭП"/>
    <s v="Без сроков "/>
    <d v="2023-11-13T00:00:00"/>
    <s v=""/>
    <s v="Д-20"/>
    <s v="Договор на выполнение НИР, ОКР и технологических работ"/>
    <s v="Не предполагает взаиморасчетов"/>
    <s v=""/>
    <s v=""/>
    <s v=""/>
    <s v=""/>
    <s v=""/>
    <s v=""/>
    <s v=""/>
    <s v="нет"/>
    <s v="нет"/>
    <s v=""/>
    <s v=""/>
    <s v=""/>
    <s v=""/>
    <s v="нет"/>
  </r>
  <r>
    <s v="Газпромнефть-ГЕО, ООО"/>
    <s v="0000099166"/>
    <s v="Закрыт"/>
    <d v="2021-09-15T00:00:00"/>
    <s v=""/>
    <x v="101"/>
    <s v="5648004029"/>
    <s v=""/>
    <s v="ГЕО-21/04300/00210/Р"/>
    <s v="ГЕО-21/04300/00210/Р"/>
    <s v="Нетиповой ДД"/>
    <x v="2"/>
    <s v=""/>
    <s v="00635-21"/>
    <s v=""/>
    <s v="ДОГОВОР АРЕНДЫ ЗЕМЕЛЬНОГО УЧАСТКА "/>
    <s v="для размещения бурового оборудования при бурении скважины № 341 ПО и подъездного путик ней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1-09-15T00:00:00"/>
    <d v="2022-08-14T00:00:00"/>
    <s v="Д-22"/>
    <s v="Договор аренды недвижимости"/>
    <s v="Расходная часть"/>
    <s v="Стоимостной"/>
    <s v="20%"/>
    <s v=""/>
    <s v=""/>
    <s v="360 000.00"/>
    <s v="300 000.00"/>
    <s v="60 000.00"/>
    <s v="нет"/>
    <s v="нет"/>
    <s v=""/>
    <s v=""/>
    <s v=""/>
    <s v=""/>
    <s v="нет"/>
  </r>
  <r>
    <s v="Газпромнефть-ГЕО, ООО"/>
    <s v="0000060948"/>
    <s v="Зарегистрирован"/>
    <d v="2023-11-16T00:00:00"/>
    <s v=""/>
    <x v="406"/>
    <s v="5603030477"/>
    <s v="ГЕО-22/09000/00125/Р"/>
    <s v=""/>
    <s v="2"/>
    <s v="Типовой ДД"/>
    <x v="0"/>
    <s v="00000 ДС на изменение реквизитов контрагента (адрес, счет)"/>
    <s v="00635-23"/>
    <s v=""/>
    <s v="ДС 2 к договору № ГЕО-22/09000/00125Р от 01.06.2022г."/>
    <s v="Изменение реквизитов в договоре"/>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3-11-16T00:00:00"/>
    <d v="2023-12-31T00:00:00"/>
    <s v="Д-56"/>
    <s v="Договор возмездного оказания услуг"/>
    <s v="Не предполагает взаиморасчетов"/>
    <s v=""/>
    <s v=""/>
    <s v=""/>
    <s v=""/>
    <s v=""/>
    <s v=""/>
    <s v=""/>
    <s v="нет"/>
    <s v="нет"/>
    <s v=""/>
    <s v=""/>
    <s v=""/>
    <s v=""/>
    <s v="нет"/>
  </r>
  <r>
    <s v="Газпромнефть-ГЕО, ООО"/>
    <s v="0000099166"/>
    <s v="Зарегистрирован"/>
    <d v="2021-09-15T00:00:00"/>
    <s v=""/>
    <x v="101"/>
    <s v="5648004029"/>
    <s v=""/>
    <s v="ГЕО-21/04300/00208/Р"/>
    <s v="ГЕО-21/04300/00208/Р"/>
    <s v="Нетиповой ДД"/>
    <x v="1"/>
    <s v=""/>
    <s v="00636-21"/>
    <s v=""/>
    <s v="СОГЛАШЕНИЕ о возмещении убытков сельскохозяйственного производства, в т. ч. упущенной выгоды и затрат на биологическую рекультивацию при временном занятии земельного участка"/>
    <s v="возмещении убытков сельскохозяйственного производства, в т. ч. упущенной выгоды и затрат на биологическую рекультивацию при временном занятии земельного участка для размещения бурового оборудования при бурении скважины № 341 ПО и подъездного путик ней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До исполнения обязательств"/>
    <d v="2021-09-15T00:00:00"/>
    <s v=""/>
    <s v="Д-22"/>
    <s v="Договор аренды недвижимости"/>
    <s v="Расходная часть"/>
    <s v="Стоимостной"/>
    <s v="без НДС"/>
    <s v=""/>
    <s v=""/>
    <s v="2 081 266.20"/>
    <s v="2 081 266.20"/>
    <n v="0"/>
    <s v="нет"/>
    <s v="нет"/>
    <s v=""/>
    <s v=""/>
    <s v=""/>
    <s v=""/>
    <s v="нет"/>
  </r>
  <r>
    <s v="Газпромнефть-ГЕО, ООО"/>
    <s v="0000105643"/>
    <s v="Зарегистрирован"/>
    <d v="2023-11-16T00:00:00"/>
    <s v=""/>
    <x v="25"/>
    <s v="7717693190"/>
    <s v="ГЕО-22/20000/00337/Д"/>
    <s v=""/>
    <s v="2"/>
    <s v="Нетиповой ДД"/>
    <x v="0"/>
    <s v=""/>
    <s v="00636-23"/>
    <s v=""/>
    <s v="ДС 2 к ГЕО-22/20000/00337/Д ООО &quot;НТЦ &quot;Геомеханика&quot;"/>
    <s v="Увеличение стоимости договора"/>
    <s v="Титова Е.В."/>
    <s v="Титова Е.В."/>
    <s v="Договорный документ"/>
    <s v="Блок снабжения и закупок"/>
    <s v="Титов А.В."/>
    <s v="ЭП"/>
    <s v="С ограничением по срокам "/>
    <d v="2023-11-16T00:00:00"/>
    <d v="2024-04-30T00:00:00"/>
    <s v="Д-56"/>
    <s v="Агентский договор"/>
    <s v="Доходная часть"/>
    <s v="Агентский"/>
    <s v="20%"/>
    <s v=""/>
    <s v=""/>
    <s v="125 128.61"/>
    <s v="104 273.84"/>
    <s v="20 854.77"/>
    <s v="нет"/>
    <s v="нет"/>
    <s v=""/>
    <s v=""/>
    <s v=""/>
    <s v=""/>
    <s v="нет"/>
  </r>
  <r>
    <s v="Газпромнефть-ГЕО, ООО"/>
    <s v=""/>
    <s v="Закрыт"/>
    <d v="2021-09-29T00:00:00"/>
    <s v=""/>
    <x v="407"/>
    <s v=""/>
    <s v=""/>
    <s v="ГЕО-21/10926/00214/Р"/>
    <s v="ГЕО-21/10926/00214/Р"/>
    <s v="Нетиповой ДД"/>
    <x v="2"/>
    <s v=""/>
    <s v="00637-21"/>
    <s v=""/>
    <s v="на оказание консалтинговых услуг в области охраны труда, промышленной безопасности и охраны окружающей среды"/>
    <s v="Исполнитель обязуется оказать нижеследующие консалтинговые услуги (далее – Услуги), а Заказчик обязуется оплатить Услуги: _x000d__x000a_1.1.  Исполнитель оказывает для Заказчика консалтинговые услуги в проведении очного семинара в г. Москва на русском языке с 16–26 ноября для подготовки к получению «Международного Сертификата Национального Экзаменационного Совета по Охране Труда Великобритании» (далее NEBOSH IGC) в соответствии с Программой обучения и Графиком, Приложение 1 к Настоящему Договору, для одного сотрудника Заказчика._x000d__x000a_1.2.  Исполнитель организует и проведет под своим наблюдением практическую и письменные части онлайн экзаменов NEBOSH IGC для сотрудника Заказчика, в соответствии с организационными требованиями Национального Экзаменационного Совета по Охране Труда Великобритании, 01 декабря 2021 года. _x000d__x000a_1.3.  Исполнитель предоставляет место для проведения обучения, конференц пакет для одного сотрудника и распечатанные учебно-методические материалы курса NEBOSH IGC на русском языке._x000d__x000a_1.4.  После успешной сдачи экзаменов Заказчиком Исполнитель организует передачу Заказчику международного сертификата NEBOSH IGC, выданного Национальным Экзаменационным Советом по Охране Труда Великобритании NEBOSH._x000d__x000a__x000d__x000a__x000d__x000a_"/>
    <s v="Анисимов А.Н."/>
    <s v="Анисимов А.Н."/>
    <s v="Договорный документ"/>
    <s v="Управление производственной безопасности"/>
    <s v="Масалкин Ю.В."/>
    <s v="На бумажном носителе"/>
    <s v="До исполнения обязательств"/>
    <d v="2021-08-16T00:00:00"/>
    <s v=""/>
    <s v=""/>
    <s v="Обучение по промышленной, экологической безопасности и охране труда"/>
    <s v="Расходная часть"/>
    <s v="Стоимостной"/>
    <s v="0%"/>
    <s v=""/>
    <s v=""/>
    <s v="280 000.00"/>
    <s v="280 000.00"/>
    <n v="0"/>
    <s v="нет"/>
    <s v="да"/>
    <s v="100"/>
    <s v="280 000,00"/>
    <s v=""/>
    <s v=""/>
    <s v="нет"/>
  </r>
  <r>
    <s v="Газпромнефть-ГЕО, ООО"/>
    <s v="0000027605"/>
    <s v="Зарегистрирован"/>
    <d v="2022-07-07T00:00:00"/>
    <s v=""/>
    <x v="67"/>
    <s v="8605003932"/>
    <s v="ДОГОВОР № КТР-2021-07/ГЕО-21/Ю900/00177/Р"/>
    <s v=""/>
    <s v="1"/>
    <s v="Нетиповой ДД"/>
    <x v="0"/>
    <s v=""/>
    <s v="00637-22"/>
    <s v=""/>
    <s v="на оказание экспертно-консультационных услуг, связанных с локализацией и ликвидацией разливов нефтепродуктов"/>
    <s v="раскрытие не гарантированного объема"/>
    <s v="Белоусов О.В."/>
    <s v="Белоусов О.В."/>
    <s v="Договорный документ"/>
    <s v="Отдел по промышленной и пожарной безопасности"/>
    <s v="Власов М.М."/>
    <s v="На бумажном носителе"/>
    <s v="С ограничением по срокам "/>
    <d v="2022-07-07T00:00:00"/>
    <d v="2024-07-31T00:00:00"/>
    <s v="Д-59"/>
    <s v="Договор возмездного оказания услуг"/>
    <s v="Не предполагает взаиморасчетов"/>
    <s v="Рамочный"/>
    <s v=""/>
    <s v=""/>
    <s v=""/>
    <s v=""/>
    <s v=""/>
    <s v=""/>
    <s v="нет"/>
    <s v="нет"/>
    <s v=""/>
    <s v=""/>
    <s v=""/>
    <s v=""/>
    <s v="нет"/>
  </r>
  <r>
    <s v="Газпромнефть-ГЕО, ООО"/>
    <s v="0000049191"/>
    <s v="Зарегистрирован"/>
    <d v="2024-02-01T00:00:00"/>
    <s v=""/>
    <x v="0"/>
    <s v="7729058675"/>
    <s v=""/>
    <s v="ГЕО-24/09000/00019/Р"/>
    <s v="ГЕО-24/09000/00019/Р"/>
    <s v="Нетиповой ДД"/>
    <x v="2"/>
    <s v=""/>
    <s v="00637-23"/>
    <s v=""/>
    <s v="Договор на модернизацию помещения 506"/>
    <s v="проектные и строительно-монтажные работы по модернизации инженерных систем в здании, расположенном по адресу: г. Санкт-Петербург, Синопская наб. д.22, лит.А, 5 этаж, помещение 506 офисного делового центра «Синоп»"/>
    <s v="Разумовский М.В."/>
    <s v="Разумовский М.В."/>
    <s v="Договорный документ"/>
    <s v="Блок геологии и разработки"/>
    <s v="Аксенов М.А."/>
    <s v="На бумажном носителе"/>
    <s v="С ограничением по срокам "/>
    <d v="2024-02-01T00:00:00"/>
    <d v="2024-03-29T00:00:00"/>
    <s v="Д-54"/>
    <s v="Договор возмездного оказания услуг"/>
    <s v="Расходная часть"/>
    <s v="Стоимостной"/>
    <s v="20%"/>
    <s v=""/>
    <s v=""/>
    <s v="1 492 800.00"/>
    <s v="1 244 000.00"/>
    <s v="248 800.00"/>
    <s v="да"/>
    <s v="нет"/>
    <s v=""/>
    <s v=""/>
    <s v=""/>
    <s v=""/>
    <s v="нет"/>
  </r>
  <r>
    <s v="Газпромнефть-ГЕО, ООО"/>
    <s v="0000099595"/>
    <s v="Закрыт"/>
    <d v="2021-09-15T00:00:00"/>
    <s v=""/>
    <x v="265"/>
    <s v="5648004036"/>
    <s v=""/>
    <s v="ГЕО-21/04500/00211/Р"/>
    <s v="ГЕО-21/04500/00211/Р"/>
    <s v="Нетиповой ДД"/>
    <x v="2"/>
    <s v=""/>
    <s v="00638-21"/>
    <s v=""/>
    <s v="ДОГОВОР СУБАРЕНДЫ ЗЕМЕЛЬНОГО УЧАСТКА"/>
    <s v="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1-09-15T00:00:00"/>
    <d v="2022-08-14T00:00:00"/>
    <s v="Д-22"/>
    <s v="Договор субаренды недвижимости"/>
    <s v="Расходная часть"/>
    <s v="Стоимостной"/>
    <s v="20%"/>
    <s v=""/>
    <s v=""/>
    <s v="346 500.00"/>
    <s v="288 750.00"/>
    <s v="57 750.00"/>
    <s v="нет"/>
    <s v="нет"/>
    <s v=""/>
    <s v=""/>
    <s v=""/>
    <s v=""/>
    <s v="нет"/>
  </r>
  <r>
    <s v="Газпромнефть-ГЕО, ООО"/>
    <s v="0000074750"/>
    <s v="Зарегистрирован"/>
    <d v="2022-07-06T00:00:00"/>
    <s v=""/>
    <x v="66"/>
    <s v="8905062456"/>
    <s v="ГЕО-20/10126/00022/Р"/>
    <s v=""/>
    <s v="3"/>
    <s v="Нетиповой ДД"/>
    <x v="0"/>
    <s v=""/>
    <s v="00638-22"/>
    <s v=""/>
    <s v="ДС №3 к Договору №ГЕО-20/10126/00022/Р от 15.01.2020 г."/>
    <s v="Индексация единичных расценок и ввод дополнительных расценок без увеличения общей стоимости договора за счет уменьшения объемов работ, а также актуализация требований ПБ"/>
    <s v="Ушакова М.А."/>
    <s v=""/>
    <s v="Договорный документ"/>
    <s v="Блок геологии и разработки"/>
    <s v="Аксенов М.А."/>
    <s v="На бумажном носителе"/>
    <s v="С ограничением по срокам "/>
    <d v="2022-07-06T00:00:00"/>
    <d v="2023-12-31T00:00:00"/>
    <s v=""/>
    <s v="Договор возмездного оказания услуг"/>
    <s v="Не предполагает взаиморасчетов"/>
    <s v=""/>
    <s v=""/>
    <s v=""/>
    <s v=""/>
    <s v=""/>
    <s v=""/>
    <s v=""/>
    <s v="нет"/>
    <s v="нет"/>
    <s v=""/>
    <s v=""/>
    <s v=""/>
    <s v=""/>
    <s v="нет"/>
  </r>
  <r>
    <s v="Газпромнефть-ГЕО, ООО"/>
    <s v="0000073563"/>
    <s v="Проект"/>
    <s v=""/>
    <s v=""/>
    <x v="120"/>
    <s v="8609322418"/>
    <s v="ГЕО-22/10402/00187/Р"/>
    <s v=""/>
    <s v="9"/>
    <s v="Типовой ДД"/>
    <x v="0"/>
    <s v="00000 ДС на изменение реквизитов контрагента (адрес, счет)"/>
    <s v="00638-23"/>
    <s v=""/>
    <s v="00000 ДС на изменение реквизитов контрагента (адрес, счет)"/>
    <s v=""/>
    <s v="Яшкина К.Л."/>
    <s v="Конюх М.В."/>
    <s v="Договорный документ"/>
    <s v="Блок бурения и ВСР"/>
    <s v="Трифонов А.В."/>
    <s v=""/>
    <s v="До исполнения обязательств"/>
    <s v=""/>
    <s v=""/>
    <s v="Д-33"/>
    <s v="Капитальный ремонт и освоение скважин"/>
    <s v="Не предполагает взаиморасчетов"/>
    <s v=""/>
    <s v=""/>
    <s v=""/>
    <s v=""/>
    <s v=""/>
    <s v=""/>
    <s v=""/>
    <s v="нет"/>
    <s v="нет"/>
    <s v=""/>
    <s v=""/>
    <s v=""/>
    <s v=""/>
    <s v="нет"/>
  </r>
  <r>
    <s v="Газпромнефть-ГЕО, ООО"/>
    <s v="0000099595"/>
    <s v="Закрыт"/>
    <d v="2021-09-15T00:00:00"/>
    <s v=""/>
    <x v="265"/>
    <s v="5648004036"/>
    <s v=""/>
    <s v="ГЕО-21/04500/00212/Р"/>
    <s v="ГЕО-21/04500/00212/Р"/>
    <s v="Нетиповой ДД"/>
    <x v="1"/>
    <s v=""/>
    <s v="00639-21"/>
    <s v=""/>
    <s v="Соглашение о возмещении убытков сельскохозяйственного производства, в т. ч. упущенной выгоды при временном занятии земельного участка"/>
    <s v=" возмещении убытков сельскохозяйственного производства, в т. ч. упущенной выгоды при временном занятии земельного участка 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До исполнения обязательств"/>
    <d v="2021-09-15T00:00:00"/>
    <s v=""/>
    <s v="Д-22"/>
    <s v="Договор субаренды недвижимости"/>
    <s v="Расходная часть"/>
    <s v="Стоимостной"/>
    <s v="без НДС"/>
    <s v=""/>
    <s v=""/>
    <s v="32 160.24"/>
    <s v="32 160.24"/>
    <n v="0"/>
    <s v="нет"/>
    <s v="нет"/>
    <s v=""/>
    <s v=""/>
    <s v=""/>
    <s v=""/>
    <s v="нет"/>
  </r>
  <r>
    <s v="Газпромнефть-ГЕО, ООО"/>
    <s v="0000037846"/>
    <s v="Зарегистрирован"/>
    <d v="2022-04-22T00:00:00"/>
    <s v=""/>
    <x v="26"/>
    <s v="8905032518"/>
    <s v="ГЕО-22/09000/00023/Р"/>
    <s v=""/>
    <s v="1"/>
    <s v="Нетиповой ДД"/>
    <x v="0"/>
    <s v=""/>
    <s v="00639-22"/>
    <s v=""/>
    <s v="Дополнительное соглашение № 1 к договору № ГЕО-22/09000/00023/Р от 09.02.2022г."/>
    <s v="Уточнение некоторых условий договора"/>
    <s v="Мячина М.В."/>
    <s v=""/>
    <s v="Договорный документ"/>
    <s v="Отдел подготовительных работ и экономического анализа"/>
    <s v="Масалкин Ю.В."/>
    <s v="На бумажном носителе"/>
    <s v="До исполнения обязательств"/>
    <d v="2022-04-22T00:00:00"/>
    <s v=""/>
    <s v=""/>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91163"/>
    <s v="Зарегистрирован"/>
    <d v="2021-09-15T00:00:00"/>
    <s v=""/>
    <x v="149"/>
    <s v="5001063958"/>
    <s v="00547-21"/>
    <s v=""/>
    <s v="1"/>
    <s v="Нетиповой ДД"/>
    <x v="3"/>
    <s v=""/>
    <s v="00640-21"/>
    <s v=""/>
    <s v="Наряд-заказ №1"/>
    <s v="Выполнение цифровой аэрофотосъемки и воздушно-лазерного сканирования с пилотируемых воздушных средств на территории Корноваринского, Надеждинского, Западно-Рубежного ЛУ (Оренбургская область)"/>
    <s v="Федоров А.Г."/>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1-09-15T00:00:00"/>
    <d v="2021-12-31T00:00:00"/>
    <s v="Д-22"/>
    <s v="Аэрофотосъемка, космическая съемка. Создание ортофотопланов"/>
    <s v="Расходная часть"/>
    <s v="Стоимостной"/>
    <s v="20%"/>
    <s v=""/>
    <s v=""/>
    <s v="13 727 973.60"/>
    <s v="11 439 978.00"/>
    <s v="2 287 995.60"/>
    <s v="нет"/>
    <s v="нет"/>
    <s v=""/>
    <s v=""/>
    <s v=""/>
    <s v=""/>
    <s v="нет"/>
  </r>
  <r>
    <s v="Газпромнефть-ГЕО, ООО"/>
    <s v="0000027645"/>
    <s v="Зарегистрирован"/>
    <d v="2022-07-12T00:00:00"/>
    <s v=""/>
    <x v="80"/>
    <s v="5501072608"/>
    <s v=""/>
    <s v="ГЕО-22/33000/00159/Р"/>
    <s v="ГЕО-22/33000/00159/Р"/>
    <s v="Нетиповой ДД"/>
    <x v="2"/>
    <s v=""/>
    <s v="00640-22"/>
    <s v=""/>
    <s v="ДОГОВОР на оказание услуг складской и транспортной логистики (проект «Хамбатей»)"/>
    <s v="Услуги по погрузке (выгрузке) материально-технических ресурсов (далее по тексту - МТР), поступивших в адрес Исполнителя железнодорожными вагонами, контейнерами, автотранспортом и иным видом транспорта. Оказывать услуги по хранению МТР на открытой площадке/в складе на базах Исполнителя, услуги по перевозке автомобильным, железнодорожным, авиатранспортом и т.д."/>
    <s v="Лепихин С.А."/>
    <s v="Лепихин С.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7-15T00:00:00"/>
    <d v="2023-12-31T00:00:00"/>
    <s v="Д-56"/>
    <s v="Соглашение участников хозяйственных обществ (юридических лиц)"/>
    <s v="Расходная часть"/>
    <s v="Тарифный"/>
    <s v="20%"/>
    <s v=""/>
    <s v=""/>
    <s v="172 721 114.46"/>
    <s v="143 934 262.05"/>
    <s v="28 786 852.41"/>
    <s v="нет"/>
    <s v="нет"/>
    <s v=""/>
    <s v=""/>
    <s v=""/>
    <s v=""/>
    <s v="нет"/>
  </r>
  <r>
    <s v="Газпромнефть-ГЕО, ООО"/>
    <s v="0000066314"/>
    <s v="Зарегистрирован"/>
    <d v="2021-08-30T00:00:00"/>
    <s v=""/>
    <x v="74"/>
    <s v="7202242358"/>
    <s v="№ АНГ-19/11513/00010/Р "/>
    <s v=""/>
    <s v="8"/>
    <s v="Нетиповой ДД"/>
    <x v="3"/>
    <s v=""/>
    <s v="00641-21"/>
    <s v=""/>
    <s v="Наряд-заказ № 8 к Договору № АНГ-19/11513/00010/Р "/>
    <s v="Оформление разрешительной документации на земельные участки для объектов проекта Титан "/>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8-30T00:00:00"/>
    <d v="2022-12-31T00:00:00"/>
    <s v="Д-22"/>
    <s v="Выполнение комплекса топографо-геодезических, землеустроительных и лесоустроительных  работ "/>
    <s v="Расходная часть"/>
    <s v="Рамочный"/>
    <s v="0%"/>
    <s v=""/>
    <s v=""/>
    <s v="937 682.57"/>
    <s v="937 682.57"/>
    <n v="0"/>
    <s v="нет"/>
    <s v="нет"/>
    <s v=""/>
    <s v=""/>
    <s v=""/>
    <s v=""/>
    <s v="нет"/>
  </r>
  <r>
    <s v="Газпромнефть-ГЕО, ООО"/>
    <s v=""/>
    <s v="Проект"/>
    <s v=""/>
    <s v=""/>
    <x v="58"/>
    <s v=""/>
    <s v=""/>
    <s v=""/>
    <s v=""/>
    <s v=""/>
    <x v="6"/>
    <s v=""/>
    <s v="00641-22"/>
    <s v=""/>
    <s v=""/>
    <s v=""/>
    <s v="Касатов И.Н."/>
    <s v=""/>
    <s v="Договорный документ"/>
    <s v="Управление материально-технического обеспечения, транспортного обеспечения и сопутствующих сервисов"/>
    <s v=""/>
    <s v=""/>
    <s v=""/>
    <s v=""/>
    <s v=""/>
    <s v=""/>
    <s v=""/>
    <s v=""/>
    <s v=""/>
    <s v=""/>
    <s v=""/>
    <s v=""/>
    <s v=""/>
    <s v=""/>
    <s v=""/>
    <s v="нет"/>
    <s v="нет"/>
    <s v=""/>
    <s v=""/>
    <s v=""/>
    <s v=""/>
    <s v="нет"/>
  </r>
  <r>
    <s v="Газпромнефть-ГЕО, ООО"/>
    <s v="0000074750"/>
    <s v="Зарегистрирован"/>
    <d v="2021-09-22T00:00:00"/>
    <s v=""/>
    <x v="66"/>
    <s v="8905062456"/>
    <s v="ГЕО-19/10126/00195/Р от 01.08.2019"/>
    <s v=""/>
    <s v="2"/>
    <s v="Нетиповой ДД"/>
    <x v="0"/>
    <s v=""/>
    <s v="00642-21"/>
    <s v=""/>
    <s v="ДС №2 к Договору №ГЕО-19/10126/00195/Р от 01.08.2019 г."/>
    <s v="Перераспределение остатка денежных средств по Договору в соответствии с производственной программой, а также актуализация Паспортов КБ"/>
    <s v="Ушакова М.А."/>
    <s v="Николаев Владимир Алексеевич"/>
    <s v="Договорный документ"/>
    <s v="Блок геологии и разработки"/>
    <s v="Аксенов М.А."/>
    <s v="На бумажном носителе"/>
    <s v="С ограничением по срокам "/>
    <d v="2021-09-22T00:00:00"/>
    <d v="2022-12-31T00:00:00"/>
    <s v="Д-3"/>
    <s v="ГИС при строительстве/реконструкции скважин"/>
    <s v="Не предполагает взаиморасчетов"/>
    <s v=""/>
    <s v=""/>
    <s v=""/>
    <s v=""/>
    <s v=""/>
    <s v=""/>
    <s v=""/>
    <s v="нет"/>
    <s v="нет"/>
    <s v=""/>
    <s v=""/>
    <s v=""/>
    <s v=""/>
    <s v="нет"/>
  </r>
  <r>
    <s v="Газпромнефть-ГЕО, ООО"/>
    <s v="0000104922"/>
    <s v="Зарегистрирован"/>
    <d v="2022-08-01T00:00:00"/>
    <s v=""/>
    <x v="408"/>
    <s v="772584730091"/>
    <s v=""/>
    <s v="ГЕО-22/09000/00215/Р"/>
    <s v="ГЕО-22/09000/00215/Р"/>
    <s v="Нетиповой ДД"/>
    <x v="2"/>
    <s v=""/>
    <s v="00642-22"/>
    <s v=""/>
    <s v="Договор на оказание услуг по разработке дизайн-макетов и верстке "/>
    <s v="Исполнитель обязуется оказать Заказчику услуги по разработке дизайн-макетов и верстке именуемые в дальнейшем «Услуги», а Заказчик обязуется принять результат Услуг и оплатить его."/>
    <s v="Нюняйкина О.В."/>
    <s v="Нюняйкина О.В."/>
    <s v="Договорный документ"/>
    <s v="Отдел по корпоративным коммуникациям"/>
    <s v="Масалкин Ю.В."/>
    <s v="На бумажном носителе"/>
    <s v="С ограничением по срокам "/>
    <d v="2022-08-01T00:00:00"/>
    <d v="2023-09-01T00:00:00"/>
    <s v=""/>
    <s v="Договор возмездного оказания услуг"/>
    <s v="Расходная часть"/>
    <s v="Стоимостной"/>
    <s v="без НДС"/>
    <s v=""/>
    <s v=""/>
    <s v="1 497 392.00"/>
    <s v="1 497 392.00"/>
    <n v="0"/>
    <s v="нет"/>
    <s v="нет"/>
    <s v=""/>
    <s v=""/>
    <s v=""/>
    <s v=""/>
    <s v="нет"/>
  </r>
  <r>
    <s v="Газпромнефть-ГЕО, ООО"/>
    <s v="0000087378"/>
    <s v="Зарегистрирован"/>
    <d v="2023-11-14T00:00:00"/>
    <s v=""/>
    <x v="97"/>
    <s v="7204203139"/>
    <s v="ГЕО-19/10156/00057/Р"/>
    <s v=""/>
    <s v="5"/>
    <s v="Нетиповой ДД"/>
    <x v="0"/>
    <s v=""/>
    <s v="00642-23"/>
    <s v=""/>
    <s v="Дополнительное соглашение №5 к Рамочному Договору"/>
    <s v="Перевод негарантированный объём в гарантированный"/>
    <s v="Ябиров Р.З."/>
    <s v=""/>
    <s v="Договорный документ"/>
    <s v="Блок геологии и разработки"/>
    <s v="Шакирзянов Л.Н."/>
    <s v="ЭП"/>
    <s v="С ограничением по срокам "/>
    <d v="2023-11-14T00:00:00"/>
    <d v="2024-12-31T00:00:00"/>
    <s v="Д-20"/>
    <s v="Договор на выполнение НИР, ОКР и технологических работ"/>
    <s v="Расходная часть"/>
    <s v="Рамочный"/>
    <s v="20%"/>
    <s v=""/>
    <s v=""/>
    <s v="135 615 162.29"/>
    <s v="113 012 635.24"/>
    <s v="22 602 527.05"/>
    <s v="нет"/>
    <s v="нет"/>
    <s v=""/>
    <s v=""/>
    <s v=""/>
    <s v=""/>
    <s v="нет"/>
  </r>
  <r>
    <s v="Газпромнефть-ГЕО, ООО"/>
    <s v="0000076283"/>
    <s v="Зарегистрирован"/>
    <d v="2022-07-08T00:00:00"/>
    <s v=""/>
    <x v="28"/>
    <s v="4501174492"/>
    <s v="ГЕО-22/11000/00030/Р"/>
    <s v=""/>
    <s v="1 "/>
    <s v="Типовой ДД"/>
    <x v="4"/>
    <s v="11018, 11019, 11020, 11021, 11022  Наряд-заказ к Договору (рамочному) на выполнение  работ по услугам &quot;Капитальное строительство и ПИР&quot;"/>
    <s v="00643-22"/>
    <s v="1"/>
    <s v="11018, 11019, 11020, 11021, 11022  Наряд-заказ к Договору (рамочному) на выполнение  работ по услугам &quot;Капитальное строительство и ПИР&quot;"/>
    <s v="Увеличение объемов изыскательских работ по объекту &quot;Строительство поисковой скважины Сал-3П Салаирской площади Оморинского лицензионного участка&quot;"/>
    <s v="Шолохова И.А."/>
    <s v="Салахутдинов Р.С."/>
    <s v="Договорный документ"/>
    <s v="Управление проектно-изыскательских работ"/>
    <s v="Перфильев Д.А."/>
    <s v="На бумажном носителе"/>
    <s v="До исполнения обязательств"/>
    <d v="2022-02-14T00:00:00"/>
    <s v=""/>
    <s v="Д-61"/>
    <s v="Капитальное строительство и ПИР"/>
    <s v="Расходная часть"/>
    <s v="Рамочный"/>
    <s v="20%"/>
    <s v=""/>
    <s v=""/>
    <s v="67 076 206.14"/>
    <s v="55 896 838.45"/>
    <s v="11 179 367.69"/>
    <s v="нет"/>
    <s v="нет"/>
    <s v=""/>
    <s v=""/>
    <s v=""/>
    <s v=""/>
    <s v="нет"/>
  </r>
  <r>
    <s v="Газпромнефть-ГЕО, ООО"/>
    <s v="0000057796"/>
    <s v="Зарегистрирован"/>
    <d v="2023-11-03T00:00:00"/>
    <s v=""/>
    <x v="109"/>
    <s v="5003028148"/>
    <s v="ГЕО-23/10000/00093/Р+ ПР"/>
    <s v=""/>
    <s v="2"/>
    <s v="Нетиповой ДД"/>
    <x v="3"/>
    <s v=""/>
    <s v="00643-23"/>
    <s v=""/>
    <s v="НЗ №2 к ДОГОВОРУ № ГЕО-23/10000/00093/Р от 01.06.2023 г."/>
    <s v="Наряд-Заказ №2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
    <s v="Мормышев А.А."/>
    <s v="Хабибуллин Т.Ф."/>
    <s v="Договорный документ"/>
    <s v="Блок производственной безопасности"/>
    <s v="Михайлов Ю.А."/>
    <s v="ЭП"/>
    <s v="До исполнения обязательств"/>
    <d v="2023-11-03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 464 724.80"/>
    <s v="1 220 604.00"/>
    <s v="244 120.80"/>
    <s v="нет"/>
    <s v="нет"/>
    <s v=""/>
    <s v=""/>
    <s v=""/>
    <s v=""/>
    <s v="нет"/>
  </r>
  <r>
    <s v="Газпромнефть-ГЕО, ООО"/>
    <s v="0000099587"/>
    <s v="Закрыт"/>
    <d v="2021-09-20T00:00:00"/>
    <s v=""/>
    <x v="409"/>
    <s v="781426584364"/>
    <s v=""/>
    <s v="ГЕО-21/26000/00209"/>
    <s v="ГЕО-21/26000/00209"/>
    <s v="Типовой ДД"/>
    <x v="1"/>
    <s v="26000 Договор о конфиденциальности с физическим лицом"/>
    <s v="00644-21"/>
    <s v=""/>
    <s v="26000 Договор о конфиденциальности с физическим лицом"/>
    <s v="Договор о конфиденциальности с контрагентом Куропятником Д.А.. Основной договор на оказание услуг (договор ГПХ) ГЕО-21/25000/00203/Р от 20.09.2021"/>
    <s v="Рубинская П.Д."/>
    <s v="Рубинская П.Д."/>
    <s v="Договорный документ"/>
    <s v="Управление инвестиционного планирования"/>
    <s v="Созинов С.А."/>
    <s v="На бумажном носителе"/>
    <s v="С ограничением по срокам "/>
    <d v="2021-09-20T00:00:00"/>
    <d v="2021-11-05T00:00:00"/>
    <s v="Д-35"/>
    <s v="Соглашение о конфиденциальности"/>
    <s v="Не предполагает взаиморасчетов"/>
    <s v=""/>
    <s v=""/>
    <s v=""/>
    <s v=""/>
    <s v=""/>
    <s v=""/>
    <s v=""/>
    <s v="нет"/>
    <s v="нет"/>
    <s v=""/>
    <s v=""/>
    <s v=""/>
    <s v=""/>
    <s v="нет"/>
  </r>
  <r>
    <s v="Газпромнефть-ГЕО, ООО"/>
    <s v="0000044244"/>
    <s v="Зарегистрирован"/>
    <d v="2021-08-01T00:00:00"/>
    <s v=""/>
    <x v="192"/>
    <s v="8904034777"/>
    <s v=""/>
    <s v="ГЕО-21/11513/00213/Р"/>
    <s v="ГЕО-21/11513/00213/Р"/>
    <s v="Нетиповой ДД"/>
    <x v="1"/>
    <s v=""/>
    <s v="00645-21"/>
    <s v=""/>
    <s v="Соглашение об установлении сервитута (по форме ООО &quot;Газпром добыча Ямбург&quot;)"/>
    <s v="Обеспечение беспрепятственного прохода и проезда по земельным участкам ООО &quot;Газпром добыча Ямбург&quot; для проведения геологоразведочных работ ООО &quot;ГПН-ГЕО&quot;  на Северо-Ямбургском ЛУ"/>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08-01T00:00:00"/>
    <d v="2024-06-01T00:00:00"/>
    <s v="Д-22"/>
    <s v="Выполнение комплекса топографо-геодезических, землеустроительных и лесоустроительных  работ "/>
    <s v="Расходная часть"/>
    <s v="Стоимостной"/>
    <s v="20%"/>
    <s v=""/>
    <s v=""/>
    <s v="1 504.33"/>
    <s v="1 253.61"/>
    <n v="250.72"/>
    <s v="нет"/>
    <s v="нет"/>
    <s v=""/>
    <s v=""/>
    <s v=""/>
    <s v=""/>
    <s v="нет"/>
  </r>
  <r>
    <s v="Газпромнефть-ГЕО, ООО"/>
    <s v="0000040642"/>
    <s v="Зарегистрирован"/>
    <d v="2022-07-08T00:00:00"/>
    <s v=""/>
    <x v="4"/>
    <s v="7736035485"/>
    <s v=""/>
    <s v="ГЕО-22/17000/00157/Р"/>
    <s v="ГЕО-22/17000/00157/Р"/>
    <s v="Нетиповой ДД"/>
    <x v="2"/>
    <s v=""/>
    <s v="00645-22"/>
    <s v=""/>
    <s v="Договор страхования"/>
    <s v="В целях исполнения требований к членству ООО «ГПН-ГЕО» в саморегулируемой организации «Объединение строителей СПб» в соответствии с Положением п. 3.5 требуется страхование гражданской ответственности."/>
    <s v="Крутова Е.С."/>
    <s v="Крутова Е.С."/>
    <s v="Договорный документ"/>
    <s v="Департамент капитального строительства"/>
    <s v="Перфильев Д.А."/>
    <s v="На бумажном носителе"/>
    <s v="С ограничением по срокам "/>
    <d v="2022-07-08T00:00:00"/>
    <d v="2023-07-28T00:00:00"/>
    <s v="Д-61"/>
    <s v="Договор страхования"/>
    <s v="Расходная часть"/>
    <s v="Стоимостной"/>
    <s v="без НДС"/>
    <s v=""/>
    <s v=""/>
    <s v="20 000.00"/>
    <s v="20 000.00"/>
    <n v="0"/>
    <s v="нет"/>
    <s v="нет"/>
    <s v=""/>
    <s v=""/>
    <s v=""/>
    <s v=""/>
    <s v="нет"/>
  </r>
  <r>
    <s v="Газпромнефть-ГЕО, ООО"/>
    <s v="0000073563"/>
    <s v="Зарегистрирован"/>
    <d v="2023-11-17T00:00:00"/>
    <s v=""/>
    <x v="120"/>
    <s v="8609322418"/>
    <s v="ГЕО-22/10402/00187/Р"/>
    <s v=""/>
    <s v="9"/>
    <s v="Типовой ДД"/>
    <x v="0"/>
    <s v="00000 ДС на изменение реквизитов контрагента (адрес, счет)"/>
    <s v="00645-23"/>
    <s v=""/>
    <s v="00000 ДС на изменение реквизитов контрагента (адрес, счет)"/>
    <s v="Корректировка реквизитов по запросу контрагента"/>
    <s v="Ушакова М.А."/>
    <s v=""/>
    <s v="Договорный документ"/>
    <s v="Блок бурения и ВСР"/>
    <s v="Трифонов А.В."/>
    <s v="ЭП"/>
    <s v="С ограничением по срокам "/>
    <d v="2023-11-17T00:00:00"/>
    <d v="2024-12-31T00:00:00"/>
    <s v="Д-33"/>
    <s v="Капитальный ремонт и освоение скважин"/>
    <s v="Не предполагает взаиморасчетов"/>
    <s v=""/>
    <s v=""/>
    <s v=""/>
    <s v=""/>
    <s v=""/>
    <s v=""/>
    <s v=""/>
    <s v="нет"/>
    <s v="нет"/>
    <s v=""/>
    <s v=""/>
    <s v=""/>
    <s v=""/>
    <s v="нет"/>
  </r>
  <r>
    <s v="Газпромнефть-ГЕО, ООО"/>
    <s v=""/>
    <s v="Зарегистрирован"/>
    <d v="2021-10-11T00:00:00"/>
    <s v=""/>
    <x v="410"/>
    <s v=""/>
    <s v=""/>
    <s v="ГЕО-21/10302/00225/Р"/>
    <s v="ГЕО-21/10302/00225/Р"/>
    <s v="Типовой ДД"/>
    <x v="2"/>
    <s v="10302 Договор на на выполнение работ/услуг «Технологическое сопровождение (прокат) забойных двигателей»"/>
    <s v="00646-21"/>
    <s v=""/>
    <s v="10302 Договор на на выполнение работ/услуг «Технологическое сопровождение (прокат) забойных двигателей»"/>
    <s v="Оказание услуг по технологическому сопровождению (прокату) забойных двигателей, проект &quot;Южный Оренбург&quot;"/>
    <s v="Быков Н.В."/>
    <s v="Дунаев Э.В."/>
    <s v="Договорный документ"/>
    <s v="Блок бурения и ВСР"/>
    <s v="Гаврилов С.В."/>
    <s v="На бумажном носителе"/>
    <s v="С ограничением по срокам "/>
    <d v="2021-10-11T00:00:00"/>
    <d v="2024-12-31T00:00:00"/>
    <s v=""/>
    <s v="Технологическое сопровождение (прокат) забойных двигателей     "/>
    <s v="Расходная часть"/>
    <s v="Стоимостной"/>
    <s v="20%"/>
    <s v=""/>
    <s v=""/>
    <s v="79 453 176.00"/>
    <s v="66 210 980.00"/>
    <s v="13 242 196.00"/>
    <s v="нет"/>
    <s v="нет"/>
    <s v=""/>
    <s v=""/>
    <s v=""/>
    <s v=""/>
    <s v="нет"/>
  </r>
  <r>
    <s v="Газпромнефть-ГЕО, ООО"/>
    <s v="0000062701"/>
    <s v="Зарегистрирован"/>
    <d v="2022-07-08T00:00:00"/>
    <s v=""/>
    <x v="212"/>
    <s v="6318166129"/>
    <s v="ГЕО-20/11019/00045/Р"/>
    <s v=""/>
    <s v="7"/>
    <s v="Типовой ДД"/>
    <x v="3"/>
    <s v="11018, 11019, 11020, 11021, 11022  Наряд-заказ к Договору (рамочному) на выполнение  работ по услугам &quot;Капитальное строительство и ПИР&quot;"/>
    <s v="00646-22"/>
    <s v=""/>
    <s v="11018, 11019, 11020, 11021, 11022  Наряд-заказ к Договору (рамочному) на выполнение  работ по услугам &quot;Капитальное строительство и ПИР&quot;"/>
    <s v="Выполнение проектно-изыскательских работ по объекту &quot;Строительство поисково-оценочной скважины №351ПО Солнечного лицензионного участка&quot;"/>
    <s v="Эзбин Н.В."/>
    <s v="Салахутдинов Р.С."/>
    <s v="Договорный документ"/>
    <s v="Управление проектно-изыскательских работ"/>
    <s v="Перфильев Д.А."/>
    <s v="На бумажном носителе"/>
    <s v="До исполнения обязательств"/>
    <d v="2022-07-08T00:00:00"/>
    <s v=""/>
    <s v="Д-61"/>
    <s v="Капитальное строительство и ПИР"/>
    <s v="Расходная часть"/>
    <s v="Рамочный"/>
    <s v="20%"/>
    <s v=""/>
    <s v=""/>
    <s v="12 413 771.57"/>
    <s v="10 344 809.64"/>
    <s v="2 068 961.93"/>
    <s v="нет"/>
    <s v="нет"/>
    <s v=""/>
    <s v=""/>
    <s v=""/>
    <s v=""/>
    <s v="нет"/>
  </r>
  <r>
    <s v="Газпромнефть-ГЕО, ООО"/>
    <s v="0000066314"/>
    <s v="Зарегистрирован"/>
    <d v="2023-11-27T00:00:00"/>
    <s v=""/>
    <x v="74"/>
    <s v="7202242358"/>
    <s v=""/>
    <s v="ГЕО-23/33200/00193"/>
    <s v="ГЕО-23/33200/00193"/>
    <s v="Типовой ДД"/>
    <x v="1"/>
    <s v="33200 Соглашение об электронном документообороте"/>
    <s v="00646-23"/>
    <s v=""/>
    <s v="33200 Соглашение об электронном документообороте"/>
    <s v="Перезаключение действующего Соглашений об использовании электронного документооборота"/>
    <s v="Расулов И.Ф."/>
    <s v="Расулов И.Ф."/>
    <s v="Договорный документ"/>
    <s v="Управление маркшейдерско-землеустроительных работ"/>
    <s v="Шакирзянов Л.Н."/>
    <s v="ЭП"/>
    <s v="Без сроков "/>
    <d v="2023-12-01T00:00:00"/>
    <s v=""/>
    <s v="Д-20"/>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6733"/>
    <s v="Зарегистрирован"/>
    <d v="2021-10-01T00:00:00"/>
    <s v=""/>
    <x v="164"/>
    <s v="7203336545"/>
    <s v="№ ГЕО-20/10940/00117/Р "/>
    <s v=""/>
    <s v="3"/>
    <s v="Нетиповой ДД"/>
    <x v="3"/>
    <s v=""/>
    <s v="00647-21"/>
    <s v=""/>
    <s v="Заказ № 03 к Договору № ГЕО-20/10940/00117/Р от 10.07.2020 г. "/>
    <s v="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в Сибирском федеральном округе (Красноярский край, Лескинский ЛУ)."/>
    <s v="Липатова О.И."/>
    <s v="Липатова О.И."/>
    <s v="Договорный документ"/>
    <s v="Отдел экологической безопасности"/>
    <s v="Власов М.М."/>
    <s v="На бумажном носителе"/>
    <s v="С ограничением по срокам "/>
    <d v="2021-10-01T00:00:00"/>
    <d v="2021-12-31T00:00:00"/>
    <s v="Д-30"/>
    <s v="Супервайзерские услуги при осуществлении деятельности по утилизации и/или обезвреживанию отходов и (при необходимости) рекультивации земель, занятых под шламовые амбары/шламонакопители"/>
    <s v="Расходная часть"/>
    <s v="Стоимостной"/>
    <s v="без НДС"/>
    <s v=""/>
    <s v=""/>
    <s v="560 409.60"/>
    <s v="560 409.60"/>
    <n v="0"/>
    <s v="нет"/>
    <s v="нет"/>
    <s v=""/>
    <s v=""/>
    <s v=""/>
    <s v=""/>
    <s v="нет"/>
  </r>
  <r>
    <s v="Газпромнефть-ГЕО, ООО"/>
    <s v="0000045789"/>
    <s v="Зарегистрирован"/>
    <d v="2022-07-18T00:00:00"/>
    <s v=""/>
    <x v="16"/>
    <s v="7838395487"/>
    <s v="ГЕО-21/11708/00165/Р//НТЦ-21/09000/00768/Д"/>
    <s v=""/>
    <s v="НТЦ-01664-22"/>
    <s v="Нетиповой ДД"/>
    <x v="3"/>
    <s v=""/>
    <s v="00647-22"/>
    <s v=""/>
    <s v="ЗАКАЗ №НТЦ-01664-22"/>
    <s v="Оказание агентских услуг в рамках продукта «Сервисные услуги Блока Закупок и импортозамещения»."/>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2-07-18T00:00:00"/>
    <d v="2022-12-30T00:00:00"/>
    <s v="Д-52"/>
    <s v="Договор на выполнение НИР, ОКР и технологических работ"/>
    <s v="Расходная часть"/>
    <s v="Агентский"/>
    <s v="20%"/>
    <s v=""/>
    <s v=""/>
    <s v="93 605 417.17"/>
    <s v="78 004 514.31"/>
    <s v="15 600 902.86"/>
    <s v="нет"/>
    <s v="нет"/>
    <s v=""/>
    <s v=""/>
    <s v=""/>
    <s v=""/>
    <s v="нет"/>
  </r>
  <r>
    <s v="Газпромнефть-ГЕО, ООО"/>
    <s v="0000027645"/>
    <s v="Закрыт"/>
    <d v="2021-09-28T00:00:00"/>
    <s v=""/>
    <x v="80"/>
    <s v="5501072608"/>
    <s v=""/>
    <s v="ГЕО-21/11104/00216/Д"/>
    <s v="ГЕО-21/11104/00216/Д"/>
    <s v="Нетиповой ДД"/>
    <x v="2"/>
    <s v=""/>
    <s v="00648-21"/>
    <s v=""/>
    <s v="Агентский договор на организацию вертолетных авиаперевозок с ООО &quot;Газпромнефть-Снабжение&quot;"/>
    <s v="Авиаперевозка персонала и грузов КА"/>
    <s v="Титова Е.В."/>
    <s v="Титова Екатерина Владимировна"/>
    <s v="Договорный документ"/>
    <s v="Блок по закупкам"/>
    <s v="Титов А.В."/>
    <s v="На бумажном носителе"/>
    <s v="С ограничением по срокам "/>
    <d v="2021-08-20T00:00:00"/>
    <d v="2021-12-31T00:00:00"/>
    <s v="Д-11"/>
    <s v="Авиационное обслуживание (вертолеты)"/>
    <s v="Доходная часть"/>
    <s v="Агентский"/>
    <s v="20%"/>
    <s v=""/>
    <s v=""/>
    <s v="577 669.54"/>
    <s v="481 391.28"/>
    <s v="96 278.26"/>
    <s v="нет"/>
    <s v="нет"/>
    <s v=""/>
    <s v=""/>
    <s v=""/>
    <s v=""/>
    <s v="нет"/>
  </r>
  <r>
    <s v="Газпромнефть-ГЕО, ООО"/>
    <s v="0000062701"/>
    <s v="Зарегистрирован"/>
    <d v="2022-07-08T00:00:00"/>
    <s v=""/>
    <x v="212"/>
    <s v="6318166129"/>
    <s v="ГЕО-20/11019/00045/Р"/>
    <s v=""/>
    <s v="8"/>
    <s v="Типовой ДД"/>
    <x v="3"/>
    <s v="11018, 11019, 11020, 11021, 11022  Наряд-заказ к Договору (рамочному) на выполнение  работ по услугам &quot;Капитальное строительство и ПИР&quot;"/>
    <s v="00648-22"/>
    <s v=""/>
    <s v="11018, 11019, 11020, 11021, 11022  Наряд-заказ к Договору (рамочному) на выполнение  работ по услугам &quot;Капитальное строительство и ПИР&quot;"/>
    <s v="Выполнение проектно-изыскательских работ по объекту &quot;Строительство поисково-оценочной скважины №201ПО Надеждинского лицензионного участка&quot;"/>
    <s v="Эзбин Н.В."/>
    <s v="Салахутдинов Р.С."/>
    <s v="Договорный документ"/>
    <s v="Управление проектно-изыскательских работ"/>
    <s v="Перфильев Д.А."/>
    <s v="На бумажном носителе"/>
    <s v="До исполнения обязательств"/>
    <d v="2022-07-08T00:00:00"/>
    <s v=""/>
    <s v="Д-61"/>
    <s v="Капитальное строительство и ПИР"/>
    <s v="Расходная часть"/>
    <s v="Рамочный"/>
    <s v="20%"/>
    <s v=""/>
    <s v=""/>
    <s v="10 909 372.44"/>
    <s v="9 091 143.70"/>
    <s v="1 818 228.74"/>
    <s v="нет"/>
    <s v="нет"/>
    <s v=""/>
    <s v=""/>
    <s v=""/>
    <s v=""/>
    <s v="нет"/>
  </r>
  <r>
    <s v="Газпромнефть-ГЕО, ООО"/>
    <s v="0000084590"/>
    <s v="Зарегистрирован"/>
    <d v="2023-11-27T00:00:00"/>
    <s v=""/>
    <x v="61"/>
    <s v="7708277130"/>
    <s v="ГЕО-23/09000/00149/Р"/>
    <s v=""/>
    <s v="1"/>
    <s v="Нетиповой ДД"/>
    <x v="4"/>
    <s v=""/>
    <s v="00648-23"/>
    <s v="4"/>
    <s v="Изменение №1 к Заявке № 4"/>
    <s v="- Изменение №1 к Заявке №4 на привлечение руководителя группы по производственной безопасности для проекта «Оморинский», Салаирский ЛУ (скв.3 Сал) Жуланова Максима Александровича взамен Павлюка Валерия Павловича;_x000a_- применение квалификационных требований к руководителю группы по производственной безопасности, в соответствии с принятыми в рамках протокола совещания группы по экспертизе от 02.11.2023 г. №ПТ-9/0000224 критериями;_x000a_- корректировку объёмов и сроков оказания услуг по привлечению Павлюка Валерия к факту и отражение объёмов и сроков услуг на период привлечения Жуланова М.А."/>
    <s v="Фокин Е.В."/>
    <s v="Фокин Е.В."/>
    <s v="Договорный документ"/>
    <s v="Управление производственной безопасности"/>
    <s v="Михайлов Ю.А."/>
    <s v="ЭП"/>
    <s v="С ограничением по срокам "/>
    <d v="2023-10-31T00:00:00"/>
    <d v="2023-12-31T00:00:00"/>
    <s v="Д-2"/>
    <s v="Договор возмездного оказания услуг"/>
    <s v="Расходная часть"/>
    <s v="Рамочный"/>
    <s v="20%"/>
    <s v=""/>
    <s v=""/>
    <s v="1 825 594.15"/>
    <s v="1 521 328.46"/>
    <s v="304 265.69"/>
    <s v="нет"/>
    <s v="нет"/>
    <s v=""/>
    <s v=""/>
    <s v=""/>
    <s v=""/>
    <s v="нет"/>
  </r>
  <r>
    <s v="Газпромнефть-ГЕО, ООО"/>
    <s v="0000065735"/>
    <s v="Зарегистрирован"/>
    <d v="2021-09-29T00:00:00"/>
    <s v=""/>
    <x v="200"/>
    <s v="0274095068"/>
    <s v="№ ГЕО-19/11019/00145/Р от 19.06.2019"/>
    <s v=""/>
    <s v="Изменение 1"/>
    <s v="Типовой ДД"/>
    <x v="3"/>
    <s v="11018, 11019, 11020, 11021, 11022  Наряд-заказ к Договору (рамочному) на выполнение  работ по услугам &quot;Капитальное строительство и ПИР&quot;"/>
    <s v="00649-21"/>
    <s v="Наряд-заказ №1 от 19.06.2019"/>
    <s v="11018, 11019, 11020, 11021, 11022  Наряд-заказ к Договору (рамочному) на выполнение  работ по услугам &quot;Капитальное строительство и ПИР&quot;"/>
    <s v="Изменение наименования скважины"/>
    <s v="Григоренко Е.А."/>
    <s v="Григоренко Е.А."/>
    <s v="Договорный документ"/>
    <s v="Управление проектно-изыскательских работ"/>
    <s v="Перфильев Д.А."/>
    <s v="На бумажном носителе"/>
    <s v="До исполнения обязательств"/>
    <d v="2021-09-29T00:00:00"/>
    <s v=""/>
    <s v="Д-22"/>
    <s v="ПИР Объекты добычи, подготовки и транспорта нефти, вкл. авторский надзор"/>
    <s v="Не предполагает взаиморасчетов"/>
    <s v=""/>
    <s v=""/>
    <s v=""/>
    <s v=""/>
    <s v=""/>
    <s v=""/>
    <s v=""/>
    <s v="нет"/>
    <s v="нет"/>
    <s v=""/>
    <s v=""/>
    <s v=""/>
    <s v=""/>
    <s v="нет"/>
  </r>
  <r>
    <s v="Газпромнефть-ГЕО, ООО"/>
    <s v="0000100751"/>
    <s v="Зарегистрирован"/>
    <d v="2022-08-01T00:00:00"/>
    <s v=""/>
    <x v="411"/>
    <s v="540403412077"/>
    <s v=""/>
    <s v="ГЕО-22/25000/00183/Р"/>
    <s v="ГЕО-22/25000/00183/Р"/>
    <s v="Нетиповой ДД"/>
    <x v="2"/>
    <s v=""/>
    <s v="00649-22"/>
    <s v=""/>
    <s v="Оказание услуги по организации и проведению фото- и видеосъемок "/>
    <s v="Исполнитель обязуется оказать Заказчику услуги по организации и проведению фото- и видеосъемок сотрудников, именуемые в дальнейшем «Услуги», а Заказчик обязуется принять результат Услуг и оплатить его."/>
    <s v="Нюняйкина О.В."/>
    <s v="Нюняйкина О.В."/>
    <s v="Договорный документ"/>
    <s v="Отдел по корпоративным коммуникациям"/>
    <s v="Масалкин Ю.В."/>
    <s v="На бумажном носителе"/>
    <s v="С ограничением по срокам "/>
    <d v="2022-08-01T00:00:00"/>
    <d v="2023-05-01T00:00:00"/>
    <s v=""/>
    <s v="Договор оказания услуг с физическим лицом"/>
    <s v="Расходная часть"/>
    <s v="Стоимостной"/>
    <s v="13%"/>
    <s v=""/>
    <s v=""/>
    <s v="1 471 825.00"/>
    <s v="1 280 487.75"/>
    <s v="191 337.25"/>
    <s v="нет"/>
    <s v="нет"/>
    <s v=""/>
    <s v=""/>
    <s v=""/>
    <s v=""/>
    <s v="нет"/>
  </r>
  <r>
    <s v="Газпромнефть-ГЕО, ООО"/>
    <s v="0000079678, 0000049141"/>
    <s v="Зарегистрирован"/>
    <d v="2023-11-22T00:00:00"/>
    <s v=""/>
    <x v="412"/>
    <s v="7725314818, 7203215460"/>
    <s v="ГЕО-22/13000/00043"/>
    <s v=""/>
    <s v="1"/>
    <s v="Нетиповой ДД"/>
    <x v="0"/>
    <s v=""/>
    <s v="00649-23"/>
    <s v=""/>
    <s v="Уведомление о прекращении уведомления-соглашения №ГЕО-22/13000/00043 от 18.02.2022 (факторинговое обслуживание)"/>
    <s v="Уведомление о прекращении факторингового обслуживания по договору №ХНТ-19/10110/898/Р/60 от 27.08.2019 г., заключенного между АО ТЕОТЕК&quot; и ООО &quot;ГПН-ГЕО&quot;."/>
    <s v="Ушакова М.А."/>
    <s v=""/>
    <s v="Договорный документ"/>
    <s v="Блок геологии и разработки"/>
    <s v="Аксенов М.А."/>
    <s v="На бумажном носителе"/>
    <s v="С ограничением по срокам "/>
    <d v="2023-11-21T00:00:00"/>
    <d v="2023-12-31T00:00:00"/>
    <s v=""/>
    <s v="Договор финансирования под уступку денежного требования"/>
    <s v="Не предполагает взаиморасчетов"/>
    <s v=""/>
    <s v=""/>
    <s v=""/>
    <s v=""/>
    <s v=""/>
    <s v=""/>
    <s v=""/>
    <s v="нет"/>
    <s v="нет"/>
    <s v=""/>
    <s v=""/>
    <s v=""/>
    <s v=""/>
    <s v="нет"/>
  </r>
  <r>
    <s v="Газпромнефть-ГЕО, ООО"/>
    <s v="0000048356"/>
    <s v="Зарегистрирован"/>
    <d v="2022-06-27T00:00:00"/>
    <s v=""/>
    <x v="152"/>
    <s v="8601034898"/>
    <s v=""/>
    <s v="ГЕО-22/26000/00156"/>
    <s v="ГЕО-22/26000/00156"/>
    <s v="Типовой ДД"/>
    <x v="1"/>
    <s v="26000 Соглашение о конфиденциальности с российским контрагентом"/>
    <s v="00650-22"/>
    <s v=""/>
    <s v="26000 Соглашение о конфиденциальности с российским контрагентом"/>
    <s v="Соглашение о конфиденциальности с российским контрагентом ООО «Защита Югры»"/>
    <s v="Рябикина М.А."/>
    <s v="Морозов Анатолий Владимирович - Начальник отдела по промышленной и пожарной безопасности"/>
    <s v="Договорный документ"/>
    <s v="Блок корпоративной защиты"/>
    <s v="Созинов С.А."/>
    <s v="ЭП"/>
    <s v="Без сроков "/>
    <d v="2022-06-27T00:00:00"/>
    <s v=""/>
    <s v="Д-60"/>
    <s v="Соглашение о конфиденциальности"/>
    <s v="Не предполагает взаиморасчетов"/>
    <s v=""/>
    <s v=""/>
    <s v=""/>
    <s v=""/>
    <s v=""/>
    <s v=""/>
    <s v=""/>
    <s v="нет"/>
    <s v="нет"/>
    <s v=""/>
    <s v=""/>
    <s v=""/>
    <s v=""/>
    <s v="нет"/>
  </r>
  <r>
    <s v="Газпромнефть-ГЕО, ООО"/>
    <s v="0000093724"/>
    <s v="Зарегистрирован"/>
    <d v="2023-11-28T00:00:00"/>
    <s v=""/>
    <x v="129"/>
    <s v="8601057334"/>
    <s v="ГЕО-23/08000/00155/Р"/>
    <s v=""/>
    <s v="1"/>
    <s v="Нетиповой ДД"/>
    <x v="0"/>
    <s v=""/>
    <s v="00650-23"/>
    <s v=""/>
    <s v="ДС №1 к Договору ГЕО-23/08000/00155/Р от 31.08.2023г."/>
    <s v="Актуализация и ввод дополнительных расценок;_x000a_Обновление оценочных листов и порядка УЭДК;_x000a_Увеличение суммы договора"/>
    <s v="Ларионов Е.А."/>
    <s v="Ларионов Е.А."/>
    <s v="Договорный документ"/>
    <s v="Блок снабжения и закупок"/>
    <s v="Аксенов М.А."/>
    <s v="ЭП"/>
    <s v="С ограничением по срокам "/>
    <d v="2023-09-25T00:00:00"/>
    <d v="2023-12-31T00:00:00"/>
    <s v=""/>
    <s v="Договор на выполнение НИР, ОКР и технологических работ"/>
    <s v="Расходная часть"/>
    <s v="Рамочный"/>
    <s v="20%"/>
    <s v=""/>
    <s v="41304868.17"/>
    <s v="49 565 841.80"/>
    <s v="41 304 868.17"/>
    <s v="8 260 973.63"/>
    <s v="да"/>
    <s v="нет"/>
    <s v=""/>
    <s v=""/>
    <s v=""/>
    <s v=""/>
    <s v="нет"/>
  </r>
  <r>
    <s v="Газпромнефть-ГЕО, ООО"/>
    <s v="0000099166"/>
    <s v="Закрыт"/>
    <d v="2022-07-15T00:00:00"/>
    <s v=""/>
    <x v="101"/>
    <s v="5648004029"/>
    <s v=""/>
    <s v="ГЕО-22/04300/00160/Р"/>
    <s v="ГЕО-22/04300/00160/Р"/>
    <s v="Типовой ДД"/>
    <x v="2"/>
    <s v="04300 Договор аренды земельных участков (под строительство)"/>
    <s v="00651-22"/>
    <s v=""/>
    <s v="04300 Договор аренды земельных участков (под строительство)"/>
    <s v="для строительства промышленных и иных объектов, а именно (но, не ограничиваясь) для размещения бурового оборудования при бурении скважины № 341 ПО и подъездного пути к ней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2-07-31T00:00:00"/>
    <d v="2022-12-30T00:00:00"/>
    <s v="Д-61"/>
    <s v="Договор аренды недвижимости"/>
    <s v="Расходная часть"/>
    <s v="Стоимостной"/>
    <s v="20%"/>
    <s v=""/>
    <s v=""/>
    <s v="990 000.00"/>
    <s v="825 000.00"/>
    <s v="165 000.00"/>
    <s v="нет"/>
    <s v="нет"/>
    <s v=""/>
    <s v=""/>
    <s v=""/>
    <s v=""/>
    <s v="нет"/>
  </r>
  <r>
    <s v="Газпромнефть-ГЕО, ООО"/>
    <s v="0000047806"/>
    <s v="Зарегистрирован"/>
    <d v="2021-10-01T00:00:00"/>
    <s v=""/>
    <x v="30"/>
    <s v="8905044954"/>
    <s v="ГЕО-18/09000/00051"/>
    <s v=""/>
    <s v="2"/>
    <s v="Нетиповой ДД"/>
    <x v="0"/>
    <s v=""/>
    <s v="00652-21"/>
    <s v=""/>
    <s v="Оказание архивных услуг"/>
    <s v="Оказание услуг по архивному хранению документов"/>
    <s v="Потемкина И.В."/>
    <s v="Потемкина И.В."/>
    <s v="Договорный документ"/>
    <s v="Отдел административной поддержки бизнеса"/>
    <s v="Буракова О.В."/>
    <s v="На бумажном носителе"/>
    <s v="С ограничением по срокам "/>
    <d v="2021-10-01T00:00:00"/>
    <d v="2023-12-10T00:00:00"/>
    <s v="Д-1"/>
    <s v="Договор возмездного оказания услуг"/>
    <s v="Расходная часть"/>
    <s v="Тарифный"/>
    <s v="20%"/>
    <s v=""/>
    <s v=""/>
    <s v="337 715.35"/>
    <s v="281 429.46"/>
    <s v="56 285.89"/>
    <s v="нет"/>
    <s v="нет"/>
    <s v=""/>
    <s v=""/>
    <s v=""/>
    <s v=""/>
    <s v="нет"/>
  </r>
  <r>
    <s v="Газпромнефть-ГЕО, ООО"/>
    <s v="0000008602"/>
    <s v="Закрыт"/>
    <d v="2022-08-08T00:00:00"/>
    <s v=""/>
    <x v="32"/>
    <s v="5504036333"/>
    <s v=""/>
    <s v="ГЕО-22/12100/00174/Р"/>
    <s v="ГЕО-22/12100/00174/Р"/>
    <s v="Нетиповой ДД"/>
    <x v="2"/>
    <s v=""/>
    <s v="00652-22"/>
    <s v=""/>
    <s v="Договор займа"/>
    <s v="Целью заключения договора является подготовка заявочных документов на получение прав пользования недрами для геологического изучения и оценки пригодности участка недр для строительства и эксплуатации подземных сооружений, не связанных с добычей полезных ископаемых (заявительный принцип). Реальное финансирование осуществлятся не будет._x000d__x000a__x000d__x000a_"/>
    <s v="Чернявский Г.С."/>
    <s v="Чернявский Г.С."/>
    <s v="Договорный документ"/>
    <s v="Финансовое управление"/>
    <s v="Ковтун М.А."/>
    <s v="На бумажном носителе"/>
    <s v="С ограничением по срокам "/>
    <d v="2022-08-05T00:00:00"/>
    <d v="2025-08-05T00:00:00"/>
    <s v="Д-62"/>
    <s v="Договор займа"/>
    <s v="Расходная часть"/>
    <s v="Стоимостной"/>
    <s v="без НДС"/>
    <s v=""/>
    <s v=""/>
    <s v="4 000 000 000.00"/>
    <s v="4 000 000 000.00"/>
    <n v="0"/>
    <s v="нет"/>
    <s v="нет"/>
    <s v=""/>
    <s v=""/>
    <s v=""/>
    <s v=""/>
    <s v="нет"/>
  </r>
  <r>
    <s v="Газпромнефть-ГЕО, ООО"/>
    <s v="0000104605"/>
    <s v="Зарегистрирован"/>
    <d v="2023-11-22T00:00:00"/>
    <s v=""/>
    <x v="55"/>
    <s v="9705112341"/>
    <s v="ГЕО-23/10000/00067/Р"/>
    <s v=""/>
    <s v="3"/>
    <s v="Нетиповой ДД"/>
    <x v="0"/>
    <s v=""/>
    <s v="00652-23"/>
    <s v=""/>
    <s v="ДОПОЛНИТЕЛЬНОЕ СОГЛАШЕНИЕ №3 К ДОГОВОРУ № №ГЕО-23/10000/00067/Р от 31.03.20"/>
    <s v="Перераспределение объёмов услуг, с уменьшением общей стоимости договора"/>
    <s v="Раковица Д.К."/>
    <s v="Раковица Д.К."/>
    <s v="Договорный документ"/>
    <s v="Отдел подготовительных работ и экономического анализа"/>
    <s v="Трифонов А.В."/>
    <s v="ЭП"/>
    <s v="С ограничением по срокам "/>
    <d v="2023-11-22T00:00:00"/>
    <d v="2025-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97 705 968.13"/>
    <s v="81 421 640.11"/>
    <s v="16 284 328.02"/>
    <s v="нет"/>
    <s v="нет"/>
    <s v=""/>
    <s v=""/>
    <s v=""/>
    <s v=""/>
    <s v="нет"/>
  </r>
  <r>
    <s v="Газпромнефть-ГЕО, ООО"/>
    <s v=""/>
    <s v="Зарегистрирован"/>
    <d v="2021-10-04T00:00:00"/>
    <s v=""/>
    <x v="413"/>
    <s v=""/>
    <s v=""/>
    <s v="ГЕО-21/10308/00236/Р"/>
    <s v="ГЕО-21/10308/00236/Р"/>
    <s v="Нетиповой ДД"/>
    <x v="2"/>
    <s v=""/>
    <s v="00653-21"/>
    <s v=""/>
    <s v="10308 Договор на проведение геолого-технологических исследований скважин при бурении"/>
    <s v="Оказание услуг по проведению геолого-технологического контроля и исследований при бурении разведочных и эксплуатационных скважин на Солнечном ЛУ, Корнаваринском ЛУ, Надеждинском ЛУ, Западно-Рубежинском ЛУ на проекте ЮЖНЫЙ ОРЕНБУГ в 2021-2024 г._x000d__x000a_"/>
    <s v="Ушакова М.А."/>
    <s v="Кушников Александр Михайлович"/>
    <s v="Договорный документ"/>
    <s v="Блок геологии и разработки"/>
    <s v="Аксенов М.А."/>
    <s v="На бумажном носителе"/>
    <s v="С ограничением по срокам "/>
    <d v="2021-10-04T00:00:00"/>
    <d v="2024-12-31T00:00:00"/>
    <s v=""/>
    <s v="ГТИ при бурении"/>
    <s v="Расходная часть"/>
    <s v="Рамочный"/>
    <s v="20%"/>
    <s v=""/>
    <s v=""/>
    <s v="409 302 534.42"/>
    <s v="341 085 445.35"/>
    <s v="68 217 089.07"/>
    <s v="нет"/>
    <s v="нет"/>
    <s v=""/>
    <s v=""/>
    <s v=""/>
    <s v=""/>
    <s v="нет"/>
  </r>
  <r>
    <s v="Газпромнефть-ГЕО, ООО"/>
    <s v="0000037846"/>
    <s v="Зарегистрирован"/>
    <d v="2022-07-15T00:00:00"/>
    <s v=""/>
    <x v="26"/>
    <s v="8905032518"/>
    <s v="ГЕО-22/09000/00006/Р"/>
    <s v=""/>
    <s v="1"/>
    <s v="Типовой ДД"/>
    <x v="0"/>
    <s v="00000 ДС на изменение реквизитов контрагента (адрес, счет)"/>
    <s v="00653-22"/>
    <s v=""/>
    <s v="00000 ДС на изменение реквизитов контрагента (адрес, счет)"/>
    <s v="Изменение расчетного счета Исполнителя"/>
    <s v="Мячина М.В."/>
    <s v="Мячина М.В."/>
    <s v="Договорный документ"/>
    <s v="Отдел подготовительных работ и экономического анализа"/>
    <s v="Имангулов А.Р."/>
    <s v="На бумажном носителе"/>
    <s v="С ограничением по срокам "/>
    <d v="2022-08-15T00:00:00"/>
    <d v="2024-12-31T00:00:00"/>
    <s v="Д-23"/>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105641"/>
    <s v="Зарегистрирован"/>
    <d v="2023-12-06T00:00:00"/>
    <s v=""/>
    <x v="133"/>
    <s v="8619017847"/>
    <s v=""/>
    <s v="ГЕО-23/10000/00202/Д"/>
    <s v="ГЕО-23/10000/00202/Д"/>
    <s v="Нетиповой ДД"/>
    <x v="2"/>
    <s v=""/>
    <s v="00653-23"/>
    <s v=""/>
    <s v="Договор на оказание операторских услуг при проведении комплекса электроразведочных и комплекса сейсморазведочных работ"/>
    <s v="Оказание операторских услуг при проведении комплекса электроразведочных и комплекса сейсморазведочных работ для ООО «СПД»"/>
    <s v="Ушакова М.А."/>
    <s v=""/>
    <s v="Договорный документ"/>
    <s v="Блок геологии и разработки"/>
    <s v="Аксенов М.А."/>
    <s v="ЭП"/>
    <s v="С ограничением по срокам "/>
    <d v="2023-12-06T00:00:00"/>
    <d v="2027-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Рамочный"/>
    <s v="20%"/>
    <s v=""/>
    <s v=""/>
    <s v="948 041 632.06"/>
    <s v="790 034 693.38"/>
    <s v="158 006 938.68"/>
    <s v="нет"/>
    <s v="нет"/>
    <s v=""/>
    <s v=""/>
    <s v=""/>
    <s v=""/>
    <s v="нет"/>
  </r>
  <r>
    <s v="Газпромнефть-ГЕО, ООО"/>
    <s v=""/>
    <s v="Зарегистрирован"/>
    <d v="2021-10-11T00:00:00"/>
    <s v=""/>
    <x v="410"/>
    <s v=""/>
    <s v=""/>
    <s v="ГЕО-21/00000/00218"/>
    <s v="ГЕО-21/00000/00218"/>
    <s v="Типовой ДД"/>
    <x v="1"/>
    <s v="00000 Соглашение в области производственной безопасности"/>
    <s v="00654-21"/>
    <s v=""/>
    <s v="00000 Соглашение в области производственной безопасности"/>
    <s v="Заключение Соглашения в области Производственной безопасности"/>
    <s v="Быков Н.В."/>
    <s v="Дунаев Э.В."/>
    <s v="Договорный документ"/>
    <s v="Блок бурения и ВСР"/>
    <s v="Гаврилов С.В."/>
    <s v="На бумажном носителе"/>
    <s v="До исполнения обязательств"/>
    <d v="2021-10-11T00:00:00"/>
    <s v=""/>
    <s v=""/>
    <s v="ПРОЧИЕ ДОГОВОРЫ"/>
    <s v="Не предполагает взаиморасчетов"/>
    <s v=""/>
    <s v=""/>
    <s v=""/>
    <s v=""/>
    <s v=""/>
    <s v=""/>
    <s v=""/>
    <s v="нет"/>
    <s v="нет"/>
    <s v=""/>
    <s v=""/>
    <s v=""/>
    <s v=""/>
    <s v="нет"/>
  </r>
  <r>
    <s v="Газпромнефть-ГЕО, ООО"/>
    <s v=""/>
    <s v="Зарегистрирован"/>
    <d v="2022-07-27T00:00:00"/>
    <s v=""/>
    <x v="414"/>
    <s v=""/>
    <s v=""/>
    <s v="ГЕО-22/08000/00167"/>
    <s v="ГЕО-22/08000/00167"/>
    <s v="Нетиповой ДД"/>
    <x v="1"/>
    <s v=""/>
    <s v="00654-22"/>
    <s v=""/>
    <s v="СОГЛАШЕНИЕ О СОТРУДНИЧЕСТВЕ в сфере научно-исследовательской и инновационной деятельности"/>
    <s v="Оценка психологических рисков в профессиональной деятельности специалистов экстремального профиля (в т.ч. в работе вахтового персонала нефтегазодобывающего комплекса)."/>
    <s v="Табуева М.А."/>
    <s v="Ядрышников П.Н."/>
    <s v="Договорный документ"/>
    <s v="Управление производственной безопасности"/>
    <s v="Масалкин Ю.В."/>
    <s v="На бумажном носителе"/>
    <s v="С ограничением по срокам "/>
    <d v="2022-08-01T00:00:00"/>
    <d v="2023-03-31T00:00:00"/>
    <s v=""/>
    <s v="Договор на выполнение НИР, ОКР и технологических работ"/>
    <s v="Не предполагает взаиморасчетов"/>
    <s v=""/>
    <s v=""/>
    <s v=""/>
    <s v=""/>
    <s v=""/>
    <s v=""/>
    <s v=""/>
    <s v="нет"/>
    <s v="нет"/>
    <s v=""/>
    <s v=""/>
    <s v=""/>
    <s v=""/>
    <s v="нет"/>
  </r>
  <r>
    <s v="Газпромнефть-ГЕО, ООО"/>
    <s v="0000058703"/>
    <s v="Зарегистрирован"/>
    <d v="2023-11-30T00:00:00"/>
    <s v=""/>
    <x v="5"/>
    <s v="5914024719"/>
    <s v=""/>
    <s v=""/>
    <s v="13"/>
    <s v="Типовой ДД"/>
    <x v="0"/>
    <s v="ДС по актуализации методологии оценки эффективности деятельности контрагентов и мотивации в области ПБ в действующих договорах"/>
    <s v="00654-23"/>
    <s v=""/>
    <s v="ДС 13 к № ГЕО-21/10208/00166/Р от 20.07.2021"/>
    <s v="ДС по актуализации методологии оценки эффективности деятельности контрагентов и мотивации в области ПБ в действующих договорах"/>
    <s v="Покатов О.Н."/>
    <s v=""/>
    <s v="Договорный документ"/>
    <s v="Блок главного инженера"/>
    <s v="Трифонов А.В."/>
    <s v="ЭП"/>
    <s v="До исполнения обязательств"/>
    <d v="2023-11-30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4039"/>
    <s v="Зарегистрирован"/>
    <d v="2021-10-06T00:00:00"/>
    <s v=""/>
    <x v="395"/>
    <s v="3443110618"/>
    <s v="ГЕО-20/10919/00096/Р"/>
    <s v=""/>
    <s v=" 2"/>
    <s v="Нетиповой ДД"/>
    <x v="0"/>
    <s v=""/>
    <s v="00655-21"/>
    <s v=""/>
    <s v="Дополнительное соглашение № 2 к договору на оказание услуг по разработке разрешительной природоохранной документации № ГЕО-20/10919/00096/Р от 22.06.2020 г."/>
    <s v="Внесение изменений в Раздел 3 «Порядок сдачи и приемки работ» "/>
    <s v="Липатова О.И."/>
    <s v="Липатова О.И."/>
    <s v="Договорный документ"/>
    <s v="Отдел экологической безопасности"/>
    <s v="Власов М.М."/>
    <s v="На бумажном носителе"/>
    <s v="С ограничением по срокам "/>
    <d v="2021-10-06T00:00:00"/>
    <d v="2022-12-31T00:00:00"/>
    <s v="Д-30"/>
    <s v="Разработка разрешительной природоохранной документации"/>
    <s v="Не предполагает взаиморасчетов"/>
    <s v=""/>
    <s v=""/>
    <s v=""/>
    <s v=""/>
    <s v=""/>
    <s v=""/>
    <s v=""/>
    <s v="нет"/>
    <s v="нет"/>
    <s v=""/>
    <s v=""/>
    <s v=""/>
    <s v=""/>
    <s v="нет"/>
  </r>
  <r>
    <s v="Газпромнефть-ГЕО, ООО"/>
    <s v="0000040340"/>
    <s v="Зарегистрирован"/>
    <d v="2022-08-03T00:00:00"/>
    <s v=""/>
    <x v="31"/>
    <s v="7744001497"/>
    <s v="3722"/>
    <s v=""/>
    <s v="2"/>
    <s v="Нетиповой ДД"/>
    <x v="0"/>
    <s v=""/>
    <s v="00655-22"/>
    <s v=""/>
    <s v="Дополнительное соглашение к Договору банковского счета"/>
    <s v="Изменение требований ГПБ (АО) к оформлению процедуры электронного документооборота (в т.ч. на основании изменения законодательства РФ) "/>
    <s v="Чернявский Г.С."/>
    <s v="Чернявский Г.С."/>
    <s v="Договорный документ"/>
    <s v="Финансовое управление"/>
    <s v="Ковтун М.А."/>
    <s v="На бумажном носителе"/>
    <s v="Без сроков "/>
    <d v="2022-07-19T00:00:00"/>
    <s v=""/>
    <s v="Д-62"/>
    <s v="Договор с банками и иными кредитными организациями"/>
    <s v="Не предполагает взаиморасчетов"/>
    <s v=""/>
    <s v=""/>
    <s v=""/>
    <s v=""/>
    <s v=""/>
    <s v=""/>
    <s v=""/>
    <s v="нет"/>
    <s v="нет"/>
    <s v=""/>
    <s v=""/>
    <s v=""/>
    <s v=""/>
    <s v="нет"/>
  </r>
  <r>
    <s v="Газпромнефть-ГЕО, ООО"/>
    <s v="0000062894"/>
    <s v="Зарегистрирован"/>
    <d v="2023-11-27T00:00:00"/>
    <s v=""/>
    <x v="47"/>
    <s v="7017253595"/>
    <s v=""/>
    <s v="ГЕО-23/33200/00194"/>
    <s v="ГЕО-23/33200/00194"/>
    <s v="Типовой ДД"/>
    <x v="1"/>
    <s v="33200 Соглашение об электронном документообороте"/>
    <s v="00655-23"/>
    <s v=""/>
    <s v="33200 Соглашение об электронном документообороте"/>
    <s v="Актуализация Соглашения об ЭДО во исполнение Приказа №123-П от 10.11.2023 г."/>
    <s v="Ушакова М.А."/>
    <s v=""/>
    <s v="Договорный документ"/>
    <s v="Блок геологии и разработки"/>
    <s v="Аксенов М.А."/>
    <s v="ЭП"/>
    <s v="С ограничением по срокам "/>
    <d v="2023-11-27T00:00:00"/>
    <d v="2025-12-31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4039"/>
    <s v="Зарегистрирован"/>
    <d v="2021-10-06T00:00:00"/>
    <s v=""/>
    <x v="395"/>
    <s v="3443110618"/>
    <s v="ГЕО-20/10919/00097/Р "/>
    <s v=""/>
    <s v="2"/>
    <s v="Нетиповой ДД"/>
    <x v="0"/>
    <s v=""/>
    <s v="00656-21"/>
    <s v=""/>
    <s v="Дополнительное соглашение № 2 к договору на оказание услуг по разработке разрешительной природоохранной документации № ГЕО-20/10919/00097/Р от 22.06.2020 г."/>
    <s v="Внесение изменений в Раздел 3 «Порядок сдачи и приемки работ» "/>
    <s v="Липатова О.И."/>
    <s v="Липатова О.И."/>
    <s v="Договорный документ"/>
    <s v="Отдел экологической безопасности"/>
    <s v="Власов М.М."/>
    <s v="На бумажном носителе"/>
    <s v="С ограничением по срокам "/>
    <d v="2021-10-06T00:00:00"/>
    <d v="2022-12-31T00:00:00"/>
    <s v="Д-30"/>
    <s v="Разработка разрешительной природоохранной документации"/>
    <s v="Не предполагает взаиморасчетов"/>
    <s v=""/>
    <s v=""/>
    <s v=""/>
    <s v=""/>
    <s v=""/>
    <s v=""/>
    <s v=""/>
    <s v="нет"/>
    <s v="нет"/>
    <s v=""/>
    <s v=""/>
    <s v=""/>
    <s v=""/>
    <s v="нет"/>
  </r>
  <r>
    <s v="Газпромнефть-ГЕО, ООО"/>
    <s v="0000057326"/>
    <s v="Зарегистрирован"/>
    <d v="2022-07-20T00:00:00"/>
    <s v=""/>
    <x v="206"/>
    <s v="7204121542"/>
    <s v="ГЕО-22/10000/00061/Р"/>
    <s v=""/>
    <s v="1"/>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656-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ереход на ЭДО"/>
    <s v="Раковица Д.К."/>
    <s v="Раковица Д.К."/>
    <s v="Договорный документ"/>
    <s v="Отдел подготовительных работ и экономического анализа"/>
    <s v="Имангулов А.Р."/>
    <s v="На бумажном носителе"/>
    <s v="С ограничением по срокам "/>
    <d v="2022-03-20T00:00:00"/>
    <d v="2023-06-01T00:00:00"/>
    <s v="Д-2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105643"/>
    <s v="Зарегистрирован"/>
    <d v="2023-11-24T00:00:00"/>
    <s v=""/>
    <x v="25"/>
    <s v="7717693190"/>
    <s v=""/>
    <s v="ГЕО-23/33200/00195"/>
    <s v="ГЕО-23/33200/00195"/>
    <s v="Типовой ДД"/>
    <x v="1"/>
    <s v="33200 Соглашение об электронном документообороте"/>
    <s v="00656-23"/>
    <s v=""/>
    <s v="33200 Соглашение об электронном документообороте"/>
    <s v="Актуализация Соглашения об ЭДО во исполнение Приказа №123-П от 10.11.2023 г."/>
    <s v="Ушакова М.А."/>
    <s v=""/>
    <s v="Договорный документ"/>
    <s v="Блок геологии и разработки"/>
    <s v="Аксенов М.А."/>
    <s v="ЭП"/>
    <s v="С ограничением по срокам "/>
    <d v="2023-11-24T00:00:00"/>
    <d v="2025-12-31T00:00:00"/>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4039"/>
    <s v="Зарегистрирован"/>
    <d v="2021-10-06T00:00:00"/>
    <s v=""/>
    <x v="395"/>
    <s v="3443110618"/>
    <s v="ГЕО-20/10919/00072/Р "/>
    <s v=""/>
    <s v="Дополнительное соглашение № 4"/>
    <s v="Нетиповой ДД"/>
    <x v="0"/>
    <s v=""/>
    <s v="00657-21"/>
    <s v=""/>
    <s v="Дополнительное соглашение № 4 к договору на оказание услуг по разработке разрешительной природоохранной документации № ГЕО-20/10919/00072/Р от 12.05.2020 г."/>
    <s v="Внесение изменений в Раздел 3 «Порядок сдачи и приемки работ» "/>
    <s v="Липатова О.И."/>
    <s v="Липатова О.И."/>
    <s v="Договорный документ"/>
    <s v="Отдел экологической безопасности"/>
    <s v="Власов М.М."/>
    <s v="На бумажном носителе"/>
    <s v="С ограничением по срокам "/>
    <d v="2021-10-06T00:00:00"/>
    <d v="2023-12-31T00:00:00"/>
    <s v="Д-30"/>
    <s v="Разработка разрешительной природоохранной документации"/>
    <s v="Не предполагает взаиморасчетов"/>
    <s v=""/>
    <s v=""/>
    <s v=""/>
    <s v=""/>
    <s v=""/>
    <s v=""/>
    <s v=""/>
    <s v="нет"/>
    <s v="нет"/>
    <s v=""/>
    <s v=""/>
    <s v=""/>
    <s v=""/>
    <s v="нет"/>
  </r>
  <r>
    <s v="Газпромнефть-ГЕО, ООО"/>
    <s v="0000039295"/>
    <s v="Зарегистрирован"/>
    <d v="2022-07-12T00:00:00"/>
    <s v=""/>
    <x v="90"/>
    <s v="8618006063"/>
    <s v="ГЕО-19/20000/00230/Д"/>
    <s v=""/>
    <s v="7"/>
    <s v="Нетиповой ДД"/>
    <x v="0"/>
    <s v=""/>
    <s v="00657-22"/>
    <s v=""/>
    <s v="ДС №7 к Агентскому договору №ХНТ-19/20000/762/P/60 от 12.07.2019"/>
    <s v="Заключение ДС №7 к Агентскому договору №ХНТ-19/20000/762/P/60 от 12.07.2019 на включение в Договор раздела 8 &quot;Права на материалы и информацию. Результаты интеллектуальной деятельности (РИД)&quot;"/>
    <s v="Мурзин Р.Р."/>
    <s v="Мурзин Р.Р."/>
    <s v="Договорный документ"/>
    <s v="Управление сейсморазведочных работ"/>
    <s v="Аксенов М.А."/>
    <s v="На бумажном носителе"/>
    <s v="С ограничением по срокам "/>
    <d v="2022-07-12T00:00:00"/>
    <d v="2024-12-31T00:00:00"/>
    <s v=""/>
    <s v="Агентский договор"/>
    <s v="Доходная часть"/>
    <s v="Агентский"/>
    <s v="20%"/>
    <s v=""/>
    <s v=""/>
    <s v="431 195 493.03"/>
    <s v="359 329 577.52"/>
    <s v="71 865 915.51"/>
    <s v="нет"/>
    <s v="нет"/>
    <s v=""/>
    <s v=""/>
    <s v=""/>
    <s v=""/>
    <s v="нет"/>
  </r>
  <r>
    <s v="Газпромнефть-ГЕО, ООО"/>
    <s v="0000040255"/>
    <s v="Зарегистрирован"/>
    <d v="2023-11-30T00:00:00"/>
    <s v=""/>
    <x v="88"/>
    <s v="7729407742"/>
    <s v="ГЕО-22/10986/00341/Р"/>
    <s v=""/>
    <s v="4"/>
    <s v="Нетиповой ДД"/>
    <x v="0"/>
    <s v=""/>
    <s v="00657-23"/>
    <s v=""/>
    <s v="Дополнительное соглашение № 4 к Договору № ГЕО-22/10986/00341/Р от 30.12.2022 г."/>
    <s v="Перенос негарантированного объёма 2023 года в гарантированный объем 2023 года и перенос негарантированного объёма 2024 года в гарантированный объем 2024 года."/>
    <s v="Копылов Е.О."/>
    <s v=""/>
    <s v="Договорный документ"/>
    <s v="Отдел экологической безопасности"/>
    <s v="Михайлов Ю.А."/>
    <s v="ЭП"/>
    <s v="До исполнения обязательств"/>
    <d v="2023-11-30T00:00:00"/>
    <s v=""/>
    <s v="Д-2"/>
    <s v="Супервайзинг ПЭБ и ОТ"/>
    <s v="Расходная часть"/>
    <s v="Рамочный"/>
    <s v="20%"/>
    <s v=""/>
    <s v=""/>
    <s v="209 576 725.20"/>
    <s v="174 647 271.00"/>
    <s v="34 929 454.20"/>
    <s v="нет"/>
    <s v="нет"/>
    <s v=""/>
    <s v=""/>
    <s v=""/>
    <s v=""/>
    <s v="нет"/>
  </r>
  <r>
    <s v="Газпромнефть-ГЕО, ООО"/>
    <s v="0000084039"/>
    <s v="Зарегистрирован"/>
    <d v="2021-10-11T00:00:00"/>
    <s v=""/>
    <x v="395"/>
    <s v="3443110618"/>
    <s v=""/>
    <s v="ГЕО-21/00000/00224"/>
    <s v="ГЕО-21/00000/00224"/>
    <s v="Типовой ДД"/>
    <x v="1"/>
    <s v="00000 Соглашение об электронном документообороте"/>
    <s v="00658-21"/>
    <s v=""/>
    <s v="00000 Соглашение об электронном документообороте"/>
    <s v="ИСПОЛЬЗОВАНИЕ ЭЛЕКТРОННОГО ДОКУМЕНТООБОРОТА"/>
    <s v="Липатова О.И."/>
    <s v="Липатова О.И."/>
    <s v="Договорный документ"/>
    <s v="Отдел экологической безопасности"/>
    <s v="Власов М.М."/>
    <s v="На бумажном носителе"/>
    <s v="Без сроков "/>
    <d v="2021-10-11T00:00:00"/>
    <s v=""/>
    <s v="Д-30"/>
    <s v="ПРОЧИЕ ДОГОВОРЫ"/>
    <s v="Не предполагает взаиморасчетов"/>
    <s v=""/>
    <s v=""/>
    <s v=""/>
    <s v=""/>
    <s v=""/>
    <s v=""/>
    <s v=""/>
    <s v="нет"/>
    <s v="нет"/>
    <s v=""/>
    <s v=""/>
    <s v=""/>
    <s v=""/>
    <s v="нет"/>
  </r>
  <r>
    <s v="Газпромнефть-ГЕО, ООО"/>
    <s v=""/>
    <s v="Проект"/>
    <s v=""/>
    <s v=""/>
    <x v="58"/>
    <s v=""/>
    <s v=""/>
    <s v=""/>
    <s v=""/>
    <s v="Типовой ДД"/>
    <x v="2"/>
    <s v="10986 Мастер-форма договора   по услугам &quot;Супервайзинг ПЭБ и ОТ&quot;"/>
    <s v="00658-22"/>
    <s v=""/>
    <s v="10986 Мастер-форма договора   по услугам &quot;Супервайзинг ПЭБ и ОТ&quot;"/>
    <s v=""/>
    <s v="Усламин Д.В."/>
    <s v=""/>
    <s v="Договорный документ"/>
    <s v="Отдел экологической безопасности"/>
    <s v=""/>
    <s v=""/>
    <s v=""/>
    <s v=""/>
    <s v=""/>
    <s v=""/>
    <s v="Супервайзинг ПЭБ и ОТ"/>
    <s v=""/>
    <s v=""/>
    <s v=""/>
    <s v=""/>
    <s v=""/>
    <s v=""/>
    <s v=""/>
    <s v=""/>
    <s v="нет"/>
    <s v="нет"/>
    <s v=""/>
    <s v=""/>
    <s v=""/>
    <s v=""/>
    <s v="нет"/>
  </r>
  <r>
    <s v="Газпромнефть-ГЕО, ООО"/>
    <s v="0000060716"/>
    <s v="Зарегистрирован"/>
    <d v="2023-12-26T00:00:00"/>
    <s v=""/>
    <x v="18"/>
    <s v="7728803870"/>
    <s v=""/>
    <s v=""/>
    <s v="12"/>
    <s v="Типовой ДД"/>
    <x v="0"/>
    <s v="ДС по актуализации методологии оценки эффективности деятельности контрагентов и мотивации в области ПБ в действующих договорах"/>
    <s v="00658-23"/>
    <s v=""/>
    <s v="ДС 12 к Договору №ОРН-18/10303/03693/Р от 20.12.2018 года (на основании Соглашения о перемене лиц в обязательстве  № ГЕО-21/10303/00204/Р от 08.09.2021"/>
    <s v="ДС по актуализации методологии оценки эффективности деятельности контрагентов и мотивации в области ПБ в действующих договорах"/>
    <s v="Покатов О.Н."/>
    <s v=""/>
    <s v="Договорный документ"/>
    <s v="Блок главного инженера"/>
    <s v="Трифонов А.В."/>
    <s v="ЭП"/>
    <s v="До исполнения обязательств"/>
    <d v="2023-12-26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8275"/>
    <s v="Зарегистрирован"/>
    <d v="2022-07-29T00:00:00"/>
    <s v=""/>
    <x v="83"/>
    <s v="7709267582"/>
    <s v=""/>
    <s v="ГЕО-22/10951/00165/Р"/>
    <s v="ГЕО-22/10951/00165/Р"/>
    <s v="Типовой ДД"/>
    <x v="2"/>
    <s v="10951 Мастер-форма договора   возмездного оказания услуг по профилактике и ликвидации аварийных разливов нефти (услуги аварийно-спасательного формирования) на объектах ООО «ГПН-ГЕО»"/>
    <s v="00660-22"/>
    <s v=""/>
    <s v="10951 Мастер-форма договора   возмездного оказания услуг по профилактике и ликвидации аварийных разливов нефти (услуги аварийно-спасательного формирования) на объектах ООО «ГПН-ГЕО»"/>
    <s v="Предупреждение и ликвидация разливов нефти и нефтепродуктов» (услуги аварийно-спасательного формирования) на участках выполнения работ по строительству скважин ООО «ГПН-ГЕО»"/>
    <s v="Рябикина М.А."/>
    <s v="Морозов А.В."/>
    <s v="Договорный документ"/>
    <s v="Блок производственной безопасности"/>
    <s v="Власов М.М."/>
    <s v="ЭП"/>
    <s v="С ограничением по срокам "/>
    <d v="2022-07-29T00:00:00"/>
    <d v="2025-12-31T00:00:00"/>
    <s v="Д-59"/>
    <s v="Профилактика и ликвидация аварийных разливов нефти (услуги аварийно-спасательного формирования)"/>
    <s v="Расходная часть"/>
    <s v="Рамочный"/>
    <s v="20%"/>
    <s v=""/>
    <s v=""/>
    <s v="1 072 941 323.50"/>
    <s v="894 117 769.58"/>
    <s v="178 823 553.92"/>
    <s v="нет"/>
    <s v="нет"/>
    <s v=""/>
    <s v=""/>
    <s v=""/>
    <s v=""/>
    <s v="нет"/>
  </r>
  <r>
    <s v="Газпромнефть-ГЕО, ООО"/>
    <s v="0000068695"/>
    <s v="Зарегистрирован"/>
    <d v="2023-11-27T00:00:00"/>
    <s v=""/>
    <x v="77"/>
    <s v="1106013435"/>
    <s v="ГЕО-21/10306/00256/P"/>
    <s v=""/>
    <s v="6"/>
    <s v="Типовой ДД"/>
    <x v="0"/>
    <s v="ДС по актуализации методологии оценки эффективности деятельности контрагентов и мотивации в области ПБ в действующих договорах"/>
    <s v="00660-23"/>
    <s v=""/>
    <s v="ДС 6 к Договору № ГЕО-21/10306/00256/P от 26.10.2021 по актуализации методологии оценки эффективности деятельности контрагентов и мотивации в области ПБ в действующих договорах"/>
    <s v="ДС по актуализации методологии оценки эффективности деятельности контрагентов и мотивации в области ПБ в действующих договорах"/>
    <s v="Покатов О.Н."/>
    <s v=""/>
    <s v="Договорный документ"/>
    <s v="Блок главного инженера"/>
    <s v="Трифонов А.В."/>
    <s v="ЭП"/>
    <s v="До исполнения обязательств"/>
    <d v="2023-11-27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6607"/>
    <s v="Зарегистрирован"/>
    <d v="2021-09-30T00:00:00"/>
    <s v=""/>
    <x v="250"/>
    <s v="891105381410"/>
    <s v="ГЕО-212500000136Р"/>
    <s v=""/>
    <s v="1"/>
    <s v="Нетиповой ДД"/>
    <x v="0"/>
    <s v=""/>
    <s v="00661-21"/>
    <s v=""/>
    <s v="Дополнительное соглашение № 1 (СОР) к Договору оказания услуг с физическим лицом № ГЕО-21/25000/00136/Р от «21» июня 2021 г."/>
    <s v="Расторжение договора"/>
    <s v="Петушкова В.Е."/>
    <s v="Петушкова В.Е."/>
    <s v="Договорный документ"/>
    <s v="Управление производственной безопасности"/>
    <s v="Масалкин Ю.В."/>
    <s v="На бумажном носителе"/>
    <s v="До исполнения обязательств"/>
    <d v="2021-09-30T00:00:00"/>
    <s v=""/>
    <s v=""/>
    <s v="ПРОЧИЕ ДОГОВОРЫ"/>
    <s v="Не предполагает взаиморасчетов"/>
    <s v=""/>
    <s v=""/>
    <s v=""/>
    <s v=""/>
    <s v=""/>
    <s v=""/>
    <s v=""/>
    <s v="нет"/>
    <s v="нет"/>
    <s v=""/>
    <s v=""/>
    <s v=""/>
    <s v=""/>
    <s v="нет"/>
  </r>
  <r>
    <s v="Газпромнефть-ГЕО, ООО"/>
    <s v="0000084590"/>
    <s v="Зарегистрирован"/>
    <d v="2023-12-01T00:00:00"/>
    <s v=""/>
    <x v="61"/>
    <s v="7708277130"/>
    <s v="ГЕО-23/09000/00149/Р"/>
    <s v=""/>
    <s v="1"/>
    <s v="Нетиповой ДД"/>
    <x v="4"/>
    <s v=""/>
    <s v="00661-23"/>
    <s v="3"/>
    <s v="Изменение №1 к Заявке № 3"/>
    <s v="- Изменение №1 к Заявке №3 на привлечение руководителя группы по производственной безопасности для проекта «Южный Оренбург», скв. № 401, Западно-Рубежинский ЛУ Валетова А.В. и исключить Коста Мешкова Р.В.;_x000a_- применение квалификационных требований к руководителю группы по производственной безопасности, в соответствии с принятыми в рамках протокола совещания группы по экспертизе от 02.11.2023 г. №ПТ-9/0000224 критериями;_x000a_- корректировку объёмов и сроков оказания услуг по привлечению Валетова А.В. к факту и отражение объёмов и сроков услуг на период с 01.12.2023 г. по 15.01.2024 г."/>
    <s v="Фокин Е.В."/>
    <s v="Фокин Е.В."/>
    <s v="Договорный документ"/>
    <s v="Управление производственной безопасности"/>
    <s v="Михайлов Ю.А."/>
    <s v="ЭП"/>
    <s v="С ограничением по срокам "/>
    <d v="2023-12-01T00:00:00"/>
    <d v="2024-01-15T00:00:00"/>
    <s v="Д-2"/>
    <s v="Договор возмездного оказания услуг"/>
    <s v="Расходная часть"/>
    <s v="Рамочный"/>
    <s v="20%"/>
    <s v=""/>
    <s v=""/>
    <s v="1 438 952.81"/>
    <s v="1 199 127.34"/>
    <s v="239 825.47"/>
    <s v="нет"/>
    <s v="нет"/>
    <s v=""/>
    <s v=""/>
    <s v=""/>
    <s v=""/>
    <s v="нет"/>
  </r>
  <r>
    <s v="Газпромнефть-ГЕО, ООО"/>
    <s v="0000083900"/>
    <s v="Зарегистрирован"/>
    <d v="2021-10-11T00:00:00"/>
    <s v=""/>
    <x v="124"/>
    <s v=""/>
    <s v=""/>
    <s v="ГЕО-21/10308/00248/Р"/>
    <s v="ГЕО-21/10308/00248/Р"/>
    <s v="Нетиповой ДД"/>
    <x v="2"/>
    <s v=""/>
    <s v="00662-21"/>
    <s v=""/>
    <s v="10308 Договор на проведение геолого-технологических исследований скважин при бурении"/>
    <s v="Заключение договора для ООО &quot;ГПН-Технологические партнерства&quot; Проект &quot;Салым&quot;"/>
    <s v="Лопарев В.В."/>
    <s v=""/>
    <s v="Договорный документ"/>
    <s v="Блок геологии и разработки"/>
    <s v="Аксенов М.А."/>
    <s v="На бумажном носителе"/>
    <s v="С ограничением по срокам "/>
    <d v="2021-10-11T00:00:00"/>
    <d v="2023-12-31T00:00:00"/>
    <s v=""/>
    <s v="ГТИ при бурении"/>
    <s v="Расходная часть"/>
    <s v="Стоимостной"/>
    <s v="20%"/>
    <s v=""/>
    <s v=""/>
    <s v="279 324 000.00"/>
    <s v="232 770 000.00"/>
    <s v="46 554 000.00"/>
    <s v="нет"/>
    <s v="нет"/>
    <s v=""/>
    <s v=""/>
    <s v=""/>
    <s v=""/>
    <s v="нет"/>
  </r>
  <r>
    <s v="Газпромнефть-ГЕО, ООО"/>
    <s v="0000058271"/>
    <s v="Зарегистрирован"/>
    <d v="2023-12-05T00:00:00"/>
    <s v=""/>
    <x v="42"/>
    <s v="7725696878"/>
    <s v="ГЕО-19/11708/00133/Р от 25.06.2019"/>
    <s v=""/>
    <s v="27"/>
    <s v="Нетиповой ДД"/>
    <x v="3"/>
    <s v=""/>
    <s v="00662-23"/>
    <s v=""/>
    <s v="Заказ-Наряд №27 к договору №ГЕО-19/11708/00133/Р от 25.06.2019"/>
    <s v="Создание единой сейсмогеологической модели на основе объединенной полноазимутальной обработки материалов полевых сейсморазведочных работ сезонов 2018-2021гг. на Центрально-Ямбургской площади и 2021-2023гг. на Восточно-Ямбургском участке в объеме 3420 км.кв» часть 1"/>
    <s v="Коротков С.П."/>
    <s v=""/>
    <s v="Договорный документ"/>
    <s v="Управление по разработке"/>
    <s v="Аксенов М.А."/>
    <s v="ЭП"/>
    <s v="С ограничением по срокам "/>
    <d v="2023-12-05T00:00:00"/>
    <d v="2024-04-25T00:00:00"/>
    <s v="Д-54"/>
    <s v="НИОКР, НИР прочие"/>
    <s v="Расходная часть"/>
    <s v="Рамочный"/>
    <s v="20%"/>
    <s v=""/>
    <s v=""/>
    <s v="87 736 015.20"/>
    <s v="73 113 346.00"/>
    <s v="14 622 669.20"/>
    <s v="нет"/>
    <s v="нет"/>
    <s v=""/>
    <s v=""/>
    <s v=""/>
    <s v=""/>
    <s v="нет"/>
  </r>
  <r>
    <s v="Газпромнефть-ГЕО, ООО"/>
    <s v="0000045789"/>
    <s v="Зарегистрирован"/>
    <d v="2021-10-04T00:00:00"/>
    <s v=""/>
    <x v="16"/>
    <s v="7838395487"/>
    <s v="ГЕО-21/11708/00165/Р//НТЦ-21/09000/00768/Д "/>
    <s v=""/>
    <s v="НТЦ-01760-21Д-ГЕО"/>
    <s v="Нетиповой ДД"/>
    <x v="3"/>
    <s v=""/>
    <s v="00663-21"/>
    <s v=""/>
    <s v="Подготовка геологической основы для проведения технико-экономического обоснования эффективности разработки ачимовской толщи"/>
    <s v="Проведение данной работы обусловлено необходимостью выполнения геологической основы для проведения технико-экономического обоснования эффективности разработки ачимовской толщи."/>
    <s v="Ябиров Р.З."/>
    <s v="Ябиров Р.З."/>
    <s v="Договорный документ"/>
    <s v="Блок геологии и разработки"/>
    <s v="Аксенов М.А."/>
    <s v="На бумажном носителе"/>
    <s v="С ограничением по срокам "/>
    <d v="2021-10-04T00:00:00"/>
    <d v="2021-12-31T00:00:00"/>
    <s v="Д-3"/>
    <s v="НИОКР, НИР в области геологии и разработки месторождений"/>
    <s v="Расходная часть"/>
    <s v="Рамочный"/>
    <s v="20%"/>
    <s v=""/>
    <s v=""/>
    <s v="7 799 865.60"/>
    <s v="6 499 888.00"/>
    <s v="1 299 977.60"/>
    <s v="нет"/>
    <s v="нет"/>
    <s v=""/>
    <s v=""/>
    <s v=""/>
    <s v=""/>
    <s v="нет"/>
  </r>
  <r>
    <s v="Газпромнефть-ГЕО, ООО"/>
    <s v="0000102205"/>
    <s v="Зарегистрирован"/>
    <d v="2022-07-20T00:00:00"/>
    <s v=""/>
    <x v="14"/>
    <s v="9715287189"/>
    <s v="ГЕО-22/11000/00012/Р"/>
    <s v=""/>
    <s v="3"/>
    <s v="Нетиповой ДД"/>
    <x v="0"/>
    <s v=""/>
    <s v="00663-22"/>
    <s v=""/>
    <s v="ДС № 3 к Договору подряда № ГЕО-22/11000/00012/Р от 04.01.2022г."/>
    <s v="Перераспределения объёмов работ и перевода негарантированного объёма в гарантированный объем"/>
    <s v="Крутова Е.С."/>
    <s v="Галлямов Р.Ю."/>
    <s v="Договорный документ"/>
    <s v="Департамент капитального строительства"/>
    <s v="Перфильев Д.А."/>
    <s v="На бумажном носителе"/>
    <s v="До исполнения обязательств"/>
    <d v="2022-07-20T00:00:00"/>
    <s v=""/>
    <s v="Д-61"/>
    <s v="Капитальное строительство и ПИР"/>
    <s v="Расходная часть"/>
    <s v="Стоимостной"/>
    <s v="20%"/>
    <s v=""/>
    <s v=""/>
    <s v="176 789 059.08"/>
    <s v="147 324 215.90"/>
    <s v="29 464 843.18"/>
    <s v="нет"/>
    <s v="нет"/>
    <s v=""/>
    <s v=""/>
    <s v=""/>
    <s v=""/>
    <s v="нет"/>
  </r>
  <r>
    <s v="Газпромнефть-ГЕО, ООО"/>
    <s v="0000073438"/>
    <s v="Зарегистрирован"/>
    <d v="2023-11-28T00:00:00"/>
    <s v=""/>
    <x v="68"/>
    <s v="7720330291"/>
    <s v="ГЕО-21/08000/00296/Р"/>
    <s v=""/>
    <s v="9"/>
    <s v="Нетиповой ДД"/>
    <x v="0"/>
    <s v=""/>
    <s v="00663-23"/>
    <s v=""/>
    <s v="ДС №9 ВНИГНИ № ГЕО-21/08000/00296/Р от 28.12.2021"/>
    <s v="Перераспределение объемов. Уменьшение стоимости Договора."/>
    <s v="Мормышев А.А."/>
    <s v="Мустафин И.Р."/>
    <s v="Договорный документ"/>
    <s v="Блок геологии и разработки"/>
    <s v="Аксенов М.А."/>
    <s v="ЭП"/>
    <s v="До исполнения обязательств"/>
    <d v="2023-11-28T00:00:00"/>
    <s v=""/>
    <s v="Д-58"/>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37846"/>
    <s v="Закрыт"/>
    <d v="2021-10-06T00:00:00"/>
    <s v=""/>
    <x v="26"/>
    <s v="8905032518"/>
    <s v=""/>
    <s v="ГЕО-21/09000/00220/Р"/>
    <s v="ГЕО-21/09000/00220/Р"/>
    <s v="Типовой ДД"/>
    <x v="2"/>
    <s v="09000 Договор на возмезное оказание услуг по управлению материальными активами для обеспечения административно- хозяйственной деятельности"/>
    <s v="00664-21"/>
    <s v=""/>
    <s v="09000 Договор на возмезное оказание услуг по управлению материальными активами для обеспечения административно- хозяйственной деятельности"/>
    <s v="Повышение качества управления материальными активами благодаря формирования и обеспечения единой базы "/>
    <s v="Савельева И.И."/>
    <s v="Савельева И.И."/>
    <s v="Договорный документ"/>
    <s v="Отдел административной поддержки бизнеса"/>
    <s v="Масалкин Ю.В."/>
    <s v="На бумажном носителе"/>
    <s v="С ограничением по срокам "/>
    <d v="2021-11-01T00:00:00"/>
    <d v="2022-10-31T00:00:00"/>
    <s v=""/>
    <s v="Договор возмездного оказания услуг"/>
    <s v="Расходная часть"/>
    <s v="Стоимостной"/>
    <s v="20%"/>
    <s v=""/>
    <s v=""/>
    <s v="3 002 514.05"/>
    <s v="2 502 095.04"/>
    <s v="500 419.01"/>
    <s v="нет"/>
    <s v="нет"/>
    <s v=""/>
    <s v=""/>
    <s v=""/>
    <s v=""/>
    <s v="нет"/>
  </r>
  <r>
    <s v="Газпромнефть-ГЕО, ООО"/>
    <s v="0000073438"/>
    <s v="Зарегистрирован"/>
    <d v="2023-11-29T00:00:00"/>
    <s v=""/>
    <x v="68"/>
    <s v="7720330291"/>
    <s v="ГЕО-21/08000/00296/Р"/>
    <s v=""/>
    <s v="15"/>
    <s v="Нетиповой ДД"/>
    <x v="7"/>
    <s v=""/>
    <s v="00664-23"/>
    <s v=""/>
    <s v="Заявка №15 ВНИГНИ №ГЕО-21/08000/00296/Р от 28.12.2021"/>
    <s v="Заявка №15 к Договору № ГЕО-21/08000/00296/Р от 28.12.2021 с ФГБУ «ВНИГНИ» на оказание услуг по «Разработка проектной документации по геологическому изучению недр включая поиски и оценку месторождений (залежей) УВС в пределах Уранского и Ягодного лицензионных участков»."/>
    <s v="Мормышев А.А."/>
    <s v="Мустафин И.Р."/>
    <s v="Договорный документ"/>
    <s v="Блок геологии и разработки"/>
    <s v="Аксенов М.А."/>
    <s v="ЭП"/>
    <s v="До исполнения обязательств"/>
    <d v="2023-11-29T00:00:00"/>
    <s v=""/>
    <s v="Д-58"/>
    <s v="Договор на выполнение НИР, ОКР и технологических работ"/>
    <s v="Расходная часть"/>
    <s v="Стоимостной"/>
    <s v="20%"/>
    <s v=""/>
    <s v=""/>
    <s v="6 128 774.92"/>
    <s v="5 107 312.43"/>
    <s v="1 021 462.49"/>
    <s v="нет"/>
    <s v="нет"/>
    <s v=""/>
    <s v=""/>
    <s v=""/>
    <s v=""/>
    <s v="нет"/>
  </r>
  <r>
    <s v="Газпромнефть-ГЕО, ООО"/>
    <s v="0000072857"/>
    <s v="Закрыт"/>
    <d v="2021-10-04T00:00:00"/>
    <s v=""/>
    <x v="27"/>
    <s v="6679052232"/>
    <s v=""/>
    <s v="ГЕО-21/11104/00235/Д"/>
    <s v="ГЕО-21/11104/00235/Д"/>
    <s v="Нетиповой ДД"/>
    <x v="2"/>
    <s v=""/>
    <s v="00665-21"/>
    <s v=""/>
    <s v="Агентской договор на организацию вертолетных авиаперевозок с ООО «Энерго-Утилизационная Компания»"/>
    <s v="Авиаперевозка персонала и грузов Контрагента"/>
    <s v="Титова Е.В."/>
    <s v="Титова Екатерина Владимировна"/>
    <s v="Договорный документ"/>
    <s v="Блок по закупкам"/>
    <s v="Титов А.В."/>
    <s v="На бумажном носителе"/>
    <s v="С ограничением по срокам "/>
    <d v="2021-10-04T00:00:00"/>
    <d v="2022-12-31T00:00:00"/>
    <s v="Д-11"/>
    <s v="Авиационное обслуживание (вертолеты)"/>
    <s v="Доходная часть"/>
    <s v="Агентский"/>
    <s v="20%"/>
    <s v=""/>
    <s v=""/>
    <s v="72 445.79"/>
    <s v="60 371.49"/>
    <s v="12 074.30"/>
    <s v="нет"/>
    <s v="нет"/>
    <s v=""/>
    <s v=""/>
    <s v=""/>
    <s v=""/>
    <s v="нет"/>
  </r>
  <r>
    <s v="Газпромнефть-ГЕО, ООО"/>
    <s v=""/>
    <s v="Зарегистрирован"/>
    <d v="2022-07-25T00:00:00"/>
    <s v=""/>
    <x v="415"/>
    <s v=""/>
    <s v=""/>
    <s v="ГЕО-22/11029/00172/Р"/>
    <s v="ГЕО-22/11029/00172/Р"/>
    <s v="Типовой ДД"/>
    <x v="2"/>
    <s v="11029  Мастер форма договора-подряда на выполнение строительно-монтажных работ (СМР) Объектов инженерной подготовки и дорог месторождений нефти и газа (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одов"/>
    <s v="00665-22"/>
    <s v=""/>
    <s v="11029  Мастер форма договора-подряда на выполнение строительно-монтажных работ (СМР) Объектов инженерной подготовки и дорог месторождений нефти и газа (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одов"/>
    <s v="Оказание комплекса услуг по устройству и содержанию зимних проездов и площадок геологоразведочных скважин Оморинского лицензионного участка"/>
    <s v="Коваленко М.В."/>
    <s v="Бабаев Дмитрий Георгиевич"/>
    <s v="Договорный документ"/>
    <s v="Управление закупок работ и услуг"/>
    <s v="Перфильев Д.А."/>
    <s v="На бумажном носителе"/>
    <s v="С ограничением по срокам "/>
    <d v="2022-07-25T00:00:00"/>
    <d v="2025-12-31T00:00:00"/>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789 045 998.40"/>
    <s v="657 538 332.00"/>
    <s v="131 507 666.40"/>
    <s v="нет"/>
    <s v="нет"/>
    <s v=""/>
    <s v=""/>
    <s v=""/>
    <s v=""/>
    <s v="нет"/>
  </r>
  <r>
    <s v="Газпромнефть-ГЕО, ООО"/>
    <s v="0000073438"/>
    <s v="Зарегистрирован"/>
    <d v="2023-11-29T00:00:00"/>
    <s v=""/>
    <x v="68"/>
    <s v="7720330291"/>
    <s v="ГЕО-21/08000/00296/Р"/>
    <s v=""/>
    <s v="16"/>
    <s v="Нетиповой ДД"/>
    <x v="7"/>
    <s v=""/>
    <s v="00665-23"/>
    <s v=""/>
    <s v="Заявка №16 ВНИГНИ №ГЕО-21/08000/00296/Р от 28.12.2021"/>
    <s v="Заявки №16 к Договору № ГЕО- 21/08000/00296/Р от 28.12.2021 с ФГБУ «ВНИГНИ» на оказание услуг по «Разработке проектной документации по геологическому изучению недр включая поиски и оценку месторождений (залежей) УВС в пределах Южно-Новопортовского и Салетинского лицензионных участков»."/>
    <s v="Мормышев А.А."/>
    <s v="Мустафин И.Р."/>
    <s v="Договорный документ"/>
    <s v="Блок геологии и разработки"/>
    <s v="Аксенов М.А."/>
    <s v="ЭП"/>
    <s v="До исполнения обязательств"/>
    <d v="2023-11-29T00:00:00"/>
    <s v=""/>
    <s v="Д-58"/>
    <s v="Договор на выполнение НИР, ОКР и технологических работ"/>
    <s v="Расходная часть"/>
    <s v="Стоимостной"/>
    <s v="20%"/>
    <s v=""/>
    <s v=""/>
    <s v="5 729 019.06"/>
    <s v="4 774 182.55"/>
    <s v="954 836.51"/>
    <s v="нет"/>
    <s v="нет"/>
    <s v=""/>
    <s v=""/>
    <s v=""/>
    <s v=""/>
    <s v="нет"/>
  </r>
  <r>
    <s v="Газпромнефть-ГЕО, ООО"/>
    <s v="0000087804"/>
    <s v="Зарегистрирован"/>
    <d v="2022-07-06T00:00:00"/>
    <s v=""/>
    <x v="153"/>
    <s v="2634048800"/>
    <s v="ГЕО-19/11019/00140/Р"/>
    <s v=""/>
    <s v="8"/>
    <s v="Типовой ДД"/>
    <x v="3"/>
    <s v="11018, 11019, 11020, 11021, 11022  Наряд-заказ к Договору (рамочному) на выполнение  работ по услугам &quot;Капитальное строительство и ПИР&quot;"/>
    <s v="00666-22"/>
    <s v=""/>
    <s v="11018, 11019, 11020, 11021, 11022  Наряд-заказ к Договору (рамочному) на выполнение  работ по услугам &quot;Капитальное строительство и ПИР&quot;"/>
    <s v="Выполнение проекта санитарно-защитной зоны"/>
    <s v="Шолохова И.А."/>
    <s v="Салахутдинов Р.С."/>
    <s v="Договорный документ"/>
    <s v="Управление проектно-изыскательских работ"/>
    <s v="Перфильев Д.А."/>
    <s v="На бумажном носителе"/>
    <s v="До исполнения обязательств"/>
    <d v="2022-07-06T00:00:00"/>
    <s v=""/>
    <s v="Д-61"/>
    <s v="Капитальное строительство и ПИР"/>
    <s v="Расходная часть"/>
    <s v="Рамочный"/>
    <s v="20%"/>
    <s v=""/>
    <s v=""/>
    <s v="734 160.00"/>
    <s v="611 800.00"/>
    <s v="122 360.00"/>
    <s v="нет"/>
    <s v="нет"/>
    <s v=""/>
    <s v=""/>
    <s v=""/>
    <s v=""/>
    <s v="нет"/>
  </r>
  <r>
    <s v="Газпромнефть-ГЕО, ООО"/>
    <s v="0000104605"/>
    <s v="Зарегистрирован"/>
    <d v="2023-11-28T00:00:00"/>
    <s v=""/>
    <x v="55"/>
    <s v="9705112341"/>
    <s v="ГЕО-23/10000/00067/Р"/>
    <s v=""/>
    <s v="1"/>
    <s v="Нетиповой ДД"/>
    <x v="4"/>
    <s v=""/>
    <s v="00666-23"/>
    <s v="2"/>
    <s v="Изменение №1 к Наряд-заказу №2 по Договору №ГЕО-23/10000/00067/Р от &quot;31&quot; марта 2023г."/>
    <s v="Корректировка объема работ по Наряд-заказу №2"/>
    <s v="Раковица Д.К."/>
    <s v="Раковица Д.К."/>
    <s v="Договорный документ"/>
    <s v="Отдел подготовительных работ и экономического анализа"/>
    <s v="Трифонов А.В."/>
    <s v="ЭП"/>
    <s v="С ограничением по срокам "/>
    <d v="2023-11-28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7 354 560.00"/>
    <s v="6 128 800.00"/>
    <s v="1 225 760.00"/>
    <s v="нет"/>
    <s v="нет"/>
    <s v=""/>
    <s v=""/>
    <s v=""/>
    <s v=""/>
    <s v="нет"/>
  </r>
  <r>
    <s v="Газпромнефть-ГЕО, ООО"/>
    <s v="0000099595"/>
    <s v="Закрыт"/>
    <d v="2022-08-31T00:00:00"/>
    <s v=""/>
    <x v="265"/>
    <s v="5648004036"/>
    <s v="ГЕО-21/04500/00211/Р"/>
    <s v=""/>
    <s v="1"/>
    <s v="Нетиповой ДД"/>
    <x v="0"/>
    <s v=""/>
    <s v="00667-22"/>
    <s v=""/>
    <s v="Дополнительное соглашение №1 к договору субаренды земельного участка №ГЕО-21/04500/00211/Р от 15.09.2021"/>
    <s v="для строительства промышленных и иных объектов, а именно (но не ограничиваясь) 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2-08-31T00:00:00"/>
    <d v="2022-12-30T00:00:00"/>
    <s v="Д-61"/>
    <s v="Договор субаренды недвижимости"/>
    <s v="Расходная часть"/>
    <s v="Стоимостной"/>
    <s v="20%"/>
    <s v=""/>
    <s v=""/>
    <s v="126 000.00"/>
    <s v="105 000.00"/>
    <s v="21 000.00"/>
    <s v="нет"/>
    <s v="нет"/>
    <s v=""/>
    <s v=""/>
    <s v=""/>
    <s v=""/>
    <s v="нет"/>
  </r>
  <r>
    <s v="Газпромнефть-ГЕО, ООО"/>
    <s v=""/>
    <s v="Зарегистрирован"/>
    <d v="2023-11-17T00:00:00"/>
    <s v=""/>
    <x v="416"/>
    <s v=""/>
    <s v=""/>
    <s v="ГЕО-23/26000/00196"/>
    <s v="ГЕО-23/26000/00196"/>
    <s v="Типовой ДД"/>
    <x v="1"/>
    <s v="26000 Соглашение о конфиденциальности с российским контрагентом"/>
    <s v="00667-23"/>
    <s v=""/>
    <s v="26000 Соглашение о конфиденциальности с российским контрагентом"/>
    <s v="Необходимость заключения Соглашения о конфиденциальности между ООО «ГПН-ГЕО» и ГУП «Водоканал Санкт-Петербурга» обусловлена необходимостью передачи конфиденциальной информации в ходе совместных исследований по поиску оптимальных методов и технологических решений по переработке осадков сточных вод ГУП «Водоканал Санкт-Петербурга»."/>
    <s v="Волохов Р.Д."/>
    <s v="Волохов Р.Д."/>
    <s v="Договорный документ"/>
    <s v="Блок коммерческой деятельности"/>
    <s v="Созинов С.А."/>
    <s v="На бумажном носителе"/>
    <s v="До исполнения обязательств"/>
    <d v="2023-11-17T00:00:00"/>
    <s v=""/>
    <s v="Д-60"/>
    <s v="Соглашение о конфиденциальности"/>
    <s v="Не предполагает взаиморасчетов"/>
    <s v=""/>
    <s v=""/>
    <s v=""/>
    <s v=""/>
    <s v=""/>
    <s v=""/>
    <s v=""/>
    <s v="нет"/>
    <s v="нет"/>
    <s v=""/>
    <s v=""/>
    <s v=""/>
    <s v=""/>
    <s v="нет"/>
  </r>
  <r>
    <s v="Газпромнефть-ГЕО, ООО"/>
    <s v=""/>
    <s v="Зарегистрирован"/>
    <d v="2021-10-05T00:00:00"/>
    <s v=""/>
    <x v="400"/>
    <s v=""/>
    <s v="№ ГЕО-21/101108/00194/Р"/>
    <s v=""/>
    <s v="1"/>
    <s v="Нетиповой ДД"/>
    <x v="3"/>
    <s v=""/>
    <s v="00668-21"/>
    <s v=""/>
    <s v="Заказ в рамках ДОГОВОРА НА ВЫПОЛНЕНИЕ РАБОТ ПО СПЕЦИАЛЬНЫМ ЛАБОРАТОРНЫМ Исследованиям"/>
    <s v="Лабораторные исследования вытеснения нефти газом на модели тонкой трубки («slim tube») для определения минимального давления смесимости с использованием моделей рекомбинированной до пластовых условий нефти в пластовых термобарических условиях"/>
    <s v="Николаев В.А."/>
    <s v="Николаев В.А."/>
    <s v="Договорный документ"/>
    <s v="Управление по разработке"/>
    <s v="Аксенов М.А."/>
    <s v="На бумажном носителе"/>
    <s v="С ограничением по срокам "/>
    <d v="2021-10-05T00:00:00"/>
    <d v="2021-12-31T00:00:00"/>
    <s v="Д-3"/>
    <s v="Услуги по специальным лабораторным исследованиям керна и пластовых флюидов (в том числе уникальные исследования, новые технологии исследований)"/>
    <s v="Расходная часть"/>
    <s v="Стоимостной"/>
    <s v="20%"/>
    <s v=""/>
    <s v=""/>
    <s v="4 356 833.75"/>
    <s v="3 630 694.79"/>
    <s v="726 138.96"/>
    <s v="нет"/>
    <s v="нет"/>
    <s v=""/>
    <s v=""/>
    <s v=""/>
    <s v=""/>
    <s v="нет"/>
  </r>
  <r>
    <s v="Газпромнефть-ГЕО, ООО"/>
    <s v=""/>
    <s v="Зарегистрирован"/>
    <d v="2022-07-25T00:00:00"/>
    <s v=""/>
    <x v="415"/>
    <s v=""/>
    <s v=""/>
    <s v="ГЕО-22/11029/00171/Р"/>
    <s v="ГЕО-22/11029/00171/Р"/>
    <s v="Типовой ДД"/>
    <x v="2"/>
    <s v="11029  Мастер форма договора-подряда на выполнение строительно-монтажных работ (СМР) Объектов инженерной подготовки и дорог месторождений нефти и газа (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одов"/>
    <s v="00668-22"/>
    <s v=""/>
    <s v="11029  Мастер форма договора-подряда на выполнение строительно-монтажных работ (СМР) Объектов инженерной подготовки и дорог месторождений нефти и газа (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одов"/>
    <s v="Оказание комплекса услуг по устройству и содержанию зимних проездов и площадок геологоразведочных скважин Салаирского лицензионного участка"/>
    <s v="Коваленко М.В."/>
    <s v="Бабаев Дмитрий Георгиевич"/>
    <s v="Договорный документ"/>
    <s v="Управление закупок работ и услуг"/>
    <s v="Перфильев Д.А."/>
    <s v="На бумажном носителе"/>
    <s v="С ограничением по срокам "/>
    <d v="2022-07-25T00:00:00"/>
    <d v="2024-12-31T00:00:00"/>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630 989 715.60"/>
    <s v="525 824 763.00"/>
    <s v="105 164 952.60"/>
    <s v="нет"/>
    <s v="нет"/>
    <s v=""/>
    <s v=""/>
    <s v=""/>
    <s v=""/>
    <s v="нет"/>
  </r>
  <r>
    <s v="Газпромнефть-ГЕО, ООО"/>
    <s v=""/>
    <s v="Зарегистрирован"/>
    <d v="2021-10-06T00:00:00"/>
    <s v=""/>
    <x v="402"/>
    <s v=""/>
    <s v=" ГЕО-21/101108/00193/Р"/>
    <s v=""/>
    <s v="1"/>
    <s v="Нетиповой ДД"/>
    <x v="3"/>
    <s v=""/>
    <s v="00669-21"/>
    <s v=""/>
    <s v="Заказ в рамках Договора на изучение процессов образования АСПО в пластовых условиях "/>
    <s v="Проведение комплекса лабораторных исследований проб пластовых флюидов, направленного на изучение процессов образования АСПО в пластовых условиях"/>
    <s v="Николаев В.А."/>
    <s v="Николаев В.А."/>
    <s v="Договорный документ"/>
    <s v="Управление по разработке"/>
    <s v="Аксенов М.А."/>
    <s v="На бумажном носителе"/>
    <s v="С ограничением по срокам "/>
    <d v="2021-10-06T00:00:00"/>
    <d v="2021-12-31T00:00:00"/>
    <s v=""/>
    <s v="Услуги по специальным лабораторным исследованиям керна и пластовых флюидов (в том числе уникальные исследования, новые технологии исследований)"/>
    <s v="Расходная часть"/>
    <s v="Стоимостной"/>
    <s v="20%"/>
    <s v=""/>
    <s v=""/>
    <s v="4 929 665.88"/>
    <s v="4 108 054.90"/>
    <s v="821 610.98"/>
    <s v="нет"/>
    <s v="нет"/>
    <s v=""/>
    <s v=""/>
    <s v=""/>
    <s v=""/>
    <s v="нет"/>
  </r>
  <r>
    <s v="Газпромнефть-ГЕО, ООО"/>
    <s v="0000099166"/>
    <s v="Закрыт"/>
    <d v="2022-08-31T00:00:00"/>
    <s v=""/>
    <x v="101"/>
    <s v="5648004029"/>
    <s v="ГЕО-21/04300/00199/Р"/>
    <s v=""/>
    <s v="1"/>
    <s v="Нетиповой ДД"/>
    <x v="0"/>
    <s v=""/>
    <s v="00669-22"/>
    <s v=""/>
    <s v="Дополнительное соглашение № 1 к договору субаренды земельного участка"/>
    <s v="для строительства промышленных и иных объектов, а именно (но не ограничиваясь) 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d v="2022-08-31T00:00:00"/>
    <d v="2022-12-30T00:00:00"/>
    <s v="Д-61"/>
    <s v="Договор аренды недвижимости"/>
    <s v="Расходная часть"/>
    <s v="Стоимостной"/>
    <s v="20%"/>
    <s v=""/>
    <s v=""/>
    <s v="312 840.00"/>
    <s v="260 700.00"/>
    <s v="52 140.00"/>
    <s v="нет"/>
    <s v="нет"/>
    <s v=""/>
    <s v=""/>
    <s v=""/>
    <s v=""/>
    <s v="нет"/>
  </r>
  <r>
    <s v="Газпромнефть-ГЕО, ООО"/>
    <s v="0000108565"/>
    <s v="Зарегистрирован"/>
    <d v="2023-11-30T00:00:00"/>
    <s v=""/>
    <x v="193"/>
    <s v="344313434712"/>
    <s v="ГЕО-23/25000/00080/Р"/>
    <s v=""/>
    <s v="1"/>
    <s v="Нетиповой ДД"/>
    <x v="0"/>
    <s v=""/>
    <s v="00669-23"/>
    <s v=""/>
    <s v="Дополнительное соглашение №1 к Договору № ГЕО-23/25000/00080/Р от 01.05.2023"/>
    <s v="Изменение редакции Договора "/>
    <s v="Федоров А.Г."/>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3-11-30T00:00:00"/>
    <d v="2024-05-31T00:00:00"/>
    <s v=""/>
    <s v="Договор оказания услуг с физическим лицом"/>
    <s v="Расходная часть"/>
    <s v="Стоимостной"/>
    <s v="13%"/>
    <s v=""/>
    <s v=""/>
    <s v="220 000.00"/>
    <s v="191 400.00"/>
    <s v="28 600.00"/>
    <s v="нет"/>
    <s v="нет"/>
    <s v=""/>
    <s v=""/>
    <s v=""/>
    <s v=""/>
    <s v="нет"/>
  </r>
  <r>
    <s v="Газпромнефть-ГЕО, ООО"/>
    <s v=""/>
    <s v="Зарегистрирован"/>
    <d v="2022-07-21T00:00:00"/>
    <s v=""/>
    <x v="415"/>
    <s v=""/>
    <s v=""/>
    <s v="ГЕО-22/33100/00161"/>
    <s v="ГЕО-22/33100/00161"/>
    <s v="Типовой ДД"/>
    <x v="1"/>
    <s v="33100 Соглашение в области производственной безопасности"/>
    <s v="00670-22"/>
    <s v=""/>
    <s v="33100 Соглашение в области производственной безопасности"/>
    <s v="В целях обеспечения ПБ при выполнении СМР"/>
    <s v="Коваленко М.В."/>
    <s v="Бабаев Дмитрий Георгиевич "/>
    <s v="Договорный документ"/>
    <s v="Управление закупок работ и услуг"/>
    <s v="Власов М.М."/>
    <s v="На бумажном носителе"/>
    <s v="С ограничением по срокам "/>
    <d v="2022-07-21T00:00:00"/>
    <d v="2025-12-31T00:00:00"/>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38433"/>
    <s v="Зарегистрирован"/>
    <d v="2023-11-30T00:00:00"/>
    <s v=""/>
    <x v="117"/>
    <s v="7707113869"/>
    <s v="ГЕО-23/09000/00036/Р"/>
    <s v=""/>
    <s v="2"/>
    <s v="Нетиповой ДД"/>
    <x v="0"/>
    <s v=""/>
    <s v="00670-23"/>
    <s v=""/>
    <s v="ДС№2 к договору оказания услуг №ГЕО-23/09000/00036/Р от 13.02.2023"/>
    <s v="Перераспределение объемов, предусмотренных договором, а также перевод негарантированных объемов в гарантированные._x000a_(без изменения единичных расценок и общей стоимости по Договору)_x000a_"/>
    <s v="Сергель О.Г."/>
    <s v="Сергель О.Г."/>
    <s v="Договорный документ"/>
    <s v="Отдел административной поддержки бизнеса"/>
    <s v="Буракова О.В."/>
    <s v="ЭП"/>
    <s v="С ограничением по срокам "/>
    <d v="2023-11-30T00:00:00"/>
    <d v="2026-02-28T00:00:00"/>
    <s v="Д-33"/>
    <s v="Договор возмездного оказания услуг"/>
    <s v="Расходная часть"/>
    <s v="Стоимостной"/>
    <s v="20%"/>
    <s v=""/>
    <s v="229535224"/>
    <s v="155 242 482.30"/>
    <s v="129 368 735.25"/>
    <s v="25 873 747.05"/>
    <s v="да"/>
    <s v="нет"/>
    <s v=""/>
    <s v=""/>
    <s v=""/>
    <s v=""/>
    <s v="нет"/>
  </r>
  <r>
    <s v="Газпромнефть-ГЕО, ООО"/>
    <s v="0000067121"/>
    <s v="Зарегистрирован"/>
    <d v="2021-10-05T00:00:00"/>
    <s v=""/>
    <x v="62"/>
    <s v="7202171361"/>
    <s v="ХНТ-20/10110/967/Р/60/ГЕО-20/10110/00198/Р"/>
    <s v=""/>
    <s v="3"/>
    <s v="Нетиповой ДД"/>
    <x v="0"/>
    <s v=""/>
    <s v="00671-21"/>
    <s v=""/>
    <s v="ДОПОЛНИТЕЛЬНОЕ СОГЛАШЕНИЕ № 3 к Договору № ХНТ-20/10110/967/Р/60/ГЕО-20/10110/00198/Р от 06.10.2020 г. на выполнение работ по теме: «Проведение полевых сейсморазведочных работ МОГТ 3D с применением технологии «Зеленая сейсмика ©»"/>
    <s v="Включение требований СПД, включение новой ставки"/>
    <s v="Ахматгалиев С.З."/>
    <s v="Ахматгалиев С.З."/>
    <s v="Договорный документ"/>
    <s v="Блок геологии и разработки"/>
    <s v="Аксенов М.А."/>
    <s v="На бумажном носителе"/>
    <s v="С ограничением по срокам "/>
    <d v="2021-10-05T00:00:00"/>
    <d v="2023-12-31T00:00:00"/>
    <s v=""/>
    <s v="Полевые сейсморазведочные работы 2Д, 3Д"/>
    <s v="Не предполагает взаиморасчетов"/>
    <s v=""/>
    <s v=""/>
    <s v=""/>
    <s v=""/>
    <s v=""/>
    <s v=""/>
    <s v=""/>
    <s v="нет"/>
    <s v="нет"/>
    <s v=""/>
    <s v=""/>
    <s v=""/>
    <s v=""/>
    <s v="нет"/>
  </r>
  <r>
    <s v="Газпромнефть-ГЕО, ООО"/>
    <s v="0000057796"/>
    <s v="Зарегистрирован"/>
    <d v="2023-12-06T00:00:00"/>
    <s v=""/>
    <x v="109"/>
    <s v="5003028148"/>
    <s v="ГЕО-23/10000/00093/Р+ ПР"/>
    <s v=""/>
    <s v="2"/>
    <s v="Нетиповой ДД"/>
    <x v="0"/>
    <s v=""/>
    <s v="00671-23"/>
    <s v=""/>
    <s v="ДС№2 к ДД № ГЕО-23/10000/00093/Р от 01.06.2023г. Газпром газобезопасность, ООО"/>
    <s v="ДС№2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 НГО в ГО."/>
    <s v="Мормышев А.А."/>
    <s v="Хабибуллин Т.Ф."/>
    <s v="Договорный документ"/>
    <s v="Блок производственной безопасности"/>
    <s v="Михайлов Ю.А."/>
    <s v="ЭП"/>
    <s v="До исполнения обязательств"/>
    <d v="2023-11-03T00:00:00"/>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5231160"/>
    <s v=""/>
    <s v=""/>
    <s v=""/>
    <s v="да"/>
    <s v="нет"/>
    <s v=""/>
    <s v=""/>
    <s v=""/>
    <s v=""/>
    <s v="нет"/>
  </r>
  <r>
    <s v="Газпромнефть-ГЕО, ООО"/>
    <s v="0000047431"/>
    <s v="Зарегистрирован"/>
    <d v="2021-10-06T00:00:00"/>
    <s v=""/>
    <x v="8"/>
    <s v="7706623585"/>
    <s v="ГЕО-19/09000/00325/Р"/>
    <s v=""/>
    <s v="2"/>
    <s v="Нетиповой ДД"/>
    <x v="0"/>
    <s v=""/>
    <s v="00672-21"/>
    <s v=""/>
    <s v="Дополнительное соглашение №2"/>
    <s v="Перенос сроков оказания услуг, предусмотренных договором № ГЕО-19/09000/00325/Р от 30 декабря 2019 года"/>
    <s v="Курашко М.В."/>
    <s v="Курашко М.В."/>
    <s v="Договорный документ"/>
    <s v="Управление по работе с персоналом"/>
    <s v="Масалкин Ю.В."/>
    <s v="На бумажном носителе"/>
    <s v="До исполнения обязательств"/>
    <d v="2021-10-07T00:00:00"/>
    <s v=""/>
    <s v=""/>
    <s v="Договор на обучение (тренинги, семинары и проч.)"/>
    <s v="Не предполагает взаиморасчетов"/>
    <s v="Рамочный"/>
    <s v=""/>
    <s v=""/>
    <s v=""/>
    <s v=""/>
    <s v=""/>
    <s v=""/>
    <s v="нет"/>
    <s v="нет"/>
    <s v=""/>
    <s v=""/>
    <s v=""/>
    <s v=""/>
    <s v="нет"/>
  </r>
  <r>
    <s v="Газпромнефть-ГЕО, ООО"/>
    <s v="0000061300"/>
    <s v="Зарегистрирован"/>
    <d v="2022-07-25T00:00:00"/>
    <s v=""/>
    <x v="191"/>
    <s v="5603011386"/>
    <s v="ГЕО-22/09000/00066/Р"/>
    <s v=""/>
    <s v="3"/>
    <s v="Нетиповой ДД"/>
    <x v="0"/>
    <s v=""/>
    <s v="00673-22"/>
    <s v=""/>
    <s v="Ответственность за доставку технологической оснастки"/>
    <s v="Определить Ответственность за доставку технологической оснастки"/>
    <s v="Раковица Д.К."/>
    <s v="Раковица Д.К."/>
    <s v="Договорный документ"/>
    <s v="Отдел подготовительных работ и экономического анализа"/>
    <s v="Агеев П.А."/>
    <s v="ЭП"/>
    <s v="С ограничением по срокам "/>
    <d v="2022-07-25T00:00:00"/>
    <d v="2023-03-15T00:00:00"/>
    <s v="Д-52"/>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73189"/>
    <s v="Зарегистрирован"/>
    <d v="2023-12-20T00:00:00"/>
    <s v=""/>
    <x v="249"/>
    <s v="5034031535"/>
    <s v=""/>
    <s v="ГЕО-23/24000/00217/Р"/>
    <s v="ГЕО-23/24000/00217/Р"/>
    <s v="Нетиповой ДД"/>
    <x v="1"/>
    <s v=""/>
    <s v="00673-23"/>
    <s v=""/>
    <s v="Договор публичной оферты"/>
    <s v="Договор-оферта № 922160/2033072  от 24.10.2023 г. по тарифу Партнерский безлимит (лицензионный договор)"/>
    <s v="Безруков А.А."/>
    <s v=""/>
    <s v="Договорный документ"/>
    <s v="Газпромнефть-ГЕО, ООО"/>
    <s v="Власов М.М."/>
    <s v="На бумажном носителе"/>
    <s v="С ограничением по срокам "/>
    <d v="2023-12-20T00:00:00"/>
    <d v="2024-12-20T00:00:00"/>
    <s v="Д-15"/>
    <s v="Лицензионный договор"/>
    <s v="Расходная часть"/>
    <s v="Тарифный"/>
    <s v="20%"/>
    <s v=""/>
    <s v=""/>
    <s v="240 000.00"/>
    <s v="200 000.00"/>
    <s v="40 000.00"/>
    <s v="нет"/>
    <s v="нет"/>
    <s v=""/>
    <s v=""/>
    <s v=""/>
    <s v=""/>
    <s v="нет"/>
  </r>
  <r>
    <s v="Газпромнефть-ГЕО, ООО"/>
    <s v="0000068442"/>
    <s v="Зарегистрирован"/>
    <d v="2021-10-01T00:00:00"/>
    <s v=""/>
    <x v="92"/>
    <s v="5611027573"/>
    <s v="ГЕО-21/09000/00198/Р"/>
    <s v=""/>
    <s v="1"/>
    <s v="Нетиповой ДД"/>
    <x v="0"/>
    <s v=""/>
    <s v="00674-21"/>
    <s v=""/>
    <s v="Дополнительное соглашение № 1 к договору № ГЕО-21/09000/00198/Р от 06.09.2021 г."/>
    <s v="Перераспределение гарантированного объема услуг по КПП №2 в негарантированный объем в 2021-2022 гг."/>
    <s v="Страдымов А.Г."/>
    <s v="Страдымов А.Г."/>
    <s v="Договорный документ"/>
    <s v="Блок корпоративной защиты"/>
    <s v="Созинов С.А."/>
    <s v="На бумажном носителе"/>
    <s v="С ограничением по срокам "/>
    <d v="2021-10-01T00:00:00"/>
    <d v="2023-02-28T00:00:00"/>
    <s v="Д-35"/>
    <s v="Договор возмездного оказания услуг"/>
    <s v="Не предполагает взаиморасчетов"/>
    <s v="Рамочный"/>
    <s v=""/>
    <s v=""/>
    <s v=""/>
    <s v=""/>
    <s v=""/>
    <s v=""/>
    <s v="нет"/>
    <s v="нет"/>
    <s v=""/>
    <s v=""/>
    <s v=""/>
    <s v=""/>
    <s v="нет"/>
  </r>
  <r>
    <s v="Газпромнефть-ГЕО, ООО"/>
    <s v="0000048275"/>
    <s v="Зарегистрирован"/>
    <d v="2022-07-29T00:00:00"/>
    <s v=""/>
    <x v="83"/>
    <s v="7709267582"/>
    <s v=""/>
    <s v="ГЕО-22/33100/00162"/>
    <s v="ГЕО-22/33100/00162"/>
    <s v="Типовой ДД"/>
    <x v="1"/>
    <s v="33100 Соглашение в области производственной безопасности"/>
    <s v="00674-22"/>
    <s v=""/>
    <s v="33100 Соглашение в области производственной безопасности"/>
    <s v="Соглашение в области ПБ"/>
    <s v="Рябикина М.А."/>
    <s v="Морозов А.В."/>
    <s v="Договорный документ"/>
    <s v="Блок производственной безопасности"/>
    <s v="Власов М.М."/>
    <s v="На бумажном носителе"/>
    <s v="Без сроков "/>
    <d v="2022-07-29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8498"/>
    <s v="Зарегистрирован"/>
    <d v="2023-11-28T00:00:00"/>
    <s v=""/>
    <x v="95"/>
    <s v="3023006808"/>
    <s v="ГЕО-22/10000/00312/Р"/>
    <s v=""/>
    <s v="4"/>
    <s v="Нетиповой ДД"/>
    <x v="0"/>
    <s v=""/>
    <s v="00674-23"/>
    <s v=""/>
    <s v="Дополнительное соглашение №4 к Договору № ГЕО-22/10000/00312/Р от «01» декабря 2022 г."/>
    <s v="Перераспределение гарантированного объёма 2024 года в гарантированный объём 2023 года для_x000a_вывоза Азотной установки и персонала с пункта сбора на базу Исполнителя и перераспределение_x000a_невостребованного негарантированного объем услуг с 2023 года в 2024 год без увеличения_x000a_единичных расценок и общей цены договора"/>
    <s v="Рымаренко А.А."/>
    <s v="Рымаренко А.А."/>
    <s v="Договорный документ"/>
    <s v="Управление внутрискважинных работ"/>
    <s v="Трифонов А.В."/>
    <s v="ЭП"/>
    <s v="Без сроков "/>
    <d v="2023-11-28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31411716.2"/>
    <s v="79 994 977.67"/>
    <s v="66 662 481.39"/>
    <s v="13 332 496.28"/>
    <s v="да"/>
    <s v="нет"/>
    <s v=""/>
    <s v=""/>
    <s v=""/>
    <s v=""/>
    <s v="нет"/>
  </r>
  <r>
    <s v="Газпромнефть-ГЕО, ООО"/>
    <s v="0000008602"/>
    <s v="Закрыт"/>
    <d v="2021-10-12T00:00:00"/>
    <s v=""/>
    <x v="32"/>
    <s v="5504036333"/>
    <s v=""/>
    <s v="ГЕО-21/12100/00219/Р"/>
    <s v="ГЕО-21/12100/00219/Р"/>
    <s v="Нетиповой ДД"/>
    <x v="2"/>
    <s v=""/>
    <s v="00675-21"/>
    <s v=""/>
    <s v="Договор займа"/>
    <s v="По рекомендациям Казначейства КЦ, ранее согласованный договор был разделен на три договора по 1млрд.р, в соотвеи с участками недр._x000d__x000a_В связи с предстоящей подачей документов на право пользование участком недр Нижнепуринский 4_x000d__x000a_расположенным в Таймырском Долгано-Ненецком районе Красноярского края (заявительный принцип)_x000d__x000a_"/>
    <s v="Чернявский Г.С."/>
    <s v="Чернявский Г.С."/>
    <s v="Договорный документ"/>
    <s v="Финансовое управление"/>
    <s v="Ковтун М.А."/>
    <s v="На бумажном носителе"/>
    <s v="С ограничением по срокам "/>
    <d v="2021-10-13T00:00:00"/>
    <d v="2024-10-13T00:00:00"/>
    <s v="Д-5"/>
    <s v="Договор займа"/>
    <s v="Расходная часть"/>
    <s v="Стоимостной"/>
    <s v="0%"/>
    <s v=""/>
    <s v=""/>
    <s v="1 000 000 000.00"/>
    <s v="1 000 000 000.00"/>
    <n v="0"/>
    <s v="нет"/>
    <s v="нет"/>
    <s v=""/>
    <s v=""/>
    <s v=""/>
    <s v=""/>
    <s v="нет"/>
  </r>
  <r>
    <s v="Газпромнефть-ГЕО, ООО"/>
    <s v="0000048275"/>
    <s v="Зарегистрирован"/>
    <d v="2022-07-29T00:00:00"/>
    <s v=""/>
    <x v="83"/>
    <s v="7709267582"/>
    <s v=""/>
    <s v="ГЕО-22/33200/00163"/>
    <s v="ГЕО-22/33200/00163"/>
    <s v="Типовой ДД"/>
    <x v="1"/>
    <s v="33200 Соглашение об электронном документообороте"/>
    <s v="00675-22"/>
    <s v=""/>
    <s v="33200 Соглашение об электронном документообороте"/>
    <s v="соглашение по использованию ЭДО"/>
    <s v="Рябикина М.А."/>
    <s v="Морозов Анатолий Владимирович, Газпромнефть-ГЕО, ООО/Блок производственной безопасности/Отдел по промышленной и пожарной безопас"/>
    <s v="Договорный документ"/>
    <s v="Блок экономики и финансов"/>
    <s v="Ковтун М.А."/>
    <s v="ЭП"/>
    <s v="Без сроков "/>
    <d v="2022-07-29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8216"/>
    <s v="Зарегистрирован"/>
    <d v="2023-11-30T00:00:00"/>
    <s v=""/>
    <x v="38"/>
    <s v="8605013881"/>
    <s v="ГЕО-21/10308/00236/Р"/>
    <s v=""/>
    <s v="9 "/>
    <s v="Типовой ДД"/>
    <x v="0"/>
    <s v="ДС по актуализации методологии оценки эффективности деятельности контрагентов и мотивации в области ПБ в действующих договорах"/>
    <s v="00675-23"/>
    <s v=""/>
    <s v="ДС №9 к Договору №ГЕО-21/10308/00236/Р от 04.10.2021г."/>
    <s v="Актуализация методологии оценки эффективности деятельности контрагентов и мотивации в области ПБ на основании приказа №113-П от 20.10.2023"/>
    <s v="Ларионов Е.А."/>
    <s v=""/>
    <s v="Договорный документ"/>
    <s v="Блок снабжения и закупок"/>
    <s v="Аксенов М.А."/>
    <s v="ЭП"/>
    <s v="С ограничением по срокам "/>
    <d v="2023-11-30T00:00:00"/>
    <d v="2024-12-31T00:00:00"/>
    <s v=""/>
    <s v="ГТИ при бурении"/>
    <s v="Не предполагает взаиморасчетов"/>
    <s v="Рамочный"/>
    <s v=""/>
    <s v=""/>
    <s v=""/>
    <s v=""/>
    <s v=""/>
    <s v=""/>
    <s v="нет"/>
    <s v="нет"/>
    <s v=""/>
    <s v=""/>
    <s v=""/>
    <s v=""/>
    <s v="нет"/>
  </r>
  <r>
    <s v="Газпромнефть-ГЕО, ООО"/>
    <s v="0000073273"/>
    <s v="Зарегистрирован"/>
    <d v="2021-10-22T00:00:00"/>
    <s v=""/>
    <x v="21"/>
    <s v="5610218014"/>
    <s v=""/>
    <s v="ГЕО-21/10312/00240/Р"/>
    <s v="ГЕО-21/10312/00240/Р"/>
    <s v="Нетиповой ДД"/>
    <x v="2"/>
    <s v=""/>
    <s v="00676-21"/>
    <s v=""/>
    <s v="на оказание услуг 10312 «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на проекте Южный Оренбург в том числе (Солнечный, Корнаваринский, Надеждинский, Западно-Рубежинский ЛУ)» в период 2022 -2023гг."/>
    <s v="Ефремов А.С."/>
    <s v="Ефремов А.С."/>
    <s v="Договорный документ"/>
    <s v="Управление внутрискважинных работ"/>
    <s v="Масалкин Ю.В."/>
    <s v="На бумажном носителе"/>
    <s v="С ограничением по срокам "/>
    <d v="2022-01-01T00:00:00"/>
    <d v="2023-12-31T00:00:00"/>
    <s v=""/>
    <s v="Супервайзерские услуги при строительстве и реконструкции, бурении (в т.ч. геологоразведочном), испытании поисково-разведочных скважин, зарезке боковых стволов и углублении скважин"/>
    <s v="Расходная часть"/>
    <s v="Тарифный"/>
    <s v="20%"/>
    <s v=""/>
    <s v=""/>
    <s v="13 754 545.62"/>
    <s v="11 462 121.35"/>
    <s v="2 292 424.27"/>
    <s v="нет"/>
    <s v="нет"/>
    <s v=""/>
    <s v=""/>
    <s v=""/>
    <s v=""/>
    <s v="нет"/>
  </r>
  <r>
    <s v="Газпромнефть-ГЕО, ООО"/>
    <s v="0000039779"/>
    <s v="Зарегистрирован"/>
    <d v="2022-07-25T00:00:00"/>
    <s v=""/>
    <x v="139"/>
    <s v="0277067693"/>
    <s v="ГЕО-22/10318/00037/Р"/>
    <s v=""/>
    <s v="1"/>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676-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ереход на электронный документооборот"/>
    <s v="Раковица Д.К."/>
    <s v="Раковица Д.К."/>
    <s v="Договорный документ"/>
    <s v="Отдел подготовительных работ и экономического анализа"/>
    <s v="Имангулов А.Р."/>
    <s v="На бумажном носителе"/>
    <s v="С ограничением по срокам "/>
    <d v="2022-07-25T00:00:00"/>
    <d v="2023-03-15T00:00:00"/>
    <s v="Д-23"/>
    <s v="Отбор керна при бурении и реконструкции скважин"/>
    <s v="Не предполагает взаиморасчетов"/>
    <s v="Стоимостной"/>
    <s v=""/>
    <s v=""/>
    <s v=""/>
    <s v=""/>
    <s v=""/>
    <s v=""/>
    <s v="нет"/>
    <s v="нет"/>
    <s v=""/>
    <s v=""/>
    <s v=""/>
    <s v=""/>
    <s v="нет"/>
  </r>
  <r>
    <s v="Газпромнефть-ГЕО, ООО"/>
    <s v="0000066314"/>
    <s v="Зарегистрирован"/>
    <d v="2023-12-05T00:00:00"/>
    <s v=""/>
    <x v="74"/>
    <s v="7202242358"/>
    <s v="АНГ-191151300010Р"/>
    <s v=""/>
    <s v="15"/>
    <s v="Нетиповой ДД"/>
    <x v="3"/>
    <s v=""/>
    <s v="00676-23"/>
    <s v=""/>
    <s v="НАРЯД-ЗАКАЗ № 15 к Договору № АНГ-191151300010Р от 18 февраля 2019"/>
    <s v="1. БПО Южно-Новопортовского лицензионного участка _x000a_    - Перевод земельного участка из одной категории в другую объекта «Карьер ОПИ Южно-Новопортовского лицензионного участка» на территории Ямальского района. _x000a_2. Автозимник п. Новый Порт – Южно-Новопортовский лицензионный участок_x000a_     - Продление действующего договора земельного участка №6562/з на срок до 20.04.2027г._x000a_"/>
    <s v="Расулов И.Ф."/>
    <s v=""/>
    <s v="Договорный документ"/>
    <s v="Управление маркшейдерско-землеустроительных работ"/>
    <s v="Аксенов М.А."/>
    <s v="ЭП"/>
    <s v="С ограничением по срокам "/>
    <d v="2023-11-28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без НДС"/>
    <s v=""/>
    <s v=""/>
    <s v="646 168.51"/>
    <s v="646 168.51"/>
    <n v="0"/>
    <s v="нет"/>
    <s v="нет"/>
    <s v=""/>
    <s v=""/>
    <s v=""/>
    <s v=""/>
    <s v="нет"/>
  </r>
  <r>
    <s v="Газпромнефть-ГЕО, ООО"/>
    <s v="0000008602"/>
    <s v="Закрыт"/>
    <d v="2021-10-12T00:00:00"/>
    <s v=""/>
    <x v="32"/>
    <s v="5504036333"/>
    <s v=""/>
    <s v="ГЕО-21/12100/00231/Р"/>
    <s v="ГЕО-21/12100/00231/Р"/>
    <s v="Нетиповой ДД"/>
    <x v="2"/>
    <s v=""/>
    <s v="00677-21"/>
    <s v=""/>
    <s v="Договор займа"/>
    <s v="По рекомендациям Казначейства КЦ, ранее согласованный договор (проект 00675-21) был разделен на три договора по 1млрд.р, в соответствии с участками недр._x000d__x000a_В связи с предстоящей подачей документов на право пользование участком недр Нижнепуринский 5_x000d__x000a_расположенным в Таймырском Долгано-Ненецком районе Красноярского края (заявительный принцип)_x000d__x000a_"/>
    <s v="Чернявский Г.С."/>
    <s v="Чернявский Г.С."/>
    <s v="Договорный документ"/>
    <s v="Финансовое управление"/>
    <s v="Ковтун М.А."/>
    <s v="На бумажном носителе"/>
    <s v="С ограничением по срокам "/>
    <d v="2021-10-12T00:00:00"/>
    <d v="2024-10-13T00:00:00"/>
    <s v="Д-5"/>
    <s v="Договор займа"/>
    <s v="Расходная часть"/>
    <s v="Стоимостной"/>
    <s v="0%"/>
    <s v=""/>
    <s v=""/>
    <s v="1 000 000 000.00"/>
    <s v="1 000 000 000.00"/>
    <n v="0"/>
    <s v="нет"/>
    <s v="нет"/>
    <s v=""/>
    <s v=""/>
    <s v=""/>
    <s v=""/>
    <s v="нет"/>
  </r>
  <r>
    <s v="Газпромнефть-ГЕО, ООО"/>
    <s v="0000048275"/>
    <s v="Зарегистрирован"/>
    <d v="2022-07-29T00:00:00"/>
    <s v=""/>
    <x v="83"/>
    <s v="7709267582"/>
    <s v=""/>
    <s v="ГЕО-22/26000/00164"/>
    <s v="ГЕО-22/26000/00164"/>
    <s v="Типовой ДД"/>
    <x v="1"/>
    <s v="26000 Соглашение о конфиденциальности с российским контрагентом"/>
    <s v="00677-22"/>
    <s v=""/>
    <s v="26000 Соглашение о конфиденциальности с российским контрагентом"/>
    <s v="Соглашение о конфиденциальности"/>
    <s v="Рябикина М.А."/>
    <s v="Морозов Анатолий Владимирович, Газпромнефть-ГЕО, ООО/Блок производственной безопасности/Отдел по промышленной и пожарной без."/>
    <s v="Договорный документ"/>
    <s v="Блок корпоративной защиты"/>
    <s v="Агеев П.А."/>
    <s v="ЭП"/>
    <s v="Без сроков "/>
    <d v="2022-07-29T00:00:00"/>
    <s v=""/>
    <s v=""/>
    <s v="Соглашение о конфиденциальности"/>
    <s v="Не предполагает взаиморасчетов"/>
    <s v=""/>
    <s v=""/>
    <s v=""/>
    <s v=""/>
    <s v=""/>
    <s v=""/>
    <s v=""/>
    <s v="нет"/>
    <s v="нет"/>
    <s v=""/>
    <s v=""/>
    <s v=""/>
    <s v=""/>
    <s v="нет"/>
  </r>
  <r>
    <s v="Газпромнефть-ГЕО, ООО"/>
    <s v="0000099595"/>
    <s v="Зарегистрирован"/>
    <d v="2023-12-01T00:00:00"/>
    <s v=""/>
    <x v="265"/>
    <s v="5648004036"/>
    <s v=""/>
    <s v="ГЕО-23/04500/00197/Р"/>
    <s v="ГЕО-23/04500/00197/Р"/>
    <s v="Нетиповой ДД"/>
    <x v="1"/>
    <s v=""/>
    <s v="00677-23"/>
    <s v=""/>
    <s v="Соглашение о возмещении убытков сельскохозяйственного производства, в т.ч. упущенной выгоды при временном занятии земельного участка"/>
    <s v="возмещение убытков сельскохозяйственного производства при временном занятии части земельного участка для проезда к скважине 341ПО Солнечного лицензионного участка"/>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d v="2023-12-01T00:00:00"/>
    <s v=""/>
    <s v="Д-33"/>
    <s v="Договор субаренды недвижимости"/>
    <s v="Расходная часть"/>
    <s v="Стоимостной"/>
    <s v="0%"/>
    <s v=""/>
    <s v=""/>
    <s v="44 574.00"/>
    <s v="44 574.00"/>
    <n v="0"/>
    <s v="нет"/>
    <s v="нет"/>
    <s v=""/>
    <s v=""/>
    <s v=""/>
    <s v=""/>
    <s v="нет"/>
  </r>
  <r>
    <s v="Газпромнефть-ГЕО, ООО"/>
    <s v="0000008602"/>
    <s v="Закрыт"/>
    <d v="2021-10-12T00:00:00"/>
    <s v=""/>
    <x v="32"/>
    <s v="5504036333"/>
    <s v=""/>
    <s v="ГЕО-21/12100/00232/Р"/>
    <s v="ГЕО-21/12100/00232/Р"/>
    <s v="Нетиповой ДД"/>
    <x v="2"/>
    <s v=""/>
    <s v="00678-21"/>
    <s v=""/>
    <s v="Договор займа"/>
    <s v="По рекомендациям Казначейства КЦ, ранее согласованный договор (проект 00675-21) был разделен на три договора по 1млрд.р, в соответствии с участками недр._x000d__x000a_В связи с предстоящей подачей документов на право пользование участком недр Нижнепуринский 6_x000d__x000a_расположенным в Таймырском Долгано-Ненецком районе Красноярского края (заявительный принцип)_x000d__x000a_"/>
    <s v="Чернявский Г.С."/>
    <s v="Чернявский Г.С."/>
    <s v="Договорный документ"/>
    <s v="Финансовое управление"/>
    <s v="Ковтун М.А."/>
    <s v="На бумажном носителе"/>
    <s v="С ограничением по срокам "/>
    <d v="2021-10-12T00:00:00"/>
    <d v="2024-10-13T00:00:00"/>
    <s v="Д-5"/>
    <s v="Договор займа"/>
    <s v="Расходная часть"/>
    <s v="Стоимостной"/>
    <s v="0%"/>
    <s v=""/>
    <s v=""/>
    <s v="1 000 000 000.00"/>
    <s v="1 000 000 000.00"/>
    <n v="0"/>
    <s v="нет"/>
    <s v="нет"/>
    <s v=""/>
    <s v=""/>
    <s v=""/>
    <s v=""/>
    <s v="нет"/>
  </r>
  <r>
    <s v="Газпромнефть-ГЕО, ООО"/>
    <s v="0000047108"/>
    <s v="Закрыт"/>
    <d v="2022-08-04T00:00:00"/>
    <s v=""/>
    <x v="19"/>
    <s v="3245502148"/>
    <s v="ГЕО-21/09000/00289"/>
    <s v=""/>
    <s v="2"/>
    <s v="Нетиповой ДД"/>
    <x v="3"/>
    <s v=""/>
    <s v="00678-22"/>
    <s v=""/>
    <s v="Заказ-наряд к договору №ГЕО-21/09000/00289 от «22» декабря 2021 г. «Создание сейсмогеологической модели региона «Южный Таймыр»» "/>
    <s v="Заказ-наряд к договору №ГЕО-21/09000/00289 от «22» декабря 2021 г. «Создание сейсмогеологической модели региона «Южный Таймыр»» "/>
    <s v="Кошелева Ю.В."/>
    <s v="Кошелева Ю.В."/>
    <s v="Договорный документ"/>
    <s v="Управление экономического планирования и анализа"/>
    <s v="Николаев М.Н."/>
    <s v="На бумажном носителе"/>
    <s v="С ограничением по срокам "/>
    <d v="2022-04-04T00:00:00"/>
    <d v="2022-09-30T00:00:00"/>
    <s v="Д-57"/>
    <s v="Договор возмездного оказания услуг"/>
    <s v="Доходная часть"/>
    <s v="Стоимостной"/>
    <s v="20%"/>
    <s v=""/>
    <s v=""/>
    <s v="12 479 730.43"/>
    <s v="10 399 775.36"/>
    <s v="2 079 955.07"/>
    <s v="нет"/>
    <s v="нет"/>
    <s v=""/>
    <s v=""/>
    <s v=""/>
    <s v=""/>
    <s v="нет"/>
  </r>
  <r>
    <s v="Газпромнефть-ГЕО, ООО"/>
    <s v="0000067167"/>
    <s v="Зарегистрирован"/>
    <d v="2023-12-05T00:00:00"/>
    <s v=""/>
    <x v="145"/>
    <s v="7719520026"/>
    <s v="00221"/>
    <s v=""/>
    <s v="8"/>
    <s v="Нетиповой ДД"/>
    <x v="3"/>
    <s v=""/>
    <s v="00678-23"/>
    <s v=""/>
    <s v="Н-З №8 к  Договору №ГЕО-20/11014/00070/Р от 06.05. 2021 года"/>
    <s v="Заключения Наряд-заказа №8 по договору № ГЕО-20/11014/00070/Р от 06.05.2020 г. с ООО «Техно-Сервис»"/>
    <s v="Калугина С.Б."/>
    <s v="Бабаев Д.Г."/>
    <s v="Договорный документ"/>
    <s v="Департамент капитального строительства"/>
    <s v="Трифонов А.В."/>
    <s v="ЭП"/>
    <s v="С ограничением по срокам "/>
    <d v="2023-12-05T00:00:00"/>
    <d v="2024-05-01T00:00:00"/>
    <s v="Д-33"/>
    <s v="Капитальное строительство и ПИР"/>
    <s v="Расходная часть"/>
    <s v="Стоимостной"/>
    <s v="20%"/>
    <s v=""/>
    <s v=""/>
    <s v="4 980 427.25"/>
    <s v="4 150 356.04"/>
    <s v="830 071.21"/>
    <s v="нет"/>
    <s v="нет"/>
    <s v=""/>
    <s v=""/>
    <s v=""/>
    <s v=""/>
    <s v="нет"/>
  </r>
  <r>
    <s v="Газпромнефть-ГЕО, ООО"/>
    <s v="0000048878"/>
    <s v="Зарегистрирован"/>
    <d v="2021-10-18T00:00:00"/>
    <s v=""/>
    <x v="29"/>
    <s v="1645019164"/>
    <s v=""/>
    <s v="ГЕО-21/10110/00239/Р"/>
    <s v="ГЕО-21/10110/00239/Р"/>
    <s v="Нетиповой ДД"/>
    <x v="2"/>
    <s v=""/>
    <s v="00679-21"/>
    <s v=""/>
    <s v="Проведение сейсморазведочных работ МОГТ 3D в пределах Северо- Ямбургского лицензионного участка для нужд ООО &quot;Газпромнефть-ГЕО&quot; в 2021-23 гг."/>
    <s v="Проведение сейсморазведочных работ МОГТ 3D в пределах Северо- Ямбургского лицензионного участка для нужд ООО &quot;Газпромнефть-ГЕО&quot; в 2021-23 гг."/>
    <s v="Ахматгалиев С.З."/>
    <s v="Ахматгалиев С.З."/>
    <s v="Договорный документ"/>
    <s v="Блок геологии и разработки"/>
    <s v="Аксенов М.А."/>
    <s v="На бумажном носителе"/>
    <s v="С ограничением по срокам "/>
    <d v="2021-10-18T00:00:00"/>
    <d v="2023-12-31T00:00:00"/>
    <s v=""/>
    <s v="Полевые сейсморазведочные работы 2Д, 3Д"/>
    <s v="Расходная часть"/>
    <s v="Стоимостной"/>
    <s v="20%"/>
    <s v=""/>
    <s v=""/>
    <s v="5 405 399 859.16"/>
    <s v="4 504 499 882.63"/>
    <s v="900 899 976.53"/>
    <s v="нет"/>
    <s v="нет"/>
    <s v=""/>
    <s v=""/>
    <s v=""/>
    <s v=""/>
    <s v="нет"/>
  </r>
  <r>
    <s v="Газпромнефть-ГЕО, ООО"/>
    <s v="0000070869"/>
    <s v="Закрыт"/>
    <d v="2022-07-25T00:00:00"/>
    <s v=""/>
    <x v="107"/>
    <s v="5611035905"/>
    <s v=""/>
    <s v="ГЕО-22/09000/00170/Р"/>
    <s v="ГЕО-22/09000/00170/Р"/>
    <s v="Нетиповой ДД"/>
    <x v="2"/>
    <s v=""/>
    <s v="00679-22"/>
    <s v=""/>
    <s v="На проведение кадастровых работ"/>
    <s v="Исполнитель обязуется по заданию Заказчика осуществить кадастровые работы в отношении объекта недвижимого имущества: поисково - оценочной скважины 178 на Лескинском лицензионном участке, расположенном по адресу: РФ, Красноярский край, Таймырский Долгано-Ненецкий район"/>
    <s v="Буракова О.В."/>
    <s v="Буракова О.В."/>
    <s v="Договорный документ"/>
    <s v="Отдел административной поддержки бизнеса"/>
    <s v="Николаев М.Н."/>
    <s v="ЭП"/>
    <s v="С ограничением по срокам "/>
    <d v="2022-07-25T00:00:00"/>
    <d v="2022-08-31T00:00:00"/>
    <s v="Д-57"/>
    <s v="Договор возмездного оказания услуг"/>
    <s v="Расходная часть"/>
    <s v="Стоимостной"/>
    <s v="без НДС"/>
    <s v=""/>
    <s v=""/>
    <s v="16 000.00"/>
    <s v="16 000.00"/>
    <n v="0"/>
    <s v="нет"/>
    <s v="нет"/>
    <s v=""/>
    <s v=""/>
    <s v=""/>
    <s v=""/>
    <s v="нет"/>
  </r>
  <r>
    <s v="Газпромнефть-ГЕО, ООО"/>
    <s v="0000048878"/>
    <s v="Зарегистрирован"/>
    <d v="2021-10-08T00:00:00"/>
    <s v=""/>
    <x v="29"/>
    <s v="1645019164"/>
    <s v=""/>
    <s v="ГЕО-21/00000/00229"/>
    <s v="ГЕО-21/00000/00229"/>
    <s v="Типовой ДД"/>
    <x v="1"/>
    <s v="00000 Соглашение в области производственной безопасности"/>
    <s v="00680-21"/>
    <s v=""/>
    <s v="00000 Соглашение в области производственной безопасности"/>
    <s v="Заключение соглашения по ПБ"/>
    <s v="Ахматгалиев С.З."/>
    <s v=""/>
    <s v="Договорный документ"/>
    <s v="Блок геологии и разработки"/>
    <s v="Аксенов М.А."/>
    <s v="На бумажном носителе"/>
    <s v="До исполнения обязательств"/>
    <d v="2021-10-08T00:00:00"/>
    <s v=""/>
    <s v=""/>
    <s v="ПРОЧИЕ ДОГОВОРЫ"/>
    <s v="Не предполагает взаиморасчетов"/>
    <s v=""/>
    <s v=""/>
    <s v=""/>
    <s v=""/>
    <s v=""/>
    <s v=""/>
    <s v=""/>
    <s v="нет"/>
    <s v="нет"/>
    <s v=""/>
    <s v=""/>
    <s v=""/>
    <s v=""/>
    <s v="нет"/>
  </r>
  <r>
    <s v="Газпромнефть-ГЕО, ООО"/>
    <s v="0000062701"/>
    <s v="Зарегистрирован"/>
    <d v="2022-07-15T00:00:00"/>
    <s v=""/>
    <x v="212"/>
    <s v="6318166129"/>
    <s v="ГЕО-20/11019/00045/Р"/>
    <s v=""/>
    <s v="3"/>
    <s v="Типовой ДД"/>
    <x v="0"/>
    <s v="00000 ДС на изменение реквизитов контрагента (адрес, счет)"/>
    <s v="00680-22"/>
    <s v=""/>
    <s v="00000 ДС на изменение реквизитов контрагента (адрес, счет)"/>
    <s v="Изменение реквизитов"/>
    <s v="Шолохова И.А."/>
    <s v="Салахутдинов Р.С."/>
    <s v="Договорный документ"/>
    <s v="Управление проектно-изыскательских работ"/>
    <s v="Перфильев Д.А."/>
    <s v="На бумажном носителе"/>
    <s v="До исполнения обязательств"/>
    <d v="2022-07-15T00:00:00"/>
    <s v=""/>
    <s v="Д-61"/>
    <s v="Капитальное строительство и ПИР"/>
    <s v="Не предполагает взаиморасчетов"/>
    <s v="Стоимостной"/>
    <s v=""/>
    <s v=""/>
    <s v=""/>
    <s v=""/>
    <s v=""/>
    <s v=""/>
    <s v="нет"/>
    <s v="нет"/>
    <s v=""/>
    <s v=""/>
    <s v=""/>
    <s v=""/>
    <s v="нет"/>
  </r>
  <r>
    <s v="Газпромнефть-ГЕО, ООО"/>
    <s v="0000074810"/>
    <s v="Зарегистрирован"/>
    <d v="2023-12-01T00:00:00"/>
    <s v=""/>
    <x v="211"/>
    <s v="7714372367"/>
    <s v="ГЕО-23/10000/00173/Р"/>
    <s v=""/>
    <s v="1"/>
    <s v="Нетиповой ДД"/>
    <x v="7"/>
    <s v=""/>
    <s v="00680-23"/>
    <s v=""/>
    <s v="Заявка №1"/>
    <s v="Заключение в рамках исполнения договора "/>
    <s v="Переслегин М.В."/>
    <s v="Переслегин М.В."/>
    <s v="Договорный документ"/>
    <s v="Проект &quot;Западно-Зимнее&quot;"/>
    <s v="Аксенов М.А."/>
    <s v="ЭП"/>
    <s v="С ограничением по срокам "/>
    <d v="2023-12-01T00:00:00"/>
    <d v="2023-12-2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6 952 939.99"/>
    <s v="5 794 116.66"/>
    <s v="1 158 823.33"/>
    <s v="нет"/>
    <s v="нет"/>
    <s v=""/>
    <s v=""/>
    <s v=""/>
    <s v=""/>
    <s v="нет"/>
  </r>
  <r>
    <s v="Газпромнефть-ГЕО, ООО"/>
    <s v="0000085847"/>
    <s v="Закрыт"/>
    <d v="2021-10-13T00:00:00"/>
    <s v=""/>
    <x v="417"/>
    <s v="7708701831"/>
    <s v=""/>
    <s v="ГЕО-21/01200/00230/Р"/>
    <s v="ГЕО-21/01200/00230/Р"/>
    <s v="Типовой ДД"/>
    <x v="2"/>
    <s v="01200 Договор на поставку детских новогодних подарков для детей работников ООО &quot;ГПН-ГЕО&quot;"/>
    <s v="00681-21"/>
    <s v=""/>
    <s v="01200 Договор на поставку детских новогодних подарков для детей работников ООО &quot;ГПН-ГЕО&quot;"/>
    <s v="Поставка дестких новогодних подарков для детей сотрудников "/>
    <s v="Савельева И.И."/>
    <s v="Савельева И.И."/>
    <s v="Договорный документ"/>
    <s v="Отдел административной поддержки бизнеса"/>
    <s v="Буракова О.В."/>
    <s v="На бумажном носителе"/>
    <s v="До исполнения обязательств"/>
    <d v="2021-10-13T00:00:00"/>
    <s v=""/>
    <s v="Д-1"/>
    <s v="Договор поставки/купли продажи движимого имущества"/>
    <s v="Расходная часть"/>
    <s v="Рамочный"/>
    <s v="20%"/>
    <s v=""/>
    <s v=""/>
    <s v="629 856.00"/>
    <s v="524 880.00"/>
    <s v="104 976.00"/>
    <s v="нет"/>
    <s v="нет"/>
    <s v=""/>
    <s v=""/>
    <s v=""/>
    <s v=""/>
    <s v="нет"/>
  </r>
  <r>
    <s v="Газпромнефть-ГЕО, ООО"/>
    <s v="0000062701"/>
    <s v="Зарегистрирован"/>
    <d v="2022-07-15T00:00:00"/>
    <s v=""/>
    <x v="212"/>
    <s v="6318166129"/>
    <s v="ГЕО-22/11000/00096/Р"/>
    <s v=""/>
    <s v="1"/>
    <s v="Типовой ДД"/>
    <x v="0"/>
    <s v="00000 ДС на изменение реквизитов контрагента (адрес, счет)"/>
    <s v="00681-22"/>
    <s v=""/>
    <s v="00000 ДС на изменение реквизитов контрагента (адрес, счет)"/>
    <s v="Изменение реквизитов"/>
    <s v="Шолохова И.А."/>
    <s v="Салахутдинов Р.С."/>
    <s v="Договорный документ"/>
    <s v="Управление проектно-изыскательских работ"/>
    <s v="Перфильев Д.А."/>
    <s v="На бумажном носителе"/>
    <s v="До исполнения обязательств"/>
    <d v="2022-07-15T00:00:00"/>
    <s v=""/>
    <s v="Д-61"/>
    <s v="Капитальное строительство и ПИР"/>
    <s v="Не предполагает взаиморасчетов"/>
    <s v="Стоимостной"/>
    <s v=""/>
    <s v=""/>
    <s v=""/>
    <s v=""/>
    <s v=""/>
    <s v=""/>
    <s v="нет"/>
    <s v="нет"/>
    <s v=""/>
    <s v=""/>
    <s v=""/>
    <s v=""/>
    <s v="нет"/>
  </r>
  <r>
    <s v="Газпромнефть-ГЕО, ООО"/>
    <s v="0000067554"/>
    <s v="Зарегистрирован"/>
    <d v="2021-10-12T00:00:00"/>
    <s v=""/>
    <x v="208"/>
    <s v="7204168131"/>
    <s v=" ГЕО-20/10924/00051/Р"/>
    <s v=""/>
    <s v="5"/>
    <s v="Нетиповой ДД"/>
    <x v="0"/>
    <s v=""/>
    <s v="00682-21"/>
    <s v=""/>
    <s v="Дополнительное соглашение № 5 к Договору на выполнение работ по экологическому мониторингу месторождений № ГЕО-20/10924/00051/Р от 05 марта 2020 г."/>
    <s v="Включение условий о начале обмена ЭДО"/>
    <s v="Липатова О.И."/>
    <s v=""/>
    <s v="Договорный документ"/>
    <s v="Отдел экологической безопасности"/>
    <s v="Власов М.М."/>
    <s v="На бумажном носителе"/>
    <s v="С ограничением по срокам "/>
    <d v="2021-10-12T00:00:00"/>
    <d v="2022-12-31T00:00:00"/>
    <s v="Д-30"/>
    <s v="Экологический мониторинг месторождений"/>
    <s v="Не предполагает взаиморасчетов"/>
    <s v=""/>
    <s v=""/>
    <s v=""/>
    <s v=""/>
    <s v=""/>
    <s v=""/>
    <s v=""/>
    <s v="нет"/>
    <s v="нет"/>
    <s v=""/>
    <s v=""/>
    <s v=""/>
    <s v=""/>
    <s v="нет"/>
  </r>
  <r>
    <s v="Газпромнефть-ГЕО, ООО"/>
    <s v="0000062701"/>
    <s v="Зарегистрирован"/>
    <d v="2022-07-15T00:00:00"/>
    <s v=""/>
    <x v="212"/>
    <s v="6318166129"/>
    <s v="ГЕО-22/11000/00097/Р"/>
    <s v=""/>
    <s v="1"/>
    <s v="Типовой ДД"/>
    <x v="0"/>
    <s v="00000 ДС на изменение реквизитов контрагента (адрес, счет)"/>
    <s v="00682-22"/>
    <s v=""/>
    <s v="00000 ДС на изменение реквизитов контрагента (адрес, счет)"/>
    <s v="Изменение банковских реквизитов"/>
    <s v="Шолохова И.А."/>
    <s v="Салахутдинов Р.С."/>
    <s v="Договорный документ"/>
    <s v="Управление проектно-изыскательских работ"/>
    <s v="Перфильев Д.А."/>
    <s v="На бумажном носителе"/>
    <s v="До исполнения обязательств"/>
    <d v="2022-07-15T00:00:00"/>
    <s v=""/>
    <s v="Д-61"/>
    <s v="Капитальное строительство и ПИР"/>
    <s v="Не предполагает взаиморасчетов"/>
    <s v="Стоимостной"/>
    <s v=""/>
    <s v=""/>
    <s v=""/>
    <s v=""/>
    <s v=""/>
    <s v=""/>
    <s v="нет"/>
    <s v="нет"/>
    <s v=""/>
    <s v=""/>
    <s v=""/>
    <s v=""/>
    <s v="нет"/>
  </r>
  <r>
    <s v="Газпромнефть-ГЕО, ООО"/>
    <s v="0000067554"/>
    <s v="Зарегистрирован"/>
    <d v="2021-10-12T00:00:00"/>
    <s v=""/>
    <x v="208"/>
    <s v="7204168131"/>
    <s v=" ГЕО-20/10924/00055/Р"/>
    <s v=""/>
    <s v="5"/>
    <s v="Нетиповой ДД"/>
    <x v="0"/>
    <s v=""/>
    <s v="00683-21"/>
    <s v=""/>
    <s v="Дополнительное соглашение № 5 к Договору на выполнение работ по экологическому мониторингу месторождений № ГЕО-20/10924/00055/Р от 05 марта 2020 г."/>
    <s v="Включение условий о начале обмена ЭДО"/>
    <s v="Липатова О.И."/>
    <s v=""/>
    <s v="Договорный документ"/>
    <s v="Отдел экологической безопасности"/>
    <s v="Власов М.М."/>
    <s v="На бумажном носителе"/>
    <s v="С ограничением по срокам "/>
    <d v="2021-10-12T00:00:00"/>
    <d v="2022-12-31T00:00:00"/>
    <s v="Д-30"/>
    <s v="Экологический мониторинг месторождений"/>
    <s v="Не предполагает взаиморасчетов"/>
    <s v=""/>
    <s v=""/>
    <s v=""/>
    <s v=""/>
    <s v=""/>
    <s v=""/>
    <s v=""/>
    <s v="нет"/>
    <s v="нет"/>
    <s v=""/>
    <s v=""/>
    <s v=""/>
    <s v=""/>
    <s v="нет"/>
  </r>
  <r>
    <s v="Газпромнефть-ГЕО, ООО"/>
    <s v="0000076283"/>
    <s v="Зарегистрирован"/>
    <d v="2022-07-25T00:00:00"/>
    <s v=""/>
    <x v="28"/>
    <s v="4501174492"/>
    <s v="ГЕО-22/11000/00030/Р"/>
    <s v=""/>
    <s v="2"/>
    <s v="Типовой ДД"/>
    <x v="0"/>
    <s v="00000 ДС на изменение реквизитов контрагента (адрес, счет)"/>
    <s v="00683-22"/>
    <s v=""/>
    <s v="00000 ДС на изменение реквизитов контрагента (адрес, счет)"/>
    <s v="Изменение реквизитов"/>
    <s v="Шолохова И.А."/>
    <s v="Салахутдинов Р.С."/>
    <s v="Договорный документ"/>
    <s v="Управление проектно-изыскательских работ"/>
    <s v="Перфильев Д.А."/>
    <s v="На бумажном носителе"/>
    <s v="До исполнения обязательств"/>
    <d v="2022-07-25T00:00:00"/>
    <s v=""/>
    <s v="Д-61"/>
    <s v="Капитальное строительство и ПИР"/>
    <s v="Не предполагает взаиморасчетов"/>
    <s v="Рамочный"/>
    <s v=""/>
    <s v=""/>
    <s v=""/>
    <s v=""/>
    <s v=""/>
    <s v=""/>
    <s v="нет"/>
    <s v="нет"/>
    <s v=""/>
    <s v=""/>
    <s v=""/>
    <s v=""/>
    <s v="нет"/>
  </r>
  <r>
    <s v="Газпромнефть-ГЕО, ООО"/>
    <s v="0000067121"/>
    <s v="Закрыт"/>
    <d v="2021-10-25T00:00:00"/>
    <s v=""/>
    <x v="62"/>
    <s v="7202171361"/>
    <s v=""/>
    <s v="ГЕО-21/11708/00241"/>
    <s v="ГЕО-21/11708/00241"/>
    <s v="Нетиповой ДД"/>
    <x v="1"/>
    <s v=""/>
    <s v="00684-21"/>
    <s v=""/>
    <s v="Соглашение о намерениях"/>
    <s v="Соглашение о намерениях для подготовки к реализации экологосберегающий сейсморазведки по технологии «Зеленая сейсмика 2.0.»"/>
    <s v="Коротков С.П."/>
    <s v=""/>
    <s v="Договорный документ"/>
    <s v="Управление по разработке"/>
    <s v="Аксенов М.А."/>
    <s v="На бумажном носителе"/>
    <s v="Без сроков "/>
    <d v="2021-10-25T00:00:00"/>
    <s v=""/>
    <s v=""/>
    <s v="НИОКР, НИР прочие"/>
    <s v="Не предполагает взаиморасчетов"/>
    <s v="Рамочный"/>
    <s v=""/>
    <s v=""/>
    <s v=""/>
    <s v=""/>
    <s v=""/>
    <s v=""/>
    <s v="нет"/>
    <s v="нет"/>
    <s v=""/>
    <s v=""/>
    <s v=""/>
    <s v=""/>
    <s v="нет"/>
  </r>
  <r>
    <s v="Газпромнефть-ГЕО, ООО"/>
    <s v="0000068442"/>
    <s v="Зарегистрирован"/>
    <d v="2022-08-03T00:00:00"/>
    <s v=""/>
    <x v="92"/>
    <s v="5611027573"/>
    <s v="№ ГЕО-19/09000/00320/Р от 20.12.2019 г."/>
    <s v=""/>
    <s v="3"/>
    <s v="Нетиповой ДД"/>
    <x v="0"/>
    <s v=""/>
    <s v="00684-22"/>
    <s v=""/>
    <s v="Соглашение к Договору № ГЕО-19/09000/00320/Р от 20.12.2019 г."/>
    <s v="Соглашение к Договору № ГЕО-19/09000/00320/Р от 20.12.2019 г. о компенсации в связи с досрочным расторжением Договора по инициативе Заказчика"/>
    <s v="Страдымов А.Г."/>
    <s v="Страдымов А.Г."/>
    <s v="Договорный документ"/>
    <s v="Блок корпоративной защиты"/>
    <s v="Масалкин Ю.В."/>
    <s v="На бумажном носителе"/>
    <s v="До исполнения обязательств"/>
    <d v="2022-08-03T00:00:00"/>
    <s v=""/>
    <s v=""/>
    <s v="Договор возмездного оказания услуг"/>
    <s v="Не предполагает взаиморасчетов"/>
    <s v=""/>
    <s v=""/>
    <s v=""/>
    <s v=""/>
    <s v=""/>
    <s v=""/>
    <s v=""/>
    <s v="нет"/>
    <s v="нет"/>
    <s v=""/>
    <s v=""/>
    <s v=""/>
    <s v=""/>
    <s v="нет"/>
  </r>
  <r>
    <s v="Газпромнефть-ГЕО, ООО"/>
    <s v="0000039714"/>
    <s v="Зарегистрирован"/>
    <d v="2023-11-28T00:00:00"/>
    <s v=""/>
    <x v="1"/>
    <s v="7734033757"/>
    <s v="ГЕО-21/10114/00257/Р"/>
    <s v=""/>
    <s v="8"/>
    <s v="Нетиповой ДД"/>
    <x v="0"/>
    <s v=""/>
    <s v="00684-23"/>
    <s v=""/>
    <s v="Дополнительное соглашение №8 к договору № ГЕО-21/10114/00257/Р от 22.11.2021 г."/>
    <s v="Перевод 254 суток работы супервайзеров из НГО в ГО в рамках 2024 года"/>
    <s v="Безруков А.А."/>
    <s v="Дакиров В.С."/>
    <s v="Договорный документ"/>
    <s v="Блок геологии и разработки"/>
    <s v="Аксенов М.А."/>
    <s v="ЭП"/>
    <s v="До исполнения обязательств"/>
    <d v="2023-11-28T00:00:00"/>
    <s v=""/>
    <s v="Д-54"/>
    <s v="Супервайзерские услуги полевых работ площадными геофизическими методами"/>
    <s v="Расходная часть"/>
    <s v="Стоимостной"/>
    <s v="20%"/>
    <s v=""/>
    <s v=""/>
    <s v="2 693 460.00"/>
    <s v="2 244 550.00"/>
    <s v="448 910.00"/>
    <s v="нет"/>
    <s v="нет"/>
    <s v=""/>
    <s v=""/>
    <s v=""/>
    <s v=""/>
    <s v="нет"/>
  </r>
  <r>
    <s v="Газпромнефть-ГЕО, ООО"/>
    <s v="0000084033"/>
    <s v="Закрыт"/>
    <d v="2021-11-01T00:00:00"/>
    <s v=""/>
    <x v="228"/>
    <s v="8903008982"/>
    <s v=""/>
    <s v="ГЕО-21/11513/00226/Р"/>
    <s v="ГЕО-21/11513/00226/Р"/>
    <s v="Нетиповой ДД"/>
    <x v="1"/>
    <s v=""/>
    <s v="00685-21"/>
    <s v=""/>
    <s v="Соглашение об установлении сервитута"/>
    <s v="установление сервитута на часть земельного участка с кадастровым номером 89:04:000000:4591 площадью 351 467 кв. м для объекта «Площадка поисково-оценочной скважины №1 на Северо-Ямбургском ЛУ. Проезд до водозабора летний вариант» "/>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11-01T00:00:00"/>
    <d v="2022-03-31T00:00:00"/>
    <s v="Д-22"/>
    <s v="Выполнение комплекса топографо-геодезических, землеустроительных и лесоустроительных  работ "/>
    <s v="Расходная часть"/>
    <s v="Стоимостной"/>
    <s v="0%"/>
    <s v=""/>
    <s v=""/>
    <n v="732.22"/>
    <n v="732.22"/>
    <n v="0"/>
    <s v="нет"/>
    <s v="нет"/>
    <s v=""/>
    <s v=""/>
    <s v=""/>
    <s v=""/>
    <s v="нет"/>
  </r>
  <r>
    <s v="Газпромнефть-ГЕО, ООО"/>
    <s v="0000102205"/>
    <s v="Закрыт"/>
    <d v="2022-07-01T00:00:00"/>
    <s v=""/>
    <x v="14"/>
    <s v="9715287189"/>
    <s v="ГЕО-22/20000/00027/Д"/>
    <s v=""/>
    <s v="1"/>
    <s v="Нетиповой ДД"/>
    <x v="0"/>
    <s v=""/>
    <s v="00685-22"/>
    <s v=""/>
    <s v="ДС №1 к ГЕО-22/20000/00027/Д с ООО &quot;Дан Групп&quot;"/>
    <s v="Продление срока действия договора и увеличение суммы"/>
    <s v="Титова Е.В."/>
    <s v="Титова Е.В."/>
    <s v="Договорный документ"/>
    <s v="Блок снабжения и закупок"/>
    <s v="Титов А.В."/>
    <s v="На бумажном носителе"/>
    <s v="С ограничением по срокам "/>
    <d v="2022-07-01T00:00:00"/>
    <d v="2022-12-31T00:00:00"/>
    <s v="Д-56"/>
    <s v="Агентский договор"/>
    <s v="Доходная часть"/>
    <s v="Агентский"/>
    <s v="20%"/>
    <s v=""/>
    <s v=""/>
    <s v="192 473.59"/>
    <s v="160 394.66"/>
    <s v="32 078.93"/>
    <s v="нет"/>
    <s v="нет"/>
    <s v=""/>
    <s v=""/>
    <s v=""/>
    <s v=""/>
    <s v="нет"/>
  </r>
  <r>
    <s v="Газпромнефть-ГЕО, ООО"/>
    <s v="0000019598"/>
    <s v="Зарегистрирован"/>
    <d v="2023-12-01T00:00:00"/>
    <s v=""/>
    <x v="63"/>
    <s v="9909012867"/>
    <s v="ГЕО-19/11708/00134/Р"/>
    <s v=""/>
    <s v="15"/>
    <s v="Нетиповой ДД"/>
    <x v="3"/>
    <s v=""/>
    <s v="00685-23"/>
    <s v=""/>
    <s v="Комплексная интерпретация сейсморазведочных данных МОГТ-3D и МОГТ-2D в пределах Северо-Самбургского и прилегающих участках, полученных в 1980-2018 гг"/>
    <s v="Выполнение работ по комплексной интерпретации сейсморазведочных данных МОГТ-3D и МОГТ-2D в пределах Северо-Самбургского и прилегающих участках, полученных в 1980-2018 гг для исполнения обязательств перед Меретояханефтегаз"/>
    <s v="Мурзин Р.Р."/>
    <s v="Мурзин Р.Р."/>
    <s v="Договорный документ"/>
    <s v="Управление сейсморазведочных работ"/>
    <s v="Аксенов М.А."/>
    <s v="На бумажном носителе"/>
    <s v="С ограничением по срокам "/>
    <d v="2023-12-01T00:00:00"/>
    <d v="2024-12-2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53 992 200.00"/>
    <s v="44 993 500.00"/>
    <s v="8 998 700.00"/>
    <s v="нет"/>
    <s v="нет"/>
    <s v=""/>
    <s v=""/>
    <s v=""/>
    <s v=""/>
    <s v="нет"/>
  </r>
  <r>
    <s v="Газпромнефть-ГЕО, ООО"/>
    <s v="0000084033"/>
    <s v="Закрыт"/>
    <d v="2021-11-01T00:00:00"/>
    <s v=""/>
    <x v="228"/>
    <s v="8903008982"/>
    <s v=""/>
    <s v="ГЕО-21/11513/00227/Р"/>
    <s v="ГЕО-21/11513/00227/Р"/>
    <s v="Нетиповой ДД"/>
    <x v="1"/>
    <s v=""/>
    <s v="00686-21"/>
    <s v=""/>
    <s v="Cоглашение об установлении сервитута"/>
    <s v="установление сервитута на части земельных участков с кадастровыми номерами 89:04:000000:4591, 89:04:010903:351, 89:04:010902:43, на общую площадь 563 393 кв. м., для объекта «Автозимник на площадку скважины 1 ПО Северо-Ямбургского ЛУ. Проезд до водозабора зимний вариант»"/>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11-01T00:00:00"/>
    <d v="2022-03-31T00:00:00"/>
    <s v="Д-22"/>
    <s v="Выполнение комплекса топографо-геодезических, землеустроительных и лесоустроительных  работ "/>
    <s v="Расходная часть"/>
    <s v="Стоимостной"/>
    <s v="0%"/>
    <s v=""/>
    <s v=""/>
    <s v="1 173.74"/>
    <s v="1 173.74"/>
    <n v="0"/>
    <s v="нет"/>
    <s v="нет"/>
    <s v=""/>
    <s v=""/>
    <s v=""/>
    <s v=""/>
    <s v="нет"/>
  </r>
  <r>
    <s v="Газпромнефть-ГЕО, ООО"/>
    <s v="0000102205"/>
    <s v="Зарегистрирован"/>
    <d v="2022-01-04T00:00:00"/>
    <s v=""/>
    <x v="14"/>
    <s v="9715287189"/>
    <s v=""/>
    <s v="ГЕО-22/33100/00175"/>
    <s v="ГЕО-22/33100/00175"/>
    <s v="Типовой ДД"/>
    <x v="1"/>
    <s v="33100 Соглашение в области производственной безопасности"/>
    <s v="00686-22"/>
    <s v=""/>
    <s v="33100 Соглашение в области производственной безопасности"/>
    <s v="СОГЛАШЕНИЕ В ОБЛАСТИ ПРОИЗВОДСТВЕННОЙ БЕЗОПАСНОСТИ_x000d__x000a__x000d__x000a_"/>
    <s v="Калугина С.Б."/>
    <s v="Галлямов Р.Ю."/>
    <s v="Договорный документ"/>
    <s v="Департамент капитального строительства"/>
    <s v="Перфильев Д.А."/>
    <s v="На бумажном носителе"/>
    <s v="До исполнения обязательств"/>
    <d v="2022-01-04T00:00:00"/>
    <s v=""/>
    <s v="Д-6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4810"/>
    <s v="Зарегистрирован"/>
    <d v="2023-12-01T00:00:00"/>
    <s v=""/>
    <x v="211"/>
    <s v="7714372367"/>
    <s v="ГЕО-23/10000/00173/Р"/>
    <s v=""/>
    <s v="2"/>
    <s v="Нетиповой ДД"/>
    <x v="7"/>
    <s v=""/>
    <s v="00686-23"/>
    <s v=""/>
    <s v="Заявка №2"/>
    <s v="Заключение в рамках исполнения договора "/>
    <s v="Переслегин М.В."/>
    <s v="Переслегин М.В."/>
    <s v="Договорный документ"/>
    <s v="Проект &quot;Западно-Зимнее&quot;"/>
    <s v="Аксенов М.А."/>
    <s v="ЭП"/>
    <s v="С ограничением по срокам "/>
    <d v="2023-12-01T00:00:00"/>
    <d v="2023-12-1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6 952 939.99"/>
    <s v="5 794 116.66"/>
    <s v="1 158 823.33"/>
    <s v="нет"/>
    <s v="нет"/>
    <s v=""/>
    <s v=""/>
    <s v=""/>
    <s v=""/>
    <s v="нет"/>
  </r>
  <r>
    <s v="Газпромнефть-ГЕО, ООО"/>
    <s v="0000067554"/>
    <s v="Зарегистрирован"/>
    <d v="2021-10-12T00:00:00"/>
    <s v=""/>
    <x v="208"/>
    <s v="7204168131"/>
    <s v=""/>
    <s v="ГЕО-21/00000/00228"/>
    <s v="ГЕО-21/00000/00228"/>
    <s v="Типовой ДД"/>
    <x v="1"/>
    <s v="00000 Соглашение об электронном документообороте"/>
    <s v="00687-21"/>
    <s v=""/>
    <s v="00000 Соглашение об электронном документообороте"/>
    <s v="Переход на электронный документооборот, ЭДО"/>
    <s v="Липатова О.И."/>
    <s v="Липатова О.И."/>
    <s v="Договорный документ"/>
    <s v="Отдел экологической безопасности"/>
    <s v="Власов М.М."/>
    <s v="На бумажном носителе"/>
    <s v="С ограничением по срокам "/>
    <d v="2021-10-12T00:00:00"/>
    <d v="2022-12-31T00:00:00"/>
    <s v="Д-30"/>
    <s v="ПРОЧИЕ ДОГОВОРЫ"/>
    <s v="Не предполагает взаиморасчетов"/>
    <s v=""/>
    <s v=""/>
    <s v=""/>
    <s v=""/>
    <s v=""/>
    <s v=""/>
    <s v=""/>
    <s v="нет"/>
    <s v="нет"/>
    <s v=""/>
    <s v=""/>
    <s v=""/>
    <s v=""/>
    <s v="нет"/>
  </r>
  <r>
    <s v="Газпромнефть-ГЕО, ООО"/>
    <s v="0000084039"/>
    <s v="Зарегистрирован"/>
    <d v="2022-07-27T00:00:00"/>
    <s v=""/>
    <x v="395"/>
    <s v="3443110618"/>
    <s v="ГЕО-20/10919/00096/Р "/>
    <s v=""/>
    <s v="4"/>
    <s v="Нетиповой ДД"/>
    <x v="3"/>
    <s v=""/>
    <s v="00687-22"/>
    <s v=""/>
    <s v="Заказ № 04 к Договору № ГЕО-20/10919/00096/Р от 22.06.2020 г."/>
    <s v="Оказание услуг по разработке и согласованию проекта предельно допустимых выбросов (ПДВ (ВСВ)) до 20 источников, в том числе для веществ I, II класса опасности – 2 документа в составе единого проекта ПДВ"/>
    <s v="Липатова О.И."/>
    <s v="Липатова О.И."/>
    <s v="Договорный документ"/>
    <s v="Отдел экологической безопасности"/>
    <s v="Власов М.М."/>
    <s v="На бумажном носителе"/>
    <s v="С ограничением по срокам "/>
    <d v="2022-07-27T00:00:00"/>
    <d v="2022-10-01T00:00:00"/>
    <s v="Д-59"/>
    <s v="Договор возмездного оказания услуг"/>
    <s v="Не предполагает взаиморасчетов"/>
    <s v=""/>
    <s v=""/>
    <s v=""/>
    <s v=""/>
    <s v=""/>
    <s v=""/>
    <s v=""/>
    <s v="нет"/>
    <s v="нет"/>
    <s v=""/>
    <s v=""/>
    <s v=""/>
    <s v=""/>
    <s v="нет"/>
  </r>
  <r>
    <s v="Газпромнефть-ГЕО, ООО"/>
    <s v="0000074810"/>
    <s v="Зарегистрирован"/>
    <d v="2023-12-01T00:00:00"/>
    <s v=""/>
    <x v="211"/>
    <s v="7714372367"/>
    <s v="ГЕО-23/10000/00173/Р"/>
    <s v=""/>
    <s v="3"/>
    <s v="Нетиповой ДД"/>
    <x v="7"/>
    <s v=""/>
    <s v="00687-23"/>
    <s v=""/>
    <s v="Заявка №3 к договору №ГЕО-23/10000/00173/Р от 01.11.2023 г."/>
    <s v="Заключение в рамках исполнения договора "/>
    <s v="Переслегин М.В."/>
    <s v="Переслегин М.В."/>
    <s v="Договорный документ"/>
    <s v="Проект &quot;Западно-Зимнее&quot;"/>
    <s v="Аксенов М.А."/>
    <s v="ЭП"/>
    <s v="С ограничением по срокам "/>
    <d v="2023-12-01T00:00:00"/>
    <d v="2023-12-1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6 952 939.99"/>
    <s v="5 794 116.66"/>
    <s v="1 158 823.33"/>
    <s v="нет"/>
    <s v="нет"/>
    <s v=""/>
    <s v=""/>
    <s v=""/>
    <s v=""/>
    <s v="нет"/>
  </r>
  <r>
    <s v="Газпромнефть-ГЕО, ООО"/>
    <s v="0000056254"/>
    <s v="Зарегистрирован"/>
    <d v="2022-08-05T00:00:00"/>
    <s v=""/>
    <x v="23"/>
    <s v="7839415866"/>
    <s v="ГЕО-18/00000/00071/Р  "/>
    <s v=""/>
    <s v="8"/>
    <s v="Нетиповой ДД"/>
    <x v="0"/>
    <s v=""/>
    <s v="00688-22"/>
    <s v=""/>
    <s v="Дополнительное согласшение на оказание охранных услуг "/>
    <s v="Пролангация основного договора без увеличения его общей стоимости."/>
    <s v="Глухарева Ю.Б."/>
    <s v="Глухарева Ю.Б."/>
    <s v="Договорный документ"/>
    <s v="Блок корпоративной защиты"/>
    <s v="Агеев П.А."/>
    <s v="ЭП"/>
    <s v="С ограничением по срокам "/>
    <d v="2022-11-01T00:00:00"/>
    <d v="2023-12-31T00:00:00"/>
    <s v="Д-52"/>
    <s v="Договор возмездного оказания услуг"/>
    <s v="Расходная часть"/>
    <s v="Стоимостной"/>
    <s v="20%"/>
    <s v=""/>
    <s v=""/>
    <s v="11 989 968.55"/>
    <s v="9 991 640.46"/>
    <s v="1 998 328.09"/>
    <s v="нет"/>
    <s v="нет"/>
    <s v=""/>
    <s v=""/>
    <s v=""/>
    <s v=""/>
    <s v="нет"/>
  </r>
  <r>
    <s v="Газпромнефть-ГЕО, ООО"/>
    <s v="0000074810"/>
    <s v="Зарегистрирован"/>
    <d v="2023-12-01T00:00:00"/>
    <s v=""/>
    <x v="211"/>
    <s v="7714372367"/>
    <s v="ГЕО-23/10000/00173/Р"/>
    <s v=""/>
    <s v="4"/>
    <s v="Нетиповой ДД"/>
    <x v="7"/>
    <s v=""/>
    <s v="00688-23"/>
    <s v=""/>
    <s v="Заявка №4"/>
    <s v="Заключение в рамках исполнения договора "/>
    <s v="Переслегин М.В."/>
    <s v="Переслегин М.В."/>
    <s v="Договорный документ"/>
    <s v="Проект &quot;Западно-Зимнее&quot;"/>
    <s v="Аксенов М.А."/>
    <s v="ЭП"/>
    <s v="С ограничением по срокам "/>
    <d v="2023-12-01T00:00:00"/>
    <d v="2023-12-1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5 098 822.66"/>
    <s v="4 249 018.88"/>
    <s v="849 803.78"/>
    <s v="нет"/>
    <s v="нет"/>
    <s v=""/>
    <s v=""/>
    <s v=""/>
    <s v=""/>
    <s v="нет"/>
  </r>
  <r>
    <s v="Газпромнефть-ГЕО, ООО"/>
    <s v="0000047108"/>
    <s v="Зарегистрирован"/>
    <d v="2022-07-14T00:00:00"/>
    <s v=""/>
    <x v="19"/>
    <s v="3245502148"/>
    <s v="ГЕО-20/09000/00182/Д"/>
    <s v=""/>
    <s v="4"/>
    <s v="Нетиповой ДД"/>
    <x v="0"/>
    <s v=""/>
    <s v="00689-22"/>
    <s v=""/>
    <s v="ДС № 4 к Операторскому соглашению"/>
    <s v="Операторское соглашение "/>
    <s v="Кошелева Ю.В."/>
    <s v="Кошелева Ю.В."/>
    <s v="Договорный документ"/>
    <s v="Управление экономического планирования и анализа"/>
    <s v="Масалкин Ю.В."/>
    <s v="На бумажном носителе"/>
    <s v="С ограничением по срокам "/>
    <d v="2022-07-14T00:00:00"/>
    <d v="2022-12-31T00:00:00"/>
    <s v=""/>
    <s v="Договор возмездного оказания услуг"/>
    <s v="Доходная часть"/>
    <s v="Стоимостной"/>
    <s v="20%"/>
    <s v=""/>
    <s v=""/>
    <s v="3 942 418 682.98"/>
    <s v="3 285 348 902.48"/>
    <s v="657 069 780.50"/>
    <s v="нет"/>
    <s v="нет"/>
    <s v=""/>
    <s v=""/>
    <s v=""/>
    <s v=""/>
    <s v="нет"/>
  </r>
  <r>
    <s v="Газпромнефть-ГЕО, ООО"/>
    <s v="0000074810"/>
    <s v="Зарегистрирован"/>
    <d v="2023-12-01T00:00:00"/>
    <s v=""/>
    <x v="211"/>
    <s v="7714372367"/>
    <s v="ГЕО-23/10000/00173/Р"/>
    <s v=""/>
    <s v="5"/>
    <s v="Нетиповой ДД"/>
    <x v="7"/>
    <s v=""/>
    <s v="00689-23"/>
    <s v=""/>
    <s v="Заявка №5 к договору №ГЕО-23/10000/00173/Р от 01.11.2023 г."/>
    <s v="Заключение в рамках исполнения договора "/>
    <s v="Переслегин М.В."/>
    <s v="Переслегин М.В."/>
    <s v="Договорный документ"/>
    <s v="Проект &quot;Западно-Зимнее&quot;"/>
    <s v="Аксенов М.А."/>
    <s v="ЭП"/>
    <s v="С ограничением по срокам "/>
    <d v="2023-12-01T00:00:00"/>
    <d v="2023-12-1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 781 176.00"/>
    <s v="2 317 646.67"/>
    <s v="463 529.33"/>
    <s v="нет"/>
    <s v="нет"/>
    <s v=""/>
    <s v=""/>
    <s v=""/>
    <s v=""/>
    <s v="нет"/>
  </r>
  <r>
    <s v="Газпромнефть-ГЕО, ООО"/>
    <s v="0000037846"/>
    <s v="Зарегистрирован"/>
    <d v="2021-10-08T00:00:00"/>
    <s v=""/>
    <x v="26"/>
    <s v="8905032518"/>
    <s v="ГЕО-19/10363/00336/Р/ДРД-19-02/09000/1785 от 24.12.2019"/>
    <s v=""/>
    <s v="2"/>
    <s v="Нетиповой ДД"/>
    <x v="0"/>
    <s v=""/>
    <s v="00690-21"/>
    <s v=""/>
    <s v="Дополнительное соглашение №2"/>
    <s v="Уточнение некоторых условий Договора"/>
    <s v="Мячина М.В."/>
    <s v="Мячина М.В."/>
    <s v="Договорный документ"/>
    <s v="Отдел подготовительных работ и экономического анализа"/>
    <s v="Масалкин Ю.В."/>
    <s v="На бумажном носителе"/>
    <s v="До исполнения обязательств"/>
    <d v="2021-10-08T00:00:00"/>
    <s v=""/>
    <s v=""/>
    <s v="Сбор и передача данных, формирование отчётности, архивирование, визуализация, предоставление каналов связи."/>
    <s v="Не предполагает взаиморасчетов"/>
    <s v=""/>
    <s v=""/>
    <s v=""/>
    <s v=""/>
    <s v=""/>
    <s v=""/>
    <s v=""/>
    <s v="нет"/>
    <s v="нет"/>
    <s v=""/>
    <s v=""/>
    <s v=""/>
    <s v=""/>
    <s v="нет"/>
  </r>
  <r>
    <s v="Газпромнефть-ГЕО, ООО"/>
    <s v="0000045789"/>
    <s v="Зарегистрирован"/>
    <d v="2022-05-17T00:00:00"/>
    <s v=""/>
    <x v="16"/>
    <s v="7838395487"/>
    <s v="ГЕО-21/11708/00165/Р//НТЦ-21/09000/00768/Д"/>
    <s v=""/>
    <s v="НТЦ-01997-22Д-ГЕО"/>
    <s v="Нетиповой ДД"/>
    <x v="3"/>
    <s v=""/>
    <s v="00690-22"/>
    <s v=""/>
    <s v="Организация и проведение ашурансов и КЭП по проекту АчMGI"/>
    <s v="Цель – проведение мероприятий, лучших практик и методик повышения ценности проекта с привлечением независимой кросс-функциональной экспертизы"/>
    <s v="Ябиров Р.З."/>
    <s v=""/>
    <s v="Договорный документ"/>
    <s v="Блок геологии и разработки"/>
    <s v="Аксенов М.А."/>
    <s v="На бумажном носителе"/>
    <s v="С ограничением по срокам "/>
    <d v="2022-05-17T00:00:00"/>
    <d v="2022-12-30T00:00:00"/>
    <s v="Д-54"/>
    <s v="Договор на выполнение НИР, ОКР и технологических работ"/>
    <s v="Расходная часть"/>
    <s v="Рамочный"/>
    <s v="20%"/>
    <s v=""/>
    <s v=""/>
    <s v="5 084 610.00"/>
    <s v="4 237 175.00"/>
    <s v="847 435.00"/>
    <s v="нет"/>
    <s v="нет"/>
    <s v=""/>
    <s v=""/>
    <s v=""/>
    <s v=""/>
    <s v="нет"/>
  </r>
  <r>
    <s v="Газпромнефть-ГЕО, ООО"/>
    <s v="0000074810"/>
    <s v="Зарегистрирован"/>
    <d v="2023-12-01T00:00:00"/>
    <s v=""/>
    <x v="211"/>
    <s v="7714372367"/>
    <s v="ГЕО-23/10000/00173/Р"/>
    <s v=""/>
    <s v="6"/>
    <s v="Нетиповой ДД"/>
    <x v="7"/>
    <s v=""/>
    <s v="00690-23"/>
    <s v=""/>
    <s v="Заявка №6 к договору №ГЕО-23/10000/00173/Р от 01.11.2023 г."/>
    <s v="Заключение в рамках исполнения договора "/>
    <s v="Переслегин М.В."/>
    <s v="Переслегин М.В."/>
    <s v="Договорный документ"/>
    <s v="Проект &quot;Западно-Зимнее&quot;"/>
    <s v="Аксенов М.А."/>
    <s v="ЭП"/>
    <s v="С ограничением по срокам "/>
    <d v="2023-12-01T00:00:00"/>
    <d v="2023-12-25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9 992 098.97"/>
    <s v="16 660 082.48"/>
    <s v="3 332 016.49"/>
    <s v="нет"/>
    <s v="нет"/>
    <s v=""/>
    <s v=""/>
    <s v=""/>
    <s v=""/>
    <s v="нет"/>
  </r>
  <r>
    <s v="Газпромнефть-ГЕО, ООО"/>
    <s v=""/>
    <s v="Зарегистрирован"/>
    <d v="2022-08-16T00:00:00"/>
    <s v=""/>
    <x v="418"/>
    <s v=""/>
    <s v=""/>
    <s v="ГЕО-22/09000/00184/Д"/>
    <s v="ГЕО-22/09000/00184/Д"/>
    <s v="Нетиповой ДД"/>
    <x v="2"/>
    <s v=""/>
    <s v="00691-22"/>
    <s v=""/>
    <s v="Договор управлени"/>
    <s v="В целях смены УК ООО «АСБ ГЕО» "/>
    <s v="Кошелева Ю.В."/>
    <s v="Кошелева Ю.В."/>
    <s v="Договорный документ"/>
    <s v="Управление экономического планирования и анализа"/>
    <s v="Масалкин Ю.В."/>
    <s v="На бумажном носителе"/>
    <s v="С ограничением по срокам "/>
    <d v="2022-08-16T00:00:00"/>
    <d v="2025-08-15T00:00:00"/>
    <s v=""/>
    <s v="Договор возмездного оказания услуг"/>
    <s v="Доходная часть"/>
    <s v="Стоимостной"/>
    <s v="20%"/>
    <s v=""/>
    <s v=""/>
    <s v="1 440 000.00"/>
    <s v="1 200 000.00"/>
    <s v="240 000.00"/>
    <s v="нет"/>
    <s v="нет"/>
    <s v=""/>
    <s v=""/>
    <s v=""/>
    <s v=""/>
    <s v="нет"/>
  </r>
  <r>
    <s v="Газпромнефть-ГЕО, ООО"/>
    <s v="0000076283"/>
    <s v="Зарегистрирован"/>
    <d v="2023-12-01T00:00:00"/>
    <s v=""/>
    <x v="28"/>
    <s v="4501174492"/>
    <s v="ГЕО-22/11000/00267/Р "/>
    <s v=""/>
    <s v="3"/>
    <s v="Типовой ДД"/>
    <x v="0"/>
    <s v="ДС по актуализации методологии оценки эффективности деятельности контрагентов и мотивации в области ПБ в действующих договорах"/>
    <s v="00691-23"/>
    <s v=""/>
    <s v="Дополнительное соглашение №3 к договору № ГЕО-22/11000/00267/Р от 10.10.2022 года"/>
    <s v="Актуализация ОЭДК и мотивации Подрядчика"/>
    <s v="Шолохова И.А."/>
    <s v="Салахутдинов Р.С."/>
    <s v="Договорный документ"/>
    <s v="Управление проектно-изыскательских работ"/>
    <s v="Перфильев Д.А."/>
    <s v="ЭП"/>
    <s v="До исполнения обязательств"/>
    <d v="2023-12-01T00:00:00"/>
    <s v=""/>
    <s v="Д-61"/>
    <s v="Капитальное строительство и ПИР"/>
    <s v="Не предполагает взаиморасчетов"/>
    <s v="Рамочный"/>
    <s v=""/>
    <s v=""/>
    <s v=""/>
    <s v=""/>
    <s v=""/>
    <s v=""/>
    <s v="нет"/>
    <s v="нет"/>
    <s v=""/>
    <s v=""/>
    <s v=""/>
    <s v=""/>
    <s v="нет"/>
  </r>
  <r>
    <s v="Газпромнефть-ГЕО, ООО"/>
    <s v="0000047108"/>
    <s v="Проект"/>
    <s v=""/>
    <s v=""/>
    <x v="19"/>
    <s v="3245502148"/>
    <s v=""/>
    <s v=""/>
    <s v=""/>
    <s v="Нетиповой ДД"/>
    <x v="1"/>
    <s v=""/>
    <s v="00692-21"/>
    <s v=""/>
    <s v="ПЛАН РЕАЛИЗАЦИИ УЛУЧШЕНИЙ ИСПОЛНИТЕЛЯ К ОПЕРАТОРСКОМУ СОГЛАШЕНИЮ"/>
    <s v="План реализации улучшений Исполнителя (в дополнение к первоначальному Плану реализации улучшений Исполнителя от 24.05.2021)."/>
    <s v="Михайлов Ю.А."/>
    <s v="Михайлов Ю.А."/>
    <s v="Договорный документ"/>
    <s v="Кластер «Интеграция, совместные предприятия, зарубежные активы»"/>
    <s v="Масалкин Ю.В."/>
    <s v="На бумажном носителе"/>
    <s v="До исполнения обязательств"/>
    <d v="2021-10-12T00:00:00"/>
    <s v=""/>
    <s v=""/>
    <s v=""/>
    <s v="Не предполагает взаиморасчетов"/>
    <s v=""/>
    <s v=""/>
    <s v=""/>
    <s v=""/>
    <s v=""/>
    <s v=""/>
    <s v=""/>
    <s v="нет"/>
    <s v="нет"/>
    <s v=""/>
    <s v=""/>
    <s v=""/>
    <s v=""/>
    <s v="нет"/>
  </r>
  <r>
    <s v="Газпромнефть-ГЕО, ООО"/>
    <s v="0000076851"/>
    <s v="Зарегистрирован"/>
    <d v="2023-12-01T00:00:00"/>
    <s v=""/>
    <x v="48"/>
    <s v="2466091092"/>
    <s v="ГЕО-22/11000/00274/Р"/>
    <s v=""/>
    <s v="3"/>
    <s v="Типовой ДД"/>
    <x v="0"/>
    <s v="ДС по актуализации методологии оценки эффективности деятельности контрагентов и мотивации в области ПБ в действующих договорах"/>
    <s v="00692-23"/>
    <s v=""/>
    <s v="Дополнительнон соглашение №3 к договору № ГЕО-22/11000/00274/Р от 14.10.2022г."/>
    <s v="Актуализация ОЭДК"/>
    <s v="Шолохова И.А."/>
    <s v="Салахутдинов Р.С."/>
    <s v="Договорный документ"/>
    <s v="Управление проектно-изыскательских работ"/>
    <s v="Перфильев Д.А."/>
    <s v="ЭП"/>
    <s v="До исполнения обязательств"/>
    <d v="2023-12-01T00:00:00"/>
    <s v=""/>
    <s v="Д-61"/>
    <s v="Капитальное строительство и ПИР"/>
    <s v="Не предполагает взаиморасчетов"/>
    <s v=""/>
    <s v=""/>
    <s v=""/>
    <s v=""/>
    <s v=""/>
    <s v=""/>
    <s v=""/>
    <s v="нет"/>
    <s v="нет"/>
    <s v=""/>
    <s v=""/>
    <s v=""/>
    <s v=""/>
    <s v="нет"/>
  </r>
  <r>
    <s v="Газпромнефть-ГЕО, ООО"/>
    <s v=""/>
    <s v="Закрыт"/>
    <d v="2021-10-18T00:00:00"/>
    <s v=""/>
    <x v="404"/>
    <s v=""/>
    <s v=""/>
    <s v="ГЕО-21/26000/00234/Р"/>
    <s v="ГЕО-21/26000/00234/Р"/>
    <s v="Типовой ДД"/>
    <x v="1"/>
    <s v="26000 Договор о конфиденциальности с физическим лицом"/>
    <s v="00693-21"/>
    <s v=""/>
    <s v="26000 Договор о конфиденциальности с физическим лицом"/>
    <s v="Получение услуг по договору ГПХ"/>
    <s v="Белов Л.К."/>
    <s v="Белов Л.К."/>
    <s v="Договорный документ"/>
    <s v="Управление инвестиционного планирования"/>
    <s v="Масалкин Ю.В."/>
    <s v="На бумажном носителе"/>
    <s v="С ограничением по срокам "/>
    <d v="2021-10-18T00:00:00"/>
    <d v="2022-01-28T00:00:00"/>
    <s v=""/>
    <s v="Соглашение о конфиденциальности"/>
    <s v="Расходная часть"/>
    <s v="Стоимостной"/>
    <s v="13%"/>
    <s v=""/>
    <s v=""/>
    <s v="120 000.00"/>
    <s v="104 400.00"/>
    <s v="15 600.00"/>
    <s v="нет"/>
    <s v="нет"/>
    <s v=""/>
    <s v=""/>
    <s v=""/>
    <s v=""/>
    <s v="нет"/>
  </r>
  <r>
    <s v="Газпромнефть-ГЕО, ООО"/>
    <s v="0000066687"/>
    <s v="Зарегистрирован"/>
    <d v="2022-08-03T00:00:00"/>
    <s v=""/>
    <x v="161"/>
    <s v="9909012867"/>
    <s v=""/>
    <s v="ГЕО-22/10000/00179/Р"/>
    <s v="ГЕО-22/10000/00179/Р"/>
    <s v="Типовой ДД"/>
    <x v="2"/>
    <s v="10552 Договор на оказание услуг по освоению скважин через сепарационную установку"/>
    <s v="00693-22"/>
    <s v=""/>
    <s v="10552 Договор на оказание услуг по освоению скважин через сепарационную установку"/>
    <s v="Оказание услуг по освоению скважин через сепарационную установку"/>
    <s v="Коваленко М.В."/>
    <s v="Бикташев Руслан Станиславович"/>
    <s v="Договорный документ"/>
    <s v="Управление закупок работ и услуг"/>
    <s v="Перфильев Д.А."/>
    <s v="На бумажном носителе"/>
    <s v="С ограничением по срокам "/>
    <d v="2022-08-01T00:00:00"/>
    <d v="2023-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35 991 156.00"/>
    <s v="279 992 630.00"/>
    <s v="55 998 526.00"/>
    <s v="нет"/>
    <s v="нет"/>
    <s v=""/>
    <s v=""/>
    <s v=""/>
    <s v=""/>
    <s v="нет"/>
  </r>
  <r>
    <s v="Газпромнефть-ГЕО, ООО"/>
    <s v="0000076851"/>
    <s v="Зарегистрирован"/>
    <d v="2023-11-30T00:00:00"/>
    <s v=""/>
    <x v="48"/>
    <s v="2466091092"/>
    <s v=""/>
    <s v="ГЕО-23/33200/00201"/>
    <s v="ГЕО-23/33200/00201"/>
    <s v="Типовой ДД"/>
    <x v="1"/>
    <s v="33200 Соглашение об электронном документообороте"/>
    <s v="00693-23"/>
    <s v=""/>
    <s v="33200 Соглашение об электронном документообороте"/>
    <s v="Соглашение об использовании электронного документооборота"/>
    <s v="Шолохова И.А."/>
    <s v="Салахутдинов Р.С."/>
    <s v="Договорный документ"/>
    <s v="Управление проектно-изыскательских работ"/>
    <s v="Ковтун М.А."/>
    <s v="ЭП"/>
    <s v="До исполнения обязательств"/>
    <d v="2023-11-3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9486"/>
    <s v="Закрыт"/>
    <d v="2021-10-01T00:00:00"/>
    <s v=""/>
    <x v="333"/>
    <s v="5504233490"/>
    <s v=""/>
    <s v="ГЕО-21/09000/00251/Р"/>
    <s v="ГЕО-21/09000/00251/Р"/>
    <s v="Нетиповой ДД"/>
    <x v="2"/>
    <s v=""/>
    <s v="00694-21"/>
    <s v=""/>
    <s v="На оказание консультационных услуг (методическое сопровождение) в области гидрометеорологии и смежных с ней областях"/>
    <s v=" Оказание консультационных услуг (методическое сопровождение) в области гидрометеорологии и смежных с ней областях"/>
    <s v="Хисамутдинов С.И."/>
    <s v="Хисамутдинов С.И."/>
    <s v="Договорный документ"/>
    <s v="Производственно-технологический департамент"/>
    <s v="Масалкин Ю.В."/>
    <s v="На бумажном носителе"/>
    <s v="С ограничением по срокам "/>
    <d v="2021-10-01T00:00:00"/>
    <d v="2022-03-31T00:00:00"/>
    <s v=""/>
    <s v="Договор возмездного оказания услуг"/>
    <s v="Расходная часть"/>
    <s v="Стоимостной"/>
    <s v="20%"/>
    <s v=""/>
    <s v=""/>
    <s v="500 000.00"/>
    <s v="416 666.67"/>
    <s v="83 333.33"/>
    <s v="нет"/>
    <s v="да"/>
    <s v="100"/>
    <s v="500 000,00"/>
    <s v=""/>
    <s v=""/>
    <s v="нет"/>
  </r>
  <r>
    <s v="Газпромнефть-ГЕО, ООО"/>
    <s v="0000088405"/>
    <s v="Зарегистрирован"/>
    <d v="2023-12-01T00:00:00"/>
    <s v=""/>
    <x v="169"/>
    <s v="6312086734"/>
    <s v="ГЕО-20/10838/00020/Р"/>
    <s v=""/>
    <s v="7"/>
    <s v="Нетиповой ДД"/>
    <x v="0"/>
    <s v=""/>
    <s v="00694-23"/>
    <s v=""/>
    <s v="Дополнительное соглашение к договору №ГЕО-20/10838/00020/Р от 01.02.2020 по перераспределение между гарант. и негарант. объёмами работ"/>
    <s v="Приведение негарантированного объема работ в гарантированный на 2023г. по проекту Оморинсчкий в связи с производственной необходимостью. "/>
    <s v="Забиров А.А."/>
    <s v="Забиров А.А."/>
    <s v="Договорный документ"/>
    <s v="Производственно-технологический департамент"/>
    <s v="Перфильев Д.А."/>
    <s v="ЭП"/>
    <s v="С ограничением по срокам "/>
    <d v="2023-12-01T00:00:00"/>
    <d v="2023-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76 320.52"/>
    <s v="230 267.10"/>
    <s v="46 053.42"/>
    <s v="нет"/>
    <s v="нет"/>
    <s v=""/>
    <s v=""/>
    <s v=""/>
    <s v=""/>
    <s v="нет"/>
  </r>
  <r>
    <s v="Газпромнефть-ГЕО, ООО"/>
    <s v="0000008602"/>
    <s v="Зарегистрирован"/>
    <d v="2021-09-01T00:00:00"/>
    <s v=""/>
    <x v="32"/>
    <s v="5504036333"/>
    <s v="ГЕО-21/09000/00044/Д"/>
    <s v=""/>
    <s v="1"/>
    <s v="Нетиповой ДД"/>
    <x v="0"/>
    <s v=""/>
    <s v="00695-21"/>
    <s v=""/>
    <s v="Региональная стратегия ГРР и освоения Нерутинской зоны. Формирование геологического концепта и предпосылок по разработке Медвежьего кластера."/>
    <s v="Изменение сроков выполнения работ по первому этапу"/>
    <s v="Андреева И.В."/>
    <s v="Ибрагимов А.М."/>
    <s v="Договорный документ"/>
    <s v="Управление экономического планирования и анализа"/>
    <s v="Ковтун М.А."/>
    <s v="На бумажном носителе"/>
    <s v="С ограничением по срокам "/>
    <d v="2021-09-01T00:00:00"/>
    <d v="2021-12-31T00:00:00"/>
    <s v="Д-5"/>
    <s v="Договор возмездного оказания услуг"/>
    <s v="Доходная часть"/>
    <s v="Стоимостной"/>
    <s v="20%"/>
    <s v=""/>
    <s v=""/>
    <s v="89 199 021.60"/>
    <s v="74 332 518.00"/>
    <s v="14 866 503.60"/>
    <s v="нет"/>
    <s v="нет"/>
    <s v=""/>
    <s v=""/>
    <s v=""/>
    <s v=""/>
    <s v="нет"/>
  </r>
  <r>
    <s v="Газпромнефть-ГЕО, ООО"/>
    <s v="0000066687"/>
    <s v="Зарегистрирован"/>
    <d v="2021-10-25T00:00:00"/>
    <s v=""/>
    <x v="161"/>
    <s v="9909012867"/>
    <s v=""/>
    <s v="ГЕО-21/10430/00237/Р"/>
    <s v="ГЕО-21/10430/00237/Р"/>
    <s v="Типовой ДД"/>
    <x v="2"/>
    <s v="10408, 10411, 10412, 10413, 10430 Мастер-форма договора по услугам 10408 «Ликвидация аварий (прокат аварийного оборудования, инженерное сопровождение) по направлению ТКРС и сопутствующих услуг при ТКРС», 10411 «Разработка технологии, использование инженерного сопровождения и собственного оборудования для спуска не цементируемых хвостовиков и хвостовиков с прямым и ступенчатым цементированием (с фильтром) при проведении ТКРС», 10412 «Ликвидация аварий с применением химического трубореза (прокат оборудования, инженерное сопровождение) по направлению ТКРС и сопутствующих услуг при ТКРС», 10413 «Восстановление забоя с применением универсальных многоцикличных желонок (прокат оборудования, инженерное сопровождение) по направлению ТКРС и сопутствующих услуг при ТКРС», 10430 «Инженерное и технол.."/>
    <s v="00696-21"/>
    <s v=""/>
    <s v="10408, 10411, 10412, 10413, 10430 Мастер-форма договора по услугам 10408 «Ликвидация аварий (прокат аварийного оборудования, инженерное сопровождение) по направлению ТКРС и сопутствующих услуг при ТКРС», 10411 «Разработка технологии, использование инженерного сопровождения и собственного оборудования для спуска не цементируемых хвостовиков и хвостовиков с прямым и ступенчатым цементированием (с фильтром) при проведении ТКРС», 10412 «Ликвидация аварий с применением химического трубореза (прокат оборудования, инженерное сопровождение) по направлению ТКРС и сопутствующих услуг при ТКРС», 10413 «Восстановление забоя с применением универсальных многоцикличных желонок (прокат оборудования, инженерное сопровождение) по направлению ТКРС и сопутствующих услуг при ТКРС», 10430 «Инженерное и технол.."/>
    <s v="Заключение договора для проекта &quot;Енисей&quot;"/>
    <s v="Лопарев В.В."/>
    <s v="Ефремов А.С."/>
    <s v="Договорный документ"/>
    <s v="Блок бурения и ВСР"/>
    <s v="Масалкин Ю.В."/>
    <s v="На бумажном носителе"/>
    <s v="С ограничением по срокам "/>
    <d v="2021-10-25T00:00:00"/>
    <d v="2024-12-31T00:00:00"/>
    <s v=""/>
    <s v="Инженерное и технологическое сопровождение работ при текущем и капитальном ремонте скважин (ТКРС)"/>
    <s v="Расходная часть"/>
    <s v="Стоимостной"/>
    <s v="20%"/>
    <s v=""/>
    <s v=""/>
    <s v="74 377 801.64"/>
    <s v="61 981 501.37"/>
    <s v="12 396 300.27"/>
    <s v="нет"/>
    <s v="нет"/>
    <s v=""/>
    <s v=""/>
    <s v=""/>
    <s v=""/>
    <s v="нет"/>
  </r>
  <r>
    <s v="Газпромнефть-ГЕО, ООО"/>
    <s v="0000104253"/>
    <s v="Зарегистрирован"/>
    <d v="2022-08-01T00:00:00"/>
    <s v=""/>
    <x v="254"/>
    <s v="7813297921"/>
    <s v="ГЕО-22/09000/00106/Р"/>
    <s v=""/>
    <s v="1"/>
    <s v="Нетиповой ДД"/>
    <x v="0"/>
    <s v=""/>
    <s v="00696-22"/>
    <s v=""/>
    <s v="Оказание услуг по разработке АНП ПП"/>
    <s v="Перевод негаррантированного объема работ в гарантированный, в соответствии с условиями договора"/>
    <s v="Бабиков Н.В."/>
    <s v="Бабиков Н.В."/>
    <s v="Договорный документ"/>
    <s v="Блок снабжения и закупок"/>
    <s v="Титов А.В."/>
    <s v="На бумажном носителе"/>
    <s v="С ограничением по срокам "/>
    <d v="2022-08-01T00:00:00"/>
    <d v="2024-12-31T00:00:00"/>
    <s v="Д-56"/>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91163"/>
    <s v="Зарегистрирован"/>
    <d v="2023-12-11T00:00:00"/>
    <s v=""/>
    <x v="149"/>
    <s v="5001063958"/>
    <s v=""/>
    <s v="ГЕО-23/33200/00199"/>
    <s v="ГЕО-23/33200/00199"/>
    <s v="Типовой ДД"/>
    <x v="1"/>
    <s v="33200 Соглашение об электронном документообороте"/>
    <s v="00696-23"/>
    <s v=""/>
    <s v="33200 Соглашение об электронном документообороте"/>
    <s v="Ведение электронного документоборота"/>
    <s v="Хохлов А.А."/>
    <s v="Хохлов А.А."/>
    <s v="Договорный документ"/>
    <s v="Управление маркшейдерско-землеустроительных работ"/>
    <s v="Ковтун М.А."/>
    <s v="ЭП"/>
    <s v="Без сроков "/>
    <d v="2023-12-11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00059"/>
    <s v="Зарегистрирован"/>
    <d v="2021-10-13T00:00:00"/>
    <s v=""/>
    <x v="131"/>
    <s v="8905000428"/>
    <s v="ГЕО-20/00000/00086/Д/ННГ-20/11708/00380/Р"/>
    <s v=""/>
    <s v="3"/>
    <s v="Нетиповой ДД"/>
    <x v="0"/>
    <s v=""/>
    <s v="00697-21"/>
    <s v=""/>
    <s v="Дополнительное соглашение №3"/>
    <s v="Изменение условий по ДД"/>
    <s v="Андреева И.В."/>
    <s v="Шушаков А.А."/>
    <s v="Договорный документ"/>
    <s v="Управление экономического планирования и анализа"/>
    <s v="Волков Г.В."/>
    <s v="На бумажном носителе"/>
    <s v="С ограничением по срокам "/>
    <d v="2021-10-13T00:00:00"/>
    <d v="2022-12-31T00:00:00"/>
    <s v=""/>
    <s v="ПРОЧИЕ ДОГОВОРЫ"/>
    <s v="Доходная часть"/>
    <s v="Стоимостной"/>
    <s v="20%"/>
    <s v=""/>
    <s v=""/>
    <s v="451 882 638.13"/>
    <s v="376 568 865.11"/>
    <s v="75 313 773.02"/>
    <s v="нет"/>
    <s v="нет"/>
    <s v=""/>
    <s v=""/>
    <s v=""/>
    <s v=""/>
    <s v="нет"/>
  </r>
  <r>
    <s v="Газпромнефть-ГЕО, ООО"/>
    <s v="0000057796"/>
    <s v="Проект"/>
    <s v=""/>
    <s v=""/>
    <x v="109"/>
    <s v="5003028148"/>
    <s v="ГЕО-23/10000/00093/Р+ ПР"/>
    <s v=""/>
    <s v=""/>
    <s v="Нетиповой ДД"/>
    <x v="0"/>
    <s v=""/>
    <s v="00697-23"/>
    <s v=""/>
    <s v="ДС№2 к ДД № ГЕО-23/10000/00093/Р от 01.06.2023г. Газпром газобезопасность, ООО"/>
    <s v="ДС№2 к Договору №ГЕО-23/10000/00093/Р от «01» июня 2023 г. с компанией ООО «Газпром газобезопасность» на оказание услуг по обеспечению противофонтанной и газовой безопасности на объектах ООО «ГПН-ГЕО». НГО в ГО."/>
    <s v="Мормышев А.А."/>
    <s v=""/>
    <s v="Договорный документ"/>
    <s v=""/>
    <s v="Михайлов Ю.А."/>
    <s v="ЭП"/>
    <s v=""/>
    <s v=""/>
    <s v=""/>
    <s v="Д-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5231160"/>
    <s v=""/>
    <s v=""/>
    <s v=""/>
    <s v="да"/>
    <s v="нет"/>
    <s v=""/>
    <s v=""/>
    <s v=""/>
    <s v=""/>
    <s v="нет"/>
  </r>
  <r>
    <s v="Газпромнефть-ГЕО, ООО"/>
    <s v="0000084973"/>
    <s v="Закрыт"/>
    <d v="2021-10-01T00:00:00"/>
    <s v=""/>
    <x v="205"/>
    <s v="8601066868"/>
    <s v=""/>
    <s v="ГЕО-21/09000/00270/Д"/>
    <s v="ГЕО-21/09000/00270/Д"/>
    <s v="Нетиповой ДД"/>
    <x v="2"/>
    <s v=""/>
    <s v="00698-21"/>
    <s v=""/>
    <s v="Выполнение операторских работ и оказании операторских услуг"/>
    <s v="Выполнение операторских работ и оказании операторских услуг"/>
    <s v="Андреева И.В."/>
    <s v="Мурзин Р.Р."/>
    <s v="Договорный документ"/>
    <s v="Управление экономического планирования и анализа"/>
    <s v="Аксенов М.А."/>
    <s v="На бумажном носителе"/>
    <s v="С ограничением по срокам "/>
    <d v="2021-10-01T00:00:00"/>
    <d v="2022-03-25T00:00:00"/>
    <s v=""/>
    <s v="Договор возмездного оказания услуг"/>
    <s v="Доходная часть"/>
    <s v="Стоимостной"/>
    <s v="20%"/>
    <s v=""/>
    <s v=""/>
    <s v="16 489 415.11"/>
    <s v="13 741 179.26"/>
    <s v="2 748 235.85"/>
    <s v="нет"/>
    <s v="нет"/>
    <s v=""/>
    <s v=""/>
    <s v=""/>
    <s v=""/>
    <s v="нет"/>
  </r>
  <r>
    <s v="Газпромнефть-ГЕО, ООО"/>
    <s v="0000056566"/>
    <s v="Зарегистрирован"/>
    <d v="2022-07-01T00:00:00"/>
    <s v=""/>
    <x v="256"/>
    <s v="7709675951"/>
    <s v=""/>
    <s v="ГЕО-22/26000/00180"/>
    <s v="ГЕО-22/26000/00180"/>
    <s v="Типовой ДД"/>
    <x v="1"/>
    <s v="26000 Соглашение о конфиденциальности с российским контрагентом"/>
    <s v="00698-22"/>
    <s v=""/>
    <s v="26000 Соглашение о конфиденциальности с российским контрагентом"/>
    <s v="Предоставление друг другу и неразглашение информации, составляющей коммерческую тайну, и иной конфиденциальной информации"/>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2-07-01T00:00:00"/>
    <d v="2025-04-30T00:00:00"/>
    <s v=""/>
    <s v="Соглашение о конфиденциальности"/>
    <s v="Не предполагает взаиморасчетов"/>
    <s v=""/>
    <s v=""/>
    <s v=""/>
    <s v=""/>
    <s v=""/>
    <s v=""/>
    <s v=""/>
    <s v="нет"/>
    <s v="нет"/>
    <s v=""/>
    <s v=""/>
    <s v=""/>
    <s v=""/>
    <s v="нет"/>
  </r>
  <r>
    <s v="Газпромнефть-ГЕО, ООО"/>
    <s v="0000076283"/>
    <s v="Зарегистрирован"/>
    <d v="2023-11-30T00:00:00"/>
    <s v=""/>
    <x v="28"/>
    <s v="4501174492"/>
    <s v=""/>
    <s v="ГЕО-23/33200/00200"/>
    <s v="ГЕО-23/33200/00200"/>
    <s v="Типовой ДД"/>
    <x v="1"/>
    <s v="33200 Соглашение об электронном документообороте"/>
    <s v="00698-23"/>
    <s v=""/>
    <s v="33200 Соглашение об электронном документообороте"/>
    <s v="Соглашение об использовании электронного документа"/>
    <s v="Шолохова И.А."/>
    <s v=""/>
    <s v="Договорный документ"/>
    <s v="Управление проектно-изыскательских работ"/>
    <s v="Ковтун М.А."/>
    <s v="ЭП"/>
    <s v="До исполнения обязательств"/>
    <d v="2023-11-3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27645"/>
    <s v="Закрыт"/>
    <d v="2021-11-09T00:00:00"/>
    <s v=""/>
    <x v="80"/>
    <s v="5501072608"/>
    <s v=""/>
    <s v="ГЕО-21/11104/00255/Д"/>
    <s v="ГЕО-21/11104/00255/Д"/>
    <s v="Нетиповой ДД"/>
    <x v="2"/>
    <s v=""/>
    <s v="00699-21"/>
    <s v=""/>
    <s v="Агентский договор на организацию вертолетных авиаперевозок с ООО &quot;Газпромнефть-Снабжение&quot;"/>
    <s v="Авиаперевозка персонала и грузов КА"/>
    <s v="Титова Е.В."/>
    <s v="Титова Екатерина Владимировна"/>
    <s v="Договорный документ"/>
    <s v="Блок по закупкам"/>
    <s v="Титов А.В."/>
    <s v="На бумажном носителе"/>
    <s v="С ограничением по срокам "/>
    <d v="2021-10-01T00:00:00"/>
    <d v="2021-12-31T00:00:00"/>
    <s v="Д-11"/>
    <s v="Авиационное обслуживание (вертолеты)"/>
    <s v="Доходная часть"/>
    <s v="Агентский"/>
    <s v="20%"/>
    <s v=""/>
    <s v=""/>
    <s v="577 669.54"/>
    <s v="481 391.28"/>
    <s v="96 278.26"/>
    <s v="нет"/>
    <s v="нет"/>
    <s v=""/>
    <s v=""/>
    <s v=""/>
    <s v=""/>
    <s v="нет"/>
  </r>
  <r>
    <s v="Газпромнефть-ГЕО, ООО"/>
    <s v="0000073438"/>
    <s v="Зарегистрирован"/>
    <d v="2022-08-01T00:00:00"/>
    <s v=""/>
    <x v="68"/>
    <s v="7720330291"/>
    <s v="ГЕО-21/08000/00296/Р"/>
    <s v=""/>
    <s v="3"/>
    <s v="Типовой ДД"/>
    <x v="0"/>
    <s v="00000 ДС на изменение реквизитов контрагента (адрес, счет)"/>
    <s v="00699-22"/>
    <s v=""/>
    <s v="00000 ДС на изменение реквизитов контрагента (адрес, счет)"/>
    <s v="Изменение реквизитов контрагента"/>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8-01T00:00:00"/>
    <d v="2026-12-31T00:00:00"/>
    <s v="Д-54"/>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87378"/>
    <s v="Зарегистрирован"/>
    <d v="2023-12-05T00:00:00"/>
    <s v=""/>
    <x v="97"/>
    <s v="7204203139"/>
    <s v="ГЕО-19/10156/00057/Р"/>
    <s v=""/>
    <s v="11/23-057"/>
    <s v="Нетиповой ДД"/>
    <x v="3"/>
    <s v=""/>
    <s v="00699-23"/>
    <s v=""/>
    <s v="Заключение Заказа №11/23-057 по скважине №4 Камовской площади к Договору № ГЕО-19/10156/00057/Р от 07.03.2019 г."/>
    <s v="Стандартные и специальные исследования керна по скважине 4 Камовского месторождения"/>
    <s v="Ябиров Р.З."/>
    <s v=""/>
    <s v="Договорный документ"/>
    <s v="Блок геологии и разработки"/>
    <s v="Шакирзянов Л.Н."/>
    <s v="ЭП"/>
    <s v="С ограничением по срокам "/>
    <d v="2023-12-05T00:00:00"/>
    <d v="2023-12-27T00:00:00"/>
    <s v="Д-20"/>
    <s v="Договор на выполнение НИР, ОКР и технологических работ"/>
    <s v="Расходная часть"/>
    <s v="Рамочный"/>
    <s v="20%"/>
    <s v=""/>
    <s v=""/>
    <s v="6 074 114.59"/>
    <s v="5 061 762.16"/>
    <s v="1 012 352.43"/>
    <s v="нет"/>
    <s v="нет"/>
    <s v=""/>
    <s v=""/>
    <s v=""/>
    <s v=""/>
    <s v="нет"/>
  </r>
  <r>
    <s v="Газпромнефть-ГЕО, ООО"/>
    <s v=""/>
    <s v="Зарегистрирован"/>
    <d v="2021-10-21T00:00:00"/>
    <s v=""/>
    <x v="419"/>
    <s v=""/>
    <s v=""/>
    <s v="ГЕО-21/26000/00238"/>
    <s v="ГЕО-21/26000/00238"/>
    <s v="Типовой ДД"/>
    <x v="1"/>
    <s v="26000 Соглашение о конфиденциальности с зарубежным контрагентом"/>
    <s v="00700-21"/>
    <s v=""/>
    <s v="26000 Соглашение о конфиденциальности с зарубежным контрагентом"/>
    <s v="Необходимость передачи конфиденциальной информации в рамках технической сессии по обмену опытом по реализованным геологоразведочным мероприятиям и полученным результатам."/>
    <s v="Исхакова А.Р."/>
    <s v="Исхакова А.Р."/>
    <s v="Договорный документ"/>
    <s v="Проект &quot;Южный Оренбург&quot;"/>
    <s v="Масалкин Ю.В."/>
    <s v="На бумажном носителе"/>
    <s v="С ограничением по срокам "/>
    <d v="2021-10-21T00:00:00"/>
    <d v="2022-12-31T00:00:00"/>
    <s v=""/>
    <s v="Соглашение о конфиденциальности"/>
    <s v="Не предполагает взаиморасчетов"/>
    <s v=""/>
    <s v=""/>
    <s v=""/>
    <s v=""/>
    <s v=""/>
    <s v=""/>
    <s v=""/>
    <s v="нет"/>
    <s v="нет"/>
    <s v=""/>
    <s v=""/>
    <s v=""/>
    <s v=""/>
    <s v="нет"/>
  </r>
  <r>
    <s v="Газпромнефть-ГЕО, ООО"/>
    <s v="0000087378"/>
    <s v="Зарегистрирован"/>
    <d v="2023-12-05T00:00:00"/>
    <s v=""/>
    <x v="97"/>
    <s v="7204203139"/>
    <s v="ГЕО-19/10156/00057/Р"/>
    <s v=""/>
    <s v="12/23-057"/>
    <s v="Нетиповой ДД"/>
    <x v="3"/>
    <s v=""/>
    <s v="00700-23"/>
    <s v=""/>
    <s v="Заказ 12/23-057 по скважине №3 Салаирской площади к договору № ГЕО-19/10156/00057/Р от 07.03.2019 г."/>
    <s v="Стандартные и специальные исследования керна по скважине 3 Салаирского месторождения"/>
    <s v="Ябиров Р.З."/>
    <s v=""/>
    <s v="Договорный документ"/>
    <s v="Блок геологии и разработки"/>
    <s v="Шакирзянов Л.Н."/>
    <s v="ЭП"/>
    <s v="С ограничением по срокам "/>
    <d v="2023-12-05T00:00:00"/>
    <d v="2023-12-27T00:00:00"/>
    <s v="Д-20"/>
    <s v="Договор на выполнение НИР, ОКР и технологических работ"/>
    <s v="Расходная часть"/>
    <s v="Рамочный"/>
    <s v="20%"/>
    <s v=""/>
    <s v=""/>
    <s v="3 878 386.72"/>
    <s v="3 231 988.93"/>
    <s v="646 397.79"/>
    <s v="нет"/>
    <s v="нет"/>
    <s v=""/>
    <s v=""/>
    <s v=""/>
    <s v=""/>
    <s v="нет"/>
  </r>
  <r>
    <s v="Газпромнефть-ГЕО, ООО"/>
    <s v="0000096440"/>
    <s v="Закрыт"/>
    <d v="2021-10-14T00:00:00"/>
    <s v=""/>
    <x v="286"/>
    <s v="8401011340"/>
    <s v=""/>
    <s v="ГЕО-21/34000/00253/Р"/>
    <s v="ГЕО-21/34000/00253/Р"/>
    <s v="Нетиповой ДД"/>
    <x v="1"/>
    <s v=""/>
    <s v="00701-21"/>
    <s v=""/>
    <s v="Соглашение о взаимном сотрудничестве по социально-экономическому развитию Таймырского Долгано-Ненецкого муниципального района Красноярского края "/>
    <s v="Долгосрочное и взаимное сотрудничество в области использования природно-ресурсного потенциала территорий в границах Таймырского Долгано-Ненецкого муниципального района"/>
    <s v="Титаева И.А."/>
    <s v="Титаева И.А."/>
    <s v="Договорный документ"/>
    <s v="Управление маркшейдерско-землеустроительных работ"/>
    <s v="Перфильев Д.А."/>
    <s v="На бумажном носителе"/>
    <s v="До исполнения обязательств"/>
    <d v="2021-10-14T00:00:00"/>
    <s v=""/>
    <s v="Д-22"/>
    <s v="Соглашение с органами государственной власти и управления и муниципальными образованиями"/>
    <s v="Расходная часть"/>
    <s v="Стоимостной"/>
    <s v="без НДС"/>
    <s v=""/>
    <s v=""/>
    <s v="1 500 000.00"/>
    <s v="1 500 000.00"/>
    <n v="0"/>
    <s v="нет"/>
    <s v="нет"/>
    <s v=""/>
    <s v=""/>
    <s v=""/>
    <s v=""/>
    <s v="нет"/>
  </r>
  <r>
    <s v="Газпромнефть-ГЕО, ООО"/>
    <s v="0000048356"/>
    <s v="Зарегистрирован"/>
    <d v="2022-08-05T00:00:00"/>
    <s v=""/>
    <x v="152"/>
    <s v="8601034898"/>
    <s v="№ ГЕО-22/10000/00144/Р"/>
    <s v=""/>
    <s v="2"/>
    <s v="Нетиповой ДД"/>
    <x v="3"/>
    <s v=""/>
    <s v="00701-22"/>
    <s v=""/>
    <s v="НАРЯД-ЗАКАЗ НА ОКАЗАНИЕ УСЛУГ № 2 к ДОГОВОРУ № ГЕО-22/10000/00144/Р от 27.06.2022г.на выполнение работ и оказание услуг в области пожарной безопасности"/>
    <s v="Выполнение работ и оказание услуг в области пожарной безопасности на Лескино"/>
    <s v="Белоусов О.В."/>
    <s v="Белоусов О.В."/>
    <s v="Договорный документ"/>
    <s v="Отдел по промышленной и пожарной безопасности"/>
    <s v="Власов М.М."/>
    <s v="ЭП"/>
    <s v="С ограничением по срокам "/>
    <d v="2022-08-15T00:00:00"/>
    <d v="2022-12-31T00:00:00"/>
    <s v="Д-59"/>
    <s v="Договор возмездного оказания услуг"/>
    <s v="Расходная часть"/>
    <s v="Рамочный"/>
    <s v="20%"/>
    <s v=""/>
    <s v=""/>
    <s v="9 492 444.17"/>
    <s v="7 910 370.14"/>
    <s v="1 582 074.03"/>
    <s v="нет"/>
    <s v="нет"/>
    <s v=""/>
    <s v=""/>
    <s v=""/>
    <s v=""/>
    <s v="нет"/>
  </r>
  <r>
    <s v="Газпромнефть-ГЕО, ООО"/>
    <s v="0000073305"/>
    <s v="Зарегистрирован"/>
    <d v="2023-12-08T00:00:00"/>
    <s v=""/>
    <x v="64"/>
    <s v="8904080406"/>
    <s v="ГЕО-21/11031/00101/Р"/>
    <s v=""/>
    <s v="7"/>
    <s v="Типовой ДД"/>
    <x v="0"/>
    <s v="ДС по актуализации методологии оценки эффективности деятельности контрагентов и мотивации в области ПБ в действующих договорах"/>
    <s v="00701-23"/>
    <s v=""/>
    <s v="ДС по актуализации методологии оценки эффективности деятельности контрагентов и мотивации в области ПБ в действующих договорах"/>
    <s v="Новые параметры производственной безопасности"/>
    <s v="Крутова Е.С."/>
    <s v="Крутова Е.С."/>
    <s v="Договорный документ"/>
    <s v="Департамент капитального строительства"/>
    <s v="Трифонов А.В."/>
    <s v="ЭП"/>
    <s v="До исполнения обязательств"/>
    <d v="2023-11-29T00:00:00"/>
    <s v=""/>
    <s v="Д-33"/>
    <s v="СМР Комплекс работ по разработке карьеров_x000a_(примечание: разработка карьеров грунта, в т.ч. гидронамывным способом)"/>
    <s v="Не предполагает взаиморасчетов"/>
    <s v="Тарифный"/>
    <s v=""/>
    <s v=""/>
    <s v=""/>
    <s v=""/>
    <s v=""/>
    <s v=""/>
    <s v="нет"/>
    <s v="нет"/>
    <s v=""/>
    <s v=""/>
    <s v=""/>
    <s v=""/>
    <s v="нет"/>
  </r>
  <r>
    <s v="Газпромнефть-ГЕО, ООО"/>
    <s v="0000062928"/>
    <s v="Зарегистрирован"/>
    <d v="2023-12-11T00:00:00"/>
    <s v=""/>
    <x v="136"/>
    <s v="7701645627"/>
    <s v=""/>
    <s v="ГЕО-23/33200/00198"/>
    <s v="ГЕО-23/33200/00198"/>
    <s v="Типовой ДД"/>
    <x v="1"/>
    <s v="33200 Соглашение об электронном документообороте"/>
    <s v="00702-23"/>
    <s v=""/>
    <s v="33200 Соглашение об электронном документообороте"/>
    <s v="Обновление соглашения ЭДО"/>
    <s v="Хохлов А.А."/>
    <s v="Хохлов А.А."/>
    <s v="Договорный документ"/>
    <s v="Управление маркшейдерско-землеустроительных работ"/>
    <s v="Ковтун М.А."/>
    <s v="ЭП"/>
    <s v="Без сроков "/>
    <d v="2023-12-11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00059"/>
    <s v="Закрыт"/>
    <d v="2021-11-24T00:00:00"/>
    <s v=""/>
    <x v="131"/>
    <s v="8905000428"/>
    <s v="ГЕО-21/09000/00048/Д"/>
    <s v=""/>
    <s v="3"/>
    <s v="Нетиповой ДД"/>
    <x v="3"/>
    <s v=""/>
    <s v="00703-21"/>
    <s v=""/>
    <s v="Заказ №3"/>
    <s v="Подбор оптимальной системы разработки и технологии проведения ГРП для одной из кустовых площадок Вынгаяхинского месторождения."/>
    <s v="Андреева И.В."/>
    <s v="Метелкин Д.В."/>
    <s v="Договорный документ"/>
    <s v="Управление экономического планирования и анализа"/>
    <s v="Волков Г.В."/>
    <s v="На бумажном носителе"/>
    <s v="С ограничением по срокам "/>
    <d v="2021-10-20T00:00:00"/>
    <d v="2022-04-30T00:00:00"/>
    <s v=""/>
    <s v="Договор возмездного оказания услуг"/>
    <s v="Доходная часть"/>
    <s v="Стоимостной"/>
    <s v="20%"/>
    <s v=""/>
    <s v=""/>
    <s v="17 307 692.40"/>
    <s v="14 423 077.00"/>
    <s v="2 884 615.40"/>
    <s v="нет"/>
    <s v="нет"/>
    <s v=""/>
    <s v=""/>
    <s v=""/>
    <s v=""/>
    <s v="нет"/>
  </r>
  <r>
    <s v="Газпромнефть-ГЕО, ООО"/>
    <s v="0000048356"/>
    <s v="Зарегистрирован"/>
    <d v="2022-08-05T00:00:00"/>
    <s v=""/>
    <x v="152"/>
    <s v="8601034898"/>
    <s v="ГЕО-22/10000/00144/Р"/>
    <s v=""/>
    <s v="1"/>
    <s v="Нетиповой ДД"/>
    <x v="3"/>
    <s v=""/>
    <s v="00703-22"/>
    <s v=""/>
    <s v="НАРЯД-ЗАКАЗ НА ОКАЗАНИЕ УСЛУГ № 1"/>
    <s v="выполнение работ и оказание услуг в области пожарной безопасности"/>
    <s v="Белоусов О.В."/>
    <s v="Белоусов О.В."/>
    <s v="Договорный документ"/>
    <s v="Отдел по промышленной и пожарной безопасности"/>
    <s v="Власов М.М."/>
    <s v="ЭП"/>
    <s v="С ограничением по срокам "/>
    <d v="2022-08-15T00:00:00"/>
    <d v="2023-06-30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8 703 129.60"/>
    <s v="7 252 608.00"/>
    <s v="1 450 521.60"/>
    <s v="нет"/>
    <s v="нет"/>
    <s v=""/>
    <s v=""/>
    <s v=""/>
    <s v=""/>
    <s v="нет"/>
  </r>
  <r>
    <s v="Газпромнефть-ГЕО, ООО"/>
    <s v=""/>
    <s v="Проект"/>
    <d v="2023-12-20T00:00:00"/>
    <s v=""/>
    <x v="58"/>
    <s v=""/>
    <s v="ГЕО-21/20000/00293/Д"/>
    <s v=""/>
    <s v="3"/>
    <s v="Нетиповой ДД"/>
    <x v="0"/>
    <s v=""/>
    <s v="00703-23"/>
    <s v=""/>
    <s v="Дополнительное соглашение №3 к Агентскому договору № МрНГ-21/10000/00135/Р//ГЕО-21/20000/00293/Д на выполнение обработки и интерпретации СРР на Северо-Самбургском ЛУ и прилегающей территории"/>
    <s v="Заключение Дополнительного соглашения №3 к Агентскому договору № МрНГ-21/10000/00135/Р//ГЕО-21/20000/00293/Д на выполнение обработки и интерпретации СРР на Северо-Самбургском ЛУ и прилегающей территории в связи с изменением производственной потребности, увеличением объемов работ, увеличением стоимости Договора"/>
    <s v="Мурзин Р.Р."/>
    <s v="Мурзин Р.Р."/>
    <s v="Договорный документ"/>
    <s v="Управление сейсморазведочных работ"/>
    <s v="Аксенов М.А."/>
    <s v=""/>
    <s v="С ограничением по срокам "/>
    <d v="2023-12-20T00:00:00"/>
    <d v="2024-12-31T00:00:00"/>
    <s v="Д-54"/>
    <s v="Агентский договор"/>
    <s v="Доходная часть"/>
    <s v="Агентский"/>
    <s v="20%"/>
    <s v=""/>
    <s v=""/>
    <s v="104 204 816.64"/>
    <s v="86 837 347.20"/>
    <s v="17 367 469.44"/>
    <s v="нет"/>
    <s v="нет"/>
    <s v=""/>
    <s v=""/>
    <s v=""/>
    <s v=""/>
    <s v="нет"/>
  </r>
  <r>
    <s v="Газпромнефть-ГЕО, ООО"/>
    <s v="0000086570"/>
    <s v="Закрыт"/>
    <d v="2021-10-28T00:00:00"/>
    <s v=""/>
    <x v="389"/>
    <s v="561504779598"/>
    <s v=""/>
    <s v="ГЕО-21/25000/00242/Р"/>
    <s v="ГЕО-21/25000/00242/Р"/>
    <s v="Типовой ДД"/>
    <x v="2"/>
    <s v="25000 Договор об оказании услуг физическим лицом (без выезда на Лицензионные участки Заказчика)"/>
    <s v="00704-21"/>
    <s v=""/>
    <s v="25000 Договор об оказании услуг физическим лицом (без выезда на Лицензионные участки Заказчика)"/>
    <s v="Заключение договора возмездного оказания услуг в отношении расположенных в границах Оренбургской области объектов недвижимого имущества и земельных участков, необходимых для эксплуатации объектов Заказчика"/>
    <s v="Расулов И.Ф."/>
    <s v="Расулов И.Ф."/>
    <s v="Договорный документ"/>
    <s v="Управление маркшейдерско-землеустроительных работ"/>
    <s v="Масалкин Ю.В."/>
    <s v="На бумажном носителе"/>
    <s v="С ограничением по срокам "/>
    <d v="2021-11-01T00:00:00"/>
    <d v="2022-06-30T00:00:00"/>
    <s v=""/>
    <s v="Договор оказания услуг с физическим лицом"/>
    <s v="Расходная часть"/>
    <s v="Стоимостной"/>
    <s v="13%"/>
    <s v=""/>
    <s v=""/>
    <s v="392 000.00"/>
    <s v="341 040.00"/>
    <s v="50 960.00"/>
    <s v="нет"/>
    <s v="нет"/>
    <s v=""/>
    <s v=""/>
    <s v=""/>
    <s v=""/>
    <s v="нет"/>
  </r>
  <r>
    <s v="Газпромнефть-ГЕО, ООО"/>
    <s v="0000066687"/>
    <s v="Зарегистрирован"/>
    <d v="2022-08-01T00:00:00"/>
    <s v=""/>
    <x v="161"/>
    <s v="9909012867"/>
    <s v=""/>
    <s v="ГЕО-22/33100/00181"/>
    <s v="ГЕО-22/33100/00181"/>
    <s v="Типовой ДД"/>
    <x v="1"/>
    <s v="33100 Соглашение в области производственной безопасности"/>
    <s v="00704-22"/>
    <s v=""/>
    <s v="33100 Соглашение в области производственной безопасности"/>
    <s v="В целях обеспечения ПБ при оказании услуг"/>
    <s v="Коваленко М.В."/>
    <s v="Бикташев Руслан Станиславович"/>
    <s v="Договорный документ"/>
    <s v="Управление закупок работ и услуг"/>
    <s v="Власов М.М."/>
    <s v="На бумажном носителе"/>
    <s v="С ограничением по срокам "/>
    <d v="2022-08-01T00:00:00"/>
    <d v="2023-12-31T00:00:00"/>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6851"/>
    <s v="Зарегистрирован"/>
    <d v="2023-11-09T00:00:00"/>
    <s v=""/>
    <x v="48"/>
    <s v="2466091092"/>
    <s v="ГЕО-22/11000/00274/Р "/>
    <s v=""/>
    <s v="2"/>
    <s v="Нетиповой ДД"/>
    <x v="4"/>
    <s v=""/>
    <s v="00704-23"/>
    <s v="1"/>
    <s v="Изменение №2 к Наряд-заказу №1 к Договору № ГЕО-22/11000/00274/Р от 14.10.2022г."/>
    <s v="На выполнение проектных работ"/>
    <s v="Шолохова И.А."/>
    <s v="Салахутдинов Р.С."/>
    <s v="Договорный документ"/>
    <s v="Управление проектно-изыскательских работ"/>
    <s v="Шакирзянов Л.Н."/>
    <s v="ЭП"/>
    <s v="До исполнения обязательств"/>
    <d v="2023-11-09T00:00:00"/>
    <s v=""/>
    <s v="Д-20"/>
    <s v="Капитальное строительство и ПИР"/>
    <s v="Расходная часть"/>
    <s v="Рамочный"/>
    <s v="20%"/>
    <s v=""/>
    <s v=""/>
    <s v="17 551 926.26"/>
    <s v="14 626 605.22"/>
    <s v="2 925 321.04"/>
    <s v="нет"/>
    <s v="нет"/>
    <s v=""/>
    <s v=""/>
    <s v=""/>
    <s v=""/>
    <s v="нет"/>
  </r>
  <r>
    <s v="Газпромнефть-ГЕО, ООО"/>
    <s v="0000084033"/>
    <s v="Зарегистрирован"/>
    <d v="2021-10-29T00:00:00"/>
    <s v=""/>
    <x v="420"/>
    <s v="8903008982"/>
    <s v=""/>
    <s v="ГЕО-21/11518/00247/Р"/>
    <s v="ГЕО-21/11518/00247/Р"/>
    <s v="Нетиповой ДД"/>
    <x v="1"/>
    <s v=""/>
    <s v="00705-21"/>
    <s v=""/>
    <s v="Соглашение о возмещении убытков, в том числе упущенной выгоды"/>
    <s v="возместить Землепользователю убытки, в том числе упущенную выгоду (далее - убытки), в полном объеме, при занятии Предприятием земельных участков, для размещения объектов по проектам: «Автозимник на площадку скважины 1 ПО Северо-Ямбургского ЛУ. Проезд до водозабора зимний вариант»"/>
    <s v="Титаева И.А."/>
    <s v="Горбунов Е.А."/>
    <s v="Договорный документ"/>
    <s v="Управление маркшейдерско-землеустроительных работ"/>
    <s v="Перфильев Д.А."/>
    <s v="На бумажном носителе"/>
    <s v="До исполнения обязательств"/>
    <d v="2021-10-29T00:00:00"/>
    <s v=""/>
    <s v="Д-22"/>
    <s v="Расчет ущерба землепользователей (упущенной выгоды)"/>
    <s v="Расходная часть"/>
    <s v="Стоимостной"/>
    <s v="без НДС"/>
    <s v=""/>
    <s v=""/>
    <s v="10 358 181.00"/>
    <s v="10 358 181.00"/>
    <n v="0"/>
    <s v="нет"/>
    <s v="нет"/>
    <s v=""/>
    <s v=""/>
    <s v=""/>
    <s v=""/>
    <s v="нет"/>
  </r>
  <r>
    <s v="Газпромнефть-ГЕО, ООО"/>
    <s v="0000018753"/>
    <s v="Зарегистрирован"/>
    <d v="2022-08-01T00:00:00"/>
    <s v=""/>
    <x v="421"/>
    <s v="7713076301"/>
    <s v=""/>
    <s v="ГЕО-22/33200/00188"/>
    <s v="ГЕО-22/33200/00188"/>
    <s v="Нетиповой ДД"/>
    <x v="1"/>
    <s v=""/>
    <s v="00705-22"/>
    <s v=""/>
    <s v="Соглашение об электронном документообороте"/>
    <s v="Переход на ЭДО"/>
    <s v="Сорокин И.М."/>
    <s v=""/>
    <s v="Договорный документ"/>
    <s v="Блок геологии и разработки"/>
    <s v="Аксенов М.А."/>
    <s v="На бумажном носителе"/>
    <s v="Без сроков "/>
    <d v="2022-08-01T00:00:00"/>
    <s v=""/>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0723"/>
    <s v="Зарегистрирован"/>
    <d v="2023-12-11T00:00:00"/>
    <s v=""/>
    <x v="49"/>
    <s v="3811088474"/>
    <s v=""/>
    <s v="ГЕО-23/33200/00203"/>
    <s v="ГЕО-23/33200/00203"/>
    <s v="Типовой ДД"/>
    <x v="1"/>
    <s v="33200 Соглашение об электронном документообороте"/>
    <s v="00705-23"/>
    <s v=""/>
    <s v="33200 Соглашение об электронном документообороте"/>
    <s v="Перезаключение действующего Соглашений об использовании электронного документооборота"/>
    <s v="Горев М.А."/>
    <s v="Горев М.А."/>
    <s v="Договорный документ"/>
    <s v="Управление маркшейдерско-землеустроительных работ"/>
    <s v="Шакирзянов Л.Н."/>
    <s v="ЭП"/>
    <s v="Без сроков "/>
    <d v="2023-12-11T00:00:00"/>
    <s v=""/>
    <s v="Д-20"/>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56254"/>
    <s v="Зарегистрирован"/>
    <d v="2021-10-25T00:00:00"/>
    <s v=""/>
    <x v="23"/>
    <s v="7839415866"/>
    <s v=""/>
    <s v=""/>
    <s v="6"/>
    <s v="Нетиповой ДД"/>
    <x v="0"/>
    <s v=""/>
    <s v="00706-21"/>
    <s v=""/>
    <s v="Дополнительное согласшение на оказание охранных услуг "/>
    <s v="Пролангация основного договора без увеличения его общей стоимости."/>
    <s v="Глухарева Ю.Б."/>
    <s v="Глухарева Ю.Б."/>
    <s v="Договорный документ"/>
    <s v="Блок корпоративной защиты"/>
    <s v="Созинов С.А."/>
    <s v="На бумажном носителе"/>
    <s v="С ограничением по срокам "/>
    <d v="2022-01-01T00:00:00"/>
    <d v="2022-10-31T00:00:00"/>
    <s v=""/>
    <s v="ПРОЧИЕ ДОГОВОРЫ"/>
    <s v="Не предполагает взаиморасчетов"/>
    <s v="Тарифный"/>
    <s v=""/>
    <s v=""/>
    <s v=""/>
    <s v=""/>
    <s v=""/>
    <s v=""/>
    <s v="нет"/>
    <s v="нет"/>
    <s v=""/>
    <s v=""/>
    <s v=""/>
    <s v=""/>
    <s v="нет"/>
  </r>
  <r>
    <s v="Газпромнефть-ГЕО, ООО"/>
    <s v="0000087439"/>
    <s v="Зарегистрирован"/>
    <d v="2023-11-15T00:00:00"/>
    <s v=""/>
    <x v="422"/>
    <s v="7726445147"/>
    <s v=""/>
    <s v="ГЕО-23/17000/00215/Р"/>
    <s v="ГЕО-23/17000/00215/Р"/>
    <s v="Нетиповой ДД"/>
    <x v="2"/>
    <s v=""/>
    <s v="00706-23"/>
    <s v=""/>
    <s v="Договор негосударственного пенсионного обеспечения"/>
    <s v="Осуществление негосударственного пенсионного обеспечения (далее – НПО) участника (участников) в порядке и на условиях, определенных законодательством Российской Федерации, нормативными актами Банка России, Пенсионными правилами Акционерного общества «Негосударственный пенсионный фонд ГАЗФОНД». Соглашение между Фондом и вкладчиком Фонда, в соответствии с которым вкладчик обязуется уплачивать пенсионные взносы в Фонд, а Фонд обязуется выплачивать участнику Фонда негосударственную пенсию в соответствии с Пенсионными правилами Фонда"/>
    <s v="Хужина В.А."/>
    <s v=""/>
    <s v="Договорный документ"/>
    <s v="Управление по работе с персоналом"/>
    <s v="Масалкин Ю.В."/>
    <s v="На бумажном носителе"/>
    <s v="Без сроков "/>
    <d v="2024-01-01T00:00:00"/>
    <s v=""/>
    <s v=""/>
    <s v="Договор страхования"/>
    <s v="Расходная часть"/>
    <s v="Стоимостной"/>
    <s v="без НДС"/>
    <s v=""/>
    <s v=""/>
    <s v="2 388 400.00"/>
    <s v="2 388 400.00"/>
    <n v="0"/>
    <s v="нет"/>
    <s v="нет"/>
    <s v=""/>
    <s v=""/>
    <s v=""/>
    <s v=""/>
    <s v="нет"/>
  </r>
  <r>
    <s v="Газпромнефть-ГЕО, ООО"/>
    <s v="0000084033"/>
    <s v="Зарегистрирован"/>
    <d v="2021-10-29T00:00:00"/>
    <s v=""/>
    <x v="420"/>
    <s v="8903008982"/>
    <s v=""/>
    <s v="ГЕО-21/11518/00246/Р"/>
    <s v="ГЕО-21/11518/00246/Р"/>
    <s v="Нетиповой ДД"/>
    <x v="1"/>
    <s v=""/>
    <s v="00707-21"/>
    <s v=""/>
    <s v="Соглашение о возмещении убытков, в том числе упущенной выгоды"/>
    <s v="возместить Землепользователю убытки, в том числе упущенную выгоду (далее - убытки), в полном объеме, при занятии Предприятием земельных участков, для размещения объектов  «Площадка поисково-оценочной скважины № 1 на Северо-Ямбургском ЛУ. Проезд до водозабора летний вариант»"/>
    <s v="Титаева И.А."/>
    <s v="Горбунов Е.А."/>
    <s v="Договорный документ"/>
    <s v="Управление маркшейдерско-землеустроительных работ"/>
    <s v="Перфильев Д.А."/>
    <s v="На бумажном носителе"/>
    <s v="До исполнения обязательств"/>
    <d v="2021-10-29T00:00:00"/>
    <s v=""/>
    <s v="Д-22"/>
    <s v="Расчет ущерба землепользователей (упущенной выгоды)"/>
    <s v="Расходная часть"/>
    <s v="Стоимостной"/>
    <s v="без НДС"/>
    <s v=""/>
    <s v=""/>
    <s v="6 524 752.00"/>
    <s v="6 524 752.00"/>
    <n v="0"/>
    <s v="нет"/>
    <s v="нет"/>
    <s v=""/>
    <s v=""/>
    <s v=""/>
    <s v=""/>
    <s v="нет"/>
  </r>
  <r>
    <s v="Газпромнефть-ГЕО, ООО"/>
    <s v="0000047558"/>
    <s v="Зарегистрирован"/>
    <d v="2022-08-15T00:00:00"/>
    <s v=""/>
    <x v="423"/>
    <s v="7740000076"/>
    <s v=""/>
    <s v="ГЕО-22/09000/00185/Р"/>
    <s v="ГЕО-22/09000/00185/Р"/>
    <s v="Нетиповой ДД"/>
    <x v="2"/>
    <s v=""/>
    <s v="00707-22"/>
    <s v=""/>
    <s v="Договор об оказании услуг связи"/>
    <s v="улучшение качества сотовой связи на площадке Северо-Ямбургского ЛУ (проект &quot;Титан&quot;)"/>
    <s v="Сорокин И.М."/>
    <s v="Сорокин И.М."/>
    <s v="Договорный документ"/>
    <s v="Блок геологии и разработки"/>
    <s v="Аксенов М.А."/>
    <s v="На бумажном носителе"/>
    <s v="С ограничением по срокам "/>
    <d v="2022-08-15T00:00:00"/>
    <d v="2026-12-31T00:00:00"/>
    <s v="Д-54"/>
    <s v="Договор возмездного оказания услуг"/>
    <s v="Расходная часть"/>
    <s v="Стоимостной"/>
    <s v="20%"/>
    <s v=""/>
    <s v=""/>
    <s v="600 000.00"/>
    <s v="500 000.00"/>
    <s v="100 000.00"/>
    <s v="нет"/>
    <s v="нет"/>
    <s v=""/>
    <s v=""/>
    <s v=""/>
    <s v=""/>
    <s v="нет"/>
  </r>
  <r>
    <s v="Газпромнефть-ГЕО, ООО"/>
    <s v="0000040495"/>
    <s v="Зарегистрирован"/>
    <d v="2023-12-05T00:00:00"/>
    <s v=""/>
    <x v="167"/>
    <s v="0275009544"/>
    <s v=""/>
    <s v="ГЕО-23/10106/00209/Р"/>
    <s v="ГЕО-23/10106/00209/Р"/>
    <s v="Типовой ДД"/>
    <x v="2"/>
    <s v="10106 Типовая форма договора (Мастер-форма) на оказание услуг по полевым геохимическим работам"/>
    <s v="00707-23"/>
    <s v=""/>
    <s v="10106 Типовая форма договора (Мастер-форма) на оказание услуг по полевым геохимическим работам"/>
    <s v="Проведение скважинных сейсмических работ (ВСП, НВСП, МОГ, МПГС), сейсмический мониторинг и обработка и интерпретация данных (ВСП, НВСП, МОГ, МПГС)&quot;"/>
    <s v="Безруков А.А."/>
    <s v="Николаев В.А."/>
    <s v="Договорный документ"/>
    <s v="Блок геологии и разработки"/>
    <s v="Аксенов М.А."/>
    <s v="ЭП"/>
    <s v="С ограничением по срокам "/>
    <d v="2023-12-05T00:00:00"/>
    <d v="2023-12-31T00:00:00"/>
    <s v=""/>
    <s v="Полевые геохимические работы"/>
    <s v="Расходная часть"/>
    <s v="Стоимостной"/>
    <s v="20%"/>
    <s v=""/>
    <s v=""/>
    <s v="187 023 735.80"/>
    <s v="155 853 113.17"/>
    <s v="31 170 622.63"/>
    <s v="нет"/>
    <s v="нет"/>
    <s v=""/>
    <s v=""/>
    <s v=""/>
    <s v=""/>
    <s v="нет"/>
  </r>
  <r>
    <s v="Газпромнефть-ГЕО, ООО"/>
    <s v="0000060723"/>
    <s v="Зарегистрирован"/>
    <d v="2021-10-20T00:00:00"/>
    <s v=""/>
    <x v="49"/>
    <s v="3811088474"/>
    <s v="№ АНГ-19/11513/00007/Р от 14 февраля 2019г."/>
    <s v=""/>
    <s v="28"/>
    <s v="Нетиповой ДД"/>
    <x v="3"/>
    <s v=""/>
    <s v="00708-21"/>
    <s v=""/>
    <s v="Наряд-заказ № 28 к Договору № АНГ-19/11513/00007/Р "/>
    <s v="Оформление землеустроительной документации для скв. Сал-3П, Км-4 Оморинского ЛУ"/>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10-20T00:00:00"/>
    <d v="2022-12-31T00:00:00"/>
    <s v="Д-22"/>
    <s v="Выполнение комплекса топографо-геодезических, землеустроительных и лесоустроительных  работ "/>
    <s v="Расходная часть"/>
    <s v="Рамочный"/>
    <s v="20%"/>
    <s v=""/>
    <s v=""/>
    <s v="3 833 296.16"/>
    <s v="3 194 413.47"/>
    <s v="638 882.69"/>
    <s v="нет"/>
    <s v="нет"/>
    <s v=""/>
    <s v=""/>
    <s v=""/>
    <s v=""/>
    <s v="нет"/>
  </r>
  <r>
    <s v="Газпромнефть-ГЕО, ООО"/>
    <s v="0000089914"/>
    <s v="Зарегистрирован"/>
    <d v="2022-08-01T00:00:00"/>
    <s v=""/>
    <x v="118"/>
    <s v="8601068576"/>
    <s v=""/>
    <s v="ГЕО-22/33200/00301"/>
    <s v="ГЕО-22/33200/00301"/>
    <s v="Типовой ДД"/>
    <x v="1"/>
    <s v="33200 Соглашение об электронном документообороте"/>
    <s v="00708-22"/>
    <s v=""/>
    <s v="33200 Соглашение об электронном документообороте"/>
    <s v="Соглашение об ЭДО"/>
    <s v="Андреева И.В."/>
    <s v="Коротков С.П."/>
    <s v="Договорный документ"/>
    <s v="Управление экономического планирования и анализа"/>
    <s v="Аксенов М.А."/>
    <s v="На бумажном носителе"/>
    <s v="Без сроков "/>
    <d v="2022-08-01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92415"/>
    <s v="Проект"/>
    <s v=""/>
    <s v=""/>
    <x v="196"/>
    <s v="7728142525"/>
    <s v="ГЕО-19/09000/00227/Р"/>
    <s v=""/>
    <s v="4"/>
    <s v="Нетиповой ДД"/>
    <x v="0"/>
    <s v=""/>
    <s v="00708-23"/>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родление договора без увеличение стоимости."/>
    <s v="Исаева И.С."/>
    <s v=""/>
    <s v="Договорный документ"/>
    <s v="Отдел административной поддержки бизнеса"/>
    <s v="Буракова О.В."/>
    <s v=""/>
    <s v="С ограничением по срокам "/>
    <d v="2024-01-01T00:00:00"/>
    <d v="2024-12-31T00:00:00"/>
    <s v="Д-33"/>
    <s v="Договор возмездного оказания услуг"/>
    <s v="Не предполагает взаиморасчетов"/>
    <s v=""/>
    <s v=""/>
    <s v=""/>
    <s v=""/>
    <s v=""/>
    <s v=""/>
    <s v=""/>
    <s v="нет"/>
    <s v="нет"/>
    <s v=""/>
    <s v=""/>
    <s v=""/>
    <s v=""/>
    <s v="нет"/>
  </r>
  <r>
    <s v="Газпромнефть-ГЕО, ООО"/>
    <s v="0000073051"/>
    <s v="Закрыт"/>
    <d v="2022-09-07T00:00:00"/>
    <s v=""/>
    <x v="424"/>
    <s v="7725282718"/>
    <s v=""/>
    <s v="ГЕО-22/09000/00209/Р"/>
    <s v="ГЕО-22/09000/00209/Р"/>
    <s v="Нетиповой ДД"/>
    <x v="2"/>
    <s v=""/>
    <s v="00709-22"/>
    <s v=""/>
    <s v="Сопровождение апробации ПО REPOS"/>
    <s v="Сопровождение апробации программного обеспечения REPOS в КОА ПАО ГПН"/>
    <s v="Попов В.А."/>
    <s v="Попов В.А."/>
    <s v="Договорный документ"/>
    <s v="Блок геологии и разработки"/>
    <s v="Аксенов М.А."/>
    <s v="На бумажном носителе"/>
    <s v="До исполнения обязательств"/>
    <d v="2022-09-07T00:00:00"/>
    <s v=""/>
    <s v="Д-54"/>
    <s v="Договор возмездного оказания услуг"/>
    <s v="Расходная часть"/>
    <s v="Стоимостной"/>
    <s v="без НДС"/>
    <s v=""/>
    <s v=""/>
    <s v="1 433 200.00"/>
    <s v="1 433 200.00"/>
    <n v="0"/>
    <s v="нет"/>
    <s v="нет"/>
    <s v=""/>
    <s v=""/>
    <s v=""/>
    <s v=""/>
    <s v="нет"/>
  </r>
  <r>
    <s v="Газпромнефть-ГЕО, ООО"/>
    <s v="0000084590"/>
    <s v="Зарегистрирован"/>
    <d v="2023-12-11T00:00:00"/>
    <s v=""/>
    <x v="61"/>
    <s v="7708277130"/>
    <s v="ГЕО-23/09000/00149/Р"/>
    <s v=""/>
    <s v="1"/>
    <s v="Нетиповой ДД"/>
    <x v="4"/>
    <s v=""/>
    <s v="00709-23"/>
    <s v="5"/>
    <s v="Изменение №1 к Заявке № 5 к договору № ГЕО-23/09000/00149/Р от 28.08.2023 г."/>
    <s v="- Изменение №1 к Заявке №5 на привлечение руководителя группы по производственной безопасности для проекта «Оморинский», Камовская площадь Теребихина Д.Н. и продолжить привлечение Чинчикеева А.Н.;_x000a_- применение квалификационных требований к руководителю группы по производственной безопасности, в соответствии с принятыми в рамках протокола совещания группы по экспертизе от 02.11.2023 г. №ПТ-9/0000224 критериями;_x000a_- корректировку объёмов и сроков оказания услуг по привлечению Чинчикеева А.Н. к факту и отражение объёмов и сроков услуг на период привлечения Чинчикеева А.Н. и Теребихина Д.Н. совместно для дальнейшей работы по сменам в рамках вахты."/>
    <s v="Фокин Е.В."/>
    <s v="Фокин Е.В."/>
    <s v="Договорный документ"/>
    <s v="Управление производственной безопасности"/>
    <s v="Михайлов Ю.А."/>
    <s v="ЭП"/>
    <s v="С ограничением по срокам "/>
    <d v="2023-10-30T00:00:00"/>
    <d v="2024-08-31T00:00:00"/>
    <s v="Д-2"/>
    <s v="Договор возмездного оказания услуг"/>
    <s v="Расходная часть"/>
    <s v="Рамочный"/>
    <s v="20%"/>
    <s v=""/>
    <s v=""/>
    <s v="11 840 498.75"/>
    <s v="9 867 082.29"/>
    <s v="1 973 416.46"/>
    <s v="нет"/>
    <s v="нет"/>
    <s v=""/>
    <s v=""/>
    <s v=""/>
    <s v=""/>
    <s v="нет"/>
  </r>
  <r>
    <s v="Газпромнефть-ГЕО, ООО"/>
    <s v="0000039295"/>
    <s v="Зарегистрирован"/>
    <d v="2021-10-26T00:00:00"/>
    <s v=""/>
    <x v="90"/>
    <s v="8618006063"/>
    <s v="ГЕО-20/00000/00196/Д/ХНТ-20/29000/1254/Р/60"/>
    <s v=""/>
    <s v="2"/>
    <s v="Нетиповой ДД"/>
    <x v="0"/>
    <s v=""/>
    <s v="00710-21"/>
    <s v=""/>
    <s v="Дополнительное соглашение №2 к Договору о выполнении операторских работ и об оказании операторских услуг № ХНТ-20/29000/1254/Р/60 от 17.12.2020 г."/>
    <s v="Перенос части этапов с 2022 на 2021 с уменьшением суммы договора"/>
    <s v="Ахматгалиев С.З."/>
    <s v="Ахматгалиев С.З."/>
    <s v="Договорный документ"/>
    <s v="Блок геологии и разработки"/>
    <s v="Аксенов М.А."/>
    <s v="На бумажном носителе"/>
    <s v="С ограничением по срокам "/>
    <d v="2021-10-26T00:00:00"/>
    <d v="2022-12-31T00:00:00"/>
    <s v=""/>
    <s v="ПРОЧИЕ ДОГОВОРЫ"/>
    <s v="Доходная часть"/>
    <s v="Стоимостной"/>
    <s v="20%"/>
    <s v=""/>
    <s v=""/>
    <s v="9 746 471.33"/>
    <s v="8 122 059.44"/>
    <s v="1 624 411.89"/>
    <s v="нет"/>
    <s v="нет"/>
    <s v=""/>
    <s v=""/>
    <s v=""/>
    <s v=""/>
    <s v="нет"/>
  </r>
  <r>
    <s v="Газпромнефть-ГЕО, ООО"/>
    <s v="0000070846"/>
    <s v="Зарегистрирован"/>
    <d v="2022-08-15T00:00:00"/>
    <s v=""/>
    <x v="132"/>
    <s v="7014052636"/>
    <s v=""/>
    <s v="ГЕО-22/10000/00193/Р"/>
    <s v="ГЕО-22/10000/00193/Р"/>
    <s v="Нетиповой ДД"/>
    <x v="2"/>
    <s v=""/>
    <s v="00710-22"/>
    <s v=""/>
    <s v="Договор на оказание услуг по обслуживанию и прокату погружных установок электроцентробежных насосов"/>
    <s v="Оказание услуг по обслуживанию и прокату погружных установок электроцентробежных насосов (УЭЦН)"/>
    <s v="Коваленко М.В."/>
    <s v="Жданов Александр Сергеевич"/>
    <s v="Договорный документ"/>
    <s v="Управление закупок работ и услуг"/>
    <s v="Перфильев Д.А."/>
    <s v="ЭП"/>
    <s v="С ограничением по срокам "/>
    <d v="2022-08-12T00:00:00"/>
    <d v="2023-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25574278.67"/>
    <s v="38 878 508.80"/>
    <s v="32 398 757.33"/>
    <s v="6 479 751.47"/>
    <s v="да"/>
    <s v="нет"/>
    <s v=""/>
    <s v=""/>
    <s v=""/>
    <s v=""/>
    <s v="нет"/>
  </r>
  <r>
    <s v="Газпромнефть-ГЕО, ООО"/>
    <s v="0000092415"/>
    <s v="Проект"/>
    <d v="2019-09-02T00:00:00"/>
    <s v=""/>
    <x v="196"/>
    <s v="7728142525"/>
    <s v=""/>
    <s v=""/>
    <s v="ГЕО-19/09000/00227/Р "/>
    <s v="Нетиповой ДД"/>
    <x v="0"/>
    <s v=""/>
    <s v="00710-23"/>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Заключение дополнительного соглашения без увеличения стоимости."/>
    <s v="Исаева И.С."/>
    <s v="Исаева И.С."/>
    <s v="Договорный документ"/>
    <s v="Отдел административной поддержки бизнеса"/>
    <s v="Буракова О.В."/>
    <s v="На бумажном носителе"/>
    <s v="С ограничением по срокам "/>
    <d v="2024-01-01T00:00:00"/>
    <d v="2024-12-31T00:00:00"/>
    <s v="Д-33"/>
    <s v=""/>
    <s v="Не предполагает взаиморасчетов"/>
    <s v=""/>
    <s v=""/>
    <s v=""/>
    <s v=""/>
    <s v=""/>
    <s v=""/>
    <s v=""/>
    <s v="нет"/>
    <s v="нет"/>
    <s v=""/>
    <s v=""/>
    <s v=""/>
    <s v=""/>
    <s v="нет"/>
  </r>
  <r>
    <s v="Газпромнефть-ГЕО, ООО"/>
    <s v="0000045789"/>
    <s v="Обработка результатов согласования"/>
    <d v="2021-10-01T00:00:00"/>
    <s v=""/>
    <x v="16"/>
    <s v="7838395487"/>
    <s v="ГЕО-19/10124/00001/Р от 09.01.2019"/>
    <s v=""/>
    <s v=""/>
    <s v="Нетиповой ДД"/>
    <x v="3"/>
    <s v=""/>
    <s v="00711-21"/>
    <s v=""/>
    <s v="Заказ № УстьЕнисей к договору №ГЕО-19/10124/00001/Р от 09.01.2019"/>
    <s v="Переобработка и комплексная интерпретация данных сейсморазведочных работ МОГТ 2D с целью изучения геологического строения недр Енисейского залива Карского моря"/>
    <s v="Коротков С.П."/>
    <s v=""/>
    <s v="Договорный документ"/>
    <s v="Управление по разработке"/>
    <s v="Аксенов М.А."/>
    <s v="На бумажном носителе"/>
    <s v="С ограничением по срокам "/>
    <d v="2021-10-01T00:00:00"/>
    <d v="2021-12-15T00:00:00"/>
    <s v="Д-3"/>
    <s v="НИОКР, НИР прочие"/>
    <s v="Расходная часть"/>
    <s v="Рамочный"/>
    <s v="20%"/>
    <s v=""/>
    <s v=""/>
    <s v="23 965 686.00"/>
    <s v="19 971 405.00"/>
    <s v="3 994 281.00"/>
    <s v="нет"/>
    <s v="нет"/>
    <s v=""/>
    <s v=""/>
    <s v=""/>
    <s v=""/>
    <s v="нет"/>
  </r>
  <r>
    <s v="Газпромнефть-ГЕО, ООО"/>
    <s v="0000088405"/>
    <s v="Зарегистрирован"/>
    <d v="2022-08-03T00:00:00"/>
    <s v=""/>
    <x v="169"/>
    <s v="6312086734"/>
    <s v="ГЕО-20/10838/00020/Р"/>
    <s v=""/>
    <s v="5"/>
    <s v="Нетиповой ДД"/>
    <x v="0"/>
    <s v=""/>
    <s v="00711-22"/>
    <s v=""/>
    <s v="Дополнительное соглашение к договору по перераспределение между гарант. и негарант. объёмами работ"/>
    <s v="Приведение негарантированного объема работ в гарантированный на 2023г. в связи с производственной необходимостью. "/>
    <s v="Забиров А.А."/>
    <s v="Забиров А.А."/>
    <s v="Договорный документ"/>
    <s v="Производственно-технологический департамент"/>
    <s v="Перфильев Д.А."/>
    <s v="ЭП"/>
    <s v="С ограничением по срокам "/>
    <d v="2022-08-03T00:00:00"/>
    <d v="2023-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8775"/>
    <s v="Зарегистрирован"/>
    <d v="2023-12-13T00:00:00"/>
    <s v=""/>
    <x v="78"/>
    <s v="7728142525"/>
    <s v="ГЕО-19/09000/00227/Р "/>
    <s v=""/>
    <s v="4"/>
    <s v="Нетиповой ДД"/>
    <x v="0"/>
    <s v=""/>
    <s v="00711-23"/>
    <s v=""/>
    <s v="ДС №4 к К ДОГОВОРУ № 22-51908 /ГЕО-19/09000/00227/Р ОТ 02.09.2019"/>
    <s v="Заключение дополнительного соглашения на продление договора без увеличения стоимости."/>
    <s v="Исаева И.С."/>
    <s v="Исаева И.С."/>
    <s v="Договорный документ"/>
    <s v="Отдел административной поддержки бизнеса"/>
    <s v="Буракова О.В."/>
    <s v="ЭП"/>
    <s v="С ограничением по срокам "/>
    <d v="2024-01-01T00:00:00"/>
    <d v="2024-12-31T00:00:00"/>
    <s v="Д-33"/>
    <s v="Договор возмездного оказания услуг"/>
    <s v="Не предполагает взаиморасчетов"/>
    <s v=""/>
    <s v=""/>
    <s v=""/>
    <s v=""/>
    <s v=""/>
    <s v=""/>
    <s v=""/>
    <s v="нет"/>
    <s v="нет"/>
    <s v=""/>
    <s v=""/>
    <s v=""/>
    <s v=""/>
    <s v="нет"/>
  </r>
  <r>
    <s v="Газпромнефть-ГЕО, ООО"/>
    <s v="0000040642"/>
    <s v="Зарегистрирован"/>
    <d v="2021-10-26T00:00:00"/>
    <s v=""/>
    <x v="4"/>
    <s v="7736035485"/>
    <s v="20 DR 077 / ГЕО-20/17000/00171Р  "/>
    <s v=""/>
    <s v="2"/>
    <s v="Нетиповой ДД"/>
    <x v="0"/>
    <s v=""/>
    <s v="00712-21"/>
    <s v=""/>
    <s v="Дополнительное соглашение №2 к Договору (Полису) страхования рисков при разведке и разработке месторождений № 20 DR 077 / ГЕО-20/17000/00171Р  "/>
    <s v="Продление срока действия Договора (Полиса) до 18.03.2022"/>
    <s v="Шишова О.П."/>
    <s v="Шишова О.П."/>
    <s v="Договорный документ"/>
    <s v="Кластер &quot;Традиционные запасы&quot;"/>
    <s v="Николаев М.Н."/>
    <s v="На бумажном носителе"/>
    <s v="С ограничением по срокам "/>
    <d v="2021-11-01T00:00:00"/>
    <d v="2022-03-18T00:00:00"/>
    <s v=""/>
    <s v="Договор страхования"/>
    <s v="Не предполагает взаиморасчетов"/>
    <s v=""/>
    <s v=""/>
    <s v=""/>
    <s v=""/>
    <s v=""/>
    <s v=""/>
    <s v=""/>
    <s v="нет"/>
    <s v="нет"/>
    <s v=""/>
    <s v=""/>
    <s v=""/>
    <s v=""/>
    <s v="нет"/>
  </r>
  <r>
    <s v="Газпромнефть-ГЕО, ООО"/>
    <s v="0000044973"/>
    <s v="Зарегистрирован"/>
    <d v="2022-08-10T00:00:00"/>
    <s v=""/>
    <x v="158"/>
    <s v="7709413265"/>
    <s v="ГЕО-22/07100/00042/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712-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ереход на ЭДО"/>
    <s v="Раковица Д.К."/>
    <s v=""/>
    <s v="Договорный документ"/>
    <s v="Отдел подготовительных работ и экономического анализа"/>
    <s v="Имангулов А.Р."/>
    <s v="На бумажном носителе"/>
    <s v="С ограничением по срокам "/>
    <d v="2022-08-05T00:00:00"/>
    <d v="2023-03-15T00:00:00"/>
    <s v="Д-2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7108"/>
    <s v="Зарегистрирован"/>
    <d v="2023-11-30T00:00:00"/>
    <s v=""/>
    <x v="19"/>
    <s v="3245502148"/>
    <s v=""/>
    <s v="ГЕО-23/33200/00206"/>
    <s v="ГЕО-23/33200/00206"/>
    <s v="Типовой ДД"/>
    <x v="1"/>
    <s v="33200 Соглашение об электронном документообороте"/>
    <s v="00712-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Договорный документ"/>
    <s v="Финансовое управление"/>
    <s v="Ковтун М.А."/>
    <s v="ЭП"/>
    <s v="Без сроков "/>
    <d v="2023-11-3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0642"/>
    <s v="Зарегистрирован"/>
    <d v="2021-10-26T00:00:00"/>
    <s v=""/>
    <x v="4"/>
    <s v="7736035485"/>
    <s v="20 GL 0702 / ГЕО-20/17000/00172/Р "/>
    <s v=""/>
    <s v="2"/>
    <s v="Нетиповой ДД"/>
    <x v="0"/>
    <s v=""/>
    <s v="00713-21"/>
    <s v=""/>
    <s v="Дополнительное соглашение №2 к Договору Страхования Общей Гражданской Ответственности и Ответственности Товаропроизводителя (ПОЛИСУ) № 20 GL 0702 / ГЕО-20/17000/00172/Р от 30.10.2020"/>
    <s v="Продление срока действия Договора (Полиса) до 18.03.2022"/>
    <s v="Шишова О.П."/>
    <s v=""/>
    <s v="Договорный документ"/>
    <s v="Кластер &quot;Традиционные запасы&quot;"/>
    <s v="Николаев М.Н."/>
    <s v="На бумажном носителе"/>
    <s v="С ограничением по срокам "/>
    <d v="2021-11-01T00:00:00"/>
    <d v="2022-03-18T00:00:00"/>
    <s v=""/>
    <s v="Договор страхования"/>
    <s v="Расходная часть"/>
    <s v="Стоимостной"/>
    <s v="без НДС"/>
    <s v=""/>
    <s v=""/>
    <s v="6 686 208.00"/>
    <s v="6 686 208.00"/>
    <n v="0"/>
    <s v="нет"/>
    <s v="нет"/>
    <s v=""/>
    <s v=""/>
    <s v=""/>
    <s v=""/>
    <s v="нет"/>
  </r>
  <r>
    <s v="Газпромнефть-ГЕО, ООО"/>
    <s v=""/>
    <s v="Зарегистрирован"/>
    <d v="2022-07-25T00:00:00"/>
    <s v=""/>
    <x v="425"/>
    <s v=""/>
    <s v="ГЕО-22/11029/00172/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713-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условий применения УКЭП"/>
    <s v="Яшкина К.Л."/>
    <s v="Яшкина К.Л."/>
    <s v="Договорный документ"/>
    <s v="Блок снабжения и закупок"/>
    <s v="Масалкин Ю.В."/>
    <s v="На бумажном носителе"/>
    <s v="С ограничением по срокам "/>
    <d v="2022-07-25T00:00:00"/>
    <d v="2024-04-10T00:00:00"/>
    <s v=""/>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Не предполагает взаиморасчетов"/>
    <s v="Рамочный"/>
    <s v=""/>
    <s v=""/>
    <s v=""/>
    <s v=""/>
    <s v=""/>
    <s v=""/>
    <s v="нет"/>
    <s v="нет"/>
    <s v=""/>
    <s v=""/>
    <s v=""/>
    <s v=""/>
    <s v="нет"/>
  </r>
  <r>
    <s v="Газпромнефть-ГЕО, ООО"/>
    <s v="0000086584"/>
    <s v="Зарегистрирован"/>
    <d v="2023-11-30T00:00:00"/>
    <s v=""/>
    <x v="113"/>
    <s v="5609077986"/>
    <s v=""/>
    <s v="ГЕО-23/33200/00204"/>
    <s v="ГЕО-23/33200/00204"/>
    <s v="Типовой ДД"/>
    <x v="1"/>
    <s v="33200 Соглашение об электронном документообороте"/>
    <s v="00713-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Договорный документ"/>
    <s v="Финансовое управление"/>
    <s v="Ковтун М.А."/>
    <s v="На бумажном носителе"/>
    <s v="Без сроков "/>
    <d v="2023-11-3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93931"/>
    <s v="Зарегистрирован"/>
    <d v="2022-09-01T00:00:00"/>
    <s v=""/>
    <x v="426"/>
    <s v="8802001878"/>
    <s v="ГЕО-20/11518/00067/Р"/>
    <s v=""/>
    <s v="1"/>
    <s v="Нетиповой ДД"/>
    <x v="0"/>
    <s v=""/>
    <s v="00714-22"/>
    <s v=""/>
    <s v="Дополнительное соглашение к соглашению о компенсации убытков"/>
    <s v="Заключение дополнительного соглашения"/>
    <s v="Горев М.А."/>
    <s v="Горев М.А."/>
    <s v="Договорный документ"/>
    <s v="Управление маркшейдерско-землеустроительных работ"/>
    <s v="Аксенов М.А."/>
    <s v="На бумажном носителе"/>
    <s v="Без сроков "/>
    <d v="2022-09-01T00:00:00"/>
    <s v=""/>
    <s v=""/>
    <s v="Соглашение о сервитуте"/>
    <s v="Не предполагает взаиморасчетов"/>
    <s v=""/>
    <s v=""/>
    <s v=""/>
    <s v=""/>
    <s v=""/>
    <s v=""/>
    <s v=""/>
    <s v="нет"/>
    <s v="нет"/>
    <s v=""/>
    <s v=""/>
    <s v=""/>
    <s v=""/>
    <s v="нет"/>
  </r>
  <r>
    <s v="Газпромнефть-ГЕО, ООО"/>
    <s v="0000087412"/>
    <s v="Зарегистрирован"/>
    <d v="2023-11-30T00:00:00"/>
    <s v=""/>
    <x v="427"/>
    <s v="7734354140"/>
    <s v=""/>
    <s v="ГЕО-23/33200/00205"/>
    <s v="ГЕО-23/33200/00205"/>
    <s v="Типовой ДД"/>
    <x v="1"/>
    <s v="33200 Соглашение об электронном документообороте"/>
    <s v="00714-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Договорный документ"/>
    <s v="Финансовое управление"/>
    <s v="Ковтун М.А."/>
    <s v="На бумажном носителе"/>
    <s v="Без сроков "/>
    <d v="2023-11-3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6570"/>
    <s v="Закрыт"/>
    <d v="2021-10-28T00:00:00"/>
    <s v=""/>
    <x v="389"/>
    <s v="561504779598"/>
    <s v=""/>
    <s v="ГЕО-21/26000/00243"/>
    <s v="ГЕО-21/26000/00243"/>
    <s v="Типовой ДД"/>
    <x v="1"/>
    <s v="26000 Договор о конфиденциальности с физическим лицом"/>
    <s v="00715-21"/>
    <s v=""/>
    <s v="26000 Договор о конфиденциальности с физическим лицом"/>
    <s v="Заключение договора возмездного оказания услуг в отношении расположенных в границах Оренбургской области объектов недвижимого имущества и земельных участков, необходимых для эксплуатации объектов Заказчика"/>
    <s v="Расулов И.Ф."/>
    <s v="Расулов И.Ф."/>
    <s v="Договорный документ"/>
    <s v="Управление маркшейдерско-землеустроительных работ"/>
    <s v="Масалкин Ю.В."/>
    <s v="На бумажном носителе"/>
    <s v="С ограничением по срокам "/>
    <d v="2021-11-01T00:00:00"/>
    <d v="2022-06-30T00:00:00"/>
    <s v=""/>
    <s v="Соглашение о конфиденциальности"/>
    <s v="Не предполагает взаиморасчетов"/>
    <s v="Стоимостной"/>
    <s v=""/>
    <s v=""/>
    <s v=""/>
    <s v=""/>
    <s v=""/>
    <s v=""/>
    <s v="нет"/>
    <s v="нет"/>
    <s v=""/>
    <s v=""/>
    <s v=""/>
    <s v=""/>
    <s v="нет"/>
  </r>
  <r>
    <s v="Газпромнефть-ГЕО, ООО"/>
    <s v=""/>
    <s v="Зарегистрирован"/>
    <d v="2022-07-25T00:00:00"/>
    <s v=""/>
    <x v="425"/>
    <s v=""/>
    <s v="ГЕО-22/11029/00171/Р"/>
    <s v=""/>
    <s v="2"/>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715-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Включение условий применения УКЭП"/>
    <s v="Яшкина К.Л."/>
    <s v="Яшкина К.Л."/>
    <s v="Договорный документ"/>
    <s v="Блок снабжения и закупок"/>
    <s v="Масалкин Ю.В."/>
    <s v="На бумажном носителе"/>
    <s v="С ограничением по срокам "/>
    <d v="2022-07-25T00:00:00"/>
    <d v="2024-04-10T00:00:00"/>
    <s v=""/>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Не предполагает взаиморасчетов"/>
    <s v="Рамочный"/>
    <s v=""/>
    <s v=""/>
    <s v=""/>
    <s v=""/>
    <s v=""/>
    <s v=""/>
    <s v="нет"/>
    <s v="нет"/>
    <s v=""/>
    <s v=""/>
    <s v=""/>
    <s v=""/>
    <s v="нет"/>
  </r>
  <r>
    <s v="Газпромнефть-ГЕО, ООО"/>
    <s v="0000086570"/>
    <s v="Зарегистрирован"/>
    <d v="2023-12-28T00:00:00"/>
    <s v=""/>
    <x v="389"/>
    <s v="561504779598"/>
    <s v=""/>
    <s v="ГЕО-23/25000/00208/Р"/>
    <s v="ГЕО-23/25000/00208/Р"/>
    <s v="Типовой ДД"/>
    <x v="2"/>
    <s v="25000 Договор об оказании услуг физическим лицом (без выезда на Лицензионные участки Заказчика)"/>
    <s v="00715-23"/>
    <s v=""/>
    <s v="25000 Договор об оказании услуг физическим лицом (без выезда на Лицензионные участки Заказчика)"/>
    <s v="Заключение договора возмездного оказания услуг в отношении земельных участков, расположенных в границах Оренбургской области, необходимых для эксплуатации объектов Заказчика "/>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4-01-01T00:00:00"/>
    <d v="2025-07-31T00:00:00"/>
    <s v=""/>
    <s v="Договор оказания услуг с физическим лицом"/>
    <s v="Расходная часть"/>
    <s v="Стоимостной"/>
    <s v="13%"/>
    <s v=""/>
    <s v=""/>
    <s v="1 425 000.00"/>
    <s v="1 239 750.00"/>
    <s v="185 250.00"/>
    <s v="нет"/>
    <s v="нет"/>
    <s v=""/>
    <s v=""/>
    <s v=""/>
    <s v=""/>
    <s v="нет"/>
  </r>
  <r>
    <s v="Газпромнефть-ГЕО, ООО"/>
    <s v="0000058328"/>
    <s v="Зарегистрирован"/>
    <d v="2021-12-30T00:00:00"/>
    <s v=""/>
    <x v="76"/>
    <s v="5032180980"/>
    <s v=""/>
    <s v="ГЕО-21/09100/00310/Р"/>
    <s v="ГЕО-21/09100/00310/Р"/>
    <s v="Нетиповой ДД"/>
    <x v="2"/>
    <s v=""/>
    <s v="00716-21"/>
    <s v=""/>
    <s v="Договор об образовании на обучение по дополнительным образовательным программам (об оказании платных образовательных услуг)"/>
    <s v="Образовательная услуга по предоставлению программы профессиональной переподготовки «Executive MBA for Eurasia», с ноября 2021 г по июль 2023г, Аксенов М.А."/>
    <s v="Курашко М.В."/>
    <s v="Курашко М.В."/>
    <s v="Договорный документ"/>
    <s v="Управление по работе с персоналом"/>
    <s v="Масалкин Ю.В."/>
    <s v="На бумажном носителе"/>
    <s v="До исполнения обязательств"/>
    <d v="2021-12-30T00:00:00"/>
    <s v=""/>
    <s v=""/>
    <s v="Договор на обучение (тренинги, семинары и проч.)"/>
    <s v="Расходная часть"/>
    <s v="Рамочный"/>
    <s v="20%"/>
    <s v=""/>
    <s v=""/>
    <s v="9 694 258.02"/>
    <s v="8 078 548.35"/>
    <s v="1 615 709.67"/>
    <s v="нет"/>
    <s v="нет"/>
    <s v=""/>
    <s v=""/>
    <s v=""/>
    <s v=""/>
    <s v="нет"/>
  </r>
  <r>
    <s v="Газпромнефть-ГЕО, ООО"/>
    <s v=""/>
    <s v="Закрыт"/>
    <d v="2022-08-16T00:00:00"/>
    <s v=""/>
    <x v="418"/>
    <s v=""/>
    <s v=""/>
    <s v="ГЕО-22/04500/00186/Д"/>
    <s v="ГЕО-22/04500/00186/Д"/>
    <s v="Нетиповой ДД"/>
    <x v="2"/>
    <s v=""/>
    <s v="00716-22"/>
    <s v=""/>
    <s v="Договор субаренды нежилого помещения"/>
    <s v="В целях регистрации УК ООО «АСБ ГЕО»  в г.Санкт-Петербург"/>
    <s v="Буракова О.В."/>
    <s v="Буракова О.В."/>
    <s v="Договорный документ"/>
    <s v="Отдел административной поддержки бизнеса"/>
    <s v="Масалкин Ю.В."/>
    <s v="На бумажном носителе"/>
    <s v="С ограничением по срокам "/>
    <d v="2022-09-01T00:00:00"/>
    <d v="2022-11-30T00:00:00"/>
    <s v=""/>
    <s v="Договор субаренды недвижимости"/>
    <s v="Доходная часть"/>
    <s v="Стоимостной"/>
    <s v="20%"/>
    <s v=""/>
    <s v=""/>
    <s v="113 555.84"/>
    <s v="94 629.87"/>
    <s v="18 925.97"/>
    <s v="нет"/>
    <s v="нет"/>
    <s v=""/>
    <s v=""/>
    <s v=""/>
    <s v=""/>
    <s v="нет"/>
  </r>
  <r>
    <s v="Газпромнефть-ГЕО, ООО"/>
    <s v="0000091163"/>
    <s v="Зарегистрирован"/>
    <d v="2021-10-25T00:00:00"/>
    <s v=""/>
    <x v="149"/>
    <s v="5001063958"/>
    <s v="00547-21"/>
    <s v=""/>
    <s v="1"/>
    <s v="Типовой ДД"/>
    <x v="0"/>
    <s v="00000 Дополнительное соглашение на изменение Приложения к ранее заключенным договорам &quot;Соглашение в области производственной безопасности&quot; (код по КТ-020 выбирать в соответствии с кодом договора)"/>
    <s v="00717-21"/>
    <s v=""/>
    <s v="00000 Дополнительное соглашение на изменение Приложения к ранее заключенным договорам &quot;Соглашение в области производственной безопасности&quot; (код по КТ-020 выбирать в соответствии с кодом договора)"/>
    <s v="Изложение в новой редакции Приложения №1 &quot;Соглашение в области производственной безопасности&quot;"/>
    <s v="Федоров А.Г."/>
    <s v="Хохлов А.А."/>
    <s v="Договорный документ"/>
    <s v="Управление маркшейдерско-землеустроительных работ"/>
    <s v="Перфильев Д.А."/>
    <s v="На бумажном носителе"/>
    <s v="С ограничением по срокам "/>
    <d v="2021-10-25T00:00:00"/>
    <d v="2024-12-31T00:00:00"/>
    <s v="Д-22"/>
    <s v="Аэрофотосъемка, космическая съемка. Создание ортофотопланов"/>
    <s v="Не предполагает взаиморасчетов"/>
    <s v=""/>
    <s v=""/>
    <s v=""/>
    <s v=""/>
    <s v=""/>
    <s v=""/>
    <s v=""/>
    <s v="нет"/>
    <s v="нет"/>
    <s v=""/>
    <s v=""/>
    <s v=""/>
    <s v=""/>
    <s v="нет"/>
  </r>
  <r>
    <s v="Газпромнефть-ГЕО, ООО"/>
    <s v="0000074750"/>
    <s v="Зарегистрирован"/>
    <d v="2022-10-07T00:00:00"/>
    <s v=""/>
    <x v="66"/>
    <s v="8905062456"/>
    <s v="№ГЕО-19/10126/00195/Р "/>
    <s v=""/>
    <s v="4"/>
    <s v="Нетиповой ДД"/>
    <x v="0"/>
    <s v=""/>
    <s v="00717-22"/>
    <s v=""/>
    <s v="ДС №4 к Договору №ГЕО-19/10126/00195/Р от 01.08.2019 г."/>
    <s v="Индексация единичных расценок, ввод дополнительных единичных расценок, продление срока действия договора, актуализация требований ПБ_x000d__x000a_"/>
    <s v="Ушакова М.А."/>
    <s v=""/>
    <s v="Договорный документ"/>
    <s v="Блок геологии и разработки"/>
    <s v="Аксенов М.А."/>
    <s v="На бумажном носителе"/>
    <s v="С ограничением по срокам "/>
    <d v="2022-10-07T00:00:00"/>
    <d v="2023-12-31T00:00:00"/>
    <s v=""/>
    <s v="Договор возмездного оказания услуг"/>
    <s v="Расходная часть"/>
    <s v="Рамочный"/>
    <s v="20%"/>
    <s v=""/>
    <s v=""/>
    <s v="69 963 896.99"/>
    <s v="58 303 247.49"/>
    <s v="11 660 649.50"/>
    <s v="нет"/>
    <s v="нет"/>
    <s v=""/>
    <s v=""/>
    <s v=""/>
    <s v=""/>
    <s v="нет"/>
  </r>
  <r>
    <s v="Газпромнефть-ГЕО, ООО"/>
    <s v="0000039714"/>
    <s v="Зарегистрирован"/>
    <d v="2023-12-02T00:00:00"/>
    <s v=""/>
    <x v="1"/>
    <s v="7734033757"/>
    <s v="ГЕО-21/10114/00257/Р"/>
    <s v=""/>
    <s v="8"/>
    <s v="Нетиповой ДД"/>
    <x v="3"/>
    <s v=""/>
    <s v="00717-23"/>
    <s v=""/>
    <s v="Наряд-заказ №8 на оказание услуг по Договору № ГЕО-21/10114/00257/Р от 22.11.2021г. "/>
    <s v="Оказание услуг по супервайзерскому контролю технологии полевых сейсморазведочных работ на Южно-Новопортовском лицензионном участке."/>
    <s v="Безруков А.А."/>
    <s v="Дакиров В.С."/>
    <s v="Договорный документ"/>
    <s v="Блок геологии и разработки"/>
    <s v="Аксенов М.А."/>
    <s v="ЭП"/>
    <s v="До исполнения обязательств"/>
    <d v="2023-12-02T00:00:00"/>
    <s v=""/>
    <s v="Д-54"/>
    <s v="Супервайзерские услуги полевых работ площадными геофизическими методами"/>
    <s v="Расходная часть"/>
    <s v="Стоимостной"/>
    <s v="20%"/>
    <s v=""/>
    <s v=""/>
    <s v="2 693 460.00"/>
    <s v="2 244 550.00"/>
    <s v="448 910.00"/>
    <s v="нет"/>
    <s v="нет"/>
    <s v=""/>
    <s v=""/>
    <s v=""/>
    <s v=""/>
    <s v="нет"/>
  </r>
  <r>
    <s v="Газпромнефть-ГЕО, ООО"/>
    <s v="0000073563"/>
    <s v="Зарегистрирован"/>
    <d v="2022-08-03T00:00:00"/>
    <s v=""/>
    <x v="120"/>
    <s v="8609322418"/>
    <s v=""/>
    <s v="ГЕО-22/10402/00187/Р"/>
    <s v="ГЕО-22/10402/00187/Р"/>
    <s v="Типовой ДД"/>
    <x v="2"/>
    <s v="10402 Типовой договор (мастер-форма) на Капитальный ремонт и освоение скважин"/>
    <s v="00718-22"/>
    <s v=""/>
    <s v="10402 Типовой договор (мастер-форма) на Капитальный ремонт и освоение скважин"/>
    <s v="Выполнение работ по текущему, капитальному ремонту и освоению скважин"/>
    <s v="Шкателов А.А."/>
    <s v="Шкателов А.А."/>
    <s v="Договорный документ"/>
    <s v="Блок бурения и ВСР"/>
    <s v="Агеев П.А."/>
    <s v="ЭП"/>
    <s v="С ограничением по срокам "/>
    <d v="2022-08-03T00:00:00"/>
    <d v="2024-12-31T00:00:00"/>
    <s v="Д-52"/>
    <s v="Капитальный ремонт и освоение скважин"/>
    <s v="Расходная часть"/>
    <s v="Стоимостной"/>
    <s v="20%"/>
    <s v=""/>
    <s v=""/>
    <s v="1 014 180 387.78"/>
    <s v="845 150 323.15"/>
    <s v="169 030 064.63"/>
    <s v="нет"/>
    <s v="нет"/>
    <s v=""/>
    <s v=""/>
    <s v=""/>
    <s v=""/>
    <s v="нет"/>
  </r>
  <r>
    <s v="Газпромнефть-ГЕО, ООО"/>
    <s v="0000060716"/>
    <s v="Зарегистрирован"/>
    <d v="2021-09-08T00:00:00"/>
    <s v=""/>
    <x v="18"/>
    <s v="7728803870"/>
    <s v=""/>
    <s v="ГЕО-21/10303/00204/Р"/>
    <s v="ГЕО-21/10303/00204/Р"/>
    <s v="Типовой ДД"/>
    <x v="2"/>
    <s v="Для загрузки в УИДО"/>
    <s v="00718-23"/>
    <s v=""/>
    <s v="Договор подряда, переданный от ООО &quot;Газпромнефть-Оренбург&quot; в ГПН-ГЕО с ООО &quot;ИСК &quot;Петроинжиниринг&quot; Для загрузки в УИДО"/>
    <s v="Соглашение о передаче прав ГПН-ГЕО по Договору подряда по приготовлению и инженерному сопровождению буровых растворов № ОРН-18/10303/03693/Р от 20.12.2018г. "/>
    <s v="Герасимова О.А."/>
    <s v=""/>
    <s v="Договорный документ"/>
    <s v="Отдел административной поддержки бизнеса"/>
    <s v="Трифонов А.В."/>
    <s v="На бумажном носителе"/>
    <s v="С ограничением по срокам "/>
    <d v="2021-10-01T00:00:00"/>
    <d v="2024-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93 561 801.40"/>
    <s v="77 968 167.83"/>
    <s v="15 593 633.57"/>
    <s v="нет"/>
    <s v="нет"/>
    <s v=""/>
    <s v=""/>
    <s v=""/>
    <s v=""/>
    <s v="нет"/>
  </r>
  <r>
    <s v="Газпромнефть-ГЕО, ООО"/>
    <s v="0000048878"/>
    <s v="Зарегистрирован"/>
    <d v="2021-11-01T00:00:00"/>
    <s v=""/>
    <x v="29"/>
    <s v="1645019164"/>
    <s v="№ГЕО-19/10111/00120/P"/>
    <s v=""/>
    <s v="6"/>
    <s v="Нетиповой ДД"/>
    <x v="0"/>
    <s v=""/>
    <s v="00719-21"/>
    <s v=""/>
    <s v="Дополнительное соглашение к договору на выполнение работ по обработке и интерпретации данных СРР №ГЕО-19/10111/00120/P на перевод из НГО в ГО"/>
    <s v="Перевод из НГО в ГО объемов по Ягодному и Журавлевскому ЛУ для исполнения ДД с ГПН-Оренбург и ООО НТДН"/>
    <s v="Мурзин Р.Р."/>
    <s v="Мурзин Р.Р."/>
    <s v="Договорный документ"/>
    <s v="Управление сейсморазведочных работ"/>
    <s v="Масалкин Ю.В."/>
    <s v="На бумажном носителе"/>
    <s v="С ограничением по срокам "/>
    <d v="2021-11-01T00:00:00"/>
    <d v="2024-12-31T00:00:00"/>
    <s v=""/>
    <s v="Обработка и интерпретация сейсмических данных 3Д, 2Д"/>
    <s v="Расходная часть"/>
    <s v="Агентский"/>
    <s v="20%"/>
    <s v=""/>
    <s v=""/>
    <s v="27 680 499.60"/>
    <s v="23 067 083.00"/>
    <s v="4 613 416.60"/>
    <s v="нет"/>
    <s v="нет"/>
    <s v=""/>
    <s v=""/>
    <s v=""/>
    <s v=""/>
    <s v="нет"/>
  </r>
  <r>
    <s v="Газпромнефть-ГЕО, ООО"/>
    <s v="0000081522"/>
    <s v="Зарегистрирован"/>
    <d v="2024-02-06T00:00:00"/>
    <s v=""/>
    <x v="428"/>
    <s v="7839483009"/>
    <s v=""/>
    <s v="ГЕО-24/01200/00016/Р"/>
    <s v="ГЕО-24/01200/00016/Р"/>
    <s v="Нетиповой ДД"/>
    <x v="2"/>
    <s v=""/>
    <s v="00719-23"/>
    <s v=""/>
    <s v="Договор поставки"/>
    <s v="Предоставление сертификатов на техподдержку серверного оборудования Yadro"/>
    <s v="Сорокин И.М."/>
    <s v="Сорокин И.М."/>
    <s v="Договорный документ"/>
    <s v="Блок геологии и разработки"/>
    <s v="Аксенов М.А."/>
    <s v="На бумажном носителе"/>
    <s v="До исполнения обязательств"/>
    <d v="2024-02-06T00:00:00"/>
    <s v=""/>
    <s v="Д-54"/>
    <s v="Договор поставки/купли продажи движимого имущества"/>
    <s v="Расходная часть"/>
    <s v="Стоимостной"/>
    <s v="20%"/>
    <s v=""/>
    <s v=""/>
    <s v="872 650.00"/>
    <s v="727 208.33"/>
    <s v="145 441.67"/>
    <s v="нет"/>
    <s v="нет"/>
    <s v=""/>
    <s v=""/>
    <s v=""/>
    <s v=""/>
    <s v="нет"/>
  </r>
  <r>
    <s v="Газпромнефть-ГЕО, ООО"/>
    <s v="0000027605"/>
    <s v="Проект"/>
    <s v=""/>
    <s v=""/>
    <x v="67"/>
    <s v="8605003932"/>
    <s v=""/>
    <s v=""/>
    <s v=""/>
    <s v="Нетиповой ДД"/>
    <x v="1"/>
    <s v=""/>
    <s v="00720-21"/>
    <s v=""/>
    <s v="Соглашение об ЭДО по форме контрагента"/>
    <s v="электронный документооборот"/>
    <s v="Белоусов О.В."/>
    <s v="Белоусов О.В."/>
    <s v="Договорный документ"/>
    <s v="Отдел по промышленной и пожарной безопасности"/>
    <s v="Ковтун М.А."/>
    <s v="На бумажном носителе"/>
    <s v="Без сроков "/>
    <d v="2021-09-29T00:00:00"/>
    <s v=""/>
    <s v="Д-5"/>
    <s v="ПРОЧИЕ ДОГОВОРЫ"/>
    <s v="Не предполагает взаиморасчетов"/>
    <s v=""/>
    <s v=""/>
    <s v=""/>
    <s v=""/>
    <s v=""/>
    <s v=""/>
    <s v=""/>
    <s v="нет"/>
    <s v="нет"/>
    <s v=""/>
    <s v=""/>
    <s v=""/>
    <s v=""/>
    <s v="нет"/>
  </r>
  <r>
    <s v="Газпромнефть-ГЕО, ООО"/>
    <s v="0000103882"/>
    <s v="Зарегистрирован"/>
    <d v="2022-08-08T00:00:00"/>
    <s v=""/>
    <x v="429"/>
    <s v="891302516762"/>
    <s v=""/>
    <s v="ГЕО-22/35000/00182"/>
    <s v="ГЕО-22/35000/00182"/>
    <s v="Нетиповой ДД"/>
    <x v="1"/>
    <s v=""/>
    <s v="00720-22"/>
    <s v=""/>
    <s v="Соглашение о безопасном использовании информационных систем с Коваленко М.В."/>
    <s v="Соглашение о безопасном использовании информационных систем с Коваленко М.В."/>
    <s v="Ахматгалиев С.З."/>
    <s v=""/>
    <s v="Договорный документ"/>
    <s v="Блок корпоративной защиты"/>
    <s v="Созинов С.А."/>
    <s v="На бумажном носителе"/>
    <s v="С ограничением по срокам "/>
    <d v="2022-08-08T00:00:00"/>
    <d v="2023-12-31T00:00:00"/>
    <s v="Д-60"/>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48275"/>
    <s v="Зарегистрирован"/>
    <d v="2023-12-07T00:00:00"/>
    <s v=""/>
    <x v="83"/>
    <s v="7709267582"/>
    <s v="ГЕО-22/33100/00162"/>
    <s v=""/>
    <s v="1"/>
    <s v="Типовой ДД"/>
    <x v="0"/>
    <s v="33100 Дополнительное соглашение к Соглашениям в  в области производственной безопасности;"/>
    <s v="00720-23"/>
    <s v=""/>
    <s v="33100 Дополнительное соглашение к Соглашениям в  в области производственной безопасности;"/>
    <s v="Актуализация соглашения о ПБ"/>
    <s v="Яшкина К.Л."/>
    <s v="Морозов А.В."/>
    <s v="Договорный документ"/>
    <s v="Блок производственной безопасности"/>
    <s v="Михайлов Ю.А."/>
    <s v="ЭП"/>
    <s v="До исполнения обязательств"/>
    <d v="2023-12-07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0952"/>
    <s v="Зарегистрирован"/>
    <d v="2021-10-28T00:00:00"/>
    <s v=""/>
    <x v="207"/>
    <s v="7203126844"/>
    <s v=""/>
    <s v="ГЕО-21/00000/00244"/>
    <s v="ГЕО-21/00000/00244"/>
    <s v="Типовой ДД"/>
    <x v="1"/>
    <s v="00000 Соглашение в области производственной безопасности"/>
    <s v="00721-21"/>
    <s v=""/>
    <s v="00000 Соглашение в области производственной безопасности"/>
    <s v="Заключение соглашения по ПБ"/>
    <s v="Ахматгалиев С.З."/>
    <s v="Ахматгалиев С.З."/>
    <s v="Договорный документ"/>
    <s v="Блок главного инженера"/>
    <s v="Перфильев Д.А."/>
    <s v="На бумажном носителе"/>
    <s v="До исполнения обязательств"/>
    <d v="2021-10-28T00:00:00"/>
    <s v=""/>
    <s v="Д-22"/>
    <s v="ПРОЧИЕ ДОГОВОРЫ"/>
    <s v="Не предполагает взаиморасчетов"/>
    <s v=""/>
    <s v=""/>
    <s v=""/>
    <s v=""/>
    <s v=""/>
    <s v=""/>
    <s v=""/>
    <s v="нет"/>
    <s v="нет"/>
    <s v=""/>
    <s v=""/>
    <s v=""/>
    <s v=""/>
    <s v="нет"/>
  </r>
  <r>
    <s v="Газпромнефть-ГЕО, ООО"/>
    <s v="0000080408"/>
    <s v="Зарегистрирован"/>
    <d v="2022-07-25T00:00:00"/>
    <s v=""/>
    <x v="104"/>
    <s v="3812043780"/>
    <s v="ГЕО-22/11029/00172/Р"/>
    <s v=""/>
    <s v="1"/>
    <s v="Нетиповой ДД"/>
    <x v="3"/>
    <s v=""/>
    <s v="00721-22"/>
    <s v=""/>
    <s v="НЗ №1 к договору ГЕО-22/11029/00172/Р от 25.07.2022     "/>
    <s v="Оказание комплекса услуг по устройству и содержанию зимних проездов и площадок геологоразведочных скважин Оморинского лицензионного участка"/>
    <s v="Яшкина К.Л."/>
    <s v="Яшкина К.Л."/>
    <s v="Договорный документ"/>
    <s v="Блок снабжения и закупок"/>
    <s v="Перфильев Д.А."/>
    <s v="ЭП"/>
    <s v="С ограничением по срокам "/>
    <d v="2022-07-25T00:00:00"/>
    <d v="2023-04-10T00:00:00"/>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320 016 272.40"/>
    <s v="266 680 227.00"/>
    <s v="53 336 045.40"/>
    <s v="нет"/>
    <s v="нет"/>
    <s v=""/>
    <s v=""/>
    <s v=""/>
    <s v=""/>
    <s v="нет"/>
  </r>
  <r>
    <s v="Газпромнефть-ГЕО, ООО"/>
    <s v="0000060716"/>
    <s v="Зарегистрирован"/>
    <d v="2023-12-08T00:00:00"/>
    <s v=""/>
    <x v="18"/>
    <s v="7728803870"/>
    <s v=""/>
    <s v="ГЕО-23/33100/00212"/>
    <s v="ГЕО-23/33100/00212"/>
    <s v="Типовой ДД"/>
    <x v="1"/>
    <s v="33100 Соглашение в области производственной безопасности"/>
    <s v="00721-23"/>
    <s v=""/>
    <s v="33100 Соглашение в области производственной безопасности"/>
    <s v="Заключение соглашения ПБ с Петроинжиниринг "/>
    <s v="Яшкина К.Л."/>
    <s v="Кольцов К.В."/>
    <s v="Договорный документ"/>
    <s v="Блок производственной безопасности"/>
    <s v="Михайлов Ю.А."/>
    <s v="ЭП"/>
    <s v="До исполнения обязательств"/>
    <d v="2023-12-08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39514"/>
    <s v="Зарегистрирован"/>
    <d v="2021-10-26T00:00:00"/>
    <s v=""/>
    <x v="430"/>
    <s v="9909004922"/>
    <s v=""/>
    <s v="ГЕО-21/10306/00256/Р"/>
    <s v="ГЕО-21/10306/00256/Р"/>
    <s v="Нетиповой ДД"/>
    <x v="2"/>
    <s v=""/>
    <s v="00722-21"/>
    <s v=""/>
    <s v="Договор на выполнение работ по цементированию обсадных колонн и хвостовиков, установке цементных мостов"/>
    <s v="Цементирование скважин (Проект &quot;Южный Оренбург&quot;"/>
    <s v="Быков Н.В."/>
    <s v="Дунаев Э.В."/>
    <s v="Договорный документ"/>
    <s v="Блок бурения и ВСР"/>
    <s v="Гаврилов С.В."/>
    <s v="На бумажном носителе"/>
    <s v="С ограничением по срокам "/>
    <d v="2021-10-26T00:00:00"/>
    <d v="2024-12-31T00:00:00"/>
    <s v=""/>
    <s v="Цементирование обсадных колонн и хвостовиков, установка цементных мостов"/>
    <s v="Расходная часть"/>
    <s v="Стоимостной"/>
    <s v="20%"/>
    <s v=""/>
    <s v=""/>
    <s v="264 675 103.26"/>
    <s v="220 562 586.05"/>
    <s v="44 112 517.21"/>
    <s v="нет"/>
    <s v="нет"/>
    <s v=""/>
    <s v=""/>
    <s v=""/>
    <s v=""/>
    <s v="нет"/>
  </r>
  <r>
    <s v="Газпромнефть-ГЕО, ООО"/>
    <s v="0000080408"/>
    <s v="Зарегистрирован"/>
    <d v="2022-07-27T00:00:00"/>
    <s v=""/>
    <x v="104"/>
    <s v="3812043780"/>
    <s v="ГЕО-22/11029/00171/Р"/>
    <s v=""/>
    <s v="1"/>
    <s v="Нетиповой ДД"/>
    <x v="3"/>
    <s v=""/>
    <s v="00722-22"/>
    <s v=""/>
    <s v="НЗ №1 к договору ГЕО-22/11029/00171/Р от 25.07.2022  "/>
    <s v="Оказание комплекса услуг по устройству и содержанию зимних проездов и площадок геологоразведочных скважин Салаирского лицензионного участка"/>
    <s v="Яшкина К.Л."/>
    <s v="Яшкина К.Л."/>
    <s v="Договорный документ"/>
    <s v="Блок снабжения и закупок"/>
    <s v="Перфильев Д.А."/>
    <s v="ЭП"/>
    <s v="С ограничением по срокам "/>
    <d v="2022-07-25T00:00:00"/>
    <d v="2023-04-10T00:00:00"/>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463 953 960.00"/>
    <s v="386 628 300.00"/>
    <s v="77 325 660.00"/>
    <s v="нет"/>
    <s v="нет"/>
    <s v=""/>
    <s v=""/>
    <s v=""/>
    <s v=""/>
    <s v="нет"/>
  </r>
  <r>
    <s v="Газпромнефть-ГЕО, ООО"/>
    <s v="0000099166"/>
    <s v="Зарегистрирован"/>
    <d v="2021-10-28T00:00:00"/>
    <s v=""/>
    <x v="101"/>
    <s v="5648004029"/>
    <s v="ГЕО-21/04300/00208/Р"/>
    <s v=""/>
    <s v="1"/>
    <s v="Нетиповой ДД"/>
    <x v="0"/>
    <s v=""/>
    <s v="00723-21"/>
    <s v=""/>
    <s v="Дополнительное соглашение № 1 к Соглашению о возмещении убытков сельскохозяйственного производства, в т. ч. упущенной выгоды и затрат на биологическую рекультивацию при временном занятии земельного участка"/>
    <s v="изменение условия оплаты по Соглашению № ГЕО-21/04300/00208/Р от 15.09.2021г"/>
    <s v="Сазонова А.С."/>
    <s v="Сазонова А.С."/>
    <s v="Договорный документ"/>
    <s v="Управление маркшейдерско-землеустроительных работ"/>
    <s v="Перфильев Д.А."/>
    <s v="На бумажном носителе"/>
    <s v="До исполнения обязательств"/>
    <d v="2021-10-28T00:00:00"/>
    <s v=""/>
    <s v="Д-22"/>
    <s v="Договор аренды недвижимости"/>
    <s v="Не предполагает взаиморасчетов"/>
    <s v=""/>
    <s v=""/>
    <s v=""/>
    <s v=""/>
    <s v=""/>
    <s v=""/>
    <s v=""/>
    <s v="нет"/>
    <s v="нет"/>
    <s v=""/>
    <s v=""/>
    <s v=""/>
    <s v=""/>
    <s v="нет"/>
  </r>
  <r>
    <s v="Газпромнефть-ГЕО, ООО"/>
    <s v="0000040495"/>
    <s v="Зарегистрирован"/>
    <d v="2023-12-13T00:00:00"/>
    <s v=""/>
    <x v="167"/>
    <s v="0275009544"/>
    <s v="ГЕО-22/33100/00254"/>
    <s v=""/>
    <s v="1"/>
    <s v="Типовой ДД"/>
    <x v="0"/>
    <s v="33100 Дополнительное соглашение к Соглашениям в  в области производственной безопасности;"/>
    <s v="00723-23"/>
    <s v=""/>
    <s v="33100 Дополнительное соглашение к Соглашениям в  в области производственной безопасности;"/>
    <s v="Для соблюдения производственной безопасности на объектах Заказчика при выполнении работ "/>
    <s v="Безруков А.А."/>
    <s v=""/>
    <s v="Договорный документ"/>
    <s v="Блок геологии и разработки"/>
    <s v="Михайлов Ю.А."/>
    <s v="ЭП"/>
    <s v="С ограничением по срокам "/>
    <d v="2023-12-13T00:00:00"/>
    <d v="2025-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8974"/>
    <s v="Зарегистрирован"/>
    <d v="2021-11-08T00:00:00"/>
    <s v=""/>
    <x v="81"/>
    <s v="3808120671"/>
    <s v=""/>
    <s v="ГЕО-21/09000/00250/Р"/>
    <s v="ГЕО-21/09000/00250/Р"/>
    <s v="Типовой ДД"/>
    <x v="2"/>
    <s v="09000 Договор на оказание возмездных услуг по охране объектов (пропускного и внутриобъектового режима)"/>
    <s v="00724-21"/>
    <s v=""/>
    <s v="09000 Договор на оказание возмездных услуг по охране объектов (пропускного и внутриобъектового режима)"/>
    <s v="Обеспечение антитеррористической защиты, сохранение жизни, здоровья людей, охраны имущества, обеспечение пропускного и внутриобъектового режимов, правил охраны труда, промышленной, пожарной безопасности, охраны окружающей среды, гражданской защиты, оформление и выдача пропусков, а также иные мероприятия в соответствии со Стандартом Заказчика «Пропускной и внутриобъектовый режимы на лицензионных участках»."/>
    <s v="Рузимуродов И.П."/>
    <s v="Страдымов А.Г. -  Главный специалист по режиму и охране - Блок корпоративной защиты"/>
    <s v="Договорный документ"/>
    <s v="Управление закупок работ и услуг"/>
    <s v="Масалкин Ю.В."/>
    <s v="На бумажном носителе"/>
    <s v="С ограничением по срокам "/>
    <d v="2021-11-08T00:00:00"/>
    <d v="2024-02-29T00:00:00"/>
    <s v=""/>
    <s v="Договор возмездного оказания услуг"/>
    <s v="Расходная часть"/>
    <s v="Рамочный"/>
    <s v="20%"/>
    <s v=""/>
    <s v=""/>
    <s v="70 848 760.24"/>
    <s v="59 040 633.53"/>
    <s v="11 808 126.71"/>
    <s v="нет"/>
    <s v="нет"/>
    <s v=""/>
    <s v=""/>
    <s v=""/>
    <s v=""/>
    <s v="нет"/>
  </r>
  <r>
    <s v="Газпромнефть-ГЕО, ООО"/>
    <s v="0000063179"/>
    <s v="Зарегистрирован"/>
    <d v="2022-08-15T00:00:00"/>
    <s v=""/>
    <x v="54"/>
    <s v="7727747172"/>
    <s v=""/>
    <s v="ГЕО-22/35000/00192"/>
    <s v="ГЕО-22/35000/00192"/>
    <s v="Нетиповой ДД"/>
    <x v="1"/>
    <s v=""/>
    <s v="00724-22"/>
    <s v=""/>
    <s v="Соглашение о безопасном использовании информационных систем"/>
    <s v="В рамках проекта U190001428 “Цифровой партнёр ПБ” (раннее наименование «Цифровой двойник HSE»)"/>
    <s v="Рябикина М.А."/>
    <s v="Фокин Е.В."/>
    <s v="Договорный документ"/>
    <s v="Блок производственной безопасности"/>
    <s v="Власов М.М."/>
    <s v="ЭП"/>
    <s v="С ограничением по срокам "/>
    <d v="2022-08-15T00:00:00"/>
    <d v="2024-12-31T00:00:00"/>
    <s v="Д-59"/>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58703"/>
    <s v="Зарегистрирован"/>
    <d v="2021-07-20T00:00:00"/>
    <s v=""/>
    <x v="5"/>
    <s v="5914024719"/>
    <s v=""/>
    <s v="ГЕО-21/10208/00166/Р"/>
    <s v="ГЕО-21/10208/00166/Р"/>
    <s v="Типовой ДД"/>
    <x v="2"/>
    <s v="Для загрузки в УИДО"/>
    <s v="00724-23"/>
    <s v=""/>
    <s v="Для загрузки в УИДО"/>
    <s v="СОГЛАШЕНИЕ О ПЕРЕМЕНЕ ЛИЦ В ОБЯЗАТЕЛЬСТВЕ к Договору подряда на бурение эксплуатационных скважин по суточной ставке (в т.ч. Мобильными установками) № ОРН-20/10204/00210/Р от 14.02.2020г."/>
    <s v="Герасимова О.А."/>
    <s v="Герасимова О.А."/>
    <s v="Договорный документ"/>
    <s v="Отдел административной поддержки бизнеса"/>
    <s v="Трифонов А.В."/>
    <s v="На бумажном носителе"/>
    <s v="С ограничением по срокам "/>
    <d v="2021-07-20T00:00:00"/>
    <d v="2024-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 484 693 952.31"/>
    <s v="1 237 244 960.26"/>
    <s v="247 448 992.05"/>
    <s v="нет"/>
    <s v="нет"/>
    <s v=""/>
    <s v=""/>
    <s v=""/>
    <s v=""/>
    <s v="нет"/>
  </r>
  <r>
    <s v="Газпромнефть-ГЕО, ООО"/>
    <s v="0000063179"/>
    <s v="Зарегистрирован"/>
    <d v="2021-10-25T00:00:00"/>
    <s v=""/>
    <x v="54"/>
    <s v="7727747172"/>
    <s v="ГЕО-20/10986/00138/Р от 10.08.2020г."/>
    <s v=""/>
    <s v="1"/>
    <s v="Нетиповой ДД"/>
    <x v="9"/>
    <s v=""/>
    <s v="00725-21"/>
    <s v="6"/>
    <s v="Дополнение № 1 к заданию на оказание услуг № 6 к Договору № ГЕО-20/10986/00138/Р от 10.08.2020 г."/>
    <s v="Заключение Дополнения № 1 к Заданию № 6 к Договору № ГЕО-20/10986/00138/Р от 10.08.2020г. с компанией ООО «ОГК» на оказание супервайзерских услуг по контролю состояния производственной безопасности (далее – СП ПБ) в 2021 году для исполнения операторского договора с ООО «ГПН-Хантос» на Северо-Ингольском ЛУ для внесения изменений в сроки оплаты."/>
    <s v="Рябикина М.А."/>
    <s v="А.Н. Анисимов -3. Руководитель региональных проектов по производственной безопасности кластера «Восточная Сибирь и Оренбург»"/>
    <s v="Договорный документ"/>
    <s v="Блок производственной безопасности"/>
    <s v="Власов М.М."/>
    <s v="На бумажном носителе"/>
    <s v="С ограничением по срокам "/>
    <d v="2021-10-25T00:00:00"/>
    <d v="2021-10-31T00:00:00"/>
    <s v="Д-30"/>
    <s v="Супервайзинг ПЭБ и ОТ"/>
    <s v="Расходная часть"/>
    <s v="Тарифный"/>
    <s v="20%"/>
    <s v=""/>
    <s v=""/>
    <s v="1 865 292.00"/>
    <s v="1 554 410.00"/>
    <s v="310 882.00"/>
    <s v="нет"/>
    <s v="нет"/>
    <s v=""/>
    <s v=""/>
    <s v=""/>
    <s v=""/>
    <s v="нет"/>
  </r>
  <r>
    <s v="Газпромнефть-ГЕО, ООО"/>
    <s v="0000060723"/>
    <s v="Зарегистрирован"/>
    <d v="2023-12-14T00:00:00"/>
    <s v=""/>
    <x v="49"/>
    <s v="3811088474"/>
    <s v=""/>
    <s v=""/>
    <s v="36"/>
    <s v="Нетиповой ДД"/>
    <x v="3"/>
    <s v=""/>
    <s v="00725-23"/>
    <s v=""/>
    <s v="НАРЯД-ЗАКАЗ №36 к Договору № АНГ-19/11513/00007/Р от 14.02.2019"/>
    <s v="Выполнение комплекса землеустроительных и лесоустроительных работ (оформление прав на использование лесных участков Оморинского ЛУ без предоставления в аренду, без права рубки лесных насаждений в границах вырубленной трассы автозимника к разведочной скважине Км-4)"/>
    <s v="Горев М.А."/>
    <s v=""/>
    <s v="Договорный документ"/>
    <s v="Управление маркшейдерско-землеустроительных работ"/>
    <s v="Трифонов А.В."/>
    <s v="ЭП"/>
    <s v="С ограничением по срокам "/>
    <d v="2023-12-14T00:00:00"/>
    <d v="2024-06-0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54 961.02"/>
    <s v="295 800.85"/>
    <s v="59 160.17"/>
    <s v="нет"/>
    <s v="нет"/>
    <s v=""/>
    <s v=""/>
    <s v=""/>
    <s v=""/>
    <s v="нет"/>
  </r>
  <r>
    <s v="Газпромнефть-ГЕО, ООО"/>
    <s v="0000049141"/>
    <s v="Зарегистрирован"/>
    <d v="2021-10-28T00:00:00"/>
    <s v=""/>
    <x v="60"/>
    <s v="7203215460"/>
    <s v=""/>
    <s v="ГЕО-21/26000/00245"/>
    <s v="ГЕО-21/26000/00245"/>
    <s v="Типовой ДД"/>
    <x v="1"/>
    <s v="26000 Соглашение о конфиденциальности с российским контрагентом"/>
    <s v="00726-21"/>
    <s v=""/>
    <s v="26000 Соглашение о конфиденциальности с российским контрагентом"/>
    <s v="Заключение соглашения о конфиденциальности"/>
    <s v="Ахматгалиев С.З."/>
    <s v="Ахматгалиев С.З."/>
    <s v="Договорный документ"/>
    <s v="Блок корпоративной защиты"/>
    <s v="Аксенов М.А."/>
    <s v="На бумажном носителе"/>
    <s v="До исполнения обязательств"/>
    <d v="2021-10-28T00:00:00"/>
    <s v=""/>
    <s v="Д-38"/>
    <s v="Соглашение о конфиденциальности"/>
    <s v="Не предполагает взаиморасчетов"/>
    <s v=""/>
    <s v=""/>
    <s v=""/>
    <s v=""/>
    <s v=""/>
    <s v=""/>
    <s v=""/>
    <s v="нет"/>
    <s v="нет"/>
    <s v=""/>
    <s v=""/>
    <s v=""/>
    <s v=""/>
    <s v="нет"/>
  </r>
  <r>
    <s v="Газпромнефть-ГЕО, ООО"/>
    <s v=""/>
    <s v="Зарегистрирован"/>
    <d v="2022-08-10T00:00:00"/>
    <s v=""/>
    <x v="431"/>
    <s v=""/>
    <s v=""/>
    <s v="ГЕО-22/09000/00203/Р"/>
    <s v="ГЕО-22/09000/00203/Р"/>
    <s v="Нетиповой ДД"/>
    <x v="2"/>
    <s v=""/>
    <s v="00726-22"/>
    <s v=""/>
    <s v="На оказание услуг почтовой связи, дополнительных и иных услуг Блока почтового бизнеса и социальных услуг "/>
    <s v="оказание услуг почтовой связи (Бокс-сервис (с односторонним обменом корреспонденции)"/>
    <s v="Потемкина И.В."/>
    <s v="Потемкина И.В."/>
    <s v="Договорный документ"/>
    <s v="Отдел административной поддержки бизнеса"/>
    <s v="Буракова О.В."/>
    <s v="На бумажном носителе"/>
    <s v="С ограничением по срокам "/>
    <d v="2022-08-10T00:00:00"/>
    <d v="2023-12-31T00:00:00"/>
    <s v="Д-46"/>
    <s v="Договор возмездного оказания услуг"/>
    <s v="Расходная часть"/>
    <s v="Стоимостной"/>
    <s v="20%"/>
    <s v=""/>
    <s v=""/>
    <s v="140 089.70"/>
    <s v="116 741.42"/>
    <s v="23 348.28"/>
    <s v="нет"/>
    <s v="да"/>
    <s v="5"/>
    <s v="8 240,57"/>
    <s v=""/>
    <s v=""/>
    <s v="нет"/>
  </r>
  <r>
    <s v="Газпромнефть-ГЕО, ООО"/>
    <s v="0000048275"/>
    <s v="Зарегистрирован"/>
    <d v="2023-12-08T00:00:00"/>
    <s v=""/>
    <x v="83"/>
    <s v="7709267582"/>
    <s v="ГЕО-22/10951/00003/Р"/>
    <s v=""/>
    <s v="1"/>
    <s v="Типовой ДД"/>
    <x v="0"/>
    <s v="ДС по актуализации методологии оценки эффективности деятельности контрагентов и мотивации в области ПБ в действующих договорах"/>
    <s v="00726-23"/>
    <s v=""/>
    <s v="ДОПОЛНИТЕЛЬНОЕ СОГЛАШЕНИЕ №1 к Договору № ГЕО-22/10951/00003/Р от 03.01.2022г "/>
    <s v="Обновление ОЛ "/>
    <s v="Яшкина К.Л."/>
    <s v="Морозов А.В."/>
    <s v="Договорный документ"/>
    <s v="Блок производственной безопасности"/>
    <s v="Михайлов Ю.А."/>
    <s v="ЭП"/>
    <s v="До исполнения обязательств"/>
    <d v="2023-12-08T00:00:00"/>
    <s v=""/>
    <s v="Д-2"/>
    <s v="Профилактика и ликвидация аварийных разливов нефти (услуги аварийно-спасательного формирования)"/>
    <s v="Не предполагает взаиморасчетов"/>
    <s v=""/>
    <s v=""/>
    <s v=""/>
    <s v=""/>
    <s v=""/>
    <s v=""/>
    <s v=""/>
    <s v="нет"/>
    <s v="нет"/>
    <s v=""/>
    <s v=""/>
    <s v=""/>
    <s v=""/>
    <s v="нет"/>
  </r>
  <r>
    <s v="Газпромнефть-ГЕО, ООО"/>
    <s v="0000011433"/>
    <s v="Зарегистрирован"/>
    <d v="2022-08-15T00:00:00"/>
    <s v=""/>
    <x v="174"/>
    <s v="8604005359"/>
    <s v="ГЕО-21/11104/00292/Р"/>
    <s v=""/>
    <s v="3"/>
    <s v="Нетиповой ДД"/>
    <x v="0"/>
    <s v=""/>
    <s v="00727-22"/>
    <s v=""/>
    <s v="Дополнительное соглашение №3 к дог. №ГЕО-21/11104/00292/Р от 24.12.2021 г. "/>
    <s v="Приведение требований пункта 8.8 ТЗ в соответствие с НМД ПАО ГПН (М-16.05.03-02)"/>
    <s v="Кулагина А.А."/>
    <s v="Бабиков Н.В."/>
    <s v="Договорный документ"/>
    <s v="Блок снабжения и закупок"/>
    <s v="Титов А.В."/>
    <s v="ЭП"/>
    <s v="До исполнения обязательств"/>
    <d v="2022-08-15T00:00:00"/>
    <s v=""/>
    <s v="Д-56"/>
    <s v="Авиационное обслуживание (вертолеты)"/>
    <s v="Не предполагает взаиморасчетов"/>
    <s v="Рамочный"/>
    <s v=""/>
    <s v=""/>
    <s v=""/>
    <s v=""/>
    <s v=""/>
    <s v=""/>
    <s v="нет"/>
    <s v="нет"/>
    <s v=""/>
    <s v=""/>
    <s v=""/>
    <s v=""/>
    <s v="нет"/>
  </r>
  <r>
    <s v="Газпромнефть-ГЕО, ООО"/>
    <s v="0000008602"/>
    <s v="Зарегистрирован"/>
    <d v="2021-10-01T00:00:00"/>
    <s v=""/>
    <x v="32"/>
    <s v="5504036333"/>
    <s v="ГПН-18/09000/02142/Р от 07.09.2018г."/>
    <s v=""/>
    <s v="12"/>
    <s v="Нетиповой ДД"/>
    <x v="0"/>
    <s v=""/>
    <s v="00728-21"/>
    <s v=""/>
    <s v="Дополнительное соглашение №12 к Договору о выполение операторских работ и оказании операторских услуг"/>
    <s v="ДС  Хамбатейский ЛУ"/>
    <s v="Кошелева Ю.В."/>
    <s v="Кошелева Ю.В."/>
    <s v="Договорный документ"/>
    <s v="Управление экономического планирования и анализа"/>
    <s v="Ковтун М.А."/>
    <s v="На бумажном носителе"/>
    <s v="С ограничением по срокам "/>
    <d v="2021-10-01T00:00:00"/>
    <d v="2025-12-31T00:00:00"/>
    <s v="Д-5"/>
    <s v="ПРОЧИЕ ДОГОВОРЫ"/>
    <s v="Доходная часть"/>
    <s v="Стоимостной"/>
    <s v="20%"/>
    <s v=""/>
    <s v=""/>
    <s v="8 106 240 220.51"/>
    <s v="6 755 200 183.76"/>
    <s v="1 351 040 036.75"/>
    <s v="нет"/>
    <s v="нет"/>
    <s v=""/>
    <s v=""/>
    <s v=""/>
    <s v=""/>
    <s v="нет"/>
  </r>
  <r>
    <s v="Газпромнефть-ГЕО, ООО"/>
    <s v="0000073563"/>
    <s v="Зарегистрирован"/>
    <d v="2022-08-03T00:00:00"/>
    <s v=""/>
    <x v="120"/>
    <s v="8609322418"/>
    <s v=""/>
    <s v="ГЕО-22/33100/00194"/>
    <s v="ГЕО-22/33100/00194"/>
    <s v="Типовой ДД"/>
    <x v="1"/>
    <s v="33100 Соглашение в области производственной безопасности"/>
    <s v="00728-22"/>
    <s v=""/>
    <s v="33100 Соглашение в области производственной безопасности"/>
    <s v="Заключение соглашения в области производственной безопасности для услуги 10402"/>
    <s v="Шкателов А.А."/>
    <s v="Шкателов А.А."/>
    <s v="Договорный документ"/>
    <s v="Блок производственной безопасности"/>
    <s v="Власов М.М."/>
    <s v="ЭП"/>
    <s v="Без сроков "/>
    <d v="2022-08-03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5139"/>
    <s v="Зарегистрирован"/>
    <d v="2023-12-15T00:00:00"/>
    <s v=""/>
    <x v="432"/>
    <s v="7802651190"/>
    <s v="АНГ-17/04300/00167/Р"/>
    <s v=""/>
    <s v="6"/>
    <s v="Нетиповой ДД"/>
    <x v="0"/>
    <s v=""/>
    <s v="00728-23"/>
    <s v=""/>
    <s v="ДС№6 к Д 01/КИ-ГПН-А/2017 "/>
    <s v=" Индексация постоянной части арендной платы с 15.12.2023г. "/>
    <s v="Сергель О.Г."/>
    <s v="Сергель О.Г."/>
    <s v="Договорный документ"/>
    <s v="Отдел административной поддержки бизнеса"/>
    <s v="Буракова О.В."/>
    <s v="На бумажном носителе"/>
    <s v="С ограничением по срокам "/>
    <d v="2023-12-15T00:00:00"/>
    <d v="2025-12-14T00:00:00"/>
    <s v="Д-33"/>
    <s v="Договор аренды недвижимости"/>
    <s v="Расходная часть"/>
    <s v="Стоимостной"/>
    <s v="20%"/>
    <s v=""/>
    <s v=""/>
    <s v="3 156 154.18"/>
    <s v="2 630 128.48"/>
    <s v="526 025.70"/>
    <s v="нет"/>
    <s v="нет"/>
    <s v=""/>
    <s v=""/>
    <s v=""/>
    <s v=""/>
    <s v="нет"/>
  </r>
  <r>
    <s v="Газпромнефть-ГЕО, ООО"/>
    <s v="0000073563"/>
    <s v="Зарегистрирован"/>
    <d v="2022-08-03T00:00:00"/>
    <s v=""/>
    <x v="120"/>
    <s v="8609322418"/>
    <s v=""/>
    <s v="ГЕО-22/26000/00191"/>
    <s v="ГЕО-22/26000/00191"/>
    <s v="Типовой ДД"/>
    <x v="1"/>
    <s v="26000 Соглашение о конфиденциальности с российским контрагентом"/>
    <s v="00729-22"/>
    <s v=""/>
    <s v="26000 Соглашение о конфиденциальности с российским контрагентом"/>
    <s v="Заключение соглашения о конфиденциальности с российским контрагентом"/>
    <s v="Шкателов А.А."/>
    <s v="Шкателов А.А."/>
    <s v="Договорный документ"/>
    <s v="Блок корпоративной защиты"/>
    <s v="Созинов С.А."/>
    <s v="ЭП"/>
    <s v="С ограничением по срокам "/>
    <d v="2022-08-03T00:00:00"/>
    <d v="2029-12-31T00:00:00"/>
    <s v="Д-60"/>
    <s v="Соглашение о конфиденциальности"/>
    <s v="Не предполагает взаиморасчетов"/>
    <s v=""/>
    <s v=""/>
    <s v=""/>
    <s v=""/>
    <s v=""/>
    <s v=""/>
    <s v=""/>
    <s v="нет"/>
    <s v="нет"/>
    <s v=""/>
    <s v=""/>
    <s v=""/>
    <s v=""/>
    <s v="нет"/>
  </r>
  <r>
    <s v="Газпромнефть-ГЕО, ООО"/>
    <s v="0000048216"/>
    <s v="Зарегистрирован"/>
    <d v="2023-12-11T00:00:00"/>
    <s v=""/>
    <x v="38"/>
    <s v="8605013881"/>
    <s v=""/>
    <s v="ГЕО-23/33200/00207"/>
    <s v="ГЕО-23/33200/00207"/>
    <s v="Типовой ДД"/>
    <x v="1"/>
    <s v="33200 Соглашение об электронном документообороте"/>
    <s v="00729-23"/>
    <s v=""/>
    <s v="33200 Соглашение об электронном документообороте"/>
    <s v="Актуализация типовой формы Соглашения об ЭДО согласно приказа №123-П от 10.11.2023"/>
    <s v="Ларионов Е.А."/>
    <s v=""/>
    <s v="Договорный документ"/>
    <s v="Блок снабжения и закупок"/>
    <s v="Аксенов М.А."/>
    <s v="ЭП"/>
    <s v="Без сроков "/>
    <d v="2023-12-11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регистрирован"/>
    <d v="2021-11-08T00:00:00"/>
    <s v=""/>
    <x v="433"/>
    <s v=""/>
    <s v=""/>
    <s v="ГЕО-21/10900/00249/Р"/>
    <s v="ГЕО-21/10900/00249/Р"/>
    <s v="Типовой ДД"/>
    <x v="2"/>
    <s v="109127 Договор на выполнение работ по услуге сохранения биологического разнообразия"/>
    <s v="00730-21"/>
    <s v=""/>
    <s v="109127 Договор на выполнение работ по услуге сохранения биологического разнообразия (Оказание услуг по выращиванию, транспортировке и выпуску молоди водного биоло-гического ресурса (осетр сибирский) в водный объект Енисейского рыбохозяйственно-го бассейна)"/>
    <s v="Оказание услуг по выращиванию, транспортировке и выпуску молоди водного биоло-гического ресурса (осетр сибирский) в водный объект Енисейского рыбохозяйственно-го бассейна) в 2021-2023 гг."/>
    <s v="Авдеева Д.Б."/>
    <s v="Багаутдинова И.А."/>
    <s v="Договорный документ"/>
    <s v="Блок производственной безопасности"/>
    <s v="Власов М.М."/>
    <s v="На бумажном носителе"/>
    <s v="С ограничением по срокам "/>
    <d v="2021-11-08T00:00:00"/>
    <d v="2023-09-01T00:00:00"/>
    <s v="Д-30"/>
    <s v="Услуги, связанные с обеспечением промышленной безопасности, охраной окружающей среды, охраны труда и здоровья"/>
    <s v="Расходная часть"/>
    <s v="Стоимостной"/>
    <s v="20%"/>
    <s v=""/>
    <s v=""/>
    <s v="2 383 261.14"/>
    <s v="1 986 050.95"/>
    <s v="397 210.19"/>
    <s v="нет"/>
    <s v="нет"/>
    <s v=""/>
    <s v=""/>
    <s v=""/>
    <s v=""/>
    <s v="нет"/>
  </r>
  <r>
    <s v="Газпромнефть-ГЕО, ООО"/>
    <s v="0000080408"/>
    <s v="Зарегистрирован"/>
    <d v="2022-08-11T00:00:00"/>
    <s v=""/>
    <x v="104"/>
    <s v="3812043780"/>
    <s v=""/>
    <s v="ГЕО-22/35000/00190"/>
    <s v="ГЕО-22/35000/00190"/>
    <s v="Нетиповой ДД"/>
    <x v="1"/>
    <s v=""/>
    <s v="00730-22"/>
    <s v=""/>
    <s v="Соглашение о безопасном использовании информационных систем"/>
    <s v="В рамках проекта U190001428 “Цифровой партнёр ПБ” (раннее наименование «Цифровой двойник HSE»)"/>
    <s v="Рябикина М.А."/>
    <s v="Бабаев Д.Г."/>
    <s v="Договорный документ"/>
    <s v="Блок главного инженера"/>
    <s v="Перфильев Д.А."/>
    <s v="ЭП"/>
    <s v="С ограничением по срокам "/>
    <d v="2022-08-11T00:00:00"/>
    <d v="2025-12-31T00:00:00"/>
    <s v="Д-61"/>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48878"/>
    <s v="Зарегистрирован"/>
    <d v="2023-12-11T00:00:00"/>
    <s v=""/>
    <x v="29"/>
    <s v="1645019164"/>
    <s v="ГЕО-22/33100/00259"/>
    <s v=""/>
    <s v="1"/>
    <s v="Типовой ДД"/>
    <x v="0"/>
    <s v="33100 Дополнительное соглашение к Соглашениям в  в области производственной безопасности;"/>
    <s v="00730-23"/>
    <s v=""/>
    <s v="33100 Дополнительное соглашение к Соглашениям в  в области производственной безопасности;"/>
    <s v="Актуализация Соглашения по ПБ"/>
    <s v="Ушакова М.А."/>
    <s v=""/>
    <s v="Договорный документ"/>
    <s v="Блок производственной безопасности"/>
    <s v="Михайлов Ю.А."/>
    <s v="ЭП"/>
    <s v="С ограничением по срокам "/>
    <d v="2023-12-11T00:00:00"/>
    <d v="2026-12-31T00:00:00"/>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2701"/>
    <s v="Зарегистрирован"/>
    <d v="2021-12-01T00:00:00"/>
    <s v=""/>
    <x v="212"/>
    <s v="6318166129"/>
    <s v="№ ГЕО-20/11019/00045/Р от 15.03.2020 г."/>
    <s v=""/>
    <s v="Изменение 3"/>
    <s v="Типовой ДД"/>
    <x v="3"/>
    <s v="11018, 11019, 11020, 11021, 11022  Наряд-заказ к Договору (рамочному) на выполнение  работ по услугам &quot;Капитальное строительство и ПИР&quot;"/>
    <s v="00731-21"/>
    <s v="Наряд-заказ №1 от 15.03.2020"/>
    <s v="Изменение №3 к наряд-заказу №1"/>
    <s v="Уточнение объема работ по объекту «Строительство поисково-оценочной скважины №341 Солнечного лицензионного участка», с увеличением стоимости работ по наряд-заказу и изменением сроков проектирования"/>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10-26T00:00:00"/>
    <d v="2022-03-01T00:00:00"/>
    <s v="Д-22"/>
    <s v="ПИР Объекты добычи, подготовки и транспорта нефти, вкл. авторский надзор"/>
    <s v="Не предполагает взаиморасчетов"/>
    <s v="Рамочный"/>
    <s v=""/>
    <s v=""/>
    <s v=""/>
    <s v=""/>
    <s v=""/>
    <s v=""/>
    <s v="нет"/>
    <s v="нет"/>
    <s v=""/>
    <s v=""/>
    <s v=""/>
    <s v=""/>
    <s v="нет"/>
  </r>
  <r>
    <s v="Газпромнефть-ГЕО, ООО"/>
    <s v="0000086733"/>
    <s v="Зарегистрирован"/>
    <d v="2022-08-19T00:00:00"/>
    <s v=""/>
    <x v="164"/>
    <s v="7203336545"/>
    <s v="ГЕО-20/10940/00117/Р "/>
    <s v=""/>
    <s v="5"/>
    <s v="Нетиповой ДД"/>
    <x v="4"/>
    <s v=""/>
    <s v="00731-22"/>
    <s v="5"/>
    <s v="Изменение №1 к Заказу № 5"/>
    <s v="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в Сибирском федеральном округе (Красноярский край, Лескинский ЛУ)."/>
    <s v="Копылов Е.О."/>
    <s v=""/>
    <s v="Договорный документ"/>
    <s v="Отдел экологической безопасности"/>
    <s v="Власов М.М."/>
    <s v="На бумажном носителе"/>
    <s v="С ограничением по срокам "/>
    <d v="2022-08-19T00:00:00"/>
    <d v="2022-10-15T00:00:00"/>
    <s v="Д-59"/>
    <s v="Договор возмездного оказания услуг"/>
    <s v="Не предполагает взаиморасчетов"/>
    <s v=""/>
    <s v=""/>
    <s v=""/>
    <s v=""/>
    <s v=""/>
    <s v=""/>
    <s v=""/>
    <s v="нет"/>
    <s v="нет"/>
    <s v=""/>
    <s v=""/>
    <s v=""/>
    <s v=""/>
    <s v="нет"/>
  </r>
  <r>
    <s v="Газпромнефть-ГЕО, ООО"/>
    <s v="0000038433"/>
    <s v="Зарегистрирован"/>
    <d v="2023-11-30T00:00:00"/>
    <s v=""/>
    <x v="117"/>
    <s v="7707113869"/>
    <s v=""/>
    <s v="ГЕО-23/33200/00210"/>
    <s v="ГЕО-23/33200/00210"/>
    <s v="Типовой ДД"/>
    <x v="1"/>
    <s v="33200 Соглашение об электронном документообороте"/>
    <s v="00731-23"/>
    <s v=""/>
    <s v="33200 Соглашение об электронном документообороте"/>
    <s v="Актуализация типовой формы Соглашения об использовании электронного документооборота, "/>
    <s v="Сергель О.Г."/>
    <s v="Сергель О.Г."/>
    <s v="Договорный документ"/>
    <s v="Отдел административной поддержки бизнеса"/>
    <s v="Ковтун М.А."/>
    <s v="ЭП"/>
    <s v="До исполнения обязательств"/>
    <d v="2023-11-12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2701"/>
    <s v="Зарегистрирован"/>
    <d v="2021-10-26T00:00:00"/>
    <s v=""/>
    <x v="212"/>
    <s v="6318166129"/>
    <s v="№ ГЕО-20/11019/00045/Р от 15.03.2020 г."/>
    <s v=""/>
    <s v="Изменение 1"/>
    <s v="Типовой ДД"/>
    <x v="3"/>
    <s v="11018, 11019, 11020, 11021, 11022  Наряд-заказ к Договору (рамочному) на выполнение  работ по услугам &quot;Капитальное строительство и ПИР&quot;"/>
    <s v="00732-21"/>
    <s v="Наряд-заказ №3 от 25.05.2021"/>
    <s v="Изменение №1 к наряд-заказу №3"/>
    <s v="Уточнение объема работ по объекту «Строительство поисково-оценочной скважины №341 Солнечного лицензионного участка», с увеличением стоимости работ по наряд-заказу и изменением сроков проектирования"/>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10-26T00:00:00"/>
    <d v="2022-03-01T00:00:00"/>
    <s v="Д-22"/>
    <s v="ПИР Объекты добычи, подготовки и транспорта нефти, вкл. авторский надзор"/>
    <s v="Не предполагает взаиморасчетов"/>
    <s v="Рамочный"/>
    <s v=""/>
    <s v=""/>
    <s v=""/>
    <s v=""/>
    <s v=""/>
    <s v=""/>
    <s v="нет"/>
    <s v="нет"/>
    <s v=""/>
    <s v=""/>
    <s v=""/>
    <s v=""/>
    <s v="нет"/>
  </r>
  <r>
    <s v="Газпромнефть-ГЕО, ООО"/>
    <s v="0000062701"/>
    <s v="Зарегистрирован"/>
    <d v="2021-10-26T00:00:00"/>
    <s v=""/>
    <x v="212"/>
    <s v="6318166129"/>
    <s v="№ ГЕО-20/11019/00045/Р от 15.03.2020 г."/>
    <s v=""/>
    <s v="Изменение 1"/>
    <s v="Типовой ДД"/>
    <x v="3"/>
    <s v="11018, 11019, 11020, 11021, 11022  Наряд-заказ к Договору (рамочному) на выполнение  работ по услугам &quot;Капитальное строительство и ПИР&quot;"/>
    <s v="00733-21"/>
    <s v="Наряд-заказ №4 от 07.06.2021"/>
    <s v="Изменение №1 к наряд-заказу №4"/>
    <s v="Уменьшение объемов работ по объекту «Строительство поисково-оценочной скважины № 201-ПО Надеждинского лицензионного участка» с уменьшением стоимости работ по наряд-заказу"/>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10-26T00:00:00"/>
    <d v="2021-12-30T00:00:00"/>
    <s v="Д-22"/>
    <s v="ПИР Объекты добычи, подготовки и транспорта нефти, вкл. авторский надзор"/>
    <s v="Не предполагает взаиморасчетов"/>
    <s v="Рамочный"/>
    <s v=""/>
    <s v=""/>
    <s v=""/>
    <s v=""/>
    <s v=""/>
    <s v=""/>
    <s v="нет"/>
    <s v="нет"/>
    <s v=""/>
    <s v=""/>
    <s v=""/>
    <s v=""/>
    <s v="нет"/>
  </r>
  <r>
    <s v="Газпромнефть-ГЕО, ООО"/>
    <s v="0000067067"/>
    <s v="Зарегистрирован"/>
    <d v="2022-08-10T00:00:00"/>
    <s v=""/>
    <x v="85"/>
    <s v="7816483740"/>
    <s v="ГЕО-191090000290Р"/>
    <s v=""/>
    <s v="3"/>
    <s v="Нетиповой ДД"/>
    <x v="0"/>
    <s v=""/>
    <s v="00733-22"/>
    <s v=""/>
    <s v="Дополнительное соглашение №3 к Договору № ГЕО-191090000290Р от 25.11.2019"/>
    <s v="Дополнительное соглашение №3 к Договору № ГЕО-19/10900/00290/Р ОТ 25.11.2019 г., предусматривает включение прейскуранта на углубленный медицинский осмотр работников ДО в объеме:_x000d__x000a_1. Прием (осмотр, консультация) врача-кардиолога первичный;_x000d__x000a_2. Ультразвуковая допплерография артерий \\Экстракраниальная допплерография;_x000d__x000a_3. Эхокардиография\\Эхокардиография стандартный протокол (диагностическая)_x000d__x000a_4. УЗИ брюшного отдела аорты;_x000d__x000a_5. Цветное допплеровское картирование артерий нижних конечностей;_x000d__x000a_6. Забор и подготовка биоматериала для направления на лабораторное исследование;_x000d__x000a_7. Исследование уровня холестерина в крови \\ Холестерин общий._x000d__x000a_"/>
    <s v="Табуева М.А."/>
    <s v="Ядрышников П.Н."/>
    <s v="Договорный документ"/>
    <s v="Управление производственной безопасности"/>
    <s v="Власов М.М."/>
    <s v="На бумажном носителе"/>
    <s v="С ограничением по срокам "/>
    <d v="2022-08-10T00:00:00"/>
    <d v="2024-12-31T00:00:00"/>
    <s v="Д-59"/>
    <s v="Договор возмездного оказания услуг"/>
    <s v="Расходная часть"/>
    <s v="Стоимостной"/>
    <s v="без НДС"/>
    <s v=""/>
    <s v=""/>
    <s v="9 695 120.00"/>
    <s v="9 695 120.00"/>
    <n v="0"/>
    <s v="нет"/>
    <s v="нет"/>
    <s v=""/>
    <s v=""/>
    <s v=""/>
    <s v=""/>
    <s v="нет"/>
  </r>
  <r>
    <s v="Газпромнефть-ГЕО, ООО"/>
    <s v="0000062701"/>
    <s v="Зарегистрирован"/>
    <d v="2021-10-26T00:00:00"/>
    <s v=""/>
    <x v="212"/>
    <s v="6318166129"/>
    <s v="№ ГЕО-20/11019/00045/Р от 15.03.2020 г."/>
    <s v=""/>
    <s v="Изменение 1"/>
    <s v="Типовой ДД"/>
    <x v="3"/>
    <s v="11018, 11019, 11020, 11021, 11022  Наряд-заказ к Договору (рамочному) на выполнение  работ по услугам &quot;Капитальное строительство и ПИР&quot;"/>
    <s v="00734-21"/>
    <s v="Наряд-заказ №5 от 07.06.2021"/>
    <s v="Изменение №1 к наряд-заказу №5"/>
    <s v="Уменьшение объемов работ по объекту «Строительство поисково-оценочной скважины №501ПО Корнаваринского лицензионного участка» с уменьшением стоимости работ по наряд-заказу"/>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10-26T00:00:00"/>
    <d v="2021-12-30T00:00:00"/>
    <s v="Д-22"/>
    <s v="ПИР Объекты добычи, подготовки и транспорта нефти, вкл. авторский надзор"/>
    <s v="Не предполагает взаиморасчетов"/>
    <s v="Рамочный"/>
    <s v=""/>
    <s v=""/>
    <s v=""/>
    <s v=""/>
    <s v=""/>
    <s v=""/>
    <s v="нет"/>
    <s v="нет"/>
    <s v=""/>
    <s v=""/>
    <s v=""/>
    <s v=""/>
    <s v="нет"/>
  </r>
  <r>
    <s v="Газпромнефть-ГЕО, ООО"/>
    <s v="0000041259"/>
    <s v="Зарегистрирован"/>
    <d v="2022-08-12T00:00:00"/>
    <s v=""/>
    <x v="142"/>
    <s v="7203159800"/>
    <s v=""/>
    <s v="ГЕО-22/10968/00197/Р"/>
    <s v="ГЕО-22/10968/00197/Р"/>
    <s v="Типовой ДД"/>
    <x v="2"/>
    <s v="10968 Мастер форма по услуге   «Обращение с отходами производства и потребления»"/>
    <s v="00734-22"/>
    <s v=""/>
    <s v="10968 Мастер форма по услуге   «Обращение с отходами производства и потребления»"/>
    <s v="Оказание услуг по сбору, подготовке и утилизации отходов бурения, технологических жидкостей и загрязнённых земель, образующихся в процессе строительства разведочных скважин на Лескинском лицензионном участке в период 2022-2024 годов, с целью соблюдения природоохранного законодательства РФ."/>
    <s v="Рузимуродов И.П."/>
    <s v="Копылов Е.О."/>
    <s v="Договорный документ"/>
    <s v="Управление закупок работ и услуг"/>
    <s v="Власов М.М."/>
    <s v="ЭП"/>
    <s v="С ограничением по срокам "/>
    <d v="2022-08-12T00:00:00"/>
    <d v="2024-09-30T00:00:00"/>
    <s v="Д-59"/>
    <s v="Вывоз, транспортировка и размещение отходов производственной деятельности"/>
    <s v="Расходная часть"/>
    <s v="Стоимостной"/>
    <s v="20%"/>
    <s v=""/>
    <s v="45662258.96"/>
    <s v="127 239 466.45"/>
    <s v="106 032 888.71"/>
    <s v="21 206 577.74"/>
    <s v="да"/>
    <s v="нет"/>
    <s v=""/>
    <s v=""/>
    <s v=""/>
    <s v=""/>
    <s v="нет"/>
  </r>
  <r>
    <s v="Газпромнефть-ГЕО, ООО"/>
    <s v="0000062701"/>
    <s v="Зарегистрирован"/>
    <d v="2021-10-26T00:00:00"/>
    <s v=""/>
    <x v="212"/>
    <s v="6318166129"/>
    <s v="№ ГЕО-20/11019/00045/Р от 15.03.2020 г."/>
    <s v=""/>
    <s v="Изменение 1"/>
    <s v="Типовой ДД"/>
    <x v="3"/>
    <s v="11018, 11019, 11020, 11021, 11022  Наряд-заказ к Договору (рамочному) на выполнение  работ по услугам &quot;Капитальное строительство и ПИР&quot;"/>
    <s v="00735-21"/>
    <s v="Наряд-заказ №6 от 07.06.2021"/>
    <s v="Изменение №1 к наряд-заказу №6"/>
    <s v="Уменьшение объемов работ по объекту «Строительство поисково-оценочной скважины №502ПО Корнаваринского лицензионного участка» с уменьшением стоимости работ по наряд-заказу"/>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10-26T00:00:00"/>
    <d v="2021-12-30T00:00:00"/>
    <s v="Д-22"/>
    <s v="ПИР Объекты добычи, подготовки и транспорта нефти, вкл. авторский надзор"/>
    <s v="Не предполагает взаиморасчетов"/>
    <s v="Рамочный"/>
    <s v=""/>
    <s v=""/>
    <s v=""/>
    <s v=""/>
    <s v=""/>
    <s v=""/>
    <s v="нет"/>
    <s v="нет"/>
    <s v=""/>
    <s v=""/>
    <s v=""/>
    <s v=""/>
    <s v="нет"/>
  </r>
  <r>
    <s v="Газпромнефть-ГЕО, ООО"/>
    <s v="0000070846"/>
    <s v="Зарегистрирован"/>
    <d v="2022-08-15T00:00:00"/>
    <s v=""/>
    <x v="132"/>
    <s v="7014052636"/>
    <s v=""/>
    <s v="ГЕО-22/33100/00195"/>
    <s v="ГЕО-22/33100/00195"/>
    <s v="Типовой ДД"/>
    <x v="1"/>
    <s v="33100 Соглашение в области производственной безопасности"/>
    <s v="00735-22"/>
    <s v=""/>
    <s v="33100 Соглашение в области производственной безопасности"/>
    <s v="В целях обеспечения ПБ при оказании услуг"/>
    <s v="Коваленко М.В."/>
    <s v="Жданов Александр Сергеевич"/>
    <s v="Договорный документ"/>
    <s v="Управление закупок работ и услуг"/>
    <s v="Власов М.М."/>
    <s v="ЭП"/>
    <s v="С ограничением по срокам "/>
    <d v="2022-08-15T00:00:00"/>
    <d v="2023-12-31T00:00:00"/>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0846"/>
    <s v="Зарегистрирован"/>
    <d v="2022-08-12T00:00:00"/>
    <s v=""/>
    <x v="132"/>
    <s v="7014052636"/>
    <s v=""/>
    <s v="ГЕО-22/26000/00189"/>
    <s v="ГЕО-22/26000/00189"/>
    <s v="Типовой ДД"/>
    <x v="1"/>
    <s v="26000 Соглашение о конфиденциальности с российским контрагентом"/>
    <s v="00736-22"/>
    <s v=""/>
    <s v="26000 Соглашение о конфиденциальности с российским контрагентом"/>
    <s v="в целях обеспечения неразглашения информации, составляющей коммерческую тайну и иной конфиденциальной информации при оказании услуг по Договору"/>
    <s v="Коваленко М.В."/>
    <s v="Жданов Александр Сергеевич"/>
    <s v="Договорный документ"/>
    <s v="Управление закупок работ и услуг"/>
    <s v="Созинов С.А."/>
    <s v="ЭП"/>
    <s v="С ограничением по срокам "/>
    <d v="2022-08-12T00:00:00"/>
    <d v="2023-12-31T00:00:00"/>
    <s v="Д-60"/>
    <s v="Соглашение о конфиденциальности"/>
    <s v="Не предполагает взаиморасчетов"/>
    <s v=""/>
    <s v=""/>
    <s v=""/>
    <s v=""/>
    <s v=""/>
    <s v=""/>
    <s v=""/>
    <s v="нет"/>
    <s v="нет"/>
    <s v=""/>
    <s v=""/>
    <s v=""/>
    <s v=""/>
    <s v="нет"/>
  </r>
  <r>
    <s v="Газпромнефть-ГЕО, ООО"/>
    <s v="0000041259"/>
    <s v="Зарегистрирован"/>
    <d v="2022-08-12T00:00:00"/>
    <s v=""/>
    <x v="142"/>
    <s v="7203159800"/>
    <s v=""/>
    <s v="ГЕО-22/33100/00198"/>
    <s v="ГЕО-22/33100/00198"/>
    <s v="Типовой ДД"/>
    <x v="1"/>
    <s v="33100 Соглашение в области производственной безопасности"/>
    <s v="00737-22"/>
    <s v=""/>
    <s v="33100 Соглашение в области производственной безопасности"/>
    <s v="В целях обеспечения ПБ при оказании услуг"/>
    <s v="Коваленко М.В."/>
    <s v="Копылов Евгений Олегович"/>
    <s v="Договорный документ"/>
    <s v="Управление закупок работ и услуг"/>
    <s v="Власов М.М."/>
    <s v="ЭП"/>
    <s v="С ограничением по срокам "/>
    <d v="2022-08-12T00:00:00"/>
    <d v="2024-09-30T00:00:00"/>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Проект"/>
    <s v=""/>
    <s v=""/>
    <x v="58"/>
    <s v=""/>
    <s v=""/>
    <s v=""/>
    <s v=""/>
    <s v="Нетиповой ДД"/>
    <x v="2"/>
    <s v=""/>
    <s v="00738-22"/>
    <s v=""/>
    <s v=""/>
    <s v="Участие в конференции Актуальные вопросы исследований пластовых нефтегазовых систем 2022"/>
    <s v="Лобанов А.А."/>
    <s v="Лобанов А.А."/>
    <s v="Договорный документ"/>
    <s v="Управление по геологии"/>
    <s v="Аксенов М.А."/>
    <s v=""/>
    <s v="До исполнения обязательств"/>
    <d v="2022-08-01T00:00:00"/>
    <s v=""/>
    <s v="Д-54"/>
    <s v="Участие и организация конференций и иных подобных мероприятий"/>
    <s v="Расходная часть"/>
    <s v="Стоимостной"/>
    <s v=""/>
    <s v=""/>
    <s v=""/>
    <s v=""/>
    <s v=""/>
    <s v=""/>
    <s v="нет"/>
    <s v="нет"/>
    <s v=""/>
    <s v=""/>
    <s v=""/>
    <s v=""/>
    <s v="нет"/>
  </r>
  <r>
    <s v="Газпромнефть-ГЕО, ООО"/>
    <s v=""/>
    <s v="Зарегистрирован"/>
    <d v="2022-02-28T00:00:00"/>
    <s v=""/>
    <x v="434"/>
    <s v=""/>
    <s v="№ГЕО-21/11708/00165/Р//НТЦ-21/09000/00768/Д"/>
    <s v=""/>
    <s v="НТЦ-02573-21Д-ГЕО"/>
    <s v="Нетиповой ДД"/>
    <x v="3"/>
    <s v=""/>
    <s v="00739-21"/>
    <s v=""/>
    <s v="Заказ"/>
    <s v="Оказание агентских услуг в рамках продукта «Сервисные услуги Блока Закупок и импортозамещения»."/>
    <s v="Анисимов А.Н."/>
    <s v="Анисимов А.Н."/>
    <s v="Договорный документ"/>
    <s v="Управление производственной безопасности"/>
    <s v="Власов М.М."/>
    <s v="На бумажном носителе"/>
    <s v="До исполнения обязательств"/>
    <d v="2022-02-28T00:00:00"/>
    <s v=""/>
    <s v="Д-30"/>
    <s v="Договор о совместной научной и научно-технической деятельности"/>
    <s v="Расходная часть"/>
    <s v="Рамочный"/>
    <s v="20%"/>
    <s v=""/>
    <s v=""/>
    <s v="5 923 059.60"/>
    <s v="4 935 883.00"/>
    <s v="987 176.60"/>
    <s v="нет"/>
    <s v="нет"/>
    <s v=""/>
    <s v=""/>
    <s v=""/>
    <s v=""/>
    <s v="нет"/>
  </r>
  <r>
    <s v="Газпромнефть-ГЕО, ООО"/>
    <s v="0000093917"/>
    <s v="Зарегистрирован"/>
    <d v="2022-08-08T00:00:00"/>
    <s v=""/>
    <x v="9"/>
    <s v="5609193118"/>
    <s v=""/>
    <s v="ГЕО-22/35000/00218"/>
    <s v="ГЕО-22/35000/00218"/>
    <s v="Нетиповой ДД"/>
    <x v="1"/>
    <s v=""/>
    <s v="00739-22"/>
    <s v=""/>
    <s v="Соглашение о безопасном использовании информационных систем "/>
    <s v="ООО &quot;ГПН-Гео&quot; в связи с заключенным с ООО &quot;Акбарыс&quot; договором на выполнение работ (оказание услуг) обязуется обязуется в рамках ст. 718 Гражданского кодекса РФ предоставить доступ к автоматизированной информационной системе «СУДИР» (далее – «СУДИР») и к информационным ресурсам через СУДИР (далее – «ИР») сотрудникам подрядной организации без ограничений по количеству предоставляемых доступов к СУДИР."/>
    <s v="Хабибуллин Т.Ф."/>
    <s v="Хабибуллин Т.Ф."/>
    <s v="Договорный документ"/>
    <s v="Отдел по промышленной и пожарной безопасности"/>
    <s v="Власов М.М."/>
    <s v="На бумажном носителе"/>
    <s v="До исполнения обязательств"/>
    <d v="2022-09-01T00:00:00"/>
    <s v=""/>
    <s v="Д-59"/>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37860"/>
    <s v="Зарегистрирован"/>
    <d v="2021-11-08T00:00:00"/>
    <s v=""/>
    <x v="189"/>
    <s v="7714024384"/>
    <s v=""/>
    <s v="ГЕО-21/10318/00258/Р"/>
    <s v="ГЕО-21/10318/00258/Р"/>
    <s v="Типовой ДД"/>
    <x v="2"/>
    <s v="10318  Мастер-форма Договора по услуге  «Отбор керна при бурении и реконструкции скважин»"/>
    <s v="00740-21"/>
    <s v=""/>
    <s v="Договор подряда на отбор керна при бурении и реконструкции скважин "/>
    <s v="Выполнение работ по отбору керна. Проект &quot;Южный Оренбург&quot;"/>
    <s v="Быков Н.В."/>
    <s v="Дунаев Э.В. - Руководитель направления по бурению"/>
    <s v="Договорный документ"/>
    <s v="Блок бурения и ВСР"/>
    <s v="Гаврилов С.В."/>
    <s v="На бумажном носителе"/>
    <s v="С ограничением по срокам "/>
    <d v="2021-11-08T00:00:00"/>
    <d v="2024-12-31T00:00:00"/>
    <s v=""/>
    <s v="Отбор керна при бурении и реконструкции скважин"/>
    <s v="Расходная часть"/>
    <s v="Рамочный"/>
    <s v="20%"/>
    <s v=""/>
    <s v=""/>
    <s v="57 729 344.52"/>
    <s v="48 107 787.10"/>
    <s v="9 621 557.42"/>
    <s v="нет"/>
    <s v="нет"/>
    <s v=""/>
    <s v=""/>
    <s v=""/>
    <s v=""/>
    <s v="нет"/>
  </r>
  <r>
    <s v="Газпромнефть-ГЕО, ООО"/>
    <s v="0000063179"/>
    <s v="Зарегистрирован"/>
    <d v="2021-11-09T00:00:00"/>
    <s v=""/>
    <x v="54"/>
    <s v="7727747172"/>
    <s v="ГЕО-20/10986/00138/Р от 10.08.2020г."/>
    <s v=""/>
    <s v="10"/>
    <s v="Нетиповой ДД"/>
    <x v="3"/>
    <s v=""/>
    <s v="00741-21"/>
    <s v=""/>
    <s v="Задание № 10 к Договору № ГЕО-20/10986/00138/Р от 10.08.2020г. с компанией ООО «ОГК» на оказание супервайзерских услуг по контролю состояния производственной безопасности и безопасности дорожного движения в 2021-2022гг. для Проекта «Титан»."/>
    <s v=" оказание супервайзерских услуг по контролю состояния производственной безопасности и безопасности дорожного движения в 2021-2022гг. для Проекта «Титан»."/>
    <s v="Рябикина М.А."/>
    <s v="Анисимов Андрей Николаевич - Руководитель региональных проектов по ПБ кластера &quot;Восточная Сибирь и ОРБ"/>
    <s v="Договорный документ"/>
    <s v="Блок производственной безопасности"/>
    <s v="Власов М.М."/>
    <s v="На бумажном носителе"/>
    <s v="С ограничением по срокам "/>
    <d v="2021-11-09T00:00:00"/>
    <d v="2022-12-31T00:00:00"/>
    <s v="Д-30"/>
    <s v="Супервайзинг ПЭБ и ОТ"/>
    <s v="Расходная часть"/>
    <s v="Рамочный"/>
    <s v="20%"/>
    <s v=""/>
    <s v=""/>
    <s v="17 856 777.60"/>
    <s v="14 880 648.00"/>
    <s v="2 976 129.60"/>
    <s v="нет"/>
    <s v="нет"/>
    <s v=""/>
    <s v=""/>
    <s v=""/>
    <s v=""/>
    <s v="нет"/>
  </r>
  <r>
    <s v="Газпромнефть-ГЕО, ООО"/>
    <s v="0000093917"/>
    <s v="Зарегистрирован"/>
    <d v="2022-09-01T00:00:00"/>
    <s v=""/>
    <x v="9"/>
    <s v="5609193118"/>
    <s v="№ГЕО-20/10986/00128/Р "/>
    <s v=""/>
    <s v="8"/>
    <s v="Нетиповой ДД"/>
    <x v="3"/>
    <s v=""/>
    <s v="00741-22"/>
    <s v=""/>
    <s v="Наряд-заказ на оказание услуг № 8 к Договору №ГЕО-20/10986/00128/Р от 07.08.2020 г. "/>
    <s v="Оказание услуг по обеспечению безопасных условий труда для работников и соблюдению требований промышленной безопасности на скважине № 178 Лескинского лицензионного участка. "/>
    <s v="Хабибуллин Т.Ф."/>
    <s v="Хабибуллин Т.Ф."/>
    <s v="Договорный документ"/>
    <s v="Отдел по промышленной и пожарной безопасности"/>
    <s v="Власов М.М."/>
    <s v="На бумажном носителе"/>
    <s v="С ограничением по срокам "/>
    <d v="2022-09-01T00:00:00"/>
    <d v="2022-12-31T00:00:00"/>
    <s v="Д-59"/>
    <s v="Договор купли-продажи сопутствующих товаров и услгуг"/>
    <s v="Расходная часть"/>
    <s v="Стоимостной"/>
    <s v="20%"/>
    <s v=""/>
    <s v=""/>
    <s v="11 076 651.12"/>
    <s v="9 230 542.60"/>
    <s v="1 846 108.52"/>
    <s v="нет"/>
    <s v="нет"/>
    <s v=""/>
    <s v=""/>
    <s v=""/>
    <s v=""/>
    <s v="нет"/>
  </r>
  <r>
    <s v="Газпромнефть-ГЕО, ООО"/>
    <s v="0000048878"/>
    <s v="Зарегистрирован"/>
    <d v="2023-12-15T00:00:00"/>
    <s v=""/>
    <x v="29"/>
    <s v="1645019164"/>
    <s v=""/>
    <s v=""/>
    <s v="10"/>
    <s v="Нетиповой ДД"/>
    <x v="0"/>
    <s v=""/>
    <s v="00741-23"/>
    <s v=""/>
    <s v="Дополнительное соглашение №10 к договору на выполнение работ по обработке и интерпретации данных СРР №ГЕО-19/10111/00120/P на перевод из НГО в ГО"/>
    <s v="Перевод из НГО в ГО объемов по Краснореченскому и Ягодному ЛУ для исполнения ДД с ГПН-Оренбург"/>
    <s v="Мурзин Р.Р."/>
    <s v="Мурзин Р.Р."/>
    <s v="Договорный документ"/>
    <s v="Управление сейсморазведочных работ"/>
    <s v="Аксенов М.А."/>
    <s v="ЭП"/>
    <s v="С ограничением по срокам "/>
    <d v="2023-12-15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37 608 382.92"/>
    <s v="31 340 319.10"/>
    <s v="6 268 063.82"/>
    <s v="нет"/>
    <s v="нет"/>
    <s v=""/>
    <s v=""/>
    <s v=""/>
    <s v=""/>
    <s v="нет"/>
  </r>
  <r>
    <s v="Газпромнефть-ГЕО, ООО"/>
    <s v="0000045671"/>
    <s v="Зарегистрирован"/>
    <d v="2021-10-01T00:00:00"/>
    <s v=""/>
    <x v="71"/>
    <s v="8905039143"/>
    <s v="ГЕО-20/09000/00058/Р"/>
    <s v=""/>
    <s v="4"/>
    <s v="Типовой ДД"/>
    <x v="0"/>
    <s v="00000 ДС на изменение реквизитов контрагента (адрес, счет)"/>
    <s v="00742-21"/>
    <s v=""/>
    <s v="00000 ДС на изменение реквизитов контрагента (адрес, счет)"/>
    <s v="Изменение реквизитов адреса контрагента ООО &quot;Партнеры Ноябрьск&quot;"/>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Без сроков "/>
    <d v="2021-10-01T00:00:00"/>
    <s v=""/>
    <s v="Д-11"/>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62082"/>
    <s v="Зарегистрирован"/>
    <d v="2022-08-01T00:00:00"/>
    <s v=""/>
    <x v="122"/>
    <s v="7704627560"/>
    <s v=""/>
    <s v="ГЕО-22/10000/00200"/>
    <s v="ГЕО-22/10000/00200"/>
    <s v="Нетиповой ДД"/>
    <x v="1"/>
    <s v=""/>
    <s v="00742-22"/>
    <s v=""/>
    <s v="Соглашение СУДИР"/>
    <s v="В рамках исполнения Приказа 65-П от 25.07.2022_x000d__x000a_"/>
    <s v="Шкателов А.А."/>
    <s v="Шкателов А.А."/>
    <s v="Договорный документ"/>
    <s v="Блок бурения и ВСР"/>
    <s v="Имангулов А.Р."/>
    <s v="На бумажном носителе"/>
    <s v="С ограничением по срокам "/>
    <d v="2022-08-01T00:00:00"/>
    <d v="2025-12-31T00:00:00"/>
    <s v="Д-2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76283"/>
    <s v="Зарегистрирован"/>
    <d v="2023-12-14T00:00:00"/>
    <s v=""/>
    <x v="28"/>
    <s v="4501174492"/>
    <s v="ГЕО-23/20000/00102/Д"/>
    <s v=""/>
    <s v="2"/>
    <s v="Нетиповой ДД"/>
    <x v="0"/>
    <s v=""/>
    <s v="00742-23"/>
    <s v=""/>
    <s v="ДС 2 к ГЕО-23/20000/00102/Д с ООО &quot;Уралгеопроект&quot;"/>
    <s v="Продление срока действия"/>
    <s v="Титова Е.В."/>
    <s v="Титова Е.В."/>
    <s v="Договорный документ"/>
    <s v="Блок снабжения и закупок"/>
    <s v="Титов А.В."/>
    <s v="ЭП"/>
    <s v="С ограничением по срокам "/>
    <d v="2024-01-01T00:00:00"/>
    <d v="2024-03-31T00:00:00"/>
    <s v="Д-56"/>
    <s v="Агентский договор"/>
    <s v="Не предполагает взаиморасчетов"/>
    <s v="Агентский"/>
    <s v=""/>
    <s v=""/>
    <s v=""/>
    <s v=""/>
    <s v=""/>
    <s v=""/>
    <s v="нет"/>
    <s v="нет"/>
    <s v=""/>
    <s v=""/>
    <s v=""/>
    <s v=""/>
    <s v="нет"/>
  </r>
  <r>
    <s v="Газпромнефть-ГЕО, ООО"/>
    <s v="0000048216"/>
    <s v="Зарегистрирован"/>
    <d v="2022-08-15T00:00:00"/>
    <s v=""/>
    <x v="38"/>
    <s v="8605013881"/>
    <s v=""/>
    <s v="ГЕО-22/09000/00202"/>
    <s v="ГЕО-22/09000/00202"/>
    <s v="Нетиповой ДД"/>
    <x v="1"/>
    <s v=""/>
    <s v="00743-22"/>
    <s v=""/>
    <s v="Соглашение о безопасном использовании информационных систем"/>
    <s v="Для работы в Цифровом партнере"/>
    <s v="Ушакова М.А."/>
    <s v=""/>
    <s v="Договорный документ"/>
    <s v="Блок геологии и разработки"/>
    <s v="Аксенов М.А."/>
    <s v="На бумажном носителе"/>
    <s v="С ограничением по срокам "/>
    <d v="2022-08-15T00:00:00"/>
    <d v="2025-12-31T00:00:00"/>
    <s v=""/>
    <s v="Договор возмездного оказания услуг"/>
    <s v="Не предполагает взаиморасчетов"/>
    <s v=""/>
    <s v=""/>
    <s v=""/>
    <s v=""/>
    <s v=""/>
    <s v=""/>
    <s v=""/>
    <s v="нет"/>
    <s v="нет"/>
    <s v=""/>
    <s v=""/>
    <s v=""/>
    <s v=""/>
    <s v="нет"/>
  </r>
  <r>
    <s v="Газпромнефть-ГЕО, ООО"/>
    <s v="0000086570"/>
    <s v="Зарегистрирован"/>
    <d v="2023-12-28T00:00:00"/>
    <s v=""/>
    <x v="389"/>
    <s v="561504779598"/>
    <s v=""/>
    <s v="ГЕО-23/26000/00213"/>
    <s v="ГЕО-23/26000/00213"/>
    <s v="Типовой ДД"/>
    <x v="1"/>
    <s v="26000 Договор о конфиденциальности с физическим лицом"/>
    <s v="00743-23"/>
    <s v=""/>
    <s v="26000 Договор о конфиденциальности с физическим лицом"/>
    <s v="Заключение договора о конфиденциальности с физическим лицом"/>
    <s v="Горев М.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d v="2024-01-01T00:00:00"/>
    <d v="2025-07-31T00:00:00"/>
    <s v=""/>
    <s v="Соглашение о конфиденциальности"/>
    <s v="Не предполагает взаиморасчетов"/>
    <s v="Стоимостной"/>
    <s v=""/>
    <s v=""/>
    <s v=""/>
    <s v=""/>
    <s v=""/>
    <s v=""/>
    <s v="нет"/>
    <s v="нет"/>
    <s v=""/>
    <s v=""/>
    <s v=""/>
    <s v=""/>
    <s v="нет"/>
  </r>
  <r>
    <s v="Газпромнефть-ГЕО, ООО"/>
    <s v="0000008602"/>
    <s v="Зарегистрирован"/>
    <d v="2021-11-08T00:00:00"/>
    <s v=""/>
    <x v="32"/>
    <s v="5504036333"/>
    <s v="ГПН-20/20000/04373/Д // ГЕО-20/09000/00216/Р "/>
    <s v=""/>
    <s v="111"/>
    <s v="Нетиповой ДД"/>
    <x v="0"/>
    <s v=""/>
    <s v="00744-21"/>
    <s v=""/>
    <s v="Дополнительное соглашение № 111 к агентскому договору № ГПН-20/20000/04373/Д/ ГЕО-20/09000/00216/Р от 31.12.2020 г."/>
    <s v="Уменьшение агентского вознаграждения"/>
    <s v="Курашко М.В."/>
    <s v=""/>
    <s v="Договорный документ"/>
    <s v="Управление по работе с персоналом"/>
    <s v="Масалкин Ю.В."/>
    <s v="На бумажном носителе"/>
    <s v="До исполнения обязательств"/>
    <d v="2021-11-08T00:00:00"/>
    <s v=""/>
    <s v=""/>
    <s v="Договор на обучение (тренинги, семинары и проч.)"/>
    <s v="Не предполагает взаиморасчетов"/>
    <s v="Агентский"/>
    <s v=""/>
    <s v=""/>
    <s v=""/>
    <s v=""/>
    <s v=""/>
    <s v=""/>
    <s v="нет"/>
    <s v="нет"/>
    <s v=""/>
    <s v=""/>
    <s v=""/>
    <s v=""/>
    <s v="нет"/>
  </r>
  <r>
    <s v="Газпромнефть-ГЕО, ООО"/>
    <s v="0000025354"/>
    <s v="Зарегистрирован"/>
    <d v="2022-08-22T00:00:00"/>
    <s v=""/>
    <x v="111"/>
    <s v="5003026493"/>
    <s v=""/>
    <s v="ГЕО-22/10000/00196"/>
    <s v="ГЕО-22/10000/00196"/>
    <s v="Нетиповой ДД"/>
    <x v="1"/>
    <s v=""/>
    <s v="00744-22"/>
    <s v=""/>
    <s v="Соглашение СУДИР (ООО &quot;Газпром бурение&quot;)"/>
    <s v="В рамках исполнения Приказа 65-П от 25.07.2022_x000d__x000a_"/>
    <s v="Шкателов А.А."/>
    <s v=""/>
    <s v="Договорный документ"/>
    <s v="Блок бурения и ВСР"/>
    <s v="Созинов С.А."/>
    <s v="На бумажном носителе"/>
    <s v="С ограничением по срокам "/>
    <d v="2022-08-22T00:00:00"/>
    <d v="2025-12-31T00:00:00"/>
    <s v="Д-6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6584"/>
    <s v="Зарегистрирован"/>
    <d v="2023-12-26T00:00:00"/>
    <s v=""/>
    <x v="113"/>
    <s v="5609077986"/>
    <s v="ГЕО-18/00000/00025Д "/>
    <s v=""/>
    <s v="12"/>
    <s v="Нетиповой ДД"/>
    <x v="0"/>
    <s v=""/>
    <s v="00744-23"/>
    <s v=""/>
    <s v="ДС № 12 к Д № ГЕО-18/00000/00025Д "/>
    <s v="Дополнительное соглашение № 12 к Операторскому Договору № ГЕО-18/00000/00025Д от 02  октября 2018 г.  об актуализации программы работ на 2024 год по Оморинскому ЛУ"/>
    <s v="Блинова Д.М."/>
    <s v="Блинова Д.М."/>
    <s v="Договорный документ"/>
    <s v="Управление экономического планирования и анализа"/>
    <s v="Ковтун М.А."/>
    <s v="ЭП"/>
    <s v="С ограничением по срокам "/>
    <d v="2024-01-01T00:00:00"/>
    <d v="2024-12-31T00:00:00"/>
    <s v="Д-62"/>
    <s v="Договор возмездного оказания услуг"/>
    <s v="Доходная часть"/>
    <s v="Стоимостной"/>
    <s v="20%"/>
    <s v=""/>
    <s v=""/>
    <s v="6 779 389 986.00"/>
    <s v="5 649 491 655.00"/>
    <s v="1 129 898 331.00"/>
    <s v="нет"/>
    <s v="нет"/>
    <s v=""/>
    <s v=""/>
    <s v=""/>
    <s v=""/>
    <s v="нет"/>
  </r>
  <r>
    <s v="Газпромнефть-ГЕО, ООО"/>
    <s v="0000037846"/>
    <s v="Зарегистрирован"/>
    <d v="2021-10-01T00:00:00"/>
    <s v=""/>
    <x v="26"/>
    <s v="8905032518"/>
    <s v="ГЕО-19/11216/00165/Р/19-02/39 от 12.07.2019г."/>
    <s v=""/>
    <s v="3"/>
    <s v="Нетиповой ДД"/>
    <x v="0"/>
    <s v=""/>
    <s v="00745-21"/>
    <s v=""/>
    <s v="Дополнительное соглашение о переводе негарантированного объема в гарантированный"/>
    <s v="Перевод негарантированного объема договора в гарантированный."/>
    <s v="Сорокин И.М."/>
    <s v="Гаврилов А.Б. - Руководитель программы информационных технологий, связи и цифрового развития"/>
    <s v="Договорный документ"/>
    <s v="Блок геологии и разработки"/>
    <s v="Аксенов М.А."/>
    <s v="На бумажном носителе"/>
    <s v="С ограничением по срокам "/>
    <d v="2021-10-01T00:00:00"/>
    <d v="2023-09-30T00:00:00"/>
    <s v="Д-3"/>
    <s v="Аренда каналов связи"/>
    <s v="Не предполагает взаиморасчетов"/>
    <s v="Стоимостной"/>
    <s v=""/>
    <s v=""/>
    <s v=""/>
    <s v=""/>
    <s v=""/>
    <s v=""/>
    <s v="нет"/>
    <s v="нет"/>
    <s v=""/>
    <s v=""/>
    <s v=""/>
    <s v=""/>
    <s v="нет"/>
  </r>
  <r>
    <s v="Газпромнефть-ГЕО, ООО"/>
    <s v="0000058703"/>
    <s v="Зарегистрирован"/>
    <d v="2022-08-01T00:00:00"/>
    <s v=""/>
    <x v="5"/>
    <s v="5914024719"/>
    <s v=""/>
    <s v="ГЕО-22/10000/00199"/>
    <s v="ГЕО-22/10000/00199"/>
    <s v="Нетиповой ДД"/>
    <x v="1"/>
    <s v=""/>
    <s v="00745-22"/>
    <s v=""/>
    <s v="Соглашение СУДИР (ООО &quot;НСХ АЗИЯ ДРИЛЛИНГ&quot;)"/>
    <s v="В рамках исполнения Приказа 65-П от 25.07.2022_x000d__x000a_"/>
    <s v="Шкателов А.А."/>
    <s v="Шкателов А.А."/>
    <s v="Договорный документ"/>
    <s v="Блок бурения и ВСР"/>
    <s v="Имангулов А.Р."/>
    <s v="На бумажном носителе"/>
    <s v="С ограничением по срокам "/>
    <d v="2022-08-01T00:00:00"/>
    <d v="2025-12-31T00:00:00"/>
    <s v="Д-2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7167"/>
    <s v="Зарегистрирован"/>
    <d v="2023-12-11T00:00:00"/>
    <s v=""/>
    <x v="145"/>
    <s v="7719520026"/>
    <s v="№ ГЕО-20/1Ю14/00070/Р"/>
    <s v=""/>
    <s v="4"/>
    <s v="Типовой ДД"/>
    <x v="0"/>
    <s v="ДС по актуализации методологии оценки эффективности деятельности контрагентов и мотивации в области ПБ в действующих договорах"/>
    <s v="00745-23"/>
    <s v=""/>
    <s v="ДС по актуализации методологии оценки эффективности деятельности контрагентов и мотивации в области ПБ в действующих договорах"/>
    <s v="заключение ДС к действующим ДД (КС и ПИР) на замену ОЛ"/>
    <s v="Калугина С.Б."/>
    <s v="Бабаев Д.Г."/>
    <s v="Договорный документ"/>
    <s v="Департамент капитального строительства"/>
    <s v="Трифонов А.В."/>
    <s v="ЭП"/>
    <s v="С ограничением по срокам "/>
    <d v="2023-12-11T00:00:00"/>
    <d v="2025-12-31T00:00:00"/>
    <s v="Д-33"/>
    <s v="Капитальное строительство и ПИР"/>
    <s v="Не предполагает взаиморасчетов"/>
    <s v=""/>
    <s v=""/>
    <s v=""/>
    <s v=""/>
    <s v=""/>
    <s v=""/>
    <s v=""/>
    <s v="нет"/>
    <s v="нет"/>
    <s v=""/>
    <s v=""/>
    <s v=""/>
    <s v=""/>
    <s v="нет"/>
  </r>
  <r>
    <s v="Газпромнефть-ГЕО, ООО"/>
    <s v="0000040878"/>
    <s v="Зарегистрирован"/>
    <d v="2021-12-06T00:00:00"/>
    <s v=""/>
    <x v="40"/>
    <s v="7826711272"/>
    <s v="ДЗП-35-21/ГЕО-21/01000/00033/Р"/>
    <s v=""/>
    <s v="2"/>
    <s v="Нетиповой ДД"/>
    <x v="5"/>
    <s v=""/>
    <s v="00746-21"/>
    <s v=""/>
    <s v="Приложение № 2 к Договору поставки № ДЗП-35-21/ГЕО-21/0100000033/Р от «12» марта 2021г."/>
    <s v="Поставка наборов реагентов для иммунохроматографического выявления антигена SARS-CoV-2 "/>
    <s v="Долгов Д.Г."/>
    <s v="Долгов Д.Г. - Руководитель направления по логистике и сопутствующим сервисам "/>
    <s v="Договорный документ"/>
    <s v="Блок по закупкам"/>
    <s v="Титов А.В."/>
    <s v="На бумажном носителе"/>
    <s v="До исполнения обязательств"/>
    <d v="2021-12-06T00:00:00"/>
    <s v=""/>
    <s v="Д-11"/>
    <s v="Договор поставки/купли продажи движимого имущества"/>
    <s v="Расходная часть"/>
    <s v="Стоимостной"/>
    <s v="10%"/>
    <s v=""/>
    <s v=""/>
    <s v="1 468 922.40"/>
    <s v="1 335 384.00"/>
    <s v="133 538.40"/>
    <s v="нет"/>
    <s v="нет"/>
    <s v=""/>
    <s v=""/>
    <s v=""/>
    <s v=""/>
    <s v="нет"/>
  </r>
  <r>
    <s v="Газпромнефть-ГЕО, ООО"/>
    <s v=""/>
    <s v="Зарегистрирован"/>
    <d v="2022-08-18T00:00:00"/>
    <s v=""/>
    <x v="435"/>
    <s v=""/>
    <s v=""/>
    <s v="ГЕО-22/09000/00204/Р"/>
    <s v="ГЕО-22/09000/00204/Р"/>
    <s v="Нетиповой ДД"/>
    <x v="2"/>
    <s v=""/>
    <s v="00746-22"/>
    <s v=""/>
    <s v="Договор на передачу неисключительных прав использования базы данных"/>
    <s v="Передача неисключительных прав использования базы данных (простая неисключительная лицензия) - справочная система «Охрана труда». "/>
    <s v="Петушкова В.Е."/>
    <s v="Петушкова В.Е."/>
    <s v="Договорный документ"/>
    <s v="Управление производственной безопасности"/>
    <s v="Власов М.М."/>
    <s v="На бумажном носителе"/>
    <s v="С ограничением по срокам "/>
    <d v="2022-09-01T00:00:00"/>
    <d v="2023-08-31T00:00:00"/>
    <s v="Д-59"/>
    <s v="Договор возмездного оказания услуг"/>
    <s v="Расходная часть"/>
    <s v="Стоимостной"/>
    <s v="без НДС"/>
    <s v=""/>
    <s v=""/>
    <s v="69 634.00"/>
    <s v="69 634.00"/>
    <n v="0"/>
    <s v="нет"/>
    <s v="нет"/>
    <s v=""/>
    <s v=""/>
    <s v=""/>
    <s v=""/>
    <s v="нет"/>
  </r>
  <r>
    <s v="Газпромнефть-ГЕО, ООО"/>
    <s v="0000058553, 0000080990"/>
    <s v="Зарегистрирован"/>
    <d v="2023-12-12T00:00:00"/>
    <s v=""/>
    <x v="436"/>
    <s v="7725610285, 7703783277"/>
    <s v=""/>
    <s v="ГЕО-23/31100/00211/Р"/>
    <s v="ГЕО-23/31100/00211/Р"/>
    <s v="Нетиповой ДД"/>
    <x v="1"/>
    <s v=""/>
    <s v="00746-23"/>
    <s v=""/>
    <s v="Соглашение о перемене лиц в обязательстве"/>
    <s v=" по региональным НИР в ООО &quot;ГПН-ГЕО&quot;"/>
    <s v="Коваленко М.В."/>
    <s v="Переслегин Михаил Викторович"/>
    <s v="Договорный документ"/>
    <s v="Блок геологии и разработки"/>
    <s v="Аксенов М.А."/>
    <s v="На бумажном носителе"/>
    <s v="До исполнения обязательств"/>
    <d v="2023-12-12T00:00:00"/>
    <s v=""/>
    <s v="Д-54"/>
    <s v="Соглашение о перемене лиц в обязательстве"/>
    <s v="Расходная часть"/>
    <s v="Стоимостной"/>
    <s v="0%"/>
    <s v=""/>
    <s v=""/>
    <s v="129 000 000.00"/>
    <s v="129 000 000.00"/>
    <n v="0"/>
    <s v="нет"/>
    <s v="нет"/>
    <s v=""/>
    <s v=""/>
    <s v=""/>
    <s v=""/>
    <s v="нет"/>
  </r>
  <r>
    <s v="Газпромнефть-ГЕО, ООО"/>
    <s v=""/>
    <s v="Зарегистрирован"/>
    <d v="2022-08-17T00:00:00"/>
    <s v=""/>
    <x v="437"/>
    <s v=""/>
    <s v=""/>
    <s v="ГЕО-22/24000/00242/Р"/>
    <s v="ГЕО-22/24000/00242/Р"/>
    <s v="Нетиповой ДД"/>
    <x v="2"/>
    <s v=""/>
    <s v="00747-22"/>
    <s v=""/>
    <s v="закупка лицензий КонсультантПлюс"/>
    <s v="На оказание услуг по поставке, адаптации, модификации и предоставлению доступа к экземплярам Систем КонсультантПлюс"/>
    <s v="Разумовский М.В."/>
    <s v="Разумовский М.В."/>
    <s v="Договорный документ"/>
    <s v="Отдел информационных технологий, автоматизации и телекоммуникаций"/>
    <s v="Аксенов М.А."/>
    <s v="На бумажном носителе"/>
    <s v="До исполнения обязательств"/>
    <d v="2022-08-17T00:00:00"/>
    <s v=""/>
    <s v="Д-54"/>
    <s v="Лицензионный договор"/>
    <s v="Расходная часть"/>
    <s v="Тарифный"/>
    <s v="20%"/>
    <s v=""/>
    <s v=""/>
    <s v="1 479 994.16"/>
    <s v="1 233 328.47"/>
    <s v="246 665.69"/>
    <s v="нет"/>
    <s v="нет"/>
    <s v=""/>
    <s v=""/>
    <s v=""/>
    <s v=""/>
    <s v="нет"/>
  </r>
  <r>
    <s v="Газпромнефть-ГЕО, ООО"/>
    <s v="0000076851"/>
    <s v="Зарегистрирован"/>
    <d v="2023-12-11T00:00:00"/>
    <s v=""/>
    <x v="48"/>
    <s v="2466091092"/>
    <s v="ГЕО-22/11000/00274/Р"/>
    <s v=""/>
    <s v="1"/>
    <s v="Нетиповой ДД"/>
    <x v="4"/>
    <s v=""/>
    <s v="00747-23"/>
    <s v="4"/>
    <s v="Изменение №1 от 11.12.2023г. к Наряд-заказу №4 к Договору № ГЕО-22/11000/00274/Р от 14.10.2022г."/>
    <s v="На выполнение проектных работ"/>
    <s v="Шолохова И.А."/>
    <s v="Салахутдинов Р.С."/>
    <s v="Договорный документ"/>
    <s v="Управление проектно-изыскательских работ"/>
    <s v="Трифонов А.В."/>
    <s v="ЭП"/>
    <s v="До исполнения обязательств"/>
    <d v="2023-12-11T00:00:00"/>
    <s v=""/>
    <s v="Д-33"/>
    <s v="Капитальное строительство и ПИР"/>
    <s v="Расходная часть"/>
    <s v="Рамочный"/>
    <s v="20%"/>
    <s v=""/>
    <s v=""/>
    <s v="10 793 919.14"/>
    <s v="8 994 932.62"/>
    <s v="1 798 986.52"/>
    <s v="нет"/>
    <s v="нет"/>
    <s v=""/>
    <s v=""/>
    <s v=""/>
    <s v=""/>
    <s v="нет"/>
  </r>
  <r>
    <s v="Газпромнефть-ГЕО, ООО"/>
    <s v="0000098088"/>
    <s v="Зарегистрирован"/>
    <d v="2022-08-22T00:00:00"/>
    <s v=""/>
    <x v="217"/>
    <s v="3015092176"/>
    <s v=""/>
    <s v="ГЕО-22/10000/00210/Р"/>
    <s v="ГЕО-22/10000/00210/Р"/>
    <s v="Нетиповой ДД"/>
    <x v="2"/>
    <s v=""/>
    <s v="00748-22"/>
    <s v=""/>
    <s v="Договор на выполнение работ по шеф-монтажу и сервисному сопровождению устьевого оборудования на проекте «Енисей»"/>
    <s v="Выполнение работ 10351 Шеф-монтаж и сервисное сопровождение устьевого оборудования"/>
    <s v="Шкателов А.А."/>
    <s v="Шкателов А.А."/>
    <s v="Договорный документ"/>
    <s v="Блок бурения и ВСР"/>
    <s v="Агеев П.А."/>
    <s v="ЭП"/>
    <s v="С ограничением по срокам "/>
    <d v="2022-08-22T00:00:00"/>
    <d v="2023-12-31T00:00:00"/>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54 424 339.60"/>
    <s v="128 686 949.67"/>
    <s v="25 737 389.93"/>
    <s v="нет"/>
    <s v="нет"/>
    <s v=""/>
    <s v=""/>
    <s v=""/>
    <s v=""/>
    <s v="нет"/>
  </r>
  <r>
    <s v="Газпромнефть-ГЕО, ООО"/>
    <s v="0000093917"/>
    <s v="Зарегистрирован"/>
    <d v="2023-12-18T00:00:00"/>
    <s v=""/>
    <x v="9"/>
    <s v="5609193118"/>
    <s v="ГЕО-22/20000/00334/Д"/>
    <s v=""/>
    <s v="1"/>
    <s v="Нетиповой ДД"/>
    <x v="0"/>
    <s v=""/>
    <s v="00748-23"/>
    <s v=""/>
    <s v="ДС 1 к ГЕО-22/20000/00334/Д с ООО &quot;АКБАРЫС&quot;"/>
    <s v="Продление срока действия"/>
    <s v="Титова Е.В."/>
    <s v="Титова Е.В."/>
    <s v="Договорный документ"/>
    <s v="Блок снабжения и закупок"/>
    <s v="Титов А.В."/>
    <s v="ЭП"/>
    <s v="С ограничением по срокам "/>
    <d v="2024-01-01T00:00:00"/>
    <d v="2024-12-31T00:00:00"/>
    <s v="Д-56"/>
    <s v="Агентский договор"/>
    <s v="Не предполагает взаиморасчетов"/>
    <s v="Агентский"/>
    <s v=""/>
    <s v=""/>
    <s v=""/>
    <s v=""/>
    <s v=""/>
    <s v=""/>
    <s v="нет"/>
    <s v="нет"/>
    <s v=""/>
    <s v=""/>
    <s v=""/>
    <s v=""/>
    <s v="нет"/>
  </r>
  <r>
    <s v="Газпромнефть-ГЕО, ООО"/>
    <s v="0000070846"/>
    <s v="Зарегистрирован"/>
    <d v="2023-12-18T00:00:00"/>
    <s v=""/>
    <x v="132"/>
    <s v="7014052636"/>
    <s v="ГЕО-22/20000/00283/Д"/>
    <s v=""/>
    <s v="1"/>
    <s v="Нетиповой ДД"/>
    <x v="0"/>
    <s v=""/>
    <s v="00749-23"/>
    <s v=""/>
    <s v="ДС 1 к ГЕО-22/20000/00283/Д с ООО &quot;БРПО&quot;"/>
    <s v="Продление срока действия"/>
    <s v="Титова Е.В."/>
    <s v="Титова Е.В."/>
    <s v="Договорный документ"/>
    <s v="Блок снабжения и закупок"/>
    <s v="Титов А.В."/>
    <s v="ЭП"/>
    <s v="С ограничением по срокам "/>
    <d v="2024-01-01T00:00:00"/>
    <d v="2024-12-31T00:00:00"/>
    <s v="Д-56"/>
    <s v="Агентский договор"/>
    <s v="Не предполагает взаиморасчетов"/>
    <s v="Агентский"/>
    <s v=""/>
    <s v=""/>
    <s v=""/>
    <s v=""/>
    <s v=""/>
    <s v=""/>
    <s v="нет"/>
    <s v="нет"/>
    <s v=""/>
    <s v=""/>
    <s v=""/>
    <s v=""/>
    <s v="нет"/>
  </r>
  <r>
    <s v="Газпромнефть-ГЕО, ООО"/>
    <s v="0000068974"/>
    <s v="Зарегистрирован"/>
    <d v="2021-11-15T00:00:00"/>
    <s v=""/>
    <x v="81"/>
    <s v="3808120671"/>
    <s v="ГЕО-21/09000/00250/Р"/>
    <s v=""/>
    <s v="1"/>
    <s v="Нетиповой ДД"/>
    <x v="3"/>
    <s v=""/>
    <s v="00750-21"/>
    <s v=""/>
    <s v="Наряд-Заказ по оказанию услуг охраны"/>
    <s v="Согласование Нарад-заказа № 1 на оказание услуг охраны  в период 15.11.2021 по 30.04.2023г"/>
    <s v="Глухарева Ю.Б."/>
    <s v="Глухарева Ю.Б."/>
    <s v="Договорный документ"/>
    <s v="Блок корпоративной защиты"/>
    <s v="Созинов С.А."/>
    <s v="На бумажном носителе"/>
    <s v="С ограничением по срокам "/>
    <d v="2021-11-15T00:00:00"/>
    <d v="2023-04-30T00:00:00"/>
    <s v=""/>
    <s v="Договор возмездного оказания услуг"/>
    <s v="Расходная часть"/>
    <s v="Стоимостной"/>
    <s v="20%"/>
    <s v=""/>
    <s v=""/>
    <s v="40 420 486.70"/>
    <s v="33 683 738.92"/>
    <s v="6 736 747.78"/>
    <s v="нет"/>
    <s v="нет"/>
    <s v=""/>
    <s v=""/>
    <s v=""/>
    <s v=""/>
    <s v="нет"/>
  </r>
  <r>
    <s v="Газпромнефть-ГЕО, ООО"/>
    <s v=""/>
    <s v="Зарегистрирован"/>
    <d v="2022-09-07T00:00:00"/>
    <s v=""/>
    <x v="438"/>
    <s v=""/>
    <s v=""/>
    <s v="ГЕО-22/09000/00213/Р"/>
    <s v="ГЕО-22/09000/00213/Р"/>
    <s v="Нетиповой ДД"/>
    <x v="2"/>
    <s v=""/>
    <s v="00750-22"/>
    <s v=""/>
    <s v="Договор водопользования"/>
    <s v="Забор (изъятие) водных ресурсов из водного объекта для водоснабжения объектов Северо-Ямбургского лицензионного участка"/>
    <s v="Липатова О.И."/>
    <s v=""/>
    <s v="Договорный документ"/>
    <s v="Отдел экологической безопасности"/>
    <s v="Масалкин Ю.В."/>
    <s v="На бумажном носителе"/>
    <s v="С ограничением по срокам "/>
    <d v="2022-09-30T00:00:00"/>
    <d v="2023-12-31T00:00:00"/>
    <s v=""/>
    <s v="Договор возмездного оказания услуг"/>
    <s v="Расходная часть"/>
    <s v="Тарифный"/>
    <s v="без НДС"/>
    <s v=""/>
    <s v=""/>
    <s v="23 064.16"/>
    <s v="23 064.16"/>
    <n v="0"/>
    <s v="нет"/>
    <s v="нет"/>
    <s v=""/>
    <s v=""/>
    <s v=""/>
    <s v=""/>
    <s v="нет"/>
  </r>
  <r>
    <s v="Газпромнефть-ГЕО, ООО"/>
    <s v="0000078156"/>
    <s v="Зарегистрирован"/>
    <d v="2023-12-21T00:00:00"/>
    <s v=""/>
    <x v="439"/>
    <s v="7724921055"/>
    <s v=""/>
    <s v="ГЕО-23/09100/00220/Р"/>
    <s v="ГЕО-23/09100/00220/Р"/>
    <s v="Нетиповой ДД"/>
    <x v="2"/>
    <s v=""/>
    <s v="00750-23"/>
    <s v=""/>
    <s v="На оказание возмездных услуг"/>
    <s v="«Дополнительное обучение водителей автотранспортных средств теоретической части программы «Защитное вождение, зимнее вождение, вождение в сложных условиях» с применением образовательных технологий»"/>
    <s v="Матвеев В.Н."/>
    <s v="Матвеев В.Н."/>
    <s v="Договорный документ"/>
    <s v="Отдел по работе с подрядными организациями и безопасности на транспорте"/>
    <s v="Михайлов Ю.А."/>
    <s v="ЭП"/>
    <s v="С ограничением по срокам "/>
    <d v="2024-01-01T00:00:00"/>
    <d v="2024-12-31T00:00:00"/>
    <s v="Д-2"/>
    <s v="Договор на обучение (тренинги, семинары и проч.)"/>
    <s v="Расходная часть"/>
    <s v="Стоимостной"/>
    <s v="20%"/>
    <s v=""/>
    <s v=""/>
    <s v="1 204 200.00"/>
    <s v="1 003 500.00"/>
    <s v="200 700.00"/>
    <s v="нет"/>
    <s v="нет"/>
    <s v=""/>
    <s v=""/>
    <s v=""/>
    <s v=""/>
    <s v="нет"/>
  </r>
  <r>
    <s v="Газпромнефть-ГЕО, ООО"/>
    <s v="0000068442"/>
    <s v="Зарегистрирован"/>
    <d v="2021-10-15T00:00:00"/>
    <s v=""/>
    <x v="92"/>
    <s v="5611027573"/>
    <s v="ГЕО-21/09000/00198/Р"/>
    <s v=""/>
    <s v="1"/>
    <s v="Нетиповой ДД"/>
    <x v="3"/>
    <s v=""/>
    <s v="00751-21"/>
    <s v=""/>
    <s v="Наряд-Заказ по оказанию услуг охраны"/>
    <s v="Согласование Нарад-заказа № 1 на оказание услуг охраны  в период 15.10. 2021 по 16.07. 2022г"/>
    <s v="Глухарева Ю.Б."/>
    <s v="Глухарева Ю.Б."/>
    <s v="Договорный документ"/>
    <s v="Блок корпоративной защиты"/>
    <s v="Созинов С.А."/>
    <s v="На бумажном носителе"/>
    <s v="С ограничением по срокам "/>
    <d v="2021-10-15T00:00:00"/>
    <d v="2022-07-16T00:00:00"/>
    <s v="Д-35"/>
    <s v="Договор возмездного оказания услуг"/>
    <s v="Расходная часть"/>
    <s v="Стоимостной"/>
    <s v="0%"/>
    <s v=""/>
    <s v=""/>
    <s v="6 701 153.03"/>
    <s v="6 701 153.03"/>
    <n v="0"/>
    <s v="нет"/>
    <s v="нет"/>
    <s v=""/>
    <s v=""/>
    <s v=""/>
    <s v=""/>
    <s v="нет"/>
  </r>
  <r>
    <s v="Газпромнефть-ГЕО, ООО"/>
    <s v="0000073438"/>
    <s v="Зарегистрирован"/>
    <d v="2022-08-25T00:00:00"/>
    <s v=""/>
    <x v="68"/>
    <s v="7720330291"/>
    <s v="ГЕО-21/08000/00296/Р"/>
    <s v=""/>
    <s v="4"/>
    <s v="Нетиповой ДД"/>
    <x v="0"/>
    <s v=""/>
    <s v="00751-22"/>
    <s v=""/>
    <s v="Дополнительное соглашение № 4 к Договору № ГЕО-21/08000/00296/Р от «28» декабря 2021 г."/>
    <s v="Перевод негарантированного объема в гарантированный"/>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8-25T00:00:00"/>
    <d v="2026-12-31T00:00:00"/>
    <s v="Д-54"/>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41259"/>
    <s v="Зарегистрирован"/>
    <d v="2023-12-13T00:00:00"/>
    <s v=""/>
    <x v="142"/>
    <s v="7203159800"/>
    <s v="ГЕО-22/10968/00244/Р"/>
    <s v=""/>
    <s v="2"/>
    <s v="Нетиповой ДД"/>
    <x v="3"/>
    <s v=""/>
    <s v="00751-23"/>
    <s v=""/>
    <s v="Наряд-заказа № 2 к Договору №ГЕО-22/10968/00244/Р от 23.09.2022 г. с ООО «НИИ ЭиРИПР»"/>
    <s v="Выполнение работ по утилизации"/>
    <s v="Копылов Е.О."/>
    <s v=""/>
    <s v="Договорный документ"/>
    <s v="Отдел экологической безопасности"/>
    <s v="Михайлов Ю.А."/>
    <s v="ЭП"/>
    <s v="До исполнения обязательств"/>
    <d v="2023-12-13T00:00:00"/>
    <s v=""/>
    <s v="Д-2"/>
    <s v="Вывоз, транспортировка и размещение отходов производственной деятельности"/>
    <s v="Расходная часть"/>
    <s v="Стоимостной"/>
    <s v="20%"/>
    <s v=""/>
    <s v=""/>
    <s v="4 806 245.30"/>
    <s v="4 005 204.42"/>
    <s v="801 040.88"/>
    <s v="нет"/>
    <s v="нет"/>
    <s v=""/>
    <s v=""/>
    <s v=""/>
    <s v=""/>
    <s v="нет"/>
  </r>
  <r>
    <s v="Газпромнефть-ГЕО, ООО"/>
    <s v="0000040495"/>
    <s v="Зарегистрирован"/>
    <d v="2021-11-10T00:00:00"/>
    <s v=""/>
    <x v="167"/>
    <s v="0275009544"/>
    <s v=""/>
    <s v="ГЕО-21/26000/00252"/>
    <s v="ГЕО-21/26000/00252"/>
    <s v="Типовой ДД"/>
    <x v="1"/>
    <s v="26000 Соглашение о конфиденциальности с российским контрагентом"/>
    <s v="00752-21"/>
    <s v=""/>
    <s v="26000 Соглашение о конфиденциальности с российским контрагентом"/>
    <s v="Заключение соглашения о конфиденциальности"/>
    <s v="Ахматгалиев С.З."/>
    <s v="Ахматгалиев С.З."/>
    <s v="Договорный документ"/>
    <s v="Блок корпоративной защиты"/>
    <s v="Созинов С.А."/>
    <s v="На бумажном носителе"/>
    <s v="С ограничением по срокам "/>
    <d v="2021-11-10T00:00:00"/>
    <d v="2026-11-09T00:00:00"/>
    <s v="Д-35"/>
    <s v="Соглашение о конфиденциальности"/>
    <s v="Не предполагает взаиморасчетов"/>
    <s v=""/>
    <s v=""/>
    <s v=""/>
    <s v=""/>
    <s v=""/>
    <s v=""/>
    <s v=""/>
    <s v="нет"/>
    <s v="нет"/>
    <s v=""/>
    <s v=""/>
    <s v=""/>
    <s v=""/>
    <s v="нет"/>
  </r>
  <r>
    <s v="Газпромнефть-ГЕО, ООО"/>
    <s v="0000098088"/>
    <s v="Зарегистрирован"/>
    <d v="2022-08-22T00:00:00"/>
    <s v=""/>
    <x v="217"/>
    <s v="3015092176"/>
    <s v=""/>
    <s v="ГЕО-22/26000/00212"/>
    <s v="ГЕО-22/26000/00212"/>
    <s v="Типовой ДД"/>
    <x v="1"/>
    <s v="26000 Соглашение о конфиденциальности с российским контрагентом"/>
    <s v="00752-22"/>
    <s v=""/>
    <s v="26000 Соглашение о конфиденциальности с российским контрагентом"/>
    <s v="Заключение соглашения о конфиденциальности с российским контрагентом"/>
    <s v="Шкателов А.А."/>
    <s v="Шкателов А.А."/>
    <s v="Договорный документ"/>
    <s v="Блок корпоративной защиты"/>
    <s v="Созинов С.А."/>
    <s v="ЭП"/>
    <s v="С ограничением по срокам "/>
    <d v="2023-12-31T00:00:00"/>
    <d v="2028-12-31T00:00:00"/>
    <s v="Д-60"/>
    <s v="Соглашение о конфиденциальности"/>
    <s v="Не предполагает взаиморасчетов"/>
    <s v=""/>
    <s v=""/>
    <s v=""/>
    <s v=""/>
    <s v=""/>
    <s v=""/>
    <s v=""/>
    <s v="нет"/>
    <s v="нет"/>
    <s v=""/>
    <s v=""/>
    <s v=""/>
    <s v=""/>
    <s v="нет"/>
  </r>
  <r>
    <s v="Газпромнефть-ГЕО, ООО"/>
    <s v="0000071220"/>
    <s v="Зарегистрирован"/>
    <d v="2023-12-14T00:00:00"/>
    <s v=""/>
    <x v="51"/>
    <s v="5401950707"/>
    <s v="ГЕО-23/20000/00076/Д"/>
    <s v=""/>
    <s v="2"/>
    <s v="Нетиповой ДД"/>
    <x v="0"/>
    <s v=""/>
    <s v="00752-23"/>
    <s v=""/>
    <s v="ДС 2 к ГЕО-23/20000/00076/Д с ООО НППГА &quot;ЛУЧ&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4-01-01T00:00:00"/>
    <d v="2024-12-31T00:00:00"/>
    <s v="Д-56"/>
    <s v="Агентский договор"/>
    <s v="Доходная часть"/>
    <s v="Агентский"/>
    <s v="20%"/>
    <s v=""/>
    <s v=""/>
    <s v="321 745.25"/>
    <s v="268 121.04"/>
    <s v="53 624.21"/>
    <s v="нет"/>
    <s v="нет"/>
    <s v=""/>
    <s v=""/>
    <s v=""/>
    <s v=""/>
    <s v="нет"/>
  </r>
  <r>
    <s v="Газпромнефть-ГЕО, ООО"/>
    <s v=""/>
    <s v="Закрыт"/>
    <d v="2021-11-10T00:00:00"/>
    <s v=""/>
    <x v="440"/>
    <s v=""/>
    <s v=""/>
    <s v="ГЕО-21/25000/00260/Р"/>
    <s v="ГЕО-21/25000/00260/Р"/>
    <s v="Типовой ДД"/>
    <x v="2"/>
    <s v="25000 Договор об оказании услуг физическим лицом (без выезда на Лицензионные участки Заказчика)"/>
    <s v="00753-21"/>
    <s v=""/>
    <s v="25000 Договор об оказании услуг физическим лицом (без выезда на Лицензионные участки Заказчика)"/>
    <s v="Разработка «Программы практической подготовки волонтеров для участия в ликвидации разливов нефти и нефтепродуктов в зоне ответственности ООО «ГПН-ГЕО»"/>
    <s v="Морозов А.В."/>
    <s v="Морозов А.В."/>
    <s v="Договорный документ"/>
    <s v="Отдел по промышленной и пожарной безопасности"/>
    <s v="Масалкин Ю.В."/>
    <s v="На бумажном носителе"/>
    <s v="С ограничением по срокам "/>
    <d v="2021-11-10T00:00:00"/>
    <d v="2021-12-08T00:00:00"/>
    <s v=""/>
    <s v="Договор оказания услуг с физическим лицом"/>
    <s v="Расходная часть"/>
    <s v="Стоимостной"/>
    <s v="13%"/>
    <s v=""/>
    <s v=""/>
    <s v="22 035.00"/>
    <s v="19 170.45"/>
    <s v="2 864.55"/>
    <s v="нет"/>
    <s v="нет"/>
    <s v=""/>
    <s v=""/>
    <s v=""/>
    <s v=""/>
    <s v="нет"/>
  </r>
  <r>
    <s v="Газпромнефть-ГЕО, ООО"/>
    <s v="0000098088"/>
    <s v="Зарегистрирован"/>
    <d v="2022-08-22T00:00:00"/>
    <s v=""/>
    <x v="217"/>
    <s v="3015092176"/>
    <s v=""/>
    <s v="ГЕО-22/33100/00201"/>
    <s v="ГЕО-22/33100/00201"/>
    <s v="Типовой ДД"/>
    <x v="1"/>
    <s v="33100 Соглашение в области производственной безопасности"/>
    <s v="00753-22"/>
    <s v=""/>
    <s v="33100 Соглашение в области производственной безопасности"/>
    <s v="Заключение соглашения в области производственной безопасности для услуги 10351"/>
    <s v="Шкателов А.А."/>
    <s v="Шкателов А.А."/>
    <s v="Договорный документ"/>
    <s v="Блок производственной безопасности"/>
    <s v="Власов М.М."/>
    <s v="ЭП"/>
    <s v="Без сроков "/>
    <d v="2022-08-22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96994"/>
    <s v="Зарегистрирован"/>
    <d v="2023-12-14T00:00:00"/>
    <s v=""/>
    <x v="102"/>
    <s v="6316103250"/>
    <s v="ГЕО-23/20000/00081/Д"/>
    <s v=""/>
    <s v="1"/>
    <s v="Нетиповой ДД"/>
    <x v="0"/>
    <s v=""/>
    <s v="00753-23"/>
    <s v=""/>
    <s v="ДС 1 к ГЕО-23/20000/00081/Д с ООО &quot;БАРБУС&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4-01-01T00:00:00"/>
    <d v="2024-12-31T00:00:00"/>
    <s v="Д-56"/>
    <s v="Агентский договор"/>
    <s v="Доходная часть"/>
    <s v="Агентский"/>
    <s v="20%"/>
    <s v=""/>
    <s v=""/>
    <s v="37 033.34"/>
    <s v="30 861.12"/>
    <s v="6 172.22"/>
    <s v="нет"/>
    <s v="нет"/>
    <s v=""/>
    <s v=""/>
    <s v=""/>
    <s v=""/>
    <s v="нет"/>
  </r>
  <r>
    <s v="Газпромнефть-ГЕО, ООО"/>
    <s v="0000058271"/>
    <s v="Зарегистрирован"/>
    <d v="2021-10-27T00:00:00"/>
    <s v=""/>
    <x v="42"/>
    <s v="7725696878"/>
    <s v="ГЕО-19/11708/00133/Р от 25.06.2019"/>
    <s v=""/>
    <s v="13"/>
    <s v="Нетиповой ДД"/>
    <x v="3"/>
    <s v=""/>
    <s v="00754-21"/>
    <s v=""/>
    <s v="Заказ-Наряд №13 к договору №ГЕО-19/11708/00133/Р от 25.06.2019"/>
    <s v="Изучение нижнеюрского и доюрского комплекса ХМАО"/>
    <s v="Коротков С.П."/>
    <s v=""/>
    <s v="Договорный документ"/>
    <s v="Управление по разработке"/>
    <s v="Аксенов М.А."/>
    <s v="На бумажном носителе"/>
    <s v="С ограничением по срокам "/>
    <d v="2021-10-27T00:00:00"/>
    <d v="2022-03-25T00:00:00"/>
    <s v="Д-3"/>
    <s v="НИОКР, НИР прочие"/>
    <s v="Расходная часть"/>
    <s v="Рамочный"/>
    <s v="20%"/>
    <s v=""/>
    <s v=""/>
    <s v="14 056 881.60"/>
    <s v="11 714 068.00"/>
    <s v="2 342 813.60"/>
    <s v="нет"/>
    <s v="нет"/>
    <s v=""/>
    <s v=""/>
    <s v=""/>
    <s v=""/>
    <s v="нет"/>
  </r>
  <r>
    <s v="Газпромнефть-ГЕО, ООО"/>
    <s v="0000066687"/>
    <s v="Зарегистрирован"/>
    <d v="2022-08-23T00:00:00"/>
    <s v=""/>
    <x v="161"/>
    <s v="9909012867"/>
    <s v="ГЕО-22/10000/00179/Р"/>
    <s v=""/>
    <s v="1"/>
    <s v="Нетиповой ДД"/>
    <x v="0"/>
    <s v=""/>
    <s v="00754-22"/>
    <s v=""/>
    <s v="Дополнительное соглашение №1 "/>
    <s v="1. изменение сроков оплаты оказанных услуг_x000d__x000a_2. добавление условий о применении коэффициента корректировки стоимости в связи с изменением обменного курса валют "/>
    <s v="Коваленко М.В."/>
    <s v="Бикташев Руслан Станиславович"/>
    <s v="Договорный документ"/>
    <s v="Производственно-технологический департамент"/>
    <s v="Перфильев Д.А."/>
    <s v="На бумажном носителе"/>
    <s v="С ограничением по срокам "/>
    <d v="2022-08-23T00:00:00"/>
    <d v="2023-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19598"/>
    <s v="Зарегистрирован"/>
    <d v="2021-11-10T00:00:00"/>
    <s v=""/>
    <x v="63"/>
    <s v="9909012867"/>
    <s v="ГЕО-19/11708/00134/Р от 25.06.2019"/>
    <s v=""/>
    <s v="12"/>
    <s v="Нетиповой ДД"/>
    <x v="3"/>
    <s v=""/>
    <s v="00755-21"/>
    <s v=""/>
    <s v="Заказ-Наряд №12 к договору №ГЕО-19/11708/00134/Р от 25.06.2019"/>
    <s v="Концептуальное проектирование разработки глубоководных отложений мелового комплекса (пласты АС9, АС9-1, АС10-1, АС10-2, АС12, ЮС2-3, ЮС4) месторождения имени Александра Жагрина"/>
    <s v="Коротков С.П."/>
    <s v=""/>
    <s v="Договорный документ"/>
    <s v="Управление по разработке"/>
    <s v="Аксенов М.А."/>
    <s v="На бумажном носителе"/>
    <s v="С ограничением по срокам "/>
    <d v="2021-11-10T00:00:00"/>
    <d v="2022-12-25T00:00:00"/>
    <s v="Д-3"/>
    <s v="НИОКР, НИР прочие"/>
    <s v="Расходная часть"/>
    <s v="Рамочный"/>
    <s v="20%"/>
    <s v=""/>
    <s v=""/>
    <s v="15 793 200.00"/>
    <s v="13 161 000.00"/>
    <s v="2 632 200.00"/>
    <s v="нет"/>
    <s v="нет"/>
    <s v=""/>
    <s v=""/>
    <s v=""/>
    <s v=""/>
    <s v="нет"/>
  </r>
  <r>
    <s v="Газпромнефть-ГЕО, ООО"/>
    <s v=""/>
    <s v="Зарегистрирован"/>
    <d v="2022-08-18T00:00:00"/>
    <s v=""/>
    <x v="441"/>
    <s v=""/>
    <s v=""/>
    <s v="ГЕО-22/10120/00208/Р"/>
    <s v="ГЕО-22/10120/00208/Р"/>
    <s v="Типовой ДД"/>
    <x v="2"/>
    <s v="10120 Типовая форма (Мастер-форма) договора по услуге &quot;Гидродинамические исследования&quot;"/>
    <s v="00755-22"/>
    <s v=""/>
    <s v="10120 Типовая форма (Мастер-форма) договора по услуге &quot;Гидродинамические исследования&quot;"/>
    <s v="оказание услуг по проведению гидродинамических исследований скважин (ГДИС) в обсаженном стволе с помощью испытателя пластов на трубах "/>
    <s v="Коваленко М.В."/>
    <s v="Николаев В.А."/>
    <s v="Договорный документ"/>
    <s v="Блок геологии и разработки"/>
    <s v="Аксенов М.А."/>
    <s v="На бумажном носителе"/>
    <s v="С ограничением по срокам "/>
    <d v="2022-12-01T00:00:00"/>
    <d v="2025-12-31T00:00:00"/>
    <s v="Д-54"/>
    <s v="Гидродинамические исследования"/>
    <s v="Расходная часть"/>
    <s v="Стоимостной"/>
    <s v="20%"/>
    <s v=""/>
    <s v="153381156"/>
    <s v="625 552 753.44"/>
    <s v="521 293 961.20"/>
    <s v="104 258 792.24"/>
    <s v="да"/>
    <s v="нет"/>
    <s v=""/>
    <s v=""/>
    <s v=""/>
    <s v=""/>
    <s v="нет"/>
  </r>
  <r>
    <s v="Газпромнефть-ГЕО, ООО"/>
    <s v="0000084590"/>
    <s v="Зарегистрирован"/>
    <d v="2023-12-20T00:00:00"/>
    <s v=""/>
    <x v="61"/>
    <s v="7708277130"/>
    <s v="ГЕО-23/09000/00149/Р"/>
    <s v=""/>
    <s v="2"/>
    <s v="Нетиповой ДД"/>
    <x v="4"/>
    <s v=""/>
    <s v="00755-23"/>
    <s v="4"/>
    <s v="Изменение №2 к Заявке № 4 к договору № ГЕО-23/09000/00149/Р от 28.08.2023 г."/>
    <s v="- Изменение №2 к Заявке №4 на привлечение руководителя группы по производственной безопасности на проект «Оморинский», Салаирская площадь, скважина СЛР-3 Москаленко Е.Н. и продолжить привлечение Жуланова М.А.;_x000a_- применение квалификационных требований к руководителю группы по производственной безопасности, в соответствии с принятыми в рамках протокола совещания группы по экспертизе от 02.11.2023 г. №ПТ-9/0000224 критериями;_x000a_- корректировку объёмов и сроков оказания услуг по привлечению Павлюка В.П. и Жуланова М.А. к факту и отражение объёмов и сроков услуг на период привлечения Жуланова М.А. и Москаленко Е.Н. совместно для дальнейшей работы по сменам в рамках вахты."/>
    <s v="Фокин Е.В."/>
    <s v="Фокин Е.В."/>
    <s v="Договорный документ"/>
    <s v="Управление производственной безопасности"/>
    <s v="Михайлов Ю.А."/>
    <s v="ЭП"/>
    <s v="С ограничением по срокам "/>
    <d v="2023-10-31T00:00:00"/>
    <d v="2024-06-30T00:00:00"/>
    <s v="Д-2"/>
    <s v="Договор возмездного оказания услуг"/>
    <s v="Расходная часть"/>
    <s v="Рамочный"/>
    <s v="20%"/>
    <s v=""/>
    <s v=""/>
    <s v="8 771 983.64"/>
    <s v="7 309 986.37"/>
    <s v="1 461 997.27"/>
    <s v="нет"/>
    <s v="нет"/>
    <s v=""/>
    <s v=""/>
    <s v=""/>
    <s v=""/>
    <s v="нет"/>
  </r>
  <r>
    <s v="Газпромнефть-ГЕО, ООО"/>
    <s v="0000037860"/>
    <s v="Зарегистрирован"/>
    <d v="2021-11-08T00:00:00"/>
    <s v=""/>
    <x v="189"/>
    <s v="7714024384"/>
    <s v=""/>
    <s v="ГЕО-21/00000/00254"/>
    <s v="ГЕО-21/00000/00254"/>
    <s v="Типовой ДД"/>
    <x v="1"/>
    <s v="00000 Соглашение в области производственной безопасности"/>
    <s v="00756-21"/>
    <s v=""/>
    <s v="00000 Соглашение в области производственной безопасности"/>
    <s v="Заключение Соглашения в области Производственной безопасности"/>
    <s v="Быков Н.В."/>
    <s v=""/>
    <s v="Договорный документ"/>
    <s v="Блок бурения и ВСР"/>
    <s v="Гаврилов С.В."/>
    <s v="На бумажном носителе"/>
    <s v="До исполнения обязательств"/>
    <d v="2021-11-08T00:00:00"/>
    <s v=""/>
    <s v=""/>
    <s v="ПРОЧИЕ ДОГОВОРЫ"/>
    <s v="Не предполагает взаиморасчетов"/>
    <s v=""/>
    <s v=""/>
    <s v=""/>
    <s v=""/>
    <s v=""/>
    <s v=""/>
    <s v=""/>
    <s v="нет"/>
    <s v="нет"/>
    <s v=""/>
    <s v=""/>
    <s v=""/>
    <s v=""/>
    <s v="нет"/>
  </r>
  <r>
    <s v="Газпромнефть-ГЕО, ООО"/>
    <s v=""/>
    <s v="Зарегистрирован"/>
    <d v="2021-12-01T00:00:00"/>
    <s v=""/>
    <x v="442"/>
    <s v=""/>
    <s v=""/>
    <s v="ГЕО-21/09000/00309/Р"/>
    <s v="ГЕО-21/09000/00309/Р"/>
    <s v="Нетиповой ДД"/>
    <x v="2"/>
    <s v=""/>
    <s v="00757-21"/>
    <s v=""/>
    <s v="Об оказании услуг по предоставлению доступа к информационной системе «Личный кабинет – платформа Единой базы медицинских данных» "/>
    <s v="Предоставление доступа к результатам предварительных/периодических медицинских осмотров, заключений об отнесении к группе риска по сердечно-сосудистым заболеваниям (включающее оценку суммарного сердечно-сосудистого риска по шкале SCORE), к группе диспансерного наблюдения, результатам предсменных/послесменных, предрейсовых/ послерейсовых осмотров, вакцинации. Предоставление доступа к результатам предварительных/периодических медицинских осмотров в формате годен/не годен, без доступа к медицинским данным."/>
    <s v="Евстигнеев В.А."/>
    <s v="Евстигнеев В.А."/>
    <s v="Договорный документ"/>
    <s v="Управление производственной безопасности"/>
    <s v="Власов М.М."/>
    <s v="На бумажном носителе"/>
    <s v="С ограничением по срокам "/>
    <d v="2021-12-01T00:00:00"/>
    <d v="2026-12-31T00:00:00"/>
    <s v="Д-59"/>
    <s v="Договор возмездного оказания услуг"/>
    <s v="Расходная часть"/>
    <s v="Стоимостной"/>
    <s v="20%"/>
    <s v=""/>
    <s v=""/>
    <s v="122 598.00"/>
    <s v="102 165.00"/>
    <s v="20 433.00"/>
    <s v="нет"/>
    <s v="нет"/>
    <s v=""/>
    <s v=""/>
    <s v=""/>
    <s v=""/>
    <s v="нет"/>
  </r>
  <r>
    <s v="Газпромнефть-ГЕО, ООО"/>
    <s v=""/>
    <s v="Зарегистрирован"/>
    <d v="2022-08-18T00:00:00"/>
    <s v=""/>
    <x v="443"/>
    <s v=""/>
    <s v=""/>
    <s v="ГЕО-22/33100/00207"/>
    <s v="ГЕО-22/33100/00207"/>
    <s v="Типовой ДД"/>
    <x v="1"/>
    <s v="33100 Соглашение в области производственной безопасности"/>
    <s v="00757-22"/>
    <s v=""/>
    <s v="33100 Соглашение в области производственной безопасности"/>
    <s v="В целях обеспечения ПБ при оказании услуг"/>
    <s v="Коваленко М.В."/>
    <s v="Николаев В.А."/>
    <s v="Договорный документ"/>
    <s v="Блок геологии и разработки"/>
    <s v="Власов М.М."/>
    <s v="На бумажном носителе"/>
    <s v="С ограничением по срокам "/>
    <d v="2022-08-18T00:00:00"/>
    <d v="2025-12-31T00:00:00"/>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0642"/>
    <s v="Зарегистрирован"/>
    <d v="2021-12-06T00:00:00"/>
    <s v=""/>
    <x v="4"/>
    <s v="7736035485"/>
    <s v="ГЕО-20/17000/00212/Р"/>
    <s v=""/>
    <s v="1"/>
    <s v="Нетиповой ДД"/>
    <x v="0"/>
    <s v=""/>
    <s v="00758-21"/>
    <s v=""/>
    <s v="Дополнительное соглашение №1"/>
    <s v="Изменение количества застархованных лиц и суммы страховой премии"/>
    <s v="Курашко М.В."/>
    <s v="Курашко М.В."/>
    <s v="Договорный документ"/>
    <s v="Управление по работе с персоналом"/>
    <s v="Масалкин Ю.В."/>
    <s v="На бумажном носителе"/>
    <s v="До исполнения обязательств"/>
    <d v="2021-12-06T00:00:00"/>
    <s v=""/>
    <s v=""/>
    <s v="ПРОЧИЕ ДОГОВОРЫ"/>
    <s v="Доходная часть"/>
    <s v="Рамочный"/>
    <s v="без НДС"/>
    <s v=""/>
    <s v=""/>
    <s v="20 748.91"/>
    <s v="20 748.91"/>
    <n v="0"/>
    <s v="нет"/>
    <s v="нет"/>
    <s v=""/>
    <s v=""/>
    <s v=""/>
    <s v=""/>
    <s v="нет"/>
  </r>
  <r>
    <s v="Газпромнефть-ГЕО, ООО"/>
    <s v="0000088405"/>
    <s v="Зарегистрирован"/>
    <d v="2022-08-03T00:00:00"/>
    <s v=""/>
    <x v="169"/>
    <s v="6312086734"/>
    <s v=""/>
    <s v="ГЕО-22/10000/00206"/>
    <s v="ГЕО-22/10000/00206"/>
    <s v="Нетиповой ДД"/>
    <x v="1"/>
    <s v=""/>
    <s v="00758-22"/>
    <s v=""/>
    <s v="Соглашение о безопасном использовании ингформационных систем"/>
    <s v="Получение соответствующих ролей в Цифровом партнере ПБ"/>
    <s v="Забиров А.А."/>
    <s v="Забиров А.А."/>
    <s v="Договорный документ"/>
    <s v="Производственно-технологический департамент"/>
    <s v="Перфильев Д.А."/>
    <s v="На бумажном носителе"/>
    <s v="С ограничением по срокам "/>
    <d v="2022-09-01T00:00:00"/>
    <d v="2025-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0666"/>
    <s v="Зарегистрирован"/>
    <d v="2021-11-12T00:00:00"/>
    <s v=""/>
    <x v="444"/>
    <s v="9909012867"/>
    <s v="АНГ-17/10403/00136/Р "/>
    <s v=""/>
    <s v="С об УП"/>
    <s v="Нетиповой ДД"/>
    <x v="0"/>
    <s v=""/>
    <s v="00759-21"/>
    <s v=""/>
    <s v="Соглашение об урегулировании претензии"/>
    <s v="Урегулирование претензии с компанией &quot;Шлюмберже Лоджелко Инк.&quot;"/>
    <s v="Рымаренко А.А."/>
    <s v="Рымаренко А.А."/>
    <s v="Договорный документ"/>
    <s v="Управление внутрискважинных работ"/>
    <s v="Масалкин Ю.В."/>
    <s v="На бумажном носителе"/>
    <s v="До исполнения обязательств"/>
    <d v="2021-11-12T00:00:00"/>
    <s v=""/>
    <s v=""/>
    <s v="Гидравлический разрыв пласта"/>
    <s v="Расходная часть"/>
    <s v="Стоимостной"/>
    <s v="без НДС"/>
    <s v=""/>
    <s v=""/>
    <s v="4 010 507.15"/>
    <s v="4 010 507.15"/>
    <n v="0"/>
    <s v="нет"/>
    <s v="нет"/>
    <s v=""/>
    <s v=""/>
    <s v=""/>
    <s v=""/>
    <s v="нет"/>
  </r>
  <r>
    <s v="Газпромнефть-ГЕО, ООО"/>
    <s v="0000048216"/>
    <s v="Зарегистрирован"/>
    <d v="2022-08-24T00:00:00"/>
    <s v=""/>
    <x v="38"/>
    <s v="8605013881"/>
    <s v="ГЕО-21/10308/00236/Р"/>
    <s v=""/>
    <s v="4"/>
    <s v="Нетиповой ДД"/>
    <x v="0"/>
    <s v=""/>
    <s v="00759-22"/>
    <s v=""/>
    <s v="ДС №4 к Договору №№ГЕО-21/10308/00236/Р от 04.10.2021 г."/>
    <s v="Без изменения общей стоимости Договора:_x000d__x000a_1. Перевод части негарантированного объема 2022 г. в гарантированный объем 2022 г._x000d__x000a_2. Приведение Расчета стоимости Договора в соответствие к фактическому исполнению."/>
    <s v="Ушакова М.А."/>
    <s v=""/>
    <s v="Договорный документ"/>
    <s v="Блок геологии и разработки"/>
    <s v="Аксенов М.А."/>
    <s v="На бумажном носителе"/>
    <s v="С ограничением по срокам "/>
    <d v="2022-08-24T00:00:00"/>
    <d v="2024-12-31T00:00:00"/>
    <s v=""/>
    <s v="ГТИ при бурении"/>
    <s v="Не предполагает взаиморасчетов"/>
    <s v="Рамочный"/>
    <s v=""/>
    <s v=""/>
    <s v=""/>
    <s v=""/>
    <s v=""/>
    <s v=""/>
    <s v="нет"/>
    <s v="нет"/>
    <s v=""/>
    <s v=""/>
    <s v=""/>
    <s v=""/>
    <s v="нет"/>
  </r>
  <r>
    <s v="Газпромнефть-ГЕО, ООО"/>
    <s v="0000067121"/>
    <s v="Закрыт"/>
    <d v="2022-09-01T00:00:00"/>
    <s v=""/>
    <x v="62"/>
    <s v="7202171361"/>
    <s v="ГЕО-22/10000/00076/Р"/>
    <s v=""/>
    <s v="2"/>
    <s v="Нетиповой ДД"/>
    <x v="0"/>
    <s v=""/>
    <s v="00760-22"/>
    <s v=""/>
    <s v="ДС №2 к Договору № ВР-69-10110/20-23/ГЕО-22/10000/00076/Р от 30.09.2020."/>
    <s v="В целях адаптация договора с ООО «ТСГК», полученного в рамках переуступки от _x000d__x000a_СН-МНГ, под НМД ГПН-ГЕО, а также для переноса графика выполнения работ в соответствии с операторским договором"/>
    <s v="Ушакова М.А."/>
    <s v=""/>
    <s v="Договорный документ"/>
    <s v="Блок геологии и разработки"/>
    <s v="Аксенов М.А."/>
    <s v="На бумажном носителе"/>
    <s v="С ограничением по срокам "/>
    <d v="2022-09-01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19598"/>
    <s v="Зарегистрирован"/>
    <d v="2022-09-02T00:00:00"/>
    <s v=""/>
    <x v="63"/>
    <s v="9909012867"/>
    <s v="ГЕО-22/10000/00048/Р "/>
    <s v=""/>
    <s v="1"/>
    <s v="Нетиповой ДД"/>
    <x v="0"/>
    <s v=""/>
    <s v="00761-22"/>
    <s v=""/>
    <s v="ДС №1 к договору ГЕО-22_10000_0004_Р от 28.02.2022 "/>
    <s v="Об изменении сроков оплаты фактически выполненных работ "/>
    <s v="Яшкина К.Л."/>
    <s v="Веселкин А.С."/>
    <s v="Договорный документ"/>
    <s v="Блок бурения и ВСР"/>
    <s v="Трифонов А.В."/>
    <s v="На бумажном носителе"/>
    <s v="С ограничением по срокам "/>
    <d v="2022-09-02T00:00:00"/>
    <d v="2023-03-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0408"/>
    <s v="Зарегистрирован"/>
    <d v="2023-12-19T00:00:00"/>
    <s v=""/>
    <x v="104"/>
    <s v="3812043780"/>
    <s v="ГЕО-23/20000/00073/Д"/>
    <s v=""/>
    <s v="2"/>
    <s v="Нетиповой ДД"/>
    <x v="0"/>
    <s v=""/>
    <s v="00761-23"/>
    <s v=""/>
    <s v="ДС 2 к ГЕО-23/20000/00073/Д с ООО &quot;СТС&quot;"/>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d v="2024-01-01T00:00:00"/>
    <d v="2024-12-31T00:00:00"/>
    <s v="Д-56"/>
    <s v="Агентский договор"/>
    <s v="Доходная часть"/>
    <s v="Агентский"/>
    <s v="20%"/>
    <s v=""/>
    <s v=""/>
    <s v="752 644.22"/>
    <s v="627 203.52"/>
    <s v="125 440.70"/>
    <s v="нет"/>
    <s v="нет"/>
    <s v=""/>
    <s v=""/>
    <s v=""/>
    <s v=""/>
    <s v="нет"/>
  </r>
  <r>
    <s v="Газпромнефть-ГЕО, ООО"/>
    <s v="0000038433"/>
    <s v="Зарегистрирован"/>
    <d v="2022-08-31T00:00:00"/>
    <s v=""/>
    <x v="117"/>
    <s v="7707113869"/>
    <s v="ГЕО-19/09000/00084Р"/>
    <s v=""/>
    <s v="4"/>
    <s v="Нетиповой ДД"/>
    <x v="0"/>
    <s v=""/>
    <s v="00762-22"/>
    <s v=""/>
    <s v="Договор об оказании услуг"/>
    <s v="Исполнитель обязуется по заданию Заказчика оказать услуги (в рамках договоров, соглашений, контрактов и т.д., заключенных с авиакомпаниями, гостиницами, транспортными предприятиями и другими поставщиками услуг) по организации деловых поездок сотрудников Заказчика (в том числе и групповых)"/>
    <s v="Сергель О.Г."/>
    <s v="Буракова О.В."/>
    <s v="Договорный документ"/>
    <s v="Отдел административной поддержки бизнеса"/>
    <s v="Масалкин Ю.В."/>
    <s v="На бумажном носителе"/>
    <s v="С ограничением по срокам "/>
    <d v="2022-09-01T00:00:00"/>
    <d v="2022-12-31T00:00:00"/>
    <s v=""/>
    <s v="Договор возмездного оказания услуг"/>
    <s v="Не предполагает взаиморасчетов"/>
    <s v=""/>
    <s v=""/>
    <s v=""/>
    <s v=""/>
    <s v=""/>
    <s v=""/>
    <s v=""/>
    <s v="нет"/>
    <s v="нет"/>
    <s v=""/>
    <s v=""/>
    <s v=""/>
    <s v=""/>
    <s v="нет"/>
  </r>
  <r>
    <s v="Газпромнефть-ГЕО, ООО"/>
    <s v="0000086570"/>
    <s v="Зарегистрирован"/>
    <d v="2023-12-28T00:00:00"/>
    <s v=""/>
    <x v="389"/>
    <s v="561504779598"/>
    <s v="ГЕО-22/26000/00143"/>
    <s v=""/>
    <s v="1"/>
    <s v="Нетиповой ДД"/>
    <x v="0"/>
    <s v=""/>
    <s v="00762-23"/>
    <s v=""/>
    <s v="Дополнительное соглашение №1  к Договору № ГЕО-22/25000/00146/Р от 01.07.2022 г."/>
    <s v="Изменение сроков выполнения"/>
    <s v="Расулов И.Ф."/>
    <s v=""/>
    <s v="Договорный документ"/>
    <s v="Управление маркшейдерско-землеустроительных работ"/>
    <s v="Масалкин Ю.В."/>
    <s v="На бумажном носителе"/>
    <s v="С ограничением по срокам "/>
    <d v="2023-12-28T00:00:00"/>
    <d v="2023-12-28T00:00:00"/>
    <s v=""/>
    <s v="Соглашение о конфиденциальности"/>
    <s v="Не предполагает взаиморасчетов"/>
    <s v=""/>
    <s v=""/>
    <s v=""/>
    <s v=""/>
    <s v=""/>
    <s v=""/>
    <s v=""/>
    <s v="нет"/>
    <s v="нет"/>
    <s v=""/>
    <s v=""/>
    <s v=""/>
    <s v=""/>
    <s v="нет"/>
  </r>
  <r>
    <s v="Газпромнефть-ГЕО, ООО"/>
    <s v="0000046049"/>
    <s v="Закрыт"/>
    <d v="2022-09-13T00:00:00"/>
    <s v=""/>
    <x v="445"/>
    <s v="7706412930"/>
    <s v=""/>
    <s v="ГЕО-22/09000/00220/Р"/>
    <s v="ГЕО-22/09000/00220/Р"/>
    <s v="Нетиповой ДД"/>
    <x v="2"/>
    <s v=""/>
    <s v="00763-22"/>
    <s v=""/>
    <s v="Договор на организацию участия в мероприятиях Всероссийской недели охраны труда (27-30 сентября 2022 г.)"/>
    <s v="Изучение и рассмотрение лучших мировых и отечественных практик в области системы управления охраной труда, производственной и экологической безопасности, превентивных мер, направленных на профилактику травматизма и профессиональной заболеваемости, обсуждения направлений государственной политики в области охраны труда и совершенствования нормативной правовой базы"/>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2-09-27T00:00:00"/>
    <d v="2022-09-30T00:00:00"/>
    <s v=""/>
    <s v="Договор возмездного оказания услуг"/>
    <s v="Расходная часть"/>
    <s v="Стоимостной"/>
    <s v="20%"/>
    <s v=""/>
    <s v=""/>
    <s v="119 700.00"/>
    <s v="99 750.00"/>
    <s v="19 950.00"/>
    <s v="нет"/>
    <s v="нет"/>
    <s v=""/>
    <s v=""/>
    <s v=""/>
    <s v=""/>
    <s v="нет"/>
  </r>
  <r>
    <s v="Газпромнефть-ГЕО, ООО"/>
    <s v="0000062082"/>
    <s v="Зарегистрирован"/>
    <d v="2023-12-19T00:00:00"/>
    <s v=""/>
    <x v="122"/>
    <s v="7704627560"/>
    <s v=""/>
    <s v="ГЕО-23/10000/00216"/>
    <s v="ГЕО-23/10000/00216"/>
    <s v="Нетиповой ДД"/>
    <x v="1"/>
    <s v=""/>
    <s v="00763-23"/>
    <s v=""/>
    <s v="Соглашение  об урегулировании взаимных претензионных требований и подведении итогового сальдо встречных предоставлений по Договору № ГЕО-19/10201/00155/Р от 11.07.2019г. "/>
    <s v="Урегулирование взаимных претензионных требований, согласно условиям ДД"/>
    <s v="Яшкина К.Л."/>
    <s v="Дорогойченков Д.В."/>
    <s v="Договорный документ"/>
    <s v="Блок бурения и ВСР"/>
    <s v="Трифонов А.В."/>
    <s v="На бумажном носителе"/>
    <s v="До исполнения обязательств"/>
    <d v="2023-12-19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93917"/>
    <s v="Зарегистрирован"/>
    <d v="2021-11-10T00:00:00"/>
    <s v=""/>
    <x v="9"/>
    <s v="5609193118"/>
    <s v="ГЕО-20/10986/00128/Р"/>
    <s v=""/>
    <s v="4"/>
    <s v="Нетиповой ДД"/>
    <x v="0"/>
    <s v=""/>
    <s v="00764-21"/>
    <s v=""/>
    <s v="Дополнительное соглашение № 4 к ДОГОВОРУ № ГЕО-20/10986/00128/Р от 07.08.2020 г."/>
    <s v="Оказание услуг по сероводороду. Перевод из негарантированного в гарантированный объем"/>
    <s v="Белоусов О.В."/>
    <s v="Белоусов О.В."/>
    <s v="Договорный документ"/>
    <s v="Отдел по промышленной и пожарной безопасности"/>
    <s v="Масалкин Ю.В."/>
    <s v="На бумажном носителе"/>
    <s v="С ограничением по срокам "/>
    <d v="2021-09-25T00:00:00"/>
    <d v="2023-12-31T00:00:00"/>
    <s v=""/>
    <s v="Сервис по защите от сероводорода"/>
    <s v="Расходная часть"/>
    <s v="Рамочный"/>
    <s v="20%"/>
    <s v=""/>
    <s v=""/>
    <s v="240 029 630.03"/>
    <s v="200 024 691.69"/>
    <s v="40 004 938.34"/>
    <s v="нет"/>
    <s v="нет"/>
    <s v=""/>
    <s v=""/>
    <s v=""/>
    <s v=""/>
    <s v="нет"/>
  </r>
  <r>
    <s v="Газпромнефть-ГЕО, ООО"/>
    <s v="0000040952"/>
    <s v="Зарегистрирован"/>
    <d v="2022-08-10T00:00:00"/>
    <s v=""/>
    <x v="207"/>
    <s v="7203126844"/>
    <s v=""/>
    <s v="ГЕО-22/09000/00205"/>
    <s v="ГЕО-22/09000/00205"/>
    <s v="Нетиповой ДД"/>
    <x v="1"/>
    <s v=""/>
    <s v="00764-22"/>
    <s v=""/>
    <s v="Соглашение о безопасном использовании информационных систем О «ЭнергоТехСервис»,"/>
    <s v="Для работы в Цифровом партнере"/>
    <s v="Ушакова М.А."/>
    <s v="Забиров А.А."/>
    <s v="Договорный документ"/>
    <s v="Блок главного инженера"/>
    <s v="Перфильев Д.А."/>
    <s v="На бумажном носителе"/>
    <s v="С ограничением по срокам "/>
    <d v="2022-08-10T00:00:00"/>
    <d v="2025-12-31T00:00:00"/>
    <s v="Д-61"/>
    <s v="Договор возмездного оказания услуг"/>
    <s v="Не предполагает взаиморасчетов"/>
    <s v=""/>
    <s v=""/>
    <s v=""/>
    <s v=""/>
    <s v=""/>
    <s v=""/>
    <s v=""/>
    <s v="нет"/>
    <s v="нет"/>
    <s v=""/>
    <s v=""/>
    <s v=""/>
    <s v=""/>
    <s v="нет"/>
  </r>
  <r>
    <s v="Газпромнефть-ГЕО, ООО"/>
    <s v="0000048878"/>
    <s v="Зарегистрирован"/>
    <d v="2023-12-11T00:00:00"/>
    <s v=""/>
    <x v="29"/>
    <s v="1645019164"/>
    <s v="ГЕО-22/10000/00271/Р"/>
    <s v=""/>
    <s v="3"/>
    <s v="Нетиповой ДД"/>
    <x v="3"/>
    <s v=""/>
    <s v="00764-23"/>
    <s v=""/>
    <s v="НЗ №3 к Договору №ГЕО-22/10000/00271/Р от 10.10.2022 г. с ООО «ТНГ-Групп» на СРР проект ЮНП"/>
    <s v="Проведение полевых сейсморазведочных работ МОГТ 3D по заказу ООО «ГПН-ГЕО» на проекте ЮНП"/>
    <s v="Ушакова М.А."/>
    <s v=""/>
    <s v="Договорный документ"/>
    <s v="Блок геологии и разработки"/>
    <s v="Аксенов М.А."/>
    <s v="ЭП"/>
    <s v="С ограничением по срокам "/>
    <d v="2023-12-11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 601 999 928.00"/>
    <s v="1 334 999 940.00"/>
    <s v="266 999 988.00"/>
    <s v="нет"/>
    <s v="нет"/>
    <s v=""/>
    <s v=""/>
    <s v=""/>
    <s v=""/>
    <s v="нет"/>
  </r>
  <r>
    <s v="Газпромнефть-ГЕО, ООО"/>
    <s v=""/>
    <s v="Зарегистрирован"/>
    <d v="2021-11-08T00:00:00"/>
    <s v=""/>
    <x v="446"/>
    <s v=""/>
    <s v=""/>
    <s v="ГЕО-21/10301/00259/Р"/>
    <s v="ГЕО-21/10301/00259/Р"/>
    <s v="Типовой ДД"/>
    <x v="2"/>
    <s v="10301 Договор на оказание услуги  «Технологическое сопровождение (прокат) буровых долот и забойных двигателей»"/>
    <s v="00765-21"/>
    <s v=""/>
    <s v="10301 Договор на оказание услуги  «Технологическое сопровождение (прокат) буровых долот»"/>
    <s v="Оказание услуг по сопровождению (прокату) буровых долот (секции 660мм - 295,3мм). Проект &quot;Южный Оренбург&quot;."/>
    <s v="Быков Н.В."/>
    <s v="Дунаев Э.В."/>
    <s v="Договорный документ"/>
    <s v="Блок бурения и ВСР"/>
    <s v="Гаврилов С.В."/>
    <s v="На бумажном носителе"/>
    <s v="С ограничением по срокам "/>
    <d v="2021-11-08T00:00:00"/>
    <d v="2025-03-31T00:00:00"/>
    <s v=""/>
    <s v="Технологическое сопровождение (прокат) буровых долот"/>
    <s v="Расходная часть"/>
    <s v="Стоимостной"/>
    <s v="20%"/>
    <s v=""/>
    <s v=""/>
    <s v="111 960 000.00"/>
    <s v="93 300 000.00"/>
    <s v="18 660 000.00"/>
    <s v="нет"/>
    <s v="нет"/>
    <s v=""/>
    <s v=""/>
    <s v=""/>
    <s v=""/>
    <s v="нет"/>
  </r>
  <r>
    <s v="Газпромнефть-ГЕО, ООО"/>
    <s v="0000107545"/>
    <s v="Зарегистрирован"/>
    <d v="2023-12-28T00:00:00"/>
    <s v=""/>
    <x v="447"/>
    <s v="551401569793"/>
    <s v="ГЕО-22/25000/00335/Р"/>
    <s v=""/>
    <s v="1"/>
    <s v="Нетиповой ДД"/>
    <x v="0"/>
    <s v=""/>
    <s v="00765-23"/>
    <s v=""/>
    <s v="ДС №1 к договору № ГЕО-22/25000/00335/Р от 24.11.2022 г."/>
    <s v="Изменение срока действия договора и срока оказания услуг по договору, без изменения объема услуг  "/>
    <s v="Безруков А.А."/>
    <s v=""/>
    <s v="Договорный документ"/>
    <s v="Блок снабжения и закупок"/>
    <s v="Масалкин Ю.В."/>
    <s v="На бумажном носителе"/>
    <s v="До исполнения обязательств"/>
    <d v="2023-12-28T00:00:00"/>
    <s v=""/>
    <s v=""/>
    <s v="Договор оказания услуг с физическим лицом"/>
    <s v="Не предполагает взаиморасчетов"/>
    <s v=""/>
    <s v=""/>
    <s v=""/>
    <s v=""/>
    <s v=""/>
    <s v=""/>
    <s v=""/>
    <s v="нет"/>
    <s v="нет"/>
    <s v=""/>
    <s v=""/>
    <s v=""/>
    <s v=""/>
    <s v="нет"/>
  </r>
  <r>
    <s v="Газпромнефть-ГЕО, ООО"/>
    <s v="0000060723"/>
    <s v="Зарегистрирован"/>
    <d v="2021-11-12T00:00:00"/>
    <s v=""/>
    <x v="49"/>
    <s v="3811088474"/>
    <s v="АНГ-19/11513/00007/Р"/>
    <s v=""/>
    <s v="28 (корректировка)"/>
    <s v="Нетиповой ДД"/>
    <x v="3"/>
    <s v=""/>
    <s v="00766-21"/>
    <s v=""/>
    <s v="Наряд-заказ № 28 (корректировка) к Договору № АНГ-19/11513/00007/Р "/>
    <s v="Оформление землеустроительной документации для скв. Сал-3П, Км-4 Оморинского ЛУ (внесение корректировки в связи с изменением трассы к скв. Км-4)"/>
    <s v="Титаева И.А."/>
    <s v="Титаева И.А."/>
    <s v="Договорный документ"/>
    <s v="Управление маркшейдерско-землеустроительных работ"/>
    <s v="Перфильев Д.А."/>
    <s v="На бумажном носителе"/>
    <s v="С ограничением по срокам "/>
    <d v="2021-11-12T00:00:00"/>
    <d v="2022-12-31T00:00:00"/>
    <s v="Д-22"/>
    <s v="Выполнение комплекса топографо-геодезических, землеустроительных и лесоустроительных  работ "/>
    <s v="Расходная часть"/>
    <s v="Рамочный"/>
    <s v="20%"/>
    <s v=""/>
    <s v=""/>
    <s v="3 833 296.16"/>
    <s v="3 194 413.47"/>
    <s v="638 882.69"/>
    <s v="нет"/>
    <s v="нет"/>
    <s v=""/>
    <s v=""/>
    <s v=""/>
    <s v=""/>
    <s v="нет"/>
  </r>
  <r>
    <s v="Газпромнефть-ГЕО, ООО"/>
    <s v="0000058271"/>
    <s v="Зарегистрирован"/>
    <d v="2022-08-24T00:00:00"/>
    <s v=""/>
    <x v="42"/>
    <s v="7725696878"/>
    <s v="ГЕО-19/11708/00133/Р "/>
    <s v=""/>
    <s v="19"/>
    <s v="Нетиповой ДД"/>
    <x v="3"/>
    <s v=""/>
    <s v="00766-22"/>
    <s v=""/>
    <s v="Заключение НЗ-19 к Рамочному договору с &quot;Петротрейс&quot;"/>
    <s v="Экспертиза петрофизической модели ачимовской толщи Харвутинской площади Ямбургского нефтегазоконденсатного месторождения"/>
    <s v="Ябиров Р.З."/>
    <s v="Коняшкина К."/>
    <s v="Договорный документ"/>
    <s v="Блок геологии и разработки"/>
    <s v="Аксенов М.А."/>
    <s v="На бумажном носителе"/>
    <s v="С ограничением по срокам "/>
    <d v="2022-08-24T00:00:00"/>
    <d v="2022-09-30T00:00:00"/>
    <s v="Д-54"/>
    <s v="Договор на выполнение НИР, ОКР и технологических работ"/>
    <s v="Расходная часть"/>
    <s v="Рамочный"/>
    <s v="20%"/>
    <s v=""/>
    <s v=""/>
    <s v="2 666 940.00"/>
    <s v="2 222 450.00"/>
    <s v="444 490.00"/>
    <s v="нет"/>
    <s v="нет"/>
    <s v=""/>
    <s v=""/>
    <s v=""/>
    <s v=""/>
    <s v="нет"/>
  </r>
  <r>
    <s v="Газпромнефть-ГЕО, ООО"/>
    <s v="0000049191"/>
    <s v="Зарегистрирован"/>
    <d v="2023-12-01T00:00:00"/>
    <s v=""/>
    <x v="0"/>
    <s v="7729058675"/>
    <s v=""/>
    <s v="ГЕО-23/33100/00214"/>
    <s v="ГЕО-23/33100/00214"/>
    <s v="Типовой ДД"/>
    <x v="1"/>
    <s v="33100 Соглашение в области производственной безопасности"/>
    <s v="00766-23"/>
    <s v=""/>
    <s v="33100 Соглашение в области производственной безопасности"/>
    <s v="Соглашение в области ПЭБ"/>
    <s v="Разумовский М.В."/>
    <s v="Разумовский М.В."/>
    <s v="Договорный документ"/>
    <s v="Блок геологии и разработки"/>
    <s v="Михайлов Ю.А."/>
    <s v="На бумажном носителе"/>
    <s v="Без сроков "/>
    <d v="2023-12-01T00:00:00"/>
    <s v=""/>
    <s v="Д-2"/>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8552"/>
    <s v="Закрыт"/>
    <d v="2021-11-24T00:00:00"/>
    <s v=""/>
    <x v="352"/>
    <s v="7203391553"/>
    <s v=""/>
    <s v="ГЕО-21/09000/00263/Р"/>
    <s v="ГЕО-21/09000/00263/Р"/>
    <s v="Нетиповой ДД"/>
    <x v="2"/>
    <s v=""/>
    <s v="00767-21"/>
    <s v=""/>
    <s v="Договор на оказание услуг по оценке"/>
    <s v="Для формирования корректной цены реализации при продаже МТР категории НВИ, СВ и основных средств без остаточной стоимости"/>
    <s v="Долгов Д.Г."/>
    <s v="Долгов Д.Г."/>
    <s v="Договорный документ"/>
    <s v="Управление материально-технического обеспечения, транспортного обеспечения и сопутствующих сервисов"/>
    <s v="Ковтун М.А."/>
    <s v="На бумажном носителе"/>
    <s v="С ограничением по срокам "/>
    <d v="2021-11-24T00:00:00"/>
    <d v="2022-12-31T00:00:00"/>
    <s v="Д-5"/>
    <s v="Договор возмездного оказания услуг"/>
    <s v="Расходная часть"/>
    <s v="Рамочный"/>
    <s v="без НДС"/>
    <s v=""/>
    <s v=""/>
    <s v="416 000.00"/>
    <s v="416 000.00"/>
    <n v="0"/>
    <s v="нет"/>
    <s v="нет"/>
    <s v=""/>
    <s v=""/>
    <s v=""/>
    <s v=""/>
    <s v="нет"/>
  </r>
  <r>
    <s v="Газпромнефть-ГЕО, ООО"/>
    <s v="0000073563"/>
    <s v="Зарегистрирован"/>
    <d v="2022-09-01T00:00:00"/>
    <s v=""/>
    <x v="120"/>
    <s v="8609322418"/>
    <s v=""/>
    <s v="ГЕО-22/20000/00211/Д"/>
    <s v="ГЕО-22/20000/00211/Д"/>
    <s v="Типовой ДД"/>
    <x v="2"/>
    <s v="20000 Агентский договор на организацию вертолетных авиаперевозок"/>
    <s v="00767-22"/>
    <s v=""/>
    <s v="20000 Агентский договор на организацию вертолетных авиаперевозок с ООО «ГеоЛад-СТ»"/>
    <s v="Авиаперевозка персонала и груза КА"/>
    <s v="Титова Е.В."/>
    <s v="Титова Е.В."/>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2-09-01T00:00:00"/>
    <d v="2024-12-31T00:00:00"/>
    <s v="Д-56"/>
    <s v="Агентский договор"/>
    <s v="Доходная часть"/>
    <s v="Агентский"/>
    <s v="20%"/>
    <s v=""/>
    <s v=""/>
    <s v="1 090 508.77"/>
    <s v="908 757.31"/>
    <s v="181 751.46"/>
    <s v="нет"/>
    <s v="нет"/>
    <s v=""/>
    <s v=""/>
    <s v=""/>
    <s v=""/>
    <s v="нет"/>
  </r>
  <r>
    <s v="Газпромнефть-ГЕО, ООО"/>
    <s v="0000095835"/>
    <s v="Зарегистрирован"/>
    <d v="2023-12-13T00:00:00"/>
    <s v=""/>
    <x v="261"/>
    <s v="7729076392"/>
    <s v=""/>
    <s v="ГЕО-23/24000/00221/Р"/>
    <s v="ГЕО-23/24000/00221/Р"/>
    <s v="Нетиповой ДД"/>
    <x v="2"/>
    <s v=""/>
    <s v="00767-23"/>
    <s v=""/>
    <s v="Рамочный лицензионный договор на предоставление или приобретение прав использования программ для электронных вычислительных машин (ЭВМ) &quot;Кибер Бэкап&quot; "/>
    <s v="Предоставление неисключительного права (простой лицензии) на использование программного обеспечения &quot;Кибер Бэкап Расширенная редакция для платформы виртуализации&quot; и технической поддержки для ООО &quot;ГПН-ГЕО&quot;"/>
    <s v="Безруков А.А."/>
    <s v="Попов В.А."/>
    <s v="Договорный документ"/>
    <s v="Блок геологии и разработки"/>
    <s v="Аксенов М.А."/>
    <s v="ЭП"/>
    <s v="До исполнения обязательств"/>
    <d v="2023-12-13T00:00:00"/>
    <s v=""/>
    <s v=""/>
    <s v="Лицензионный договор"/>
    <s v="Расходная часть"/>
    <s v="Стоимостной"/>
    <s v="иное"/>
    <s v="20,00"/>
    <s v=""/>
    <s v="3 258 008.00"/>
    <s v="3 232 340.00"/>
    <s v="25 668.00"/>
    <s v="нет"/>
    <s v="нет"/>
    <s v=""/>
    <s v=""/>
    <s v=""/>
    <s v=""/>
    <s v="нет"/>
  </r>
  <r>
    <s v="Газпромнефть-ГЕО, ООО"/>
    <s v="0000047541"/>
    <s v="Зарегистрирован"/>
    <d v="2021-11-15T00:00:00"/>
    <s v=""/>
    <x v="229"/>
    <s v="7826732280"/>
    <s v="АНГ-18/10926/00226/Р"/>
    <s v=""/>
    <s v="1"/>
    <s v="Нетиповой ДД"/>
    <x v="0"/>
    <s v=""/>
    <s v="00768-21"/>
    <s v=""/>
    <s v="Дополнительное соглашение № 1 к Договору № АНГ-18/10926/00226/Р от 29.10.2018 г."/>
    <s v="Продление срока действия Договора"/>
    <s v="Петушкова В.Е."/>
    <s v="Петушкова В.Е."/>
    <s v="Договорный документ"/>
    <s v="Управление производственной безопасности"/>
    <s v="Масалкин Ю.В."/>
    <s v="На бумажном носителе"/>
    <s v="С ограничением по срокам "/>
    <d v="2022-01-01T00:00:00"/>
    <d v="2022-12-31T00:00:00"/>
    <s v=""/>
    <s v="Обучение по промышленной, экологической безопасности и охране труда"/>
    <s v="Не предполагает взаиморасчетов"/>
    <s v="Стоимостной"/>
    <s v=""/>
    <s v=""/>
    <s v=""/>
    <s v=""/>
    <s v=""/>
    <s v=""/>
    <s v="нет"/>
    <s v="нет"/>
    <s v=""/>
    <s v=""/>
    <s v=""/>
    <s v=""/>
    <s v="нет"/>
  </r>
  <r>
    <s v="Газпромнефть-ГЕО, ООО"/>
    <s v="0000066314"/>
    <s v="Зарегистрирован"/>
    <d v="2022-09-01T00:00:00"/>
    <s v=""/>
    <x v="74"/>
    <s v="7202242358"/>
    <s v="АНГ-191151300010Р"/>
    <s v=""/>
    <s v="12"/>
    <s v="Нетиповой ДД"/>
    <x v="3"/>
    <s v=""/>
    <s v="00768-22"/>
    <s v=""/>
    <s v="НАРЯД-ЗАКАЗ № 12 к Договору № АНГ-191151300010Р от 18 февраля 2019"/>
    <s v="Выполнение комплекса землеустроительных и лесоустроительных работ для объекта: &quot;Обустройство поисково-оценочной скважины №72 Хамбатейского лицензионного участка&quot;, в том числе:_x000d__x000a_1. Проезд до зимнего водозабора 1уч._x000d__x000a_2. Площадки для устройства переправы 4 уч._x000d__x000a_3. Дорожно-ремонтный пункт 1 уч._x000d__x000a_"/>
    <s v="Горев М.А."/>
    <s v="Горев М.А."/>
    <s v="Договорный документ"/>
    <s v="Управление маркшейдерско-землеустроительных работ"/>
    <s v="Перфильев Д.А."/>
    <s v="ЭП"/>
    <s v="С ограничением по срокам "/>
    <d v="2022-09-01T00:00:00"/>
    <d v="2023-06-30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0%"/>
    <s v=""/>
    <s v=""/>
    <s v="1 218 205.92"/>
    <s v="1 218 205.92"/>
    <n v="0"/>
    <s v="нет"/>
    <s v="нет"/>
    <s v=""/>
    <s v=""/>
    <s v=""/>
    <s v=""/>
    <s v="нет"/>
  </r>
  <r>
    <s v="Газпромнефть-ГЕО, ООО"/>
    <s v="0000040963"/>
    <s v="Зарегистрирован"/>
    <d v="2024-01-10T00:00:00"/>
    <s v=""/>
    <x v="448"/>
    <s v="8901017195"/>
    <s v=""/>
    <s v="ГЕО-24/09000/00015/Р"/>
    <s v="ГЕО-24/09000/00015/Р"/>
    <s v="Нетиповой ДД"/>
    <x v="2"/>
    <s v=""/>
    <s v="00768-23"/>
    <s v=""/>
    <s v="Договор водопользования"/>
    <s v="Забор (изъятие) водных ресурсов из водного объекта для водоснабжения объектов Северо-Ямбургского лицензионного участка"/>
    <s v="Усламин Д.В."/>
    <s v="Усламин Д.В."/>
    <s v="Договорный документ"/>
    <s v="Отдел экологической безопасности"/>
    <s v="Масалкин Ю.В."/>
    <s v="На бумажном носителе"/>
    <s v="С ограничением по срокам "/>
    <d v="2024-01-10T00:00:00"/>
    <d v="2024-03-30T00:00:00"/>
    <s v=""/>
    <s v="Договор возмездного оказания услуг"/>
    <s v="Расходная часть"/>
    <s v="Тарифный"/>
    <s v="без НДС"/>
    <s v=""/>
    <s v=""/>
    <s v="4 832.74"/>
    <s v="4 832.74"/>
    <n v="0"/>
    <s v="нет"/>
    <s v="нет"/>
    <s v=""/>
    <s v=""/>
    <s v=""/>
    <s v=""/>
    <s v="нет"/>
  </r>
  <r>
    <s v="Газпромнефть-ГЕО, ООО"/>
    <s v="0000008602"/>
    <s v="Зарегистрирован"/>
    <d v="2021-11-01T00:00:00"/>
    <s v=""/>
    <x v="32"/>
    <s v="5504036333"/>
    <s v="ГПН-18/09000/02142/Р"/>
    <s v=""/>
    <s v="13"/>
    <s v="Нетиповой ДД"/>
    <x v="0"/>
    <s v=""/>
    <s v="00769-21"/>
    <s v=""/>
    <s v="Дополнительное соглашение №13 к Договору о выполение операторских работ и оказании операторских услуг"/>
    <s v="ДС Северо-Ямбургский ЛУ"/>
    <s v="Андреева И.В."/>
    <s v="Титиевский Е.Н."/>
    <s v="Договорный документ"/>
    <s v="Управление экономического планирования и анализа"/>
    <s v="Волков Г.В."/>
    <s v="На бумажном носителе"/>
    <s v="С ограничением по срокам "/>
    <d v="2021-11-01T00:00:00"/>
    <d v="2025-12-31T00:00:00"/>
    <s v=""/>
    <s v="ПРОЧИЕ ДОГОВОРЫ"/>
    <s v="Доходная часть"/>
    <s v="Стоимостной"/>
    <s v="20%"/>
    <s v=""/>
    <s v=""/>
    <s v="10 381 696 916.16"/>
    <s v="8 651 414 096.80"/>
    <s v="1 730 282 819.36"/>
    <s v="нет"/>
    <s v="нет"/>
    <s v=""/>
    <s v=""/>
    <s v=""/>
    <s v=""/>
    <s v="нет"/>
  </r>
  <r>
    <s v="Газпромнефть-ГЕО, ООО"/>
    <s v="0000055732"/>
    <s v="Закрыт"/>
    <d v="2022-09-01T00:00:00"/>
    <s v=""/>
    <x v="449"/>
    <s v="7708000473"/>
    <s v=""/>
    <s v="ГЕО-22/35000/00217"/>
    <s v="ГЕО-22/35000/00217"/>
    <s v="Нетиповой ДД"/>
    <x v="1"/>
    <s v=""/>
    <s v="00769-22"/>
    <s v=""/>
    <s v="Соглашение о безопасном использовании информационных систем"/>
    <s v="В целях аудита с использованием удаленного доступа"/>
    <s v="Малова Д.П."/>
    <s v="Малова Д.П."/>
    <s v="Договорный документ"/>
    <s v="Финансовое управление"/>
    <s v="Аксенов М.А."/>
    <s v="На бумажном носителе"/>
    <s v="С ограничением по срокам "/>
    <d v="2022-09-01T00:00:00"/>
    <d v="2024-03-01T00:00:00"/>
    <s v=""/>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40642"/>
    <s v="Зарегистрирован"/>
    <d v="2023-12-25T00:00:00"/>
    <s v=""/>
    <x v="4"/>
    <s v="7736035485"/>
    <s v="ГЕО-22/17000/00343/Р"/>
    <s v=""/>
    <s v="2"/>
    <s v="Нетиповой ДД"/>
    <x v="0"/>
    <s v=""/>
    <s v="00769-23"/>
    <s v=""/>
    <s v="ДС 2 к договору НСиБ № 0623 LA 000079/ГЕО-22/17000/00343/Р от «30» декабря 2022 г."/>
    <s v="Пересмотр численности застрахованных лиц по договору, в связи с приемом новых сотрудников и увольнением сотрудников ООО «ГПН-ГЕО»,"/>
    <s v="Хужина В.А."/>
    <s v=""/>
    <s v="Договорный документ"/>
    <s v="Управление по работе с персоналом"/>
    <s v="Масалкин Ю.В."/>
    <s v="На бумажном носителе"/>
    <s v="С ограничением по срокам "/>
    <d v="2023-12-25T00:00:00"/>
    <d v="2023-12-31T00:00:00"/>
    <s v=""/>
    <s v="Договор страхования"/>
    <s v="Расходная часть"/>
    <s v="Стоимостной"/>
    <s v="без НДС"/>
    <s v=""/>
    <s v=""/>
    <s v="1 857.90"/>
    <s v="1 857.90"/>
    <n v="0"/>
    <s v="нет"/>
    <s v="нет"/>
    <s v=""/>
    <s v=""/>
    <s v=""/>
    <s v=""/>
    <s v="нет"/>
  </r>
  <r>
    <s v="Газпромнефть-ГЕО, ООО"/>
    <s v="0000068974"/>
    <s v="Зарегистрирован"/>
    <d v="2022-09-13T00:00:00"/>
    <s v=""/>
    <x v="81"/>
    <s v="3808120671"/>
    <s v=""/>
    <s v="ГЕО-22/09000/00219/Р"/>
    <s v="ГЕО-22/09000/00219/Р"/>
    <s v="Типовой ДД"/>
    <x v="2"/>
    <s v="09000 Договор на оказание возмездных услуг по охране объектов (пропускного и внутриобъектового режима) (90303 по КТ-777)"/>
    <s v="00770-22"/>
    <s v=""/>
    <s v="09000 Договор на оказание возмездных услуг по охране объектов (пропускного и внутриобъектового режима) (90303 по КТ-777)"/>
    <s v="оказание услуг по охране "/>
    <s v="Коваленко М.В."/>
    <s v="Страдымов А.Г."/>
    <s v="Договорный документ"/>
    <s v="Блок корпоративной защиты"/>
    <s v="Агеев П.А."/>
    <s v="ЭП"/>
    <s v="С ограничением по срокам "/>
    <d v="2022-09-13T00:00:00"/>
    <d v="2023-09-30T00:00:00"/>
    <s v="Д-52"/>
    <s v="Договор возмездного оказания услуг"/>
    <s v="Расходная часть"/>
    <s v="Стоимостной"/>
    <s v="20%"/>
    <s v=""/>
    <s v="21916688.85"/>
    <s v="31 127 757.67"/>
    <s v="25 939 798.06"/>
    <s v="5 187 959.61"/>
    <s v="да"/>
    <s v="нет"/>
    <s v=""/>
    <s v=""/>
    <s v=""/>
    <s v=""/>
    <s v="нет"/>
  </r>
  <r>
    <s v="Газпромнефть-ГЕО, ООО"/>
    <s v="0000080408"/>
    <s v="Зарегистрирован"/>
    <d v="2023-12-11T00:00:00"/>
    <s v=""/>
    <x v="104"/>
    <s v="3812043780"/>
    <s v="ГЕО-22/11029/00171/Р"/>
    <s v=""/>
    <s v="1"/>
    <s v="Нетиповой ДД"/>
    <x v="4"/>
    <s v=""/>
    <s v="00770-23"/>
    <s v="5"/>
    <s v="Изм№1 к НЗ№5 по ДД №ГЕО-22/11029/00171/Р  от 25.07.2022г."/>
    <s v="Изм№1 к НЗ№5 по ДД №ГЕО-22/11029/00171/Р  от 25.07.2022г.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Департамент капитального строительства"/>
    <s v="Трифонов А.В."/>
    <s v="ЭП"/>
    <s v="До исполнения обязательств"/>
    <d v="2023-12-11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71 494 166.00"/>
    <s v="142 911 805.00"/>
    <s v="28 582 361.00"/>
    <s v="нет"/>
    <s v="нет"/>
    <s v=""/>
    <s v=""/>
    <s v=""/>
    <s v=""/>
    <s v="нет"/>
  </r>
  <r>
    <s v="Газпромнефть-ГЕО, ООО"/>
    <s v="0000039714"/>
    <s v="Зарегистрирован"/>
    <d v="2021-11-22T00:00:00"/>
    <s v=""/>
    <x v="1"/>
    <s v="7734033757"/>
    <s v=""/>
    <s v="ГЕО-21/10114/00257/Р"/>
    <s v="ГЕО-21/10114/00257/Р"/>
    <s v="Типовой ДД"/>
    <x v="2"/>
    <s v="10114 Мастер-форма договора по услуге «Супервайзерские услуги полевых работ площадными геофизическими методами»"/>
    <s v="00771-21"/>
    <s v=""/>
    <s v="10114 Мастер-форма договора по услуге «Супервайзерские услуги полевых работ площадными геофизическими методами»"/>
    <s v="Заключение договора по услуге «Супервайзерские услуги полевых работ площадными геофизическими методами»"/>
    <s v="Лопарев В.В."/>
    <s v="Дакиров В.С."/>
    <s v="Договорный документ"/>
    <s v="Блок геологии и разработки"/>
    <s v="Аксенов М.А."/>
    <s v="На бумажном носителе"/>
    <s v="С ограничением по срокам "/>
    <d v="2021-11-22T00:00:00"/>
    <d v="2024-12-31T00:00:00"/>
    <s v=""/>
    <s v="Супервайзерские услуги полевых работ площадными геофизическими методами"/>
    <s v="Расходная часть"/>
    <s v="Стоимостной"/>
    <s v="20%"/>
    <s v=""/>
    <s v=""/>
    <s v="155 119 736.40"/>
    <s v="129 266 447.00"/>
    <s v="25 853 289.40"/>
    <s v="нет"/>
    <s v="нет"/>
    <s v=""/>
    <s v=""/>
    <s v=""/>
    <s v=""/>
    <s v="нет"/>
  </r>
  <r>
    <s v="Газпромнефть-ГЕО, ООО"/>
    <s v="0000090808"/>
    <s v="Зарегистрирован"/>
    <d v="2023-02-17T00:00:00"/>
    <s v=""/>
    <x v="450"/>
    <s v="7724490000"/>
    <s v="ГЕО-22/09000/00203/Р"/>
    <s v=""/>
    <s v="1"/>
    <s v="Нетиповой ДД"/>
    <x v="0"/>
    <s v=""/>
    <s v="00771-22"/>
    <s v=""/>
    <s v="О взаимодействии в рамках электронного документооборота "/>
    <s v="Применение электронного документооборота (далее – ЭДО) при обмене следующими документами по договору: акта выполненных работ, счет-фактуры"/>
    <s v="Потемкина И.В."/>
    <s v="Потемкина И.В."/>
    <s v="Договорный документ"/>
    <s v="Отдел административной поддержки бизнеса"/>
    <s v="Буракова О.В."/>
    <s v="На бумажном носителе"/>
    <s v="С ограничением по срокам "/>
    <d v="2023-02-17T00:00:00"/>
    <d v="2023-12-31T00:00:00"/>
    <s v="Д-46"/>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85689"/>
    <s v="Зарегистрирован"/>
    <d v="2023-12-18T00:00:00"/>
    <s v=""/>
    <x v="15"/>
    <s v="3808219470"/>
    <s v=""/>
    <s v="ГЕО-23/10000/00223/Р"/>
    <s v="ГЕО-23/10000/00223/Р"/>
    <s v="Типовой ДД"/>
    <x v="2"/>
    <s v="10000 Договор по услуге «Полевые сейсморазведочные работы 2Д, 3Д» (услуга № 10110 согласно КТ-777) "/>
    <s v="00771-23"/>
    <s v=""/>
    <s v="Договор на выполнение работ по проведению полевых работ несейсмическими методами (электроразведочные работы) "/>
    <s v="Проведение полевых и камеральных электроразведочных работ методом ЗСБ на ЛУ &quot;Салым Петролеум Девелопмент Н.В.&quot; в ХМАО "/>
    <s v="Безруков А.А."/>
    <s v="Гулин В.Д."/>
    <s v="Договорный документ"/>
    <s v="Блок геологии и разработки"/>
    <s v="Аксенов М.А."/>
    <s v="ЭП"/>
    <s v="С ограничением по срокам "/>
    <d v="2023-12-18T00:00:00"/>
    <d v="2024-06-0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10 315 634.35"/>
    <s v="91 929 695.29"/>
    <s v="18 385 939.06"/>
    <s v="нет"/>
    <s v="нет"/>
    <s v=""/>
    <s v=""/>
    <s v=""/>
    <s v=""/>
    <s v="нет"/>
  </r>
  <r>
    <s v="Газпромнефть-ГЕО, ООО"/>
    <s v="0000045789"/>
    <s v="Зарегистрирован"/>
    <d v="2021-11-16T00:00:00"/>
    <s v=""/>
    <x v="16"/>
    <s v="7838395487"/>
    <s v="НТЦ-18/29000/01335/Д-ГЕО/ГЕО-19/10124/00001 от 09.01.2019"/>
    <s v=""/>
    <s v="8"/>
    <s v="Нетиповой ДД"/>
    <x v="0"/>
    <s v=""/>
    <s v="00772-21"/>
    <s v=""/>
    <s v="Дополнительное Соглашение №8"/>
    <s v="Выполнение НИР"/>
    <s v="Ябиров Р.З."/>
    <s v="Ябиров Р.З."/>
    <s v="Договорный документ"/>
    <s v="Газпромнефть-ГЕО, ООО"/>
    <s v="Аксенов М.А."/>
    <s v="На бумажном носителе"/>
    <s v="С ограничением по срокам "/>
    <d v="2021-11-16T00:00:00"/>
    <d v="2021-12-31T00:00:00"/>
    <s v="Д-3"/>
    <s v="НИОКР, НИР в области геологии и разработки месторождений"/>
    <s v="Расходная часть"/>
    <s v="Рамочный"/>
    <s v="20%"/>
    <s v=""/>
    <s v=""/>
    <s v="3 825 765 980.74"/>
    <s v="3 188 138 317.28"/>
    <s v="637 627 663.46"/>
    <s v="нет"/>
    <s v="нет"/>
    <s v=""/>
    <s v=""/>
    <s v=""/>
    <s v=""/>
    <s v="нет"/>
  </r>
  <r>
    <s v="Газпромнефть-ГЕО, ООО"/>
    <s v="0000073438"/>
    <s v="Зарегистрирован"/>
    <d v="2022-08-25T00:00:00"/>
    <s v=""/>
    <x v="68"/>
    <s v="7720330291"/>
    <s v="ГЕО-21/08000/00296/Р"/>
    <s v=""/>
    <s v="3"/>
    <s v="Нетиповой ДД"/>
    <x v="7"/>
    <s v=""/>
    <s v="00772-22"/>
    <s v=""/>
    <s v="Заявка №3 к Договору № ГЕО-21/08000/00296/Р от «28» декабря 2021 г."/>
    <s v="Разработка проектной документации на геологическое изучение на Оморинском участке недр."/>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8-25T00:00:00"/>
    <d v="2022-11-30T00:00:00"/>
    <s v="Д-54"/>
    <s v="Договор на выполнение НИР, ОКР и технологических работ"/>
    <s v="Расходная часть"/>
    <s v="Стоимостной"/>
    <s v="20%"/>
    <s v=""/>
    <s v=""/>
    <s v="5 128 381.44"/>
    <s v="4 273 651.20"/>
    <s v="854 730.24"/>
    <s v="нет"/>
    <s v="нет"/>
    <s v=""/>
    <s v=""/>
    <s v=""/>
    <s v=""/>
    <s v="нет"/>
  </r>
  <r>
    <s v="Газпромнефть-ГЕО, ООО"/>
    <s v="0000093931"/>
    <s v="Зарегистрирован"/>
    <d v="2024-02-01T00:00:00"/>
    <s v=""/>
    <x v="426"/>
    <s v="8802001878"/>
    <s v="ГЕО-20/11518/00067/Р"/>
    <s v=""/>
    <s v="2"/>
    <s v="Нетиповой ДД"/>
    <x v="0"/>
    <s v=""/>
    <s v="00772-23"/>
    <s v=""/>
    <s v="Дополнительное соглашение №2 к соглашению о компенсации убытков"/>
    <s v="Заключение дополнительного соглашения"/>
    <s v="Горев М.А."/>
    <s v="Горев М.А."/>
    <s v="Договорный документ"/>
    <s v="Управление маркшейдерско-землеустроительных работ"/>
    <s v="Трифонов А.В."/>
    <s v="На бумажном носителе"/>
    <s v="Без сроков "/>
    <d v="2024-02-01T00:00:00"/>
    <s v=""/>
    <s v="Д-33"/>
    <s v="Соглашение о сервитуте"/>
    <s v="Расходная часть"/>
    <s v="Стоимостной"/>
    <s v="0%"/>
    <s v=""/>
    <s v=""/>
    <s v="1 549 608.64"/>
    <s v="1 549 608.64"/>
    <n v="0"/>
    <s v="нет"/>
    <s v="нет"/>
    <s v=""/>
    <s v=""/>
    <s v=""/>
    <s v=""/>
    <s v="нет"/>
  </r>
  <r>
    <s v="Газпромнефть-ГЕО, ООО"/>
    <s v="0000093917"/>
    <s v="Зарегистрирован"/>
    <d v="2021-11-11T00:00:00"/>
    <s v=""/>
    <x v="9"/>
    <s v="5609193118"/>
    <s v=" № ГЕО-20/10986/00128/Р от 07.08.2020 г."/>
    <s v=""/>
    <s v="5"/>
    <s v="Нетиповой ДД"/>
    <x v="3"/>
    <s v=""/>
    <s v="00773-21"/>
    <s v=""/>
    <s v="НАРЯД-ЗАКАЗ НА ОКАЗАНИЕ УСЛУГ №5"/>
    <s v="оказание услуг по обеспечению безопасных условий труда для работников и соблюдению требований промышленной безопасности на объектах с содержанием сероводорода в продукции"/>
    <s v="Белоусов О.В."/>
    <s v="Белоусов О.В."/>
    <s v="Договорный документ"/>
    <s v="Отдел по промышленной и пожарной безопасности"/>
    <s v="Власов М.М."/>
    <s v="На бумажном носителе"/>
    <s v="С ограничением по срокам "/>
    <d v="2021-09-25T00:00:00"/>
    <d v="2022-12-31T00:00:00"/>
    <s v="Д-30"/>
    <s v="Сервис по защите от сероводорода"/>
    <s v="Не предполагает взаиморасчетов"/>
    <s v=""/>
    <s v=""/>
    <s v=""/>
    <s v=""/>
    <s v=""/>
    <s v=""/>
    <s v=""/>
    <s v="нет"/>
    <s v="нет"/>
    <s v=""/>
    <s v=""/>
    <s v=""/>
    <s v=""/>
    <s v="нет"/>
  </r>
  <r>
    <s v="Газпромнефть-ГЕО, ООО"/>
    <s v="0000073438"/>
    <s v="Зарегистрирован"/>
    <d v="2022-08-25T00:00:00"/>
    <s v=""/>
    <x v="68"/>
    <s v="7720330291"/>
    <s v="ГЕО-21/08000/00296/Р"/>
    <s v=""/>
    <s v="4"/>
    <s v="Нетиповой ДД"/>
    <x v="7"/>
    <s v=""/>
    <s v="00773-22"/>
    <s v=""/>
    <s v="Заявка №4 к Договору № ГЕО-21/08000/00296/Р от «28» декабря 2021 г."/>
    <s v="Региональное обобщение геолого-геофизической информации, создание сейсмогеологических моделей с целью выявления и локализации геологических объектов для строительства и эксплуатации подземных сооружений не связанных с добычей полезных ископаемых (размещение парниковых газов)"/>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8-25T00:00:00"/>
    <d v="2022-09-25T00:00:00"/>
    <s v="Д-54"/>
    <s v="Договор на выполнение НИР, ОКР и технологических работ"/>
    <s v="Расходная часть"/>
    <s v="Стоимостной"/>
    <s v="20%"/>
    <s v=""/>
    <s v=""/>
    <s v="16 200 000.00"/>
    <s v="13 500 000.00"/>
    <s v="2 700 000.00"/>
    <s v="нет"/>
    <s v="нет"/>
    <s v=""/>
    <s v=""/>
    <s v=""/>
    <s v=""/>
    <s v="нет"/>
  </r>
  <r>
    <s v="Газпромнефть-ГЕО, ООО"/>
    <s v="0000084590"/>
    <s v="Зарегистрирован"/>
    <d v="2023-12-18T00:00:00"/>
    <s v=""/>
    <x v="61"/>
    <s v="7708277130"/>
    <s v="ГЕО-23/09000/00149/Р"/>
    <s v=""/>
    <s v="6"/>
    <s v="Нетиповой ДД"/>
    <x v="7"/>
    <s v=""/>
    <s v="00773-23"/>
    <s v=""/>
    <s v="Заявка № 6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Руководителя группы по производственной безопасности и супервайзера по ПБ на Проект «ЮНП»."/>
    <s v="Анисимов А.Н."/>
    <s v="Анисимов А.Н."/>
    <s v="Договорный документ"/>
    <s v="Отдел по работе с подрядными организациями и безопасности на транспорте"/>
    <s v="Ядрышников П.Н."/>
    <s v="На бумажном носителе"/>
    <s v="С ограничением по срокам "/>
    <d v="2023-12-19T00:00:00"/>
    <d v="2024-05-10T00:00:00"/>
    <s v="Д-51"/>
    <s v="Договор возмездного оказания услуг"/>
    <s v="Расходная часть"/>
    <s v="Рамочный"/>
    <s v="20%"/>
    <s v=""/>
    <s v=""/>
    <s v="6 212 736.59"/>
    <s v="5 177 280.49"/>
    <s v="1 035 456.10"/>
    <s v="нет"/>
    <s v="нет"/>
    <s v=""/>
    <s v=""/>
    <s v=""/>
    <s v=""/>
    <s v="нет"/>
  </r>
  <r>
    <s v="Газпромнефть-ГЕО, ООО"/>
    <s v="0000082130"/>
    <s v="Зарегистрирован"/>
    <d v="2021-11-10T00:00:00"/>
    <s v=""/>
    <x v="17"/>
    <s v="7203027949"/>
    <s v="ГЕО-20/101109/00144/Р"/>
    <s v=""/>
    <s v="01/2021"/>
    <s v="Нетиповой ДД"/>
    <x v="3"/>
    <s v=""/>
    <s v="00774-21"/>
    <s v=""/>
    <s v="Услуги по исследованию состава и свойств пластовых флюидов скв.178 Лескинское месторождение"/>
    <s v="Исследование пластового флюида"/>
    <s v="Ябиров Р.З."/>
    <s v="Ябиров Р.З."/>
    <s v="Договорный документ"/>
    <s v="Блок геологии и разработки"/>
    <s v="Аксенов М.А."/>
    <s v="На бумажном носителе"/>
    <s v="С ограничением по срокам "/>
    <d v="2021-11-10T00:00:00"/>
    <d v="2021-12-31T00:00:00"/>
    <s v="Д-3"/>
    <s v="Услуги по исследованию состава и свойств пластовых флюидов"/>
    <s v="Расходная часть"/>
    <s v="Рамочный"/>
    <s v="20%"/>
    <s v=""/>
    <s v=""/>
    <s v="39 659.40"/>
    <s v="33 049.50"/>
    <s v="6 609.90"/>
    <s v="нет"/>
    <s v="нет"/>
    <s v=""/>
    <s v=""/>
    <s v=""/>
    <s v=""/>
    <s v="нет"/>
  </r>
  <r>
    <s v="Газпромнефть-ГЕО, ООО"/>
    <s v="0000087384"/>
    <s v="Зарегистрирован"/>
    <d v="2023-12-22T00:00:00"/>
    <s v=""/>
    <x v="34"/>
    <s v="7204183725"/>
    <s v=""/>
    <s v="ГЕО-23/10000/00219/Р"/>
    <s v="ГЕО-23/10000/00219/Р"/>
    <s v="Нетиповой ДД"/>
    <x v="2"/>
    <s v=""/>
    <s v="00774-23"/>
    <s v=""/>
    <s v="Договор"/>
    <s v="проведение геофизических исследований при строительстве/реконструкции скважин/ на проведение прострелочно-взрывных работ/ на проведение гидродинамических исследований / проведение промысловых геофизических исследований скважин при контроле за разработкой"/>
    <s v="Ларионов Е.А."/>
    <s v=""/>
    <s v="Договорный документ"/>
    <s v="Блок снабжения и закупок"/>
    <s v="Аксенов М.А."/>
    <s v="ЭП"/>
    <s v="С ограничением по срокам "/>
    <d v="2024-01-01T00:00:00"/>
    <d v="2025-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71488584.75"/>
    <s v="3 930 653 910.95"/>
    <s v="3 275 544 925.79"/>
    <s v="655 108 985.16"/>
    <s v="да"/>
    <s v="нет"/>
    <s v=""/>
    <s v=""/>
    <s v=""/>
    <s v=""/>
    <s v="нет"/>
  </r>
  <r>
    <s v="Газпромнефть-ГЕО, ООО"/>
    <s v="0000045789"/>
    <s v="Зарегистрирован"/>
    <d v="2021-11-18T00:00:00"/>
    <s v=""/>
    <x v="16"/>
    <s v="7838395487"/>
    <s v="ГЕО-21/11708/00165/Р"/>
    <s v=""/>
    <s v="2"/>
    <s v="Нетиповой ДД"/>
    <x v="0"/>
    <s v=""/>
    <s v="00775-21"/>
    <s v=""/>
    <s v="Дополнительное соглашение №2 к Договору № ГЕО-21/11708/00165/Р//НТЦ-21/09000/00768/Д "/>
    <s v="Акутализация перечня работ и единичных расценок НТЦ в связи утверждением бизнес-плана на 2022 год"/>
    <s v="Быков Н.В."/>
    <s v="Быков Н.В."/>
    <s v="Договорный документ"/>
    <s v="Блок геологии и разработки"/>
    <s v="Аксенов М.А."/>
    <s v="На бумажном носителе"/>
    <s v="С ограничением по срокам "/>
    <d v="2021-11-18T00:00:00"/>
    <d v="2026-12-31T00:00:00"/>
    <s v=""/>
    <s v="НИОКР, НИР прочие"/>
    <s v="Не предполагает взаиморасчетов"/>
    <s v=""/>
    <s v=""/>
    <s v=""/>
    <s v=""/>
    <s v=""/>
    <s v=""/>
    <s v=""/>
    <s v="нет"/>
    <s v="нет"/>
    <s v=""/>
    <s v=""/>
    <s v=""/>
    <s v=""/>
    <s v="нет"/>
  </r>
  <r>
    <s v="Газпромнефть-ГЕО, ООО"/>
    <s v="0000068974"/>
    <s v="Зарегистрирован"/>
    <d v="2022-09-07T00:00:00"/>
    <s v=""/>
    <x v="81"/>
    <s v="3808120671"/>
    <s v=""/>
    <s v="ГЕО-22/33100/00216"/>
    <s v="ГЕО-22/33100/00216"/>
    <s v="Типовой ДД"/>
    <x v="1"/>
    <s v="33100 Соглашение в области производственной безопасности"/>
    <s v="00775-22"/>
    <s v=""/>
    <s v="33100 Соглашение в области производственной безопасности"/>
    <s v="В целях обеспечения ПБ при оказании услуг"/>
    <s v="Коваленко М.В."/>
    <s v="Страдымов А.Г."/>
    <s v="Договорный документ"/>
    <s v="Блок корпоративной защиты"/>
    <s v="Власов М.М."/>
    <s v="ЭП"/>
    <s v="До исполнения обязательств"/>
    <d v="2022-09-07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Проект"/>
    <s v=""/>
    <s v=""/>
    <x v="58"/>
    <s v=""/>
    <s v=""/>
    <s v=""/>
    <s v=""/>
    <s v=""/>
    <x v="6"/>
    <s v=""/>
    <s v="00775-23"/>
    <s v=""/>
    <s v=""/>
    <s v=""/>
    <s v="Анчина К.Г."/>
    <s v=""/>
    <s v="Договорный документ"/>
    <s v="Отдел по корпоративным коммуникациям"/>
    <s v=""/>
    <s v=""/>
    <s v=""/>
    <s v=""/>
    <s v=""/>
    <s v=""/>
    <s v=""/>
    <s v=""/>
    <s v=""/>
    <s v=""/>
    <s v=""/>
    <s v=""/>
    <s v=""/>
    <s v=""/>
    <s v=""/>
    <s v="нет"/>
    <s v="нет"/>
    <s v=""/>
    <s v=""/>
    <s v=""/>
    <s v=""/>
    <s v="нет"/>
  </r>
  <r>
    <s v="Газпромнефть-ГЕО, ООО"/>
    <s v="0000040642"/>
    <s v="Зарегистрирован"/>
    <d v="2021-09-30T00:00:00"/>
    <s v=""/>
    <x v="4"/>
    <s v="7736035485"/>
    <s v="ГЕО-20/17000/00213/Р"/>
    <s v=""/>
    <s v="2"/>
    <s v="Нетиповой ДД"/>
    <x v="0"/>
    <s v=""/>
    <s v="00776-21"/>
    <s v=""/>
    <s v="Дополнительное соглашение №2"/>
    <s v="Изменение количества застархованных лиц и суммы страховой премии"/>
    <s v="Курашко М.В."/>
    <s v="Курашко М.В."/>
    <s v="Договорный документ"/>
    <s v="Управление по работе с персоналом"/>
    <s v="Масалкин Ю.В."/>
    <s v="На бумажном носителе"/>
    <s v="До исполнения обязательств"/>
    <d v="2021-09-30T00:00:00"/>
    <s v=""/>
    <s v=""/>
    <s v="ПРОЧИЕ ДОГОВОРЫ"/>
    <s v="Доходная часть"/>
    <s v="Рамочный"/>
    <s v="без НДС"/>
    <s v=""/>
    <s v=""/>
    <s v="155 620.00"/>
    <s v="155 620.00"/>
    <n v="0"/>
    <s v="нет"/>
    <s v="нет"/>
    <s v=""/>
    <s v=""/>
    <s v=""/>
    <s v=""/>
    <s v="нет"/>
  </r>
  <r>
    <s v="Газпромнефть-ГЕО, ООО"/>
    <s v="0000093917"/>
    <s v="Зарегистрирован"/>
    <d v="2022-09-09T00:00:00"/>
    <s v=""/>
    <x v="9"/>
    <s v="5609193118"/>
    <s v="ГЕО-20/10986/00128/Р"/>
    <s v=""/>
    <s v="9"/>
    <s v="Нетиповой ДД"/>
    <x v="3"/>
    <s v=""/>
    <s v="00776-22"/>
    <s v=""/>
    <s v="Наряд-заказ на оказание услуг № 9 к Договору №ГЕО-20/10986/00128/Р от 01.09.2020 г. "/>
    <s v="Оказание услуг по обеспечению безопасных условий труда для работников и соблюдению требований промышленной безопасности на скважине № 198 Лескинского лицензионного участка. "/>
    <s v="Хабибуллин Т.Ф."/>
    <s v="Хабибуллин Т.Ф."/>
    <s v="Договорный документ"/>
    <s v="Отдел по промышленной и пожарной безопасности"/>
    <s v="Власов М.М."/>
    <s v="На бумажном носителе"/>
    <s v="С ограничением по срокам "/>
    <d v="2022-09-01T00:00:00"/>
    <d v="2022-12-31T00:00:00"/>
    <s v="Д-59"/>
    <s v="Договор купли-продажи сопутствующих товаров и услгуг"/>
    <s v="Расходная часть"/>
    <s v="Стоимостной"/>
    <s v="20%"/>
    <s v=""/>
    <s v=""/>
    <s v="27 842 633.68"/>
    <s v="23 202 194.73"/>
    <s v="4 640 438.95"/>
    <s v="нет"/>
    <s v="нет"/>
    <s v=""/>
    <s v=""/>
    <s v=""/>
    <s v=""/>
    <s v="нет"/>
  </r>
  <r>
    <s v="Газпромнефть-ГЕО, ООО"/>
    <s v="0000108726"/>
    <s v="Зарегистрирован"/>
    <d v="2024-01-09T00:00:00"/>
    <s v=""/>
    <x v="281"/>
    <s v="026207530791"/>
    <s v=""/>
    <s v="ГЕО-23/25000/00226/Р"/>
    <s v="ГЕО-23/25000/00226/Р"/>
    <s v="Типовой ДД"/>
    <x v="2"/>
    <s v="25000 Договор об оказании услуг физическим лицом (без выезда на Лицензионные участки Заказчика)"/>
    <s v="00776-23"/>
    <s v=""/>
    <s v="25000 Договор об оказании услуг физическим лицом (без выезда на Лицензионные участки Заказчика)"/>
    <s v="Закупка услуги по управлению проектом разработки брендбука цифровых продуктов, а также создания уникальных медиапроектов, интервью с ключевыми спикерами и материалов на тему геологоразведочного бизнеса в корпоративные СМИ."/>
    <s v="Анчина К.Г."/>
    <s v=""/>
    <s v="Договорный документ"/>
    <s v="Отдел по корпоративным коммуникациям"/>
    <s v="Масалкин Ю.В."/>
    <s v="На бумажном носителе"/>
    <s v="С ограничением по срокам "/>
    <d v="2024-01-09T00:00:00"/>
    <d v="2024-07-20T00:00:00"/>
    <s v=""/>
    <s v="Договор оказания услуг с физическим лицом"/>
    <s v="Расходная часть"/>
    <s v="Стоимостной"/>
    <s v="13%"/>
    <s v=""/>
    <s v=""/>
    <s v="1 299 000.00"/>
    <s v="1 130 130.00"/>
    <s v="168 870.00"/>
    <s v="нет"/>
    <s v="нет"/>
    <s v=""/>
    <s v=""/>
    <s v=""/>
    <s v=""/>
    <s v="нет"/>
  </r>
  <r>
    <s v="Газпромнефть-ГЕО, ООО"/>
    <s v="0000068442"/>
    <s v="Проект"/>
    <d v="2021-10-14T00:00:00"/>
    <s v=""/>
    <x v="92"/>
    <s v="5611027573"/>
    <s v="ГЕО-21/09000/00198/Р"/>
    <s v=""/>
    <s v="1"/>
    <s v="Нетиповой ДД"/>
    <x v="3"/>
    <s v=""/>
    <s v="00777-21"/>
    <s v=""/>
    <s v="Наряд-Заказ по оказанию услуг охраны"/>
    <s v="Согласование Наряд-Заказа №1 на оказание услуг охраны в период с 15.10.2021г. по 16.07.2022г."/>
    <s v="Рузимуродов И.П."/>
    <s v="Страдымов А.Г - ГС по режиму и охране"/>
    <s v="Договорный документ"/>
    <s v="Управление закупок работ и услуг"/>
    <s v="Созинов С.А."/>
    <s v="На бумажном носителе"/>
    <s v="С ограничением по срокам "/>
    <d v="2021-10-15T00:00:00"/>
    <d v="2022-07-16T00:00:00"/>
    <s v="Д-35"/>
    <s v="Договор возмездного оказания услуг"/>
    <s v="Расходная часть"/>
    <s v="Стоимостной"/>
    <s v="без НДС"/>
    <s v=""/>
    <s v=""/>
    <s v="6 701 113.03"/>
    <s v="6 701 113.03"/>
    <n v="0"/>
    <s v="нет"/>
    <s v="нет"/>
    <s v=""/>
    <s v=""/>
    <s v=""/>
    <s v=""/>
    <s v="нет"/>
  </r>
  <r>
    <s v="Газпромнефть-ГЕО, ООО"/>
    <s v="0000108726"/>
    <s v="Зарегистрирован"/>
    <d v="2023-12-28T00:00:00"/>
    <s v=""/>
    <x v="281"/>
    <s v="026207530791"/>
    <s v=""/>
    <s v="ГЕО-23/26000/00225"/>
    <s v="ГЕО-23/26000/00225"/>
    <s v="Типовой ДД"/>
    <x v="1"/>
    <s v="26000 Договор о конфиденциальности с физическим лицом"/>
    <s v="00777-23"/>
    <s v=""/>
    <s v="26000 Договор о конфиденциальности с физическим лицом"/>
    <s v="Договор о конфиденциальности между ООО «ГПН-ГЕО» и физическим лицом - Анчиной Кристиной Геннадьевной."/>
    <s v="Анчина К.Г."/>
    <s v="Анчина К.Г."/>
    <s v="Договорный документ"/>
    <s v="Отдел по корпоративным коммуникациям"/>
    <s v="Созинов С.А."/>
    <s v="На бумажном носителе"/>
    <s v="С ограничением по срокам "/>
    <d v="2024-01-09T00:00:00"/>
    <d v="2024-07-20T00:00:00"/>
    <s v="Д-60"/>
    <s v="Соглашение о конфиденциальности"/>
    <s v="Не предполагает взаиморасчетов"/>
    <s v=""/>
    <s v=""/>
    <s v=""/>
    <s v=""/>
    <s v=""/>
    <s v=""/>
    <s v=""/>
    <s v="нет"/>
    <s v="нет"/>
    <s v=""/>
    <s v=""/>
    <s v=""/>
    <s v=""/>
    <s v="нет"/>
  </r>
  <r>
    <s v="Газпромнефть-ГЕО, ООО"/>
    <s v="0000072503"/>
    <s v="Закрыт"/>
    <d v="2021-11-22T00:00:00"/>
    <s v=""/>
    <x v="115"/>
    <s v="7704306397"/>
    <s v=""/>
    <s v="ГЕО-21/24000/00264/Р"/>
    <s v="ГЕО-21/24000/00264/Р"/>
    <s v="Нетиповой ДД"/>
    <x v="2"/>
    <s v=""/>
    <s v="00778-21"/>
    <s v=""/>
    <s v="ЛИЦЕНЗИОННЫЙ ДОГОВОР О ПРЕДОСТАВЛЕНИИ ПРАВА ИСПОЛЬЗОВАНИЯ НОВЫХ ВЕРСИЙ  ПРОГРАММ ДЛЯ ЭЛЕКТРОННО-ВЫЧИСЛИТЕЛЬНЫХ МАШИН (ЛИЦЕНЗИИ) "/>
    <s v="Закупка технической поддержки КИБ Серчинформ"/>
    <s v="Бринкис В.В."/>
    <s v="Бринкис В.В."/>
    <s v="Договорный документ"/>
    <s v="Блок корпоративной защиты"/>
    <s v="Созинов С.А."/>
    <s v="На бумажном носителе"/>
    <s v="С ограничением по срокам "/>
    <d v="2021-11-22T00:00:00"/>
    <d v="2022-12-31T00:00:00"/>
    <s v=""/>
    <s v="Лицензионный договор"/>
    <s v="Расходная часть"/>
    <s v="Стоимостной"/>
    <s v="без НДС"/>
    <s v=""/>
    <s v=""/>
    <s v="464 440.88"/>
    <s v="464 440.88"/>
    <n v="0"/>
    <s v="нет"/>
    <s v="да"/>
    <s v="100"/>
    <s v="464 440,88"/>
    <s v=""/>
    <s v=""/>
    <s v="нет"/>
  </r>
  <r>
    <s v="Газпромнефть-ГЕО, ООО"/>
    <s v="0000067067"/>
    <s v="Зарегистрирован"/>
    <d v="2022-09-01T00:00:00"/>
    <s v=""/>
    <x v="85"/>
    <s v="7816483740"/>
    <s v="ГЕО-19/09000/00303/Р"/>
    <s v=""/>
    <s v="5"/>
    <s v="Нетиповой ДД"/>
    <x v="0"/>
    <s v=""/>
    <s v="00778-22"/>
    <s v=""/>
    <s v="Дополнительное соглашение №5 к договору № ГЕО-19/09000/00303/P от 15.11.2019"/>
    <s v="Дополнительное соглашение №5 к Договору                     №ГЕО-19/09000/00303/Р от 15.11.2019г., предусматривает:_x000d__x000a_1). Внесение изменений в Приложение № 1а к Техническому заданию Гарантированный объем работ Северо-Ямбургский лицензионный участок, _x000d__x000a_Приложение № 1б к Техническому заданию Гарантированный объем работ Солнечный лицензионный участок,_x000d__x000a_Приложение № 1в к Техническому заданию Гарантированный объем работ Оморинский лицензионный участок,_x000d__x000a_Приложение № 1г к Техническому заданию Гарантированный объем работ Хамбатейский лицензионный участок._x000d__x000a_2). включение в Приложении №1 «Расчёт стоимости» следующих ставок: _x000d__x000a_- «Организация и проведение углубленного медицинского осмотра» в Уральском, Сибирском, Приволжском и Дальневосточном Федеральных округах;_x000d__x000a_- «Психофизиологическое исследование» в Приволжском ФО;_x000d__x000a_- «Организация ИФА диагностики (определение кортизола в слюне) в Приволжском ФО»;_x000d__x000a_- «Организация диагностики ДГЭА» в Приволжском ФО._x000d__x000a_3). Перераспределение негарантированных объемов в гарантированные, в связи с необходимостью оказания услуг в 2022-2023;_x000d__x000a_"/>
    <s v="Табуева М.А."/>
    <s v="Ядрышников П.Н."/>
    <s v="Договорный документ"/>
    <s v="Управление производственной безопасности"/>
    <s v="Власов М.М."/>
    <s v="На бумажном носителе"/>
    <s v="С ограничением по срокам "/>
    <d v="2022-09-01T00:00:00"/>
    <d v="2028-12-31T00:00:00"/>
    <s v="Д-59"/>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87796"/>
    <s v="Зарегистрирован"/>
    <d v="2023-12-28T00:00:00"/>
    <s v=""/>
    <x v="89"/>
    <s v="692700520683"/>
    <s v="ГЕО-23/25000/00039/Р"/>
    <s v=""/>
    <s v="1"/>
    <s v="Нетиповой ДД"/>
    <x v="0"/>
    <s v=""/>
    <s v="00778-23"/>
    <s v=""/>
    <s v="Дополнительное соглашение №1 к Договору № ГЕО-23/25000/00039/Р от 15.02.2023 г."/>
    <s v="Разработка и внедрение единого формата графического дизайна презентационных материалов для реализации целевой организационной модели управления проектами развития ресурсной базы"/>
    <s v="Войтенко М.А."/>
    <s v=""/>
    <s v="Договорный документ"/>
    <s v="Управление планирования и контроля реализации проектов"/>
    <s v="Гусина Е.М."/>
    <s v="На бумажном носителе"/>
    <s v="До исполнения обязательств"/>
    <d v="2023-12-28T00:00:00"/>
    <s v=""/>
    <s v="Д-21"/>
    <s v="Договор оказания услуг с физическим лицом"/>
    <s v="Расходная часть"/>
    <s v="Стоимостной"/>
    <s v="13%"/>
    <s v=""/>
    <s v=""/>
    <s v="484 000.00"/>
    <s v="421 080.00"/>
    <s v="62 920.00"/>
    <s v="нет"/>
    <s v="нет"/>
    <s v=""/>
    <s v=""/>
    <s v=""/>
    <s v=""/>
    <s v="нет"/>
  </r>
  <r>
    <s v="Газпромнефть-ГЕО, ООО"/>
    <s v="0000099166"/>
    <s v="Зарегистрирован"/>
    <d v="2021-11-30T00:00:00"/>
    <s v=""/>
    <x v="101"/>
    <s v="5648004029"/>
    <s v="ОРН-21/04300/00210/Р"/>
    <s v=""/>
    <s v="1"/>
    <s v="Нетиповой ДД"/>
    <x v="0"/>
    <s v=""/>
    <s v="00779-21"/>
    <s v=""/>
    <s v="Дополнительное соглашение № 1 к договору аренды земельного участка"/>
    <s v="Об увелечении срока аренды земельного участка и суммы по Договору"/>
    <s v="Сазонова А.С."/>
    <s v=""/>
    <s v="Договорный документ"/>
    <s v="Управление маркшейдерско-землеустроительных работ"/>
    <s v="Перфильев Д.А."/>
    <s v="На бумажном носителе"/>
    <s v="С ограничением по срокам "/>
    <d v="2021-11-30T00:00:00"/>
    <d v="2022-07-30T00:00:00"/>
    <s v="Д-22"/>
    <s v="Договор аренды недвижимости"/>
    <s v="Расходная часть"/>
    <s v="Стоимостной"/>
    <s v="20%"/>
    <s v=""/>
    <s v=""/>
    <s v="1 440 000.00"/>
    <s v="1 200 000.00"/>
    <s v="240 000.00"/>
    <s v="нет"/>
    <s v="нет"/>
    <s v=""/>
    <s v=""/>
    <s v=""/>
    <s v=""/>
    <s v="нет"/>
  </r>
  <r>
    <s v="Газпромнефть-ГЕО, ООО"/>
    <s v="0000060948"/>
    <s v="Зарегистрирован"/>
    <d v="2023-12-20T00:00:00"/>
    <s v=""/>
    <x v="406"/>
    <s v="5603030477"/>
    <s v="ГЕО-22/09000/00125/Р"/>
    <s v=""/>
    <s v="3"/>
    <s v="Нетиповой ДД"/>
    <x v="0"/>
    <s v=""/>
    <s v="00779-23"/>
    <s v=""/>
    <s v="Дополнительное соглашение №3"/>
    <s v="Продление срока действия Договора №ГЕО-22/09000/00125/Р от 01.06.2022"/>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4-01-01T00:00:00"/>
    <d v="2024-12-31T00:00:00"/>
    <s v="Д-56"/>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87804"/>
    <s v="Зарегистрирован"/>
    <d v="2021-11-18T00:00:00"/>
    <s v=""/>
    <x v="153"/>
    <s v="2634048800"/>
    <s v="ГЕО-19/11019/00140/Р "/>
    <s v=""/>
    <s v="1"/>
    <s v="Нетиповой ДД"/>
    <x v="4"/>
    <s v=""/>
    <s v="00780-21"/>
    <s v="6"/>
    <s v="Изменение №1 к наряд-заказу №6"/>
    <s v="Изменение сроков по разработке проекта СЗЗ (этап 5.1 календарного плана)"/>
    <s v="Григоренко Е.А."/>
    <s v="Григоренко Е.А."/>
    <s v="Договорный документ"/>
    <s v="Управление проектно-изыскательских работ"/>
    <s v="Перфильев Д.А."/>
    <s v="На бумажном носителе"/>
    <s v="Без сроков "/>
    <d v="2021-11-18T00:00:00"/>
    <s v=""/>
    <s v="Д-22"/>
    <s v="ПИР Объекты добычи, подготовки и транспорта нефти, вкл. авторский надзор"/>
    <s v="Не предполагает взаиморасчетов"/>
    <s v=""/>
    <s v=""/>
    <s v=""/>
    <s v=""/>
    <s v=""/>
    <s v=""/>
    <s v=""/>
    <s v="нет"/>
    <s v="нет"/>
    <s v=""/>
    <s v=""/>
    <s v=""/>
    <s v=""/>
    <s v="нет"/>
  </r>
  <r>
    <s v="Газпромнефть-ГЕО, ООО"/>
    <s v="0000041259"/>
    <s v="Зарегистрирован"/>
    <d v="2022-09-23T00:00:00"/>
    <s v=""/>
    <x v="142"/>
    <s v="7203159800"/>
    <s v=""/>
    <s v="ГЕО-22/10968/00244/Р"/>
    <s v="ГЕО-22/10968/00244/Р"/>
    <s v="Типовой ДД"/>
    <x v="2"/>
    <s v="10968 Мастер форма по услуге   «Обращение с отходами производства и потребления»"/>
    <s v="00780-22"/>
    <s v=""/>
    <s v="10968 Мастер форма по услуге   «Обращение с отходами производства и потребления»"/>
    <s v="услуги по утилизации отходов бурения, утилизации отходов испытания/освоения/ГРП, рекультивации шламонакопителя, рекультивации нефтезагрязненных земель"/>
    <s v="Коваленко М.В."/>
    <s v="Копылов Е.О."/>
    <s v="Договорный документ"/>
    <s v="Отдел экологической безопасности"/>
    <s v="Власов М.М."/>
    <s v="На бумажном носителе"/>
    <s v="С ограничением по срокам "/>
    <d v="2022-09-23T00:00:00"/>
    <d v="2026-03-31T00:00:00"/>
    <s v="Д-59"/>
    <s v="Вывоз, транспортировка и размещение отходов производственной деятельности"/>
    <s v="Расходная часть"/>
    <s v="Стоимостной"/>
    <s v="20%"/>
    <s v=""/>
    <s v=""/>
    <s v="264 291 218.88"/>
    <s v="220 242 682.40"/>
    <s v="44 048 536.48"/>
    <s v="нет"/>
    <s v="нет"/>
    <s v=""/>
    <s v=""/>
    <s v=""/>
    <s v=""/>
    <s v="нет"/>
  </r>
  <r>
    <s v="Газпромнефть-ГЕО, ООО"/>
    <s v="0000085139"/>
    <s v="Зарегистрирован"/>
    <d v="2023-11-30T00:00:00"/>
    <s v=""/>
    <x v="432"/>
    <s v="7802651190"/>
    <s v=""/>
    <s v="ГЕО-23/33200/00229"/>
    <s v="ГЕО-23/33200/00229"/>
    <s v="Нетиповой ДД"/>
    <x v="1"/>
    <s v=""/>
    <s v="00780-23"/>
    <s v=""/>
    <s v="33200 Соглашение об электронном документообороте"/>
    <s v="Актуализация типовой формы Соглашения об использовании электронного документооборота"/>
    <s v="Сергель О.Г."/>
    <s v="Сергель О.Г."/>
    <s v="Договорный документ"/>
    <s v="Отдел административной поддержки бизнеса"/>
    <s v="Ковтун М.А."/>
    <s v="На бумажном носителе"/>
    <s v="До исполнения обязательств"/>
    <d v="2023-11-3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5789"/>
    <s v="Зарегистрирован"/>
    <d v="2021-12-14T00:00:00"/>
    <s v=""/>
    <x v="16"/>
    <s v="7838395487"/>
    <s v="НТЦ-18/29000/01335/Д-ГЕО/ГЕО-19/10124/00001"/>
    <s v=""/>
    <s v="НТЦ-03074-21Д-ГЕО"/>
    <s v="Нетиповой ДД"/>
    <x v="3"/>
    <s v=""/>
    <s v="00781-21"/>
    <s v=""/>
    <s v="Скрининг рычагов повышения эффективности и ускорения ОПР для пилотной закачки газа в пласт: потенциал технологии Huff'n'Puff"/>
    <s v="Создание геологических и фильтрационных моделей пласта БП17 Вынгаяхинского месторождения для целей пилота MGI"/>
    <s v="Ябиров Р.З."/>
    <s v="Ябиров Р.З."/>
    <s v="Договорный документ"/>
    <s v="Блок геологии и разработки"/>
    <s v="Аксенов М.А."/>
    <s v="На бумажном носителе"/>
    <s v="С ограничением по срокам "/>
    <d v="2021-11-16T00:00:00"/>
    <d v="2021-12-30T00:00:00"/>
    <s v="Д-3"/>
    <s v="НИОКР, НИР в области геологии и разработки месторождений"/>
    <s v="Расходная часть"/>
    <s v="Рамочный"/>
    <s v="20%"/>
    <s v=""/>
    <s v=""/>
    <s v="3 518 040.00"/>
    <s v="2 931 700.00"/>
    <s v="586 340.00"/>
    <s v="нет"/>
    <s v="нет"/>
    <s v=""/>
    <s v=""/>
    <s v=""/>
    <s v=""/>
    <s v="нет"/>
  </r>
  <r>
    <s v="Газпромнефть-ГЕО, ООО"/>
    <s v="0000076283"/>
    <s v="Зарегистрирован"/>
    <d v="2023-12-27T00:00:00"/>
    <s v=""/>
    <x v="28"/>
    <s v="4501174492"/>
    <s v="ГЕО-22/11000/00267/Р"/>
    <s v=""/>
    <s v="5"/>
    <s v="Нетиповой ДД"/>
    <x v="3"/>
    <s v=""/>
    <s v="00781-23"/>
    <s v=""/>
    <s v="НЗ №5 Уралгеопроект, ООО  к договору ГЕО-22/11000/00267/Р от 10.10.2022"/>
    <s v="НАРЯД-ЗАКАЗ №5 с ООО «Уралгеопроект». Выполнению инженерных изысканий для нужд ООО «ГПН-ГЕО»."/>
    <s v="Мормышев А.А."/>
    <s v="Шолохова И.А."/>
    <s v="Договорный документ"/>
    <s v="Блок главного инженера"/>
    <s v="Трифонов А.В."/>
    <s v="ЭП"/>
    <s v="До исполнения обязательств"/>
    <d v="2023-12-27T00:00:00"/>
    <s v=""/>
    <s v="Д-33"/>
    <s v="Капитальное строительство и ПИР"/>
    <s v="Расходная часть"/>
    <s v="Стоимостной"/>
    <s v="20%"/>
    <s v=""/>
    <s v="10456445.1"/>
    <s v="140 116 694.80"/>
    <s v="116 763 912.33"/>
    <s v="23 352 782.47"/>
    <s v="да"/>
    <s v="нет"/>
    <s v=""/>
    <s v=""/>
    <s v=""/>
    <s v=""/>
    <s v="нет"/>
  </r>
  <r>
    <s v="Газпромнефть-ГЕО, ООО"/>
    <s v=""/>
    <s v="Зарегистрирован"/>
    <d v="2021-11-08T00:00:00"/>
    <s v=""/>
    <x v="451"/>
    <s v=""/>
    <s v=""/>
    <s v="ГЕО-21/10301/00261/Р"/>
    <s v="ГЕО-21/10301/00261/Р"/>
    <s v="Типовой ДД"/>
    <x v="2"/>
    <s v="10301 Договор на оказание услуги  «Технологическое сопровождение (прокат) буровых долот и забойных двигателей»"/>
    <s v="00782-21"/>
    <s v=""/>
    <s v="10301 Договор на оказание услуги  «Технологическое сопровождение (прокат) буровых долот и забойных двигателей»"/>
    <s v="Оказание услуг по сопровождению (прокату) буровых долот (секция 215,9мм). Проект &quot;Южный Оренбург&quot;."/>
    <s v="Быков Н.В."/>
    <s v="Дунаев Э.В. - Руководитель направления по бурению"/>
    <s v="Договорный документ"/>
    <s v="Блок бурения и ВСР"/>
    <s v="Гаврилов С.В."/>
    <s v="На бумажном носителе"/>
    <s v="С ограничением по срокам "/>
    <d v="2021-11-08T00:00:00"/>
    <d v="2025-05-31T00:00:00"/>
    <s v=""/>
    <s v="Технологическое сопровождение (прокат) буровых долот"/>
    <s v="Расходная часть"/>
    <s v="Стоимостной"/>
    <s v="20%"/>
    <s v=""/>
    <s v=""/>
    <s v="64 990 464.00"/>
    <s v="54 158 720.00"/>
    <s v="10 831 744.00"/>
    <s v="нет"/>
    <s v="нет"/>
    <s v=""/>
    <s v=""/>
    <s v=""/>
    <s v=""/>
    <s v="нет"/>
  </r>
  <r>
    <s v="Газпромнефть-ГЕО, ООО"/>
    <s v="0000067167"/>
    <s v="Зарегистрирован"/>
    <d v="2022-09-06T00:00:00"/>
    <s v=""/>
    <x v="145"/>
    <s v="7719520026"/>
    <s v="№ГЕО-20/11014/00070/Р"/>
    <s v=""/>
    <s v="5"/>
    <s v="Нетиповой ДД"/>
    <x v="3"/>
    <s v=""/>
    <s v="00782-22"/>
    <s v=""/>
    <s v="Н-З №5 к  Договору №ГЕО-20/11014/00070/Р от 06.05. 2021 года"/>
    <s v="Заключения Наряд-заказа №5 по договору № ГЕО-20/11014/00070/Р от 06.05.2020 г. с ООО «Техно-Сервис»"/>
    <s v="Калугина С.Б."/>
    <s v="Бабаев Д.Г."/>
    <s v="Договорный документ"/>
    <s v="Департамент капитального строительства"/>
    <s v="Перфильев Д.А."/>
    <s v="ЭП"/>
    <s v="До исполнения обязательств"/>
    <d v="2022-09-15T00:00:00"/>
    <s v=""/>
    <s v="Д-61"/>
    <s v="Капитальное строительство и ПИР"/>
    <s v="Расходная часть"/>
    <s v="Стоимостной"/>
    <s v="20%"/>
    <s v=""/>
    <s v=""/>
    <s v="6 761 223.35"/>
    <s v="5 634 352.79"/>
    <s v="1 126 870.56"/>
    <s v="нет"/>
    <s v="нет"/>
    <s v=""/>
    <s v=""/>
    <s v=""/>
    <s v=""/>
    <s v="нет"/>
  </r>
  <r>
    <s v="Газпромнефть-ГЕО, ООО"/>
    <s v="0000048356"/>
    <s v="Зарегистрирован"/>
    <d v="2023-12-29T00:00:00"/>
    <s v=""/>
    <x v="152"/>
    <s v="8601034898"/>
    <s v="ГЕО-22/10000/00144/Р"/>
    <s v=""/>
    <s v="11"/>
    <s v="Нетиповой ДД"/>
    <x v="3"/>
    <s v=""/>
    <s v="00782-23"/>
    <s v=""/>
    <s v="НЗ №11. Защита Югры, ООО к ДД № ГЕО-22/10000/00144/Р от 27.06.2022г."/>
    <s v="Сибирском федеральном округе (Игнялинский ЛУ) во исполнение Агентского Договора № ГНЗ-22/20000/00007/Р/02/1/ГЕО- Д/9-1/ВГС от «30» декабря 2022г. Между ООО «Газпромнефть-Заполярье» и ООО «ГПН– ГЕО»."/>
    <s v="Мормышев А.А."/>
    <s v="Белоусов О.В."/>
    <s v="Договорный документ"/>
    <s v="Блок производственной безопасности"/>
    <s v="Ядрышников П.Н."/>
    <s v="ЭП"/>
    <s v="До исполнения обязательств"/>
    <d v="2024-01-01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4 437 370.01"/>
    <s v="3 697 808.34"/>
    <s v="739 561.67"/>
    <s v="нет"/>
    <s v="нет"/>
    <s v=""/>
    <s v=""/>
    <s v=""/>
    <s v=""/>
    <s v="нет"/>
  </r>
  <r>
    <s v="Газпромнефть-ГЕО, ООО"/>
    <s v="0000045789"/>
    <s v="Зарегистрирован"/>
    <d v="2021-11-22T00:00:00"/>
    <s v=""/>
    <x v="16"/>
    <s v="7838395487"/>
    <s v="НТЦ-18/290000/01335/Д-ГЕО/ГЕО-19/10124/00001"/>
    <s v=""/>
    <s v="НТЦ-02564-21Д-ГЕО"/>
    <s v="Нетиповой ДД"/>
    <x v="3"/>
    <s v=""/>
    <s v="00783-21"/>
    <s v=""/>
    <s v="Подготовка бизнес-заказа на технологии на Чонском проекте"/>
    <s v="Подготовка бизнес-заказа на технологии на Чонском проекте с целью повышения эффективности разведки и добычи"/>
    <s v="Ябиров Р.З."/>
    <s v="Ябиров Р.З."/>
    <s v="Договорный документ"/>
    <s v="Блок геологии и разработки"/>
    <s v="Аксенов М.А."/>
    <s v="На бумажном носителе"/>
    <s v="С ограничением по срокам "/>
    <d v="2021-11-22T00:00:00"/>
    <d v="2021-12-30T00:00:00"/>
    <s v="Д-3"/>
    <s v="НИОКР, НИР в области геологии и разработки месторождений"/>
    <s v="Расходная часть"/>
    <s v="Рамочный"/>
    <s v="20%"/>
    <s v=""/>
    <s v=""/>
    <s v="17 999 880.00"/>
    <s v="14 999 900.00"/>
    <s v="2 999 980.00"/>
    <s v="нет"/>
    <s v="нет"/>
    <s v=""/>
    <s v=""/>
    <s v=""/>
    <s v=""/>
    <s v="нет"/>
  </r>
  <r>
    <s v="Газпромнефть-ГЕО, ООО"/>
    <s v="0000057750"/>
    <s v="Зарегистрирован"/>
    <d v="2023-12-26T00:00:00"/>
    <s v=""/>
    <x v="182"/>
    <s v="0814118403"/>
    <s v="ГЕО-23/20000/00065/Д"/>
    <s v=""/>
    <s v="2"/>
    <s v="Нетиповой ДД"/>
    <x v="0"/>
    <s v=""/>
    <s v="00783-23"/>
    <s v=""/>
    <s v="ДС 2 к ГЕО-23/20000/00065/Д с АО &quot;ССК&quot; Томский филиал"/>
    <s v="Продление срока действия и увеличение стоимости договора"/>
    <s v="Титова Е.В."/>
    <s v="Титова Е.В."/>
    <s v="Договорный документ"/>
    <s v="Блок снабжения и закупок"/>
    <s v="Титов А.В."/>
    <s v="На бумажном носителе"/>
    <s v="С ограничением по срокам "/>
    <d v="2024-01-01T00:00:00"/>
    <d v="2024-12-31T00:00:00"/>
    <s v="Д-56"/>
    <s v="Агентский договор"/>
    <s v="Доходная часть"/>
    <s v="Агентский"/>
    <s v="20%"/>
    <s v=""/>
    <s v=""/>
    <s v="7 019 242.27"/>
    <s v="5 849 368.56"/>
    <s v="1 169 873.71"/>
    <s v="нет"/>
    <s v="нет"/>
    <s v=""/>
    <s v=""/>
    <s v=""/>
    <s v=""/>
    <s v="нет"/>
  </r>
  <r>
    <s v="Газпромнефть-ГЕО, ООО"/>
    <s v="0000069357"/>
    <s v="Зарегистрирован"/>
    <d v="2021-11-24T00:00:00"/>
    <s v=""/>
    <x v="147"/>
    <s v="8903034220"/>
    <s v=""/>
    <s v="ГЕО-21/33200/00273"/>
    <s v="ГЕО-21/33200/00273"/>
    <s v="Типовой ДД"/>
    <x v="1"/>
    <s v="33200 Соглашение об электронном документообороте"/>
    <s v="00784-21"/>
    <s v=""/>
    <s v="33200 Соглашение об электронном документообороте"/>
    <s v="Реализация ЭДО по доходным договорам"/>
    <s v="Мурзин Р.Р."/>
    <s v="Мурзин Р.Р."/>
    <s v="Договорный документ"/>
    <s v="Управление сейсморазведочных работ"/>
    <s v="Аксенов М.А."/>
    <s v="На бумажном носителе"/>
    <s v="С ограничением по срокам "/>
    <d v="2021-11-10T00:00:00"/>
    <d v="2026-10-20T00:00:00"/>
    <s v="Д-3"/>
    <s v="Соглашение об использовании электронного документооборота"/>
    <s v="Не предполагает взаиморасчетов"/>
    <s v="Агентский"/>
    <s v=""/>
    <s v=""/>
    <s v=""/>
    <s v=""/>
    <s v=""/>
    <s v=""/>
    <s v="нет"/>
    <s v="нет"/>
    <s v=""/>
    <s v=""/>
    <s v=""/>
    <s v=""/>
    <s v="нет"/>
  </r>
  <r>
    <s v="Газпромнефть-ГЕО, ООО"/>
    <s v="0000040656"/>
    <s v="Зарегистрирован"/>
    <d v="2022-09-20T00:00:00"/>
    <s v=""/>
    <x v="288"/>
    <s v="0814118403"/>
    <s v=""/>
    <s v="ГЕО-22/10000/00225/Р"/>
    <s v="ГЕО-22/10000/00225/Р"/>
    <s v="Типовой ДД"/>
    <x v="2"/>
    <s v="10204 Договор подряда на бурение эксплуатационных скважин по суточной ставке или фиксированной ставке (в т.ч. Мобильными установками)"/>
    <s v="00784-22"/>
    <s v=""/>
    <s v="10204 Договор подряда на бурение эксплуатационных скважин по суточной ставке или фиксированной ставке (в т.ч. Мобильными установками)"/>
    <s v="Бурение скважин на Оморинском ЛУ. Камовская площадь."/>
    <s v="Мормышев А.А."/>
    <s v="Дунаев Э.В."/>
    <s v="Договорный документ"/>
    <s v="Блок бурения и ВСР"/>
    <s v="Трифонов А.В."/>
    <s v="На бумажном носителе"/>
    <s v="С ограничением по срокам "/>
    <d v="2022-09-20T00:00:00"/>
    <d v="2025-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864825924.66"/>
    <s v="1 705 931 379.00"/>
    <s v="1 421 609 482.50"/>
    <s v="284 321 896.50"/>
    <s v="да"/>
    <s v="нет"/>
    <s v=""/>
    <s v=""/>
    <s v=""/>
    <s v=""/>
    <s v="нет"/>
  </r>
  <r>
    <s v="Газпромнефть-ГЕО, ООО"/>
    <s v="0000068695"/>
    <s v="Зарегистрирован"/>
    <d v="2023-12-25T00:00:00"/>
    <s v=""/>
    <x v="77"/>
    <s v="1106013435"/>
    <s v="ГЕО-23/20000/00048/Д"/>
    <s v=""/>
    <s v="1"/>
    <s v="Нетиповой ДД"/>
    <x v="0"/>
    <s v=""/>
    <s v="00784-23"/>
    <s v=""/>
    <s v="ДС 1 к ГЕО-23/20000/00048/Д с ООО &quot;БурСервис&quot;"/>
    <s v="Продление срока действия"/>
    <s v="Титова Е.В."/>
    <s v="Титова Е.В."/>
    <s v="Договорный документ"/>
    <s v="Блок снабжения и закупок"/>
    <s v="Титов А.В."/>
    <s v="ЭП"/>
    <s v="С ограничением по срокам "/>
    <d v="2024-01-01T00:00:00"/>
    <d v="2025-03-31T00:00:00"/>
    <s v="Д-56"/>
    <s v="Агентский договор"/>
    <s v="Не предполагает взаиморасчетов"/>
    <s v="Агентский"/>
    <s v=""/>
    <s v=""/>
    <s v=""/>
    <s v=""/>
    <s v=""/>
    <s v=""/>
    <s v="нет"/>
    <s v="нет"/>
    <s v=""/>
    <s v=""/>
    <s v=""/>
    <s v=""/>
    <s v="нет"/>
  </r>
  <r>
    <s v="Газпромнефть-ГЕО, ООО"/>
    <s v=""/>
    <s v="Проект"/>
    <s v=""/>
    <s v=""/>
    <x v="58"/>
    <s v=""/>
    <s v=""/>
    <s v=""/>
    <s v=""/>
    <s v="Типовой ДД"/>
    <x v="2"/>
    <s v="10308  Мастер-форма Договора по услуге «ГТИ при бурении» "/>
    <s v="00785-21"/>
    <s v=""/>
    <s v="10308  Мастер-форма Договора по услуге «ГТИ при бурении» "/>
    <s v=""/>
    <s v="Ушакова М.А."/>
    <s v=""/>
    <s v="Договорный документ"/>
    <s v="Блок геологии и разработки"/>
    <s v=""/>
    <s v=""/>
    <s v=""/>
    <s v=""/>
    <s v=""/>
    <s v=""/>
    <s v="ГТИ при бурении"/>
    <s v=""/>
    <s v=""/>
    <s v=""/>
    <s v=""/>
    <s v=""/>
    <s v=""/>
    <s v=""/>
    <s v=""/>
    <s v="нет"/>
    <s v="нет"/>
    <s v=""/>
    <s v=""/>
    <s v=""/>
    <s v=""/>
    <s v="нет"/>
  </r>
  <r>
    <s v="Газпромнефть-ГЕО, ООО"/>
    <s v="0000040656"/>
    <s v="Зарегистрирован"/>
    <d v="2022-09-20T00:00:00"/>
    <s v=""/>
    <x v="288"/>
    <s v="0814118403"/>
    <s v=""/>
    <s v="ГЕО-22/10000/00226/Р"/>
    <s v="ГЕО-22/10000/00226/Р"/>
    <s v="Типовой ДД"/>
    <x v="2"/>
    <s v="10204 Договор подряда на бурение эксплуатационных скважин по суточной ставке или фиксированной ставке (в т.ч. Мобильными установками)"/>
    <s v="00785-22"/>
    <s v=""/>
    <s v="10204 Договор подряда на бурение эксплуатационных скважин по суточной ставке или фиксированной ставке (в т.ч. Мобильными установками)"/>
    <s v="Бурение скважин на Оморинском ЛУ. Салаирская площадь."/>
    <s v="Мормышев А.А."/>
    <s v="Дунаев Э.В."/>
    <s v="Договорный документ"/>
    <s v="Блок бурения и ВСР"/>
    <s v="Трифонов А.В."/>
    <s v="На бумажном носителе"/>
    <s v="С ограничением по срокам "/>
    <d v="2022-09-20T00:00:00"/>
    <d v="2025-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905355891.06"/>
    <s v="2 310 750 488.54"/>
    <s v="1 925 625 407.12"/>
    <s v="385 125 081.42"/>
    <s v="да"/>
    <s v="нет"/>
    <s v=""/>
    <s v=""/>
    <s v=""/>
    <s v=""/>
    <s v="нет"/>
  </r>
  <r>
    <s v="Газпромнефть-ГЕО, ООО"/>
    <s v="0000084590"/>
    <s v="Зарегистрирован"/>
    <d v="2023-12-25T00:00:00"/>
    <s v=""/>
    <x v="61"/>
    <s v="7708277130"/>
    <s v="ГЕО-23/09000/00149/Р"/>
    <s v=""/>
    <s v="7"/>
    <s v="Нетиповой ДД"/>
    <x v="7"/>
    <s v=""/>
    <s v="00785-23"/>
    <s v=""/>
    <s v="Заявка № 7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Ведущего специалиста по экологической безопасности – гидрогеолога"/>
    <s v="Фокин Е.В."/>
    <s v="Фокин Е.В."/>
    <s v="Договорный документ"/>
    <s v="Управление производственной безопасности"/>
    <s v="Михайлов Ю.А."/>
    <s v="ЭП"/>
    <s v="С ограничением по срокам "/>
    <d v="2024-01-09T00:00:00"/>
    <d v="2024-09-30T00:00:00"/>
    <s v="Д-2"/>
    <s v="Договор возмездного оказания услуг"/>
    <s v="Расходная часть"/>
    <s v="Рамочный"/>
    <s v="20%"/>
    <s v=""/>
    <s v=""/>
    <s v="1 643 485.88"/>
    <s v="1 369 571.57"/>
    <s v="273 914.31"/>
    <s v="нет"/>
    <s v="нет"/>
    <s v=""/>
    <s v=""/>
    <s v=""/>
    <s v=""/>
    <s v="нет"/>
  </r>
  <r>
    <s v="Газпромнефть-ГЕО, ООО"/>
    <s v="0000105643"/>
    <s v="Закрыт"/>
    <d v="2022-09-15T00:00:00"/>
    <s v=""/>
    <x v="25"/>
    <s v="7717693190"/>
    <s v=""/>
    <s v="ГЕО-22/33200/00221"/>
    <s v="ГЕО-22/33200/00221"/>
    <s v="Типовой ДД"/>
    <x v="1"/>
    <s v="33200 Соглашение об электронном документообороте"/>
    <s v="00786-22"/>
    <s v=""/>
    <s v="33200 Соглашение об электронном документообороте"/>
    <s v="обмен электронными документами"/>
    <s v="Коваленко М.В."/>
    <s v="Николаев В.А."/>
    <s v="Договорный документ"/>
    <s v="Блок геологии и разработки"/>
    <s v="Агеев П.А."/>
    <s v="ЭП"/>
    <s v="Без сроков "/>
    <d v="2022-09-15T00:00:00"/>
    <s v=""/>
    <s v="Д-5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4590"/>
    <s v="Зарегистрирован"/>
    <d v="2024-01-09T00:00:00"/>
    <s v=""/>
    <x v="61"/>
    <s v="7708277130"/>
    <s v="ГЕО-23/09000/00149/Р"/>
    <s v=""/>
    <s v="9"/>
    <s v="Нетиповой ДД"/>
    <x v="7"/>
    <s v=""/>
    <s v="00786-23"/>
    <s v=""/>
    <s v="Заявка № 9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Ведущего специалиста по статистике и анализу в области производственной безопасности"/>
    <s v="Фокин Е.В."/>
    <s v="Фокин Е.В."/>
    <s v="Договорный документ"/>
    <s v="Управление производственной безопасности"/>
    <s v="Михайлов Ю.А."/>
    <s v="ЭП"/>
    <s v="С ограничением по срокам "/>
    <d v="2024-01-09T00:00:00"/>
    <d v="2024-09-30T00:00:00"/>
    <s v="Д-2"/>
    <s v="Договор возмездного оказания услуг"/>
    <s v="Расходная часть"/>
    <s v="Рамочный"/>
    <s v="20%"/>
    <s v=""/>
    <s v=""/>
    <s v="1 643 485.88"/>
    <s v="1 369 571.57"/>
    <s v="273 914.31"/>
    <s v="нет"/>
    <s v="нет"/>
    <s v=""/>
    <s v=""/>
    <s v=""/>
    <s v=""/>
    <s v="нет"/>
  </r>
  <r>
    <s v="Газпромнефть-ГЕО, ООО"/>
    <s v="0000092470"/>
    <s v="Зарегистрирован"/>
    <d v="2023-12-28T00:00:00"/>
    <s v=""/>
    <x v="99"/>
    <s v="380201363701"/>
    <s v="ГЕО-23/25000/00033/Р"/>
    <s v=""/>
    <s v="1"/>
    <s v="Нетиповой ДД"/>
    <x v="0"/>
    <s v=""/>
    <s v="00787-23"/>
    <s v=""/>
    <s v="ДС№1 к договору ГЕО-23/25000/00033/Р от 01.02.2023 г."/>
    <s v="Изменение срока окончания договора и сроков оказания услуг, без изменения объема оказания услуг"/>
    <s v="Морозов А.В."/>
    <s v="Морозов А.В."/>
    <s v="Договорный документ"/>
    <s v="Отдел по промышленной и пожарной безопасности"/>
    <s v="Михайлов Ю.А."/>
    <s v="На бумажном носителе"/>
    <s v="До исполнения обязательств"/>
    <d v="2023-12-28T00:00:00"/>
    <s v=""/>
    <s v="Д-2"/>
    <s v="Договор оказания услуг с физическим лицом"/>
    <s v="Не предполагает взаиморасчетов"/>
    <s v=""/>
    <s v=""/>
    <s v=""/>
    <s v=""/>
    <s v=""/>
    <s v=""/>
    <s v=""/>
    <s v="нет"/>
    <s v="нет"/>
    <s v=""/>
    <s v=""/>
    <s v=""/>
    <s v=""/>
    <s v="нет"/>
  </r>
  <r>
    <s v="Газпромнефть-ГЕО, ООО"/>
    <s v="0000066687"/>
    <s v="Зарегистрирован"/>
    <d v="2023-12-28T00:00:00"/>
    <s v=""/>
    <x v="161"/>
    <s v="9909012867"/>
    <s v="ГЕО-21/20000/00286/Д"/>
    <s v=""/>
    <s v="3"/>
    <s v="Нетиповой ДД"/>
    <x v="0"/>
    <s v=""/>
    <s v="00788-23"/>
    <s v=""/>
    <s v="ДС 3 к ГЕО-21/20000/00286/Д с Компания &quot;Шлюмберже Лоджелко, Инк.&quot;"/>
    <s v="Продление срока действия"/>
    <s v="Титова Е.В."/>
    <s v="Титова Е.В."/>
    <s v="Договорный документ"/>
    <s v="Блок снабжения и закупок"/>
    <s v="Титов А.В."/>
    <s v="На бумажном носителе"/>
    <s v="С ограничением по срокам "/>
    <d v="2024-01-01T00:00:00"/>
    <d v="2024-12-31T00:00:00"/>
    <s v="Д-56"/>
    <s v="Агентский договор"/>
    <s v="Не предполагает взаиморасчетов"/>
    <s v="Агентский"/>
    <s v=""/>
    <s v=""/>
    <s v=""/>
    <s v=""/>
    <s v=""/>
    <s v=""/>
    <s v="нет"/>
    <s v="нет"/>
    <s v=""/>
    <s v=""/>
    <s v=""/>
    <s v=""/>
    <s v="нет"/>
  </r>
  <r>
    <s v="Газпромнефть-ГЕО, ООО"/>
    <s v="0000040656"/>
    <s v="Зарегистрирован"/>
    <d v="2022-09-20T00:00:00"/>
    <s v=""/>
    <x v="288"/>
    <s v="0814118403"/>
    <s v=""/>
    <s v="ГЕО-22/26000/00235"/>
    <s v="ГЕО-22/26000/00235"/>
    <s v="Типовой ДД"/>
    <x v="1"/>
    <s v="26000 Соглашение о конфиденциальности с российским контрагентом"/>
    <s v="00789-22"/>
    <s v=""/>
    <s v="26000 Соглашение о конфиденциальности с российским контрагентом"/>
    <s v="Соглашение о конфидициальности с АО &quot;ССК&quot;"/>
    <s v="Мормышев А.А."/>
    <s v="Дунаев Э.В."/>
    <s v="Договорный документ"/>
    <s v="Блок бурения и ВСР"/>
    <s v="Созинов С.А."/>
    <s v="На бумажном носителе"/>
    <s v="Без сроков "/>
    <d v="2022-09-20T00:00:00"/>
    <s v=""/>
    <s v="Д-60"/>
    <s v="Соглашение о конфиденциальности"/>
    <s v="Не предполагает взаиморасчетов"/>
    <s v=""/>
    <s v=""/>
    <s v=""/>
    <s v=""/>
    <s v=""/>
    <s v=""/>
    <s v=""/>
    <s v="нет"/>
    <s v="нет"/>
    <s v=""/>
    <s v=""/>
    <s v=""/>
    <s v=""/>
    <s v="нет"/>
  </r>
  <r>
    <s v="Газпромнефть-ГЕО, ООО"/>
    <s v="0000063984"/>
    <s v="Зарегистрирован"/>
    <d v="2021-11-24T00:00:00"/>
    <s v=""/>
    <x v="141"/>
    <s v="3808099451"/>
    <s v="АНГ-18/10985/00282/Р"/>
    <s v=""/>
    <s v="6"/>
    <s v="Нетиповой ДД"/>
    <x v="0"/>
    <s v=""/>
    <s v="00790-21"/>
    <s v=""/>
    <s v="Дополнительное соглашение №6 к Договору № АНГ-18/10985/00282/Р от 29.12.2018 г."/>
    <s v="Перераспределением объёмов работ из негарантированного в гарантированный объём:_x000d__x000a_1. Демобилизация оборудования;_x000d__x000a_2. Устройство и содержание зимнего проезда для демобилизации- 16,34 км ;_x000d__x000a_3. Доставка / вывоз персонала посредством Агентской схемы авиаперевозок (с последующим перевыставлением затрат)."/>
    <s v="Калугина С.Б."/>
    <s v="Бабаев Д.Г.- Начальник отдела, Отдел строительного контроля и технического надзора"/>
    <s v="Договорный документ"/>
    <s v="Департамент капитального строительства"/>
    <s v="Перфильев Д.А."/>
    <s v="На бумажном носителе"/>
    <s v="С ограничением по срокам "/>
    <d v="2021-11-24T00:00:00"/>
    <d v="2022-02-20T00:00:00"/>
    <s v="Д-22"/>
    <s v="Утилизация отходов бурения и рекультивация нарушенных земель, занятых под шламовые амбары/шламонакопители"/>
    <s v="Расходная часть"/>
    <s v="Стоимостной"/>
    <s v="20%"/>
    <s v=""/>
    <s v=""/>
    <s v="3 328 752.72"/>
    <s v="2 773 960.60"/>
    <s v="554 792.12"/>
    <s v="нет"/>
    <s v="нет"/>
    <s v=""/>
    <s v=""/>
    <s v=""/>
    <s v=""/>
    <s v="нет"/>
  </r>
  <r>
    <s v="Газпромнефть-ГЕО, ООО"/>
    <s v="0000087384"/>
    <s v="Зарегистрирован"/>
    <d v="2024-03-01T00:00:00"/>
    <s v=""/>
    <x v="34"/>
    <s v="7204183725"/>
    <s v=""/>
    <s v="ГЕО-24/20000/00045/Д"/>
    <s v="ГЕО-24/20000/00045/Д"/>
    <s v="Типовой ДД"/>
    <x v="2"/>
    <s v="20000 Агентский договор на организацию вертолетных авиаперевозок"/>
    <s v="00790-23"/>
    <s v=""/>
    <s v="20000 Агентский договор на организацию вертолетных авиаперевозок ООО &quot;Инженерно-технологический сервис&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d v="2024-03-01T00:00:00"/>
    <d v="2024-12-31T00:00:00"/>
    <s v="Д-56"/>
    <s v="Агентский договор"/>
    <s v="Доходная часть"/>
    <s v="Агентский"/>
    <s v="20%"/>
    <s v=""/>
    <s v=""/>
    <s v="1 785 243.74"/>
    <s v="1 487 703.12"/>
    <s v="297 540.62"/>
    <s v="нет"/>
    <s v="нет"/>
    <s v=""/>
    <s v=""/>
    <s v=""/>
    <s v=""/>
    <s v="нет"/>
  </r>
  <r>
    <s v="Газпромнефть-ГЕО, ООО"/>
    <s v="0000088405"/>
    <s v="Зарегистрирован"/>
    <d v="2021-11-18T00:00:00"/>
    <s v=""/>
    <x v="169"/>
    <s v="6312086734"/>
    <s v="ГЕО-20/10838/00020/Р от 01 февраля 2020 г."/>
    <s v=""/>
    <s v="3"/>
    <s v="Нетиповой ДД"/>
    <x v="0"/>
    <s v=""/>
    <s v="00791-21"/>
    <s v=""/>
    <s v="Дополнительное соглашение к договору по перераспределение между гарант. и негарант. объёмами работ"/>
    <s v="Приведение негарантированного объема работ в гарантированный в 2022г. в связи с производственной необходимостью. "/>
    <s v="Забиров А.А."/>
    <s v="Забиров А.А."/>
    <s v="Договорный документ"/>
    <s v="Производственно-технологический департамент"/>
    <s v="Перфильев Д.А."/>
    <s v="На бумажном носителе"/>
    <s v="С ограничением по срокам "/>
    <d v="2021-11-18T00:00:00"/>
    <d v="2022-12-31T00:00:00"/>
    <s v="Д-22"/>
    <s v="Контроль состояния электробезопасности на объектах подрядных организаций"/>
    <s v="Не предполагает взаиморасчетов"/>
    <s v=""/>
    <s v=""/>
    <s v=""/>
    <s v=""/>
    <s v=""/>
    <s v=""/>
    <s v=""/>
    <s v="нет"/>
    <s v="нет"/>
    <s v=""/>
    <s v=""/>
    <s v=""/>
    <s v=""/>
    <s v="нет"/>
  </r>
  <r>
    <s v="Газпромнефть-ГЕО, ООО"/>
    <s v="0000008602"/>
    <s v="Зарегистрирован"/>
    <d v="2022-08-10T00:00:00"/>
    <s v=""/>
    <x v="32"/>
    <s v="5504036333"/>
    <s v=""/>
    <s v="ГЕО-22/24000/00239/Р"/>
    <s v="ГЕО-22/24000/00239/Р"/>
    <s v="Нетиповой ДД"/>
    <x v="2"/>
    <s v=""/>
    <s v="00791-22"/>
    <s v=""/>
    <s v="приобретение лицензий антивируса Касперский"/>
    <s v="Для обеспечения Антивирусной защиты на ПК ДО ГПН-ГЕО"/>
    <s v="Разумовский М.В."/>
    <s v="Разумовский М.В."/>
    <s v="Договорный документ"/>
    <s v="Отдел информационных технологий, автоматизации и телекоммуникаций"/>
    <s v="Аксенов М.А."/>
    <s v="На бумажном носителе"/>
    <s v="До исполнения обязательств"/>
    <d v="2022-08-10T00:00:00"/>
    <s v=""/>
    <s v="Д-54"/>
    <s v="Лицензионный договор"/>
    <s v="Расходная часть"/>
    <s v="Стоимостной"/>
    <s v="без НДС"/>
    <s v=""/>
    <s v=""/>
    <s v="1 013 636.00"/>
    <s v="1 013 636.00"/>
    <n v="0"/>
    <s v="нет"/>
    <s v="нет"/>
    <s v=""/>
    <s v=""/>
    <s v=""/>
    <s v=""/>
    <s v="нет"/>
  </r>
  <r>
    <s v="Газпромнефть-ГЕО, ООО"/>
    <s v="0000073305"/>
    <s v="Зарегистрирован"/>
    <d v="2023-12-22T00:00:00"/>
    <s v=""/>
    <x v="64"/>
    <s v="8904080406"/>
    <s v="ГЕО-21/11031/00101/Р"/>
    <s v=""/>
    <s v="8"/>
    <s v="Нетиповой ДД"/>
    <x v="0"/>
    <s v=""/>
    <s v="00791-23"/>
    <s v=""/>
    <s v="ДС №8  к Договору № ГЕО-21/11031/00101/Р от 25.03.2021 года. по продлению срока действия Договора и срока выполнения работ"/>
    <s v="Перенос выполнения завершающих этапов оказания услуг на более поздний период."/>
    <s v="Крутова Е.С."/>
    <s v=""/>
    <s v="Договорный документ"/>
    <s v="Департамент капитального строительства"/>
    <s v="Трифонов А.В."/>
    <s v="ЭП"/>
    <s v="До исполнения обязательств"/>
    <d v="2023-12-22T00:00:00"/>
    <s v=""/>
    <s v="Д-33"/>
    <s v="СМР Комплекс работ по разработке карьеров_x000a_(примечание: разработка карьеров грунта, в т.ч. гидронамывным способом)"/>
    <s v="Не предполагает взаиморасчетов"/>
    <s v="Тарифный"/>
    <s v=""/>
    <s v=""/>
    <s v=""/>
    <s v=""/>
    <s v=""/>
    <s v=""/>
    <s v="нет"/>
    <s v="нет"/>
    <s v=""/>
    <s v=""/>
    <s v=""/>
    <s v=""/>
    <s v="нет"/>
  </r>
  <r>
    <s v="Газпромнефть-ГЕО, ООО"/>
    <s v="0000047108"/>
    <s v="Закрыт"/>
    <d v="2021-12-22T00:00:00"/>
    <s v=""/>
    <x v="19"/>
    <s v="3245502148"/>
    <s v=""/>
    <s v="ГЕО-21/09000/00289"/>
    <s v="ГЕО-21/09000/00289"/>
    <s v="Нетиповой ДД"/>
    <x v="2"/>
    <s v=""/>
    <s v="00792-21"/>
    <s v=""/>
    <s v="Договор оказания технических услг"/>
    <s v="Настоящий Договор является рамочным договором, определяющим общие условия обязательственных взаимоотношений Сторон, которые конкретизируются и уточняются путем подписания Заказ-нарядов на работы._x000d__x000a__x000d__x000a_"/>
    <s v="Кошелева Ю.В."/>
    <s v="Кошелева Ю.В."/>
    <s v="Договорный документ"/>
    <s v="Управление экономического планирования и анализа"/>
    <s v="Масалкин Ю.В."/>
    <s v="На бумажном носителе"/>
    <s v="С ограничением по срокам "/>
    <d v="2021-12-22T00:00:00"/>
    <d v="2025-01-01T00:00:00"/>
    <s v=""/>
    <s v="Договор возмездного оказания услуг"/>
    <s v="Не предполагает взаиморасчетов"/>
    <s v=""/>
    <s v=""/>
    <s v=""/>
    <s v=""/>
    <s v=""/>
    <s v=""/>
    <s v=""/>
    <s v="нет"/>
    <s v="нет"/>
    <s v=""/>
    <s v=""/>
    <s v=""/>
    <s v=""/>
    <s v="нет"/>
  </r>
  <r>
    <s v="Газпромнефть-ГЕО, ООО"/>
    <s v="0000098088"/>
    <s v="Зарегистрирован"/>
    <d v="2022-09-21T00:00:00"/>
    <s v=""/>
    <x v="217"/>
    <s v="3015092176"/>
    <s v=""/>
    <s v="ГЕО-22/20000/00233/Д"/>
    <s v="ГЕО-22/20000/00233/Д"/>
    <s v="Типовой ДД"/>
    <x v="2"/>
    <s v="20000 Агентский договор на организацию вертолетных авиаперевозок"/>
    <s v="00792-22"/>
    <s v=""/>
    <s v="20000 Агентский договор на организацию вертолетных авиаперевозок с ООО «ПВО-Сервис»"/>
    <s v="Авиаперевозка персонала и груза КА"/>
    <s v="Титова Е.В."/>
    <s v="Титова Е.В."/>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2-09-21T00:00:00"/>
    <d v="2023-12-31T00:00:00"/>
    <s v="Д-56"/>
    <s v="Агентский договор"/>
    <s v="Доходная часть"/>
    <s v="Агентский"/>
    <s v="20%"/>
    <s v=""/>
    <s v=""/>
    <s v="215 109.50"/>
    <s v="179 257.92"/>
    <s v="35 851.58"/>
    <s v="нет"/>
    <s v="нет"/>
    <s v=""/>
    <s v=""/>
    <s v=""/>
    <s v=""/>
    <s v="нет"/>
  </r>
  <r>
    <s v="Газпромнефть-ГЕО, ООО"/>
    <s v="0000087439"/>
    <s v="Зарегистрирован"/>
    <d v="2023-12-13T00:00:00"/>
    <s v=""/>
    <x v="422"/>
    <s v="7726445147"/>
    <s v=""/>
    <s v="ГЕО-23/26000/00224"/>
    <s v="ГЕО-23/26000/00224"/>
    <s v="Типовой ДД"/>
    <x v="1"/>
    <s v="26000 Соглашение о конфиденциальности с российским контрагентом"/>
    <s v="00792-23"/>
    <s v=""/>
    <s v="26000 Соглашение о конфиденциальности с российским контрагентом"/>
    <s v="Осуществление негосударственного пенсионного обеспечения (далее – НПО) участника (участников) в порядке и на условиях, определенных законодательством Российской Федерации, нормативными актами Банка России, Пенсионными правилами Акционерного общества «Негосударственный пенсионный фонд ГАЗФОНД». Соглашение между Фондом и вкладчиком Фонда, в соответствии с которым вкладчик обязуется уплачивать пенсионные взносы в Фонд, а Фонд обязуется выплачивать участнику Фонда негосударственную пенсию в соответствии с Пенсионными правилами Фонда"/>
    <s v="Хужина В.А."/>
    <s v=""/>
    <s v="Договорный документ"/>
    <s v="Управление по работе с персоналом"/>
    <s v="Созинов С.А."/>
    <s v="На бумажном носителе"/>
    <s v="Без сроков "/>
    <d v="2023-12-13T00:00:00"/>
    <s v=""/>
    <s v="Д-60"/>
    <s v="Соглашение о конфиденциальности"/>
    <s v="Не предполагает взаиморасчетов"/>
    <s v="Стоимостной"/>
    <s v=""/>
    <s v=""/>
    <s v=""/>
    <s v=""/>
    <s v=""/>
    <s v=""/>
    <s v="нет"/>
    <s v="нет"/>
    <s v=""/>
    <s v=""/>
    <s v=""/>
    <s v=""/>
    <s v="нет"/>
  </r>
  <r>
    <s v="Газпромнефть-ГЕО, ООО"/>
    <s v="0000027645"/>
    <s v="Зарегистрирован"/>
    <d v="2021-12-01T00:00:00"/>
    <s v=""/>
    <x v="80"/>
    <s v="5501072608"/>
    <s v="ГЕО-18/18000/00046/Р "/>
    <s v=""/>
    <s v="8"/>
    <s v="Нетиповой ДД"/>
    <x v="0"/>
    <s v=""/>
    <s v="00793-21"/>
    <s v=""/>
    <s v="дополнительное соглашение № 8 к Агентскому договору №ГЕО-18/18000/00046/Р (ГСН-18/18000/01164/Д/НС-03.3) от 06.12.2018 г."/>
    <s v="Включение в договор возможности доставки авиационным, ж/д и водным транспортом по схеме FCA "/>
    <s v="Долгов Д.Г."/>
    <s v="Долгов Д.Г."/>
    <s v="Договорный документ"/>
    <s v="Блок снабжения и закупок"/>
    <s v="Титов А.В."/>
    <s v="На бумажном носителе"/>
    <s v="До исполнения обязательств"/>
    <d v="2021-12-01T00:00:00"/>
    <s v=""/>
    <s v="Д-11"/>
    <s v="Агентский договор"/>
    <s v="Не предполагает взаиморасчетов"/>
    <s v=""/>
    <s v=""/>
    <s v=""/>
    <s v=""/>
    <s v=""/>
    <s v=""/>
    <s v=""/>
    <s v="нет"/>
    <s v="нет"/>
    <s v=""/>
    <s v=""/>
    <s v=""/>
    <s v=""/>
    <s v="нет"/>
  </r>
  <r>
    <s v="Газпромнефть-ГЕО, ООО"/>
    <s v="0000085349"/>
    <s v="Зарегистрирован"/>
    <d v="2022-09-16T00:00:00"/>
    <s v=""/>
    <x v="140"/>
    <s v="5610220126"/>
    <s v="№ ГЕО-22/10000/00065/Р "/>
    <s v=""/>
    <s v="1"/>
    <s v="Нетиповой ДД"/>
    <x v="0"/>
    <s v=""/>
    <s v="00793-22"/>
    <s v=""/>
    <s v="Дополнительное соглашение №1 к договору по перераспределение между гарант. и негарант. объёмами работ"/>
    <s v="Приведение негарантированного объема работ в гарантированный на 2022г. в связи с производственной необходимостью._x000d__x000a_"/>
    <s v="Бикташев Р.С."/>
    <s v="Бикташев Р.С."/>
    <s v="Договорный документ"/>
    <s v="Производственно-технологический департамент"/>
    <s v="Трифонов А.В."/>
    <s v="На бумажном носителе"/>
    <s v="С ограничением по срокам "/>
    <d v="2022-09-16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8356"/>
    <s v="Зарегистрирован"/>
    <d v="2023-12-29T00:00:00"/>
    <s v=""/>
    <x v="152"/>
    <s v="8601034898"/>
    <s v="ГЕО-22/10000/00144/Р"/>
    <s v=""/>
    <s v="12"/>
    <s v="Нетиповой ДД"/>
    <x v="3"/>
    <s v=""/>
    <s v="00793-23"/>
    <s v=""/>
    <s v="НЗ №12. Защита Югры, ООО к ДД № ГЕО-22/10000/00144/Р от 27.06.2022г. Салаир"/>
    <s v="Сибирский федеральный округ, Оморинский лицензионный участок, скважина №3ПО Салаирской площади."/>
    <s v="Мормышев А.А."/>
    <s v="Белоусов О.В."/>
    <s v="Договорный документ"/>
    <s v="Блок производственной безопасности"/>
    <s v="Ядрышников П.Н."/>
    <s v="ЭП"/>
    <s v="До исполнения обязательств"/>
    <d v="2023-01-01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4 667 221.10"/>
    <s v="3 889 350.92"/>
    <s v="777 870.18"/>
    <s v="нет"/>
    <s v="нет"/>
    <s v=""/>
    <s v=""/>
    <s v=""/>
    <s v=""/>
    <s v="нет"/>
  </r>
  <r>
    <s v="Газпромнефть-ГЕО, ООО"/>
    <s v="0000063179"/>
    <s v="Зарегистрирован"/>
    <d v="2021-11-24T00:00:00"/>
    <s v=""/>
    <x v="54"/>
    <s v="7727747172"/>
    <s v="ГЕО-20/10986/00138/Р от 10.08.2020г."/>
    <s v=""/>
    <s v="12"/>
    <s v="Нетиповой ДД"/>
    <x v="3"/>
    <s v=""/>
    <s v="00794-21"/>
    <s v=""/>
    <s v="Задание № 12 к Договору № ГЕО-20/10986/00138/Р от 10.08.2020г. с компанией ООО «ОГК» на оказание супервайзерских услуг по контролю состояния производственной безопасности в 2021-2022гг. для исполнения заключаемого операторского договора с ООО «ГПН-Хантос» "/>
    <s v="оказание супервайзерских услуг по контролю состояния производственной безопасности в 2021-2022гг. для исполнения заключаемого операторского договора с ООО «ГПН-Хантос» на  участке Карабашский-84"/>
    <s v="Рябикина М.А."/>
    <s v="Руководитель региональных проектов по производственной безопасности кластера &quot;Восточная Сибирь и Оренбург&quot; – А.Н. Анисимов"/>
    <s v="Договорный документ"/>
    <s v="Блок производственной безопасности"/>
    <s v="Власов М.М."/>
    <s v="На бумажном носителе"/>
    <s v="С ограничением по срокам "/>
    <d v="2021-11-24T00:00:00"/>
    <d v="2022-04-30T00:00:00"/>
    <s v="Д-30"/>
    <s v="Супервайзинг ПЭБ и ОТ"/>
    <s v="Расходная часть"/>
    <s v="Рамочный"/>
    <s v="20%"/>
    <s v=""/>
    <s v=""/>
    <s v="8 824 266.00"/>
    <s v="7 353 555.00"/>
    <s v="1 470 711.00"/>
    <s v="нет"/>
    <s v="нет"/>
    <s v=""/>
    <s v=""/>
    <s v=""/>
    <s v=""/>
    <s v="нет"/>
  </r>
  <r>
    <s v="Газпромнефть-ГЕО, ООО"/>
    <s v="0000041259"/>
    <s v="Зарегистрирован"/>
    <d v="2022-09-21T00:00:00"/>
    <s v=""/>
    <x v="142"/>
    <s v="7203159800"/>
    <s v=""/>
    <s v="ГЕО-22/20000/00234/Д"/>
    <s v="ГЕО-22/20000/00234/Д"/>
    <s v="Типовой ДД"/>
    <x v="2"/>
    <s v="20000 Агентский договор на организацию вертолетных авиаперевозок"/>
    <s v="00794-22"/>
    <s v=""/>
    <s v="20000 Агентский договор на организацию вертолетных авиаперевозок с ООО «НИИ ЭиРИПР»"/>
    <s v="Авиаперевозка персонала и груза КА"/>
    <s v="Титова Е.В."/>
    <s v="Титова Е.В."/>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2-09-21T00:00:00"/>
    <d v="2024-09-30T00:00:00"/>
    <s v="Д-56"/>
    <s v="Агентский договор"/>
    <s v="Доходная часть"/>
    <s v="Агентский"/>
    <s v="20%"/>
    <s v=""/>
    <s v=""/>
    <s v="282 711.63"/>
    <s v="235 593.02"/>
    <s v="47 118.61"/>
    <s v="нет"/>
    <s v="нет"/>
    <s v=""/>
    <s v=""/>
    <s v=""/>
    <s v=""/>
    <s v="нет"/>
  </r>
  <r>
    <s v="Газпромнефть-ГЕО, ООО"/>
    <s v="0000048356"/>
    <s v="Зарегистрирован"/>
    <d v="2023-12-29T00:00:00"/>
    <s v=""/>
    <x v="152"/>
    <s v="8601034898"/>
    <s v="ГЕО-22/10000/00144/Р"/>
    <s v=""/>
    <s v="13"/>
    <s v="Нетиповой ДД"/>
    <x v="3"/>
    <s v=""/>
    <s v="00794-23"/>
    <s v=""/>
    <s v="НЗ №13. Защита Югры, ООО к ДД № ГЕО-22/10000/00144/Р от 27.06.2022г. Кама"/>
    <s v="Сибирский федеральный округ, Оморинский лицензионный участок, скважины скважины Камовской площади."/>
    <s v="Мормышев А.А."/>
    <s v="Белоусов О.В."/>
    <s v="Договорный документ"/>
    <s v="Блок производственной безопасности"/>
    <s v="Ядрышников П.Н."/>
    <s v="ЭП"/>
    <s v="До исполнения обязательств"/>
    <d v="2024-01-01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9 385 730.35"/>
    <s v="7 821 441.96"/>
    <s v="1 564 288.39"/>
    <s v="нет"/>
    <s v="нет"/>
    <s v=""/>
    <s v=""/>
    <s v=""/>
    <s v=""/>
    <s v="нет"/>
  </r>
  <r>
    <s v="Газпромнефть-ГЕО, ООО"/>
    <s v="0000045789"/>
    <s v="Зарегистрирован"/>
    <d v="2021-11-25T00:00:00"/>
    <s v=""/>
    <x v="16"/>
    <s v="7838395487"/>
    <s v="ГЕО-20/11708/00047/Р//НТЦ-20/08000/00383/Д-ГЕО"/>
    <s v=""/>
    <s v="НТЦ-02603-21Д-ГЕО"/>
    <s v="Нетиповой ДД"/>
    <x v="3"/>
    <s v=""/>
    <s v="00795-21"/>
    <s v=""/>
    <s v="НТЦ-02603-21Д-ГЕО"/>
    <s v="Инженерные расчеты альтернативных вариантов по крупному проекту ГРР «Толедо»"/>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1-11-25T00:00:00"/>
    <d v="2021-12-31T00:00:00"/>
    <s v="Д-2"/>
    <s v="НИОКР, НИР прочие"/>
    <s v="Расходная часть"/>
    <s v="Рамочный"/>
    <s v="20%"/>
    <s v=""/>
    <s v=""/>
    <s v="3 450 000.00"/>
    <s v="2 875 000.00"/>
    <s v="575 000.00"/>
    <s v="нет"/>
    <s v="нет"/>
    <s v=""/>
    <s v=""/>
    <s v=""/>
    <s v=""/>
    <s v="нет"/>
  </r>
  <r>
    <s v="Газпромнефть-ГЕО, ООО"/>
    <s v="0000103898"/>
    <s v="Зарегистрирован"/>
    <d v="2022-09-01T00:00:00"/>
    <s v=""/>
    <x v="452"/>
    <s v=""/>
    <s v="ГЕО-20/11104/00153/Д"/>
    <s v=""/>
    <s v="6"/>
    <s v="Нетиповой ДД"/>
    <x v="0"/>
    <s v=""/>
    <s v="00795-22"/>
    <s v=""/>
    <s v="ДС №6 к ГЕО-20/11104/00153/Д Geolog Surface Logging DMCC"/>
    <s v="Разовое увеличение срока оплаты по договору"/>
    <s v="Титова Е.В."/>
    <s v="Титова Е.В."/>
    <s v="Договорный документ"/>
    <s v="Блок снабжения и закупок"/>
    <s v="Титов А.В."/>
    <s v="На бумажном носителе"/>
    <s v="До исполнения обязательств"/>
    <d v="2022-07-29T00:00:00"/>
    <s v=""/>
    <s v="Д-56"/>
    <s v="Агентский договор"/>
    <s v="Не предполагает взаиморасчетов"/>
    <s v=""/>
    <s v=""/>
    <s v=""/>
    <s v=""/>
    <s v=""/>
    <s v=""/>
    <s v=""/>
    <s v="нет"/>
    <s v="нет"/>
    <s v=""/>
    <s v=""/>
    <s v=""/>
    <s v=""/>
    <s v="нет"/>
  </r>
  <r>
    <s v="Газпромнефть-ГЕО, ООО"/>
    <s v="0000045789"/>
    <s v="Зарегистрирован"/>
    <d v="2021-11-25T00:00:00"/>
    <s v=""/>
    <x v="16"/>
    <s v="7838395487"/>
    <s v="№ГЕО-20/11708/00047/Р//НТЦ-20/08000/00383/Д-ГЕО"/>
    <s v=""/>
    <s v="Дополнительное соглашение №1 к Заказу №НТЦ-20/29000/01101/Д-ГЕО"/>
    <s v="Нетиповой ДД"/>
    <x v="0"/>
    <s v=""/>
    <s v="00796-21"/>
    <s v="№НТЦ-20/29000/01101/Д-ГЕО "/>
    <s v="Дополнительное соглашение №1 к Заказу №НТЦ-20/29000/01101/Д-ГЕО "/>
    <s v="Продление срока выполнения работ по Заказу № НТЦ-20/29000/01101/Д-ГЕО  от 04.12.2020 по теме: «Концепция обустройства программы проектов &quot;ЗИМА&quot;» до 31.12.2022г."/>
    <s v="Алексашин Ю.В."/>
    <s v=""/>
    <s v="Договорный документ"/>
    <s v="Управление концептуального проектирования и инжиниринга"/>
    <s v="Агеев П.А."/>
    <s v="На бумажном носителе"/>
    <s v="С ограничением по срокам "/>
    <d v="2021-11-25T00:00:00"/>
    <d v="2022-12-31T00:00:00"/>
    <s v="Д-2"/>
    <s v="НИОКР, НИР прочие"/>
    <s v="Не предполагает взаиморасчетов"/>
    <s v=""/>
    <s v=""/>
    <s v=""/>
    <s v=""/>
    <s v=""/>
    <s v=""/>
    <s v=""/>
    <s v="нет"/>
    <s v="нет"/>
    <s v=""/>
    <s v=""/>
    <s v=""/>
    <s v=""/>
    <s v="нет"/>
  </r>
  <r>
    <s v="Газпромнефть-ГЕО, ООО"/>
    <s v="0000103898"/>
    <s v="Зарегистрирован"/>
    <d v="2022-10-01T00:00:00"/>
    <s v=""/>
    <x v="453"/>
    <s v=""/>
    <s v="ГЕО-20/11104/00153/Д"/>
    <s v=""/>
    <s v="7"/>
    <s v="Нетиповой ДД"/>
    <x v="0"/>
    <s v=""/>
    <s v="00796-22"/>
    <s v=""/>
    <s v="Соглашение о передаче Агентского Договора № ГЕО-20/11104/00153/Д ГЕОЛОГ"/>
    <s v="Перемена лица в обязательстве"/>
    <s v="Титова Е.В."/>
    <s v="Титова Е.В."/>
    <s v="Договорный документ"/>
    <s v="Блок снабжения и закупок"/>
    <s v="Титов А.В."/>
    <s v="На бумажном носителе"/>
    <s v="До исполнения обязательств"/>
    <d v="2022-10-01T00:00:00"/>
    <s v=""/>
    <s v="Д-56"/>
    <s v="Агентский договор"/>
    <s v="Не предполагает взаиморасчетов"/>
    <s v=""/>
    <s v=""/>
    <s v=""/>
    <s v=""/>
    <s v=""/>
    <s v=""/>
    <s v=""/>
    <s v="нет"/>
    <s v="нет"/>
    <s v=""/>
    <s v=""/>
    <s v=""/>
    <s v=""/>
    <s v="нет"/>
  </r>
  <r>
    <s v="Газпромнефть-ГЕО, ООО"/>
    <s v="0000050121"/>
    <s v="Зарегистрирован"/>
    <d v="2023-12-29T00:00:00"/>
    <s v=""/>
    <x v="454"/>
    <s v="7702364555"/>
    <s v=""/>
    <s v="ГЕО-23/24000/00230/Р"/>
    <s v="ГЕО-23/24000/00230/Р"/>
    <s v="Нетиповой ДД"/>
    <x v="2"/>
    <s v=""/>
    <s v="00796-23"/>
    <s v=""/>
    <s v="Приобретение программного обеспечения tNavigator с обновлением на 3 года"/>
    <s v="Предоставления права использования на условиях простой (неисключительной) лицензии программного обеспечения tNavigator и его обновления на 3 года (2024-2026)"/>
    <s v="Попов В.А."/>
    <s v="Попов В.А."/>
    <s v="Договорный документ"/>
    <s v="Блок геологии и разработки"/>
    <s v="Аксенов М.А."/>
    <s v="На бумажном носителе"/>
    <s v="До исполнения обязательств"/>
    <d v="2024-01-01T00:00:00"/>
    <s v=""/>
    <s v="Д-54"/>
    <s v="Лицензионный договор"/>
    <s v="Расходная часть"/>
    <s v="Стоимостной"/>
    <s v="без НДС"/>
    <s v=""/>
    <s v=""/>
    <s v="45 497 724.00"/>
    <s v="45 497 724.00"/>
    <n v="0"/>
    <s v="нет"/>
    <s v="нет"/>
    <s v=""/>
    <s v=""/>
    <s v=""/>
    <s v=""/>
    <s v="нет"/>
  </r>
  <r>
    <s v="Газпромнефть-ГЕО, ООО"/>
    <s v="0000066687"/>
    <s v="Зарегистрирован"/>
    <d v="2023-12-22T00:00:00"/>
    <s v=""/>
    <x v="161"/>
    <s v="9909012867"/>
    <s v="ГЕО-22/10000/00179/Р"/>
    <s v=""/>
    <s v="6"/>
    <s v="Нетиповой ДД"/>
    <x v="0"/>
    <s v=""/>
    <s v="00797-23"/>
    <s v=""/>
    <s v="Дополнительное соглашение № 6 к Договору на оказание услуг по освоению скважин через сепарационную установку № ГЕО-22/10000/00179/Р от 01.08.2022 года"/>
    <s v="Цель заключения данного ДС  - освоение и испытание скважин через сепарационную установку"/>
    <s v="Бикташев Р.С."/>
    <s v="Бикташев Р.С."/>
    <s v="Договорный документ"/>
    <s v="Производственно-технологический департамент"/>
    <s v="Трифонов А.В."/>
    <s v="На бумажном носителе"/>
    <s v="С ограничением по срокам "/>
    <d v="2023-12-22T00:00:00"/>
    <d v="2024-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6 732 746.00"/>
    <s v="13 943 955.00"/>
    <s v="2 788 791.00"/>
    <s v="нет"/>
    <s v="нет"/>
    <s v=""/>
    <s v=""/>
    <s v=""/>
    <s v=""/>
    <s v="нет"/>
  </r>
  <r>
    <s v="Газпромнефть-ГЕО, ООО"/>
    <s v="0000087378"/>
    <s v="Зарегистрирован"/>
    <d v="2021-11-25T00:00:00"/>
    <s v=""/>
    <x v="97"/>
    <s v="7204203139"/>
    <s v="ГЕО-19/10156/00057/Р"/>
    <s v=""/>
    <s v="1/21-057"/>
    <s v="Нетиповой ДД"/>
    <x v="3"/>
    <s v=""/>
    <s v="00798-21"/>
    <s v=""/>
    <s v="Хранение керна "/>
    <s v="Хранение кернового материала"/>
    <s v="Ябиров Р.З."/>
    <s v="Ябиров Р.З."/>
    <s v="Договорный документ"/>
    <s v="Блок геологии и разработки"/>
    <s v="Аксенов М.А."/>
    <s v="На бумажном носителе"/>
    <s v="С ограничением по срокам "/>
    <d v="2021-01-01T00:00:00"/>
    <d v="2021-12-31T00:00:00"/>
    <s v="Д-3"/>
    <s v="Услуги по хранению и стандартному комплексу лабораторных исследований керна"/>
    <s v="Расходная часть"/>
    <s v="Рамочный"/>
    <s v="20%"/>
    <s v=""/>
    <s v=""/>
    <s v="823 121.03"/>
    <s v="685 934.19"/>
    <s v="137 186.84"/>
    <s v="нет"/>
    <s v="нет"/>
    <s v=""/>
    <s v=""/>
    <s v=""/>
    <s v=""/>
    <s v="нет"/>
  </r>
  <r>
    <s v="Газпромнефть-ГЕО, ООО"/>
    <s v="0000074858"/>
    <s v="Зарегистрирован"/>
    <d v="2022-09-01T00:00:00"/>
    <s v=""/>
    <x v="248"/>
    <s v="5609097622"/>
    <s v=""/>
    <s v="ГЕО-22/35000/00224"/>
    <s v="ГЕО-22/35000/00224"/>
    <s v="Нетиповой ДД"/>
    <x v="1"/>
    <s v=""/>
    <s v="00798-22"/>
    <s v=""/>
    <s v="Соглашение о безопасном использовании информационных систем"/>
    <s v="В рамках проекта U190001428 &quot;Цифровой патрнер ПБ&quot; (ранее наименование &quot;Цифровой двойник HSE&quot;)"/>
    <s v="Гусаков В.В."/>
    <s v="Гусаков В.В."/>
    <s v="Договорный документ"/>
    <s v="Блок снабжения и закупок"/>
    <s v="Титов А.В."/>
    <s v="ЭП"/>
    <s v="С ограничением по срокам "/>
    <d v="2022-09-01T00:00:00"/>
    <d v="2025-12-31T00:00:00"/>
    <s v="Д-56"/>
    <s v="Соглашения об обеспечении исполнения обязательств"/>
    <s v="Не предполагает взаиморасчетов"/>
    <s v="Тарифный"/>
    <s v=""/>
    <s v=""/>
    <s v=""/>
    <s v=""/>
    <s v=""/>
    <s v=""/>
    <s v="нет"/>
    <s v="нет"/>
    <s v=""/>
    <s v=""/>
    <s v=""/>
    <s v=""/>
    <s v="нет"/>
  </r>
  <r>
    <s v="Газпромнефть-ГЕО, ООО"/>
    <s v="0000074858"/>
    <s v="Зарегистрирован"/>
    <d v="2023-12-29T00:00:00"/>
    <s v=""/>
    <x v="248"/>
    <s v="5609097622"/>
    <s v="ГЕО-20/11112/00108/Р"/>
    <s v=""/>
    <s v="11"/>
    <s v="Нетиповой ДД"/>
    <x v="0"/>
    <s v=""/>
    <s v="00798-23"/>
    <s v=""/>
    <s v="Изменение сроков ДД до 31.12.2023"/>
    <s v="вовлечение 100% физических объемов по договору путем перевода невостребованного гарантированного объема 2022 года и негарантированного объёма услуг 2022 и 2023 годов (2 142 МШЧ) в гарантированный объем 2024 года с увеличением стоимости услуг по договору"/>
    <s v="Гусаков В.В."/>
    <s v="Гусаков В.В."/>
    <s v="Договорный документ"/>
    <s v="Управление транспортного обеспечения и авиаперевозок"/>
    <s v="Титов А.В."/>
    <s v="ЭП"/>
    <s v="С ограничением по срокам "/>
    <d v="2023-12-29T00:00:00"/>
    <d v="2024-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 094 781.84"/>
    <s v="912 318.20"/>
    <s v="182 463.64"/>
    <s v="нет"/>
    <s v="нет"/>
    <s v=""/>
    <s v=""/>
    <s v=""/>
    <s v=""/>
    <s v="нет"/>
  </r>
  <r>
    <s v="Газпромнефть-ГЕО, ООО"/>
    <s v="0000067554"/>
    <s v="Зарегистрирован"/>
    <d v="2022-09-16T00:00:00"/>
    <s v=""/>
    <x v="208"/>
    <s v="7204168131"/>
    <s v="ГЕО-20/10924/00055/Р "/>
    <s v=""/>
    <s v=" 7 "/>
    <s v="Нетиповой ДД"/>
    <x v="0"/>
    <s v=""/>
    <s v="00799-22"/>
    <s v=""/>
    <s v="Дополнительное соглашение № 7 к Договору на выполнение работ по экологическому мониторингу месторождений № ГЕО-20/10924/00055/Р от 05 марта 2020 г."/>
    <s v="Перевод услуг из негарантированного объема в гарантированный"/>
    <s v="Липатова О.И."/>
    <s v=""/>
    <s v="Договорный документ"/>
    <s v="Отдел экологической безопасности"/>
    <s v="Власов М.М."/>
    <s v="На бумажном носителе"/>
    <s v="С ограничением по срокам "/>
    <d v="2022-07-20T00:00:00"/>
    <d v="2022-12-31T00:00:00"/>
    <s v="Д-59"/>
    <s v="Договор возмездного оказания услуг"/>
    <s v="Не предполагает взаиморасчетов"/>
    <s v=""/>
    <s v=""/>
    <s v=""/>
    <s v=""/>
    <s v=""/>
    <s v=""/>
    <s v=""/>
    <s v="нет"/>
    <s v="нет"/>
    <s v=""/>
    <s v=""/>
    <s v=""/>
    <s v=""/>
    <s v="нет"/>
  </r>
  <r>
    <s v="Газпромнефть-ГЕО, ООО"/>
    <s v="0000056254"/>
    <s v="Зарегистрирован"/>
    <d v="2023-12-25T00:00:00"/>
    <s v=""/>
    <x v="23"/>
    <s v="7839415866"/>
    <s v=""/>
    <s v="ГЕО-23/09000/00222/Р"/>
    <s v="ГЕО-23/09000/00222/Р"/>
    <s v="Нетиповой ДД"/>
    <x v="2"/>
    <s v=""/>
    <s v="00799-23"/>
    <s v=""/>
    <s v="Договор оказания охранных услуг "/>
    <s v="оказание услуг Заказчику по физической охране имущества Заказчика, осуществлению пропускного и внутриобъектового режимов в арендуемых помещениях"/>
    <s v="Коваленко М.В."/>
    <s v="Страдымов А.Г."/>
    <s v="Договорный документ"/>
    <s v="Блок корпоративной защиты"/>
    <s v="Созинов С.А."/>
    <s v="На бумажном носителе"/>
    <s v="С ограничением по срокам "/>
    <d v="2024-01-01T00:00:00"/>
    <d v="2026-12-31T00:00:00"/>
    <s v="Д-60"/>
    <s v="Договор возмездного оказания услуг"/>
    <s v="Расходная часть"/>
    <s v="Стоимостной"/>
    <s v="20%"/>
    <s v=""/>
    <s v=""/>
    <s v="59 180 559.41"/>
    <s v="49 317 132.84"/>
    <s v="9 863 426.57"/>
    <s v="нет"/>
    <s v="нет"/>
    <s v=""/>
    <s v=""/>
    <s v=""/>
    <s v=""/>
    <s v="нет"/>
  </r>
  <r>
    <s v="Газпромнефть-ГЕО, ООО"/>
    <s v="0000086584"/>
    <s v="Зарегистрирован"/>
    <d v="2021-11-30T00:00:00"/>
    <s v=""/>
    <x v="113"/>
    <s v="5609077986"/>
    <s v="ГЕО-18/00000/00025Д"/>
    <s v=""/>
    <s v="5"/>
    <s v="Нетиповой ДД"/>
    <x v="0"/>
    <s v=""/>
    <s v="00800-21"/>
    <s v=""/>
    <s v="Дополнительное соглашение №5 к Договору о выполнении операторских работ и оказании операторских услуг (Оморинский ЛУ)"/>
    <s v="добавлена программа выполнения работ и оказания услуг ГРР по Оморинскому ЛУ на 2021-2022гг. в связи с передачей лицензии с ПАО &quot;Газпром нефть&quot; в &quot;ООО &quot;Энерком&quot;"/>
    <s v="Частухина Е.В."/>
    <s v="Частухина Е.В."/>
    <s v="Договорный документ"/>
    <s v="Управление экономического планирования и анализа"/>
    <s v="Шакирзянов Л.Н."/>
    <s v="На бумажном носителе"/>
    <s v="С ограничением по срокам "/>
    <d v="2021-11-15T00:00:00"/>
    <d v="2022-12-31T00:00:00"/>
    <s v="Д-18"/>
    <s v="ПРОЧИЕ ДОГОВОРЫ"/>
    <s v="Доходная часть"/>
    <s v="Стоимостной"/>
    <s v="20%"/>
    <s v=""/>
    <s v=""/>
    <s v="1 098 903 693.38"/>
    <s v="915 753 077.82"/>
    <s v="183 150 615.56"/>
    <s v="нет"/>
    <s v="нет"/>
    <s v=""/>
    <s v=""/>
    <s v=""/>
    <s v=""/>
    <s v="нет"/>
  </r>
  <r>
    <s v="Газпромнефть-ГЕО, ООО"/>
    <s v="0000063179"/>
    <s v="Зарегистрирован"/>
    <d v="2023-12-28T00:00:00"/>
    <s v=""/>
    <x v="54"/>
    <s v="7727747172"/>
    <s v="ГЕО-20/09000/00123/Р "/>
    <s v=""/>
    <s v="3"/>
    <s v="Нетиповой ДД"/>
    <x v="0"/>
    <s v=""/>
    <s v="00800-23"/>
    <s v=""/>
    <s v="Дополнительное соглашение №3"/>
    <s v="продление срока действия договора и срока оказания услуг"/>
    <s v="Коваленко М.В."/>
    <s v="Матвеев В.Н."/>
    <s v="Договорный документ"/>
    <s v="Блок производственной безопасности"/>
    <s v="Ядрышников П.Н."/>
    <s v="ЭП"/>
    <s v="С ограничением по срокам "/>
    <d v="2023-12-28T00:00:00"/>
    <d v="2024-01-31T00:00:00"/>
    <s v="Д-51"/>
    <s v="Договор возмездного оказания услуг"/>
    <s v="Расходная часть"/>
    <s v="Стоимостной"/>
    <s v="20%"/>
    <s v=""/>
    <s v=""/>
    <n v="0"/>
    <n v="0"/>
    <n v="0"/>
    <s v="нет"/>
    <s v="нет"/>
    <s v=""/>
    <s v=""/>
    <s v=""/>
    <s v=""/>
    <s v="нет"/>
  </r>
  <r>
    <s v="Газпромнефть-ГЕО, ООО"/>
    <s v=""/>
    <s v="Закрыт"/>
    <d v="2021-11-30T00:00:00"/>
    <s v=""/>
    <x v="455"/>
    <s v=""/>
    <s v=""/>
    <s v="ГЕО-21/01200/00268/Р"/>
    <s v="ГЕО-21/01200/00268/Р"/>
    <s v="Типовой ДД"/>
    <x v="2"/>
    <s v="01200 Договор  поставки МТР"/>
    <s v="00801-21"/>
    <s v=""/>
    <s v="01200 Договор  поставки МТР"/>
    <s v="Поставка Наборов реагентов для иммунохроматографического выявления антигена SARS-CoV-2 (STANDARD Q COVID-19 Ag) в рамках протокола КЧС ООО «ГПН-ГЕО» №ПТ-200028501 от 27.08.2021"/>
    <s v="Долгов Д.Г."/>
    <s v="Долгов Д.Г."/>
    <s v="Договорный документ"/>
    <s v="Блок снабжения и закупок"/>
    <s v="Агеев П.А."/>
    <s v="На бумажном носителе"/>
    <s v="До исполнения обязательств"/>
    <d v="2021-11-30T00:00:00"/>
    <s v=""/>
    <s v="Д-2"/>
    <s v="Договор поставки/купли продажи движимого имущества"/>
    <s v="Расходная часть"/>
    <s v="Стоимостной"/>
    <s v="без НДС"/>
    <s v=""/>
    <s v=""/>
    <s v="1 102 500.00"/>
    <s v="1 102 500.00"/>
    <n v="0"/>
    <s v="нет"/>
    <s v="нет"/>
    <s v=""/>
    <s v=""/>
    <s v=""/>
    <s v=""/>
    <s v="нет"/>
  </r>
  <r>
    <s v="Газпромнефть-ГЕО, ООО"/>
    <s v="0000084590"/>
    <s v="Зарегистрирован"/>
    <d v="2024-01-09T00:00:00"/>
    <s v=""/>
    <x v="61"/>
    <s v="7708277130"/>
    <s v="ГЕО-23/09000/00149/Р"/>
    <s v=""/>
    <s v="8"/>
    <s v="Нетиповой ДД"/>
    <x v="7"/>
    <s v=""/>
    <s v="00801-23"/>
    <s v=""/>
    <s v="Заявка № 8 к договору о предоставлении труда работников (персонала) № ГЕО-23/09000/00149/Р от 28.08.2023 г."/>
    <s v="Услуга по предоставлению труда работников (персонала), путем временного направления своих работников (далее – «Работник(и)», «Специалист(ы)» или «Персонал») с их согласия к Заказчику для выполнения этими Работниками их трудовых функций в интересах, под управлением и контролем Заказчика (далее – «Услуги»), а именно Главного специалиста по промышленной безопасности"/>
    <s v="Фокин Е.В."/>
    <s v="Фокин Е.В."/>
    <s v="Договорный документ"/>
    <s v="Управление производственной безопасности"/>
    <s v="Ядрышников П.Н."/>
    <s v="ЭП"/>
    <s v="С ограничением по срокам "/>
    <d v="2024-01-09T00:00:00"/>
    <d v="2024-09-30T00:00:00"/>
    <s v="Д-51"/>
    <s v="Договор возмездного оказания услуг"/>
    <s v="Расходная часть"/>
    <s v="Рамочный"/>
    <s v="20%"/>
    <s v=""/>
    <s v=""/>
    <s v="3 531 396.97"/>
    <s v="2 942 830.81"/>
    <s v="588 566.16"/>
    <s v="нет"/>
    <s v="нет"/>
    <s v=""/>
    <s v=""/>
    <s v=""/>
    <s v=""/>
    <s v="нет"/>
  </r>
  <r>
    <s v="Газпромнефть-ГЕО, ООО"/>
    <s v="0000049191"/>
    <s v="Закрыт"/>
    <d v="2021-12-06T00:00:00"/>
    <s v=""/>
    <x v="0"/>
    <s v="7729058675"/>
    <s v=""/>
    <s v="ГЕО-21/00000/00266"/>
    <s v="ГЕО-21/00000/00266"/>
    <s v="Типовой ДД"/>
    <x v="1"/>
    <s v="00000 Соглашение в области производственной безопасности"/>
    <s v="00802-21"/>
    <s v=""/>
    <s v="00000 Соглашение в области производственной безопасности"/>
    <s v="Соглашение подписывается в связи с заключением договора на выполнение проектных и изыскательских, строительно-монтажных работ и работ по _x000d__x000a_пуско-наладке оборудования аудиовизуального комплекса и средствами ВКС в здании, _x000d__x000a_расположенном по адресу: г. Санкт-Петербург, Синопская наб., д.22, лит. А "/>
    <s v="Сорокин И.М."/>
    <s v="Сорокин И.М."/>
    <s v="Договорный документ"/>
    <s v="Блок геологии и разработки"/>
    <s v="Аксенов М.А."/>
    <s v="На бумажном носителе"/>
    <s v="До исполнения обязательств"/>
    <d v="2021-12-06T00:00:00"/>
    <s v=""/>
    <s v="Д-3"/>
    <s v="ПРОЧИЕ ДОГОВОРЫ"/>
    <s v="Не предполагает взаиморасчетов"/>
    <s v=""/>
    <s v=""/>
    <s v=""/>
    <s v=""/>
    <s v=""/>
    <s v=""/>
    <s v=""/>
    <s v="нет"/>
    <s v="нет"/>
    <s v=""/>
    <s v=""/>
    <s v=""/>
    <s v=""/>
    <s v="нет"/>
  </r>
  <r>
    <s v="Газпромнефть-ГЕО, ООО"/>
    <s v="0000098088"/>
    <s v="Зарегистрирован"/>
    <d v="2022-09-15T00:00:00"/>
    <s v=""/>
    <x v="217"/>
    <s v="3015092176"/>
    <s v="ГЕО-22/10000/00210/Р"/>
    <s v=""/>
    <s v="1"/>
    <s v="Нетиповой ДД"/>
    <x v="0"/>
    <s v=""/>
    <s v="00802-22"/>
    <s v=""/>
    <s v="Внесение арбитражной оговорки"/>
    <s v="Включение новых арбитражных оговорок. "/>
    <s v="Паркина И.А."/>
    <s v="Конюх М.В."/>
    <s v="Договорный документ"/>
    <s v="Отдел подготовительных работ и экономического анализа"/>
    <s v="Аксенов М.А."/>
    <s v="ЭП"/>
    <s v="С ограничением по срокам "/>
    <d v="2022-09-15T00:00:00"/>
    <d v="2023-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0642"/>
    <s v="Зарегистрирован"/>
    <d v="2023-12-29T00:00:00"/>
    <s v=""/>
    <x v="4"/>
    <s v="7736035485"/>
    <s v=""/>
    <s v="ГЕО-23/17000/00231/Р"/>
    <s v="ГЕО-23/17000/00231/Р"/>
    <s v="Нетиповой ДД"/>
    <x v="2"/>
    <s v=""/>
    <s v="00802-23"/>
    <s v=""/>
    <s v=" ДОГОВОР № 0624 LA 000079 страхования от несчастных случаев и болезней"/>
    <s v="Страхование сотрудников ГПН ГЕО от несчастных случаев и болезней в 2024 году."/>
    <s v="Лейман Д.Д."/>
    <s v="Лейман Д.Д."/>
    <s v="Договорный документ"/>
    <s v="Управление по работе с персоналом"/>
    <s v="Игнатова Ю.В."/>
    <s v="На бумажном носителе"/>
    <s v="С ограничением по срокам "/>
    <d v="2024-01-01T00:00:00"/>
    <d v="2024-12-31T00:00:00"/>
    <s v="Д-66"/>
    <s v="Договор страхования"/>
    <s v="Расходная часть"/>
    <s v="Агентский"/>
    <s v="без НДС"/>
    <s v=""/>
    <s v=""/>
    <s v="738 820.00"/>
    <s v="738 820.00"/>
    <n v="0"/>
    <s v="нет"/>
    <s v="нет"/>
    <s v=""/>
    <s v=""/>
    <s v=""/>
    <s v=""/>
    <s v="нет"/>
  </r>
  <r>
    <s v="Газпромнефть-ГЕО, ООО"/>
    <s v="0000047473"/>
    <s v="Зарегистрирован"/>
    <d v="2021-12-01T00:00:00"/>
    <s v=""/>
    <x v="216"/>
    <s v="0276105917"/>
    <s v=""/>
    <s v="ГЕО-21/26000/00269"/>
    <s v="ГЕО-21/26000/00269"/>
    <s v="Типовой ДД"/>
    <x v="1"/>
    <s v="26000 Соглашение о конфиденциальности с российским контрагентом"/>
    <s v="00803-21"/>
    <s v=""/>
    <s v="26000 Соглашение о конфиденциальности с российским контрагентом"/>
    <s v="Соглашение о конфиденциальности"/>
    <s v="Шишова О.П."/>
    <s v="Наумов А.А. - Руководитель направления по геологии"/>
    <s v="Договорный документ"/>
    <s v="Кластер &quot;Традиционные запасы&quot;"/>
    <s v="Масалкин Ю.В."/>
    <s v="На бумажном носителе"/>
    <s v="До исполнения обязательств"/>
    <d v="2021-12-01T00:00:00"/>
    <s v=""/>
    <s v=""/>
    <s v="Соглашение о конфиденциальности"/>
    <s v="Не предполагает взаиморасчетов"/>
    <s v=""/>
    <s v=""/>
    <s v=""/>
    <s v=""/>
    <s v=""/>
    <s v=""/>
    <s v=""/>
    <s v="нет"/>
    <s v="нет"/>
    <s v=""/>
    <s v=""/>
    <s v=""/>
    <s v=""/>
    <s v="нет"/>
  </r>
  <r>
    <s v="Газпромнефть-ГЕО, ООО"/>
    <s v="0000070846"/>
    <s v="Зарегистрирован"/>
    <d v="2022-09-15T00:00:00"/>
    <s v=""/>
    <x v="132"/>
    <s v="7014052636"/>
    <s v="ГЕО-22/10000/00193/Р"/>
    <s v=""/>
    <s v="1"/>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0803-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 обмен юридически значимыми документами в рамках электронного документооборота и универсальными передаточными документами"/>
    <s v="Жданов А.С."/>
    <s v="Жданов А.С."/>
    <s v="Договорный документ"/>
    <s v="Производственно-технологический департамент"/>
    <s v="Агеев П.А."/>
    <s v="ЭП"/>
    <s v="До исполнения обязательств"/>
    <d v="2022-09-15T00:00:00"/>
    <s v=""/>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27645"/>
    <s v="Зарегистрирован"/>
    <d v="2021-11-26T00:00:00"/>
    <s v=""/>
    <x v="80"/>
    <s v="5501072608"/>
    <s v="ГЕО-18/10001/00082/Р-ГСН-19/10001/00244/Д/ТМН-13 от 29.12.2018г."/>
    <s v=""/>
    <s v="8"/>
    <s v="Нетиповой ДД"/>
    <x v="0"/>
    <s v=""/>
    <s v="00804-21"/>
    <s v=""/>
    <s v="ДС № 8 к Договору № ГЕО-18/10001/00082/Р-ГСН-19/10001/00244/Д/ТМН-13 от 29.12.2018г."/>
    <s v="В связи с необходимостью корректировки тарифа на хранение МТР (уменьшение на 76% тарифа по б. Лабытнанги)_x000d__x000a_1 Приложение № 2.1 к Договору принять в редакции приложения № 1 к настоящему дополнительному соглашению «Смета по услугам складской логистики на 2019-2021 гг.» (Игнялинский ЛУ)._x000d__x000a_2. Приложение № 2.2 к Договору принять в редакции приложения № 2 к настоящему дополнительному соглашению «Смета по услугам складской логистики на 2019-2021 гг.» (Южно-Новопортовский ЛУ)."/>
    <s v="Рябикина М.А."/>
    <s v="Нежальских В.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1-11-26T00:00:00"/>
    <d v="2021-12-31T00:00:00"/>
    <s v="Д-11"/>
    <s v="Услуги складской и транспортной логистики. (Оказываемые услуги для ДО БРД)"/>
    <s v="Расходная часть"/>
    <s v="Тарифный"/>
    <s v="20%"/>
    <s v=""/>
    <s v=""/>
    <n v="1"/>
    <n v="0.83"/>
    <n v="0.17"/>
    <s v="нет"/>
    <s v="нет"/>
    <s v=""/>
    <s v=""/>
    <s v=""/>
    <s v=""/>
    <s v="нет"/>
  </r>
  <r>
    <s v="Газпромнефть-ГЕО, ООО"/>
    <s v="0000074858"/>
    <s v="Зарегистрирован"/>
    <d v="2022-09-23T00:00:00"/>
    <s v=""/>
    <x v="248"/>
    <s v="5609097622"/>
    <s v="ГЕО-20/11112/00108/Р"/>
    <s v=""/>
    <s v="7"/>
    <s v="Нетиповой ДД"/>
    <x v="0"/>
    <s v=""/>
    <s v="00804-22"/>
    <s v=""/>
    <s v="ДС-7 о пролонгации на 2023й год, ввод доп.тарифов, перераспределение объема услуг"/>
    <s v="Пролонгация на 2023й год, ввод доп.тарифов, перераспределение объема услуг без увеличения стоимости ДД_x000d__x000a_"/>
    <s v="Гусаков В.В."/>
    <s v="Гусаков В.В."/>
    <s v="Договорный документ"/>
    <s v="Блок снабжения и закупок"/>
    <s v="Титов А.В."/>
    <s v="ЭП"/>
    <s v="С ограничением по срокам "/>
    <d v="2022-09-14T00:00:00"/>
    <d v="2023-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n v="0"/>
    <n v="0"/>
    <n v="0"/>
    <s v="нет"/>
    <s v="нет"/>
    <s v=""/>
    <s v=""/>
    <s v=""/>
    <s v=""/>
    <s v="нет"/>
  </r>
  <r>
    <s v="Газпромнефть-ГЕО, ООО"/>
    <s v="0000085349"/>
    <s v="Зарегистрирован"/>
    <d v="2023-12-25T00:00:00"/>
    <s v=""/>
    <x v="140"/>
    <s v="5610220126"/>
    <s v="ГЕО-22/10000/00065/Р"/>
    <s v=""/>
    <s v="6"/>
    <s v="Нетиповой ДД"/>
    <x v="0"/>
    <s v=""/>
    <s v="00804-23"/>
    <s v=""/>
    <s v="Дополнительное соглашение № 6 к договору на оказание услуг по испытанию геологоразведочных скважин № ГЕО-22/10000/00065/Р от 31.03.2022 г."/>
    <s v="Цель заключения данного ДС  - испытание геологоразведочных скважин"/>
    <s v="Бикташев Р.С."/>
    <s v="Бикташев Р.С."/>
    <s v="Договорный документ"/>
    <s v="Производственно-технологический департамент"/>
    <s v="Трифонов А.В."/>
    <s v="ЭП"/>
    <s v="С ограничением по срокам "/>
    <d v="2023-12-25T00:00:00"/>
    <d v="2024-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53821782.14"/>
    <s v="333 872 187.90"/>
    <s v="278 226 823.25"/>
    <s v="55 645 364.65"/>
    <s v="да"/>
    <s v="нет"/>
    <s v=""/>
    <s v=""/>
    <s v=""/>
    <s v=""/>
    <s v="нет"/>
  </r>
  <r>
    <s v="Газпромнефть-ГЕО, ООО"/>
    <s v="0000062928"/>
    <s v="Зарегистрирован"/>
    <d v="2022-09-19T00:00:00"/>
    <s v=""/>
    <x v="136"/>
    <s v="7701645627"/>
    <s v="ГЕО-20/11501/00184/Р"/>
    <s v=""/>
    <s v="3"/>
    <s v="Нетиповой ДД"/>
    <x v="3"/>
    <s v=""/>
    <s v="00805-22"/>
    <s v=""/>
    <s v="ГЕО-20/11501/00184/Р"/>
    <s v="Выполнение камеральных маркшейдерских работ"/>
    <s v="Хохлов А.А."/>
    <s v="Хохлов А.А."/>
    <s v="Договорный документ"/>
    <s v="Управление маркшейдерско-землеустроительных работ"/>
    <s v="Трифонов А.В."/>
    <s v="На бумажном носителе"/>
    <s v="С ограничением по срокам "/>
    <d v="2022-09-19T00:00:00"/>
    <d v="2022-12-31T00:00:00"/>
    <s v="Д-33"/>
    <s v="Договор возмездного оказания услуг"/>
    <s v="Расходная часть"/>
    <s v="Рамочный"/>
    <s v="без НДС"/>
    <s v=""/>
    <s v=""/>
    <s v="1 367 431.89"/>
    <s v="1 367 431.89"/>
    <n v="0"/>
    <s v="нет"/>
    <s v="нет"/>
    <s v=""/>
    <s v=""/>
    <s v=""/>
    <s v=""/>
    <s v="нет"/>
  </r>
  <r>
    <s v="Газпромнефть-ГЕО, ООО"/>
    <s v="0000039714"/>
    <s v="Зарегистрирован"/>
    <d v="2023-12-25T00:00:00"/>
    <s v=""/>
    <x v="1"/>
    <s v="7734033757"/>
    <s v="ГЕО-21/10114/00257/Р"/>
    <s v=""/>
    <s v="9"/>
    <s v="Нетиповой ДД"/>
    <x v="0"/>
    <s v=""/>
    <s v="00805-23"/>
    <s v=""/>
    <s v="Дополнительное соглашение №9 к Договору ГЕО-21/10114/00257 от 22.11.2021"/>
    <s v="Перевод 250 суток работ супервайзеров из НГО в ГО в рамках 2024г."/>
    <s v="Дакиров В.С."/>
    <s v=""/>
    <s v="Договорный документ"/>
    <s v="Управление сейсморазведочных работ"/>
    <s v="Аксенов М.А."/>
    <s v="ЭП"/>
    <s v="До исполнения обязательств"/>
    <d v="2023-12-25T00:00:00"/>
    <s v=""/>
    <s v=""/>
    <s v="Супервайзерские услуги полевых работ площадными геофизическими методами"/>
    <s v="Расходная часть"/>
    <s v="Стоимостной"/>
    <s v="20%"/>
    <s v=""/>
    <s v=""/>
    <s v="2 680 716.00"/>
    <s v="2 233 930.00"/>
    <s v="446 786.00"/>
    <s v="нет"/>
    <s v="нет"/>
    <s v=""/>
    <s v=""/>
    <s v=""/>
    <s v=""/>
    <s v="нет"/>
  </r>
  <r>
    <s v="Газпромнефть-ГЕО, ООО"/>
    <s v="0000105643"/>
    <s v="Зарегистрирован"/>
    <d v="2022-09-19T00:00:00"/>
    <s v=""/>
    <x v="25"/>
    <s v="7717693190"/>
    <s v=""/>
    <s v="ГЕО-22/26000/00223"/>
    <s v="ГЕО-22/26000/00223"/>
    <s v="Типовой ДД"/>
    <x v="1"/>
    <s v="26000 Соглашение о конфиденциальности с российским контрагентом"/>
    <s v="00806-22"/>
    <s v=""/>
    <s v="26000 Соглашение о конфиденциальности с российским контрагентом"/>
    <s v="в целях обеспечения неразглашения информации, составляющей коммерческую тайну и иной конфиденциальной информации при оказании услуг по Договору"/>
    <s v="Коваленко М.В."/>
    <s v="Николаев В.А."/>
    <s v="Договорный документ"/>
    <s v="Блок геологии и разработки"/>
    <s v="Созинов С.А."/>
    <s v="ЭП"/>
    <s v="Без сроков "/>
    <d v="2022-09-19T00:00:00"/>
    <s v=""/>
    <s v="Д-60"/>
    <s v="Соглашение о конфиденциальности"/>
    <s v="Не предполагает взаиморасчетов"/>
    <s v=""/>
    <s v=""/>
    <s v=""/>
    <s v=""/>
    <s v=""/>
    <s v=""/>
    <s v=""/>
    <s v="нет"/>
    <s v="нет"/>
    <s v=""/>
    <s v=""/>
    <s v=""/>
    <s v=""/>
    <s v="нет"/>
  </r>
  <r>
    <s v="Газпромнефть-ГЕО, ООО"/>
    <s v="0000047108"/>
    <s v="Зарегистрирован"/>
    <d v="2023-12-25T00:00:00"/>
    <s v=""/>
    <x v="19"/>
    <s v="3245502148"/>
    <s v="ГЕО-20/09000/00182/Д"/>
    <s v=""/>
    <s v="7"/>
    <s v="Нетиповой ДД"/>
    <x v="0"/>
    <s v=""/>
    <s v="00806-23"/>
    <s v=""/>
    <s v="ДС №7 к к Операторскому соглашению  № ГЕО-20/09000/00182/Д / АБ-20/09000/00005/Р от 23.11.2020 г."/>
    <s v="Актуализация программы работ на 2024 год"/>
    <s v="Андреева И.В."/>
    <s v="Андреева И.В."/>
    <s v="Договорный документ"/>
    <s v="Кластер &quot;Традиционные запасы&quot;"/>
    <s v="Аксенов М.А."/>
    <s v="На бумажном носителе"/>
    <s v="До исполнения обязательств"/>
    <d v="2024-01-01T00:00:00"/>
    <s v=""/>
    <s v="Д-54"/>
    <s v="Договор возмездного оказания услуг"/>
    <s v="Доходная часть"/>
    <s v="Стоимостной"/>
    <s v="20%"/>
    <s v=""/>
    <s v=""/>
    <s v="2 285 438 611.18"/>
    <s v="1 904 532 175.98"/>
    <s v="380 906 435.20"/>
    <s v="нет"/>
    <s v="нет"/>
    <s v=""/>
    <s v=""/>
    <s v=""/>
    <s v=""/>
    <s v="нет"/>
  </r>
  <r>
    <s v="Газпромнефть-ГЕО, ООО"/>
    <s v="0000062082"/>
    <s v="Зарегистрирован"/>
    <d v="2022-09-15T00:00:00"/>
    <s v=""/>
    <x v="122"/>
    <s v="7704627560"/>
    <s v="ГЕО-19/10201/00155/Р"/>
    <s v=""/>
    <s v="7"/>
    <s v="Нетиповой ДД"/>
    <x v="0"/>
    <s v=""/>
    <s v="00807-22"/>
    <s v=""/>
    <s v="Соглашение об урегулировании взаимных претензионных требований"/>
    <s v=" Соглашение об урегулировании взаимных претензионных требований в рамках исполнения договора №ГЕО-19/10201/00155/Р  от 11.07.2019г.  с АО &quot;Инвестгеосервис&quot; на выполнение комплекса работ по строительству поисково-оценочных скважин на Лескинском ЛУ"/>
    <s v="Кулагина А.А."/>
    <s v="Цветков Дмитрий Валентинович - Директор по правовым вопросам"/>
    <s v="Договорный документ"/>
    <s v="Газпромнефть-ГЕО, ООО"/>
    <s v="Масалкин Ю.В."/>
    <s v="На бумажном носителе"/>
    <s v="До исполнения обязательств"/>
    <d v="2022-09-15T00:00:00"/>
    <s v=""/>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9191"/>
    <s v="Зарегистрирован"/>
    <d v="2023-12-28T00:00:00"/>
    <s v=""/>
    <x v="0"/>
    <s v="7729058675"/>
    <s v="ГЕО-23/09000/00104/Р"/>
    <s v=""/>
    <s v="1"/>
    <s v="Нетиповой ДД"/>
    <x v="0"/>
    <s v=""/>
    <s v="00807-23"/>
    <s v=""/>
    <s v="Дополнительное соглашение №1 к договору № ГЕО -23/09000/00104/Р от 30 июня 2023"/>
    <s v="Изменение порядка приемки работ и сроков выполнения работ без изменения стоимости или объемов услуг. "/>
    <s v="Попов В.А."/>
    <s v="Попов В.А."/>
    <s v="Договорный документ"/>
    <s v="Блок геологии и разработки"/>
    <s v="Аксенов М.А."/>
    <s v="На бумажном носителе"/>
    <s v="До исполнения обязательств"/>
    <d v="2023-12-28T00:00:00"/>
    <s v=""/>
    <s v="Д-54"/>
    <s v="Договор возмездного оказания услуг"/>
    <s v="Расходная часть"/>
    <s v="Стоимостной"/>
    <s v="20%"/>
    <s v=""/>
    <s v=""/>
    <s v="17 040 000.00"/>
    <s v="14 200 000.00"/>
    <s v="2 840 000.00"/>
    <s v="нет"/>
    <s v="нет"/>
    <s v=""/>
    <s v=""/>
    <s v=""/>
    <s v=""/>
    <s v="нет"/>
  </r>
  <r>
    <s v="Газпромнефть-ГЕО, ООО"/>
    <s v="0000087378"/>
    <s v="Зарегистрирован"/>
    <d v="2022-09-12T00:00:00"/>
    <s v=""/>
    <x v="97"/>
    <s v="7204203139"/>
    <s v="ГЕО-19/10156/00057/Р "/>
    <s v=""/>
    <s v="6/22-057"/>
    <s v="Нетиповой ДД"/>
    <x v="3"/>
    <s v=""/>
    <s v="00808-22"/>
    <s v=""/>
    <s v="Заказ №6/22-057"/>
    <s v="Геомеханические исследования керна скважины 178 Лескинского ЛУ"/>
    <s v="Ябиров Р.З."/>
    <s v="Ябиров Р.З."/>
    <s v="Договорный документ"/>
    <s v="Блок геологии и разработки"/>
    <s v="Аксенов М.А."/>
    <s v="На бумажном носителе"/>
    <s v="С ограничением по срокам "/>
    <d v="2022-09-12T00:00:00"/>
    <d v="2022-09-30T00:00:00"/>
    <s v="Д-54"/>
    <s v="Договор на выполнение НИР, ОКР и технологических работ"/>
    <s v="Расходная часть"/>
    <s v="Рамочный"/>
    <s v="20%"/>
    <s v=""/>
    <s v=""/>
    <s v="2 395 813.12"/>
    <s v="1 996 510.93"/>
    <s v="399 302.19"/>
    <s v="нет"/>
    <s v="нет"/>
    <s v=""/>
    <s v=""/>
    <s v=""/>
    <s v=""/>
    <s v="нет"/>
  </r>
  <r>
    <s v="Газпромнефть-ГЕО, ООО"/>
    <s v="0000081360"/>
    <s v="Зарегистрирован"/>
    <d v="2023-12-25T00:00:00"/>
    <s v=""/>
    <x v="179"/>
    <s v="3905605417"/>
    <s v="ГЕО-22/09000/00093/Р"/>
    <s v=""/>
    <s v="5"/>
    <s v="Нетиповой ДД"/>
    <x v="0"/>
    <s v=""/>
    <s v="00808-23"/>
    <s v=""/>
    <s v="ДОПОЛНИТЕЛЬНОЕ СОГЛАШЕНИЕ 5 к Договору на оказание услуг № ГЕО-22/09000/00093/Р от 02.05.2022 г."/>
    <s v="Перевод негарантированного объема услуг 2024-2025 г.  в гарантированный и негарантированный объем услуг 2023 г , без изменения  общей стоимости и срока действия договора."/>
    <s v="Лейман Д.Д."/>
    <s v="Лейман Д.Д."/>
    <s v="Договорный документ"/>
    <s v="Управление по работе с персоналом"/>
    <s v="Игнатова Ю.В."/>
    <s v="ЭП"/>
    <s v="С ограничением по срокам "/>
    <d v="2023-12-25T00:00:00"/>
    <d v="2025-04-30T00:00:00"/>
    <s v="Д-66"/>
    <s v="Договор возмездного оказания услуг"/>
    <s v="Расходная часть"/>
    <s v="Стоимостной"/>
    <s v="без НДС"/>
    <s v=""/>
    <s v=""/>
    <s v="24 400 000.00"/>
    <s v="24 400 000.00"/>
    <n v="0"/>
    <s v="нет"/>
    <s v="нет"/>
    <s v=""/>
    <s v=""/>
    <s v=""/>
    <s v=""/>
    <s v="нет"/>
  </r>
  <r>
    <s v="Газпромнефть-ГЕО, ООО"/>
    <s v="0000087378"/>
    <s v="Зарегистрирован"/>
    <d v="2022-09-07T00:00:00"/>
    <s v=""/>
    <x v="97"/>
    <s v="7204203139"/>
    <s v="ГЕО-19/10156/00057/Р "/>
    <s v=""/>
    <s v="9/22-057"/>
    <s v="Нетиповой ДД"/>
    <x v="3"/>
    <s v=""/>
    <s v="00809-22"/>
    <s v=""/>
    <s v="Заказ №9/22-057"/>
    <s v="Тестирование технологических жидкостей для проведения ГРП на Ямбургском м/р"/>
    <s v="Ябиров Р.З."/>
    <s v="Ябиров Р.З."/>
    <s v="Договорный документ"/>
    <s v="Блок геологии и разработки"/>
    <s v="Аксенов М.А."/>
    <s v="На бумажном носителе"/>
    <s v="С ограничением по срокам "/>
    <d v="2022-09-07T00:00:00"/>
    <d v="2022-12-30T00:00:00"/>
    <s v="Д-54"/>
    <s v="Договор на выполнение НИР, ОКР и технологических работ"/>
    <s v="Расходная часть"/>
    <s v="Рамочный"/>
    <s v="20%"/>
    <s v=""/>
    <s v=""/>
    <s v="3 119 525.14"/>
    <s v="2 599 604.28"/>
    <s v="519 920.86"/>
    <s v="нет"/>
    <s v="нет"/>
    <s v=""/>
    <s v=""/>
    <s v=""/>
    <s v=""/>
    <s v="нет"/>
  </r>
  <r>
    <s v="Газпромнефть-ГЕО, ООО"/>
    <s v="0000085689"/>
    <s v="Зарегистрирован"/>
    <d v="2023-12-25T00:00:00"/>
    <s v=""/>
    <x v="15"/>
    <s v="3808219470"/>
    <s v=""/>
    <s v="ГЕО-23/33100/00228"/>
    <s v="ГЕО-23/33100/00228"/>
    <s v="Типовой ДД"/>
    <x v="1"/>
    <s v="33100 Соглашение в области производственной безопасности"/>
    <s v="00809-23"/>
    <s v=""/>
    <s v="33100 Соглашение в области производственной безопасности"/>
    <s v="Соблюдение требований ПБ на объектах ООО &quot;ГПН-ГЕО&quot; "/>
    <s v="Безруков А.А."/>
    <s v="Гулин В.Д."/>
    <s v="Договорный документ"/>
    <s v="Блок производственной безопасности"/>
    <s v="Ядрышников П.Н."/>
    <s v="ЭП"/>
    <s v="С ограничением по срокам "/>
    <d v="2023-12-25T00:00:00"/>
    <d v="2025-12-31T00:00:00"/>
    <s v="Д-5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39295"/>
    <s v="Зарегистрирован"/>
    <d v="2020-10-28T00:00:00"/>
    <s v=""/>
    <x v="90"/>
    <s v="8618006063"/>
    <s v="ГЕО-20/00000/00-183/Д"/>
    <s v=""/>
    <s v="1"/>
    <s v="Нетиповой ДД"/>
    <x v="0"/>
    <s v=""/>
    <s v="00810-21"/>
    <s v=""/>
    <s v="ДС №1 на оказание услуг, связанных с реализацией задач в сфере управления проектом ЗИМА"/>
    <s v="Дополнительное соглашение №1  на оказание услуг, связанных с реализацией задач в сфере управления проектом по поиску, разведке и разработке перспективных участков Программы проектов «ЗИМА» на 2020-2028 гг._x000d__x000a_"/>
    <s v="Кошелева Ю.В."/>
    <s v="Кошелева Ю.В."/>
    <s v="Договорный документ"/>
    <s v="Управление экономического планирования и анализа"/>
    <s v="Масалкин Ю.В."/>
    <s v="На бумажном носителе"/>
    <s v="С ограничением по срокам "/>
    <d v="2021-10-28T00:00:00"/>
    <d v="2028-12-31T00:00:00"/>
    <s v=""/>
    <s v="ПРОЧИЕ ДОГОВОРЫ"/>
    <s v="Доходная часть"/>
    <s v="Стоимостной"/>
    <s v="20%"/>
    <s v=""/>
    <s v=""/>
    <s v="1 732 440 237.71"/>
    <s v="1 443 700 198.09"/>
    <s v="288 740 039.62"/>
    <s v="нет"/>
    <s v="нет"/>
    <s v=""/>
    <s v=""/>
    <s v=""/>
    <s v=""/>
    <s v="нет"/>
  </r>
  <r>
    <s v="Газпромнефть-ГЕО, ООО"/>
    <s v="0000040656"/>
    <s v="Зарегистрирован"/>
    <d v="2022-09-20T00:00:00"/>
    <s v=""/>
    <x v="288"/>
    <s v="0814118403"/>
    <s v=""/>
    <s v="ГЕО-22/35000/00231"/>
    <s v="ГЕО-22/35000/00231"/>
    <s v="Нетиповой ДД"/>
    <x v="1"/>
    <s v=""/>
    <s v="00810-22"/>
    <s v=""/>
    <s v="Соглашение СУДИР (АО &quot;ССК&quot;)"/>
    <s v="В рамках исполнения Приказа 65-П от 25.07.2022"/>
    <s v="Мормышев А.А."/>
    <s v="Дунаев Э.В."/>
    <s v="Договорный документ"/>
    <s v="Блок бурения и ВСР"/>
    <s v="Трифонов А.В."/>
    <s v="На бумажном носителе"/>
    <s v="Без сроков "/>
    <d v="2025-12-30T00:00:00"/>
    <s v=""/>
    <s v="Д-33"/>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63179"/>
    <s v="Зарегистрирован"/>
    <d v="2021-11-26T00:00:00"/>
    <s v=""/>
    <x v="54"/>
    <s v="7727747172"/>
    <s v="ГЕО-20/10986/00138/Р от 10.08.2020г."/>
    <s v=""/>
    <s v="11"/>
    <s v="Нетиповой ДД"/>
    <x v="3"/>
    <s v=""/>
    <s v="00811-21"/>
    <s v=""/>
    <s v="Задание № 11 к Договору № ГЕО-20/10986/00138/Р от 10.08.2020г. с компанией ООО «ОГК» "/>
    <s v="оказание супервайзерских услуг по контролю состояния производственной безопасности и безопасности дорожного движения в 2021-2022гг. для Проекта «Хамбатей»"/>
    <s v="Рябикина М.А."/>
    <s v="Анисимов А.Н."/>
    <s v="Договорный документ"/>
    <s v="Блок производственной безопасности"/>
    <s v="Власов М.М."/>
    <s v="На бумажном носителе"/>
    <s v="С ограничением по срокам "/>
    <d v="2021-11-24T00:00:00"/>
    <d v="2022-05-31T00:00:00"/>
    <s v="Д-30"/>
    <s v="Супервайзинг ПЭБ и ОТ"/>
    <s v="Расходная часть"/>
    <s v="Рамочный"/>
    <s v="20%"/>
    <s v=""/>
    <s v=""/>
    <s v="6 787 234.80"/>
    <s v="5 656 029.00"/>
    <s v="1 131 205.80"/>
    <s v="нет"/>
    <s v="нет"/>
    <s v=""/>
    <s v=""/>
    <s v=""/>
    <s v=""/>
    <s v="нет"/>
  </r>
  <r>
    <s v="Газпромнефть-ГЕО, ООО"/>
    <s v="0000073563"/>
    <s v="Зарегистрирован"/>
    <d v="2022-09-22T00:00:00"/>
    <s v=""/>
    <x v="120"/>
    <s v="8609322418"/>
    <s v=""/>
    <s v="ГЕО-22/35000/00228"/>
    <s v="ГЕО-22/35000/00228"/>
    <s v="Нетиповой ДД"/>
    <x v="1"/>
    <s v=""/>
    <s v="00811-22"/>
    <s v=""/>
    <s v="Соглашение СУДИР (ООО &quot;ГеоЛад-СТ&quot;)"/>
    <s v="В рамках исполнения Приказа 65-П от 25.07.2022"/>
    <s v="Яшкина К.Л."/>
    <s v="Яшкина К.Л."/>
    <s v="Договорный документ"/>
    <s v="Блок бурения и ВСР"/>
    <s v="Агеев П.А."/>
    <s v="ЭП"/>
    <s v="С ограничением по срокам "/>
    <d v="2022-09-22T00:00:00"/>
    <d v="2024-12-31T00:00:00"/>
    <s v="Д-52"/>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58271"/>
    <s v="Зарегистрирован"/>
    <d v="2023-12-20T00:00:00"/>
    <s v=""/>
    <x v="42"/>
    <s v="7725696878"/>
    <s v="ГЕО-19/11708/00133/Р от 25.06.2019"/>
    <s v=""/>
    <s v="28"/>
    <s v="Нетиповой ДД"/>
    <x v="3"/>
    <s v=""/>
    <s v="00811-23"/>
    <s v=""/>
    <s v="Заказ-Наряд №28 к договору №ГЕО-19/11708/00133/Р от 25.06.2019"/>
    <s v="Обработка сейсморазведочных данных Еты-пуровского, Валынтойского, Новогоднего ЛУ и Западно-Етыпуровского фланга"/>
    <s v="Коротков С.П."/>
    <s v=""/>
    <s v="Договорный документ"/>
    <s v="Управление по разработке"/>
    <s v="Аксенов М.А."/>
    <s v="ЭП"/>
    <s v="С ограничением по срокам "/>
    <d v="2023-12-20T00:00:00"/>
    <d v="2024-12-25T00:00:00"/>
    <s v="Д-54"/>
    <s v="НИОКР, НИР прочие"/>
    <s v="Расходная часть"/>
    <s v="Рамочный"/>
    <s v="20%"/>
    <s v=""/>
    <s v=""/>
    <s v="75 077 454.00"/>
    <s v="62 564 545.00"/>
    <s v="12 512 909.00"/>
    <s v="нет"/>
    <s v="нет"/>
    <s v=""/>
    <s v=""/>
    <s v=""/>
    <s v=""/>
    <s v="нет"/>
  </r>
  <r>
    <s v="Газпромнефть-ГЕО, ООО"/>
    <s v="0000067167"/>
    <s v="Зарегистрирован"/>
    <d v="2021-12-01T00:00:00"/>
    <s v=""/>
    <x v="145"/>
    <s v="7719520026"/>
    <s v="ГЕО-20/1101/00070/Р"/>
    <s v=""/>
    <s v="1 и 2"/>
    <s v="Нетиповой ДД"/>
    <x v="3"/>
    <s v=""/>
    <s v="00812-21"/>
    <s v=""/>
    <s v="Н-З №1 и №2 к  Договору №ГЕО-20/11014/00070/Р от 06.05. 2021 года"/>
    <s v="Заключения Наряд-заказа №1 и №2 по договору № ГЕО-20/11014/00070/Р от 06.05.2020 г. с ООО «Техно-Сервис»"/>
    <s v="Калугина С.Б."/>
    <s v=""/>
    <s v="Договорный документ"/>
    <s v="Департамент капитального строительства"/>
    <s v="Перфильев Д.А."/>
    <s v="На бумажном носителе"/>
    <s v="С ограничением по срокам "/>
    <d v="2021-12-01T00:00:00"/>
    <d v="2022-06-10T00:00:00"/>
    <s v="Д-22"/>
    <s v="Капитальное строительство и ПИР"/>
    <s v="Расходная часть"/>
    <s v="Стоимостной"/>
    <s v="20%"/>
    <s v=""/>
    <s v=""/>
    <s v="6 392 490.62"/>
    <s v="5 327 075.52"/>
    <s v="1 065 415.10"/>
    <s v="нет"/>
    <s v="нет"/>
    <s v=""/>
    <s v=""/>
    <s v=""/>
    <s v=""/>
    <s v="нет"/>
  </r>
  <r>
    <s v="Газпромнефть-ГЕО, ООО"/>
    <s v="0000087378"/>
    <s v="Зарегистрирован"/>
    <d v="2022-09-14T00:00:00"/>
    <s v=""/>
    <x v="97"/>
    <s v="7204203139"/>
    <s v="ГЕО-19/10156/00057/Р "/>
    <s v=""/>
    <s v="10/22-057"/>
    <s v="Нетиповой ДД"/>
    <x v="3"/>
    <s v=""/>
    <s v="00812-22"/>
    <s v=""/>
    <s v="Заказ №10/22-057 "/>
    <s v="Специальные исследования керна скважины 178 Лескинского ЛУ (влияние кислотных составов)"/>
    <s v="Ябиров Р.З."/>
    <s v=""/>
    <s v="Договорный документ"/>
    <s v="Блок геологии и разработки"/>
    <s v="Аксенов М.А."/>
    <s v="На бумажном носителе"/>
    <s v="С ограничением по срокам "/>
    <d v="2022-09-14T00:00:00"/>
    <d v="2022-12-30T00:00:00"/>
    <s v="Д-54"/>
    <s v="Договор на выполнение НИР, ОКР и технологических работ"/>
    <s v="Расходная часть"/>
    <s v="Рамочный"/>
    <s v="20%"/>
    <s v=""/>
    <s v=""/>
    <s v="759 938.75"/>
    <s v="633 282.29"/>
    <s v="126 656.46"/>
    <s v="нет"/>
    <s v="нет"/>
    <s v=""/>
    <s v=""/>
    <s v=""/>
    <s v=""/>
    <s v="нет"/>
  </r>
  <r>
    <s v="Газпромнефть-ГЕО, ООО"/>
    <s v="0000093917"/>
    <s v="Зарегистрирован"/>
    <d v="2023-12-29T00:00:00"/>
    <s v=""/>
    <x v="9"/>
    <s v="5609193118"/>
    <s v="ГЕО-23/09000/00041/Р"/>
    <s v=""/>
    <s v="6"/>
    <s v="Нетиповой ДД"/>
    <x v="8"/>
    <s v=""/>
    <s v="00812-23"/>
    <s v=""/>
    <s v="Наряд-заказ №6 к договору ГЕО-23/09000/00041/Р"/>
    <s v="Обеспечение безопасных условий труда для работников и соблюдению требований промышленной безопасности на объектах  с содержанием сероводорода в продукции на Западно-Рубежинском  лицензионном участке"/>
    <s v="Покатов О.Н."/>
    <s v=""/>
    <s v="Договорный документ"/>
    <s v="Управление производственной безопасности"/>
    <s v="Ядрышников П.Н."/>
    <s v="ЭП"/>
    <s v="До исполнения обязательств"/>
    <d v="2023-12-29T00:00:00"/>
    <s v=""/>
    <s v="Д-51"/>
    <s v="Договор возмездного оказания услуг"/>
    <s v="Расходная часть"/>
    <s v="Стоимостной"/>
    <s v="20%"/>
    <s v=""/>
    <s v=""/>
    <s v="42 112 190.40"/>
    <s v="35 093 492.00"/>
    <s v="7 018 698.40"/>
    <s v="нет"/>
    <s v="нет"/>
    <s v=""/>
    <s v=""/>
    <s v=""/>
    <s v=""/>
    <s v="нет"/>
  </r>
  <r>
    <s v="Газпромнефть-ГЕО, ООО"/>
    <s v="0000062928"/>
    <s v="Зарегистрирован"/>
    <d v="2021-11-29T00:00:00"/>
    <s v=""/>
    <x v="136"/>
    <s v="7701645627"/>
    <s v="00642"/>
    <s v=""/>
    <s v="3"/>
    <s v="Типовой ДД"/>
    <x v="0"/>
    <s v="00000 ДС на изменение реквизитов контрагента (адрес, счет)"/>
    <s v="00813-21"/>
    <s v=""/>
    <s v="00000 ДС на изменение реквизитов контрагента (адрес, счет)"/>
    <s v="Изменение банковских реквизитов контрагента "/>
    <s v="Федоров А.Г."/>
    <s v=""/>
    <s v="Договорный документ"/>
    <s v="Управление маркшейдерско-землеустроительных работ"/>
    <s v="Перфильев Д.А."/>
    <s v="На бумажном носителе"/>
    <s v="С ограничением по срокам "/>
    <d v="2021-11-29T00:00:00"/>
    <d v="2023-12-31T00:00:00"/>
    <s v="Д-22"/>
    <s v="Договор возмездного оказания услуг"/>
    <s v="Не предполагает взаиморасчетов"/>
    <s v=""/>
    <s v=""/>
    <s v=""/>
    <s v=""/>
    <s v=""/>
    <s v=""/>
    <s v=""/>
    <s v="нет"/>
    <s v="нет"/>
    <s v=""/>
    <s v=""/>
    <s v=""/>
    <s v=""/>
    <s v="нет"/>
  </r>
  <r>
    <s v="Газпромнефть-ГЕО, ООО"/>
    <s v="0000111687"/>
    <s v="Зарегистрирован"/>
    <d v="2023-12-04T00:00:00"/>
    <s v=""/>
    <x v="293"/>
    <s v="5639006421"/>
    <s v=""/>
    <s v="ГЕО-23/04300/00233/Р"/>
    <s v="ГЕО-23/04300/00233/Р"/>
    <s v="Нетиповой ДД"/>
    <x v="1"/>
    <s v=""/>
    <s v="00813-23"/>
    <s v=""/>
    <s v="Соглашение об установлении сервитута в отношении части земельного участка"/>
    <s v="Установление права ограниченного пользования в отношении части земельного участка._x000a_Право ограниченного пользования частью земельного участка включает в себя: право беспрепятственно осуществлять проход, проезд"/>
    <s v="Сазонова А.С."/>
    <s v="Сазонова А.С."/>
    <s v="Договорный документ"/>
    <s v="Управление маркшейдерско-землеустроительных работ"/>
    <s v="Трифонов А.В."/>
    <s v="На бумажном носителе"/>
    <s v="С ограничением по срокам "/>
    <d v="2023-12-04T00:00:00"/>
    <d v="2026-11-03T00:00:00"/>
    <s v="Д-33"/>
    <s v="Договор аренды недвижимости"/>
    <s v="Расходная часть"/>
    <s v="Стоимостной"/>
    <s v="20%"/>
    <s v=""/>
    <s v=""/>
    <n v="8.89"/>
    <n v="7.41"/>
    <n v="1.48"/>
    <s v="нет"/>
    <s v="нет"/>
    <s v=""/>
    <s v=""/>
    <s v=""/>
    <s v=""/>
    <s v="нет"/>
  </r>
  <r>
    <s v="Газпромнефть-ГЕО, ООО"/>
    <s v="0000025072"/>
    <s v="Зарегистрирован"/>
    <d v="2021-11-25T00:00:00"/>
    <s v=""/>
    <x v="303"/>
    <s v="7713080756"/>
    <s v="ГЕО-21/101108/00194/Р "/>
    <s v=""/>
    <s v="1"/>
    <s v="Нетиповой ДД"/>
    <x v="0"/>
    <s v=""/>
    <s v="00814-21"/>
    <s v=""/>
    <s v="Дополнительное соглашение №1"/>
    <s v="Перевод негарантированный объём в гарантированный"/>
    <s v="Ябиров Р.З."/>
    <s v="Ябиров Р.З."/>
    <s v="Договорный документ"/>
    <s v="Блок геологии и разработки"/>
    <s v="Аксенов М.А."/>
    <s v="На бумажном носителе"/>
    <s v="С ограничением по срокам "/>
    <d v="2021-11-25T00:00:00"/>
    <d v="2024-12-31T00:00:00"/>
    <s v="Д-3"/>
    <s v="Договор о совместной научной и научно-технической деятельности"/>
    <s v="Расходная часть"/>
    <s v="Рамочный"/>
    <s v="20%"/>
    <s v=""/>
    <s v=""/>
    <s v="4 356 833.75"/>
    <s v="3 630 694.79"/>
    <s v="726 138.96"/>
    <s v="нет"/>
    <s v="нет"/>
    <s v=""/>
    <s v=""/>
    <s v=""/>
    <s v=""/>
    <s v="нет"/>
  </r>
  <r>
    <s v="Газпромнефть-ГЕО, ООО"/>
    <s v="0000025354"/>
    <s v="Зарегистрирован"/>
    <d v="2023-12-21T00:00:00"/>
    <s v=""/>
    <x v="111"/>
    <s v="5003026493"/>
    <s v="АНГ-18/10204/00243/Р"/>
    <s v=""/>
    <s v="3"/>
    <s v="Нетиповой ДД"/>
    <x v="0"/>
    <s v=""/>
    <s v="00814-23"/>
    <s v=""/>
    <s v="Дополнительное соглашение №3 к Договору № АНГ-18/10204/00243/Р от 19 ноября 2018 г."/>
    <s v="Продление срока выполнения работ и срока действия договора по 31.12.2024г."/>
    <s v="Мячина М.В."/>
    <s v="Мячина М.В."/>
    <s v="Договорный документ"/>
    <s v="Отдел подготовительных работ и экономического анализа"/>
    <s v="Трифонов А.В."/>
    <s v="На бумажном носителе"/>
    <s v="С ограничением по срокам "/>
    <d v="2018-11-19T00:00:00"/>
    <d v="2024-12-31T00:00:00"/>
    <s v="Д-33"/>
    <s v="Договор подряда"/>
    <s v="Не предполагает взаиморасчетов"/>
    <s v=""/>
    <s v=""/>
    <s v=""/>
    <s v=""/>
    <s v=""/>
    <s v=""/>
    <s v=""/>
    <s v="нет"/>
    <s v="нет"/>
    <s v=""/>
    <s v=""/>
    <s v=""/>
    <s v=""/>
    <s v="нет"/>
  </r>
  <r>
    <s v="Газпромнефть-ГЕО, ООО"/>
    <s v="0000080408"/>
    <s v="Зарегистрирован"/>
    <d v="2023-12-30T00:00:00"/>
    <s v=""/>
    <x v="104"/>
    <s v="3812043780"/>
    <s v="ГЕО-22/11029/00172/Р"/>
    <s v=""/>
    <s v="1"/>
    <s v="Нетиповой ДД"/>
    <x v="4"/>
    <s v=""/>
    <s v="00815-23"/>
    <s v="5"/>
    <s v="Изм№1 к НЗ№5 ...172 СТС,ООО к ДД №ГЕО-22/11029/00172/Р от 25.07.2022 (Камовская площадка)"/>
    <s v="изменения №1 к Наряд-заказу №5 к Договору №ГЕО-22/11029/00172/Р от 25.07.2022  – «Выполнение работ по инженерной подготовке площадки и проездов к геологоразведочной скважине КМ-4 Оморинского лицензионного участка»"/>
    <s v="Мормышев А.А."/>
    <s v="Судаков В.Е."/>
    <s v="Договорный документ"/>
    <s v="Блок главного инженера"/>
    <s v="Трифонов А.В."/>
    <s v="ЭП"/>
    <s v="До исполнения обязательств"/>
    <d v="2023-12-30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60 612 915.82"/>
    <s v="133 844 096.52"/>
    <s v="26 768 819.30"/>
    <s v="нет"/>
    <s v="нет"/>
    <s v=""/>
    <s v=""/>
    <s v=""/>
    <s v=""/>
    <s v="нет"/>
  </r>
  <r>
    <s v="Газпромнефть-ГЕО, ООО"/>
    <s v="0000025072"/>
    <s v="Зарегистрирован"/>
    <d v="2021-11-22T00:00:00"/>
    <s v=""/>
    <x v="303"/>
    <s v="7713080756"/>
    <s v="ГЕО-21/101108/00194/Р "/>
    <s v=""/>
    <s v="2"/>
    <s v="Нетиповой ДД"/>
    <x v="3"/>
    <s v=""/>
    <s v="00816-21"/>
    <s v=""/>
    <s v="Наряд-Заказ"/>
    <s v="Лабораторные исследования вытеснения нефти газом на модели тонкой трубки («slim tube»)"/>
    <s v="Ябиров Р.З."/>
    <s v="Ябиров Р.З."/>
    <s v="Договорный документ"/>
    <s v="Блок геологии и разработки"/>
    <s v="Аксенов М.А."/>
    <s v="На бумажном носителе"/>
    <s v="С ограничением по срокам "/>
    <d v="2021-11-22T00:00:00"/>
    <d v="2021-12-31T00:00:00"/>
    <s v="Д-3"/>
    <s v="Договор на выполнение НИР, ОКР и технологических работ"/>
    <s v="Расходная часть"/>
    <s v="Рамочный"/>
    <s v="20%"/>
    <s v=""/>
    <s v=""/>
    <s v="4 356 833.75"/>
    <s v="3 630 694.79"/>
    <s v="726 138.96"/>
    <s v="нет"/>
    <s v="нет"/>
    <s v=""/>
    <s v=""/>
    <s v=""/>
    <s v=""/>
    <s v="нет"/>
  </r>
  <r>
    <s v="Газпромнефть-ГЕО, ООО"/>
    <s v="0000084973"/>
    <s v="Зарегистрирован"/>
    <d v="2022-09-21T00:00:00"/>
    <s v=""/>
    <x v="205"/>
    <s v="8601066868"/>
    <s v="ГЕО-22/24000/00085"/>
    <s v=""/>
    <s v="1"/>
    <s v="Нетиповой ДД"/>
    <x v="0"/>
    <s v=""/>
    <s v="00816-22"/>
    <s v=""/>
    <s v="Дополнительное соглашение № 1 к Соглашению о предоставлении демо версии Кибер ГРП № ГЕО-22/24000/00085 / №ГТП-22/24000/00117 от 04.05.2022г."/>
    <s v="Продление пользованием бемо-версией на 2 месяца"/>
    <s v="Рымаренко А.А."/>
    <s v="Рымаренко А.А."/>
    <s v="Договорный документ"/>
    <s v="Управление внутрискважинных работ"/>
    <s v="Трифонов А.В."/>
    <s v="На бумажном носителе"/>
    <s v="С ограничением по срокам "/>
    <d v="2022-09-21T00:00:00"/>
    <d v="2022-11-21T00:00:00"/>
    <s v="Д-33"/>
    <s v="Лицензионный договор"/>
    <s v="Не предполагает взаиморасчетов"/>
    <s v=""/>
    <s v=""/>
    <s v=""/>
    <s v=""/>
    <s v=""/>
    <s v=""/>
    <s v=""/>
    <s v="нет"/>
    <s v="нет"/>
    <s v=""/>
    <s v=""/>
    <s v=""/>
    <s v=""/>
    <s v="нет"/>
  </r>
  <r>
    <s v="Газпромнефть-ГЕО, ООО"/>
    <s v="0000062421"/>
    <s v="Зарегистрирован"/>
    <d v="2023-12-28T00:00:00"/>
    <s v=""/>
    <x v="245"/>
    <s v="6924010964"/>
    <s v="ГЕО-22/11104/00265/Р"/>
    <s v=""/>
    <s v="3"/>
    <s v="Нетиповой ДД"/>
    <x v="0"/>
    <s v=""/>
    <s v="00816-23"/>
    <s v=""/>
    <s v="ДС №3. Конверс Авиа к договору №ГЕО-22/11104/00265/Р от 15.10.2022."/>
    <s v="ДС №3. из НГО в ГО 2024г."/>
    <s v="Мормышев А.А."/>
    <s v="Бабиков Н.В."/>
    <s v="Договорный документ"/>
    <s v="Блок снабжения и закупок"/>
    <s v="Титов А.В."/>
    <s v="ЭП"/>
    <s v="До исполнения обязательств"/>
    <d v="2023-12-28T00:00:00"/>
    <s v=""/>
    <s v="Д-56"/>
    <s v="Авиационное обслуживание (вертолеты)"/>
    <s v="Расходная часть"/>
    <s v="Стоимостной"/>
    <s v="20%"/>
    <s v=""/>
    <s v=""/>
    <s v="116 151 369.60"/>
    <s v="96 792 808.00"/>
    <s v="19 358 561.60"/>
    <s v="нет"/>
    <s v="нет"/>
    <s v=""/>
    <s v=""/>
    <s v=""/>
    <s v=""/>
    <s v="нет"/>
  </r>
  <r>
    <s v="Газпромнефть-ГЕО, ООО"/>
    <s v="0000098088"/>
    <s v="Зарегистрирован"/>
    <d v="2022-09-19T00:00:00"/>
    <s v=""/>
    <x v="217"/>
    <s v="3015092176"/>
    <s v=""/>
    <s v="ГЕО-22/35000/00240"/>
    <s v="ГЕО-22/35000/00240"/>
    <s v="Нетиповой ДД"/>
    <x v="1"/>
    <s v=""/>
    <s v="00817-22"/>
    <s v=""/>
    <s v="Соглашение СУДИР"/>
    <s v="Соглашение СУДИР"/>
    <s v="Конюх М.В."/>
    <s v="Конюх М.В."/>
    <s v="Договорный документ"/>
    <s v="Управление внутрискважинных работ"/>
    <s v="Созинов С.А."/>
    <s v="ЭП"/>
    <s v="С ограничением по срокам "/>
    <d v="2022-09-19T00:00:00"/>
    <d v="2025-12-31T00:00:00"/>
    <s v="Д-60"/>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63179"/>
    <s v="Зарегистрирован"/>
    <d v="2023-12-28T00:00:00"/>
    <s v=""/>
    <x v="54"/>
    <s v="7727747172"/>
    <s v="ГЕО-20/10986/00138/Р от 10.08.2020г. "/>
    <s v=""/>
    <s v="45"/>
    <s v="Нетиповой ДД"/>
    <x v="8"/>
    <s v=""/>
    <s v="00817-23"/>
    <s v=""/>
    <s v="Задание № 45 к Договору № ГЕО-20/10986/00138/Р от 10.08.2020 г."/>
    <s v="Услуги для ООО &quot;СПД&quot;._x000a_Место оказания Услуг: Уральский федеральный округ (ХМАО, Верхнесалымский ЛУ)."/>
    <s v="Мормышев А.А."/>
    <s v="Анисимов А.Н."/>
    <s v="Договорный документ"/>
    <s v="Блок производственной безопасности"/>
    <s v="Ядрышников П.Н."/>
    <s v="ЭП"/>
    <s v="До исполнения обязательств"/>
    <d v="2024-01-15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 396 182.80"/>
    <s v="1 996 819.00"/>
    <s v="399 363.80"/>
    <s v="нет"/>
    <s v="нет"/>
    <s v=""/>
    <s v=""/>
    <s v=""/>
    <s v=""/>
    <s v="нет"/>
  </r>
  <r>
    <s v="Газпромнефть-ГЕО, ООО"/>
    <s v="0000063179"/>
    <s v="Зарегистрирован"/>
    <d v="2023-12-28T00:00:00"/>
    <s v=""/>
    <x v="54"/>
    <s v="7727747172"/>
    <s v="ГЕО-20/10986/00138/Р от 10.08.2020г. "/>
    <s v=""/>
    <s v="46"/>
    <s v="Нетиповой ДД"/>
    <x v="8"/>
    <s v=""/>
    <s v="00818-23"/>
    <s v=""/>
    <s v="Задание № 46 к Договору № ГЕО-20/10986/00138/Р от 10.08.2020 г."/>
    <s v="Услуги для ПАО «СН-МНГ»._x000a_Место оказания Услуг: Уральский федеральный округ (Западно-Усть-Балыкская площадь)."/>
    <s v="Мормышев А.А."/>
    <s v="Анисимов А.Н."/>
    <s v="Договорный документ"/>
    <s v="Блок производственной безопасности"/>
    <s v="Ядрышников П.Н."/>
    <s v="ЭП"/>
    <s v="До исполнения обязательств"/>
    <d v="2024-01-05T00:00:00"/>
    <s v=""/>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 854 147.20"/>
    <s v="4 878 456.00"/>
    <s v="975 691.20"/>
    <s v="нет"/>
    <s v="нет"/>
    <s v=""/>
    <s v=""/>
    <s v=""/>
    <s v=""/>
    <s v="нет"/>
  </r>
  <r>
    <s v="Газпромнефть-ГЕО, ООО"/>
    <s v="0000084033"/>
    <s v="Зарегистрирован"/>
    <d v="2021-11-29T00:00:00"/>
    <s v=""/>
    <x v="420"/>
    <s v="8903008982"/>
    <s v="ГEO-21/11518/00246/P"/>
    <s v=""/>
    <s v="1"/>
    <s v="Типовой ДД"/>
    <x v="0"/>
    <s v="00000 ДС на изменение реквизитов контрагента (адрес, счет)"/>
    <s v="00819-21"/>
    <s v=""/>
    <s v="00000 ДС на изменение реквизитов контрагента (адрес, счет)"/>
    <s v=" изменение реквизитов контрагента (адрес, счет)"/>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1-11-29T00:00:00"/>
    <d v="2045-02-16T00:00:00"/>
    <s v="Д-22"/>
    <s v="Договор возмездного оказания услуг"/>
    <s v="Не предполагает взаиморасчетов"/>
    <s v=""/>
    <s v=""/>
    <s v=""/>
    <s v=""/>
    <s v=""/>
    <s v=""/>
    <s v=""/>
    <s v="нет"/>
    <s v="нет"/>
    <s v=""/>
    <s v=""/>
    <s v=""/>
    <s v=""/>
    <s v="нет"/>
  </r>
  <r>
    <s v="Газпромнефть-ГЕО, ООО"/>
    <s v="0000045789"/>
    <s v="Зарегистрирован"/>
    <d v="2021-11-26T00:00:00"/>
    <s v=""/>
    <x v="16"/>
    <s v="7838395487"/>
    <s v="ГЕО-19/09000/00045/Р "/>
    <s v=""/>
    <s v="НТЦ-02915-21Д         "/>
    <s v="Нетиповой ДД"/>
    <x v="3"/>
    <s v=""/>
    <s v="00820-21"/>
    <s v=""/>
    <s v="Заказ № НТЦ-02915-21Д         "/>
    <s v="Информационно-консультационные услуги в формате вебинара по теме: _x000d__x000a_«Обучение практическим навыкам работы в ПО Landmark (Compass, WellPlan)», Ефремов А.С., 06.12.2021-10.12.2021_x000d__x000a_"/>
    <s v="Курашко М.В."/>
    <s v="Курашко М.В."/>
    <s v="Договорный документ"/>
    <s v="Управление по работе с персоналом"/>
    <s v="Масалкин Ю.В."/>
    <s v="На бумажном носителе"/>
    <s v="До исполнения обязательств"/>
    <d v="2021-12-06T00:00:00"/>
    <s v=""/>
    <s v=""/>
    <s v="Договор на обучение (тренинги, семинары и проч.)"/>
    <s v="Расходная часть"/>
    <s v="Рамочный"/>
    <s v="20%"/>
    <s v=""/>
    <s v=""/>
    <s v="82 800.00"/>
    <s v="69 000.00"/>
    <s v="13 800.00"/>
    <s v="нет"/>
    <s v="нет"/>
    <s v=""/>
    <s v=""/>
    <s v=""/>
    <s v=""/>
    <s v="нет"/>
  </r>
  <r>
    <s v="Газпромнефть-ГЕО, ООО"/>
    <s v="0000039514, 0000068695"/>
    <s v="Зарегистрирован"/>
    <d v="2022-08-30T00:00:00"/>
    <s v=""/>
    <x v="456"/>
    <s v="9909004922, 1106013435"/>
    <s v="ГЕО-21/10306/00256/Р"/>
    <s v=""/>
    <s v="1"/>
    <s v="Нетиповой ДД"/>
    <x v="0"/>
    <s v=""/>
    <s v="00820-22"/>
    <s v="1"/>
    <s v="Дополнительное соглашение № 1 к соглашению о перемене лица в обязательстве от 15.05.2022г."/>
    <s v="Уточнение некоторых условий соглашения"/>
    <s v="Мячина М.В."/>
    <s v="Мячина М.В."/>
    <s v="Договорный документ"/>
    <s v="Отдел подготовительных работ и экономического анализа"/>
    <s v="Трифонов А.В."/>
    <s v="На бумажном носителе"/>
    <s v="До исполнения обязательств"/>
    <d v="2021-10-26T00:00:00"/>
    <s v=""/>
    <s v="Д-33"/>
    <s v="Цементирование обсадных колонн и хвостовиков, установка цементных мостов"/>
    <s v="Не предполагает взаиморасчетов"/>
    <s v="Стоимостной"/>
    <s v=""/>
    <s v=""/>
    <s v=""/>
    <s v=""/>
    <s v=""/>
    <s v=""/>
    <s v="нет"/>
    <s v="нет"/>
    <s v=""/>
    <s v=""/>
    <s v=""/>
    <s v=""/>
    <s v="нет"/>
  </r>
  <r>
    <s v="Газпромнефть-ГЕО, ООО"/>
    <s v="0000073438"/>
    <s v="Зарегистрирован"/>
    <d v="2023-12-28T00:00:00"/>
    <s v=""/>
    <x v="68"/>
    <s v="7720330291"/>
    <s v="ГЕО-21/08000/00296/Р"/>
    <s v=""/>
    <s v="10"/>
    <s v="Нетиповой ДД"/>
    <x v="0"/>
    <s v=""/>
    <s v="00820-23"/>
    <s v=""/>
    <s v="ДС №10 ВНИГНИ № ГЕО-21/08000/00296/Р от 28.12.2021"/>
    <s v="Перераспределение объемов. Уменьшение стоимости Договора."/>
    <s v="Мормышев А.А."/>
    <s v="Мустафин И.Р."/>
    <s v="Договорный документ"/>
    <s v="Блок геологии и разработки"/>
    <s v="Аксенов М.А."/>
    <s v="ЭП"/>
    <s v="До исполнения обязательств"/>
    <d v="2023-12-28T00:00:00"/>
    <s v=""/>
    <s v="Д-58"/>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84033"/>
    <s v="Зарегистрирован"/>
    <d v="2021-11-29T00:00:00"/>
    <s v=""/>
    <x v="420"/>
    <s v="8903008982"/>
    <s v="ГEO-21/11518/00247/P"/>
    <s v=""/>
    <s v="1"/>
    <s v="Типовой ДД"/>
    <x v="0"/>
    <s v="00000 ДС на изменение реквизитов контрагента (адрес, счет)"/>
    <s v="00821-21"/>
    <s v=""/>
    <s v="00000 ДС на изменение реквизитов контрагента (адрес, счет)"/>
    <s v=" изменение реквизитов контрагента (адрес, счет)"/>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1-11-29T00:00:00"/>
    <d v="2045-02-16T00:00:00"/>
    <s v="Д-22"/>
    <s v="Договор возмездного оказания услуг"/>
    <s v="Не предполагает взаиморасчетов"/>
    <s v=""/>
    <s v=""/>
    <s v=""/>
    <s v=""/>
    <s v=""/>
    <s v=""/>
    <s v=""/>
    <s v="нет"/>
    <s v="нет"/>
    <s v=""/>
    <s v=""/>
    <s v=""/>
    <s v=""/>
    <s v="нет"/>
  </r>
  <r>
    <s v="Газпромнефть-ГЕО, ООО"/>
    <s v="0000048275"/>
    <s v="Зарегистрирован"/>
    <d v="2022-09-22T00:00:00"/>
    <s v=""/>
    <x v="83"/>
    <s v="7709267582"/>
    <s v="ГЕО-22/10951/00165/Р"/>
    <s v=""/>
    <s v="1"/>
    <s v="Нетиповой ДД"/>
    <x v="0"/>
    <s v=""/>
    <s v="00821-22"/>
    <s v=""/>
    <s v="ДОПОЛНИТЕЛЬНОЕ СОГЛАШЕНИЕ № 1 к ДОГОВОРУ № ГЕО-22/10951/00165/Р от 29.07.2022г. на выполнение работ и оказание услуг в области ликвидации аварийных разливов нефти"/>
    <s v="Раскрытие ГО"/>
    <s v="Яшкина К.Л."/>
    <s v="Морозов А.В."/>
    <s v="Договорный документ"/>
    <s v="Блок производственной безопасности"/>
    <s v="Власов М.М."/>
    <s v="ЭП"/>
    <s v="С ограничением по срокам "/>
    <d v="2022-09-22T00:00:00"/>
    <d v="2025-12-31T00:00:00"/>
    <s v="Д-59"/>
    <s v="Профилактика и ликвидация аварийных разливов нефти (услуги аварийно-спасательного формирования)"/>
    <s v="Расходная часть"/>
    <s v="Рамочный"/>
    <s v="20%"/>
    <s v=""/>
    <s v=""/>
    <n v="0"/>
    <n v="0"/>
    <n v="0"/>
    <s v="нет"/>
    <s v="нет"/>
    <s v=""/>
    <s v=""/>
    <s v=""/>
    <s v=""/>
    <s v="нет"/>
  </r>
  <r>
    <s v="Газпромнефть-ГЕО, ООО"/>
    <s v="0000073438"/>
    <s v="Зарегистрирован"/>
    <d v="2023-12-30T00:00:00"/>
    <s v=""/>
    <x v="68"/>
    <s v="7720330291"/>
    <s v="ГЕО-21/08000/00296/Р"/>
    <s v=""/>
    <s v="17"/>
    <s v="Нетиповой ДД"/>
    <x v="7"/>
    <s v=""/>
    <s v="00821-23"/>
    <s v=""/>
    <s v="Заявка №17 ВНИГНИ №ГЕО-21/08000/00296/Р от 28.12.2021"/>
    <s v="Разработка «Проектов на проведение работ по геологическому изучению и оценке пригодности участка недр для строительства и эксплуатации подземных сооружений, не связанных с добычей полезных ископаемых, в целях размещения в пластах горных пород диоксида углерода (CO2), образующегося в результате хозяйственной и иной деятельности, в пределах Центрального и Вологодского 1 лицензионных участков"/>
    <s v="Мормышев А.А."/>
    <s v="Мустафин И.Р."/>
    <s v="Договорный документ"/>
    <s v="Блок геологии и разработки"/>
    <s v="Аксенов М.А."/>
    <s v="ЭП"/>
    <s v="До исполнения обязательств"/>
    <d v="2023-12-30T00:00:00"/>
    <s v=""/>
    <s v="Д-58"/>
    <s v="Договор на выполнение НИР, ОКР и технологических работ"/>
    <s v="Расходная часть"/>
    <s v="Стоимостной"/>
    <s v="20%"/>
    <s v=""/>
    <s v=""/>
    <s v="4 536 000.00"/>
    <s v="3 780 000.00"/>
    <s v="756 000.00"/>
    <s v="нет"/>
    <s v="нет"/>
    <s v=""/>
    <s v=""/>
    <s v=""/>
    <s v=""/>
    <s v="нет"/>
  </r>
  <r>
    <s v="Газпромнефть-ГЕО, ООО"/>
    <s v="0000084033"/>
    <s v="Зарегистрирован"/>
    <d v="2021-11-29T00:00:00"/>
    <s v=""/>
    <x v="420"/>
    <s v="8903008982"/>
    <s v="ГEO-21/11513/00226/P"/>
    <s v=""/>
    <s v="1"/>
    <s v="Типовой ДД"/>
    <x v="0"/>
    <s v="00000 ДС на изменение реквизитов контрагента (адрес, счет)"/>
    <s v="00822-21"/>
    <s v=""/>
    <s v="00000 ДС на изменение реквизитов контрагента (адрес, счет)"/>
    <s v="изменение реквизитов контрагента (адрес, счет)"/>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1-11-29T00:00:00"/>
    <d v="2022-03-31T00:00:00"/>
    <s v="Д-22"/>
    <s v="Договор возмездного оказания услуг"/>
    <s v="Не предполагает взаиморасчетов"/>
    <s v=""/>
    <s v=""/>
    <s v=""/>
    <s v=""/>
    <s v=""/>
    <s v=""/>
    <s v=""/>
    <s v="нет"/>
    <s v="нет"/>
    <s v=""/>
    <s v=""/>
    <s v=""/>
    <s v=""/>
    <s v="нет"/>
  </r>
  <r>
    <s v="Газпромнефть-ГЕО, ООО"/>
    <s v="0000052955"/>
    <s v="Зарегистрирован"/>
    <d v="2022-09-23T00:00:00"/>
    <s v=""/>
    <x v="127"/>
    <s v="8602068466"/>
    <s v="ГЕО-21/11031/00040/Р"/>
    <s v=""/>
    <s v="5"/>
    <s v="Типовой ДД"/>
    <x v="0"/>
    <s v="00000 ДС на изменение реквизитов контрагента (адрес, счет)"/>
    <s v="00822-22"/>
    <s v=""/>
    <s v="00000 ДС на изменение реквизитов контрагента (адрес, счет)"/>
    <s v="Изменение реквизитов &quot;Исполнителя&quot;"/>
    <s v="Крутова Е.С."/>
    <s v="Крутова Е.С."/>
    <s v="Договорный документ"/>
    <s v="Департамент капитального строительства"/>
    <s v="Волков Г.В."/>
    <s v="На бумажном носителе"/>
    <s v="До исполнения обязательств"/>
    <d v="2022-09-23T00:00:00"/>
    <s v=""/>
    <s v="Д-16"/>
    <s v="Капитальное строительство и ПИР"/>
    <s v="Не предполагает взаиморасчетов"/>
    <s v=""/>
    <s v=""/>
    <s v=""/>
    <s v=""/>
    <s v=""/>
    <s v=""/>
    <s v=""/>
    <s v="нет"/>
    <s v="нет"/>
    <s v=""/>
    <s v=""/>
    <s v=""/>
    <s v=""/>
    <s v="нет"/>
  </r>
  <r>
    <s v="Газпромнефть-ГЕО, ООО"/>
    <s v="0000039714"/>
    <s v="Зарегистрирован"/>
    <d v="2023-12-27T00:00:00"/>
    <s v=""/>
    <x v="1"/>
    <s v="7734033757"/>
    <s v="ГЕО-21/10114/00257/Р"/>
    <s v=""/>
    <s v="9"/>
    <s v="Нетиповой ДД"/>
    <x v="3"/>
    <s v=""/>
    <s v="00822-23"/>
    <s v=""/>
    <s v="Наряд-заказ №9 от 27.12.2023 к Дополнительному соглашению №9 к Договору ГЕО-21/10114/00257 от 22.11.2021"/>
    <s v="Выдача наряд-заказа для выполнения работ"/>
    <s v="Дакиров В.С."/>
    <s v=""/>
    <s v="Договорный документ"/>
    <s v="Управление сейсморазведочных работ"/>
    <s v="Аксенов М.А."/>
    <s v="ЭП"/>
    <s v="До исполнения обязательств"/>
    <d v="2023-12-27T00:00:00"/>
    <s v=""/>
    <s v=""/>
    <s v="Супервайзерские услуги полевых работ площадными геофизическими методами"/>
    <s v="Расходная часть"/>
    <s v="Стоимостной"/>
    <s v="20%"/>
    <s v=""/>
    <s v=""/>
    <s v="2 256 420.00"/>
    <s v="1 880 350.00"/>
    <s v="376 070.00"/>
    <s v="нет"/>
    <s v="нет"/>
    <s v=""/>
    <s v=""/>
    <s v=""/>
    <s v=""/>
    <s v="нет"/>
  </r>
  <r>
    <s v="Газпромнефть-ГЕО, ООО"/>
    <s v="0000084033"/>
    <s v="Зарегистрирован"/>
    <d v="2021-11-29T00:00:00"/>
    <s v=""/>
    <x v="420"/>
    <s v="8903008982"/>
    <s v="ГEO-21/11513/00227/P"/>
    <s v=""/>
    <s v="1"/>
    <s v="Типовой ДД"/>
    <x v="0"/>
    <s v="00000 ДС на изменение реквизитов контрагента (адрес, счет)"/>
    <s v="00823-21"/>
    <s v=""/>
    <s v="00000 ДС на изменение реквизитов контрагента (адрес, счет)"/>
    <s v="изменение реквизитов контрагента (адрес, счет)"/>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1-11-29T00:00:00"/>
    <d v="2022-03-31T00:00:00"/>
    <s v="Д-22"/>
    <s v="Договор возмездного оказания услуг"/>
    <s v="Не предполагает взаиморасчетов"/>
    <s v=""/>
    <s v=""/>
    <s v=""/>
    <s v=""/>
    <s v=""/>
    <s v=""/>
    <s v=""/>
    <s v="нет"/>
    <s v="нет"/>
    <s v=""/>
    <s v=""/>
    <s v=""/>
    <s v=""/>
    <s v="нет"/>
  </r>
  <r>
    <s v="Газпромнефть-ГЕО, ООО"/>
    <s v="0000052955"/>
    <s v="Зарегистрирован"/>
    <d v="2022-09-23T00:00:00"/>
    <s v=""/>
    <x v="127"/>
    <s v="8602068466"/>
    <s v=""/>
    <s v="ГЕО-22/35000/00238"/>
    <s v="ГЕО-22/35000/00238"/>
    <s v="Нетиповой ДД"/>
    <x v="1"/>
    <s v=""/>
    <s v="00823-22"/>
    <s v=""/>
    <s v="Соглашение о безопасном использовании информационных систем"/>
    <s v="В рамках проекта U190001428 &quot;Цифровой партнер ПБ&quot; (ранее наименование &quot;Цифровой двойник HSE&quot;)"/>
    <s v="Крутова Е.С."/>
    <s v="Крутова Е.С."/>
    <s v="Договорный документ"/>
    <s v="Департамент капитального строительства"/>
    <s v="Созинов С.А."/>
    <s v="На бумажном носителе"/>
    <s v="До исполнения обязательств"/>
    <d v="2022-09-23T00:00:00"/>
    <s v=""/>
    <s v="Д-60"/>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110719"/>
    <s v="Зарегистрирован"/>
    <d v="2024-01-10T00:00:00"/>
    <s v=""/>
    <x v="348"/>
    <s v="240700153927"/>
    <s v=""/>
    <s v="ГЕО-24/25000/00001/Р"/>
    <s v="ГЕО-24/25000/00001/Р"/>
    <s v="Типовой ДД"/>
    <x v="2"/>
    <s v="25000 Договор об оказании услуг физическим лицом (без выезда на Лицензионные участки Заказчика)"/>
    <s v="00823-23"/>
    <s v=""/>
    <s v="25000 Договор об оказании услуг физическим лицом (без выезда на Лицензионные участки Заказчика)"/>
    <s v="Договор на оказание услуг по организации отправки/встречи авиарейсов (вертолеты) на п/п Богучаны (аэропорт)"/>
    <s v="Леденев Ю.А."/>
    <s v="Леденев Ю.А."/>
    <s v="Договорный документ"/>
    <s v="Управление транспортного обеспечения и авиаперевозок"/>
    <s v="Масалкин Ю.В."/>
    <s v="На бумажном носителе"/>
    <s v="С ограничением по срокам "/>
    <d v="2024-01-10T00:00:00"/>
    <d v="2024-12-31T00:00:00"/>
    <s v=""/>
    <s v="Договор оказания услуг с физическим лицом"/>
    <s v="Расходная часть"/>
    <s v="Тарифный"/>
    <s v="13%"/>
    <s v=""/>
    <s v=""/>
    <s v="1 019 798.01"/>
    <s v="887 224.01"/>
    <s v="132 574.00"/>
    <s v="нет"/>
    <s v="нет"/>
    <s v=""/>
    <s v=""/>
    <s v=""/>
    <s v=""/>
    <s v="нет"/>
  </r>
  <r>
    <s v="Газпромнефть-ГЕО, ООО"/>
    <s v="0000049191"/>
    <s v="Закрыт"/>
    <d v="2021-12-06T00:00:00"/>
    <s v=""/>
    <x v="0"/>
    <s v="7729058675"/>
    <s v=""/>
    <s v="ГЕО-21/09000/00271/Р"/>
    <s v="ГЕО-21/09000/00271/Р"/>
    <s v="Типовой ДД"/>
    <x v="2"/>
    <s v="09000 Договор на выполнение работ/услуг «Оснащение помещений оборудованием аудиовизуального комплекса и средствами ВКС»"/>
    <s v="00824-21"/>
    <s v=""/>
    <s v="09000 Договор на выполнение работ/услуг «Оснащение помещений оборудованием аудиовизуального комплекса и средствами ВКС»"/>
    <s v="Выполнение проектных и изыскательских, строительно-монтажных работ и работ по пуско-наладке оборудования аудиовизуального комплекса и средствами ВКС в здании, расположенном по адресу: г. Санкт-Петербург, Синопская наб., д.22, лит. А, с использованием оборудования, предоставляемого Заказчиком"/>
    <s v="Авдеева Д.Б."/>
    <s v="Сорокин И.М."/>
    <s v="Договорный документ"/>
    <s v="Блок геологии и разработки"/>
    <s v="Аксенов М.А."/>
    <s v="На бумажном носителе"/>
    <s v="С ограничением по срокам "/>
    <d v="2021-12-06T00:00:00"/>
    <d v="2021-12-31T00:00:00"/>
    <s v=""/>
    <s v="Договор возмездного оказания услуг"/>
    <s v="Расходная часть"/>
    <s v="Стоимостной"/>
    <s v="20%"/>
    <s v=""/>
    <s v=""/>
    <s v="23 387 493.49"/>
    <s v="19 489 577.91"/>
    <s v="3 897 915.58"/>
    <s v="нет"/>
    <s v="нет"/>
    <s v=""/>
    <s v=""/>
    <s v=""/>
    <s v=""/>
    <s v="нет"/>
  </r>
  <r>
    <s v="Газпромнефть-ГЕО, ООО"/>
    <s v="0000069534"/>
    <s v="Закрыт"/>
    <d v="2022-09-09T00:00:00"/>
    <s v=""/>
    <x v="457"/>
    <s v=""/>
    <s v=""/>
    <s v="ГЕО-22/08000/00257/Р"/>
    <s v="ГЕО-22/08000/00257/Р"/>
    <s v="Нетиповой ДД"/>
    <x v="2"/>
    <s v=""/>
    <s v="00824-22"/>
    <s v=""/>
    <s v="Полевой кросс-функциональный семинар глубоководных обломочных отложений Сербии - аналоги Ачимовских отложений Западной Сибири"/>
    <s v="Оказание услуг по организации проведения полевого семинара и обмен опытом по изучению геологических обнажений на территории Сербии - аналогов Ачимовских отложений Западной Сибири"/>
    <s v="Ябиров Р.З."/>
    <s v=""/>
    <s v="Договорный документ"/>
    <s v="Блок геологии и разработки"/>
    <s v="Аксенов М.А."/>
    <s v="На бумажном носителе"/>
    <s v="С ограничением по срокам "/>
    <d v="2022-09-09T00:00:00"/>
    <d v="2022-12-30T00:00:00"/>
    <s v="Д-54"/>
    <s v="Договор на выполнение НИР, ОКР и технологических работ"/>
    <s v="Расходная часть"/>
    <s v="Стоимостной"/>
    <s v="20%"/>
    <s v=""/>
    <s v=""/>
    <s v="3 430 318.75"/>
    <s v="2 858 598.96"/>
    <s v="571 719.79"/>
    <s v="нет"/>
    <s v="нет"/>
    <s v=""/>
    <s v=""/>
    <s v=""/>
    <s v=""/>
    <s v="нет"/>
  </r>
  <r>
    <s v="Газпромнефть-ГЕО, ООО"/>
    <s v="0000062894"/>
    <s v="Зарегистрирован"/>
    <d v="2023-12-29T00:00:00"/>
    <s v=""/>
    <x v="47"/>
    <s v="7017253595"/>
    <s v="ГЕО-23/20000/00020/Д"/>
    <s v=""/>
    <s v="1"/>
    <s v="Нетиповой ДД"/>
    <x v="0"/>
    <s v=""/>
    <s v="00824-23"/>
    <s v=""/>
    <s v="ДС 1 к ГЕО-23/20000/00020/Д с ООО &quot;ИЦ ГазИнформПласт&quot;"/>
    <s v="Продление срока действия"/>
    <s v="Титова Е.В."/>
    <s v="Титова Е.В."/>
    <s v="Договорный документ"/>
    <s v="Блок снабжения и закупок"/>
    <s v="Титов А.В."/>
    <s v="ЭП"/>
    <s v="С ограничением по срокам "/>
    <d v="2024-01-01T00:00:00"/>
    <d v="2024-12-31T00:00:00"/>
    <s v="Д-56"/>
    <s v="Агентский договор"/>
    <s v="Не предполагает взаиморасчетов"/>
    <s v="Агентский"/>
    <s v=""/>
    <s v=""/>
    <s v=""/>
    <s v=""/>
    <s v=""/>
    <s v=""/>
    <s v="нет"/>
    <s v="нет"/>
    <s v=""/>
    <s v=""/>
    <s v=""/>
    <s v=""/>
    <s v="нет"/>
  </r>
  <r>
    <s v="Газпромнефть-ГЕО, ООО"/>
    <s v="0000086584"/>
    <s v="Зарегистрирован"/>
    <d v="2021-11-30T00:00:00"/>
    <s v=""/>
    <x v="113"/>
    <s v="5609077986"/>
    <s v="ГЕО-18/00000/00025Д"/>
    <s v=""/>
    <s v="6"/>
    <s v="Нетиповой ДД"/>
    <x v="0"/>
    <s v=""/>
    <s v="00825-21"/>
    <s v=""/>
    <s v="Дополнительное соглашение №6 к Договору о выполнении операторских работ и оказании операторских услуг (Солнечный ЛУ)"/>
    <s v="добавление условий: 1. о принадлежности Владельцу лицензии прав обладателя геологической информации о недрах, полученной в рамках выполнения работ по операторскому договору; 2. о прекращении действия программы работ по Солнечному ЛУ в рамках договора с Энерком в связи с передачей лицензии в ГПН."/>
    <s v="Частухина Е.В."/>
    <s v=""/>
    <s v="Договорный документ"/>
    <s v="Управление экономического планирования и анализа"/>
    <s v="Шакирзянов Л.Н."/>
    <s v="На бумажном носителе"/>
    <s v="Без сроков "/>
    <d v="2018-10-02T00:00:00"/>
    <s v=""/>
    <s v="Д-18"/>
    <s v="ПРОЧИЕ ДОГОВОРЫ"/>
    <s v="Не предполагает взаиморасчетов"/>
    <s v="Рамочный"/>
    <s v=""/>
    <s v=""/>
    <s v=""/>
    <s v=""/>
    <s v=""/>
    <s v=""/>
    <s v="нет"/>
    <s v="нет"/>
    <s v=""/>
    <s v=""/>
    <s v=""/>
    <s v=""/>
    <s v="нет"/>
  </r>
  <r>
    <s v="Газпромнефть-ГЕО, ООО"/>
    <s v="0000076851"/>
    <s v="Зарегистрирован"/>
    <d v="2023-12-26T00:00:00"/>
    <s v=""/>
    <x v="48"/>
    <s v="2466091092"/>
    <s v="ГЕО-22/11000/00274/Р"/>
    <s v=""/>
    <s v="1"/>
    <s v="Нетиповой ДД"/>
    <x v="4"/>
    <s v=""/>
    <s v="00825-23"/>
    <s v="2"/>
    <s v="Изменение №1 от 26.12.2023г к Наряд-заказу №2 к Договору № ГЕО-22/11000/00274/Р от 14.10.2022"/>
    <s v="На выполнение проектных работ"/>
    <s v="Шолохова И.А."/>
    <s v="Салахутдинов Р.С."/>
    <s v="Договорный документ"/>
    <s v="Управление проектно-изыскательских работ"/>
    <s v="Трифонов А.В."/>
    <s v="ЭП"/>
    <s v="До исполнения обязательств"/>
    <d v="2023-12-26T00:00:00"/>
    <s v=""/>
    <s v="Д-33"/>
    <s v="Капитальное строительство и ПИР"/>
    <s v="Расходная часть"/>
    <s v="Рамочный"/>
    <s v="20%"/>
    <s v=""/>
    <s v=""/>
    <s v="16 342 400.90"/>
    <s v="13 618 667.42"/>
    <s v="2 723 733.48"/>
    <s v="нет"/>
    <s v="нет"/>
    <s v=""/>
    <s v=""/>
    <s v=""/>
    <s v=""/>
    <s v="нет"/>
  </r>
  <r>
    <s v="Газпромнефть-ГЕО, ООО"/>
    <s v="0000039295"/>
    <s v="Зарегистрирован"/>
    <d v="2021-11-29T00:00:00"/>
    <s v=""/>
    <x v="90"/>
    <s v="8618006063"/>
    <s v=""/>
    <s v="ГЕО-21/00000/00281/Д"/>
    <s v="ГЕО-21/00000/00281/Д"/>
    <s v="Нетиповой ДД"/>
    <x v="2"/>
    <s v=""/>
    <s v="00826-21"/>
    <s v=""/>
    <s v="Выполнении операторских работ и об оказании операторских услуг"/>
    <s v="выполнении операторских работ и об оказании операторских услуг СРР"/>
    <s v="Ахматгалиев С.З."/>
    <s v="Андреева Ирина Владимировна"/>
    <s v="Договорный документ"/>
    <s v="Блок геологии и разработки"/>
    <s v="Аксенов М.А."/>
    <s v="На бумажном носителе"/>
    <s v="С ограничением по срокам "/>
    <d v="2021-11-29T00:00:00"/>
    <d v="2026-12-31T00:00:00"/>
    <s v=""/>
    <s v="ПРОЧИЕ ДОГОВОРЫ"/>
    <s v="Доходная часть"/>
    <s v="Стоимостной"/>
    <s v="20%"/>
    <s v=""/>
    <s v=""/>
    <s v="9 930 259 629.07"/>
    <s v="8 275 216 357.56"/>
    <s v="1 655 043 271.51"/>
    <s v="нет"/>
    <s v="нет"/>
    <s v=""/>
    <s v=""/>
    <s v=""/>
    <s v=""/>
    <s v="нет"/>
  </r>
  <r>
    <s v="Газпромнефть-ГЕО, ООО"/>
    <s v="0000011433"/>
    <s v="Зарегистрирован"/>
    <d v="2023-12-27T00:00:00"/>
    <s v=""/>
    <x v="174"/>
    <s v="8604005359"/>
    <s v="ГЕО-21/11104/00292/Р"/>
    <s v=""/>
    <s v="6"/>
    <s v="Нетиповой ДД"/>
    <x v="0"/>
    <s v=""/>
    <s v="00826-23"/>
    <s v=""/>
    <s v="Дополнительное соглашение №6 к Договору № ГЕО-21/11104/00292/Р от 24.12.2021 г.  с АО «ЮТэйр – Вертолетные услуги» "/>
    <s v="Раскрытие НГО на 2024 год"/>
    <s v="Яшкина К.Л."/>
    <s v="Бабиков Н.В."/>
    <s v="Договорный документ"/>
    <s v="Блок снабжения и закупок"/>
    <s v="Титов А.В."/>
    <s v="ЭП"/>
    <s v="До исполнения обязательств"/>
    <d v="2023-12-27T00:00:00"/>
    <s v=""/>
    <s v="Д-56"/>
    <s v="Авиационное обслуживание (вертолеты)"/>
    <s v="Расходная часть"/>
    <s v="Рамочный"/>
    <s v="20%"/>
    <s v=""/>
    <s v=""/>
    <s v="78 665 862.00"/>
    <s v="65 554 885.00"/>
    <s v="13 110 977.00"/>
    <s v="нет"/>
    <s v="нет"/>
    <s v=""/>
    <s v=""/>
    <s v=""/>
    <s v=""/>
    <s v="нет"/>
  </r>
  <r>
    <s v="Газпромнефть-ГЕО, ООО"/>
    <s v="0000062928"/>
    <s v="Зарегистрирован"/>
    <d v="2022-09-23T00:00:00"/>
    <s v=""/>
    <x v="136"/>
    <s v="7701645627"/>
    <s v="ГЕО-20/11501/00184/Р"/>
    <s v=""/>
    <s v="5"/>
    <s v="Нетиповой ДД"/>
    <x v="0"/>
    <s v=""/>
    <s v="00827-22"/>
    <s v=""/>
    <s v="Изменение срока оплпты за фактически выполненные работы"/>
    <s v="Сокращение срока оплаты."/>
    <s v="Хохлов А.А."/>
    <s v="Хохлов А.А."/>
    <s v="Договорный документ"/>
    <s v="Управление маркшейдерско-землеустроительных работ"/>
    <s v="Трифонов А.В."/>
    <s v="На бумажном носителе"/>
    <s v="С ограничением по срокам "/>
    <d v="2022-09-23T00:00:00"/>
    <d v="2023-12-31T00:00:00"/>
    <s v="Д-33"/>
    <s v="Договор возмездного оказания услуг"/>
    <s v="Не предполагает взаиморасчетов"/>
    <s v=""/>
    <s v=""/>
    <s v=""/>
    <s v=""/>
    <s v=""/>
    <s v=""/>
    <s v=""/>
    <s v="нет"/>
    <s v="нет"/>
    <s v=""/>
    <s v=""/>
    <s v=""/>
    <s v=""/>
    <s v="нет"/>
  </r>
  <r>
    <s v="Газпромнефть-ГЕО, ООО"/>
    <s v="0000060954"/>
    <s v="Зарегистрирован"/>
    <d v="2023-12-26T00:00:00"/>
    <s v=""/>
    <x v="75"/>
    <s v="5603007580"/>
    <s v="ГЕО-22/10000/00036/Р"/>
    <s v=""/>
    <s v="7"/>
    <s v="Нетиповой ДД"/>
    <x v="0"/>
    <s v=""/>
    <s v="00827-23"/>
    <s v=""/>
    <s v="Дополнительное соглашение №7 к Договору № ГЕО-22/10000/00036/Р от 14.02.2022г."/>
    <s v="Приведение к факту 2023г., раскрытие негарантированного объема работ на 2024г."/>
    <s v="Мячина М.В."/>
    <s v="Мячина М.В."/>
    <s v="Договорный документ"/>
    <s v="Отдел подготовительных работ и экономического анализа"/>
    <s v="Трифонов А.В."/>
    <s v="ЭП"/>
    <s v="С ограничением по срокам "/>
    <d v="2023-12-26T00:00:00"/>
    <d v="2024-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74858"/>
    <s v="Зарегистрирован"/>
    <d v="2021-08-30T00:00:00"/>
    <s v=""/>
    <x v="248"/>
    <s v="5609097622"/>
    <s v="ГЕО-20/11112/00108/Р"/>
    <s v=""/>
    <s v="2"/>
    <s v="Типовой ДД"/>
    <x v="0"/>
    <s v="00000 Дополнительное соглашение на изменение Приложения к ранее заключенным договорам &quot;Соглашение в области производственной безопасности&quot; (код по КТ-020 выбирать в соответствии с кодом договора)"/>
    <s v="00828-21"/>
    <s v=""/>
    <s v="00000 Дополнительное соглашение на изменение Приложения к ранее заключенным договорам &quot;Соглашение в области производственной безопасности&quot; (код по КТ-020 выбирать в соответствии с кодом договора)"/>
    <s v="исполнение поручения Приказа 122-П от 30.07.21 об актуализаци &quot;Соглашения в области производственной безопасности&quot; "/>
    <s v="Гусаков В.В."/>
    <s v="Гусаков В.В."/>
    <s v="Договорный документ"/>
    <s v="Блок снабжения и закупок"/>
    <s v="Титов А.В."/>
    <s v="На бумажном носителе"/>
    <s v="С ограничением по срокам "/>
    <d v="2021-08-30T00:00:00"/>
    <d v="2022-12-31T00:00:00"/>
    <s v="Д-11"/>
    <s v="Договор возмездного оказания услуг"/>
    <s v="Не предполагает взаиморасчетов"/>
    <s v="Тарифный"/>
    <s v=""/>
    <s v=""/>
    <s v=""/>
    <s v=""/>
    <s v=""/>
    <s v=""/>
    <s v="нет"/>
    <s v="нет"/>
    <s v=""/>
    <s v=""/>
    <s v=""/>
    <s v=""/>
    <s v="нет"/>
  </r>
  <r>
    <s v="Газпромнефть-ГЕО, ООО"/>
    <s v="0000073438"/>
    <s v="Зарегистрирован"/>
    <d v="2022-09-23T00:00:00"/>
    <s v=""/>
    <x v="68"/>
    <s v="7720330291"/>
    <s v="ГЕО-21/08000/00296/Р"/>
    <s v=""/>
    <s v="5"/>
    <s v="Нетиповой ДД"/>
    <x v="0"/>
    <s v=""/>
    <s v="00828-22"/>
    <s v=""/>
    <s v="Дополнительное соглашение № 5 к Договору № ГЕО-21/08000/00296/Р от «28» декабря 2021 г."/>
    <s v="Перевод негарантированного объема в гарантированный"/>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9-23T00:00:00"/>
    <d v="2026-12-31T00:00:00"/>
    <s v="Д-54"/>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61621"/>
    <s v="Зарегистрирован"/>
    <d v="2023-12-27T00:00:00"/>
    <s v=""/>
    <x v="57"/>
    <s v="6381010888"/>
    <s v="ГЕО-23/10000/00171/Р"/>
    <s v=""/>
    <s v="1"/>
    <s v="Нетиповой ДД"/>
    <x v="0"/>
    <s v=""/>
    <s v="00828-23"/>
    <s v=""/>
    <s v="Дополнительное соглашение № 1 к Договору № ГЕО-23/10000/00171/Р от 18.10.2023г."/>
    <s v="Продление срока выполнения работ и срока действия договора по 30.04.2024г."/>
    <s v="Мячина М.В."/>
    <s v="Мячина М.В."/>
    <s v="Договорный документ"/>
    <s v="Отдел подготовительных работ и экономического анализа"/>
    <s v="Трифонов А.В."/>
    <s v="ЭП"/>
    <s v="С ограничением по срокам "/>
    <d v="2023-10-18T00:00:00"/>
    <d v="2024-04-30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Проект"/>
    <d v="2022-09-20T00:00:00"/>
    <s v=""/>
    <x v="58"/>
    <s v=""/>
    <s v="№ ГЕО-21/101108/00193/Р от «16» августа 2021 г."/>
    <s v=""/>
    <s v="2"/>
    <s v="Нетиповой ДД"/>
    <x v="3"/>
    <s v=""/>
    <s v="00829-22"/>
    <s v=""/>
    <s v="ЗАКАЗ №2 к Договору № ГЕО-21/101108/00193/Р от «16» августа 2021 г."/>
    <s v="Проведение комплекса лабораторных исследований проб пластовых флюидов, направленного на изучение процессов образования АСПО в пластовых условиях"/>
    <s v="Лобанов А.А."/>
    <s v="Лобанов А.А."/>
    <s v="Договорный документ"/>
    <s v="Управление по геологии"/>
    <s v="Аксенов М.А."/>
    <s v="На бумажном носителе"/>
    <s v="С ограничением по срокам "/>
    <d v="2022-09-20T00:00:00"/>
    <d v="2022-12-31T00:00:00"/>
    <s v="Д-54"/>
    <s v=""/>
    <s v="Расходная часть"/>
    <s v=""/>
    <s v=""/>
    <s v=""/>
    <s v=""/>
    <s v=""/>
    <s v=""/>
    <s v=""/>
    <s v="нет"/>
    <s v="нет"/>
    <s v=""/>
    <s v=""/>
    <s v=""/>
    <s v=""/>
    <s v="нет"/>
  </r>
  <r>
    <s v="Газпромнефть-ГЕО, ООО"/>
    <s v="0000099595"/>
    <s v="Зарегистрирован"/>
    <d v="2024-01-01T00:00:00"/>
    <s v=""/>
    <x v="265"/>
    <s v="5648004036"/>
    <s v=""/>
    <s v="ГЕО-24/33200/00002"/>
    <s v="ГЕО-24/33200/00002"/>
    <s v="Типовой ДД"/>
    <x v="1"/>
    <s v="33200 Соглашение об электронном документообороте"/>
    <s v="00829-23"/>
    <s v=""/>
    <s v="33200 Соглашение об электронном документообороте"/>
    <s v="Переход на электронный документооборот, ЭДО"/>
    <s v="Сазонова А.С."/>
    <s v="Сазонова А.С."/>
    <s v="Договорный документ"/>
    <s v="Управление маркшейдерско-землеустроительных работ"/>
    <s v="Ковтун М.А."/>
    <s v="На бумажном носителе"/>
    <s v="Без сроков "/>
    <d v="2024-01-01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6733"/>
    <s v="Зарегистрирован"/>
    <d v="2021-11-30T00:00:00"/>
    <s v=""/>
    <x v="164"/>
    <s v="7203336545"/>
    <s v="ГЕО-20/10940/00117/Р "/>
    <s v=""/>
    <s v="4 "/>
    <s v="Нетиповой ДД"/>
    <x v="3"/>
    <s v=""/>
    <s v="00830-21"/>
    <s v=""/>
    <s v="Заказ № 4"/>
    <s v="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в Сибирском федеральном округе (Красноярский край, Лескинский ЛУ)."/>
    <s v="Липатова О.И."/>
    <s v="Липатова О.И."/>
    <s v="Договорный документ"/>
    <s v="Отдел экологической безопасности"/>
    <s v="Власов М.М."/>
    <s v="На бумажном носителе"/>
    <s v="С ограничением по срокам "/>
    <d v="2021-11-30T00:00:00"/>
    <d v="2021-12-31T00:00:00"/>
    <s v="Д-30"/>
    <s v="Агентский договор"/>
    <s v="Расходная часть"/>
    <s v="Стоимостной"/>
    <s v="без НДС"/>
    <s v=""/>
    <s v=""/>
    <s v="295 577.08"/>
    <s v="295 577.08"/>
    <n v="0"/>
    <s v="нет"/>
    <s v="нет"/>
    <s v=""/>
    <s v=""/>
    <s v=""/>
    <s v=""/>
    <s v="нет"/>
  </r>
  <r>
    <s v="Газпромнефть-ГЕО, ООО"/>
    <s v="0000081360"/>
    <s v="Зарегистрирован"/>
    <d v="2022-09-28T00:00:00"/>
    <s v=""/>
    <x v="179"/>
    <s v="3905605417"/>
    <s v=""/>
    <s v="ГЕО-22/35000/00241"/>
    <s v="ГЕО-22/35000/00241"/>
    <s v="Нетиповой ДД"/>
    <x v="1"/>
    <s v=""/>
    <s v="00830-22"/>
    <s v=""/>
    <s v="Соглашение о безопасном использовании информационных систем"/>
    <s v="Сторона-1 в связи с заключенным со Стороной-2 договором на выполнение работ (оказание услуг) ГЕО-22/09000/00093/Р от 02.05.2022 г. обязуется в рамках ст. 718 Гражданского кодекса РФ предоставить доступ к автоматизированной информационной системе «СУДИР» (далее – «СУДИР») и к информационным ресурсам через СУДИР (далее – «ИР») сотрудникам Стороны-2 без ограничений по количеству предоставляемых доступов к СУДИР"/>
    <s v="Буракова О.В."/>
    <s v="Буракова О.В."/>
    <s v="Договорный документ"/>
    <s v="Отдел административной поддержки бизнеса"/>
    <s v="Масалкин Ю.В."/>
    <s v="На бумажном носителе"/>
    <s v="С ограничением по срокам "/>
    <d v="2022-09-28T00:00:00"/>
    <d v="2025-04-30T00:00:00"/>
    <s v=""/>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68695"/>
    <s v="Зарегистрирован"/>
    <d v="2023-12-28T00:00:00"/>
    <s v=""/>
    <x v="77"/>
    <s v="1106013435"/>
    <s v="ГЕО-21/10306/00256/Р"/>
    <s v=""/>
    <s v="6"/>
    <s v="Нетиповой ДД"/>
    <x v="0"/>
    <s v=""/>
    <s v="00830-23"/>
    <s v=""/>
    <s v="ДОПОЛНИТЕЛЬНОЕ СОГЛАШЕНИЕ № 6 к Договору № ГЕО-21/10306/00256/P от 26.10.2021г."/>
    <s v="Смещение работ на 2024г."/>
    <s v="Мячина М.В."/>
    <s v="Мячина М.В."/>
    <s v="Договорный документ"/>
    <s v="Отдел подготовительных работ и экономического анализа"/>
    <s v="Трифонов А.В."/>
    <s v="ЭП"/>
    <s v="С ограничением по срокам "/>
    <d v="2023-12-28T00:00:00"/>
    <d v="2024-12-31T00:00:00"/>
    <s v=""/>
    <s v="Договор подряда"/>
    <s v="Не предполагает взаиморасчетов"/>
    <s v=""/>
    <s v=""/>
    <s v=""/>
    <s v=""/>
    <s v=""/>
    <s v=""/>
    <s v=""/>
    <s v="нет"/>
    <s v="нет"/>
    <s v=""/>
    <s v=""/>
    <s v=""/>
    <s v=""/>
    <s v="нет"/>
  </r>
  <r>
    <s v="Газпромнефть-ГЕО, ООО"/>
    <s v="0000040878"/>
    <s v="Зарегистрирован"/>
    <d v="2021-12-01T00:00:00"/>
    <s v=""/>
    <x v="40"/>
    <s v="7826711272"/>
    <s v="ДАТ/ГЕО-19/11100/00254/Р"/>
    <s v=""/>
    <s v="2"/>
    <s v="Типовой ДД"/>
    <x v="0"/>
    <s v="00000 Дополнительное соглашение на изменение Приложения к ранее заключенным договорам &quot;Соглашение в области производственной безопасности&quot; (код по КТ-020 выбирать в соответствии с кодом договора)"/>
    <s v="00831-21"/>
    <s v=""/>
    <s v="00000 Дополнительное соглашение на изменение Приложения к ранее заключенным договорам &quot;Соглашение в области производственной безопасности&quot; (код по КТ-020 выбирать в соответствии с кодом договора)"/>
    <s v="Актуализация &quot;Соглашения в области производственной безопасности&quot; _x000d__x000a_"/>
    <s v="Гусаков В.В."/>
    <s v="Гусаков ВВ"/>
    <s v="Договорный документ"/>
    <s v="Блок снабжения и закупок"/>
    <s v="Титов А.В."/>
    <s v="На бумажном носителе"/>
    <s v="С ограничением по срокам "/>
    <d v="2021-12-01T00:00:00"/>
    <d v="2022-12-31T00:00:00"/>
    <s v="Д-11"/>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81360"/>
    <s v="Зарегистрирован"/>
    <d v="2022-09-26T00:00:00"/>
    <s v=""/>
    <x v="179"/>
    <s v="3905605417"/>
    <s v=""/>
    <s v="ГЕО-22/26000/00237"/>
    <s v="ГЕО-22/26000/00237"/>
    <s v="Типовой ДД"/>
    <x v="1"/>
    <s v="26000 Соглашение о конфиденциальности с российским контрагентом"/>
    <s v="00831-22"/>
    <s v=""/>
    <s v="26000 Соглашение о конфиденциальности с российским контрагентом"/>
    <s v="Стороны принимают на себя обязательства по предоставлению друг другу и неразглашению информации, составляющей коммерческую тайну, и иной конфиденциальной информации (далее – Конфиденциальная информация), в соответствии с условиями настоящего Соглашения"/>
    <s v="Буракова О.В."/>
    <s v="Буракова О.В."/>
    <s v="Договорный документ"/>
    <s v="Отдел административной поддержки бизнеса"/>
    <s v="Масалкин Ю.В."/>
    <s v="На бумажном носителе"/>
    <s v="С ограничением по срокам "/>
    <d v="2022-09-26T00:00:00"/>
    <d v="2025-04-30T00:00:00"/>
    <s v=""/>
    <s v="Соглашение о конфиденциальности"/>
    <s v="Не предполагает взаиморасчетов"/>
    <s v=""/>
    <s v=""/>
    <s v=""/>
    <s v=""/>
    <s v=""/>
    <s v=""/>
    <s v=""/>
    <s v="нет"/>
    <s v="нет"/>
    <s v=""/>
    <s v=""/>
    <s v=""/>
    <s v=""/>
    <s v="нет"/>
  </r>
  <r>
    <s v="Газпромнефть-ГЕО, ООО"/>
    <s v="0000084590"/>
    <s v="Зарегистрирован"/>
    <d v="2024-01-16T00:00:00"/>
    <s v=""/>
    <x v="61"/>
    <s v="7708277130"/>
    <s v="ГЕО-23/09000/00149/Р"/>
    <s v=""/>
    <s v="2"/>
    <s v="Нетиповой ДД"/>
    <x v="4"/>
    <s v=""/>
    <s v="00831-23"/>
    <s v="3"/>
    <s v="Изменение №2 к Заявке № 3 к договору № ГЕО-23/09000/00149/Р от 28.08.2023 г."/>
    <s v="Признать целесообразным и согласовать заключение Изменение №2 к Заявке №3 на привлечение руководителя группы по производственной безопасности для проекта «Южный Оренбург», скв. № 401, Западно-Рубежинский ЛУ, предусматривающее корректировку объёмов и сроков оказания услуг по привлечению Валетова А.В. и привлечение Шаригина Э.Д. с 16.01.2024 по 29.02.2024."/>
    <s v="Фокин Е.В."/>
    <s v="Фокин Е.В."/>
    <s v="Договорный документ"/>
    <s v="Управление производственной безопасности"/>
    <s v="Михайлов Ю.А."/>
    <s v="ЭП"/>
    <s v="С ограничением по срокам "/>
    <d v="2023-12-13T00:00:00"/>
    <d v="2024-02-29T00:00:00"/>
    <s v="Д-2"/>
    <s v="Договор возмездного оказания услуг"/>
    <s v="Расходная часть"/>
    <s v="Рамочный"/>
    <s v="20%"/>
    <s v=""/>
    <s v=""/>
    <s v="2 471 351.72"/>
    <s v="2 059 459.77"/>
    <s v="411 891.95"/>
    <s v="нет"/>
    <s v="нет"/>
    <s v=""/>
    <s v=""/>
    <s v=""/>
    <s v=""/>
    <s v="нет"/>
  </r>
  <r>
    <s v="Газпромнефть-ГЕО, ООО"/>
    <s v="0000039714"/>
    <s v="Зарегистрирован"/>
    <d v="2021-12-01T00:00:00"/>
    <s v=""/>
    <x v="1"/>
    <s v="7734033757"/>
    <s v="ГЕО-21/10114/00257"/>
    <s v=""/>
    <s v="1"/>
    <s v="Нетиповой ДД"/>
    <x v="3"/>
    <s v=""/>
    <s v="00832-21"/>
    <s v=""/>
    <s v="оказание услуг по супервайзерскому контролю технологии полевых сейсморазведочных работ на Восточно-Шапшинском-1 лицензионном участке"/>
    <s v="оказание услуг по супервайзерскому контролю технологии полевых сейсморазведочных работ на Восточно-Шапшинском-1 лицензионном участке"/>
    <s v="Гордиенко А.В."/>
    <s v=""/>
    <s v="Договорный документ"/>
    <s v="Управление сейсморазведочных работ"/>
    <s v="Аксенов М.А."/>
    <s v="На бумажном носителе"/>
    <s v="С ограничением по срокам "/>
    <d v="2021-12-01T00:00:00"/>
    <d v="2022-04-30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3 338 374.80"/>
    <s v="2 781 979.00"/>
    <s v="556 395.80"/>
    <s v="нет"/>
    <s v="нет"/>
    <s v=""/>
    <s v=""/>
    <s v=""/>
    <s v=""/>
    <s v="нет"/>
  </r>
  <r>
    <s v="Газпромнефть-ГЕО, ООО"/>
    <s v="0000081360"/>
    <s v="Зарегистрирован"/>
    <d v="2022-09-26T00:00:00"/>
    <s v=""/>
    <x v="179"/>
    <s v="3905605417"/>
    <s v=""/>
    <s v="ГЕО-22/33300/00236"/>
    <s v="ГЕО-22/33300/00236"/>
    <s v="Нетиповой ДД"/>
    <x v="2"/>
    <s v=""/>
    <s v="00832-22"/>
    <s v=""/>
    <s v="Договор об обработке персональных данных "/>
    <s v="Осуществление обработки персональных данных работников ООО «ГПН-ГЕО»"/>
    <s v="Буракова О.В."/>
    <s v="Буракова О.В."/>
    <s v="Договорный документ"/>
    <s v="Отдел административной поддержки бизнеса"/>
    <s v="Масалкин Ю.В."/>
    <s v="На бумажном носителе"/>
    <s v="С ограничением по срокам "/>
    <d v="2022-05-02T00:00:00"/>
    <d v="2025-04-30T00:00:00"/>
    <s v=""/>
    <s v="Договор об обработке персональных данных"/>
    <s v="Не предполагает взаиморасчетов"/>
    <s v=""/>
    <s v=""/>
    <s v=""/>
    <s v=""/>
    <s v=""/>
    <s v=""/>
    <s v=""/>
    <s v="нет"/>
    <s v="нет"/>
    <s v=""/>
    <s v=""/>
    <s v=""/>
    <s v=""/>
    <s v="нет"/>
  </r>
  <r>
    <s v="Газпромнефть-ГЕО, ООО"/>
    <s v="0000067067"/>
    <s v="Зарегистрирован"/>
    <d v="2023-12-29T00:00:00"/>
    <s v=""/>
    <x v="85"/>
    <s v="7816483740"/>
    <s v="ГЕО-19/09000/00303/Р"/>
    <s v=""/>
    <s v="9"/>
    <s v="Нетиповой ДД"/>
    <x v="0"/>
    <s v=""/>
    <s v="00832-23"/>
    <s v=""/>
    <s v="Дополнительное соглашение №9 к договору ГЕО-19/09000/00303/Р от_x0009_15.11.2019"/>
    <s v="Корректировка Приложения № 1 к Договору (Расчет стоимости) в Уральском, Сибирском, Дальневосточном, Приволжском федеральных округах по следующим наименованиям работ_x000a_Перераспределение негарантированных объемов в гарантированные, в связи с необходимостью оказания услуг в 2024 гг;"/>
    <s v="Покатов О.Н."/>
    <s v=""/>
    <s v="Договорный документ"/>
    <s v="Управление производственной безопасности"/>
    <s v="Михайлов Ю.А."/>
    <s v="На бумажном носителе"/>
    <s v="До исполнения обязательств"/>
    <d v="2023-12-29T00:00:00"/>
    <s v=""/>
    <s v="Д-2"/>
    <s v="Договор возмездного оказания услуг"/>
    <s v="Расходная часть"/>
    <s v="Стоимостной"/>
    <s v="20%"/>
    <s v=""/>
    <s v=""/>
    <s v="52 947 771.97"/>
    <s v="44 123 143.31"/>
    <s v="8 824 628.66"/>
    <s v="нет"/>
    <s v="нет"/>
    <s v=""/>
    <s v=""/>
    <s v=""/>
    <s v=""/>
    <s v="нет"/>
  </r>
  <r>
    <s v="Газпромнефть-ГЕО, ООО"/>
    <s v="0000068442"/>
    <s v="Зарегистрирован"/>
    <d v="2021-09-06T00:00:00"/>
    <s v=""/>
    <x v="92"/>
    <s v="5611027573"/>
    <s v=""/>
    <s v="ГЕО-21/26000/00275"/>
    <s v="ГЕО-21/26000/00275"/>
    <s v="Типовой ДД"/>
    <x v="1"/>
    <s v="26000 Соглашение о конфиденциальности с российским контрагентом"/>
    <s v="00833-21"/>
    <s v=""/>
    <s v="26000 Соглашение о конфиденциальности с российским контрагентом"/>
    <s v="В рамках соблюдения режима комерческой тайны"/>
    <s v="Глухарева Ю.Б."/>
    <s v="Глухарева Ю.Б."/>
    <s v="Договорный документ"/>
    <s v="Блок корпоративной защиты"/>
    <s v="Масалкин Ю.В."/>
    <s v="На бумажном носителе"/>
    <s v="С ограничением по срокам "/>
    <d v="2021-09-06T00:00:00"/>
    <d v="2023-02-28T00:00:00"/>
    <s v=""/>
    <s v="Соглашение о конфиденциальности"/>
    <s v="Не предполагает взаиморасчетов"/>
    <s v=""/>
    <s v=""/>
    <s v=""/>
    <s v=""/>
    <s v=""/>
    <s v=""/>
    <s v=""/>
    <s v="нет"/>
    <s v="нет"/>
    <s v=""/>
    <s v=""/>
    <s v=""/>
    <s v=""/>
    <s v="нет"/>
  </r>
  <r>
    <s v="Газпромнефть-ГЕО, ООО"/>
    <s v="0000098115"/>
    <s v="Зарегистрирован"/>
    <d v="2022-09-29T00:00:00"/>
    <s v=""/>
    <x v="272"/>
    <s v="7806243072"/>
    <s v=""/>
    <s v="ГЕО-22/33200/00243"/>
    <s v="ГЕО-22/33200/00243"/>
    <s v="Типовой ДД"/>
    <x v="1"/>
    <s v="33200 Соглашение об электронном документообороте"/>
    <s v="00833-22"/>
    <s v=""/>
    <s v="33200 Соглашение об электронном документообороте"/>
    <s v="Переход на электронный документооборот"/>
    <s v="Сергель О.Г."/>
    <s v="Сергель О.Г."/>
    <s v="Договорный документ"/>
    <s v="Отдел административной поддержки бизнеса"/>
    <s v="Ковтун М.А."/>
    <s v="На бумажном носителе"/>
    <s v="До исполнения обязательств"/>
    <d v="2022-09-29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111925"/>
    <s v="Зарегистрирован"/>
    <d v="2024-02-01T00:00:00"/>
    <s v=""/>
    <x v="345"/>
    <s v="550312402430"/>
    <s v=""/>
    <s v="ГЕО-24/25000/00004/Р"/>
    <s v="ГЕО-24/25000/00004/Р"/>
    <s v="Типовой ДД"/>
    <x v="2"/>
    <s v="25000 Договор об оказании услуг физическим лицом (без выезда на Лицензионные участки Заказчика)"/>
    <s v="00833-23"/>
    <s v=""/>
    <s v="25000 Договор об оказании услуг физическим лицом (без выезда на Лицензионные участки Заказчика)"/>
    <s v="Договор об оказании услуг физическим лицом (без выезда на Лицензионные участки Заказчика) с Васильевой А.И."/>
    <s v="Ахматгалиев С.З."/>
    <s v="Ахматгалиев С.З."/>
    <s v="Договорный документ"/>
    <s v="Блок снабжения и закупок"/>
    <s v="Масалкин Ю.В."/>
    <s v="На бумажном носителе"/>
    <s v="С ограничением по срокам "/>
    <d v="2024-02-01T00:00:00"/>
    <d v="2024-12-27T00:00:00"/>
    <s v=""/>
    <s v="Договор оказания услуг с физическим лицом"/>
    <s v="Расходная часть"/>
    <s v="Стоимостной"/>
    <s v="13%"/>
    <s v=""/>
    <s v=""/>
    <s v="715 000.00"/>
    <s v="622 050.00"/>
    <s v="92 950.00"/>
    <s v="нет"/>
    <s v="нет"/>
    <s v=""/>
    <s v=""/>
    <s v=""/>
    <s v=""/>
    <s v="нет"/>
  </r>
  <r>
    <s v="Газпромнефть-ГЕО, ООО"/>
    <s v="0000068442"/>
    <s v="Зарегистрирован"/>
    <d v="2021-09-06T00:00:00"/>
    <s v=""/>
    <x v="92"/>
    <s v="5611027573"/>
    <s v=""/>
    <s v="ГЕО-21/18000/00277"/>
    <s v="ГЕО-21/18000/00277"/>
    <s v="Нетиповой ДД"/>
    <x v="2"/>
    <s v=""/>
    <s v="00834-21"/>
    <s v=""/>
    <s v="Договор об обработке персональтных данных"/>
    <s v="Обработка персональных данных в интересах ООО &quot;ГПН-ГЕО&quot;"/>
    <s v="Глухарева Ю.Б."/>
    <s v="Глухарева Ю.Б."/>
    <s v="Договорный документ"/>
    <s v="Блок корпоративной защиты"/>
    <s v="Созинов С.А."/>
    <s v="На бумажном носителе"/>
    <s v="С ограничением по срокам "/>
    <d v="2021-09-06T00:00:00"/>
    <d v="2023-02-28T00:00:00"/>
    <s v="Д-35"/>
    <s v="Договор поручения"/>
    <s v="Не предполагает взаиморасчетов"/>
    <s v=""/>
    <s v=""/>
    <s v=""/>
    <s v=""/>
    <s v=""/>
    <s v=""/>
    <s v=""/>
    <s v="нет"/>
    <s v="нет"/>
    <s v=""/>
    <s v=""/>
    <s v=""/>
    <s v=""/>
    <s v="нет"/>
  </r>
  <r>
    <s v="Газпромнефть-ГЕО, ООО"/>
    <s v="0000038433"/>
    <s v="Зарегистрирован"/>
    <d v="2022-09-22T00:00:00"/>
    <s v=""/>
    <x v="117"/>
    <s v="7707113869"/>
    <s v="ГЕО-19/09000/00084Р"/>
    <s v=""/>
    <s v="5"/>
    <s v="Нетиповой ДД"/>
    <x v="0"/>
    <s v=""/>
    <s v="00834-22"/>
    <s v=""/>
    <s v="Договор об оказании услуг"/>
    <s v="Увеличение стоимости договора на сумму 9 995 000 рублей без НДС"/>
    <s v="Сергель О.Г."/>
    <s v="Сергель О.Г."/>
    <s v="Договорный документ"/>
    <s v="Отдел административной поддержки бизнеса"/>
    <s v="Буракова О.В."/>
    <s v="На бумажном носителе"/>
    <s v="С ограничением по срокам "/>
    <d v="2022-09-22T00:00:00"/>
    <d v="2022-12-31T00:00:00"/>
    <s v="Д-46"/>
    <s v="Договор возмездного оказания услуг"/>
    <s v="Расходная часть"/>
    <s v="Тарифный"/>
    <s v="20%"/>
    <s v=""/>
    <s v=""/>
    <s v="11 994 000.00"/>
    <s v="9 995 000.00"/>
    <s v="1 999 000.00"/>
    <s v="нет"/>
    <s v="нет"/>
    <s v=""/>
    <s v=""/>
    <s v=""/>
    <s v=""/>
    <s v="нет"/>
  </r>
  <r>
    <s v="Газпромнефть-ГЕО, ООО"/>
    <s v="0000104605"/>
    <s v="Зарегистрирован"/>
    <d v="2023-12-29T00:00:00"/>
    <s v=""/>
    <x v="55"/>
    <s v="9705112341"/>
    <s v="ГЕО-23/10000/00067/Р"/>
    <s v=""/>
    <s v="4"/>
    <s v="Нетиповой ДД"/>
    <x v="0"/>
    <s v=""/>
    <s v="00834-23"/>
    <s v=""/>
    <s v="Дополнительное соглашение №4"/>
    <s v="Перераспределение объемов между статьями в связи с изменением производственной программы"/>
    <s v="Кузьмин Е.А."/>
    <s v="Кузьмин Е.А."/>
    <s v="Договорный документ"/>
    <s v="Управление инжиниринга бурения"/>
    <s v="Трифонов А.В."/>
    <s v="На бумажном носителе"/>
    <s v="С ограничением по срокам "/>
    <d v="2023-12-29T00:00:00"/>
    <d v="2025-12-31T00:00:00"/>
    <s v="Д-8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30558751"/>
    <s v="97 704 469.33"/>
    <s v="81 420 391.11"/>
    <s v="16 284 078.22"/>
    <s v="да"/>
    <s v="нет"/>
    <s v=""/>
    <s v=""/>
    <s v=""/>
    <s v=""/>
    <s v="нет"/>
  </r>
  <r>
    <s v="Газпромнефть-ГЕО, ООО"/>
    <s v="0000068974"/>
    <s v="Зарегистрирован"/>
    <d v="2021-11-08T00:00:00"/>
    <s v=""/>
    <x v="81"/>
    <s v="3808120671"/>
    <s v=""/>
    <s v="ГЕО-21/26000/00274"/>
    <s v="ГЕО-21/26000/00274"/>
    <s v="Типовой ДД"/>
    <x v="1"/>
    <s v="26000 Соглашение о конфиденциальности с российским контрагентом"/>
    <s v="00835-21"/>
    <s v=""/>
    <s v="26000 Соглашение о конфиденциальности с российским контрагентом"/>
    <s v="В рамках соблюдения режима комерческой тайны"/>
    <s v="Глухарева Ю.Б."/>
    <s v="Глухарева Ю.Б."/>
    <s v="Договорный документ"/>
    <s v="Блок корпоративной защиты"/>
    <s v="Созинов С.А."/>
    <s v="На бумажном носителе"/>
    <s v="С ограничением по срокам "/>
    <d v="2021-11-08T00:00:00"/>
    <d v="2024-02-29T00:00:00"/>
    <s v="Д-35"/>
    <s v="Соглашение о конфиденциальности"/>
    <s v="Не предполагает взаиморасчетов"/>
    <s v=""/>
    <s v=""/>
    <s v=""/>
    <s v=""/>
    <s v=""/>
    <s v=""/>
    <s v=""/>
    <s v="нет"/>
    <s v="нет"/>
    <s v=""/>
    <s v=""/>
    <s v=""/>
    <s v=""/>
    <s v="нет"/>
  </r>
  <r>
    <s v="Газпромнефть-ГЕО, ООО"/>
    <s v=""/>
    <s v="Зарегистрирован"/>
    <d v="2024-02-01T00:00:00"/>
    <s v=""/>
    <x v="458"/>
    <s v=""/>
    <s v=""/>
    <s v="ГЕО-24/26000/00006"/>
    <s v="ГЕО-24/26000/00006"/>
    <s v="Типовой ДД"/>
    <x v="1"/>
    <s v="26000 Договор о конфиденциальности с физическим лицом"/>
    <s v="00835-23"/>
    <s v=""/>
    <s v="26000 Договор о конфиденциальности с физическим лицом"/>
    <s v="Договор о конфиденциальности к договору ГПХ с Васильевой А.И."/>
    <s v="Ахматгалиев С.З."/>
    <s v=""/>
    <s v="Договорный документ"/>
    <s v="Блок корпоративной защиты"/>
    <s v="Созинов С.А."/>
    <s v="На бумажном носителе"/>
    <s v="С ограничением по срокам "/>
    <d v="2024-02-01T00:00:00"/>
    <d v="2024-12-27T00:00:00"/>
    <s v="Д-60"/>
    <s v="Соглашение о конфиденциальности"/>
    <s v="Не предполагает взаиморасчетов"/>
    <s v=""/>
    <s v=""/>
    <s v=""/>
    <s v=""/>
    <s v=""/>
    <s v=""/>
    <s v=""/>
    <s v="нет"/>
    <s v="нет"/>
    <s v=""/>
    <s v=""/>
    <s v=""/>
    <s v=""/>
    <s v="нет"/>
  </r>
  <r>
    <s v="Газпромнефть-ГЕО, ООО"/>
    <s v="0000068974"/>
    <s v="Зарегистрирован"/>
    <d v="2021-11-08T00:00:00"/>
    <s v=""/>
    <x v="81"/>
    <s v="3808120671"/>
    <s v=""/>
    <s v="ГЕО-21/18000/00278"/>
    <s v="ГЕО-21/18000/00278"/>
    <s v="Нетиповой ДД"/>
    <x v="2"/>
    <s v=""/>
    <s v="00836-21"/>
    <s v=""/>
    <s v="Договор об обработке персональтных данных"/>
    <s v="Обработка персональных данных в интересах ООО &quot;ГПН-ГЕО&quot;"/>
    <s v="Глухарева Ю.Б."/>
    <s v="Глухарева Ю.Б."/>
    <s v="Договорный документ"/>
    <s v="Блок корпоративной защиты"/>
    <s v="Созинов С.А."/>
    <s v="На бумажном носителе"/>
    <s v="С ограничением по срокам "/>
    <d v="2021-11-08T00:00:00"/>
    <d v="2024-02-29T00:00:00"/>
    <s v="Д-35"/>
    <s v="Договор поручения"/>
    <s v="Не предполагает взаиморасчетов"/>
    <s v=""/>
    <s v=""/>
    <s v=""/>
    <s v=""/>
    <s v=""/>
    <s v=""/>
    <s v=""/>
    <s v="нет"/>
    <s v="нет"/>
    <s v=""/>
    <s v=""/>
    <s v=""/>
    <s v=""/>
    <s v="нет"/>
  </r>
  <r>
    <s v="Газпромнефть-ГЕО, ООО"/>
    <s v="0000080408"/>
    <s v="Зарегистрирован"/>
    <d v="2022-09-29T00:00:00"/>
    <s v=""/>
    <x v="104"/>
    <s v="3812043780"/>
    <s v="ГЕО-22/11029/00171/Р"/>
    <s v=""/>
    <s v="1"/>
    <s v="Нетиповой ДД"/>
    <x v="4"/>
    <s v=""/>
    <s v="00836-22"/>
    <s v="1"/>
    <s v="Изм №1 в Наряд-заказ №1"/>
    <s v="Внесение изменений №1 к Наряд-заказу №1 к Договору №ГЕО-22/11029/00171/Р от 25.07.2022."/>
    <s v="Мормышев А.А."/>
    <s v="Бабаев Д.Г."/>
    <s v="Договорный документ"/>
    <s v="Департамент капитального строительства"/>
    <s v="Трифонов А.В."/>
    <s v="ЭП"/>
    <s v="Без сроков "/>
    <d v="2026-09-29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244 409 031.60"/>
    <s v="203 674 193.00"/>
    <s v="40 734 838.60"/>
    <s v="нет"/>
    <s v="нет"/>
    <s v=""/>
    <s v=""/>
    <s v=""/>
    <s v=""/>
    <s v="нет"/>
  </r>
  <r>
    <s v="Газпромнефть-ГЕО, ООО"/>
    <s v=""/>
    <s v="Зарегистрирован"/>
    <d v="2024-02-01T00:00:00"/>
    <s v=""/>
    <x v="458"/>
    <s v=""/>
    <s v=""/>
    <s v="ГЕО-24/35000/00005"/>
    <s v="ГЕО-24/35000/00005"/>
    <s v="Нетиповой ДД"/>
    <x v="1"/>
    <s v=""/>
    <s v="00836-23"/>
    <s v=""/>
    <s v="Соглашение о безопасном использовании информационных систем с Васильевой А.И."/>
    <s v="Соглашение о безопасном использовании информационных систем с Васильевой А.И."/>
    <s v="Ахматгалиев С.З."/>
    <s v=""/>
    <s v="Договорный документ"/>
    <s v="Блок корпоративной защиты"/>
    <s v="Созинов С.А."/>
    <s v="На бумажном носителе"/>
    <s v="С ограничением по срокам "/>
    <d v="2024-02-01T00:00:00"/>
    <d v="2024-12-27T00:00:00"/>
    <s v="Д-60"/>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60723"/>
    <s v="Зарегистрирован"/>
    <d v="2022-10-06T00:00:00"/>
    <s v=""/>
    <x v="49"/>
    <s v="3811088474"/>
    <s v="АНГ-19/11513/00007/Р"/>
    <s v=""/>
    <s v="32"/>
    <s v="Нетиповой ДД"/>
    <x v="3"/>
    <s v=""/>
    <s v="00837-22"/>
    <s v=""/>
    <s v="НАРЯД-ЗАКАЗ №32 к Договору № АНГ-19/11513/00007/Р от 14.02.2019"/>
    <s v="Оформление земельных участков для объекта: «Площадка скважины №206-13 с автодорогой на Тымпучиканском ЛУ » (оформление разрешения и договора аренды лесного участка)"/>
    <s v="Горев М.А."/>
    <s v="Горев М.А."/>
    <s v="Договорный документ"/>
    <s v="Управление маркшейдерско-землеустроительных работ"/>
    <s v="Перфильев Д.А."/>
    <s v="ЭП"/>
    <s v="С ограничением по срокам "/>
    <d v="2022-10-06T00:00:00"/>
    <d v="2023-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785 681.18"/>
    <s v="654 734.32"/>
    <s v="130 946.86"/>
    <s v="нет"/>
    <s v="нет"/>
    <s v=""/>
    <s v=""/>
    <s v=""/>
    <s v=""/>
    <s v="нет"/>
  </r>
  <r>
    <s v="Газпромнефть-ГЕО, ООО"/>
    <s v="0000071739"/>
    <s v="Зарегистрирован"/>
    <d v="2023-12-27T00:00:00"/>
    <s v=""/>
    <x v="13"/>
    <s v="7710497816"/>
    <s v="ГЕО-22/09000/00014/Р"/>
    <s v=""/>
    <s v="5"/>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837-23"/>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УКЭП при подписании ДД"/>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3-12-27T00:00:00"/>
    <s v=""/>
    <s v="Д-82"/>
    <s v="Договор возмездного оказания услуг"/>
    <s v="Не предполагает взаиморасчетов"/>
    <s v=""/>
    <s v=""/>
    <s v=""/>
    <s v=""/>
    <s v=""/>
    <s v=""/>
    <s v=""/>
    <s v="нет"/>
    <s v="нет"/>
    <s v=""/>
    <s v=""/>
    <s v=""/>
    <s v=""/>
    <s v="нет"/>
  </r>
  <r>
    <s v="Газпромнефть-ГЕО, ООО"/>
    <s v="0000027645"/>
    <s v="Зарегистрирован"/>
    <d v="2021-12-01T00:00:00"/>
    <s v=""/>
    <x v="80"/>
    <s v="5501072608"/>
    <s v="ГЕО-19/00000/00162"/>
    <s v=""/>
    <s v="1 (СОР)"/>
    <s v="Нетиповой ДД"/>
    <x v="0"/>
    <s v=""/>
    <s v="00838-21"/>
    <s v=""/>
    <s v="Соглашение о расторжении Соглашения ГЕО-19/00000/00162  об организации электронного документооборота и использовании электронных подписей для договоров от 19 июля 2019 года."/>
    <s v="Необходимо подписать данное соглашение о расторжении, т.к. было заключено новое  Соглашения ГЕО -20/00000/00099 об организации электронного документооборота и использования электронных подписей для документов от 18.06.2020 г."/>
    <s v="Лесняк Н.А."/>
    <s v="Лесняк Н.А."/>
    <s v="Договорный документ"/>
    <s v="Управление материально-технического обеспечения, транспортного обеспечения и сопутствующих сервисов"/>
    <s v="Масалкин Ю.В."/>
    <s v="На бумажном носителе"/>
    <s v="До исполнения обязательств"/>
    <d v="2021-12-01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110719"/>
    <s v="Зарегистрирован"/>
    <d v="2024-01-09T00:00:00"/>
    <s v=""/>
    <x v="348"/>
    <s v="240700153927"/>
    <s v="ГЕО-23/25000/00085/Р"/>
    <s v=""/>
    <s v="2"/>
    <s v="Нетиповой ДД"/>
    <x v="0"/>
    <s v=""/>
    <s v="00838-23"/>
    <s v=""/>
    <s v="Дополнительное соглашение № 2 к Договору №ГЕО-23/25000/00085/Р от 22.05.2023 г. на оказание авиационных услуг с использованием вертолетов "/>
    <s v="Изменение срока действия Договора"/>
    <s v="Леденев Ю.А."/>
    <s v="Леденев Ю.А."/>
    <s v="Договорный документ"/>
    <s v="Управление транспортного обеспечения и авиаперевозок"/>
    <s v="Масалкин Ю.В."/>
    <s v="На бумажном носителе"/>
    <s v="До исполнения обязательств"/>
    <d v="2024-01-01T00:00:00"/>
    <s v=""/>
    <s v=""/>
    <s v="Договор оказания услуг с физическим лицом"/>
    <s v="Расходная часть"/>
    <s v="Тарифный"/>
    <s v="13%"/>
    <s v=""/>
    <s v=""/>
    <n v="0"/>
    <n v="0"/>
    <n v="0"/>
    <s v="нет"/>
    <s v="нет"/>
    <s v=""/>
    <s v=""/>
    <s v=""/>
    <s v=""/>
    <s v="нет"/>
  </r>
  <r>
    <s v="Газпромнефть-ГЕО, ООО"/>
    <s v="0000048216"/>
    <s v="Зарегистрирован"/>
    <d v="2022-10-03T00:00:00"/>
    <s v=""/>
    <x v="38"/>
    <s v="8605013881"/>
    <s v="ГЕО-21/10308/00236/Р"/>
    <s v=""/>
    <s v="5"/>
    <s v="Нетиповой ДД"/>
    <x v="0"/>
    <s v=""/>
    <s v="00839-22"/>
    <s v=""/>
    <s v="ДС №5 к Договору №ГЕО-21/10308/00236/Р от 04.10.2021 г."/>
    <s v="Актуализация оценочного листа во исполнение Протокола заседания ЭС БРД № ПТ-100.0364/000068/02 от 14.07.2022"/>
    <s v="Ушакова М.А."/>
    <s v=""/>
    <s v="Договорный документ"/>
    <s v="Блок геологии и разработки"/>
    <s v="Аксенов М.А."/>
    <s v="ЭП"/>
    <s v="С ограничением по срокам "/>
    <d v="2022-10-03T00:00:00"/>
    <d v="2024-12-31T00:00:00"/>
    <s v=""/>
    <s v="ГТИ при бурении"/>
    <s v="Не предполагает взаиморасчетов"/>
    <s v="Рамочный"/>
    <s v=""/>
    <s v=""/>
    <s v=""/>
    <s v=""/>
    <s v=""/>
    <s v=""/>
    <s v="нет"/>
    <s v="нет"/>
    <s v=""/>
    <s v=""/>
    <s v=""/>
    <s v=""/>
    <s v="нет"/>
  </r>
  <r>
    <s v="Газпромнефть-ГЕО, ООО"/>
    <s v=""/>
    <s v="Проект"/>
    <s v=""/>
    <s v=""/>
    <x v="58"/>
    <s v=""/>
    <s v=""/>
    <s v=""/>
    <s v=""/>
    <s v="Типовой ДД"/>
    <x v="0"/>
    <s v=""/>
    <s v="00839-23"/>
    <s v=""/>
    <s v=""/>
    <s v=""/>
    <s v="Николаев В.А."/>
    <s v=""/>
    <s v="Договорный документ"/>
    <s v="Управление по разработке"/>
    <s v=""/>
    <s v=""/>
    <s v=""/>
    <s v=""/>
    <s v=""/>
    <s v=""/>
    <s v=""/>
    <s v=""/>
    <s v=""/>
    <s v=""/>
    <s v=""/>
    <s v=""/>
    <s v=""/>
    <s v=""/>
    <s v=""/>
    <s v="нет"/>
    <s v="нет"/>
    <s v=""/>
    <s v=""/>
    <s v=""/>
    <s v=""/>
    <s v="нет"/>
  </r>
  <r>
    <s v="Газпромнефть-ГЕО, ООО"/>
    <s v="0000039295"/>
    <s v="Зарегистрирован"/>
    <d v="2021-11-26T00:00:00"/>
    <s v=""/>
    <x v="90"/>
    <s v="8618006063"/>
    <s v="ГЕО-19/26000/00068"/>
    <s v=""/>
    <s v="1"/>
    <s v="Нетиповой ДД"/>
    <x v="0"/>
    <s v=""/>
    <s v="00840-21"/>
    <s v=""/>
    <s v="Дополнительное соглашение № 1 к Соглашению о конфиденциальности с ГПН-Хантос"/>
    <s v="Продление срока действия СоК по 31.12.2028"/>
    <s v="Ахматгалиев С.З."/>
    <s v="Ахматгалиев С.З."/>
    <s v="Договорный документ"/>
    <s v="Блок корпоративной защиты"/>
    <s v="Созинов С.А."/>
    <s v="На бумажном носителе"/>
    <s v="С ограничением по срокам "/>
    <d v="2021-11-26T00:00:00"/>
    <d v="2028-12-31T00:00:00"/>
    <s v="Д-35"/>
    <s v="Соглашение о конфиденциальности"/>
    <s v="Не предполагает взаиморасчетов"/>
    <s v=""/>
    <s v=""/>
    <s v=""/>
    <s v=""/>
    <s v=""/>
    <s v=""/>
    <s v=""/>
    <s v="нет"/>
    <s v="нет"/>
    <s v=""/>
    <s v=""/>
    <s v=""/>
    <s v=""/>
    <s v="нет"/>
  </r>
  <r>
    <s v="Газпромнефть-ГЕО, ООО"/>
    <s v="0000048216"/>
    <s v="Зарегистрирован"/>
    <d v="2022-10-03T00:00:00"/>
    <s v=""/>
    <x v="38"/>
    <s v="8605013881"/>
    <s v="ГЕО-22/10000/00055/Р"/>
    <s v=""/>
    <s v="4"/>
    <s v="Нетиповой ДД"/>
    <x v="0"/>
    <s v=""/>
    <s v="00840-22"/>
    <s v=""/>
    <s v="ДС №4 к Договору №ГЕО-22/10000/00055/Р от 17.03.2022 г. (ГТИ Титан)"/>
    <s v="Актуализация оценочного листа во исполнение Протокола заседания ЭС БРД № ПТ-100.0364/000068/02 от 14.07.2022"/>
    <s v="Ушакова М.А."/>
    <s v=""/>
    <s v="Договорный документ"/>
    <s v="Блок геологии и разработки"/>
    <s v="Аксенов М.А."/>
    <s v="ЭП"/>
    <s v="С ограничением по срокам "/>
    <d v="2022-10-03T00:00:00"/>
    <d v="2024-12-31T00:00:00"/>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
    <s v="Проект"/>
    <s v=""/>
    <s v=""/>
    <x v="58"/>
    <s v=""/>
    <s v=""/>
    <s v=""/>
    <s v=""/>
    <s v=""/>
    <x v="6"/>
    <s v=""/>
    <s v="00840-23"/>
    <s v=""/>
    <s v=""/>
    <s v=""/>
    <s v="Николаев В.А."/>
    <s v=""/>
    <s v="Договорный документ"/>
    <s v="Управление по разработке"/>
    <s v=""/>
    <s v=""/>
    <s v=""/>
    <s v=""/>
    <s v=""/>
    <s v=""/>
    <s v=""/>
    <s v=""/>
    <s v=""/>
    <s v=""/>
    <s v=""/>
    <s v=""/>
    <s v=""/>
    <s v=""/>
    <s v=""/>
    <s v="нет"/>
    <s v="нет"/>
    <s v=""/>
    <s v=""/>
    <s v=""/>
    <s v=""/>
    <s v="нет"/>
  </r>
  <r>
    <s v="Газпромнефть-ГЕО, ООО"/>
    <s v="0000019598"/>
    <s v="Зарегистрирован"/>
    <d v="2021-10-25T00:00:00"/>
    <s v=""/>
    <x v="63"/>
    <s v="9909012867"/>
    <s v=""/>
    <s v="ГЕО-21/33100/00276"/>
    <s v="ГЕО-21/33100/00276"/>
    <s v="Типовой ДД"/>
    <x v="1"/>
    <s v="33100 Соглашение в области производственной безопасности"/>
    <s v="00841-21"/>
    <s v=""/>
    <s v="33100 Соглашение в области производственной безопасности"/>
    <s v="Соглашение в области производственной безопасности в связи с заключением Договора №ГЕО-21/10430/00237/Р от 25.10.2021."/>
    <s v="Конюх М.В."/>
    <s v="Конюх М.В."/>
    <s v="Договорный документ"/>
    <s v="Управление внутрискважинных работ"/>
    <s v="Масалкин Ю.В."/>
    <s v="На бумажном носителе"/>
    <s v="Без сроков "/>
    <d v="2021-10-25T00:00:00"/>
    <s v=""/>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2082"/>
    <s v="Зарегистрирован"/>
    <d v="2022-09-28T00:00:00"/>
    <s v=""/>
    <x v="122"/>
    <s v="7704627560"/>
    <s v="ГЕО-19/11104/00235/Д"/>
    <s v=""/>
    <s v="2"/>
    <s v="Нетиповой ДД"/>
    <x v="0"/>
    <s v=""/>
    <s v="00841-22"/>
    <s v=""/>
    <s v="ДС №2 к ГЕО-19/11104/00235/Д АО &quot;Инвестгеосервис&quot;"/>
    <s v="С целью исполнения рекомендаций юридической службы, для уменьшения вероятности признания взаимозачетов (сальдирования) недействительными сделками, уточнение предмета договора."/>
    <s v="Титова Е.В."/>
    <s v="Титова Е.В."/>
    <s v="Договорный документ"/>
    <s v="Блок снабжения и закупок"/>
    <s v="Титов А.В."/>
    <s v="На бумажном носителе"/>
    <s v="До исполнения обязательств"/>
    <d v="2022-09-28T00:00:00"/>
    <s v=""/>
    <s v="Д-56"/>
    <s v="Агентский договор"/>
    <s v="Не предполагает взаиморасчетов"/>
    <s v="Агентский"/>
    <s v=""/>
    <s v=""/>
    <s v=""/>
    <s v=""/>
    <s v=""/>
    <s v=""/>
    <s v="нет"/>
    <s v="нет"/>
    <s v=""/>
    <s v=""/>
    <s v=""/>
    <s v=""/>
    <s v="нет"/>
  </r>
  <r>
    <s v="Газпромнефть-ГЕО, ООО"/>
    <s v="0000040495"/>
    <s v="Зарегистрирован"/>
    <d v="2023-12-29T00:00:00"/>
    <s v=""/>
    <x v="167"/>
    <s v="0275009544"/>
    <s v="ГЕО-23/10106/00209/Р"/>
    <s v=""/>
    <s v="1"/>
    <s v="Нетиповой ДД"/>
    <x v="0"/>
    <s v=""/>
    <s v="00841-23"/>
    <s v=""/>
    <s v="Дополнительное соглашение №1 к Договору №ГЕО-№ГЕО-23/10106/00209/Р от 05.12.2023"/>
    <s v="В связи со смещением сроков завершения бурения скважины 401 Западно- Рубеженского лицензионного участка требуется перенос срока начала выполнения гарантированного объема работ с 2023 г. на 2024 год путем заключения ДС №1 к Договору с сохранение единичных расценок, предусмотренных договором. При этом расценки, предусмотренные на негарантированные объемы работ 2024 года, остаются без изменения, общая стоимость работ также остается без изменения."/>
    <s v="Николаев В.А."/>
    <s v="Николаев В.А."/>
    <s v="Договорный документ"/>
    <s v="Управление по разработке"/>
    <s v="Аксенов М.А."/>
    <s v="ЭП"/>
    <s v="С ограничением по срокам "/>
    <d v="2023-12-29T00:00:00"/>
    <d v="2025-12-31T00:00:00"/>
    <s v="Д-54"/>
    <s v="Полевые геохимические работы"/>
    <s v="Расходная часть"/>
    <s v="Рамочный"/>
    <s v="20%"/>
    <s v=""/>
    <s v=""/>
    <s v="187 023 735.80"/>
    <s v="155 853 113.17"/>
    <s v="31 170 622.63"/>
    <s v="нет"/>
    <s v="нет"/>
    <s v=""/>
    <s v=""/>
    <s v=""/>
    <s v=""/>
    <s v="нет"/>
  </r>
  <r>
    <s v="Газпромнефть-ГЕО, ООО"/>
    <s v="0000045789"/>
    <s v="Зарегистрирован"/>
    <d v="2021-12-03T00:00:00"/>
    <s v=""/>
    <x v="16"/>
    <s v="7838395487"/>
    <s v="ГЕО-19/09000/00045/Р "/>
    <s v=""/>
    <s v="НТЦ-03046-21Д         "/>
    <s v="Нетиповой ДД"/>
    <x v="3"/>
    <s v=""/>
    <s v="00842-21"/>
    <s v=""/>
    <s v="Заказ № НТЦ-03046-21Д         "/>
    <s v="Информационно-консультационные услуги в формате вебинара по теме: «Геомеханика», 06.12.2021-10.12.2021, Дыбов А.Р._x000d__x000a_"/>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1-12-06T00:00:00"/>
    <s v=""/>
    <s v="Д-30"/>
    <s v="Договор на обучение (тренинги, семинары и проч.)"/>
    <s v="Расходная часть"/>
    <s v="Рамочный"/>
    <s v="20%"/>
    <s v=""/>
    <s v=""/>
    <s v="82 800.00"/>
    <s v="69 000.00"/>
    <s v="13 800.00"/>
    <s v="нет"/>
    <s v="нет"/>
    <s v=""/>
    <s v=""/>
    <s v=""/>
    <s v=""/>
    <s v="нет"/>
  </r>
  <r>
    <s v="Газпромнефть-ГЕО, ООО"/>
    <s v="0000086733"/>
    <s v="Зарегистрирован"/>
    <d v="2022-09-28T00:00:00"/>
    <s v=""/>
    <x v="164"/>
    <s v="7203336545"/>
    <s v="ГЕО-20/10940/00117/Р"/>
    <s v=""/>
    <s v="4"/>
    <s v="Нетиповой ДД"/>
    <x v="0"/>
    <s v=""/>
    <s v="00842-22"/>
    <s v=""/>
    <s v="Дополнительное соглашение №4"/>
    <s v="Частичный перевод негарантированного объема услуг в гарантированный в 2022 году по Сибирскому ФО (Лескинский ЛУ), по Приволжскому ФО (Солнечный ЛУ)."/>
    <s v="Копылов Е.О."/>
    <s v=""/>
    <s v="Договорный документ"/>
    <s v="Отдел экологической безопасности"/>
    <s v="Власов М.М."/>
    <s v="На бумажном носителе"/>
    <s v="С ограничением по срокам "/>
    <d v="2022-09-28T00:00:00"/>
    <d v="2022-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37860"/>
    <s v="Зарегистрирован"/>
    <d v="2023-12-29T00:00:00"/>
    <s v=""/>
    <x v="20"/>
    <s v="7714024384"/>
    <s v="ГЕО-21/10318/00258/Р"/>
    <s v=""/>
    <s v="6"/>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842-23"/>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УКЭП при подписании ДД"/>
    <s v="Мячина М.В."/>
    <s v="Мячина М.В."/>
    <s v="Договорный документ"/>
    <s v="Отдел подготовительных работ и экономического анализа"/>
    <s v="Трифонов А.В."/>
    <s v="ЭП"/>
    <s v="До исполнения обязательств"/>
    <d v="2023-12-29T00:00:00"/>
    <s v=""/>
    <s v=""/>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025354"/>
    <s v="Зарегистрирован"/>
    <d v="2021-12-20T00:00:00"/>
    <s v=""/>
    <x v="111"/>
    <s v="5003026493"/>
    <s v=""/>
    <s v="ГЕО-21/07000/00283/Р"/>
    <s v="ГЕО-21/07000/00283/Р"/>
    <s v="Нетиповой ДД"/>
    <x v="2"/>
    <s v=""/>
    <s v="00843-21"/>
    <s v=""/>
    <s v="Договор подряда на бурение геологоразведочных скважин по суточной ставке или фиксированной ставке (в т.ч. мобильными установками)"/>
    <s v="Выполнение работ по бурению геологоразведочных скважин по суточной ставке или фиксированной ставке (в т.ч. мобильными установками)"/>
    <s v="Шкателов А.А."/>
    <s v="Шкателов А.А."/>
    <s v="Договорный документ"/>
    <s v="Блок бурения и ВСР"/>
    <s v="Гаврилов С.В."/>
    <s v="На бумажном носителе"/>
    <s v="С ограничением по срокам "/>
    <d v="2021-12-20T00:00:00"/>
    <d v="2025-12-31T00:00:00"/>
    <s v=""/>
    <s v="Договор подряда"/>
    <s v="Расходная часть"/>
    <s v="Рамочный"/>
    <s v="20%"/>
    <s v=""/>
    <s v=""/>
    <s v="2 498 826 450.14"/>
    <s v="2 082 355 375.12"/>
    <s v="416 471 075.02"/>
    <s v="нет"/>
    <s v="нет"/>
    <s v=""/>
    <s v=""/>
    <s v=""/>
    <s v=""/>
    <s v="нет"/>
  </r>
  <r>
    <s v="Газпромнефть-ГЕО, ООО"/>
    <s v="0000037860"/>
    <s v="Зарегистрирован"/>
    <d v="2023-12-29T00:00:00"/>
    <s v=""/>
    <x v="20"/>
    <s v="7714024384"/>
    <s v="ГЕО-21/10318/00258/Р"/>
    <s v=""/>
    <s v="7"/>
    <s v="Нетиповой ДД"/>
    <x v="0"/>
    <s v=""/>
    <s v="00843-23"/>
    <s v=""/>
    <s v="Дополнительное соглашение № 7 к договору № ГЕО-21/10318/00258/Р от 08.11.2021г."/>
    <s v="Смещение работ по скважине № 401 Западно-Рубежинского ЛУ на 2024г."/>
    <s v="Мячина М.В."/>
    <s v="Мячина М.В."/>
    <s v="Договорный документ"/>
    <s v="Отдел подготовительных работ и экономического анализа"/>
    <s v="Трифонов А.В."/>
    <s v="ЭП"/>
    <s v="С ограничением по срокам "/>
    <d v="2023-12-29T00:00:00"/>
    <d v="2024-12-31T00:00:00"/>
    <s v=""/>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060956"/>
    <s v="Зарегистрирован"/>
    <d v="2021-12-06T00:00:00"/>
    <s v=""/>
    <x v="267"/>
    <s v="8911017194"/>
    <s v="ГЕО-19/10111/00141/Р"/>
    <s v=""/>
    <s v="6"/>
    <s v="Нетиповой ДД"/>
    <x v="0"/>
    <s v=""/>
    <s v="00844-21"/>
    <s v=""/>
    <s v="ДОПОЛНИТЕЛЬНОЕ СОГЛАШЕНИЕ № 6 к Договору № ГЕО-19/10111/00141/Р от 29.04.2019 г. по «ОБРАБОТКЕ И ИНТЕРПРЕТАЦИИ ДАННЫХ СЕЙСМОРАЗВЕДОЧНЫХ РАБОТ»"/>
    <s v="перевод НГО в ГО"/>
    <s v="Ахматгалиев С.З."/>
    <s v=""/>
    <s v="Договорный документ"/>
    <s v="Блок геологии и разработки"/>
    <s v="Аксенов М.А."/>
    <s v="На бумажном носителе"/>
    <s v="С ограничением по срокам "/>
    <d v="2021-12-06T00:00:00"/>
    <d v="2024-12-31T00:00:00"/>
    <s v=""/>
    <s v="Договор возмездного оказания услуг"/>
    <s v="Не предполагает взаиморасчетов"/>
    <s v=""/>
    <s v=""/>
    <s v=""/>
    <s v=""/>
    <s v=""/>
    <s v=""/>
    <s v=""/>
    <s v="нет"/>
    <s v="нет"/>
    <s v=""/>
    <s v=""/>
    <s v=""/>
    <s v=""/>
    <s v="нет"/>
  </r>
  <r>
    <s v="Газпромнефть-ГЕО, ООО"/>
    <s v="0000066687"/>
    <s v="Зарегистрирован"/>
    <d v="2021-12-16T00:00:00"/>
    <s v=""/>
    <x v="161"/>
    <s v="9909012867"/>
    <s v=""/>
    <s v="ГЕО-21/20000/00286/Д"/>
    <s v="ГЕО-21/20000/00286/Д"/>
    <s v="Нетиповой ДД"/>
    <x v="2"/>
    <s v=""/>
    <s v="00846-21"/>
    <s v=""/>
    <s v="Агентский договор на организацию вертолетных авиаперевозок с Компания «Шлюмберже Лоджелко, Инк.»"/>
    <s v="Авиаперевозка персонала КА"/>
    <s v="Титова Е.В."/>
    <s v="Титова Е.В."/>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1-12-16T00:00:00"/>
    <d v="2023-12-31T00:00:00"/>
    <s v="Д-11"/>
    <s v="Агентский договор"/>
    <s v="Доходная часть"/>
    <s v="Агентский"/>
    <s v="20%"/>
    <s v=""/>
    <s v=""/>
    <s v="16 538.71"/>
    <s v="13 782.26"/>
    <s v="2 756.45"/>
    <s v="нет"/>
    <s v="нет"/>
    <s v=""/>
    <s v=""/>
    <s v=""/>
    <s v=""/>
    <s v="нет"/>
  </r>
  <r>
    <s v="Газпромнефть-ГЕО, ООО"/>
    <s v="0000068442"/>
    <s v="Зарегистрирован"/>
    <d v="2021-12-07T00:00:00"/>
    <s v=""/>
    <x v="92"/>
    <s v="5611027573"/>
    <s v=""/>
    <s v="ГЕО-21/33200/00280"/>
    <s v="ГЕО-21/33200/00280"/>
    <s v="Нетиповой ДД"/>
    <x v="1"/>
    <s v=""/>
    <s v="00848-21"/>
    <s v=""/>
    <s v="Соглашение об использовании электронного документооборота "/>
    <s v="Обмен электронными документами"/>
    <s v="Глухарева Ю.Б."/>
    <s v="Глухарева Ю.Б."/>
    <s v="Договорный документ"/>
    <s v="Блок корпоративной защиты"/>
    <s v="Созинов С.А."/>
    <s v="На бумажном носителе"/>
    <s v="Без сроков "/>
    <d v="2021-12-07T00:00:00"/>
    <s v=""/>
    <s v="Д-35"/>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1920"/>
    <s v="Зарегистрирован"/>
    <d v="2021-12-22T00:00:00"/>
    <s v=""/>
    <x v="69"/>
    <s v="7810440235"/>
    <s v="АНГ-17/09000/00156/Р-44843/ДАЗ "/>
    <s v=""/>
    <s v="СОР"/>
    <s v="Нетиповой ДД"/>
    <x v="0"/>
    <s v=""/>
    <s v="00849-21"/>
    <s v=""/>
    <s v="Соглашение о расторжении"/>
    <s v="Досрочное расторжение договора аренды пурифаеров, в связи с переводом аренды на &quot;Комплекс Парадную&quot; ООО "/>
    <s v="Савельева И.И."/>
    <s v="Савельева И.И."/>
    <s v="Договорный документ"/>
    <s v="Отдел административной поддержки бизнеса"/>
    <s v="Буракова О.В."/>
    <s v="На бумажном носителе"/>
    <s v="Без сроков "/>
    <d v="2021-12-22T00:00:00"/>
    <s v=""/>
    <s v="Д-1"/>
    <s v="Договор возмездного оказания услуг"/>
    <s v="Не предполагает взаиморасчетов"/>
    <s v=""/>
    <s v=""/>
    <s v=""/>
    <s v=""/>
    <s v=""/>
    <s v=""/>
    <s v=""/>
    <s v="нет"/>
    <s v="нет"/>
    <s v=""/>
    <s v=""/>
    <s v=""/>
    <s v=""/>
    <s v="нет"/>
  </r>
  <r>
    <s v="Газпромнефть-ГЕО, ООО"/>
    <s v="0000063179"/>
    <s v="Зарегистрирован"/>
    <d v="2021-12-08T00:00:00"/>
    <s v=""/>
    <x v="54"/>
    <s v="7727747172"/>
    <s v="ГЕО-20/10986/00138/Р от 10.08.2020г."/>
    <s v=""/>
    <s v="13"/>
    <s v="Нетиповой ДД"/>
    <x v="3"/>
    <s v=""/>
    <s v="00851-21"/>
    <s v=""/>
    <s v="Задание № 13 офис г. СПб, г. Иркутск"/>
    <s v="Задания № 13 к Договору № ГЕО-20/10986/00138/Р от 10.08.2020г. с компанией ООО «ОГК» в рамках исполнения данного договора в 2022 году по экспертной поддержке БПБ ООО «ГПН-ГЕО» по вопросам производственной безопасности в офисе г. Санкт-Петербург и офис г. Иркутск."/>
    <s v="Рябикина М.А."/>
    <s v="Анисимов А.Н."/>
    <s v="Договорный документ"/>
    <s v="Блок производственной безопасности"/>
    <s v="Власов М.М."/>
    <s v="На бумажном носителе"/>
    <s v="С ограничением по срокам "/>
    <d v="2021-12-08T00:00:00"/>
    <d v="2022-12-31T00:00:00"/>
    <s v="Д-3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8 855 068.80"/>
    <s v="7 379 224.00"/>
    <s v="1 475 844.80"/>
    <s v="нет"/>
    <s v="нет"/>
    <s v=""/>
    <s v=""/>
    <s v=""/>
    <s v=""/>
    <s v="нет"/>
  </r>
  <r>
    <s v="Газпромнефть-ГЕО, ООО"/>
    <s v=""/>
    <s v="Проект"/>
    <s v=""/>
    <s v=""/>
    <x v="58"/>
    <s v=""/>
    <s v=""/>
    <s v=""/>
    <s v=""/>
    <s v="Типовой ДД"/>
    <x v="1"/>
    <s v="33200 Соглашение об электронном документообороте"/>
    <s v="00852-21"/>
    <s v=""/>
    <s v="33200 Соглашение об электронном документообороте"/>
    <s v=""/>
    <s v="Глухарева Ю.Б."/>
    <s v=""/>
    <s v="Договорный документ"/>
    <s v="Блок корпоративной защиты"/>
    <s v=""/>
    <s v=""/>
    <s v=""/>
    <s v=""/>
    <s v=""/>
    <s v=""/>
    <s v="Соглашение об использовании электронного документооборота"/>
    <s v=""/>
    <s v=""/>
    <s v=""/>
    <s v=""/>
    <s v=""/>
    <s v=""/>
    <s v=""/>
    <s v=""/>
    <s v="нет"/>
    <s v="нет"/>
    <s v=""/>
    <s v=""/>
    <s v=""/>
    <s v=""/>
    <s v="нет"/>
  </r>
  <r>
    <s v="Газпромнефть-ГЕО, ООО"/>
    <s v="0000025354"/>
    <s v="Зарегистрирован"/>
    <d v="2021-12-20T00:00:00"/>
    <s v=""/>
    <x v="111"/>
    <s v="5003026493"/>
    <s v=""/>
    <s v="ГЕО-21/33100/00284"/>
    <s v="ГЕО-21/33100/00284"/>
    <s v="Типовой ДД"/>
    <x v="1"/>
    <s v="33100 Соглашение в области производственной безопасности"/>
    <s v="00853-21"/>
    <s v=""/>
    <s v="33100 Соглашение в области производственной безопасности"/>
    <s v="Заключение соглашения в области производственной безопасности"/>
    <s v="Шкателов А.А."/>
    <s v="Шкателов А.А."/>
    <s v="Договорный документ"/>
    <s v="Блок производственной безопасности"/>
    <s v="Власов М.М."/>
    <s v="На бумажном носителе"/>
    <s v="Без сроков "/>
    <d v="2021-12-20T00:00:00"/>
    <s v=""/>
    <s v="Д-30"/>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86733"/>
    <s v="Зарегистрирован"/>
    <d v="2022-09-28T00:00:00"/>
    <s v=""/>
    <x v="164"/>
    <s v="7203336545"/>
    <s v="ГЕО-20/10940/00117/Р "/>
    <s v=""/>
    <s v="6"/>
    <s v="Нетиповой ДД"/>
    <x v="3"/>
    <s v=""/>
    <s v="00853-22"/>
    <s v=""/>
    <s v="Заказ № 6"/>
    <s v="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в Сибирском федеральном округе (Красноярский край, Лескинский ЛУ)."/>
    <s v="Копылов Е.О."/>
    <s v=""/>
    <s v="Договорный документ"/>
    <s v="Отдел экологической безопасности"/>
    <s v="Власов М.М."/>
    <s v="На бумажном носителе"/>
    <s v="С ограничением по срокам "/>
    <d v="2022-09-28T00:00:00"/>
    <d v="2022-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без НДС"/>
    <s v=""/>
    <s v=""/>
    <s v="2 049 015.46"/>
    <s v="2 049 015.46"/>
    <n v="0"/>
    <s v="нет"/>
    <s v="нет"/>
    <s v=""/>
    <s v=""/>
    <s v=""/>
    <s v=""/>
    <s v="нет"/>
  </r>
  <r>
    <s v="Газпромнефть-ГЕО, ООО"/>
    <s v=""/>
    <s v="Проект"/>
    <s v=""/>
    <s v=""/>
    <x v="58"/>
    <s v=""/>
    <s v=""/>
    <s v=""/>
    <s v=""/>
    <s v="Типовой ДД"/>
    <x v="6"/>
    <s v=""/>
    <s v="00854-21"/>
    <s v=""/>
    <s v=""/>
    <s v=""/>
    <s v="Каратеева М.О."/>
    <s v=""/>
    <s v="Договорный документ"/>
    <s v="Отдел по корпоративным коммуникациям"/>
    <s v=""/>
    <s v=""/>
    <s v=""/>
    <s v=""/>
    <s v=""/>
    <s v=""/>
    <s v=""/>
    <s v=""/>
    <s v=""/>
    <s v=""/>
    <s v=""/>
    <s v=""/>
    <s v=""/>
    <s v=""/>
    <s v=""/>
    <s v="нет"/>
    <s v="нет"/>
    <s v=""/>
    <s v=""/>
    <s v=""/>
    <s v=""/>
    <s v="нет"/>
  </r>
  <r>
    <s v="Газпромнефть-ГЕО, ООО"/>
    <s v="0000062082"/>
    <s v="Зарегистрирован"/>
    <d v="2022-09-28T00:00:00"/>
    <s v=""/>
    <x v="122"/>
    <s v="7704627560"/>
    <s v="ГЕО-19/10201/00155/Р"/>
    <s v=""/>
    <s v="8"/>
    <s v="Нетиповой ДД"/>
    <x v="0"/>
    <s v=""/>
    <s v="00854-22"/>
    <s v=""/>
    <s v="Дополнительное соглашение №8 к Договору № ГЕО-19/10201/00155/Р от 11.07.2019г."/>
    <s v="Внесение условий по сальдированию._x000d__x000a_"/>
    <s v="Шкателов А.А."/>
    <s v="Цветков Д.В."/>
    <s v="Договорный документ"/>
    <s v="Блок бурения и ВСР"/>
    <s v="Трифонов А.В."/>
    <s v="На бумажном носителе"/>
    <s v="С ограничением по срокам "/>
    <d v="2022-09-28T00:00:00"/>
    <d v="2023-12-31T00:00:00"/>
    <s v="Д-33"/>
    <s v="Геолого-разведочное бурение под ключ"/>
    <s v="Не предполагает взаиморасчетов"/>
    <s v="Стоимостной"/>
    <s v=""/>
    <s v=""/>
    <s v=""/>
    <s v=""/>
    <s v=""/>
    <s v=""/>
    <s v="нет"/>
    <s v="нет"/>
    <s v=""/>
    <s v=""/>
    <s v=""/>
    <s v=""/>
    <s v="нет"/>
  </r>
  <r>
    <s v="Газпромнефть-ГЕО, ООО"/>
    <s v="0000062188"/>
    <s v="Зарегистрирован"/>
    <d v="2021-12-07T00:00:00"/>
    <s v=""/>
    <x v="336"/>
    <s v="7819316190"/>
    <s v="ГЕО-19/09000/00267/Р"/>
    <s v=""/>
    <s v="3 (СОР)"/>
    <s v="Нетиповой ДД"/>
    <x v="0"/>
    <s v=""/>
    <s v="00855-21"/>
    <s v=""/>
    <s v="Соглашение о расторжении "/>
    <s v="Стороны пришли к соглашению о расторжении Договора с даты подписания настоящего Соглашения"/>
    <s v="Каратеева М.О."/>
    <s v="Каратеева М.О."/>
    <s v="Договорный документ"/>
    <s v="Отдел по корпоративным коммуникациям"/>
    <s v="Масалкин Ю.В."/>
    <s v="На бумажном носителе"/>
    <s v="С ограничением по срокам "/>
    <d v="2019-10-15T00:00:00"/>
    <d v="2023-12-31T00:00:00"/>
    <s v=""/>
    <s v="Договор возмездного оказания услуг"/>
    <s v="Не предполагает взаиморасчетов"/>
    <s v=""/>
    <s v=""/>
    <s v=""/>
    <s v=""/>
    <s v=""/>
    <s v=""/>
    <s v=""/>
    <s v="нет"/>
    <s v="нет"/>
    <s v=""/>
    <s v=""/>
    <s v=""/>
    <s v=""/>
    <s v="нет"/>
  </r>
  <r>
    <s v="Газпромнефть-ГЕО, ООО"/>
    <s v="0000041259"/>
    <s v="Зарегистрирован"/>
    <d v="2022-09-29T00:00:00"/>
    <s v=""/>
    <x v="142"/>
    <s v="7203159800"/>
    <s v=""/>
    <s v="ГЕО-22/35000/00249"/>
    <s v="ГЕО-22/35000/00249"/>
    <s v="Нетиповой ДД"/>
    <x v="1"/>
    <s v=""/>
    <s v="00855-22"/>
    <s v=""/>
    <s v="Соглашение о безопасном использовании информационных систем"/>
    <s v="Реализация проекта &quot;Цифровой партнер&quot;"/>
    <s v="Копылов Е.О."/>
    <s v=""/>
    <s v="Договорный документ"/>
    <s v="Отдел экологической безопасности"/>
    <s v="Власов М.М."/>
    <s v="На бумажном носителе"/>
    <s v="С ограничением по срокам "/>
    <d v="2022-09-29T00:00:00"/>
    <d v="2024-09-30T00:00:00"/>
    <s v="Д-59"/>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91163"/>
    <s v="Зарегистрирован"/>
    <d v="2022-10-05T00:00:00"/>
    <s v=""/>
    <x v="149"/>
    <s v="5001063958"/>
    <s v="ГЕО-21/11505/00195/Р"/>
    <s v=""/>
    <s v="4"/>
    <s v="Нетиповой ДД"/>
    <x v="0"/>
    <s v=""/>
    <s v="00856-22"/>
    <s v=""/>
    <s v="ДОПОЛНИТЕЛЬНОЕ СОГЛАШЕНИЕ № 4"/>
    <s v="Обязательства Подрядчика по выполнению ключевых показателей эффективности. Актуализация ОЭДК."/>
    <s v="Мормышев А.А."/>
    <s v="Хохлов А.А."/>
    <s v="Договорный документ"/>
    <s v="Управление маркшейдерско-землеустроительных работ"/>
    <s v="Перфильев Д.А."/>
    <s v="ЭП"/>
    <s v="До исполнения обязательств"/>
    <d v="2022-10-07T00:00:00"/>
    <s v=""/>
    <s v="Д-61"/>
    <s v="Аэрофотосъемка, космическая съемка. Создание ортофотопланов"/>
    <s v="Не предполагает взаиморасчетов"/>
    <s v="Рамочный"/>
    <s v=""/>
    <s v=""/>
    <s v=""/>
    <s v=""/>
    <s v=""/>
    <s v=""/>
    <s v="нет"/>
    <s v="нет"/>
    <s v=""/>
    <s v=""/>
    <s v=""/>
    <s v=""/>
    <s v="нет"/>
  </r>
  <r>
    <s v="Газпромнефть-ГЕО, ООО"/>
    <s v="0000073438"/>
    <s v="Зарегистрирован"/>
    <d v="2022-10-07T00:00:00"/>
    <s v=""/>
    <x v="68"/>
    <s v="7720330291"/>
    <s v="ГЕО-21/08000/00296/Р"/>
    <s v=""/>
    <s v="6"/>
    <s v="Нетиповой ДД"/>
    <x v="0"/>
    <s v=""/>
    <s v="00857-22"/>
    <s v=""/>
    <s v="ДОПОЛНИТЕЛЬНОЕ СОГЛАШЕНИЕ № 6"/>
    <s v="Обязательства Подрядчика по выполнению ключевых показателей эффективности. Актуализация ОЭДК."/>
    <s v="Мормышев А.А."/>
    <s v="Мустафин И.Р."/>
    <s v="Договорный документ"/>
    <s v="Управление лицензирования и недропользования"/>
    <s v="Аксенов М.А."/>
    <s v="На бумажном носителе"/>
    <s v="Без сроков "/>
    <d v="2022-10-07T00:00:00"/>
    <s v=""/>
    <s v=""/>
    <s v="Договор на выполнение НИР, ОКР и технологических работ"/>
    <s v="Не предполагает взаиморасчетов"/>
    <s v="Стоимостной"/>
    <s v=""/>
    <s v=""/>
    <s v=""/>
    <s v=""/>
    <s v=""/>
    <s v=""/>
    <s v="нет"/>
    <s v="нет"/>
    <s v=""/>
    <s v=""/>
    <s v=""/>
    <s v=""/>
    <s v="нет"/>
  </r>
  <r>
    <s v="Газпромнефть-ГЕО, ООО"/>
    <s v="0000076851"/>
    <s v="Зарегистрирован"/>
    <d v="2022-10-14T00:00:00"/>
    <s v=""/>
    <x v="48"/>
    <s v="2466091092"/>
    <s v=""/>
    <s v="ГЕО-22/11000/00274/Р"/>
    <s v="ГЕО-22/11000/00274/Р"/>
    <s v="Нетиповой ДД"/>
    <x v="2"/>
    <s v=""/>
    <s v="00858-22"/>
    <s v=""/>
    <s v="11018, 11019, 11020, 11021, 11022  Договор (рамочный) на выполнение работ по услуге &quot;Капитальное строительство и ПИР&quot;"/>
    <s v="выполнение проектных работ для нужд ООО «ГПН-ГЕО» "/>
    <s v="Коваленко М.В."/>
    <s v="Шолохова И.А."/>
    <s v="Договорный документ"/>
    <s v="Управление проектно-изыскательских работ"/>
    <s v="Трифонов А.В."/>
    <s v="ЭП"/>
    <s v="С ограничением по срокам "/>
    <d v="2022-10-14T00:00:00"/>
    <d v="2026-03-31T00:00:00"/>
    <s v="Д-33"/>
    <s v="Капитальное строительство и ПИР"/>
    <s v="Расходная часть"/>
    <s v="Рамочный"/>
    <s v="20%"/>
    <s v=""/>
    <s v="13605363.8"/>
    <s v="273 465 256.80"/>
    <s v="227 887 714.00"/>
    <s v="45 577 542.80"/>
    <s v="да"/>
    <s v="нет"/>
    <s v=""/>
    <s v=""/>
    <s v=""/>
    <s v=""/>
    <s v="нет"/>
  </r>
  <r>
    <s v="Газпромнефть-ГЕО, ООО"/>
    <s v="0000076851"/>
    <s v="Зарегистрирован"/>
    <d v="2022-10-14T00:00:00"/>
    <s v=""/>
    <x v="48"/>
    <s v="2466091092"/>
    <s v=""/>
    <s v="ГЕО-22/33100/00275"/>
    <s v="ГЕО-22/33100/00275"/>
    <s v="Типовой ДД"/>
    <x v="1"/>
    <s v="33100 Соглашение в области производственной безопасности"/>
    <s v="00859-22"/>
    <s v=""/>
    <s v="33100 Соглашение в области производственной безопасности"/>
    <s v="в целях обеспечения ПБ при выполнени работ"/>
    <s v="Коваленко М.В."/>
    <s v="Шолохова И.А."/>
    <s v="Договорный документ"/>
    <s v="Управление проектно-изыскательских работ"/>
    <s v="Власов М.М."/>
    <s v="ЭП"/>
    <s v="Без сроков "/>
    <d v="2022-10-14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6851"/>
    <s v="Закрыт"/>
    <d v="2022-10-31T00:00:00"/>
    <s v=""/>
    <x v="48"/>
    <s v="2466091092"/>
    <s v=""/>
    <s v="ГЕО-22/33200/00281"/>
    <s v="ГЕО-22/33200/00281"/>
    <s v="Типовой ДД"/>
    <x v="1"/>
    <s v="33200 Соглашение об электронном документообороте"/>
    <s v="00860-22"/>
    <s v=""/>
    <s v="33200 Соглашение об электронном документообороте"/>
    <s v="обмен элетронным документами"/>
    <s v="Коваленко М.В."/>
    <s v="Шолохова И.А."/>
    <s v="Договорный документ"/>
    <s v="Управление проектно-изыскательских работ"/>
    <s v="Ковтун М.А."/>
    <s v="ЭП"/>
    <s v="Без сроков "/>
    <d v="2022-10-31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76851"/>
    <s v="Зарегистрирован"/>
    <d v="2022-10-31T00:00:00"/>
    <s v=""/>
    <x v="48"/>
    <s v="2466091092"/>
    <s v=""/>
    <s v="ГЕО-22/26000/00280"/>
    <s v="ГЕО-22/26000/00280"/>
    <s v="Типовой ДД"/>
    <x v="1"/>
    <s v="26000 Соглашение о конфиденциальности с российским контрагентом"/>
    <s v="00861-22"/>
    <s v=""/>
    <s v="26000 Соглашение о конфиденциальности с российским контрагентом"/>
    <s v="в целях обеспечения неразглашения информации, составляющей коммерческую тайну и иной конфиденциальной информации при оказании услуг/выполнении работ по Договору"/>
    <s v="Коваленко М.В."/>
    <s v="Шолохова И.А."/>
    <s v="Договорный документ"/>
    <s v="Управление проектно-изыскательских работ"/>
    <s v="Созинов С.А."/>
    <s v="ЭП"/>
    <s v="До исполнения обязательств"/>
    <d v="2022-10-31T00:00:00"/>
    <s v=""/>
    <s v="Д-60"/>
    <s v="Соглашение о конфиденциальности"/>
    <s v="Не предполагает взаиморасчетов"/>
    <s v=""/>
    <s v=""/>
    <s v=""/>
    <s v=""/>
    <s v=""/>
    <s v=""/>
    <s v=""/>
    <s v="нет"/>
    <s v="нет"/>
    <s v=""/>
    <s v=""/>
    <s v=""/>
    <s v=""/>
    <s v="нет"/>
  </r>
  <r>
    <s v="Газпромнефть-ГЕО, ООО"/>
    <s v="0000045789"/>
    <s v="Зарегистрирован"/>
    <d v="2021-12-01T00:00:00"/>
    <s v=""/>
    <x v="16"/>
    <s v="7838395487"/>
    <s v="ГЕО-21/00000/00123/Д"/>
    <s v=""/>
    <s v="НТЦ-02917-21Р-ГПН"/>
    <s v="Нетиповой ДД"/>
    <x v="3"/>
    <s v=""/>
    <s v="00862-21"/>
    <s v=""/>
    <s v="Методическое и экспертное сопровождение реализации технологических проектов Технологической стратегии БРД"/>
    <s v="Научно-техническое сопровождение проекта «Разработка когнитивных инструментов геологического анализа», включая формирование датасетов, базы знаний и базы аналогов,  апробацию прототипов, анализ результатов и выдачу рекомендаций. "/>
    <s v="Кошелева Ю.В."/>
    <s v="Кошелева Ю.В."/>
    <s v="Договорный документ"/>
    <s v="Блок перспективного планирования"/>
    <s v="Агеев П.А."/>
    <s v="На бумажном носителе"/>
    <s v="С ограничением по срокам "/>
    <d v="2021-12-01T00:00:00"/>
    <d v="2021-12-30T00:00:00"/>
    <s v="Д-2"/>
    <s v="ПРОЧИЕ ДОГОВОРЫ"/>
    <s v="Доходная часть"/>
    <s v="Стоимостной"/>
    <s v="20%"/>
    <s v=""/>
    <s v=""/>
    <s v="4 263 006.00"/>
    <s v="3 552 505.00"/>
    <s v="710 501.00"/>
    <s v="нет"/>
    <s v="нет"/>
    <s v=""/>
    <s v=""/>
    <s v=""/>
    <s v=""/>
    <s v="нет"/>
  </r>
  <r>
    <s v="Газпромнефть-ГЕО, ООО"/>
    <s v="0000076283"/>
    <s v="Зарегистрирован"/>
    <d v="2022-10-10T00:00:00"/>
    <s v=""/>
    <x v="28"/>
    <s v="4501174492"/>
    <s v=""/>
    <s v="ГЕО-22/11000/00267/Р"/>
    <s v="ГЕО-22/11000/00267/Р"/>
    <s v="Нетиповой ДД"/>
    <x v="2"/>
    <s v=""/>
    <s v="00862-22"/>
    <s v=""/>
    <s v="11018, 11019, 11020, 11021, 11022  Договор (рамочный) на выполнение работ по услуге &quot;Капитальное строительство и ПИР&quot;"/>
    <s v="Выполнению инженерных изысканий для нужд ООО «ГПН-ГЕО»."/>
    <s v="Мормышев А.А."/>
    <s v="Салахутдинов Р.С."/>
    <s v="Договорный документ"/>
    <s v="Департамент капитального строительства"/>
    <s v="Трифонов А.В."/>
    <s v="ЭП"/>
    <s v="До исполнения обязательств"/>
    <d v="2022-10-10T00:00:00"/>
    <s v=""/>
    <s v="Д-33"/>
    <s v="Капитальное строительство и ПИР"/>
    <s v="Расходная часть"/>
    <s v="Стоимостной"/>
    <s v="20%"/>
    <s v=""/>
    <s v="72459852.24"/>
    <s v="933 900 787.13"/>
    <s v="778 250 655.94"/>
    <s v="155 650 131.19"/>
    <s v="да"/>
    <s v="нет"/>
    <s v=""/>
    <s v=""/>
    <s v=""/>
    <s v=""/>
    <s v="нет"/>
  </r>
  <r>
    <s v="Газпромнефть-ГЕО, ООО"/>
    <s v="0000039714"/>
    <s v="Зарегистрирован"/>
    <d v="2021-12-06T00:00:00"/>
    <s v=""/>
    <x v="1"/>
    <s v="7734033757"/>
    <s v="ГЕО-21/10114/00257/Р"/>
    <s v=""/>
    <s v="1"/>
    <s v="Нетиповой ДД"/>
    <x v="0"/>
    <s v=""/>
    <s v="00863-21"/>
    <s v=""/>
    <s v="10114 - Супервайзерские услуги полевых работ площадными геофизическими методами;"/>
    <s v="Перевод части негарантированного объёма в гарантированный. "/>
    <s v="Дакиров В.С."/>
    <s v=""/>
    <s v="Договорный документ"/>
    <s v="Управление сейсморазведочных работ"/>
    <s v="Аксенов М.А."/>
    <s v="На бумажном носителе"/>
    <s v="До исполнения обязательств"/>
    <d v="2021-12-06T00:00:00"/>
    <s v=""/>
    <s v="Д-3"/>
    <s v="Супервайзерские услуги полевых работ площадными геофизическими методами"/>
    <s v="Не предполагает взаиморасчетов"/>
    <s v="Рамочный"/>
    <s v=""/>
    <s v=""/>
    <s v=""/>
    <s v=""/>
    <s v=""/>
    <s v=""/>
    <s v="нет"/>
    <s v="нет"/>
    <s v=""/>
    <s v=""/>
    <s v=""/>
    <s v=""/>
    <s v="нет"/>
  </r>
  <r>
    <s v="Газпромнефть-ГЕО, ООО"/>
    <s v="0000076283"/>
    <s v="Зарегистрирован"/>
    <d v="2022-10-10T00:00:00"/>
    <s v=""/>
    <x v="28"/>
    <s v="4501174492"/>
    <s v=""/>
    <s v="ГЕО-22/33100/00245"/>
    <s v="ГЕО-22/33100/00245"/>
    <s v="Типовой ДД"/>
    <x v="1"/>
    <s v="33100 Соглашение в области производственной безопасности"/>
    <s v="00863-22"/>
    <s v=""/>
    <s v="33100 Соглашение в области производственной безопасности. Уралгеопроект, ООО"/>
    <s v="С целью обеспечения ПБ при оказании услуг."/>
    <s v="Мормышев А.А."/>
    <s v="Салахутдинов Рашид Сабирович"/>
    <s v="Договорный документ"/>
    <s v="Блок снабжения и закупок"/>
    <s v="Власов М.М."/>
    <s v="ЭП"/>
    <s v="До исполнения обязательств"/>
    <d v="2022-10-10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25354"/>
    <s v="Зарегистрирован"/>
    <d v="2021-12-20T00:00:00"/>
    <s v=""/>
    <x v="111"/>
    <s v="5003026493"/>
    <s v=""/>
    <s v="ГЕО-21/26000/00285"/>
    <s v="ГЕО-21/26000/00285"/>
    <s v="Типовой ДД"/>
    <x v="1"/>
    <s v="26000 Соглашение о конфиденциальности с российским контрагентом"/>
    <s v="00864-21"/>
    <s v=""/>
    <s v="26000 Соглашение о конфиденциальности с российским контрагентом"/>
    <s v="Заключение соглашения о конфиденциальности с российским контрагентом"/>
    <s v="Шкателов А.А."/>
    <s v="Шкателов А.А."/>
    <s v="Договорный документ"/>
    <s v="Блок корпоративной защиты"/>
    <s v="Созинов С.А."/>
    <s v="На бумажном носителе"/>
    <s v="С ограничением по срокам "/>
    <d v="2021-12-20T00:00:00"/>
    <d v="2030-12-31T00:00:00"/>
    <s v="Д-35"/>
    <s v="Соглашение о конфиденциальности"/>
    <s v="Не предполагает взаиморасчетов"/>
    <s v=""/>
    <s v=""/>
    <s v=""/>
    <s v=""/>
    <s v=""/>
    <s v=""/>
    <s v=""/>
    <s v="нет"/>
    <s v="нет"/>
    <s v=""/>
    <s v=""/>
    <s v=""/>
    <s v=""/>
    <s v="нет"/>
  </r>
  <r>
    <s v="Газпромнефть-ГЕО, ООО"/>
    <s v="0000086584"/>
    <s v="Зарегистрирован"/>
    <d v="2022-10-06T00:00:00"/>
    <s v=""/>
    <x v="113"/>
    <s v="5609077986"/>
    <s v="№ ГЕО-18/00000/00025Д "/>
    <s v=""/>
    <s v="8"/>
    <s v="Нетиповой ДД"/>
    <x v="0"/>
    <s v=""/>
    <s v="00864-22"/>
    <s v=""/>
    <s v="Дополнительное соглашение №8 к Договору о выполнении операторских работ и оказании операторских услуг (Оморинский ЛУ)"/>
    <s v=" перевод негарантированного объема 2022г. в гарантированный в рамках программы выполнения работ и оказания услуг ГРР по Оморинскому ЛУ на 2021-2022гг. без увеличения стоимости программы ГРР"/>
    <s v="Частухина Е.В."/>
    <s v="Частухина Е.В."/>
    <s v="Договорный документ"/>
    <s v="Управление экономического планирования и анализа"/>
    <s v="Шакирзянов Л.Н."/>
    <s v="На бумажном носителе"/>
    <s v="С ограничением по срокам "/>
    <d v="2022-10-06T00:00:00"/>
    <d v="2022-12-31T00:00:00"/>
    <s v="Д-53"/>
    <s v="Договор возмездного оказания услуг"/>
    <s v="Доходная часть"/>
    <s v="Стоимостной"/>
    <s v="20%"/>
    <s v=""/>
    <s v=""/>
    <s v="1 034 852 959.99"/>
    <s v="862 377 466.66"/>
    <s v="172 475 493.33"/>
    <s v="нет"/>
    <s v="нет"/>
    <s v=""/>
    <s v=""/>
    <s v=""/>
    <s v=""/>
    <s v="нет"/>
  </r>
  <r>
    <s v="Газпромнефть-ГЕО, ООО"/>
    <s v="0000073438"/>
    <s v="Зарегистрирован"/>
    <d v="2022-09-23T00:00:00"/>
    <s v=""/>
    <x v="68"/>
    <s v="7720330291"/>
    <s v="ГЕО-21/08000/00296/Р"/>
    <s v=""/>
    <s v="5"/>
    <s v="Нетиповой ДД"/>
    <x v="7"/>
    <s v=""/>
    <s v="00865-22"/>
    <s v=""/>
    <s v="Заявка №5 к Договору № ГЕО-21/08000/00296/Р от «28» декабря 2021 г."/>
    <s v="Разработка проектной документации на геологическое изучение на Первомайском участке недр."/>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9-23T00:00:00"/>
    <d v="2022-11-25T00:00:00"/>
    <s v="Д-54"/>
    <s v="Договор на выполнение НИР, ОКР и технологических работ"/>
    <s v="Расходная часть"/>
    <s v="Стоимостной"/>
    <s v="20%"/>
    <s v=""/>
    <s v=""/>
    <s v="1 162 339.20"/>
    <s v="968 616.00"/>
    <s v="193 723.20"/>
    <s v="нет"/>
    <s v="нет"/>
    <s v=""/>
    <s v=""/>
    <s v=""/>
    <s v=""/>
    <s v="нет"/>
  </r>
  <r>
    <s v="Газпромнефть-ГЕО, ООО"/>
    <s v="0000073438"/>
    <s v="Зарегистрирован"/>
    <d v="2022-09-23T00:00:00"/>
    <s v=""/>
    <x v="68"/>
    <s v="7720330291"/>
    <s v="ГЕО-21/08000/00296/Р"/>
    <s v=""/>
    <s v="6"/>
    <s v="Нетиповой ДД"/>
    <x v="7"/>
    <s v=""/>
    <s v="00866-22"/>
    <s v=""/>
    <s v="Заявка №6 к Договору № ГЕО-21/08000/00296/Р от «28» декабря 2021 г."/>
    <s v="Разработка проектной документации на геологическое изучение на Чонской группе месторождений"/>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9-23T00:00:00"/>
    <d v="2022-11-25T00:00:00"/>
    <s v="Д-54"/>
    <s v="Договор на выполнение НИР, ОКР и технологических работ"/>
    <s v="Расходная часть"/>
    <s v="Стоимостной"/>
    <s v="20%"/>
    <s v=""/>
    <s v=""/>
    <s v="5 256 590.62"/>
    <s v="4 380 492.18"/>
    <s v="876 098.44"/>
    <s v="нет"/>
    <s v="нет"/>
    <s v=""/>
    <s v=""/>
    <s v=""/>
    <s v=""/>
    <s v="нет"/>
  </r>
  <r>
    <s v="Газпромнефть-ГЕО, ООО"/>
    <s v="0000069357"/>
    <s v="Зарегистрирован"/>
    <d v="2021-12-23T00:00:00"/>
    <s v=""/>
    <x v="147"/>
    <s v="8903034220"/>
    <s v=""/>
    <s v="ГЕО-21/20000/00293/Д"/>
    <s v="ГЕО-21/20000/00293/Д"/>
    <s v="Нетиповой ДД"/>
    <x v="2"/>
    <s v=""/>
    <s v="00867-21"/>
    <s v=""/>
    <s v="Агентский договор на выполнение работ по обработке и интерпретации сейсмических материалов МОГТ-ЗД в пределах Северо-Самбургского участка"/>
    <s v="Выполнение работ по обработке и интерпретации сейсмических материалов МОГТ-ЗД в пределах Северо-Самбургского участка"/>
    <s v="Мурзин Р.Р."/>
    <s v="Мурзин Р.Р."/>
    <s v="Договорный документ"/>
    <s v="Управление сейсморазведочных работ"/>
    <s v="Аксенов М.А."/>
    <s v="На бумажном носителе"/>
    <s v="С ограничением по срокам "/>
    <d v="2021-12-23T00:00:00"/>
    <d v="2023-12-31T00:00:00"/>
    <s v=""/>
    <s v="Агентский договор"/>
    <s v="Доходная часть"/>
    <s v="Агентский"/>
    <s v="20%"/>
    <s v=""/>
    <s v=""/>
    <s v="37 272 413.70"/>
    <s v="31 060 344.75"/>
    <s v="6 212 068.95"/>
    <s v="нет"/>
    <s v="нет"/>
    <s v=""/>
    <s v=""/>
    <s v=""/>
    <s v=""/>
    <s v="нет"/>
  </r>
  <r>
    <s v="Газпромнефть-ГЕО, ООО"/>
    <s v="0000074750"/>
    <s v="Закрыт"/>
    <d v="2022-10-03T00:00:00"/>
    <s v=""/>
    <x v="66"/>
    <s v="8905062456"/>
    <s v="ГЕО-21/10120/00148/Р"/>
    <s v=""/>
    <s v="2"/>
    <s v="Нетиповой ДД"/>
    <x v="0"/>
    <s v=""/>
    <s v="00867-22"/>
    <s v=""/>
    <s v="Дополнительное соглашение №2 К ДОГОВОРУ № ГЕО-21/10120/00148/Р от 02 июля 2021"/>
    <s v="Согласно Письма №НК-43/005843 от 22.04.2022г. «Кас. стоимости услуг сервисных предприятий на 2022 год», в связи с внешнеполитической ситуацией и во избежание убытков нефтесервисных дочерних обществ ПАО «Газпром нефть», обусловленных ростом расходов, в ПАО «Газпром нефть» принято решение об индексации с 01.04.2022 г. тарифов на услуги, оказываемые ООО «Газпромнефть-ННГГФ» _x000d__x000a_Согласно Письма №НК-43/011502-01 от 02.08.2022 «Кас. стоимости услуг сервисных предприятий на 2022 год (2 итерация)» В связи с принятым по Группе Компаний Газпром решением о дополнительной индексации ФОТ сверх БП на 10% и во избежание убытков сервисных дочерних обществ ПАО «Газпром нефть» обусловленных ростом расходов на фонд оплаты труда сотрудников, принято решение об индексации с 01.08.2022 г. тарифов на услуги, оказываемые ООО «ГПН-Ноябрьскнефтегазгеофизика», в ПАО «Газпром нефть» принято решение об индексации с 01.08.2022 г. тарифов на услуги, оказываемые ООО «Газпромнефть-ННГГФ» _x000d__x000a_Во исполнение указанного решения, а также на основании обращения ООО «Газпромнефть-ННГГФ» письмо №09/643 от 17.05.2022 «О заключении ДС к действующим Договорам ГИРС (Приложение № 7) в соответствии с письмом ПАО «Газпром нефть» №НК-43/005843 от 22.04.2022» и с письмом ПАО «Газпром нефть» №НК-43/011502-01 от 02.08.2022 , необходимо провести индексацию стоимости услуг в размере доведенного процента индексации, без изменения общей стоимости договора за счет уменьшения объемов работ с учетом производственной потребности. "/>
    <s v="Николаев В.А."/>
    <s v="Николаев В.А."/>
    <s v="Договорный документ"/>
    <s v="Управление по разработке"/>
    <s v="Аксенов М.А."/>
    <s v="На бумажном носителе"/>
    <s v="С ограничением по срокам "/>
    <d v="2022-04-01T00:00:00"/>
    <d v="2022-12-31T00:00:00"/>
    <s v="Д-54"/>
    <s v="Гидродинамические исследования"/>
    <s v="Не предполагает взаиморасчетов"/>
    <s v="Рамочный"/>
    <s v=""/>
    <s v=""/>
    <s v=""/>
    <s v=""/>
    <s v=""/>
    <s v=""/>
    <s v="нет"/>
    <s v="нет"/>
    <s v=""/>
    <s v=""/>
    <s v=""/>
    <s v=""/>
    <s v="нет"/>
  </r>
  <r>
    <s v="Газпромнефть-ГЕО, ООО"/>
    <s v="0000062082"/>
    <s v="Зарегистрирован"/>
    <d v="2021-12-10T00:00:00"/>
    <s v=""/>
    <x v="122"/>
    <s v="7704627560"/>
    <s v="ГЕО-19/10201/00155/Р"/>
    <s v=""/>
    <s v="6"/>
    <s v="Нетиповой ДД"/>
    <x v="0"/>
    <s v=""/>
    <s v="00868-21"/>
    <s v=""/>
    <s v="Дополнительное соглашение №6 к Договору № ГЕО-19/10201/00155/Р от 11.07.2019г."/>
    <s v="Включение физического объема на 2022 с целью пролонгировать аренду ПВО по схеме ОП 10 (H2S) на скважину 198 ПО с учетом приведения к факту затрат 2020 и 2021 года, а также внедрение дополнительной мотивации (КПЭ) без изменения стоимости Договора"/>
    <s v="Шкателов А.А."/>
    <s v="Дорогойченков Д.В."/>
    <s v="Договорный документ"/>
    <s v="Блок бурения и ВСР"/>
    <s v="Гаврилов С.В."/>
    <s v="На бумажном носителе"/>
    <s v="До исполнения обязательств"/>
    <d v="2021-12-10T00:00:00"/>
    <s v=""/>
    <s v=""/>
    <s v="Геолого-разведочное бурение под ключ"/>
    <s v="Не предполагает взаиморасчетов"/>
    <s v="Стоимостной"/>
    <s v=""/>
    <s v=""/>
    <s v=""/>
    <s v=""/>
    <s v=""/>
    <s v=""/>
    <s v="нет"/>
    <s v="нет"/>
    <s v=""/>
    <s v=""/>
    <s v=""/>
    <s v=""/>
    <s v="нет"/>
  </r>
  <r>
    <s v="Газпромнефть-ГЕО, ООО"/>
    <s v="0000073438"/>
    <s v="Зарегистрирован"/>
    <d v="2022-09-29T00:00:00"/>
    <s v=""/>
    <x v="68"/>
    <s v="7720330291"/>
    <s v="ГЕО-21/08000/00296/Р"/>
    <s v=""/>
    <s v="7"/>
    <s v="Нетиповой ДД"/>
    <x v="7"/>
    <s v=""/>
    <s v="00868-22"/>
    <s v=""/>
    <s v="Заявка №7 к Договору № ГЕО-21/08000/00296/Р от «28» декабря 2021 г."/>
    <s v="Разработка проектной документации на геологическое изучение на Западно-Таймырских 1-12 ЛУ"/>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2-09-29T00:00:00"/>
    <d v="2022-11-30T00:00:00"/>
    <s v="Д-54"/>
    <s v="Договор на выполнение НИР, ОКР и технологических работ"/>
    <s v="Расходная часть"/>
    <s v="Стоимостной"/>
    <s v="20%"/>
    <s v=""/>
    <s v=""/>
    <s v="4 931 136.00"/>
    <s v="4 109 280.00"/>
    <s v="821 856.00"/>
    <s v="нет"/>
    <s v="нет"/>
    <s v=""/>
    <s v=""/>
    <s v=""/>
    <s v=""/>
    <s v="нет"/>
  </r>
  <r>
    <s v="Газпромнефть-ГЕО, ООО"/>
    <s v=""/>
    <s v="Закрыт"/>
    <d v="2021-12-09T00:00:00"/>
    <s v=""/>
    <x v="459"/>
    <s v=""/>
    <s v=""/>
    <s v="ГЕО-21/25000/00288/Р"/>
    <s v="ГЕО-21/25000/00288/Р"/>
    <s v="Типовой ДД"/>
    <x v="2"/>
    <s v="25000 Договор об оказании услуг физическим лицом (без выезда на Лицензионные участки Заказчика)"/>
    <s v="00869-21"/>
    <s v=""/>
    <s v="25000 Договор об оказании услуг физическим лицом (без выезда на Лицензионные участки Заказчика)"/>
    <s v="Исполнитель обязуется оказать Заказчику услуги по проведению фотосъемок сотрудников, созданию дизайна плаката формата А1, созданию инфографики именуемые в дальнейшем «Услуги», а Заказчик обязуется принять результат Услуг и оплатить его."/>
    <s v="Каратеева М.О."/>
    <s v="Каратеева М.О."/>
    <s v="Договорный документ"/>
    <s v="Отдел по корпоративным коммуникациям"/>
    <s v="Масалкин Ю.В."/>
    <s v="На бумажном носителе"/>
    <s v="С ограничением по срокам "/>
    <d v="2021-12-09T00:00:00"/>
    <d v="2022-02-28T00:00:00"/>
    <s v=""/>
    <s v="Договор оказания услуг с физическим лицом"/>
    <s v="Расходная часть"/>
    <s v="Стоимостной"/>
    <s v="13%"/>
    <s v=""/>
    <s v=""/>
    <s v="499 770.11"/>
    <s v="434 800.00"/>
    <s v="64 900.11"/>
    <s v="нет"/>
    <s v="нет"/>
    <s v=""/>
    <s v=""/>
    <s v=""/>
    <s v=""/>
    <s v="нет"/>
  </r>
  <r>
    <s v="Газпромнефть-ГЕО, ООО"/>
    <s v="0000076283"/>
    <s v="Закрыт"/>
    <d v="2022-10-10T00:00:00"/>
    <s v=""/>
    <x v="28"/>
    <s v="4501174492"/>
    <s v=""/>
    <s v="ГЕО-22/33200/00269"/>
    <s v="ГЕО-22/33200/00269"/>
    <s v="Типовой ДД"/>
    <x v="1"/>
    <s v="33200 Соглашение об электронном документообороте"/>
    <s v="00869-22"/>
    <s v=""/>
    <s v="33200 Соглашение об электронном документообороте"/>
    <s v="Электонный обмен документами ООО &quot;Уралгеопроект&quot;."/>
    <s v="Мормышев А.А."/>
    <s v="Салахутдинов Р.С."/>
    <s v="Договорный документ"/>
    <s v="Управление проектно-изыскательских работ"/>
    <s v="Аксенов М.А."/>
    <s v="ЭП"/>
    <s v="Без сроков "/>
    <d v="2022-10-04T00:00:00"/>
    <s v=""/>
    <s v=""/>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
    <s v="Закрыт"/>
    <d v="2021-12-09T00:00:00"/>
    <s v=""/>
    <x v="459"/>
    <s v=""/>
    <s v=""/>
    <s v="ГЕО-21/26000/00287"/>
    <s v="ГЕО-21/26000/00287"/>
    <s v="Типовой ДД"/>
    <x v="1"/>
    <s v="26000 Договор о конфиденциальности с физическим лицом"/>
    <s v="00870-21"/>
    <s v=""/>
    <s v="26000 Договор о конфиденциальности с физическим лицом"/>
    <s v="В связи с заключением договора ГПХ"/>
    <s v="Каратеева М.О."/>
    <s v=""/>
    <s v="Договорный документ"/>
    <s v="Отдел по корпоративным коммуникациям"/>
    <s v="Масалкин Ю.В."/>
    <s v="На бумажном носителе"/>
    <s v="С ограничением по срокам "/>
    <d v="2021-12-09T00:00:00"/>
    <d v="2021-12-28T00:00:00"/>
    <s v=""/>
    <s v="Соглашение о конфиденциальности"/>
    <s v="Не предполагает взаиморасчетов"/>
    <s v=""/>
    <s v=""/>
    <s v=""/>
    <s v=""/>
    <s v=""/>
    <s v=""/>
    <s v=""/>
    <s v="нет"/>
    <s v="нет"/>
    <s v=""/>
    <s v=""/>
    <s v=""/>
    <s v=""/>
    <s v="нет"/>
  </r>
  <r>
    <s v="Газпромнефть-ГЕО, ООО"/>
    <s v=""/>
    <s v="Закрыт"/>
    <d v="2022-10-03T00:00:00"/>
    <s v=""/>
    <x v="460"/>
    <s v=""/>
    <s v=""/>
    <s v="ГЕО-22/09000/00262/Р"/>
    <s v="ГЕО-22/09000/00262/Р"/>
    <s v="Нетиповой ДД"/>
    <x v="2"/>
    <s v=""/>
    <s v="00870-22"/>
    <s v=""/>
    <s v="Договор на оказание услуг  по проведению лабораторных исследований проб растительности Лескинского ЛУ"/>
    <s v="Исполнитель по заданию Заказчика обязуется оказать услуги на проведение лабораторных исследований проб растительности, но не ограничиваясь этим. Перечень услуг в рамках договора включает в себя: проведение лабораторных исследований по определению содержания химических элементов и нефтепродуктов в пробах растительности; составление протоколов результатов лабораторных исследований; заключения об уровне содержания химических элементов и нефтепродуктов в пробах растительности по результатам лабораторных исследований, отчета о соответствии установленным нормативным значениям результатов лабораторных исследований, сравнения проб по уровню содержания исследованных химических веществ"/>
    <s v="Липатова О.И."/>
    <s v=""/>
    <s v="Договорный документ"/>
    <s v="Отдел экологической безопасности"/>
    <s v="Власов М.М."/>
    <s v="На бумажном носителе"/>
    <s v="С ограничением по срокам "/>
    <d v="2022-10-03T00:00:00"/>
    <d v="2022-12-31T00:00:00"/>
    <s v="Д-59"/>
    <s v="Договор возмездного оказания услуг"/>
    <s v="Расходная часть"/>
    <s v="Стоимостной"/>
    <s v="без НДС"/>
    <s v=""/>
    <s v=""/>
    <s v="767 050.00"/>
    <s v="767 050.00"/>
    <n v="0"/>
    <s v="нет"/>
    <s v="нет"/>
    <s v=""/>
    <s v=""/>
    <s v=""/>
    <s v=""/>
    <s v="нет"/>
  </r>
  <r>
    <s v="Газпромнефть-ГЕО, ООО"/>
    <s v="0000058271"/>
    <s v="Зарегистрирован"/>
    <d v="2021-12-09T00:00:00"/>
    <s v=""/>
    <x v="42"/>
    <s v="7725696878"/>
    <s v="ГЕО-19/11708/00133/Р от 25.06.2019"/>
    <s v=""/>
    <s v="14"/>
    <s v="Нетиповой ДД"/>
    <x v="3"/>
    <s v=""/>
    <s v="00871-21"/>
    <s v=""/>
    <s v="Заказ-Наряд №14 к договору №ГЕО-19/11708/00133/Р от 25.06.2019"/>
    <s v="Седиментологическое описание керна меловых и юрских пластов Хамбатейского месторождения и смежных территорий Южного Ямала"/>
    <s v="Коротков С.П."/>
    <s v=""/>
    <s v="Договорный документ"/>
    <s v="Управление по разработке"/>
    <s v="Аксенов М.А."/>
    <s v="На бумажном носителе"/>
    <s v="С ограничением по срокам "/>
    <d v="2021-12-09T00:00:00"/>
    <d v="2022-02-01T00:00:00"/>
    <s v="Д-3"/>
    <s v="НИОКР, НИР прочие"/>
    <s v="Расходная часть"/>
    <s v="Рамочный"/>
    <s v="20%"/>
    <s v=""/>
    <s v=""/>
    <s v="4 167 206.40"/>
    <s v="3 472 672.00"/>
    <s v="694 534.40"/>
    <s v="нет"/>
    <s v="нет"/>
    <s v=""/>
    <s v=""/>
    <s v=""/>
    <s v=""/>
    <s v="нет"/>
  </r>
  <r>
    <s v="Газпромнефть-ГЕО, ООО"/>
    <s v="0000076283"/>
    <s v="Зарегистрирован"/>
    <d v="2022-10-10T00:00:00"/>
    <s v=""/>
    <x v="28"/>
    <s v="4501174492"/>
    <s v="ГЕО-22/11000/00267/Р"/>
    <s v=""/>
    <s v="1"/>
    <s v="Нетиповой ДД"/>
    <x v="0"/>
    <s v=""/>
    <s v="00871-22"/>
    <s v=""/>
    <s v="Дополнительное соглашение о включении в договоры арбитражной оговорки"/>
    <s v="Арбитражная оговорка"/>
    <s v="Мормышев А.А."/>
    <s v="Салахутдинов Р.С."/>
    <s v="Договорный документ"/>
    <s v="Управление проектно-изыскательских работ"/>
    <s v="Трифонов А.В."/>
    <s v="ЭП"/>
    <s v="Без сроков "/>
    <d v="2022-10-05T00:00:00"/>
    <s v=""/>
    <s v="Д-33"/>
    <s v="Капитальное строительство и ПИР"/>
    <s v="Не предполагает взаиморасчетов"/>
    <s v="Стоимостной"/>
    <s v=""/>
    <s v=""/>
    <s v=""/>
    <s v=""/>
    <s v=""/>
    <s v=""/>
    <s v="нет"/>
    <s v="нет"/>
    <s v=""/>
    <s v=""/>
    <s v=""/>
    <s v=""/>
    <s v="нет"/>
  </r>
  <r>
    <s v="Газпромнефть-ГЕО, ООО"/>
    <s v="0000066514"/>
    <s v="Зарегистрирован"/>
    <d v="2021-12-10T00:00:00"/>
    <s v=""/>
    <x v="175"/>
    <s v="7725741143"/>
    <s v="ГЕО-211151300019Р"/>
    <s v=""/>
    <s v="2"/>
    <s v="Типовой ДД"/>
    <x v="0"/>
    <s v="00000 ДС на изменение реквизитов контрагента (адрес, счет)"/>
    <s v="00872-21"/>
    <s v=""/>
    <s v="00000 ДС на изменение реквизитов контрагента (адрес, счет)"/>
    <s v="изменение реквизитов контрагента (адрес, счет)"/>
    <s v="Расулов И.Ф."/>
    <s v="Расулов И.Ф."/>
    <s v="Договорный документ"/>
    <s v="Управление маркшейдерско-землеустроительных работ"/>
    <s v="Перфильев Д.А."/>
    <s v="На бумажном носителе"/>
    <s v="С ограничением по срокам "/>
    <d v="2021-12-10T00:00:00"/>
    <d v="2023-12-31T00:00:00"/>
    <s v="Д-22"/>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104253"/>
    <s v="Зарегистрирован"/>
    <d v="2022-10-03T00:00:00"/>
    <s v=""/>
    <x v="254"/>
    <s v="7813297921"/>
    <s v="ГЕО-22/09000/00106/Р"/>
    <s v=""/>
    <s v="2"/>
    <s v="Нетиповой ДД"/>
    <x v="0"/>
    <s v=""/>
    <s v="00872-22"/>
    <s v=""/>
    <s v="Дополнительное соглашение №2"/>
    <s v="Корректировка сроков оплаты"/>
    <s v="Бабиков Н.В."/>
    <s v="Бабиков Н.В."/>
    <s v="Договорный документ"/>
    <s v="Блок снабжения и закупок"/>
    <s v="Титов А.В."/>
    <s v="На бумажном носителе"/>
    <s v="До исполнения обязательств"/>
    <d v="2022-10-03T00:00:00"/>
    <s v=""/>
    <s v="Д-56"/>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00059"/>
    <s v="Обработка результатов согласования"/>
    <d v="2021-12-01T00:00:00"/>
    <s v=""/>
    <x v="131"/>
    <s v="8905000428"/>
    <s v="ГЕО-19/00000/00317/Д/ННГ-19/10124/01839/Р"/>
    <s v=""/>
    <s v="2"/>
    <s v="Нетиповой ДД"/>
    <x v="0"/>
    <s v=""/>
    <s v="00873-21"/>
    <s v=""/>
    <s v="Выполнение операторских работ и оказание операторских услуг"/>
    <s v="Выполнение операторских работ и оказание операторских услуг"/>
    <s v="Кошелева Ю.В."/>
    <s v="Кошелева Ю.В."/>
    <s v="Договорный документ"/>
    <s v="Управление экономического планирования и анализа"/>
    <s v="Николаев М.Н."/>
    <s v="На бумажном носителе"/>
    <s v="С ограничением по срокам "/>
    <d v="2021-12-01T00:00:00"/>
    <d v="2023-12-31T00:00:00"/>
    <s v="Д-57"/>
    <s v="Договор возмездного оказания услуг"/>
    <s v="Доходная часть"/>
    <s v="Стоимостной"/>
    <s v="20%"/>
    <s v=""/>
    <s v=""/>
    <s v="2 411 020 625.71"/>
    <s v="2 009 183 854.76"/>
    <s v="401 836 770.95"/>
    <s v="нет"/>
    <s v="нет"/>
    <s v=""/>
    <s v=""/>
    <s v=""/>
    <s v=""/>
    <s v="нет"/>
  </r>
  <r>
    <s v="Газпромнефть-ГЕО, ООО"/>
    <s v="0000076283"/>
    <s v="Зарегистрирован"/>
    <d v="2022-10-10T00:00:00"/>
    <s v=""/>
    <x v="28"/>
    <s v="4501174492"/>
    <s v=""/>
    <s v="ГЕО-22/35000/00268"/>
    <s v="ГЕО-22/35000/00268"/>
    <s v="Нетиповой ДД"/>
    <x v="1"/>
    <s v=""/>
    <s v="00873-22"/>
    <s v=""/>
    <s v="Соглашение СУДИР (ООО &quot;Уралгеопроект&quot;)"/>
    <s v="В рамках исполнения Приказа 65-П от 25.07.2022"/>
    <s v="Мормышев А.А."/>
    <s v="Салахутдинов Р.С."/>
    <s v="Договорный документ"/>
    <s v="Управление проектно-изыскательских работ"/>
    <s v="Созинов С.А."/>
    <s v="ЭП"/>
    <s v="Без сроков "/>
    <d v="2022-10-10T00:00:00"/>
    <s v=""/>
    <s v="Д-60"/>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58271"/>
    <s v="Зарегистрирован"/>
    <d v="2022-09-13T00:00:00"/>
    <s v=""/>
    <x v="42"/>
    <s v="7725696878"/>
    <s v="ГЕО-19/11708/00133/Р от 25.06.2019"/>
    <s v=""/>
    <s v="18"/>
    <s v="Нетиповой ДД"/>
    <x v="3"/>
    <s v=""/>
    <s v="00874-22"/>
    <s v=""/>
    <s v="Заказ-Наряд №18 к договору №ГЕО-19/11708/00133/Р от 25.06.2019"/>
    <s v="Научно-методическое сопровождение обработки и экспертиза комплексной интерпретации данных СРР 3D и ГИС в пределах Северо-Ямбургской площади, полученных в 2021-2022 гг."/>
    <s v="Коротков С.П."/>
    <s v=""/>
    <s v="Договорный документ"/>
    <s v="Управление по разработке"/>
    <s v="Аксенов М.А."/>
    <s v="На бумажном носителе"/>
    <s v="С ограничением по срокам "/>
    <d v="2022-09-13T00:00:00"/>
    <d v="2023-04-25T00:00:00"/>
    <s v="Д-54"/>
    <s v="НИОКР, НИР прочие"/>
    <s v="Расходная часть"/>
    <s v="Рамочный"/>
    <s v="20%"/>
    <s v=""/>
    <s v=""/>
    <s v="6 313 800.00"/>
    <s v="5 261 500.00"/>
    <s v="1 052 300.00"/>
    <s v="нет"/>
    <s v="нет"/>
    <s v=""/>
    <s v=""/>
    <s v=""/>
    <s v=""/>
    <s v="нет"/>
  </r>
  <r>
    <s v="Газпромнефть-ГЕО, ООО"/>
    <s v="0000059486"/>
    <s v="Закрыт"/>
    <d v="2021-12-13T00:00:00"/>
    <s v=""/>
    <x v="333"/>
    <s v="5504233490"/>
    <s v="ГЕО-21/09000/00251/Р"/>
    <s v=""/>
    <s v="1"/>
    <s v="Нетиповой ДД"/>
    <x v="0"/>
    <s v=""/>
    <s v="00875-21"/>
    <s v=""/>
    <s v="На оказание консультационных услуг (методическое сопровождение) в области гидрометеорологии и смежных с ней областях"/>
    <s v="Добавление вида услуги и увеличение срока договора без изменения стоимости"/>
    <s v="Хисамутдинов С.И."/>
    <s v="Хисамутдинов С.И."/>
    <s v="Договорный документ"/>
    <s v="Производственно-технологический департамент"/>
    <s v="Масалкин Ю.В."/>
    <s v="На бумажном носителе"/>
    <s v="С ограничением по срокам "/>
    <d v="2022-02-01T00:00:00"/>
    <d v="2022-05-31T00:00:00"/>
    <s v=""/>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56566"/>
    <s v="Зарегистрирован"/>
    <d v="2022-09-21T00:00:00"/>
    <s v=""/>
    <x v="256"/>
    <s v="7709675951"/>
    <s v=""/>
    <s v="ГЕО-22/33200/00246"/>
    <s v="ГЕО-22/33200/00246"/>
    <s v="Типовой ДД"/>
    <x v="1"/>
    <s v="33200 Соглашение об электронном документообороте"/>
    <s v="00875-22"/>
    <s v=""/>
    <s v="33200 Соглашение об электронном документообороте"/>
    <s v="Переход на электронный документооборот"/>
    <s v="Петушкова В.Е."/>
    <s v="Петушкова В.Е."/>
    <s v="Договорный документ"/>
    <s v="Управление производственной безопасности"/>
    <s v="Ковтун М.А."/>
    <s v="На бумажном носителе"/>
    <s v="С ограничением по срокам "/>
    <d v="2022-10-04T00:00:00"/>
    <d v="2025-04-30T00:00:00"/>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39714"/>
    <s v="Зарегистрирован"/>
    <d v="2022-11-18T00:00:00"/>
    <s v=""/>
    <x v="1"/>
    <s v="7734033757"/>
    <s v="ГЕО-21/10114/00257/Р"/>
    <s v=""/>
    <s v="3"/>
    <s v="Нетиповой ДД"/>
    <x v="0"/>
    <s v=""/>
    <s v="00876-22"/>
    <s v=""/>
    <s v="Дополнительное соглашение №3"/>
    <s v="актуализация оценочного листа"/>
    <s v="Коваленко М.В."/>
    <s v="Дакиров В.С."/>
    <s v="Договорный документ"/>
    <s v="Управление сейсморазведочных работ"/>
    <s v="Аксенов М.А."/>
    <s v="ЭП"/>
    <s v="До исполнения обязательств"/>
    <d v="2022-11-18T00:00:00"/>
    <s v=""/>
    <s v="Д-54"/>
    <s v="Супервайзерские услуги полевых работ площадными геофизическими методами"/>
    <s v="Не предполагает взаиморасчетов"/>
    <s v="Стоимостной"/>
    <s v=""/>
    <s v=""/>
    <s v=""/>
    <s v=""/>
    <s v=""/>
    <s v=""/>
    <s v="нет"/>
    <s v="нет"/>
    <s v=""/>
    <s v=""/>
    <s v=""/>
    <s v=""/>
    <s v="нет"/>
  </r>
  <r>
    <s v="Газпромнефть-ГЕО, ООО"/>
    <s v="0000039295"/>
    <s v="Зарегистрирован"/>
    <d v="2021-11-29T00:00:00"/>
    <s v=""/>
    <x v="90"/>
    <s v="8618006063"/>
    <s v="ГЕО-19/20000/00230/Д"/>
    <s v=""/>
    <s v="5"/>
    <s v="Нетиповой ДД"/>
    <x v="0"/>
    <s v=""/>
    <s v="00877-21"/>
    <s v=""/>
    <s v="ДС №5 к Агентскому договору №ХНТ-19/20000/762/P/60 от 12.07.2019"/>
    <s v="Заключение ДС №5 к Агентскому договору №ХНТ-19/20000/762/P/60 от 12.07.2019 на перевод дополнительных объемов из НГО в ГО по Салымскому 5 и Северо-Ингольскому, Нежданному, Южному ЛУ"/>
    <s v="Мурзин Р.Р."/>
    <s v="Мурзин Р.Р."/>
    <s v="Договорный документ"/>
    <s v="Управление сейсморазведочных работ"/>
    <s v="Аксенов М.А."/>
    <s v="На бумажном носителе"/>
    <s v="С ограничением по срокам "/>
    <d v="2021-11-29T00:00:00"/>
    <d v="2024-12-31T00:00:00"/>
    <s v=""/>
    <s v="Агентский договор"/>
    <s v="Доходная часть"/>
    <s v="Агентский"/>
    <s v="20%"/>
    <s v=""/>
    <s v=""/>
    <s v="431 195 493.03"/>
    <s v="359 329 577.52"/>
    <s v="71 865 915.51"/>
    <s v="нет"/>
    <s v="нет"/>
    <s v=""/>
    <s v=""/>
    <s v=""/>
    <s v=""/>
    <s v="нет"/>
  </r>
  <r>
    <s v="Газпромнефть-ГЕО, ООО"/>
    <s v=""/>
    <s v="Закрыт"/>
    <d v="2022-10-07T00:00:00"/>
    <s v=""/>
    <x v="461"/>
    <s v=""/>
    <s v=""/>
    <s v="ГЕО-22/25000/00248/Р"/>
    <s v="ГЕО-22/25000/00248/Р"/>
    <s v="Типовой ДД"/>
    <x v="2"/>
    <s v="25000 Договор об оказании услуг физическим лицом (без выезда на Лицензионные участки Заказчика)"/>
    <s v="00878-22"/>
    <s v=""/>
    <s v="25000 Договор об оказании услуг физическим лицом (без выезда на Лицензионные участки Заказчика)"/>
    <s v="Договор гражданско-правового характера"/>
    <s v="Игнатова Ю.В."/>
    <s v="Игнатова Ю.В."/>
    <s v="Договорный документ"/>
    <s v="Управление по работе с персоналом"/>
    <s v="Масалкин Ю.В."/>
    <s v="На бумажном носителе"/>
    <s v="С ограничением по срокам "/>
    <d v="2022-10-07T00:00:00"/>
    <d v="2022-12-31T00:00:00"/>
    <s v=""/>
    <s v="Договор оказания услуг с физическим лицом"/>
    <s v="Расходная часть"/>
    <s v="Стоимостной"/>
    <s v="13%"/>
    <s v=""/>
    <s v=""/>
    <s v="360 000.00"/>
    <s v="313 200.00"/>
    <s v="46 800.00"/>
    <s v="нет"/>
    <s v="нет"/>
    <s v=""/>
    <s v=""/>
    <s v=""/>
    <s v=""/>
    <s v="нет"/>
  </r>
  <r>
    <s v="Газпромнефть-ГЕО, ООО"/>
    <s v=""/>
    <s v="Зарегистрирован"/>
    <d v="2021-12-13T00:00:00"/>
    <s v=""/>
    <x v="410"/>
    <s v=""/>
    <s v="ГЕО-21/10302/00225/Р"/>
    <s v=""/>
    <s v="1"/>
    <s v="Нетиповой ДД"/>
    <x v="0"/>
    <s v=""/>
    <s v="00879-21"/>
    <s v=""/>
    <s v="Дополнительное соглашение № 1 к Договору № ГЕО-21/10302/00225/Р от 11.10.2021г."/>
    <s v="Уменьшение гарантированного объема работ с одновременным увеличением негарантированного объема работ без изменния объема работ и стоимости договора "/>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1-12-13T00:00:00"/>
    <d v="2024-12-31T00:00:00"/>
    <s v=""/>
    <s v="Договор подряда"/>
    <s v="Не предполагает взаиморасчетов"/>
    <s v=""/>
    <s v=""/>
    <s v=""/>
    <s v=""/>
    <s v=""/>
    <s v=""/>
    <s v=""/>
    <s v="нет"/>
    <s v="нет"/>
    <s v=""/>
    <s v=""/>
    <s v=""/>
    <s v=""/>
    <s v="нет"/>
  </r>
  <r>
    <s v="Газпромнефть-ГЕО, ООО"/>
    <s v="0000039779"/>
    <s v="Зарегистрирован"/>
    <d v="2022-10-12T00:00:00"/>
    <s v=""/>
    <x v="139"/>
    <s v="0277067693"/>
    <s v="ГЕО-22/10318/00037/Р"/>
    <s v=""/>
    <s v="2"/>
    <s v="Нетиповой ДД"/>
    <x v="0"/>
    <s v=""/>
    <s v="00879-22"/>
    <s v=""/>
    <s v="Дополнительное соглашение №2"/>
    <s v="актуализация оценочного листа"/>
    <s v="Коваленко М.В."/>
    <s v="Веселкин А.С."/>
    <s v="Договорный документ"/>
    <s v="Блок бурения и ВСР"/>
    <s v="Трифонов А.В."/>
    <s v="ЭП"/>
    <s v="До исполнения обязательств"/>
    <d v="2022-10-12T00:00:00"/>
    <s v=""/>
    <s v="Д-33"/>
    <s v="Отбор керна при бурении и реконструкции скважин"/>
    <s v="Не предполагает взаиморасчетов"/>
    <s v="Стоимостной"/>
    <s v=""/>
    <s v=""/>
    <s v=""/>
    <s v=""/>
    <s v=""/>
    <s v=""/>
    <s v="нет"/>
    <s v="нет"/>
    <s v=""/>
    <s v=""/>
    <s v=""/>
    <s v=""/>
    <s v="нет"/>
  </r>
  <r>
    <s v="Газпромнефть-ГЕО, ООО"/>
    <s v="0000069357"/>
    <s v="Зарегистрирован"/>
    <d v="2021-12-24T00:00:00"/>
    <s v=""/>
    <x v="147"/>
    <s v="8903034220"/>
    <s v=""/>
    <s v="ГЕО-21/09000/00294/Д"/>
    <s v="ГЕО-21/09000/00294/Д"/>
    <s v="Нетиповой ДД"/>
    <x v="2"/>
    <s v=""/>
    <s v="00880-21"/>
    <s v=""/>
    <s v="Научно-методическое сопровождение обработки и комплексной интерпретации данных сейсморазведочных работ 3D, 2D и геофизических исследований скважин в пределах "/>
    <s v="Осуществление научно-методического сопровождения обработки и комплексной интерпретации данных сейсморазведочных работ 3D, 2D и геофизических исследований скважин в пределах Северо-Самбургского лицензионного участка"/>
    <s v="Мурзин Р.Р."/>
    <s v="Мурзин Р.Р."/>
    <s v="Договорный документ"/>
    <s v="Управление сейсморазведочных работ"/>
    <s v="Аксенов М.А."/>
    <s v="На бумажном носителе"/>
    <s v="С ограничением по срокам "/>
    <d v="2021-12-24T00:00:00"/>
    <d v="2023-12-31T00:00:00"/>
    <s v=""/>
    <s v="Договор возмездного оказания услуг"/>
    <s v="Доходная часть"/>
    <s v="Рамочный"/>
    <s v="20%"/>
    <s v=""/>
    <s v=""/>
    <s v="5 981 201.77"/>
    <s v="4 984 334.81"/>
    <s v="996 866.96"/>
    <s v="нет"/>
    <s v="нет"/>
    <s v=""/>
    <s v=""/>
    <s v=""/>
    <s v=""/>
    <s v="нет"/>
  </r>
  <r>
    <s v="Газпромнефть-ГЕО, ООО"/>
    <s v="0000076283"/>
    <s v="Зарегистрирован"/>
    <d v="2022-10-07T00:00:00"/>
    <s v=""/>
    <x v="28"/>
    <s v="4501174492"/>
    <s v="ГЕО-22/11000/00030/Р"/>
    <s v=""/>
    <s v="3"/>
    <s v="Типовой ДД"/>
    <x v="0"/>
    <s v="00000 ДС на изменение реквизитов контрагента (адрес, счет)"/>
    <s v="00880-22"/>
    <s v=""/>
    <s v="00000 ДС на изменение реквизитов контрагента (адрес, счет)"/>
    <s v="Изменение реквизитов"/>
    <s v="Шолохова И.А."/>
    <s v="Шолохова И.А."/>
    <s v="Договорный документ"/>
    <s v="Управление проектно-изыскательских работ"/>
    <s v="Трифонов А.В."/>
    <s v="На бумажном носителе"/>
    <s v="До исполнения обязательств"/>
    <d v="2022-10-03T00:00:00"/>
    <s v=""/>
    <s v="Д-33"/>
    <s v="Капитальное строительство и ПИР"/>
    <s v="Не предполагает взаиморасчетов"/>
    <s v="Рамочный"/>
    <s v=""/>
    <s v=""/>
    <s v=""/>
    <s v=""/>
    <s v=""/>
    <s v=""/>
    <s v="нет"/>
    <s v="нет"/>
    <s v=""/>
    <s v=""/>
    <s v=""/>
    <s v=""/>
    <s v="нет"/>
  </r>
  <r>
    <s v="Газпромнефть-ГЕО, ООО"/>
    <s v=""/>
    <s v="Зарегистрирован"/>
    <d v="2021-12-14T00:00:00"/>
    <s v=""/>
    <x v="462"/>
    <s v=""/>
    <s v="ГЕО-21/10900/00249/Р"/>
    <s v=""/>
    <s v="1"/>
    <s v="Нетиповой ДД"/>
    <x v="0"/>
    <s v=""/>
    <s v="00881-21"/>
    <s v=""/>
    <s v="Дополнительное соглашение №1 к договору №ГЕО-21/10900/00249/Р от 08.11.2021 г."/>
    <s v="1. Внесение дополнений в предмет  договора_x000d__x000a_2. Частичные перевод объема услуг из негарантированного в гарантированный"/>
    <s v="Липатова О.И."/>
    <s v=""/>
    <s v="Договорный документ"/>
    <s v="Отдел экологической безопасности"/>
    <s v="Власов М.М."/>
    <s v="На бумажном носителе"/>
    <s v="Без сроков "/>
    <d v="2021-12-14T00:00:00"/>
    <s v=""/>
    <s v="Д-30"/>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62175"/>
    <s v="Закрыт"/>
    <d v="2022-10-14T00:00:00"/>
    <s v=""/>
    <x v="463"/>
    <s v="7728707528"/>
    <s v="ГЕО-21/11708/00142/Р"/>
    <s v=""/>
    <s v="1"/>
    <s v="Нетиповой ДД"/>
    <x v="0"/>
    <s v=""/>
    <s v="00881-22"/>
    <s v=""/>
    <s v="Дополнительное соглашение №1"/>
    <s v="включение условий об управлении эффективностью деятельности контрагента (УЭДК)"/>
    <s v="Коваленко М.В."/>
    <s v="Коротков С.П."/>
    <s v="Договорный документ"/>
    <s v="Блок геологии и разработки"/>
    <s v="Аксенов М.А."/>
    <s v="ЭП"/>
    <s v="До исполнения обязательств"/>
    <d v="2022-10-14T00:00:00"/>
    <s v=""/>
    <s v=""/>
    <s v="НИОКР, НИР прочие"/>
    <s v="Не предполагает взаиморасчетов"/>
    <s v="Рамочный"/>
    <s v=""/>
    <s v=""/>
    <s v=""/>
    <s v=""/>
    <s v=""/>
    <s v=""/>
    <s v="нет"/>
    <s v="нет"/>
    <s v=""/>
    <s v=""/>
    <s v=""/>
    <s v=""/>
    <s v="нет"/>
  </r>
  <r>
    <s v="Газпромнефть-ГЕО, ООО"/>
    <s v="0000008536"/>
    <s v="Проект"/>
    <s v=""/>
    <s v=""/>
    <x v="464"/>
    <s v="5501041254"/>
    <s v=""/>
    <s v=""/>
    <s v=""/>
    <s v=""/>
    <x v="6"/>
    <s v=""/>
    <s v="00882-21"/>
    <s v=""/>
    <s v=""/>
    <s v=""/>
    <s v="Щербаков В.А."/>
    <s v=""/>
    <s v="Договорный документ"/>
    <s v="Финансовое управление"/>
    <s v="Ковтун М.А."/>
    <s v=""/>
    <s v=""/>
    <s v=""/>
    <s v=""/>
    <s v="Д-5"/>
    <s v="Договор купли-продажи сопутствующих товаров и услгуг"/>
    <s v="Расходная часть"/>
    <s v=""/>
    <s v="20%"/>
    <s v=""/>
    <s v=""/>
    <s v="2 000 000 000.00"/>
    <s v="1 666 666 666.67"/>
    <s v="333 333 333.33"/>
    <s v="нет"/>
    <s v="нет"/>
    <s v=""/>
    <s v=""/>
    <s v=""/>
    <s v=""/>
    <s v="нет"/>
  </r>
  <r>
    <s v="Газпромнефть-ГЕО, ООО"/>
    <s v=""/>
    <s v="Зарегистрирован"/>
    <d v="2022-10-07T00:00:00"/>
    <s v=""/>
    <x v="461"/>
    <s v=""/>
    <s v=""/>
    <s v="ГЕО-22/26000/00250"/>
    <s v="ГЕО-22/26000/00250"/>
    <s v="Типовой ДД"/>
    <x v="1"/>
    <s v="26000 Договор о конфиденциальности с физическим лицом"/>
    <s v="00882-22"/>
    <s v=""/>
    <s v="26000 Договор о конфиденциальности с физическим лицом"/>
    <s v="Неразглашение информации, составляющей коммерческую тайну и иной конфиденциальной информации"/>
    <s v="Бринкис В.В."/>
    <s v="Бринкис В.В."/>
    <s v="Договорный документ"/>
    <s v="Блок корпоративной защиты"/>
    <s v="Созинов С.А."/>
    <s v="На бумажном носителе"/>
    <s v="До исполнения обязательств"/>
    <d v="2022-10-07T00:00:00"/>
    <s v=""/>
    <s v="Д-60"/>
    <s v="Соглашение о конфиденциальности"/>
    <s v="Не предполагает взаиморасчетов"/>
    <s v=""/>
    <s v=""/>
    <s v=""/>
    <s v=""/>
    <s v=""/>
    <s v=""/>
    <s v=""/>
    <s v="нет"/>
    <s v="нет"/>
    <s v=""/>
    <s v=""/>
    <s v=""/>
    <s v=""/>
    <s v="нет"/>
  </r>
  <r>
    <s v="Газпромнефть-ГЕО, ООО"/>
    <s v="0000063179"/>
    <s v="Зарегистрирован"/>
    <d v="2021-12-15T00:00:00"/>
    <s v=""/>
    <x v="54"/>
    <s v="7727747172"/>
    <s v="ГЕО-20/10986/00138/Р от 10.08.2020г."/>
    <s v=""/>
    <s v="1"/>
    <s v="Нетиповой ДД"/>
    <x v="9"/>
    <s v=""/>
    <s v="00883-21"/>
    <s v="Задание № 3"/>
    <s v="ДП № 1 к Заданию № 3 к Договору № ГЕО-20/10986/00138/Р от 10.08.2020г. с компанией ООО «ОГК» в рамках исполнения данного договора в 2021 году по контролю состояния ПБ с целью исполнения агентского договора, заключенного м"/>
    <s v="продление срока оказания услуг СП до 31.12.2021г."/>
    <s v="Рябикина М.А."/>
    <s v="Анисимов А.Н."/>
    <s v="Договорный документ"/>
    <s v="Блок производственной безопасности"/>
    <s v="Власов М.М."/>
    <s v="На бумажном носителе"/>
    <s v="С ограничением по срокам "/>
    <d v="2021-12-15T00:00:00"/>
    <d v="2021-12-31T00:00:00"/>
    <s v="Д-3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3 154 476.00"/>
    <s v="2 628 730.00"/>
    <s v="525 746.00"/>
    <s v="нет"/>
    <s v="нет"/>
    <s v=""/>
    <s v=""/>
    <s v=""/>
    <s v=""/>
    <s v="нет"/>
  </r>
  <r>
    <s v="Газпромнефть-ГЕО, ООО"/>
    <s v="0000102205"/>
    <s v="Зарегистрирован"/>
    <d v="2022-10-06T00:00:00"/>
    <s v=""/>
    <x v="14"/>
    <s v="9715287189"/>
    <s v="ГЕО-22/11000/00012/З "/>
    <s v=""/>
    <s v="4"/>
    <s v="Нетиповой ДД"/>
    <x v="0"/>
    <s v=""/>
    <s v="00883-22"/>
    <s v=""/>
    <s v="выполнение работ «Инженерная подготовка площадки скважины №198 на Лескинском ЛУ» с привлечением машин и механизмов Заказчика"/>
    <s v="с целью перераспределения объёмов работ (исключение отдельных позиций работ с одновременным увеличением других предусмотренных договором работ без увеличения единичных расценок), для возможности выполнения работ по Договору и строительству летнего проезда ББС – скв. 198. с уменьшением общей стоимости по Договору"/>
    <s v="Калугина С.Б."/>
    <s v="Галлямов Р.Ю."/>
    <s v="Договорный документ"/>
    <s v="Департамент капитального строительства"/>
    <s v="Трифонов А.В."/>
    <s v="ЭП"/>
    <s v="До исполнения обязательств"/>
    <d v="2022-10-06T00:00:00"/>
    <s v=""/>
    <s v="Д-33"/>
    <s v="Капитальное строительство и ПИР"/>
    <s v="Расходная часть"/>
    <s v="Стоимостной"/>
    <s v="20%"/>
    <s v=""/>
    <s v=""/>
    <s v="4 380.22"/>
    <s v="3 650.18"/>
    <n v="730.04"/>
    <s v="нет"/>
    <s v="нет"/>
    <s v=""/>
    <s v=""/>
    <s v=""/>
    <s v=""/>
    <s v="нет"/>
  </r>
  <r>
    <s v="Газпромнефть-ГЕО, ООО"/>
    <s v="0000062421"/>
    <s v="Зарегистрирован"/>
    <d v="2022-10-15T00:00:00"/>
    <s v=""/>
    <x v="100"/>
    <s v="6924010964"/>
    <s v=""/>
    <s v="ГЕО-22/11104/00265/Р"/>
    <s v="ГЕО-22/11104/00265/Р"/>
    <s v="Типовой ДД"/>
    <x v="2"/>
    <s v="11104 Договор по услуге «Авиационное обслуживание (вертолеты)» "/>
    <s v="00884-22"/>
    <s v=""/>
    <s v="11104 Договор по услуге «Авиационное обслуживание (вертолеты)» "/>
    <s v="Об оказании авиационных услуг с использованием вертолетов. Оморинское м-ие."/>
    <s v="Мормышев А.А."/>
    <s v="Леденев Ю.А."/>
    <s v="Договорный документ"/>
    <s v="Блок снабжения и закупок"/>
    <s v="Титов А.В."/>
    <s v="ЭП"/>
    <s v="До исполнения обязательств"/>
    <d v="2025-12-31T00:00:00"/>
    <s v=""/>
    <s v="Д-56"/>
    <s v="Авиационное обслуживание (вертолеты)"/>
    <s v="Расходная часть"/>
    <s v="Стоимостной"/>
    <s v="20%"/>
    <s v=""/>
    <s v="45749510"/>
    <s v="348 081 825.60"/>
    <s v="290 068 188.00"/>
    <s v="58 013 637.60"/>
    <s v="да"/>
    <s v="нет"/>
    <s v=""/>
    <s v=""/>
    <s v=""/>
    <s v=""/>
    <s v="нет"/>
  </r>
  <r>
    <s v="Газпромнефть-ГЕО, ООО"/>
    <s v=""/>
    <s v="Проект"/>
    <s v=""/>
    <s v=""/>
    <x v="58"/>
    <s v=""/>
    <s v=""/>
    <s v=""/>
    <s v=""/>
    <s v="Нетиповой ДД"/>
    <x v="0"/>
    <s v=""/>
    <s v="00885-22"/>
    <s v=""/>
    <s v="Дополнительное соглашение № 6 к Договору №ГЕО-211030800236Р"/>
    <s v="1. Дополнить Договор Приложением № 16 «Временный регламент по обращению с металлической бочкотарой на объектах ДО БРД ПАО «Газпромнефть»"/>
    <s v="Автеньев М.В."/>
    <s v=""/>
    <s v="Договорный документ"/>
    <s v="Блок снабжения и закупок"/>
    <s v="Масалкин Ю.В."/>
    <s v="ЭП"/>
    <s v="До исполнения обязательств"/>
    <s v=""/>
    <s v=""/>
    <s v=""/>
    <s v=""/>
    <s v=""/>
    <s v=""/>
    <s v=""/>
    <s v=""/>
    <s v=""/>
    <s v=""/>
    <s v=""/>
    <s v=""/>
    <s v="нет"/>
    <s v="нет"/>
    <s v=""/>
    <s v=""/>
    <s v=""/>
    <s v=""/>
    <s v="нет"/>
  </r>
  <r>
    <s v="Газпромнефть-ГЕО, ООО"/>
    <s v="0000072857"/>
    <s v="Зарегистрирован"/>
    <d v="2022-10-13T00:00:00"/>
    <s v=""/>
    <x v="27"/>
    <s v="6679052232"/>
    <s v="ГЕО-21/10985/00168/Р"/>
    <s v=""/>
    <s v="4"/>
    <s v="Нетиповой ДД"/>
    <x v="0"/>
    <s v=""/>
    <s v="00886-22"/>
    <s v=""/>
    <s v="Дополнительное соглашение №4"/>
    <s v="актуализация условия управления эффективностью деятельности контрагнета (УЭДК)"/>
    <s v="Коваленко М.В."/>
    <s v="Копылов Е.О."/>
    <s v="Договорный документ"/>
    <s v="Отдел экологической безопасности"/>
    <s v="Власов М.М."/>
    <s v="ЭП"/>
    <s v="До исполнения обязательств"/>
    <d v="2022-10-13T00:00:00"/>
    <s v=""/>
    <s v="Д-59"/>
    <s v="Утилизация отходов бурения и рекультивация нарушенных земель, занятых под шламовые амбары/шламонакопители"/>
    <s v="Не предполагает взаиморасчетов"/>
    <s v="Стоимостной"/>
    <s v=""/>
    <s v=""/>
    <s v=""/>
    <s v=""/>
    <s v=""/>
    <s v=""/>
    <s v="нет"/>
    <s v="нет"/>
    <s v=""/>
    <s v=""/>
    <s v=""/>
    <s v=""/>
    <s v="нет"/>
  </r>
  <r>
    <s v="Газпромнефть-ГЕО, ООО"/>
    <s v="0000073305"/>
    <s v="Зарегистрирован"/>
    <d v="2022-02-11T00:00:00"/>
    <s v=""/>
    <x v="64"/>
    <s v="8904080406"/>
    <s v="ГЕО-21/11031/00101/Р"/>
    <s v=""/>
    <s v="2"/>
    <s v="Нетиповой ДД"/>
    <x v="3"/>
    <s v=""/>
    <s v="00887-21"/>
    <s v=""/>
    <s v="Н-З №2 к  Договору № ГЕО-21/11031/00101/Р  от 25.03.2021 "/>
    <s v="Заключения Наряд-заказа №2 к  Договору № ГЕО-21/11031/00101/Р  от 25.03.2021 "/>
    <s v="Крутова Е.С."/>
    <s v="Крутова Е.С."/>
    <s v="Договорный документ"/>
    <s v="Департамент капитального строительства"/>
    <s v="Перфильев Д.А."/>
    <s v="На бумажном носителе"/>
    <s v="До исполнения обязательств"/>
    <d v="2022-02-11T00:00:00"/>
    <s v=""/>
    <s v="Д-61"/>
    <s v="Капитальное строительство и ПИР"/>
    <s v="Расходная часть"/>
    <s v="Стоимостной"/>
    <s v="20%"/>
    <s v=""/>
    <s v=""/>
    <s v="253 541 840.40"/>
    <s v="211 284 867.00"/>
    <s v="42 256 973.40"/>
    <s v="нет"/>
    <s v="нет"/>
    <s v=""/>
    <s v=""/>
    <s v=""/>
    <s v=""/>
    <s v="нет"/>
  </r>
  <r>
    <s v="Газпромнефть-ГЕО, ООО"/>
    <s v="0000084039"/>
    <s v="Зарегистрирован"/>
    <d v="2022-10-10T00:00:00"/>
    <s v=""/>
    <x v="395"/>
    <s v="3443110618"/>
    <s v="ГЕО-20/10919/00096/Р"/>
    <s v=""/>
    <s v="Заказ №5"/>
    <s v="Нетиповой ДД"/>
    <x v="3"/>
    <s v=""/>
    <s v="00887-22"/>
    <s v=""/>
    <s v="Заказ №5 к Договору № ГЕО-20/10919/00096/Р от 22.06.2020 г. "/>
    <s v="1. Оказание услуг по разработке и согласованию проекта нормативов допустимых выбросов (НДВ (ВСВ)) до 20 источников, в том числе для веществ I, II класса опасности:_x000d__x000a_1.1. Для Оморинского ЛУ (скв. Км-4, Км-4 бис, Сал-3П) - _x000d__x000a_1 проектный документ;_x000d__x000a_1.2. Для Лескинского ЛУ (скв. 178, 198) 1 проектный документ. _x000d__x000a_2. Лабораторные исследования отходов производства и потребления:_x000d__x000a_2.1. Для Оморинского ЛУ (скв. Км-4, Км-4 бис, Сал-3П) – 2 паспорта отходов."/>
    <s v="Липатова О.И."/>
    <s v=""/>
    <s v="Договорный документ"/>
    <s v="Отдел экологической безопасности"/>
    <s v="Власов М.М."/>
    <s v="На бумажном носителе"/>
    <s v="С ограничением по срокам "/>
    <d v="2022-10-10T00:00:00"/>
    <d v="2022-12-25T00:00:00"/>
    <s v="Д-59"/>
    <s v="Договор возмездного оказания услуг"/>
    <s v="Не предполагает взаиморасчетов"/>
    <s v=""/>
    <s v=""/>
    <s v=""/>
    <s v=""/>
    <s v=""/>
    <s v=""/>
    <s v=""/>
    <s v="нет"/>
    <s v="нет"/>
    <s v=""/>
    <s v=""/>
    <s v=""/>
    <s v=""/>
    <s v="нет"/>
  </r>
  <r>
    <s v="Газпромнефть-ГЕО, ООО"/>
    <s v="0000067121"/>
    <s v="Закрыт"/>
    <d v="2022-10-10T00:00:00"/>
    <s v=""/>
    <x v="62"/>
    <s v="7202171361"/>
    <s v="ГЕО-22/10000/00076/Р"/>
    <s v=""/>
    <s v="3"/>
    <s v="Нетиповой ДД"/>
    <x v="0"/>
    <s v=""/>
    <s v="00888-22"/>
    <s v=""/>
    <s v="ДС-3 к Договору № ВР-69-10110/20-23/ГЕО-22/10000/00076/Р от 30.09.2020 на выплату материальной мотивации"/>
    <s v="ДС-3 к Договору № ВР-69-10110/20-23/ГЕО-22/10000/00076/Р от 30.09.2020 на выплату материальной мотивации"/>
    <s v="Ахматгалиев С.З."/>
    <s v=""/>
    <s v="Договорный документ"/>
    <s v="Блок геологии и разработки"/>
    <s v="Агеев П.А."/>
    <s v="ЭП"/>
    <s v="С ограничением по срокам "/>
    <d v="2022-10-10T00:00:00"/>
    <d v="2023-12-31T00:00:00"/>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 324 059.78"/>
    <s v="4 436 716.48"/>
    <s v="887 343.30"/>
    <s v="нет"/>
    <s v="нет"/>
    <s v=""/>
    <s v=""/>
    <s v=""/>
    <s v=""/>
    <s v="нет"/>
  </r>
  <r>
    <s v="Газпромнефть-ГЕО, ООО"/>
    <s v="0000040952, 0000064025"/>
    <s v="Зарегистрирован"/>
    <d v="2022-12-16T00:00:00"/>
    <s v=""/>
    <x v="465"/>
    <s v="7203126844, 7728720448"/>
    <s v="ГЕО-20/10808/00203/Р"/>
    <s v=""/>
    <s v="3"/>
    <s v="Нетиповой ДД"/>
    <x v="0"/>
    <s v=""/>
    <s v="00889-22"/>
    <s v=""/>
    <s v="СОГЛАШЕНИЕ О ПЕРЕМЕНЕ ЛИЦ В ОБЯЗАТЕЛЬСТВЕ"/>
    <s v="В связи принятием решения на Управляющем комитете БРД реализовать программу ОПР по проекту «Чона» силами ООО «Газпромнефть-Заполярье», принято решение о преуступки право по договору на оказание услуг по обслуживанию объектов социально-бытового назначения на Игнялинском, Вакунайском, Тымпучиканском лицензионных участках (Комплексов очистки воды, стоков, установок по сжиганию отходов) № ГЕО-20/10808/00203Р от 28.12.2020 г., заключенного ООО &quot;ГПН-ГЕО&quot; с ООО «ЭнергоТехСервис»."/>
    <s v="Забиров А.А."/>
    <s v="Забиров А.А."/>
    <s v="Договорный документ"/>
    <s v="Производственно-технологический департамент"/>
    <s v="Трифонов А.В."/>
    <s v="На бумажном носителе"/>
    <s v="С ограничением по срокам "/>
    <d v="2023-01-01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67067"/>
    <s v="Зарегистрирован"/>
    <d v="2021-11-25T00:00:00"/>
    <s v=""/>
    <x v="24"/>
    <s v="7816483740"/>
    <s v="ГЕО-19/09000/00303/Р"/>
    <s v=""/>
    <s v="2"/>
    <s v="Нетиповой ДД"/>
    <x v="0"/>
    <s v=""/>
    <s v="00890-21"/>
    <s v=""/>
    <s v="Дополнительное соглашение №2  к  договору  № ГЕО-19/09000/00303/Р от 15.11.2019 г."/>
    <s v="1. Перераспределении объема услуг, между гарантированным и негарантированным объемом услуг._x000d__x000a_-Гарантированный объем не более 190 865 321,18 руб ( без НДС)._x000d__x000a_-Негарантированный объем не более 1 050 526 581,69 руб ( без НДС)._x000d__x000a_2. Увеличени ставок фельдшера по ФО_x000d__x000a_3.Уменьшение ставки врача по СибФО."/>
    <s v="Евстигнеев В.А."/>
    <s v="Евстигнеев В.А."/>
    <s v="Договорный документ"/>
    <s v="Управление производственной безопасности"/>
    <s v="Масалкин Ю.В."/>
    <s v="На бумажном носителе"/>
    <s v="С ограничением по срокам "/>
    <d v="2021-11-25T00:00:00"/>
    <d v="2024-12-31T00:00:00"/>
    <s v=""/>
    <s v="Договор возмездного оказания услуг"/>
    <s v="Не предполагает взаиморасчетов"/>
    <s v="Рамочный"/>
    <s v=""/>
    <s v=""/>
    <s v=""/>
    <s v=""/>
    <s v=""/>
    <s v=""/>
    <s v="нет"/>
    <s v="нет"/>
    <s v=""/>
    <s v=""/>
    <s v=""/>
    <s v=""/>
    <s v="нет"/>
  </r>
  <r>
    <s v="Газпромнефть-ГЕО, ООО"/>
    <s v="0000081360"/>
    <s v="Зарегистрирован"/>
    <d v="2022-10-10T00:00:00"/>
    <s v=""/>
    <x v="179"/>
    <s v="3905605417"/>
    <s v=""/>
    <s v="ГЕО-22/33200/00251"/>
    <s v="ГЕО-22/33200/00251"/>
    <s v="Типовой ДД"/>
    <x v="1"/>
    <s v="33200 Соглашение об электронном документообороте"/>
    <s v="00890-22"/>
    <s v=""/>
    <s v="33200 Соглашение об электронном документообороте"/>
    <s v="Переход на электронный документооборот"/>
    <s v="Буракова О.В."/>
    <s v="Буракова О.В."/>
    <s v="Договорный документ"/>
    <s v="Отдел административной поддержки бизнеса"/>
    <s v="Ковтун М.А."/>
    <s v="На бумажном носителе"/>
    <s v="До исполнения обязательств"/>
    <d v="2022-10-10T00:00:00"/>
    <s v=""/>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7121"/>
    <s v="Зарегистрирован"/>
    <d v="2022-10-10T00:00:00"/>
    <s v=""/>
    <x v="62"/>
    <s v="7202171361"/>
    <s v=""/>
    <s v="ГЕО-22/33100/00252"/>
    <s v="ГЕО-22/33100/00252"/>
    <s v="Типовой ДД"/>
    <x v="1"/>
    <s v="33100 Соглашение в области производственной безопасности"/>
    <s v="00891-22"/>
    <s v=""/>
    <s v="33100 Соглашение в области производственной безопасности"/>
    <s v="Соглашение в области производственной безопасности"/>
    <s v="Ахматгалиев С.З."/>
    <s v=""/>
    <s v="Договорный документ"/>
    <s v="Блок геологии и разработки"/>
    <s v="Власов М.М."/>
    <s v="ЭП"/>
    <s v="Без сроков "/>
    <d v="2022-10-10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8974"/>
    <s v="Зарегистрирован"/>
    <d v="2021-12-20T00:00:00"/>
    <s v=""/>
    <x v="81"/>
    <s v="3808120671"/>
    <s v="ГЕО-20/09000/00050/Р "/>
    <s v=""/>
    <s v="8"/>
    <s v="Нетиповой ДД"/>
    <x v="0"/>
    <s v=""/>
    <s v="00892-21"/>
    <s v=""/>
    <s v="Дополнительное соглашение № 8 к договору № ГЕО-20/09000/00050/Р от 31.03.2020 г."/>
    <s v="Перевевод из негарантированных объемов 2022г. в гарантированные объемы 2022 г. "/>
    <s v="Страдымов А.Г."/>
    <s v="Страдымов А.Г."/>
    <s v="Договорный документ"/>
    <s v="Блок корпоративной защиты"/>
    <s v="Масалкин Ю.В."/>
    <s v="На бумажном носителе"/>
    <s v="С ограничением по срокам "/>
    <d v="2022-01-01T00:00:00"/>
    <d v="2022-12-31T00:00:00"/>
    <s v=""/>
    <s v="Договор возмездного оказания услуг"/>
    <s v="Не предполагает взаиморасчетов"/>
    <s v="Рамочный"/>
    <s v=""/>
    <s v=""/>
    <s v=""/>
    <s v=""/>
    <s v=""/>
    <s v=""/>
    <s v="нет"/>
    <s v="нет"/>
    <s v=""/>
    <s v=""/>
    <s v=""/>
    <s v=""/>
    <s v="нет"/>
  </r>
  <r>
    <s v="Газпромнефть-ГЕО, ООО"/>
    <s v="0000040495"/>
    <s v="Зарегистрирован"/>
    <d v="2022-10-10T00:00:00"/>
    <s v=""/>
    <x v="167"/>
    <s v="0275009544"/>
    <s v=""/>
    <s v="ГЕО-22/33100/00254"/>
    <s v="ГЕО-22/33100/00254"/>
    <s v="Типовой ДД"/>
    <x v="1"/>
    <s v="33100 Соглашение в области производственной безопасности"/>
    <s v="00892-22"/>
    <s v=""/>
    <s v="33100 Соглашение в области производственной безопасности"/>
    <s v="Соглашение в области производственной безопасности"/>
    <s v="Ахматгалиев С.З."/>
    <s v=""/>
    <s v="Договорный документ"/>
    <s v="Блок геологии и разработки"/>
    <s v="Власов М.М."/>
    <s v="ЭП"/>
    <s v="Без сроков "/>
    <d v="2022-10-10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39714"/>
    <s v="Зарегистрирован"/>
    <d v="2021-12-06T00:00:00"/>
    <s v=""/>
    <x v="1"/>
    <s v="7734033757"/>
    <s v="ГЕО-21/10114/00257/Р"/>
    <s v=""/>
    <s v="2"/>
    <s v="Нетиповой ДД"/>
    <x v="3"/>
    <s v=""/>
    <s v="00893-21"/>
    <s v=""/>
    <s v=" оказание услуг по супервайзерскому контролю технологии полевых сейсморазведочных работ на Северо-Ямбургском, Хамбатейском, Карабашском-84 лицензионных участках."/>
    <s v=" оказание услуг по супервайзерскому контролю технологии полевых сейсморазведочных работ на Северо-Ямбургском, Хамбатейском, Карабашском-84 лицензионных участках."/>
    <s v="Дакиров В.С."/>
    <s v=""/>
    <s v="Договорный документ"/>
    <s v="Управление сейсморазведочных работ"/>
    <s v="Аксенов М.А."/>
    <s v="На бумажном носителе"/>
    <s v="С ограничением по срокам "/>
    <d v="2021-12-06T00:00:00"/>
    <d v="2022-05-30T00:00:00"/>
    <s v="Д-3"/>
    <s v="Супервайзерские услуги полевых работ площадными геофизическими методами"/>
    <s v="Расходная часть"/>
    <s v="Тарифный"/>
    <s v="20%"/>
    <s v=""/>
    <s v=""/>
    <s v="9 748 380.00"/>
    <s v="8 123 650.00"/>
    <s v="1 624 730.00"/>
    <s v="нет"/>
    <s v="нет"/>
    <s v=""/>
    <s v=""/>
    <s v=""/>
    <s v=""/>
    <s v="нет"/>
  </r>
  <r>
    <s v="Газпромнефть-ГЕО, ООО"/>
    <s v="0000049141"/>
    <s v="Зарегистрирован"/>
    <d v="2022-10-10T00:00:00"/>
    <s v=""/>
    <x v="60"/>
    <s v="7203215460"/>
    <s v=""/>
    <s v="ГЕО-22/33100/00253"/>
    <s v="ГЕО-22/33100/00253"/>
    <s v="Типовой ДД"/>
    <x v="1"/>
    <s v="33100 Соглашение в области производственной безопасности"/>
    <s v="00893-22"/>
    <s v=""/>
    <s v="33100 Соглашение в области производственной безопасности"/>
    <s v="Соглашение в области производственной безопасности"/>
    <s v="Ахматгалиев С.З."/>
    <s v=""/>
    <s v="Договорный документ"/>
    <s v="Блок геологии и разработки"/>
    <s v="Власов М.М."/>
    <s v="ЭП"/>
    <s v="Без сроков "/>
    <d v="2022-10-10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Зарегистрирован"/>
    <d v="2021-12-24T00:00:00"/>
    <s v=""/>
    <x v="466"/>
    <s v=""/>
    <s v=""/>
    <s v="ГЕО-21/11104/00292/Р"/>
    <s v="ГЕО-21/11104/00292/Р"/>
    <s v="Типовой ДД"/>
    <x v="2"/>
    <s v="11104 Договор по услуге «Авиационное обслуживание (вертолеты)» "/>
    <s v="00894-21"/>
    <s v=""/>
    <s v="11104 Договор по услуге «Авиационное обслуживание (вертолеты)» "/>
    <s v="Оказание авиационных услуг с использованием вертолетов Ми-8 АМТ/МТВ или аналоги Ми-171/171А2 (а/п (п/п) Новый Уренгой, п/п Тазовский)_x000d__x000a_"/>
    <s v="Ушакова М.А."/>
    <s v="Ушакова М.А."/>
    <s v="Договорный документ"/>
    <s v="Блок снабжения и закупок"/>
    <s v="Титов А.В."/>
    <s v="На бумажном носителе"/>
    <s v="С ограничением по срокам "/>
    <d v="2021-12-24T00:00:00"/>
    <d v="2024-12-31T00:00:00"/>
    <s v=""/>
    <s v="Авиационное обслуживание (вертолеты)"/>
    <s v="Расходная часть"/>
    <s v="Рамочный"/>
    <s v="20%"/>
    <s v=""/>
    <s v=""/>
    <s v="2 465 275 200.00"/>
    <s v="2 054 396 000.00"/>
    <s v="410 879 200.00"/>
    <s v="нет"/>
    <s v="нет"/>
    <s v=""/>
    <s v=""/>
    <s v=""/>
    <s v=""/>
    <s v="нет"/>
  </r>
  <r>
    <s v="Газпромнефть-ГЕО, ООО"/>
    <s v="0000048878"/>
    <s v="Зарегистрирован"/>
    <d v="2022-10-10T00:00:00"/>
    <s v=""/>
    <x v="29"/>
    <s v="1645019164"/>
    <s v=""/>
    <s v="ГЕО-22/33100/00259"/>
    <s v="ГЕО-22/33100/00259"/>
    <s v="Типовой ДД"/>
    <x v="1"/>
    <s v="33100 Соглашение в области производственной безопасности"/>
    <s v="00894-22"/>
    <s v=""/>
    <s v="33100 Соглашение в области производственной безопасности"/>
    <s v="Соглашение в области производственной безопасности"/>
    <s v="Ахматгалиев С.З."/>
    <s v=""/>
    <s v="Договорный документ"/>
    <s v="Блок геологии и разработки"/>
    <s v="Власов М.М."/>
    <s v="ЭП"/>
    <s v="Без сроков "/>
    <d v="2022-10-10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27645"/>
    <s v="Зарегистрирован"/>
    <d v="2021-11-30T00:00:00"/>
    <s v=""/>
    <x v="80"/>
    <s v="5501072608"/>
    <s v=""/>
    <s v="ГЕО-21/10000/00295/Р"/>
    <s v="ГЕО-21/10000/00295/Р"/>
    <s v="Нетиповой ДД"/>
    <x v="2"/>
    <s v=""/>
    <s v="00895-21"/>
    <s v=""/>
    <s v="Договор на оказание услуг складской и транспортной логистики (Проект Южный Оренбург)"/>
    <s v="Оказание услуг СТЛ на проекте Южный Оренбург"/>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1-11-30T00:00:00"/>
    <d v="2024-12-31T00:00:00"/>
    <s v="Д-1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21 409 019.17"/>
    <s v="17 840 849.31"/>
    <s v="3 568 169.86"/>
    <s v="нет"/>
    <s v="нет"/>
    <s v=""/>
    <s v=""/>
    <s v=""/>
    <s v=""/>
    <s v="нет"/>
  </r>
  <r>
    <s v="Газпромнефть-ГЕО, ООО"/>
    <s v="0000054112"/>
    <s v="Зарегистрирован"/>
    <d v="2022-10-10T00:00:00"/>
    <s v=""/>
    <x v="52"/>
    <s v="5914022670"/>
    <s v=""/>
    <s v="ГЕО-22/33100/00256"/>
    <s v="ГЕО-22/33100/00256"/>
    <s v="Типовой ДД"/>
    <x v="1"/>
    <s v="33100 Соглашение в области производственной безопасности"/>
    <s v="00895-22"/>
    <s v=""/>
    <s v="33100 Соглашение в области производственной безопасности"/>
    <s v="Соглашение в области производственной безопасности"/>
    <s v="Ахматгалиев С.З."/>
    <s v=""/>
    <s v="Договорный документ"/>
    <s v="Блок геологии и разработки"/>
    <s v="Власов М.М."/>
    <s v="ЭП"/>
    <s v="Без сроков "/>
    <d v="2022-10-10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0194"/>
    <s v="Закрыт"/>
    <d v="2021-12-09T00:00:00"/>
    <s v=""/>
    <x v="177"/>
    <s v="7017126251"/>
    <s v=""/>
    <s v="ГЕО-21/20000/00300/Д"/>
    <s v="ГЕО-21/20000/00300/Д"/>
    <s v="Нетиповой ДД"/>
    <x v="2"/>
    <s v=""/>
    <s v="00896-21"/>
    <s v=""/>
    <s v="Агентский договор на оказание супервайзерских услуг по контролю состояния производственной безопасности на объектах ООО «Газпромнефть-Восток»"/>
    <s v="Сопровождение сейсморазведочных работ в области производственной безопасности"/>
    <s v="Анисимов А.Н."/>
    <s v="Анисимов А.Н."/>
    <s v="Договорный документ"/>
    <s v="Управление производственной безопасности"/>
    <s v="Власов М.М."/>
    <s v="На бумажном носителе"/>
    <s v="С ограничением по срокам "/>
    <d v="2021-12-09T00:00:00"/>
    <d v="2022-12-31T00:00:00"/>
    <s v="Д-59"/>
    <s v="Агентский договор"/>
    <s v="Доходная часть"/>
    <s v="Агентский"/>
    <s v="20%"/>
    <s v=""/>
    <s v=""/>
    <s v="2 203 812.00"/>
    <s v="1 836 510.00"/>
    <s v="367 302.00"/>
    <s v="нет"/>
    <s v="нет"/>
    <s v=""/>
    <s v=""/>
    <s v=""/>
    <s v=""/>
    <s v="нет"/>
  </r>
  <r>
    <s v="Газпромнефть-ГЕО, ООО"/>
    <s v="0000041259"/>
    <s v="Зарегистрирован"/>
    <d v="2022-10-10T00:00:00"/>
    <s v=""/>
    <x v="142"/>
    <s v="7203159800"/>
    <s v="ГЕО-22/10968/00197/Р"/>
    <s v=""/>
    <s v="1"/>
    <s v="Нетиповой ДД"/>
    <x v="0"/>
    <s v=""/>
    <s v="00896-22"/>
    <s v=""/>
    <s v="Дополнительное соглашение №1"/>
    <s v="Уменьшение единичных расценок"/>
    <s v="Копылов Е.О."/>
    <s v=""/>
    <s v="Договорный документ"/>
    <s v="Отдел экологической безопасности"/>
    <s v="Власов М.М."/>
    <s v="ЭП"/>
    <s v="С ограничением по срокам "/>
    <d v="2022-10-10T00:00:00"/>
    <d v="2024-09-30T00:00:00"/>
    <s v="Д-59"/>
    <s v="Вывоз, транспортировка и размещение отходов производственной деятельности"/>
    <s v="Расходная часть"/>
    <s v="Стоимостной"/>
    <s v="20%"/>
    <s v=""/>
    <s v=""/>
    <s v="121 446 265.27"/>
    <s v="101 205 221.06"/>
    <s v="20 241 044.21"/>
    <s v="нет"/>
    <s v="нет"/>
    <s v=""/>
    <s v=""/>
    <s v=""/>
    <s v=""/>
    <s v="нет"/>
  </r>
  <r>
    <s v="Газпромнефть-ГЕО, ООО"/>
    <s v=""/>
    <s v="Проект"/>
    <s v=""/>
    <s v=""/>
    <x v="58"/>
    <s v=""/>
    <s v=""/>
    <s v=""/>
    <s v=""/>
    <s v="Типовой ДД"/>
    <x v="2"/>
    <s v="20000 Договор на оказание агентских услуг на организацию размещения и обслуживания персонала в буферных (обсервационных) терминалах"/>
    <s v="00897-21"/>
    <s v=""/>
    <s v="20000 Договор на оказание агентских услуг на организацию размещения и обслуживания персонала в буферных (обсервационных) терминалах"/>
    <s v=""/>
    <s v="Ефремов А.С."/>
    <s v=""/>
    <s v="Договорный документ"/>
    <s v="Управление внутрискважинных работ"/>
    <s v=""/>
    <s v=""/>
    <s v=""/>
    <s v=""/>
    <s v=""/>
    <s v=""/>
    <s v=""/>
    <s v=""/>
    <s v=""/>
    <s v=""/>
    <s v=""/>
    <s v=""/>
    <s v=""/>
    <s v=""/>
    <s v=""/>
    <s v="нет"/>
    <s v="нет"/>
    <s v=""/>
    <s v=""/>
    <s v=""/>
    <s v=""/>
    <s v="нет"/>
  </r>
  <r>
    <s v="Газпромнефть-ГЕО, ООО"/>
    <s v="0000076283"/>
    <s v="Зарегистрирован"/>
    <d v="2022-10-10T00:00:00"/>
    <s v=""/>
    <x v="28"/>
    <s v="4501174492"/>
    <s v=""/>
    <s v=""/>
    <s v="1"/>
    <s v="Нетиповой ДД"/>
    <x v="3"/>
    <s v=""/>
    <s v="00897-22"/>
    <s v=""/>
    <s v="НАРЯД-ЗАКАЗ № 1 ООО «Уралгеопроект» к договору ГЕО-22/11000/00267/Р от 10.10.2022"/>
    <s v="НАРЯД-ЗАКАЗ № 1 с ООО «Уралгеопроект». Выполнению инженерных изысканий для нужд ООО «ГПН-ГЕО»."/>
    <s v="Мормышев А.А."/>
    <s v="Салахутдинов Р.С."/>
    <s v="Договорный документ"/>
    <s v="Департамент капитального строительства"/>
    <s v="Трифонов А.В."/>
    <s v="ЭП"/>
    <s v="До исполнения обязательств"/>
    <d v="2022-10-10T00:00:00"/>
    <s v=""/>
    <s v="Д-33"/>
    <s v="Капитальное строительство и ПИР"/>
    <s v="Расходная часть"/>
    <s v="Стоимостной"/>
    <s v="20%"/>
    <s v=""/>
    <s v=""/>
    <s v="72 459 852.24"/>
    <s v="60 383 210.20"/>
    <s v="12 076 642.04"/>
    <s v="нет"/>
    <s v="нет"/>
    <s v=""/>
    <s v=""/>
    <s v=""/>
    <s v=""/>
    <s v="нет"/>
  </r>
  <r>
    <s v="Газпромнефть-ГЕО, ООО"/>
    <s v="0000073438"/>
    <s v="Зарегистрирован"/>
    <d v="2021-12-28T00:00:00"/>
    <s v=""/>
    <x v="68"/>
    <s v="7720330291"/>
    <s v=""/>
    <s v="ГЕО-21/08000/00296/Р"/>
    <s v="ГЕО-21/08000/00296/Р"/>
    <s v="Нетиповой ДД"/>
    <x v="2"/>
    <s v=""/>
    <s v="00898-21"/>
    <s v=""/>
    <s v="Договор на выполнение «Комплексного сопровождения по информационно-аналитическому и практическому ведению недропользования на участках недр в периметре лицензионного портфеля ООО «ГПН-ГЕО» (11708)"/>
    <s v="Заключение договора на выполнение «Комплексного сопровождения по информационно-аналитическому и практическому ведению недропользования на участках недр в периметре лицензионного портфеля ООО «ГПН-ГЕО»"/>
    <s v="Лопарев В.В."/>
    <s v="Мустафин И.Р."/>
    <s v="Договорный документ"/>
    <s v="Блок геологии и разработки"/>
    <s v="Аксенов М.А."/>
    <s v="На бумажном носителе"/>
    <s v="С ограничением по срокам "/>
    <d v="2021-12-28T00:00:00"/>
    <d v="2026-12-31T00:00:00"/>
    <s v=""/>
    <s v="Договор на выполнение НИР, ОКР и технологических работ"/>
    <s v="Расходная часть"/>
    <s v="Стоимостной"/>
    <s v="20%"/>
    <s v=""/>
    <s v=""/>
    <s v="900 077 742.86"/>
    <s v="750 064 785.72"/>
    <s v="150 012 957.14"/>
    <s v="нет"/>
    <s v="нет"/>
    <s v=""/>
    <s v=""/>
    <s v=""/>
    <s v=""/>
    <s v="нет"/>
  </r>
  <r>
    <s v="Газпромнефть-ГЕО, ООО"/>
    <s v="0000058271"/>
    <s v="Зарегистрирован"/>
    <d v="2022-10-05T00:00:00"/>
    <s v=""/>
    <x v="42"/>
    <s v="7725696878"/>
    <s v="ГЕО-19/11708/00133/Р "/>
    <s v=""/>
    <s v="20"/>
    <s v="Нетиповой ДД"/>
    <x v="3"/>
    <s v=""/>
    <s v="00898-22"/>
    <s v=""/>
    <s v="НЗ №20 «Обновление петрофизической модели ачимовской толщи Харвутинской площади Ямбургского нефтегазоконденсатного месторождения»"/>
    <s v="актуализировать петрофизическую основу методики интерпретации ГИС для последующего использования и обеспечения данными построения 3Д геологических моделей"/>
    <s v="Ябиров Р.З."/>
    <s v=""/>
    <s v="Договорный документ"/>
    <s v="Блок геологии и разработки"/>
    <s v="Аксенов М.А."/>
    <s v="На бумажном носителе"/>
    <s v="С ограничением по срокам "/>
    <d v="2022-10-05T00:00:00"/>
    <d v="2022-11-30T00:00:00"/>
    <s v="Д-54"/>
    <s v="Договор на выполнение НИР, ОКР и технологических работ"/>
    <s v="Расходная часть"/>
    <s v="Рамочный"/>
    <s v="20%"/>
    <s v=""/>
    <s v=""/>
    <s v="1 920 196.80"/>
    <s v="1 600 164.00"/>
    <s v="320 032.80"/>
    <s v="нет"/>
    <s v="нет"/>
    <s v=""/>
    <s v=""/>
    <s v=""/>
    <s v=""/>
    <s v="нет"/>
  </r>
  <r>
    <s v="Газпромнефть-ГЕО, ООО"/>
    <s v=""/>
    <s v="Закрыт"/>
    <d v="2021-12-28T00:00:00"/>
    <s v=""/>
    <x v="467"/>
    <s v=""/>
    <s v=""/>
    <s v="ГЕО-21/09100/00298/Р"/>
    <s v="ГЕО-21/09100/00298/Р"/>
    <s v="Нетиповой ДД"/>
    <x v="2"/>
    <s v=""/>
    <s v="00899-21"/>
    <s v=""/>
    <s v="Обучение руководителей и специалистов ООО «ГПН-ГЕО» оказанию первой помощи пострадавшим на производстве"/>
    <s v="Обучение руководителей и специалистов ООО «ГПН-ГЕО» оказанию первой помощи пострадавшим на производстве"/>
    <s v="Петушкова В.Е."/>
    <s v="Петушкова В.Е."/>
    <s v="Договорный документ"/>
    <s v="Управление производственной безопасности"/>
    <s v="Власов М.М."/>
    <s v="На бумажном носителе"/>
    <s v="С ограничением по срокам "/>
    <d v="2022-01-01T00:00:00"/>
    <d v="2022-12-31T00:00:00"/>
    <s v="Д-59"/>
    <s v="Договор на обучение (тренинги, семинары и проч.)"/>
    <s v="Расходная часть"/>
    <s v="Стоимостной"/>
    <s v="без НДС"/>
    <s v=""/>
    <s v=""/>
    <s v="30 000.00"/>
    <s v="30 000.00"/>
    <n v="0"/>
    <s v="нет"/>
    <s v="нет"/>
    <s v=""/>
    <s v=""/>
    <s v=""/>
    <s v=""/>
    <s v="нет"/>
  </r>
  <r>
    <s v="Газпромнефть-ГЕО, ООО"/>
    <s v="0000104253"/>
    <s v="Зарегистрирован"/>
    <d v="2022-10-20T00:00:00"/>
    <s v=""/>
    <x v="254"/>
    <s v="7813297921"/>
    <s v=""/>
    <s v="ГЕО-22/33200/00266"/>
    <s v="ГЕО-22/33200/00266"/>
    <s v="Типовой ДД"/>
    <x v="1"/>
    <s v="33200 Соглашение об электронном документообороте"/>
    <s v="00899-22"/>
    <s v=""/>
    <s v="33200 Соглашение об электронном документообороте"/>
    <s v="Переход на ЭДО"/>
    <s v="Титова Е.В."/>
    <s v="Титова Е.В."/>
    <s v="Договорный документ"/>
    <s v="Блок снабжения и закупок"/>
    <s v="Титов А.В."/>
    <s v="ЭП"/>
    <s v="До исполнения обязательств"/>
    <d v="2022-10-20T00:00:00"/>
    <s v=""/>
    <s v="Д-56"/>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5789, 0000087378"/>
    <s v="Зарегистрирован"/>
    <d v="2021-12-20T00:00:00"/>
    <s v=""/>
    <x v="468"/>
    <s v="7838395487, 7204203139"/>
    <s v=""/>
    <s v="ГЕО-21/08000/00297/Р"/>
    <s v="ГЕО-21/08000/00297/Р"/>
    <s v="Нетиповой ДД"/>
    <x v="1"/>
    <s v=""/>
    <s v="00900-21"/>
    <s v=""/>
    <s v="Соглашение о частичной передаче прав и обязанностей"/>
    <s v="Передача работ по исследованию керна основному Исполнителю"/>
    <s v="Ябиров Р.З."/>
    <s v="Ябиров Р.З."/>
    <s v="Договорный документ"/>
    <s v="Блок геологии и разработки"/>
    <s v="Аксенов М.А."/>
    <s v="На бумажном носителе"/>
    <s v="С ограничением по срокам "/>
    <d v="2021-12-20T00:00:00"/>
    <d v="2023-12-31T00:00:00"/>
    <s v="Д-54"/>
    <s v="Договор на выполнение НИР, ОКР и технологических работ"/>
    <s v="Расходная часть"/>
    <s v="Рамочный"/>
    <s v="20%"/>
    <s v=""/>
    <s v=""/>
    <s v="54 041 096.32"/>
    <s v="45 034 246.93"/>
    <s v="9 006 849.39"/>
    <s v="нет"/>
    <s v="нет"/>
    <s v=""/>
    <s v=""/>
    <s v=""/>
    <s v=""/>
    <s v="нет"/>
  </r>
  <r>
    <s v="Газпромнефть-ГЕО, ООО"/>
    <s v=""/>
    <s v="Зарегистрирован"/>
    <d v="2021-12-24T00:00:00"/>
    <s v=""/>
    <x v="466"/>
    <s v=""/>
    <s v=""/>
    <s v="ГЕО-21/11104/00291/Р"/>
    <s v="ГЕО-21/11104/00291/Р"/>
    <s v="Типовой ДД"/>
    <x v="2"/>
    <s v="11104 Договор по услуге «Авиационное обслуживание (вертолеты)» "/>
    <s v="00901-21"/>
    <s v=""/>
    <s v="11104 Договор по услуге «Авиационное обслуживание (вертолеты)» "/>
    <s v="Оказание авиационных услуг с использованием вертолетов Ми-26"/>
    <s v="Бабиков Н.В."/>
    <s v="Бабиков Н.В."/>
    <s v="Договорный документ"/>
    <s v="Блок снабжения и закупок"/>
    <s v="Титов А.В."/>
    <s v="На бумажном носителе"/>
    <s v="С ограничением по срокам "/>
    <d v="2021-12-24T00:00:00"/>
    <d v="2024-12-31T00:00:00"/>
    <s v=""/>
    <s v="Авиационное обслуживание (вертолеты)"/>
    <s v="Расходная часть"/>
    <s v="Стоимостной"/>
    <s v="20%"/>
    <s v=""/>
    <s v=""/>
    <s v="241 920 000.00"/>
    <s v="201 600 000.00"/>
    <s v="40 320 000.00"/>
    <s v="нет"/>
    <s v="нет"/>
    <s v=""/>
    <s v=""/>
    <s v=""/>
    <s v=""/>
    <s v="нет"/>
  </r>
  <r>
    <s v="Газпромнефть-ГЕО, ООО"/>
    <s v="0000054112"/>
    <s v="Зарегистрирован"/>
    <d v="2022-10-10T00:00:00"/>
    <s v=""/>
    <x v="52"/>
    <s v="5914022670"/>
    <s v=""/>
    <s v="ГЕО-22/33200/00255"/>
    <s v="ГЕО-22/33200/00255"/>
    <s v="Типовой ДД"/>
    <x v="1"/>
    <s v="33200 Соглашение об электронном документообороте"/>
    <s v="00901-22"/>
    <s v=""/>
    <s v="33200 Соглашение об электронном документообороте"/>
    <s v="Переход на электронный документооборот"/>
    <s v="Ахматгалиев С.З."/>
    <s v=""/>
    <s v="Договорный документ"/>
    <s v="Блок геологии и разработки"/>
    <s v="Агеев П.А."/>
    <s v="ЭП"/>
    <s v="Без сроков "/>
    <d v="2022-10-10T00:00:00"/>
    <s v=""/>
    <s v="Д-5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9141"/>
    <s v="Зарегистрирован"/>
    <d v="2022-11-14T00:00:00"/>
    <s v=""/>
    <x v="60"/>
    <s v="7203215460"/>
    <s v=""/>
    <s v="ГЕО-22/35000/00297"/>
    <s v="ГЕО-22/35000/00297"/>
    <s v="Нетиповой ДД"/>
    <x v="1"/>
    <s v=""/>
    <s v="00902-22"/>
    <s v=""/>
    <s v="Соглашение о безопасном использовании информационных систем"/>
    <s v="Для работы в Цифровом двойнике"/>
    <s v="Ушакова М.А."/>
    <s v=""/>
    <s v="Договорный документ"/>
    <s v="Блок геологии и разработки"/>
    <s v="Агеев П.А."/>
    <s v="ЭП"/>
    <s v="С ограничением по срокам "/>
    <d v="2022-11-14T00:00:00"/>
    <d v="2025-12-31T00:00:00"/>
    <s v="Д-52"/>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66687"/>
    <s v="Зарегистрирован"/>
    <d v="2021-12-23T00:00:00"/>
    <s v=""/>
    <x v="161"/>
    <s v="9909012867"/>
    <s v="ГЕО-21/10430/00237/Р"/>
    <s v=""/>
    <s v="1"/>
    <s v="Нетиповой ДД"/>
    <x v="0"/>
    <s v=""/>
    <s v="00903-21"/>
    <s v=""/>
    <s v="Дополнительное соглашение №1 к Договору на выполнение работ по Инженерному и технологическому сопровождению работ при текущем и капитальном ремонте скважин (ТКРС) (Аренда клапана-отсекателя с инженерным сопровождением) № ГЕО-21/10430/00237/Р от 25.10.2021г"/>
    <s v="Изменение производственной программы, частичное перераспределение гарантийного объема услуг из 2021 в 2022 г. без изменения стоимости ДД"/>
    <s v="Рымаренко А.А."/>
    <s v="Рымаренко А.А."/>
    <s v="Договорный документ"/>
    <s v="Управление внутрискважинных работ"/>
    <s v="Масалкин Ю.В."/>
    <s v="На бумажном носителе"/>
    <s v="С ограничением по срокам "/>
    <d v="2021-12-23T00:00:00"/>
    <d v="2024-12-31T00:00:00"/>
    <s v=""/>
    <s v="Договор возмездного оказания услуг"/>
    <s v="Не предполагает взаиморасчетов"/>
    <s v="Стоимостной"/>
    <s v=""/>
    <s v=""/>
    <s v=""/>
    <s v=""/>
    <s v=""/>
    <s v=""/>
    <s v="нет"/>
    <s v="нет"/>
    <s v=""/>
    <s v=""/>
    <s v=""/>
    <s v=""/>
    <s v="нет"/>
  </r>
  <r>
    <s v="Газпромнефть-ГЕО, ООО"/>
    <s v=""/>
    <s v="Зарегистрирован"/>
    <d v="2022-10-17T00:00:00"/>
    <s v=""/>
    <x v="469"/>
    <s v=""/>
    <s v=""/>
    <s v="ГЕО-22/34000/00260"/>
    <s v="ГЕО-22/34000/00260"/>
    <s v="Нетиповой ДД"/>
    <x v="1"/>
    <s v=""/>
    <s v="00903-22"/>
    <s v=""/>
    <s v="Соглашение о о сотрудничестве между Комитетом по природопользованию, охране окружающей среды и обеспечению экологической безопасности и Обществом с ограниченной ответственностью «Газпромнефть-ГЕО»"/>
    <s v="1. Сотрудничество в области практической подготовки специалистов-экологов и привлечения внимания общества к вопросам охраны окружающей среды и экологической безопасности_x000d__x000a_2. Сотрудничество в области создания Движения экологических волонтёров – добровольческого движения по оказанию оперативной помощи в ликвидации последствий масштабных нефтеразливов"/>
    <s v="Липатова О.И."/>
    <s v=""/>
    <s v="Договорный документ"/>
    <s v="Отдел экологической безопасности"/>
    <s v="Аксенов М.А."/>
    <s v="На бумажном носителе"/>
    <s v="Без сроков "/>
    <d v="2022-10-17T00:00:00"/>
    <s v=""/>
    <s v=""/>
    <s v="Соглашение с органами государственной власти и управления и муниципальными образованиями"/>
    <s v="Не предполагает взаиморасчетов"/>
    <s v=""/>
    <s v=""/>
    <s v=""/>
    <s v=""/>
    <s v=""/>
    <s v=""/>
    <s v=""/>
    <s v="нет"/>
    <s v="нет"/>
    <s v=""/>
    <s v=""/>
    <s v=""/>
    <s v=""/>
    <s v="нет"/>
  </r>
  <r>
    <s v="Газпромнефть-ГЕО, ООО"/>
    <s v="0000063179"/>
    <s v="Зарегистрирован"/>
    <d v="2021-12-16T00:00:00"/>
    <s v=""/>
    <x v="54"/>
    <s v="7727747172"/>
    <s v="ГЕО-20/10986/00138/Р "/>
    <s v=""/>
    <s v="15"/>
    <s v="Нетиповой ДД"/>
    <x v="3"/>
    <s v=""/>
    <s v="00904-21"/>
    <s v=""/>
    <s v="Задание № 15"/>
    <s v="Задания № 15 к Договору № ГЕО-20/10986/00138/Р от 10.08.2020г. с компанией ООО «ОГК» на оказание СП услуг по контролю состояния ПБ в 2021-2022 гг. на Тайлаковском ЛУ в рамках заключаемого операторского договора с АО «Славнефть-Мегионнефтегаз»"/>
    <s v="Рябикина М.А."/>
    <s v="Анисимов А.Н."/>
    <s v="Договорный документ"/>
    <s v="Блок производственной безопасности"/>
    <s v="Власов М.М."/>
    <s v="На бумажном носителе"/>
    <s v="С ограничением по срокам "/>
    <d v="2021-12-16T00:00:00"/>
    <d v="2022-01-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 320 052.80"/>
    <s v="1 100 044.00"/>
    <s v="220 008.80"/>
    <s v="нет"/>
    <s v="нет"/>
    <s v=""/>
    <s v=""/>
    <s v=""/>
    <s v=""/>
    <s v="нет"/>
  </r>
  <r>
    <s v="Газпромнефть-ГЕО, ООО"/>
    <s v="0000098088"/>
    <s v="Зарегистрирован"/>
    <d v="2022-10-12T00:00:00"/>
    <s v=""/>
    <x v="217"/>
    <s v="3015092176"/>
    <s v="ГЕО-22/10000/00210/Р"/>
    <s v=""/>
    <s v="2"/>
    <s v="Нетиповой ДД"/>
    <x v="0"/>
    <s v=""/>
    <s v="00904-22"/>
    <s v=""/>
    <s v="Дополнительное соглашение "/>
    <s v="Дополнение договора приложением - «Временный регламент по обращению с металлической бочкотарой на объектах ДО БРД ПАО «Газпром нефть» "/>
    <s v="Паркина И.А."/>
    <s v="Конюх М.В."/>
    <s v="Договорный документ"/>
    <s v="Отдел подготовительных работ и экономического анализа"/>
    <s v="Трифонов А.В."/>
    <s v="ЭП"/>
    <s v="До исполнения обязательств"/>
    <d v="2022-10-12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37846"/>
    <s v="Закрыт"/>
    <d v="2021-12-23T00:00:00"/>
    <s v=""/>
    <x v="26"/>
    <s v="8905032518"/>
    <s v=""/>
    <s v="ГЕО-21/09000/00290/Р"/>
    <s v="ГЕО-21/09000/00290/Р"/>
    <s v="Нетиповой ДД"/>
    <x v="2"/>
    <s v=""/>
    <s v="00905-21"/>
    <s v=""/>
    <s v="Договор об оказании Услуг по обеспечению сервиса защиты информации"/>
    <s v="Выполнение требований ПК-12.02.01 «Политика информационной безопасности» по обеспечению сервиса защиты информации ООО «ГПН-ГЕО»"/>
    <s v="Бринкис В.В."/>
    <s v="Бринкис В.В."/>
    <s v="Договорный документ"/>
    <s v="Блок корпоративной защиты"/>
    <s v="Созинов С.А."/>
    <s v="На бумажном носителе"/>
    <s v="С ограничением по срокам "/>
    <d v="2022-01-01T00:00:00"/>
    <d v="2022-12-31T00:00:00"/>
    <s v=""/>
    <s v="Договор возмездного оказания услуг"/>
    <s v="Расходная часть"/>
    <s v="Стоимостной"/>
    <s v="20%"/>
    <s v=""/>
    <s v=""/>
    <s v="1 298 022.91"/>
    <s v="1 081 685.76"/>
    <s v="216 337.15"/>
    <s v="нет"/>
    <s v="нет"/>
    <s v=""/>
    <s v=""/>
    <s v=""/>
    <s v=""/>
    <s v="нет"/>
  </r>
  <r>
    <s v="Газпромнефть-ГЕО, ООО"/>
    <s v="0000073563"/>
    <s v="Зарегистрирован"/>
    <d v="2022-10-12T00:00:00"/>
    <s v=""/>
    <x v="120"/>
    <s v="8609322418"/>
    <s v="ГЕО-22/10402/00187/Р"/>
    <s v=""/>
    <s v="1"/>
    <s v="Нетиповой ДД"/>
    <x v="0"/>
    <s v=""/>
    <s v="00905-22"/>
    <s v=""/>
    <s v="Дополнительное соглашение № 1 к Договору № ГЕО-22/10402/00187/Р от 03.08.2022г., с ГеоЛад-СТ"/>
    <s v="Изменение реквизитов и регламента по обращению с бочкотарой "/>
    <s v="Яшкина К.Л."/>
    <s v="Яшкина К.Л."/>
    <s v="Договорный документ"/>
    <s v="Блок бурения и ВСР"/>
    <s v="Трифонов А.В."/>
    <s v="ЭП"/>
    <s v="С ограничением по срокам "/>
    <d v="2022-10-12T00:00:00"/>
    <d v="2024-07-31T00:00:00"/>
    <s v="Д-33"/>
    <s v="Капитальный ремонт и освоение скважин"/>
    <s v="Не предполагает взаиморасчетов"/>
    <s v="Стоимостной"/>
    <s v=""/>
    <s v=""/>
    <s v=""/>
    <s v=""/>
    <s v=""/>
    <s v=""/>
    <s v="нет"/>
    <s v="нет"/>
    <s v=""/>
    <s v=""/>
    <s v=""/>
    <s v=""/>
    <s v="нет"/>
  </r>
  <r>
    <s v="Газпромнефть-ГЕО, ООО"/>
    <s v="0000048216"/>
    <s v="Зарегистрирован"/>
    <d v="2021-12-20T00:00:00"/>
    <s v=""/>
    <x v="38"/>
    <s v="8605013881"/>
    <s v="ГЕО-21/10308/00236/Р"/>
    <s v=""/>
    <s v="1"/>
    <s v="Нетиповой ДД"/>
    <x v="0"/>
    <s v=""/>
    <s v="00906-21"/>
    <s v=""/>
    <s v="ДС №1 к Договору №ГЕО-21/10308/00236/Р от 04.10.2021 г. на проведение ГТИ при бурении (Южный Оренбург)"/>
    <s v="Уменьшение гарантированного объема работ и актуализация требований ПБ"/>
    <s v="Ушакова М.А."/>
    <s v="Коротков С.П."/>
    <s v="Договорный документ"/>
    <s v="Блок геологии и разработки"/>
    <s v="Аксенов М.А."/>
    <s v="На бумажном носителе"/>
    <s v="С ограничением по срокам "/>
    <d v="2021-12-20T00:00:00"/>
    <d v="2024-12-31T00:00:00"/>
    <s v=""/>
    <s v="ГТИ при бурении"/>
    <s v="Не предполагает взаиморасчетов"/>
    <s v=""/>
    <s v=""/>
    <s v=""/>
    <s v=""/>
    <s v=""/>
    <s v=""/>
    <s v=""/>
    <s v="нет"/>
    <s v="нет"/>
    <s v=""/>
    <s v=""/>
    <s v=""/>
    <s v=""/>
    <s v="нет"/>
  </r>
  <r>
    <s v="Газпромнефть-ГЕО, ООО"/>
    <s v="0000054112"/>
    <s v="Зарегистрирован"/>
    <d v="2022-10-10T00:00:00"/>
    <s v=""/>
    <x v="52"/>
    <s v="5914022670"/>
    <s v=""/>
    <s v="ГЕО-22/10000/00278/Р"/>
    <s v="ГЕО-22/10000/00278/Р"/>
    <s v="Типовой ДД"/>
    <x v="2"/>
    <s v="10000 Договор по услуге «Полевые сейсморазведочные работы 2Д, 3Д» (услуга № 10110 согласно КТ-777) "/>
    <s v="00906-22"/>
    <s v=""/>
    <s v="10000 Договор по услуге «Полевые сейсморазведочные работы 2Д, 3Д» (услуга № 10110 согласно КТ-777) "/>
    <s v="Рамочный договор на выполнение сейсморазведочных работ"/>
    <s v="Ахматгалиев С.З."/>
    <s v=""/>
    <s v="Договорный документ"/>
    <s v="Блок геологии и разработки"/>
    <s v="Агеев П.А."/>
    <s v="ЭП"/>
    <s v="С ограничением по срокам "/>
    <d v="2022-10-10T00:00:00"/>
    <d v="2026-12-31T00:00:00"/>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68 121 823 471.06"/>
    <s v="56 768 186 225.88"/>
    <s v="11 353 637 245.18"/>
    <s v="нет"/>
    <s v="нет"/>
    <s v=""/>
    <s v=""/>
    <s v=""/>
    <s v=""/>
    <s v="нет"/>
  </r>
  <r>
    <s v="Газпромнефть-ГЕО, ООО"/>
    <s v="0000063179"/>
    <s v="Зарегистрирован"/>
    <d v="2021-12-13T00:00:00"/>
    <s v=""/>
    <x v="54"/>
    <s v="7727747172"/>
    <s v="ГЕО-20/10986/00138/Р от 10.08.2020г."/>
    <s v=""/>
    <s v="14"/>
    <s v="Нетиповой ДД"/>
    <x v="3"/>
    <s v=""/>
    <s v="00907-21"/>
    <s v=""/>
    <s v="Задание № 14 к Договору № ГЕО-20/10986/00138/Р от 10.08.2020г. с компанией ООО «ОГК» на оказание супервайзерских услуг по контролю состояния производственной безопасности (дале  - ПБ) в 2022 году на Лескинском ЛУ Проекта «Енисей»"/>
    <s v="оказание супервайзерских услуг по контролю состояния производственной безопасности (дале  - ПБ) в 2022 году на Лескинском ЛУ Проекта «Енисей»"/>
    <s v="Рябикина М.А."/>
    <s v="Анисимов А.Н."/>
    <s v="Договорный документ"/>
    <s v="Блок производственной безопасности"/>
    <s v="Власов М.М."/>
    <s v="На бумажном носителе"/>
    <s v="С ограничением по срокам "/>
    <d v="2022-01-01T00:00:00"/>
    <d v="2022-02-28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1 188 330.00"/>
    <s v="990 275.00"/>
    <s v="198 055.00"/>
    <s v="нет"/>
    <s v="нет"/>
    <s v=""/>
    <s v=""/>
    <s v=""/>
    <s v=""/>
    <s v="нет"/>
  </r>
  <r>
    <s v="Газпромнефть-ГЕО, ООО"/>
    <s v="0000067121"/>
    <s v="Зарегистрирован"/>
    <d v="2022-10-10T00:00:00"/>
    <s v=""/>
    <x v="62"/>
    <s v="7202171361"/>
    <s v=""/>
    <s v="ГЕО-22/10000/00276/Р"/>
    <s v="ГЕО-22/10000/00276/Р"/>
    <s v="Типовой ДД"/>
    <x v="2"/>
    <s v="10000 Договор по услуге «Полевые сейсморазведочные работы 2Д, 3Д» (услуга № 10110 согласно КТ-777) "/>
    <s v="00907-22"/>
    <s v=""/>
    <s v="10000 Договор по услуге «Полевые сейсморазведочные работы 2Д, 3Д» (услуга № 10110 согласно КТ-777) "/>
    <s v="Рамочный договор на выполнение сейсморазведочных работ"/>
    <s v="Ахматгалиев С.З."/>
    <s v=""/>
    <s v="Договорный документ"/>
    <s v="Блок геологии и разработки"/>
    <s v="Аксенов М.А."/>
    <s v="ЭП"/>
    <s v="С ограничением по срокам "/>
    <d v="2022-10-10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42 368 241 627.37"/>
    <s v="35 306 868 022.81"/>
    <s v="7 061 373 604.56"/>
    <s v="нет"/>
    <s v="нет"/>
    <s v=""/>
    <s v=""/>
    <s v=""/>
    <s v=""/>
    <s v="нет"/>
  </r>
  <r>
    <s v="Газпромнефть-ГЕО, ООО"/>
    <s v="0000045789"/>
    <s v="Зарегистрирован"/>
    <d v="2021-12-23T00:00:00"/>
    <s v=""/>
    <x v="16"/>
    <s v="7838395487"/>
    <s v="ГЕО-18/11038/00080/Р"/>
    <s v=""/>
    <s v="НТЦ-03029-21Д-ГЕО"/>
    <s v="Нетиповой ДД"/>
    <x v="3"/>
    <s v=""/>
    <s v="00908-21"/>
    <s v=""/>
    <s v="Заказ на проведение экспертизы расчетов стоимости ПИР и осуществление поддержки по вопросам ценообразования ПИР"/>
    <s v="Проведение экспертизы расчетов стоимости ПИР и осуществление поддержки по вопросам ценообразования ПИР"/>
    <s v="Григоренко Е.А."/>
    <s v="Григоренко Е.А."/>
    <s v="Договорный документ"/>
    <s v="Управление проектно-изыскательских работ"/>
    <s v="Перфильев Д.А."/>
    <s v="На бумажном носителе"/>
    <s v="С ограничением по срокам "/>
    <d v="2021-12-21T00:00:00"/>
    <d v="2021-12-31T00:00:00"/>
    <s v="Д-22"/>
    <s v="Капитальное строительство и ПИР"/>
    <s v="Расходная часть"/>
    <s v="Стоимостной"/>
    <s v="20%"/>
    <s v=""/>
    <s v=""/>
    <s v="598 575.00"/>
    <s v="498 812.50"/>
    <s v="99 762.50"/>
    <s v="нет"/>
    <s v="нет"/>
    <s v=""/>
    <s v=""/>
    <s v=""/>
    <s v=""/>
    <s v="нет"/>
  </r>
  <r>
    <s v="Газпромнефть-ГЕО, ООО"/>
    <s v="0000062421"/>
    <s v="Зарегистрирован"/>
    <d v="2022-10-15T00:00:00"/>
    <s v=""/>
    <x v="100"/>
    <s v="6924010964"/>
    <s v=""/>
    <s v="ГЕО-22/33100/00261"/>
    <s v="ГЕО-22/33100/00261"/>
    <s v="Типовой ДД"/>
    <x v="1"/>
    <s v="33100 Соглашение в области производственной безопасности"/>
    <s v="00908-22"/>
    <s v=""/>
    <s v="33100 Соглашение в области производственной безопасности"/>
    <s v="С целью обеспечения ПБ при оказании услуг. Авиакомпания Конверс АВИА"/>
    <s v="Мормышев А.А."/>
    <s v="Леденев Ю.А."/>
    <s v="Договорный документ"/>
    <s v="Блок снабжения и закупок"/>
    <s v="Власов М.М."/>
    <s v="ЭП"/>
    <s v="До исполнения обязательств"/>
    <d v="2022-10-15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58703"/>
    <s v="Зарегистрирован"/>
    <d v="2021-12-23T00:00:00"/>
    <s v=""/>
    <x v="5"/>
    <s v="5914024719"/>
    <s v="ГЕО-21/10208/00166/Р"/>
    <s v=""/>
    <s v="4"/>
    <s v="Нетиповой ДД"/>
    <x v="0"/>
    <s v=""/>
    <s v="00909-21"/>
    <s v=""/>
    <s v="Дополнительное соглашение №4 к Договору № ОРН-20/10204/00210/Р от 14.02.2020г."/>
    <s v="О заключении ДС №4 к договору № ОРН-20/10204/00210/Р от 14.02.2020г. между ООО «ГПН-ГЕО» и ООО «НСХ АЗИЯ ДРИЛЛИНГ», предусматривающего увеличение ставок в Договоре за счет увеличения ФОТ и перераспределения состава работ, без изменения общей стоимости и объема работ по Договору"/>
    <s v="Шкателов А.А."/>
    <s v="Шкателов А.А."/>
    <s v="Договорный документ"/>
    <s v="Блок бурения и ВСР"/>
    <s v="Гаврилов С.В."/>
    <s v="На бумажном носителе"/>
    <s v="До исполнения обязательств"/>
    <d v="2021-12-23T00:00:00"/>
    <s v=""/>
    <s v="Д-58"/>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0495"/>
    <s v="Зарегистрирован"/>
    <d v="2022-10-10T00:00:00"/>
    <s v=""/>
    <x v="167"/>
    <s v="0275009544"/>
    <s v=""/>
    <s v="ГЕО-22/10000/00270/Р"/>
    <s v="ГЕО-22/10000/00270/Р"/>
    <s v="Типовой ДД"/>
    <x v="2"/>
    <s v="10000 Договор по услуге «Полевые сейсморазведочные работы 2Д, 3Д» (услуга № 10110 согласно КТ-777) "/>
    <s v="00909-22"/>
    <s v=""/>
    <s v="10000 Договор по услуге «Полевые сейсморазведочные работы 2Д, 3Д» (услуга № 10110 согласно КТ-777) "/>
    <s v="Рамочный договор на выполнение сейсморазведочных работ"/>
    <s v="Ахматгалиев С.З."/>
    <s v=""/>
    <s v="Договорный документ"/>
    <s v="Блок геологии и разработки"/>
    <s v="Аксенов М.А."/>
    <s v="ЭП"/>
    <s v="С ограничением по срокам "/>
    <d v="2022-10-10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56 628 551 231.05"/>
    <s v="47 190 459 359.21"/>
    <s v="9 438 091 871.84"/>
    <s v="нет"/>
    <s v="нет"/>
    <s v=""/>
    <s v=""/>
    <s v=""/>
    <s v=""/>
    <s v="нет"/>
  </r>
  <r>
    <s v="Газпромнефть-ГЕО, ООО"/>
    <s v="0000027605"/>
    <s v="Зарегистрирован"/>
    <d v="2021-12-20T00:00:00"/>
    <s v=""/>
    <x v="67"/>
    <s v="8605003932"/>
    <s v=""/>
    <s v="ГЕО-21/33100/00308"/>
    <s v="ГЕО-21/33100/00308"/>
    <s v="Нетиповой ДД"/>
    <x v="1"/>
    <s v=""/>
    <s v="00910-21"/>
    <s v=""/>
    <s v="Соглашение в области производственной безопасности"/>
    <s v="Заключение соглашения в области ПБ"/>
    <s v="Ахматгалиев С.З."/>
    <s v=""/>
    <s v="Договорный документ"/>
    <s v="Блок производственной безопасности"/>
    <s v="Власов М.М."/>
    <s v="На бумажном носителе"/>
    <s v="Без сроков "/>
    <d v="2021-12-20T00:00:00"/>
    <s v=""/>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9141"/>
    <s v="Зарегистрирован"/>
    <d v="2022-10-10T00:00:00"/>
    <s v=""/>
    <x v="60"/>
    <s v="7203215460"/>
    <s v=""/>
    <s v="ГЕО-22/10000/00273/Р"/>
    <s v="ГЕО-22/10000/00273/Р"/>
    <s v="Типовой ДД"/>
    <x v="2"/>
    <s v="10000 Договор по услуге «Полевые сейсморазведочные работы 2Д, 3Д» (услуга № 10110 согласно КТ-777) "/>
    <s v="00910-22"/>
    <s v=""/>
    <s v="10000 Договор по услуге «Полевые сейсморазведочные работы 2Д, 3Д» (услуга № 10110 согласно КТ-777) "/>
    <s v="Рамочный договор на выполнение сейсморазведочных работ"/>
    <s v="Ахматгалиев С.З."/>
    <s v=""/>
    <s v="Договорный документ"/>
    <s v="Блок геологии и разработки"/>
    <s v="Аксенов М.А."/>
    <s v="ЭП"/>
    <s v="С ограничением по срокам "/>
    <d v="2022-10-10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49 485 719 540.88"/>
    <s v="41 238 099 617.40"/>
    <s v="8 247 619 923.48"/>
    <s v="нет"/>
    <s v="нет"/>
    <s v=""/>
    <s v=""/>
    <s v=""/>
    <s v=""/>
    <s v="нет"/>
  </r>
  <r>
    <s v="Газпромнефть-ГЕО, ООО"/>
    <s v="0000045789"/>
    <s v="Зарегистрирован"/>
    <d v="2021-12-22T00:00:00"/>
    <s v=""/>
    <x v="16"/>
    <s v="7838395487"/>
    <s v="НТЦ-18/29000/01335/Д-ГЕО/ГЕО-19/10124/00001 "/>
    <s v=""/>
    <s v="2"/>
    <s v="Нетиповой ДД"/>
    <x v="0"/>
    <s v=""/>
    <s v="00911-21"/>
    <s v="НТЦ-19/09000/02245/Д-ГЕО "/>
    <s v="Дополнительное соглашение №2"/>
    <s v="Изменение наименования 10 Этапа Заказа с актуализацией выполняемых работ БЕЗ ИЗМЕНЕНИЯ СТОИМОСТИ РАБОТ И ОКОНЧАНИЯ РАБОТ."/>
    <s v="Ябиров Р.З."/>
    <s v=""/>
    <s v="Договорный документ"/>
    <s v="Блок геологии и разработки"/>
    <s v="Масалкин Ю.В."/>
    <s v="На бумажном носителе"/>
    <s v="С ограничением по срокам "/>
    <d v="2021-12-22T00:00:00"/>
    <d v="2021-12-31T00:00:00"/>
    <s v=""/>
    <s v="Договор на выполнение НИР, ОКР и технологических работ"/>
    <s v="Не предполагает взаиморасчетов"/>
    <s v="Рамочный"/>
    <s v=""/>
    <s v=""/>
    <s v=""/>
    <s v=""/>
    <s v=""/>
    <s v=""/>
    <s v="нет"/>
    <s v="нет"/>
    <s v=""/>
    <s v=""/>
    <s v=""/>
    <s v=""/>
    <s v="нет"/>
  </r>
  <r>
    <s v="Газпромнефть-ГЕО, ООО"/>
    <s v="0000048878"/>
    <s v="Зарегистрирован"/>
    <d v="2022-10-10T00:00:00"/>
    <s v=""/>
    <x v="29"/>
    <s v="1645019164"/>
    <s v=""/>
    <s v="ГЕО-22/10000/00271/Р"/>
    <s v="ГЕО-22/10000/00271/Р"/>
    <s v="Типовой ДД"/>
    <x v="2"/>
    <s v="10000 Договор по услуге «Полевые сейсморазведочные работы 2Д, 3Д» (услуга № 10110 согласно КТ-777) "/>
    <s v="00911-22"/>
    <s v=""/>
    <s v="10000 Договор по услуге «Полевые сейсморазведочные работы 2Д, 3Д» (услуга № 10110 согласно КТ-777) "/>
    <s v="Рамочный договор на выполнение сейсморазведочных работ"/>
    <s v="Ахматгалиев С.З."/>
    <s v=""/>
    <s v="Договорный документ"/>
    <s v="Блок геологии и разработки"/>
    <s v="Аксенов М.А."/>
    <s v="ЭП"/>
    <s v="С ограничением по срокам "/>
    <d v="2022-10-10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87 517 892 640.83"/>
    <s v="72 931 577 200.69"/>
    <s v="14 586 315 440.14"/>
    <s v="нет"/>
    <s v="нет"/>
    <s v=""/>
    <s v=""/>
    <s v=""/>
    <s v=""/>
    <s v="нет"/>
  </r>
  <r>
    <s v="Газпромнефть-ГЕО, ООО"/>
    <s v="0000049141"/>
    <s v="Зарегистрирован"/>
    <d v="2022-10-24T00:00:00"/>
    <s v=""/>
    <x v="60"/>
    <s v="7203215460"/>
    <s v="ГЕО-22/10000/00057/Р"/>
    <s v=""/>
    <s v="2"/>
    <s v="Нетиповой ДД"/>
    <x v="0"/>
    <s v=""/>
    <s v="00912-22"/>
    <s v=""/>
    <s v="ДС №2 к Договору №ГЕО-22/10000/00057/Р от 18.03.2022 г. на проведение полевых сейсморазведочных работ 2Д, 3Д (10110)"/>
    <s v="Актуализация реквизитов сторон"/>
    <s v="Ушакова М.А."/>
    <s v=""/>
    <s v="Договорный документ"/>
    <s v="Блок геологии и разработки"/>
    <s v="Агеев П.А."/>
    <s v="ЭП"/>
    <s v="С ограничением по срокам "/>
    <d v="2022-10-24T00:00:00"/>
    <d v="2024-12-31T00:00:00"/>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25354"/>
    <s v="Зарегистрирован"/>
    <d v="2021-12-27T00:00:00"/>
    <s v=""/>
    <x v="111"/>
    <s v="5003026493"/>
    <s v="ГЕО-19/11104/00153/Д"/>
    <s v=""/>
    <s v="3"/>
    <s v="Нетиповой ДД"/>
    <x v="0"/>
    <s v=""/>
    <s v="00913-21"/>
    <s v=""/>
    <s v="ДС №3 к ГЕО-19/11104/00153/Д ООО &quot;Газпром Бурение&quot;"/>
    <s v="Продление срока действия договора"/>
    <s v="Титова Е.В."/>
    <s v="Титова Е.В."/>
    <s v="Договорный документ"/>
    <s v="Блок снабжения и закупок"/>
    <s v="Титов А.В."/>
    <s v="На бумажном носителе"/>
    <s v="С ограничением по срокам "/>
    <d v="2021-12-27T00:00:00"/>
    <d v="2022-12-31T00:00:00"/>
    <s v="Д-11"/>
    <s v="Агентский договор"/>
    <s v="Не предполагает взаиморасчетов"/>
    <s v="Агентский"/>
    <s v=""/>
    <s v=""/>
    <s v=""/>
    <s v=""/>
    <s v=""/>
    <s v=""/>
    <s v="нет"/>
    <s v="нет"/>
    <s v=""/>
    <s v=""/>
    <s v=""/>
    <s v=""/>
    <s v="нет"/>
  </r>
  <r>
    <s v="Газпромнефть-ГЕО, ООО"/>
    <s v="0000076851"/>
    <s v="Зарегистрирован"/>
    <d v="2022-10-14T00:00:00"/>
    <s v=""/>
    <x v="48"/>
    <s v="2466091092"/>
    <s v=""/>
    <s v=""/>
    <s v="1"/>
    <s v="Нетиповой ДД"/>
    <x v="0"/>
    <s v=""/>
    <s v="00913-22"/>
    <s v=""/>
    <s v="Дополнительное соглашение №1"/>
    <s v="включение условий арбитражной оговорки"/>
    <s v="Коваленко М.В."/>
    <s v="Шолохова И.А."/>
    <s v="Договорный документ"/>
    <s v="Управление проектно-изыскательских работ"/>
    <s v="Трифонов А.В."/>
    <s v="ЭП"/>
    <s v="До исполнения обязательств"/>
    <d v="2022-10-14T00:00:00"/>
    <s v=""/>
    <s v="Д-33"/>
    <s v="Капитальное строительство и ПИР"/>
    <s v="Не предполагает взаиморасчетов"/>
    <s v="Рамочный"/>
    <s v=""/>
    <s v=""/>
    <s v=""/>
    <s v=""/>
    <s v=""/>
    <s v=""/>
    <s v="нет"/>
    <s v="нет"/>
    <s v=""/>
    <s v=""/>
    <s v=""/>
    <s v=""/>
    <s v="нет"/>
  </r>
  <r>
    <s v="Газпромнефть-ГЕО, ООО"/>
    <s v="0000084039"/>
    <s v="Зарегистрирован"/>
    <d v="2022-10-17T00:00:00"/>
    <s v=""/>
    <x v="395"/>
    <s v="3443110618"/>
    <s v="ГЕО-20/10919/00072/Р"/>
    <s v=""/>
    <s v="1"/>
    <s v="Нетиповой ДД"/>
    <x v="3"/>
    <s v=""/>
    <s v="00914-22"/>
    <s v=""/>
    <s v="Заказ №1 к Договору № ГЕО-20/10919/00072/Р от 12.05.2020 г. "/>
    <s v="1. Оказание услуг по разработке и согласованию проекта нормативов допустимых выбросов (НДВ (ВСВ)) до 20 источников, в том числе для веществ I, II класса опасности:_x000d__x000a_1.1. Для Северо-Ямбургского ЛУ - 1 проектный документ._x000d__x000a_"/>
    <s v="Липатова О.И."/>
    <s v=""/>
    <s v="Договорный документ"/>
    <s v="Отдел экологической безопасности"/>
    <s v="Власов М.М."/>
    <s v="На бумажном носителе"/>
    <s v="С ограничением по срокам "/>
    <d v="2022-10-17T00:00:00"/>
    <d v="2022-12-25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0408"/>
    <s v="Зарегистрирован"/>
    <d v="2022-10-16T00:00:00"/>
    <s v=""/>
    <x v="104"/>
    <s v="3812043780"/>
    <s v=""/>
    <s v="ГЕО-22/33100/00263"/>
    <s v="ГЕО-22/33100/00263"/>
    <s v="Типовой ДД"/>
    <x v="1"/>
    <s v="33100 Соглашение в области производственной безопасности"/>
    <s v="00915-22"/>
    <s v=""/>
    <s v="33100 Соглашение в области производственной безопасности"/>
    <s v="С целью обеспечения ПБ при оказании услуг по Приказу 95-П (Бочкотара включена). "/>
    <s v="Мормышев А.А."/>
    <s v="Бабаев Д.Г."/>
    <s v="Договорный документ"/>
    <s v="Департамент капитального строительства"/>
    <s v="Власов М.М."/>
    <s v="ЭП"/>
    <s v="До исполнения обязательств"/>
    <d v="2022-10-16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63129"/>
    <s v="Зарегистрирован"/>
    <d v="2022-10-31T00:00:00"/>
    <s v=""/>
    <x v="94"/>
    <s v="5603032851"/>
    <s v=""/>
    <s v="ГЕО-22/10968/00279/Р"/>
    <s v="ГЕО-22/10968/00279/Р"/>
    <s v="Типовой ДД"/>
    <x v="2"/>
    <s v="10968 Мастер форма по услуге   «Обращение с отходами производства и потребления»"/>
    <s v="00916-22"/>
    <s v=""/>
    <s v="10968 Мастер форма по услуге   «Обращение с отходами производства и потребления»"/>
    <s v="Сбор, погрузка и транспортировка отходов бурения и технологических жидкостей освоения скважин на утилизацию и/или обезвреживание силами Исполнителя с объектов Заказчика на лицензионных участках ПАО «Газпром нефть» в рамках Производственной программы ООО &quot;ГПН-ГЕО&quot;"/>
    <s v="Автеньев М.В."/>
    <s v="Копылов Е.О."/>
    <s v="Договорный документ"/>
    <s v="Блок снабжения и закупок"/>
    <s v="Власов М.М."/>
    <s v="ЭП"/>
    <s v="С ограничением по срокам "/>
    <d v="2022-10-31T00:00:00"/>
    <d v="2026-12-31T00:00:00"/>
    <s v="Д-59"/>
    <s v="Вывоз, транспортировка и размещение отходов производственной деятельности"/>
    <s v="Расходная часть"/>
    <s v="Стоимостной"/>
    <s v="20%"/>
    <s v=""/>
    <s v="23824281.35"/>
    <s v="469 562 063.54"/>
    <s v="391 301 719.62"/>
    <s v="78 260 343.92"/>
    <s v="да"/>
    <s v="нет"/>
    <s v=""/>
    <s v=""/>
    <s v=""/>
    <s v=""/>
    <s v="нет"/>
  </r>
  <r>
    <s v="Газпромнефть-ГЕО, ООО"/>
    <s v="0000040656"/>
    <s v="Зарегистрирован"/>
    <d v="2022-10-21T00:00:00"/>
    <s v=""/>
    <x v="288"/>
    <s v="0814118403"/>
    <s v=""/>
    <s v="ГЕО-22/33100/00264"/>
    <s v="ГЕО-22/33100/00264"/>
    <s v="Типовой ДД"/>
    <x v="1"/>
    <s v="33100 Соглашение в области производственной безопасности"/>
    <s v="00917-22"/>
    <s v=""/>
    <s v="33100 Соглашение в области производственной безопасности"/>
    <s v="С целью обеспечения ПБ при оказании услуг по Приказу 95-П (Бочкотара включена). ССК, АО"/>
    <s v="Мормышев А.А."/>
    <s v="Дунаев Э.В."/>
    <s v="Договорный документ"/>
    <s v="Блок бурения и ВСР"/>
    <s v="Власов М.М."/>
    <s v="На бумажном носителе"/>
    <s v="До исполнения обязательств"/>
    <d v="2022-10-21T00:00:00"/>
    <s v=""/>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08602"/>
    <s v="Зарегистрирован"/>
    <d v="2021-11-01T00:00:00"/>
    <s v=""/>
    <x v="32"/>
    <s v="5504036333"/>
    <s v="ГЕО-21/00000/00144/Д"/>
    <s v=""/>
    <s v="1"/>
    <s v="Нетиповой ДД"/>
    <x v="3"/>
    <s v=""/>
    <s v="00918-21"/>
    <s v=""/>
    <s v="Заказ №1"/>
    <s v="Анализ бизнес-процессов полевой и камеральной составляющей WEB-системы ЦД СРР"/>
    <s v="Андреева И.В."/>
    <s v="Любимов Е.В."/>
    <s v="Договорный документ"/>
    <s v="Управление экономического планирования и анализа"/>
    <s v="Аксенов М.А."/>
    <s v="На бумажном носителе"/>
    <s v="С ограничением по срокам "/>
    <d v="2021-11-01T00:00:00"/>
    <d v="2021-12-21T00:00:00"/>
    <s v=""/>
    <s v="ПРОЧИЕ ДОГОВОРЫ"/>
    <s v="Доходная часть"/>
    <s v="Стоимостной"/>
    <s v="20%"/>
    <s v=""/>
    <s v=""/>
    <s v="1 474 032.00"/>
    <s v="1 228 360.00"/>
    <s v="245 672.00"/>
    <s v="нет"/>
    <s v="нет"/>
    <s v=""/>
    <s v=""/>
    <s v=""/>
    <s v=""/>
    <s v="нет"/>
  </r>
  <r>
    <s v="Газпромнефть-ГЕО, ООО"/>
    <s v="0000011433"/>
    <s v="Зарегистрирован"/>
    <d v="2022-10-14T00:00:00"/>
    <s v=""/>
    <x v="174"/>
    <s v="8604005359"/>
    <s v="ГЕО-20/11104/00210/Р"/>
    <s v=""/>
    <s v="3"/>
    <s v="Нетиповой ДД"/>
    <x v="0"/>
    <s v=""/>
    <s v="00918-22"/>
    <s v=""/>
    <s v="ДС №3 к ГЕО-20/11104/00210/Р с АО «ЮТэйр-Вертолетные услуги»"/>
    <s v="Сокращение сроков оплаты, условия применения усиленной квалифицированной электронной подписи (УКЭП) при подписании ДД (ЭД в части ДД)"/>
    <s v="Титова Е.В."/>
    <s v="Титова Е.В."/>
    <s v="Договорный документ"/>
    <s v="Блок снабжения и закупок"/>
    <s v="Титов А.В."/>
    <s v="ЭП"/>
    <s v="До исполнения обязательств"/>
    <d v="2022-10-14T00:00:00"/>
    <s v=""/>
    <s v="Д-56"/>
    <s v="Договор возмездного оказания услуг"/>
    <s v="Не предполагает взаиморасчетов"/>
    <s v=""/>
    <s v=""/>
    <s v=""/>
    <s v=""/>
    <s v=""/>
    <s v=""/>
    <s v=""/>
    <s v="нет"/>
    <s v="нет"/>
    <s v=""/>
    <s v=""/>
    <s v=""/>
    <s v=""/>
    <s v="нет"/>
  </r>
  <r>
    <s v="Газпромнефть-ГЕО, ООО"/>
    <s v="0000102205"/>
    <s v="Зарегистрирован"/>
    <d v="2022-10-06T00:00:00"/>
    <s v=""/>
    <x v="14"/>
    <s v="9715287189"/>
    <s v="№ ГЕО-22/11000/00012/З "/>
    <s v=""/>
    <s v="5"/>
    <s v="Типовой ДД"/>
    <x v="0"/>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00920-22"/>
    <s v=""/>
    <s v="Дополнительное соглашение (ДС) к договору, содержащее условия применения усиленной квалифицированной электронной подписи (УКЭП) при подписании ДД (ЭД в части ДД)"/>
    <s v="Подписание ДД УКЭП"/>
    <s v="Калугина С.Б."/>
    <s v=""/>
    <s v="Договорный документ"/>
    <s v="Департамент капитального строительства"/>
    <s v="Трифонов А.В."/>
    <s v="ЭП"/>
    <s v="До исполнения обязательств"/>
    <d v="2022-10-17T00:00:00"/>
    <s v=""/>
    <s v="Д-33"/>
    <s v="Капитальное строительство и ПИР"/>
    <s v="Не предполагает взаиморасчетов"/>
    <s v=""/>
    <s v=""/>
    <s v=""/>
    <s v=""/>
    <s v=""/>
    <s v=""/>
    <s v=""/>
    <s v="нет"/>
    <s v="нет"/>
    <s v=""/>
    <s v=""/>
    <s v=""/>
    <s v=""/>
    <s v="нет"/>
  </r>
  <r>
    <s v="Газпромнефть-ГЕО, ООО"/>
    <s v="0000008602"/>
    <s v="Закрыт"/>
    <d v="2021-12-01T00:00:00"/>
    <s v=""/>
    <x v="32"/>
    <s v="5504036333"/>
    <s v="ГЕО-21/00000/00144/Д"/>
    <s v=""/>
    <s v="2"/>
    <s v="Нетиповой ДД"/>
    <x v="3"/>
    <s v=""/>
    <s v="00921-21"/>
    <s v=""/>
    <s v="Заказ №2"/>
    <s v="Адаптация WEB-системы ЦД СРР под бизнес-процессы ПАО «Газпром нефть». Разработка стандарта на процесс и НМД для WEB-системы ЦД СРР по направлению поле-вых работ"/>
    <s v="Андреева И.В."/>
    <s v="Любимов Е.В."/>
    <s v="Договорный документ"/>
    <s v="Управление экономического планирования и анализа"/>
    <s v="Аксенов М.А."/>
    <s v="На бумажном носителе"/>
    <s v="С ограничением по срокам "/>
    <d v="2021-12-01T00:00:00"/>
    <d v="2021-12-30T00:00:00"/>
    <s v=""/>
    <s v="ПРОЧИЕ ДОГОВОРЫ"/>
    <s v="Доходная часть"/>
    <s v="Стоимостной"/>
    <s v="20%"/>
    <s v=""/>
    <s v=""/>
    <s v="4 314 240.00"/>
    <s v="3 595 200.00"/>
    <s v="719 040.00"/>
    <s v="нет"/>
    <s v="нет"/>
    <s v=""/>
    <s v=""/>
    <s v=""/>
    <s v=""/>
    <s v="нет"/>
  </r>
  <r>
    <s v="Газпромнефть-ГЕО, ООО"/>
    <s v="0000060954"/>
    <s v="Зарегистрирован"/>
    <d v="2022-11-01T00:00:00"/>
    <s v=""/>
    <x v="75"/>
    <s v="5603007580"/>
    <s v="ГЕО-22/10000/00036/Р"/>
    <s v=""/>
    <s v="3"/>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
    <s v="00921-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
    <s v="Исполнение протокола ЗЗК по производственной безопасности БРД №ПТ-100.0170/000005/01"/>
    <s v="Рымаренко А.А."/>
    <s v="Рымаренко А.А."/>
    <s v="Договорный документ"/>
    <s v="Управление внутрискважинных работ"/>
    <s v="Трифонов А.В."/>
    <s v="На бумажном носителе"/>
    <s v="До исполнения обязательств"/>
    <d v="2022-11-01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8216"/>
    <s v="Зарегистрирован"/>
    <d v="2021-12-25T00:00:00"/>
    <s v=""/>
    <x v="38"/>
    <s v="8605013881"/>
    <s v="ГЕО-21/10308/00236/Р"/>
    <s v=""/>
    <s v="1"/>
    <s v="Нетиповой ДД"/>
    <x v="7"/>
    <s v=""/>
    <s v="00922-21"/>
    <s v=""/>
    <s v="Заявка на производство работ № 1"/>
    <s v="ГТИ при бурении на Солнечном ЛУ"/>
    <s v="Ушакова М.А."/>
    <s v="Ушакова М.А."/>
    <s v="Договорный документ"/>
    <s v="Блок геологии и разработки"/>
    <s v="Аксенов М.А."/>
    <s v="На бумажном носителе"/>
    <s v="С ограничением по срокам "/>
    <d v="2021-12-25T00:00:00"/>
    <d v="2022-01-31T00:00:00"/>
    <s v=""/>
    <s v="ГТИ при бурении"/>
    <s v="Не предполагает взаиморасчетов"/>
    <s v=""/>
    <s v=""/>
    <s v=""/>
    <s v=""/>
    <s v=""/>
    <s v=""/>
    <s v=""/>
    <s v="нет"/>
    <s v="нет"/>
    <s v=""/>
    <s v=""/>
    <s v=""/>
    <s v=""/>
    <s v="нет"/>
  </r>
  <r>
    <s v="Газпромнефть-ГЕО, ООО"/>
    <s v="0000062082"/>
    <s v="Зарегистрирован"/>
    <d v="2021-12-30T00:00:00"/>
    <s v=""/>
    <x v="122"/>
    <s v="7704627560"/>
    <s v="ГЕО-19/11104/00235/Д"/>
    <s v=""/>
    <s v="1"/>
    <s v="Нетиповой ДД"/>
    <x v="0"/>
    <s v=""/>
    <s v="00923-21"/>
    <s v=""/>
    <s v="ДС №1 к ГЕО-19/11104/00235/Д АО &quot;Инвестгеосервис&quot;"/>
    <s v="Продление срока действия договора, увеличение суммы"/>
    <s v="Титова Е.В."/>
    <s v="Титова Е.В."/>
    <s v="Договорный документ"/>
    <s v="Блок снабжения и закупок"/>
    <s v="Титов А.В."/>
    <s v="На бумажном носителе"/>
    <s v="С ограничением по срокам "/>
    <d v="2021-12-30T00:00:00"/>
    <d v="2023-12-31T00:00:00"/>
    <s v="Д-11"/>
    <s v="Агентский договор"/>
    <s v="Доходная часть"/>
    <s v="Агентский"/>
    <s v="20%"/>
    <s v=""/>
    <s v=""/>
    <s v="7 680 565.26"/>
    <s v="6 400 471.05"/>
    <s v="1 280 094.21"/>
    <s v="нет"/>
    <s v="нет"/>
    <s v=""/>
    <s v=""/>
    <s v=""/>
    <s v=""/>
    <s v="нет"/>
  </r>
  <r>
    <s v="Газпромнефть-ГЕО, ООО"/>
    <s v="0000040952"/>
    <s v="Зарегистрирован"/>
    <d v="2021-12-27T00:00:00"/>
    <s v=""/>
    <x v="207"/>
    <s v="7203126844"/>
    <s v="ГЕО-19/10823/00331/Р"/>
    <s v=""/>
    <s v="6"/>
    <s v="Нетиповой ДД"/>
    <x v="0"/>
    <s v=""/>
    <s v="00924-21"/>
    <s v=""/>
    <s v="Дополнительное соглашение №6 к Договору №ГЕО-19/10823/00331/Р от 31.12.2019 г. на оказание услуг по выработке элетроэнергии сторонними производителями"/>
    <s v="Перераспределение между НГО и ГО"/>
    <s v="Кулагина А.А."/>
    <s v="Забиров А.А."/>
    <s v="Договорный документ"/>
    <s v="Блок главного инженера"/>
    <s v="Перфильев Д.А."/>
    <s v="На бумажном носителе"/>
    <s v="С ограничением по срокам "/>
    <d v="2021-12-27T00:00:00"/>
    <d v="2022-12-31T00:00:00"/>
    <s v="Д-6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80408"/>
    <s v="Зарегистрирован"/>
    <d v="2022-10-12T00:00:00"/>
    <s v=""/>
    <x v="104"/>
    <s v="3812043780"/>
    <s v="ГЕО-22/11029/00171/Р"/>
    <s v=""/>
    <s v="2"/>
    <s v="Нетиповой ДД"/>
    <x v="3"/>
    <s v=""/>
    <s v="00924-22"/>
    <s v=""/>
    <s v="Наряд-заказ №2. ...171 СТС, ООО"/>
    <s v="наряд-заказа №2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Департамент капитального строительства"/>
    <s v="Трифонов А.В."/>
    <s v="ЭП"/>
    <s v="Без сроков "/>
    <d v="2022-10-12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89 777 133.60"/>
    <s v="74 814 278.00"/>
    <s v="14 962 855.60"/>
    <s v="нет"/>
    <s v="нет"/>
    <s v=""/>
    <s v=""/>
    <s v=""/>
    <s v=""/>
    <s v="нет"/>
  </r>
  <r>
    <s v="Газпромнефть-ГЕО, ООО"/>
    <s v="0000086733"/>
    <s v="Зарегистрирован"/>
    <d v="2021-12-30T00:00:00"/>
    <s v=""/>
    <x v="164"/>
    <s v="7203336545"/>
    <s v="ГЕО-20/11104/00127/Д"/>
    <s v=""/>
    <s v="1"/>
    <s v="Нетиповой ДД"/>
    <x v="0"/>
    <s v=""/>
    <s v="00925-21"/>
    <s v=""/>
    <s v="ДС №1 к ГЕО-20/11104/00127/Д ООО &quot;ЭкоСтройПереработка&quot;"/>
    <s v="Увеличение суммы, изменение реквизитов (место нахождения и почтовый адрес)"/>
    <s v="Титова Е.В."/>
    <s v="Титова Е.В."/>
    <s v="Договорный документ"/>
    <s v="Блок снабжения и закупок"/>
    <s v="Титов А.В."/>
    <s v="На бумажном носителе"/>
    <s v="С ограничением по срокам "/>
    <d v="2021-12-30T00:00:00"/>
    <d v="2022-12-31T00:00:00"/>
    <s v="Д-11"/>
    <s v="Агентский договор"/>
    <s v="Доходная часть"/>
    <s v="Агентский"/>
    <s v="20%"/>
    <s v=""/>
    <s v=""/>
    <s v="71 620.61"/>
    <s v="59 683.84"/>
    <s v="11 936.77"/>
    <s v="нет"/>
    <s v="нет"/>
    <s v=""/>
    <s v=""/>
    <s v=""/>
    <s v=""/>
    <s v="нет"/>
  </r>
  <r>
    <s v="Газпромнефть-ГЕО, ООО"/>
    <s v="0000080408"/>
    <s v="Зарегистрирован"/>
    <d v="2022-10-12T00:00:00"/>
    <s v=""/>
    <x v="104"/>
    <s v="3812043780"/>
    <s v="ГЕО-22/11029/00172/Р"/>
    <s v=""/>
    <s v="1"/>
    <s v="Нетиповой ДД"/>
    <x v="4"/>
    <s v=""/>
    <s v="00925-22"/>
    <s v="1"/>
    <s v="Изм №1 в Наряд-заказ №1 ...172 СТС,ООО"/>
    <s v="изменения №1 к Наряд-заказу №1 к Договору №ГЕО-22/11029/00172/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Департамент капитального строительства"/>
    <s v="Трифонов А.В."/>
    <s v="ЭП"/>
    <s v="Без сроков "/>
    <d v="2022-10-12T00:00:00"/>
    <s v=""/>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319 226 547.60"/>
    <s v="266 022 123.00"/>
    <s v="53 204 424.60"/>
    <s v="нет"/>
    <s v="нет"/>
    <s v=""/>
    <s v=""/>
    <s v=""/>
    <s v=""/>
    <s v="нет"/>
  </r>
  <r>
    <s v="Газпромнефть-ГЕО, ООО"/>
    <s v="0000037846"/>
    <s v="Закрыт"/>
    <d v="2021-12-30T00:00:00"/>
    <s v=""/>
    <x v="26"/>
    <s v="8905032518"/>
    <s v=""/>
    <s v="ГЕО-21/09000/00305/Р"/>
    <s v="ГЕО-21/09000/00305/Р"/>
    <s v="Нетиповой ДД"/>
    <x v="2"/>
    <s v=""/>
    <s v="00926-21"/>
    <s v=""/>
    <s v="Договор оказания телекоммуникационных услуг"/>
    <s v="Оказание услуги доступа в ЕТП/Интернет 3 Мбит/с на объекте на Игнялинском месторождении по адресу Иркутская обл., Игнялинский лицензионный участок N59°46'28,00&quot;, E109°16'28,30&quot;, АМС «ГПН-ГЕО»."/>
    <s v="Сорокин И.М."/>
    <s v="Сорокин И.М."/>
    <s v="Договорный документ"/>
    <s v="Блок геологии и разработки"/>
    <s v="Аксенов М.А."/>
    <s v="На бумажном носителе"/>
    <s v="С ограничением по срокам "/>
    <d v="2022-01-01T00:00:00"/>
    <d v="2026-09-30T00:00:00"/>
    <s v="Д-54"/>
    <s v="Договор возмездного оказания услуг"/>
    <s v="Расходная часть"/>
    <s v="Стоимостной"/>
    <s v="20%"/>
    <s v=""/>
    <s v=""/>
    <s v="35 287 980.66"/>
    <s v="29 406 650.55"/>
    <s v="5 881 330.11"/>
    <s v="нет"/>
    <s v="нет"/>
    <s v=""/>
    <s v=""/>
    <s v=""/>
    <s v=""/>
    <s v="нет"/>
  </r>
  <r>
    <s v="Газпромнефть-ГЕО, ООО"/>
    <s v="0000070846"/>
    <s v="Зарегистрирован"/>
    <d v="2022-10-17T00:00:00"/>
    <s v=""/>
    <x v="132"/>
    <s v="7014052636"/>
    <s v="ГЕО-22/10000/00193/Р"/>
    <s v=""/>
    <s v="2"/>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26-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ключение в ДД «Временный регламент по обращению с металлической бочкотарой на объектах ДО БРД ПАО «Газпром нефть»"/>
    <s v="Жданов А.С."/>
    <s v="Жданов А.С."/>
    <s v="Договорный документ"/>
    <s v="Производственно-технологический департамент"/>
    <s v="Трифонов А.В."/>
    <s v="ЭП"/>
    <s v="До исполнения обязательств"/>
    <d v="2022-10-17T00:00:00"/>
    <s v=""/>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
    <s v="Зарегистрирован"/>
    <d v="2022-01-03T00:00:00"/>
    <s v=""/>
    <x v="470"/>
    <s v=""/>
    <s v=""/>
    <s v="ГЕО-22/10951/00003/Р"/>
    <s v="ГЕО-22/10951/00003/Р"/>
    <s v="Типовой ДД"/>
    <x v="2"/>
    <s v="10951 Мастер-форма договора   возмездного оказания услуг по профилактике и ликвидации аварийных разливов нефти (услуги аварийно-спасательного формирования) на объектах ООО «ГПН-ГЕО»"/>
    <s v="00927-21"/>
    <s v=""/>
    <s v="10951 Мастер-форма договора   возмездного оказания услуг по профилактике и ликвидации аварийных разливов нефти (услуги аварийно-спасательного формирования) на объектах ООО «ГПН-ГЕО»"/>
    <s v="Профилактика и ликвидация аварийных разливов нефти (услуги аварийно-спасательного формирования) на проекте Южный Оренбург"/>
    <s v="Макаринский Е.Ю."/>
    <s v="Морозов А.В."/>
    <s v="Договорный документ"/>
    <s v="Блок производственной безопасности"/>
    <s v="Власов М.М."/>
    <s v="На бумажном носителе"/>
    <s v="С ограничением по срокам "/>
    <d v="2022-01-03T00:00:00"/>
    <d v="2024-12-31T00:00:00"/>
    <s v="Д-59"/>
    <s v="Профилактика и ликвидация аварийных разливов нефти (услуги аварийно-спасательного формирования)"/>
    <s v="Расходная часть"/>
    <s v="Стоимостной"/>
    <s v="20%"/>
    <s v=""/>
    <s v=""/>
    <s v="31 891 170.02"/>
    <s v="26 575 975.02"/>
    <s v="5 315 195.00"/>
    <s v="нет"/>
    <s v="нет"/>
    <s v=""/>
    <s v=""/>
    <s v=""/>
    <s v=""/>
    <s v="нет"/>
  </r>
  <r>
    <s v="Газпромнефть-ГЕО, ООО"/>
    <s v="0000085349"/>
    <s v="Зарегистрирован"/>
    <d v="2022-10-17T00:00:00"/>
    <s v=""/>
    <x v="140"/>
    <s v="5610220126"/>
    <s v="ГЕО-22/10000/00065/Р"/>
    <s v=""/>
    <s v="2"/>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27-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ременный регламент по обращению с металлической бочкотарой на объектах ДО БРД ПАО «Газпром нефть»"/>
    <s v="Бикташев Р.С."/>
    <s v="Бикташев Р.С."/>
    <s v="Договорный документ"/>
    <s v="Производственно-технологический департамент"/>
    <s v="Трифонов А.В."/>
    <s v="ЭП"/>
    <s v="С ограничением по срокам "/>
    <d v="2022-10-17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
    <s v="Закрыт"/>
    <d v="2022-11-01T00:00:00"/>
    <s v=""/>
    <x v="471"/>
    <s v=""/>
    <s v=""/>
    <s v="ГЕО-22/25000/00290/Р"/>
    <s v="ГЕО-22/25000/00290/Р"/>
    <s v="Типовой ДД"/>
    <x v="2"/>
    <s v="25000 Договор об оказании услуг физическим лицом (без выезда на Лицензионные участки Заказчика)"/>
    <s v="00929-22"/>
    <s v=""/>
    <s v="25000 Договор об оказании услуг физическим лицом (без выезда на Лицензионные участки Заказчика)"/>
    <s v="Договор гражданско-правового характера"/>
    <s v="Буракова О.В."/>
    <s v="Буракова О.В."/>
    <s v="Договорный документ"/>
    <s v="Отдел административной поддержки бизнеса"/>
    <s v="Масалкин Ю.В."/>
    <s v="На бумажном носителе"/>
    <s v="С ограничением по срокам "/>
    <d v="2022-11-01T00:00:00"/>
    <d v="2022-12-31T00:00:00"/>
    <s v=""/>
    <s v="Договор оказания услуг с физическим лицом"/>
    <s v="Расходная часть"/>
    <s v="Стоимостной"/>
    <s v="13%"/>
    <s v=""/>
    <s v=""/>
    <s v="145 000.00"/>
    <s v="126 150.00"/>
    <s v="18 850.00"/>
    <s v="нет"/>
    <s v="нет"/>
    <s v=""/>
    <s v=""/>
    <s v=""/>
    <s v=""/>
    <s v="нет"/>
  </r>
  <r>
    <s v="Газпромнефть-ГЕО, ООО"/>
    <s v="0000047108"/>
    <s v="Зарегистрирован"/>
    <d v="2021-12-24T00:00:00"/>
    <s v=""/>
    <x v="19"/>
    <s v="3245502148"/>
    <s v="ГЕО-20/09000/00182/Д "/>
    <s v=""/>
    <s v="1"/>
    <s v="Нетиповой ДД"/>
    <x v="12"/>
    <s v=""/>
    <s v="00930-21"/>
    <s v=""/>
    <s v="Положение об отчетности по операторскому соглашению"/>
    <s v="Во исполнение положений статей 6.1 и 6.2, а также Приложения 9 к Операторскому соглашению от 23.11.2020 («ОС») согласование Положения об отчётности."/>
    <s v="Шишова О.П."/>
    <s v="Шишова О.П."/>
    <s v="Договорный документ"/>
    <s v="Кластер &quot;Традиционные запасы&quot;"/>
    <s v="Масалкин Ю.В."/>
    <s v="На бумажном носителе"/>
    <s v="До исполнения обязательств"/>
    <d v="2021-12-24T00:00:00"/>
    <s v=""/>
    <s v=""/>
    <s v="Договор возмездного оказания услуг"/>
    <s v="Не предполагает взаиморасчетов"/>
    <s v=""/>
    <s v=""/>
    <s v=""/>
    <s v=""/>
    <s v=""/>
    <s v=""/>
    <s v=""/>
    <s v="нет"/>
    <s v="нет"/>
    <s v=""/>
    <s v=""/>
    <s v=""/>
    <s v=""/>
    <s v="нет"/>
  </r>
  <r>
    <s v="Газпромнефть-ГЕО, ООО"/>
    <s v="0000085349"/>
    <s v="Зарегистрирован"/>
    <d v="2022-10-17T00:00:00"/>
    <s v=""/>
    <x v="140"/>
    <s v="5610220126"/>
    <s v="ГЕО-22/10000/00065/Р"/>
    <s v=""/>
    <s v="3"/>
    <s v="Нетиповой ДД"/>
    <x v="0"/>
    <s v=""/>
    <s v="00930-22"/>
    <s v=""/>
    <s v="О сроках перечисления "/>
    <s v="Снижение сроков по выплатам "/>
    <s v="Бикташев Р.С."/>
    <s v="Бикташев Р.С."/>
    <s v="Договорный документ"/>
    <s v="Производственно-технологический департамент"/>
    <s v="Трифонов А.В."/>
    <s v="ЭП"/>
    <s v="С ограничением по срокам "/>
    <d v="2022-10-17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0000097271"/>
    <s v="Закрыт"/>
    <d v="2022-01-01T00:00:00"/>
    <s v=""/>
    <x v="472"/>
    <s v="7840095272"/>
    <s v="ГЕО-21/09000/00167/Р"/>
    <s v=""/>
    <s v="1"/>
    <s v="Нетиповой ДД"/>
    <x v="0"/>
    <s v=""/>
    <s v="00932-21"/>
    <s v=""/>
    <s v="Дополнительное соглашение №1 к Договору комплексного правового сопровождения № ГЕО-21/09000/00167/Р//ГЭР-21/09000/00125/Д от 01.08.2021г."/>
    <s v="1. Увеличение стоимости услуг на 604.683,03 рублей в 2022 году._x000d__x000a_2. Включение услвоий по &quot;иждивению Заказчика&quot; для сохранения рабочего места Цветкова Д.В. в БП Синоп и доступов в ИС ГПН-ГЕО"/>
    <s v="Цветков Д.В."/>
    <s v="Цветков Д.В."/>
    <s v="Договорный документ"/>
    <s v="Газпромнефть-ГЕО, ООО"/>
    <s v="Масалкин Ю.В."/>
    <s v="На бумажном носителе"/>
    <s v="С ограничением по срокам "/>
    <d v="2022-01-01T00:00:00"/>
    <d v="2022-12-31T00:00:00"/>
    <s v=""/>
    <s v="Договор возмездного оказания услуг"/>
    <s v="Расходная часть"/>
    <s v="Стоимостной"/>
    <s v="20%"/>
    <s v=""/>
    <s v=""/>
    <s v="725 619.64"/>
    <s v="604 683.03"/>
    <s v="120 936.61"/>
    <s v="нет"/>
    <s v="нет"/>
    <s v=""/>
    <s v=""/>
    <s v=""/>
    <s v=""/>
    <s v="нет"/>
  </r>
  <r>
    <s v="Газпромнефть-ГЕО, ООО"/>
    <s v="0000058703"/>
    <s v="Зарегистрирован"/>
    <d v="2022-10-24T00:00:00"/>
    <s v=""/>
    <x v="5"/>
    <s v="5914024719"/>
    <s v="ГЕО-21/10208/00166/Р"/>
    <s v=""/>
    <s v="8"/>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32-22"/>
    <s v=""/>
    <s v="ДС№8 Бочкотара + УКЭП. НСХ Азия Дриллинг, ООО"/>
    <s v="Временный регламент по обращению с металлической бочкотарой на объектах ДО БРД ПАО «Газпром нефть»_x000d__x000a_Утвержден: протоколом ЗЗК по ПБ БРД_x000d__x000a_№ ПТ-100.0170/000005/01 от 02.08.2022_x000d__x000a_и, УКЭП"/>
    <s v="Мормышев А.А."/>
    <s v="Кольцов К.В."/>
    <s v="Договорный документ"/>
    <s v="Блок бурения и ВСР"/>
    <s v="Трифонов А.В."/>
    <s v="ЭП"/>
    <s v="Без сроков "/>
    <d v="2022-10-24T00:00:00"/>
    <s v=""/>
    <s v="Д-33"/>
    <s v="Бурение геологоразведочных скважин по суточной или иной фиксирванной ставке (в т.ч. мобильными установками)"/>
    <s v="Не предполагает взаиморасчетов"/>
    <s v="Тарифный"/>
    <s v=""/>
    <s v=""/>
    <s v=""/>
    <s v=""/>
    <s v=""/>
    <s v=""/>
    <s v="нет"/>
    <s v="нет"/>
    <s v=""/>
    <s v=""/>
    <s v=""/>
    <s v=""/>
    <s v="нет"/>
  </r>
  <r>
    <s v="Газпромнефть-ГЕО, ООО"/>
    <s v="0000008602"/>
    <s v="Зарегистрирован"/>
    <d v="2021-12-17T00:00:00"/>
    <s v=""/>
    <x v="32"/>
    <s v="5504036333"/>
    <s v=""/>
    <s v="ГЕО-21/09000/00303/Д"/>
    <s v="ГЕО-21/09000/00303/Д"/>
    <s v="Нетиповой ДД"/>
    <x v="2"/>
    <s v=""/>
    <s v="00933-21"/>
    <s v=""/>
    <s v="Рамочный договор на выполнение работ по разработке и/или доработке программного обеспечения"/>
    <s v="Выполнение работ по разработке и/или доработке программного обеспечения"/>
    <s v="Кошелева Ю.В."/>
    <s v="Назметдинов Р.М."/>
    <s v="Договорный документ"/>
    <s v="Блок перспективного планирования"/>
    <s v="Агеев П.А."/>
    <s v="На бумажном носителе"/>
    <s v="С ограничением по срокам "/>
    <d v="2021-12-17T00:00:00"/>
    <d v="2024-11-30T00:00:00"/>
    <s v=""/>
    <s v="Договор возмездного оказания услуг"/>
    <s v="Доходная часть"/>
    <s v="Рамочный"/>
    <s v="20%"/>
    <s v=""/>
    <s v=""/>
    <s v="467 700 000.00"/>
    <s v="389 750 000.00"/>
    <s v="77 950 000.00"/>
    <s v="нет"/>
    <s v="нет"/>
    <s v=""/>
    <s v=""/>
    <s v=""/>
    <s v=""/>
    <s v="нет"/>
  </r>
  <r>
    <s v="Газпромнефть-ГЕО, ООО"/>
    <s v="0000058974"/>
    <s v="Зарегистрирован"/>
    <d v="2022-11-01T00:00:00"/>
    <s v=""/>
    <x v="178"/>
    <s v="8909001670"/>
    <s v=""/>
    <s v="ГЕО-22/11518/00282/Р"/>
    <s v="ГЕО-22/11518/00282/Р"/>
    <s v="Нетиповой ДД"/>
    <x v="1"/>
    <s v=""/>
    <s v="00933-22"/>
    <s v=""/>
    <s v="Соглашение о возмещении убытков при временном занятии земельных участков "/>
    <s v="Возместить землепользователю убытки при временном занятии дополнительных земельных участков площадью 1,9109 га, для размещения объекта  «Обустройство поисково-оценочной скважины №72 Хамбатейского лицензионного участка»"/>
    <s v="Титаева И.А."/>
    <s v="Титаева И.А."/>
    <s v="Договорный документ"/>
    <s v="Управление маркшейдерско-землеустроительных работ"/>
    <s v="Трифонов А.В."/>
    <s v="На бумажном носителе"/>
    <s v="До исполнения обязательств"/>
    <d v="2022-11-01T00:00:00"/>
    <s v=""/>
    <s v="Д-33"/>
    <s v="Расчет ущерба землепользователей (упущенной выгоды)"/>
    <s v="Расходная часть"/>
    <s v="Стоимостной"/>
    <s v="0%"/>
    <s v=""/>
    <s v=""/>
    <s v="343 703.39"/>
    <s v="343 703.39"/>
    <n v="0"/>
    <s v="нет"/>
    <s v="нет"/>
    <s v=""/>
    <s v=""/>
    <s v=""/>
    <s v=""/>
    <s v="нет"/>
  </r>
  <r>
    <s v="Газпромнефть-ГЕО, ООО"/>
    <s v="0000043624"/>
    <s v="Зарегистрирован"/>
    <d v="2022-01-01T00:00:00"/>
    <s v=""/>
    <x v="222"/>
    <s v="7728632093"/>
    <s v=""/>
    <s v="ГЕО-22/09000/00002/Р"/>
    <s v="ГЕО-22/09000/00002/Р"/>
    <s v="Нетиповой ДД"/>
    <x v="2"/>
    <s v=""/>
    <s v="00934-21"/>
    <s v=""/>
    <s v="Договор возмездного оказания услуг"/>
    <s v="Развитие социально-бытовых условий Заказчика"/>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1-01T00:00:00"/>
    <d v="2022-12-31T00:00:00"/>
    <s v="Д-56"/>
    <s v="Договор возмездного оказания услуг"/>
    <s v="Расходная часть"/>
    <s v="Стоимостной"/>
    <s v="20%"/>
    <s v=""/>
    <s v=""/>
    <s v="1 122 550.56"/>
    <s v="935 458.80"/>
    <s v="187 091.76"/>
    <s v="нет"/>
    <s v="нет"/>
    <s v=""/>
    <s v=""/>
    <s v=""/>
    <s v=""/>
    <s v="нет"/>
  </r>
  <r>
    <s v="Газпромнефть-ГЕО, ООО"/>
    <s v="0000045809, 0000067121"/>
    <s v="Зарегистрирован"/>
    <d v="2022-10-24T00:00:00"/>
    <s v=""/>
    <x v="473"/>
    <s v="7744000912, 7202171361"/>
    <s v=""/>
    <s v="ГЕО-22/33000/00277"/>
    <s v="ГЕО-22/33000/00277"/>
    <s v="Нетиповой ДД"/>
    <x v="1"/>
    <s v=""/>
    <s v="00934-22"/>
    <s v=""/>
    <s v="Уведомление-соглашение"/>
    <s v="Переход на факторинговое обслуживание"/>
    <s v="Ушакова М.А."/>
    <s v=""/>
    <s v="Договорный документ"/>
    <s v="Блок геологии и разработки"/>
    <s v="Аксенов М.А."/>
    <s v="На бумажном носителе"/>
    <s v="С ограничением по срокам "/>
    <d v="2022-10-24T00:00:00"/>
    <d v="2023-12-31T00:00:00"/>
    <s v=""/>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74858"/>
    <s v="Зарегистрирован"/>
    <d v="2021-12-01T00:00:00"/>
    <s v=""/>
    <x v="248"/>
    <s v="5609097622"/>
    <s v="ГЕО-20/11112/00108/Р"/>
    <s v=""/>
    <s v="3"/>
    <s v="Нетиповой ДД"/>
    <x v="0"/>
    <s v=""/>
    <s v="00935-21"/>
    <s v=""/>
    <s v="00000 Дополнительное соглашение на изменение Приложения 1 «Формат оценочного листа» к Приложению 4 «Процедура управления эффективностью деятельности Исполнителя» в ред. ДС1"/>
    <s v="Актуализиация «Формата оценочного листа» ОЭДК "/>
    <s v="Гусаков В.В."/>
    <s v="Гусаков В.В."/>
    <s v="Договорный документ"/>
    <s v="Блок снабжения и закупок"/>
    <s v="Титов А.В."/>
    <s v="На бумажном носителе"/>
    <s v="С ограничением по срокам "/>
    <d v="2021-12-01T00:00:00"/>
    <d v="2022-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0000068442"/>
    <s v="Зарегистрирован"/>
    <d v="2022-10-31T00:00:00"/>
    <s v=""/>
    <x v="92"/>
    <s v="5611027573"/>
    <s v="ГЕО-21/09000/00198/Р"/>
    <s v=""/>
    <s v="5"/>
    <s v="Нетиповой ДД"/>
    <x v="0"/>
    <s v=""/>
    <s v="00935-22"/>
    <s v=""/>
    <s v="Дополнительное соглашение № 5 к договору № ГЕО-21/09000/00198/Р от 06.09.2021 г."/>
    <s v="Перевод негарантированого объема 2022 года КПП и ССП 61 сут., в гарантированный объем 2022 г.  "/>
    <s v="Данилов М.В."/>
    <s v="Данилов М.В."/>
    <s v="Договорный документ"/>
    <s v="Отдел экономической безопасности"/>
    <s v="Созинов С.А."/>
    <s v="ЭП"/>
    <s v="С ограничением по срокам "/>
    <d v="2022-11-01T00:00:00"/>
    <d v="2022-12-31T00:00:00"/>
    <s v="Д-60"/>
    <s v="Договор возмездного оказания услуг"/>
    <s v="Расходная часть"/>
    <s v="Рамочный"/>
    <s v="без НДС"/>
    <s v=""/>
    <s v=""/>
    <s v="1 368 276.15"/>
    <s v="1 368 276.15"/>
    <n v="0"/>
    <s v="нет"/>
    <s v="нет"/>
    <s v=""/>
    <s v=""/>
    <s v=""/>
    <s v=""/>
    <s v="нет"/>
  </r>
  <r>
    <s v="Газпромнефть-ГЕО, ООО"/>
    <s v="0000062908"/>
    <s v="Зарегистрирован"/>
    <d v="2021-12-23T00:00:00"/>
    <s v=""/>
    <x v="215"/>
    <s v="8603136398"/>
    <s v="ГЕО-211150500115Р"/>
    <s v=""/>
    <s v="2 (СОР)"/>
    <s v="Нетиповой ДД"/>
    <x v="0"/>
    <s v=""/>
    <s v="00936-21"/>
    <s v=""/>
    <s v="Соглашение о досрочном расторжении"/>
    <s v="Соглашение о досрочном расторжении Договора № ГЕО-21/11505/00115/Р от 26.04.2021 на выполнение цифровой аэрофотосъемки и воздушно-лазерного сканирования_x000d__x000a_"/>
    <s v="Расулов И.Ф."/>
    <s v="Хохлов А.А."/>
    <s v="Договорный документ"/>
    <s v="Управление маркшейдерско-землеустроительных работ"/>
    <s v="Масалкин Ю.В."/>
    <s v="На бумажном носителе"/>
    <s v="Без сроков "/>
    <d v="2021-10-15T00:00:00"/>
    <s v=""/>
    <s v=""/>
    <s v="Соглашение участников хозяйственных обществ (юридических лиц)"/>
    <s v="Не предполагает взаиморасчетов"/>
    <s v=""/>
    <s v=""/>
    <s v=""/>
    <s v=""/>
    <s v=""/>
    <s v=""/>
    <s v=""/>
    <s v="нет"/>
    <s v="нет"/>
    <s v=""/>
    <s v=""/>
    <s v=""/>
    <s v=""/>
    <s v="нет"/>
  </r>
  <r>
    <s v="Газпромнефть-ГЕО, ООО"/>
    <s v="0000027645"/>
    <s v="Зарегистрирован"/>
    <d v="2021-12-24T00:00:00"/>
    <s v=""/>
    <x v="80"/>
    <s v="5501072608"/>
    <s v="ГЕО-21/01200/00189/Р"/>
    <s v=""/>
    <s v="6 (Спецификация)"/>
    <s v="Нетиповой ДД"/>
    <x v="12"/>
    <s v=""/>
    <s v="00937-21"/>
    <s v=""/>
    <s v="Приложение №6 к Договору поставки ГЕО-21/01200/00189/Р от 25.08.2021"/>
    <s v="Заключение Приложения 6 (спецификации) на поставку СИЗ для сотрудников ГЕО с взаимозависимым лицом ООО &quot;ГПН-С &quot; к ранее заключенному договору поставки ГЕО-21/01200/00189/Р._x000d__x000a_Малостоимостная закупка менее 500 тыс. руб."/>
    <s v="Лесняк Н.А."/>
    <s v="Лесняк Н.А."/>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До исполнения обязательств"/>
    <d v="2021-12-24T00:00:00"/>
    <s v=""/>
    <s v="Д-56"/>
    <s v="Договор поставки/купли продажи движимого имущества"/>
    <s v="Расходная часть"/>
    <s v="Стоимостной"/>
    <s v="20%"/>
    <s v=""/>
    <s v=""/>
    <s v="196 159.40"/>
    <s v="163 466.17"/>
    <s v="32 693.23"/>
    <s v="нет"/>
    <s v="нет"/>
    <s v=""/>
    <s v=""/>
    <s v=""/>
    <s v=""/>
    <s v="нет"/>
  </r>
  <r>
    <s v="Газпромнефть-ГЕО, ООО"/>
    <s v=""/>
    <s v="Зарегистрирован"/>
    <d v="2022-11-01T00:00:00"/>
    <s v=""/>
    <x v="474"/>
    <s v=""/>
    <s v=""/>
    <s v="ГЕО-22/09000/00284/Р"/>
    <s v="ГЕО-22/09000/00284/Р"/>
    <s v="Нетиповой ДД"/>
    <x v="2"/>
    <s v=""/>
    <s v="00937-22"/>
    <s v=""/>
    <s v="Договор водопользования"/>
    <s v="По настоящему Договору Уполномоченный орган, действующий в соответствии с водным законодательством, предоставляет, а Водопользователь принимает в пользование поверхностный водный объект озеро без названия (Енисейский залив) (далее - водный объект)"/>
    <s v="Багаутдинова И.А."/>
    <s v="Багаутдинова И.А."/>
    <s v="Договорный документ"/>
    <s v="Отдел экологической безопасности"/>
    <s v="Масалкин Ю.В."/>
    <s v="На бумажном носителе"/>
    <s v="С ограничением по срокам "/>
    <d v="2022-11-01T00:00:00"/>
    <d v="2024-03-31T00:00:00"/>
    <s v=""/>
    <s v="Договор возмездного оказания услуг"/>
    <s v="Расходная часть"/>
    <s v="Тарифный"/>
    <s v="без НДС"/>
    <s v=""/>
    <s v=""/>
    <s v="15 953.97"/>
    <s v="15 953.97"/>
    <n v="0"/>
    <s v="нет"/>
    <s v="нет"/>
    <s v=""/>
    <s v=""/>
    <s v=""/>
    <s v=""/>
    <s v="нет"/>
  </r>
  <r>
    <s v="Газпромнефть-ГЕО, ООО"/>
    <s v="0000049141, 0000039295"/>
    <s v="Зарегистрирован"/>
    <d v="2021-12-27T00:00:00"/>
    <s v=""/>
    <x v="475"/>
    <s v="7203215460, 8618006063"/>
    <s v=""/>
    <s v="ГЕО-21/07000/00299/Р"/>
    <s v="ГЕО-21/07000/00299/Р"/>
    <s v="Нетиповой ДД"/>
    <x v="1"/>
    <s v=""/>
    <s v="00938-21"/>
    <s v=""/>
    <s v="СОГЛАШЕНИЕ О ПЕРЕМЕНЕ ЛИЦ В ОБЯЗАТЕЛЬСТВЕ по Договору № ХНТ-19/10110/898/Р/60 от 27.08.2019 г."/>
    <s v="ПЕРЕМЕНА ЛИЦ В ОБЯЗАТЕЛЬСТВЕ по Договору № ХНТ-19/10110/898/Р/60 от 27.08.2019 г."/>
    <s v="Ахматгалиев С.З."/>
    <s v=""/>
    <s v="Договорный документ"/>
    <s v="Блок геологии и разработки"/>
    <s v="Аксенов М.А."/>
    <s v="На бумажном носителе"/>
    <s v="С ограничением по срокам "/>
    <d v="2021-12-27T00:00:00"/>
    <d v="2022-12-31T00:00:00"/>
    <s v=""/>
    <s v="Договор подряда"/>
    <s v="Расходная часть"/>
    <s v="Стоимостной"/>
    <s v="20%"/>
    <s v=""/>
    <s v=""/>
    <s v="3 237 865 266.46"/>
    <s v="2 698 221 055.38"/>
    <s v="539 644 211.08"/>
    <s v="нет"/>
    <s v="нет"/>
    <s v=""/>
    <s v=""/>
    <s v=""/>
    <s v=""/>
    <s v="нет"/>
  </r>
  <r>
    <s v="Газпромнефть-ГЕО, ООО"/>
    <s v=""/>
    <s v="Зарегистрирован"/>
    <d v="2022-11-01T00:00:00"/>
    <s v=""/>
    <x v="474"/>
    <s v=""/>
    <s v=""/>
    <s v="ГЕО-22/09000/00285/Р"/>
    <s v="ГЕО-22/09000/00285/Р"/>
    <s v="Нетиповой ДД"/>
    <x v="2"/>
    <s v=""/>
    <s v="00938-22"/>
    <s v=""/>
    <s v="Договор водопользования"/>
    <s v="По настоящему Договору Уполномоченный орган, действующий в соответствии с водным законодательством, предоставляет, а Водопользователь принимает в пользование поверхностный водный объект озеро без названия (Енисейский залив) (далее - водный объект)"/>
    <s v="Багаутдинова И.А."/>
    <s v="Багаутдинова И.А."/>
    <s v="Договорный документ"/>
    <s v="Отдел экологической безопасности"/>
    <s v="Масалкин Ю.В."/>
    <s v="На бумажном носителе"/>
    <s v="С ограничением по срокам "/>
    <d v="2023-06-01T00:00:00"/>
    <d v="2023-08-31T00:00:00"/>
    <s v=""/>
    <s v="Договор возмездного оказания услуг"/>
    <s v="Расходная часть"/>
    <s v="Тарифный"/>
    <s v="без НДС"/>
    <s v=""/>
    <s v=""/>
    <s v="2 697.21"/>
    <s v="2 697.21"/>
    <n v="0"/>
    <s v="нет"/>
    <s v="нет"/>
    <s v=""/>
    <s v=""/>
    <s v=""/>
    <s v=""/>
    <s v="нет"/>
  </r>
  <r>
    <s v="Газпромнефть-ГЕО, ООО"/>
    <s v="0000037846"/>
    <s v="Зарегистрирован"/>
    <d v="2022-01-11T00:00:00"/>
    <s v=""/>
    <x v="26"/>
    <s v="8905032518"/>
    <s v=""/>
    <s v="ГЕО-22/09000/00006/Р"/>
    <s v="ГЕО-22/09000/00006/Р"/>
    <s v="Нетиповой ДД"/>
    <x v="2"/>
    <s v=""/>
    <s v="00939-21"/>
    <s v=""/>
    <s v="Сбор и передача данных, формирование отчетности, архивирование, визуализация, предоставление каналов связи"/>
    <s v="Оказание услуг по сбору и передаче данных, формированию отчетности, архивированию, визуализации, предоставлению каналов связи"/>
    <s v="Мячина М.В."/>
    <s v="Мячина М.В."/>
    <s v="Договорный документ"/>
    <s v="Отдел подготовительных работ и экономического анализа"/>
    <s v="Гаврилов С.В."/>
    <s v="На бумажном носителе"/>
    <s v="С ограничением по срокам "/>
    <d v="2022-01-01T00:00:00"/>
    <d v="2024-12-31T00:00:00"/>
    <s v="Д-58"/>
    <s v="Договор возмездного оказания услуг"/>
    <s v="Расходная часть"/>
    <s v="Стоимостной"/>
    <s v="20%"/>
    <s v=""/>
    <s v=""/>
    <s v="9 494 812.80"/>
    <s v="7 912 344.00"/>
    <s v="1 582 468.80"/>
    <s v="нет"/>
    <s v="нет"/>
    <s v=""/>
    <s v=""/>
    <s v=""/>
    <s v=""/>
    <s v="нет"/>
  </r>
  <r>
    <s v="Газпромнефть-ГЕО, ООО"/>
    <s v="0000007832"/>
    <s v="Зарегистрирован"/>
    <d v="2022-10-01T00:00:00"/>
    <s v=""/>
    <x v="476"/>
    <s v="7710137066"/>
    <s v="А34611Н9 "/>
    <s v=""/>
    <s v="4"/>
    <s v="Нетиповой ДД"/>
    <x v="0"/>
    <s v=""/>
    <s v="00939-22"/>
    <s v=""/>
    <s v="соглашение о переуступке прав"/>
    <s v="Изменение стороны исполнителя по договору "/>
    <s v="Разумовский М.В."/>
    <s v="Разумовский М.В."/>
    <s v="Договорный документ"/>
    <s v="Отдел информационных технологий, автоматизации и телекоммуникаций"/>
    <s v="Аксенов М.А."/>
    <s v="На бумажном носителе"/>
    <s v="С ограничением по срокам "/>
    <d v="2022-10-01T00:00:00"/>
    <d v="2022-12-31T00:00:00"/>
    <s v="Д-54"/>
    <s v="Договор возмездного оказания услуг"/>
    <s v="Не предполагает взаиморасчетов"/>
    <s v=""/>
    <s v=""/>
    <s v=""/>
    <s v=""/>
    <s v=""/>
    <s v=""/>
    <s v=""/>
    <s v="нет"/>
    <s v="нет"/>
    <s v=""/>
    <s v=""/>
    <s v=""/>
    <s v=""/>
    <s v="нет"/>
  </r>
  <r>
    <s v="Газпромнефть-ГЕО, ООО"/>
    <s v="0000037846"/>
    <s v="Зарегистрирован"/>
    <d v="2022-01-01T00:00:00"/>
    <s v=""/>
    <x v="26"/>
    <s v="8905032518"/>
    <s v=""/>
    <s v="ГЕО-22/33100/00001"/>
    <s v="ГЕО-22/33100/00001"/>
    <s v="Типовой ДД"/>
    <x v="1"/>
    <s v="33100 Соглашение в области производственной безопасности"/>
    <s v="00940-21"/>
    <s v=""/>
    <s v="33100 Соглашение в области производственной безопасности"/>
    <s v="Заключение соглашения в области производственной безопасности"/>
    <s v="Мячина М.В."/>
    <s v="Мячина М.В."/>
    <s v="Договорный документ"/>
    <s v="Отдел подготовительных работ и экономического анализа"/>
    <s v="Власов М.М."/>
    <s v="На бумажном носителе"/>
    <s v="Без сроков "/>
    <d v="2022-01-01T00:00:00"/>
    <s v=""/>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8275"/>
    <s v="Зарегистрирован"/>
    <d v="2022-09-22T00:00:00"/>
    <s v=""/>
    <x v="83"/>
    <s v="7709267582"/>
    <s v="ГЕО-22/10951/00165/Р"/>
    <s v=""/>
    <s v="1"/>
    <s v="Нетиповой ДД"/>
    <x v="3"/>
    <s v=""/>
    <s v="00940-22"/>
    <s v=""/>
    <s v="Задание №1 под проект &quot;Титан&quot;"/>
    <s v="Раскрытие ГО в Задании № 1 к Договору  № ГЕО-22/10951/00165/Р от 29 июля 2022 г. на выполнение работ и оказание услуг в области ликвидации аварийных разливов нефти_x000d__x000a_"/>
    <s v="Яшкина К.Л."/>
    <s v="Яшкина К.Л."/>
    <s v="Договорный документ"/>
    <s v="Блок производственной безопасности"/>
    <s v="Власов М.М."/>
    <s v="ЭП"/>
    <s v="С ограничением по срокам "/>
    <d v="2022-09-22T00:00:00"/>
    <d v="2023-03-06T00:00:00"/>
    <s v="Д-59"/>
    <s v="Профилактика и ликвидация аварийных разливов нефти (услуги аварийно-спасательного формирования)"/>
    <s v="Расходная часть"/>
    <s v="Рамочный"/>
    <s v="20%"/>
    <s v=""/>
    <s v=""/>
    <s v="12 395 535.52"/>
    <s v="10 329 612.93"/>
    <s v="2 065 922.59"/>
    <s v="нет"/>
    <s v="нет"/>
    <s v=""/>
    <s v=""/>
    <s v=""/>
    <s v=""/>
    <s v="нет"/>
  </r>
  <r>
    <s v="Газпромнефть-ГЕО, ООО"/>
    <s v="0000065849"/>
    <s v="Зарегистрирован"/>
    <d v="2021-12-27T00:00:00"/>
    <s v=""/>
    <x v="73"/>
    <s v="7816556691"/>
    <s v="ГЕО-20/09000/00170/Р  "/>
    <s v=""/>
    <s v="2"/>
    <s v="Нетиповой ДД"/>
    <x v="0"/>
    <s v=""/>
    <s v="00941-21"/>
    <s v=""/>
    <s v="Дополнительное соглашение 2"/>
    <s v="О переводе  негарнтированного объема работ в гарантированныйй в 2021 г"/>
    <s v="Курашко М.В."/>
    <s v="Курашко М.В."/>
    <s v="Договорный документ"/>
    <s v="Управление по работе с персоналом"/>
    <s v="Игнатова Ю.В."/>
    <s v="На бумажном носителе"/>
    <s v="До исполнения обязательств"/>
    <d v="2022-01-12T00:00:00"/>
    <s v=""/>
    <s v="Д-66"/>
    <s v="Договор на обучение (тренинги, семинары и проч.)"/>
    <s v="Не предполагает взаиморасчетов"/>
    <s v=""/>
    <s v=""/>
    <s v=""/>
    <s v=""/>
    <s v=""/>
    <s v=""/>
    <s v=""/>
    <s v="нет"/>
    <s v="нет"/>
    <s v=""/>
    <s v=""/>
    <s v=""/>
    <s v=""/>
    <s v="нет"/>
  </r>
  <r>
    <s v="Газпромнефть-ГЕО, ООО"/>
    <s v="0000083900"/>
    <s v="Зарегистрирован"/>
    <d v="2022-10-24T00:00:00"/>
    <s v=""/>
    <x v="477"/>
    <s v=""/>
    <s v="ГЕО-19/10308/00217/Р "/>
    <s v=""/>
    <s v="2"/>
    <s v="Нетиповой ДД"/>
    <x v="0"/>
    <s v=""/>
    <s v="00941-22"/>
    <s v=""/>
    <s v="Дополнительное соглашение №2 о передаче Договора на проведение геолого-технологических исследований скважин при бурении № ГЕО-19/10308/00217/Р от 19 августа 2019г"/>
    <s v="Переуступка в полном объёме всех прав и обязанностей по договору № ГЕО-19/10308/00217/Р от 09.08.2019 г. от стороны Частная компания с ограниченной ответственностью «ГЕОЛОГ ИНТЕРНЕШНЛ Б.В.» стороне ООО «Геолог Интернешнл»"/>
    <s v="Яшкина К.Л."/>
    <s v="Яшкина К.Л."/>
    <s v="Договорный документ"/>
    <s v="Блок геологии и разработки"/>
    <s v="Аксенов М.А."/>
    <s v="На бумажном носителе"/>
    <s v="С ограничением по срокам "/>
    <d v="2022-10-24T00:00:00"/>
    <d v="2023-12-31T00:00:00"/>
    <s v=""/>
    <s v="Договор возмездного оказания услуг"/>
    <s v="Не предполагает взаиморасчетов"/>
    <s v=""/>
    <s v=""/>
    <s v=""/>
    <s v=""/>
    <s v=""/>
    <s v=""/>
    <s v=""/>
    <s v="нет"/>
    <s v="нет"/>
    <s v=""/>
    <s v=""/>
    <s v=""/>
    <s v=""/>
    <s v="нет"/>
  </r>
  <r>
    <s v="Газпромнефть-ГЕО, ООО"/>
    <s v="0000027645"/>
    <s v="Зарегистрирован"/>
    <d v="2021-12-30T00:00:00"/>
    <s v=""/>
    <x v="80"/>
    <s v="5501072608"/>
    <s v=""/>
    <s v="ГЕО-21/11000/00301/Р"/>
    <s v="ГЕО-21/11000/00301/Р"/>
    <s v="Нетиповой ДД"/>
    <x v="2"/>
    <s v=""/>
    <s v="00942-21"/>
    <s v=""/>
    <s v="Пользование зимними автодорогами и зимними проездами по проекту «Титан»"/>
    <s v="Реализация производственной программы по проекту &quot;Титан&quot;"/>
    <s v="Крутова Е.С."/>
    <s v="Крутова Е.С."/>
    <s v="Договорный документ"/>
    <s v="Департамент капитального строительства"/>
    <s v="Перфильев Д.А."/>
    <s v="На бумажном носителе"/>
    <s v="До исполнения обязательств"/>
    <d v="2021-12-30T00:00:00"/>
    <s v=""/>
    <s v="Д-61"/>
    <s v="Капитальное строительство и ПИР"/>
    <s v="Расходная часть"/>
    <s v="Тарифный"/>
    <s v="20%"/>
    <s v=""/>
    <s v=""/>
    <s v="101 817 876.00"/>
    <s v="84 848 230.00"/>
    <s v="16 969 646.00"/>
    <s v="нет"/>
    <s v="нет"/>
    <s v=""/>
    <s v=""/>
    <s v=""/>
    <s v=""/>
    <s v="нет"/>
  </r>
  <r>
    <s v="Газпромнефть-ГЕО, ООО"/>
    <s v="0000083900"/>
    <s v="Зарегистрирован"/>
    <d v="2022-10-24T00:00:00"/>
    <s v=""/>
    <x v="478"/>
    <s v=""/>
    <s v="ГЕО-21/10308/00248/Р "/>
    <s v=""/>
    <s v="1"/>
    <s v="Нетиповой ДД"/>
    <x v="0"/>
    <s v=""/>
    <s v="00942-22"/>
    <s v=""/>
    <s v="Дополнительное соглашение №1 о передаче Договора на проведение геолого-технологических исследований скважин при бурении № ГЕО-19/10308/00248/Р от 11 октября 2021 г"/>
    <s v="Переуступка в полном объёме всех прав и обязанностей по договору № ГЕО-19/10308/00248/Р от 11 октября 2021 г. от стороны Частная компания с ограниченной ответственностью «ГЕОЛОГ ИНТЕРНЕШНЛ Б.В.» стороне ООО «Геолог Интернешнл»"/>
    <s v="Яшкина К.Л."/>
    <s v="Яшкина К.Л."/>
    <s v="Договорный документ"/>
    <s v="Блок геологии и разработки"/>
    <s v="Аксенов М.А."/>
    <s v="На бумажном носителе"/>
    <s v="С ограничением по срокам "/>
    <d v="2022-10-24T00:00:00"/>
    <d v="2023-12-31T00:00:00"/>
    <s v=""/>
    <s v="Договор возмездного оказания услуг"/>
    <s v="Не предполагает взаиморасчетов"/>
    <s v=""/>
    <s v=""/>
    <s v=""/>
    <s v=""/>
    <s v=""/>
    <s v=""/>
    <s v=""/>
    <s v="нет"/>
    <s v="нет"/>
    <s v=""/>
    <s v=""/>
    <s v=""/>
    <s v=""/>
    <s v="нет"/>
  </r>
  <r>
    <s v="Газпромнефть-ГЕО, ООО"/>
    <s v="0000044114"/>
    <s v="Зарегистрирован"/>
    <d v="2021-12-24T00:00:00"/>
    <s v=""/>
    <x v="226"/>
    <s v="7728639370"/>
    <s v=""/>
    <s v="ГЕО-21/11000/00304/Р"/>
    <s v="ГЕО-21/11000/00304/Р"/>
    <s v="Нетиповой ДД"/>
    <x v="2"/>
    <s v=""/>
    <s v="00943-21"/>
    <s v=""/>
    <s v="Агентский договор"/>
    <s v="Выполнение проектно-изыскательских работ для строительства поисково-оценочной скважины № 72 ПО Хамбатейского месторождения, включая проведение необходимых экспертиз и получение необходимых согласований государственных служб согласно требований законодательства РФ"/>
    <s v="Григоренко Е.А."/>
    <s v="Григоренко Е.А."/>
    <s v="Договорный документ"/>
    <s v="Управление проектно-изыскательских работ"/>
    <s v="Николаев М.Н."/>
    <s v="На бумажном носителе"/>
    <s v="С ограничением по срокам "/>
    <d v="2021-12-24T00:00:00"/>
    <d v="2023-03-31T00:00:00"/>
    <s v="Д-57"/>
    <s v="Капитальное строительство и ПИР"/>
    <s v="Расходная часть"/>
    <s v="Агентский"/>
    <s v="20%"/>
    <s v=""/>
    <s v=""/>
    <s v="38 825 606.44"/>
    <s v="32 354 672.03"/>
    <s v="6 470 934.41"/>
    <s v="нет"/>
    <s v="нет"/>
    <s v=""/>
    <s v=""/>
    <s v=""/>
    <s v=""/>
    <s v="нет"/>
  </r>
  <r>
    <s v="Газпромнефть-ГЕО, ООО"/>
    <s v="0000068974"/>
    <s v="Зарегистрирован"/>
    <d v="2022-11-03T00:00:00"/>
    <s v=""/>
    <x v="81"/>
    <s v="3808120671"/>
    <s v=""/>
    <s v="ГЕО-22/09000/00287/Р"/>
    <s v="ГЕО-22/09000/00287/Р"/>
    <s v="Типовой ДД"/>
    <x v="2"/>
    <s v="09000 Договор на оказание возмездных услуг по охране объектов (пропускного и внутриобъектового режима) (90303 по КТ-777)"/>
    <s v="00943-22"/>
    <s v=""/>
    <s v="09000 Договор на оказание возмездных услуг по охране объектов (пропускного и внутриобъектового режима) (90303 по КТ-777)"/>
    <s v="оказание услуг по охране  (Проект &quot;Оморинский&quot;)"/>
    <s v="Коваленко М.В."/>
    <s v="Данилов М.В."/>
    <s v="Договорный документ"/>
    <s v="Блок корпоративной защиты"/>
    <s v="Созинов С.А."/>
    <s v="ЭП"/>
    <s v="С ограничением по срокам "/>
    <d v="2022-11-03T00:00:00"/>
    <d v="2025-02-28T00:00:00"/>
    <s v="Д-60"/>
    <s v="Договор возмездного оказания услуг"/>
    <s v="Расходная часть"/>
    <s v="Стоимостной"/>
    <s v="20%"/>
    <s v=""/>
    <s v="35759234.58"/>
    <s v="174 377 829.54"/>
    <s v="145 314 857.95"/>
    <s v="29 062 971.59"/>
    <s v="да"/>
    <s v="нет"/>
    <s v=""/>
    <s v=""/>
    <s v=""/>
    <s v=""/>
    <s v="нет"/>
  </r>
  <r>
    <s v="Газпромнефть-ГЕО, ООО"/>
    <s v="0000084039"/>
    <s v="Зарегистрирован"/>
    <d v="2021-12-28T00:00:00"/>
    <s v=""/>
    <x v="395"/>
    <s v="3443110618"/>
    <s v="ГЕО-20/10919/00096/Р "/>
    <s v=""/>
    <s v="3"/>
    <s v="Нетиповой ДД"/>
    <x v="3"/>
    <s v=""/>
    <s v="00944-21"/>
    <s v=""/>
    <s v="Заказ № 3 к Договору № ГЕО-20/10919/00096/Р от 22.06.2020 г. "/>
    <s v="1. Лабораторные исследования отходов производства и потребления (Игнялинский ЛУ) – 1 проба;_x000d__x000a_2. Лабораторные исследования отходов производства и потребления (Лескинский ЛУ) – 2 пробы."/>
    <s v="Липатова О.И."/>
    <s v="Липатова О.И."/>
    <s v="Договорный документ"/>
    <s v="Отдел экологической безопасности"/>
    <s v="Власов М.М."/>
    <s v="На бумажном носителе"/>
    <s v="С ограничением по срокам "/>
    <d v="2021-12-28T00:00:00"/>
    <d v="2022-02-28T00:00:00"/>
    <s v=""/>
    <s v="Договор возмездного оказания услуг"/>
    <s v="Расходная часть"/>
    <s v="Стоимостной"/>
    <s v="20%"/>
    <s v=""/>
    <s v=""/>
    <s v="44 100.00"/>
    <s v="36 750.00"/>
    <s v="7 350.00"/>
    <s v="нет"/>
    <s v="нет"/>
    <s v=""/>
    <s v=""/>
    <s v=""/>
    <s v=""/>
    <s v="нет"/>
  </r>
  <r>
    <s v="Газпромнефть-ГЕО, ООО"/>
    <s v="0000008602"/>
    <s v="Зарегистрирован"/>
    <d v="2022-06-01T00:00:00"/>
    <s v=""/>
    <x v="32"/>
    <s v="5504036333"/>
    <s v=""/>
    <s v="ГЕО-22/33300/00289"/>
    <s v="ГЕО-22/33300/00289"/>
    <s v="Нетиповой ДД"/>
    <x v="2"/>
    <s v=""/>
    <s v="00944-22"/>
    <s v=""/>
    <s v="Договор на обработку ПД"/>
    <s v="Приложение к агентскому договору с ПАО &quot;Газпром нефть&quot; на проведение внешней оценки знаний"/>
    <s v="Григорьева А.А."/>
    <s v=""/>
    <s v="Договорный документ"/>
    <s v="Блок производственной безопасности"/>
    <s v="Власов М.М."/>
    <s v="На бумажном носителе"/>
    <s v="До исполнения обязательств"/>
    <d v="2022-06-01T00:00:00"/>
    <s v=""/>
    <s v="Д-59"/>
    <s v="Договор об обработке персональных данных"/>
    <s v="Не предполагает взаиморасчетов"/>
    <s v=""/>
    <s v=""/>
    <s v=""/>
    <s v=""/>
    <s v=""/>
    <s v=""/>
    <s v=""/>
    <s v="нет"/>
    <s v="нет"/>
    <s v=""/>
    <s v=""/>
    <s v=""/>
    <s v=""/>
    <s v="нет"/>
  </r>
  <r>
    <s v="Газпромнефть-ГЕО, ООО"/>
    <s v=""/>
    <s v="Закрыт"/>
    <d v="2022-11-01T00:00:00"/>
    <s v=""/>
    <x v="479"/>
    <s v=""/>
    <s v=""/>
    <s v="ГЕО-22/25000/00293/Р"/>
    <s v="ГЕО-22/25000/00293/Р"/>
    <s v="Типовой ДД"/>
    <x v="2"/>
    <s v="25000 Договор об оказании услуг физическим лицом (без выезда на Лицензионные участки Заказчика)"/>
    <s v="00946-22"/>
    <s v=""/>
    <s v="25000 Договор об оказании услуг физическим лицом (без выезда на Лицензионные участки Заказчика)"/>
    <s v="2.1 Исполнитель обязуется оказать Заказчику услуги по сопровождению управленческого учета, оценки экономической эффективности и мониторинга инвестиционных проектов, именуемые в дальнейшем «Услуги», а Заказчик обязуется принять результат Услуг и оплатить его"/>
    <s v="Кайгородцева Е.В."/>
    <s v="Кайгородцева Е.В."/>
    <s v="Договорный документ"/>
    <s v="Управление инвестиционного планирования"/>
    <s v="Масалкин Ю.В."/>
    <s v="На бумажном носителе"/>
    <s v="С ограничением по срокам "/>
    <d v="2022-11-01T00:00:00"/>
    <d v="2023-01-31T00:00:00"/>
    <s v=""/>
    <s v="Договор оказания услуг с физическим лицом"/>
    <s v="Расходная часть"/>
    <s v="Стоимостной"/>
    <s v="13%"/>
    <s v=""/>
    <s v=""/>
    <s v="160 000.00"/>
    <s v="139 200.00"/>
    <s v="20 800.00"/>
    <s v="нет"/>
    <s v="нет"/>
    <s v=""/>
    <s v=""/>
    <s v=""/>
    <s v=""/>
    <s v="нет"/>
  </r>
  <r>
    <s v="Газпромнефть-ГЕО, ООО"/>
    <s v="0000060723"/>
    <s v="Зарегистрирован"/>
    <d v="2022-11-07T00:00:00"/>
    <s v=""/>
    <x v="49"/>
    <s v="3811088474"/>
    <s v="АНГ-19/11513/00007/Р"/>
    <s v=""/>
    <s v="33"/>
    <s v="Нетиповой ДД"/>
    <x v="3"/>
    <s v=""/>
    <s v="00947-22"/>
    <s v=""/>
    <s v="НАРЯД-ЗАКАЗ №33 к Договору № АНГ-19/11513/00007/Р от 14.02.2019"/>
    <s v="Оформление земельных участков для объекта: «Обустройство поисково-оценочной скважины 198 Лескинского лицензионного участка»_x000d__x000a_ (получение разрешения на расширение подъездного пути)"/>
    <s v="Расулов И.Ф."/>
    <s v="Расулов И.Ф."/>
    <s v="Договорный документ"/>
    <s v="Управление маркшейдерско-землеустроительных работ"/>
    <s v="Трифонов А.В."/>
    <s v="ЭП"/>
    <s v="С ограничением по срокам "/>
    <d v="2022-11-07T00:00:00"/>
    <d v="2023-06-30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199 910.41"/>
    <s v="166 592.01"/>
    <s v="33 318.40"/>
    <s v="нет"/>
    <s v="нет"/>
    <s v=""/>
    <s v=""/>
    <s v=""/>
    <s v=""/>
    <s v="нет"/>
  </r>
  <r>
    <s v="Газпромнефть-ГЕО, ООО"/>
    <s v="0000045671"/>
    <s v="Зарегистрирован"/>
    <d v="2022-01-01T00:00:00"/>
    <s v=""/>
    <x v="71"/>
    <s v="8905039143"/>
    <s v="ГЕО-20/09000/00058/Р"/>
    <s v=""/>
    <s v="5"/>
    <s v="Нетиповой ДД"/>
    <x v="0"/>
    <s v=""/>
    <s v="00948-21"/>
    <s v=""/>
    <s v="Дополнительное соглашение № 5 к Договору № ГЕО-20/09000/00058/Р от 15.03.2020"/>
    <s v="Перераспределение стоимости гарантированных объемов в размере 355 000,00 руб. без НДС, по статьям «Горячее питание», «Услуги по организации горячего питания» с 2021г.  на 2022г. на статью «Горячее питание» в связи с необходимостью продления периода-смарт паузы на площадке 6И Игнялинского лицензионного участка с 01.01.2022 по 31.12.2022.  Учитывая фактическое исполнение по договору за 2021г. и потребность на 2022г., уменьшение стоимости по договору на (-115 372,77) руб. без НДС, (-138 447,32) руб. с НДС."/>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d v="2022-01-01T00:00:00"/>
    <d v="2022-12-31T00:00:00"/>
    <s v="Д-56"/>
    <s v="Договор возмездного оказания услуг"/>
    <s v="Расходная часть"/>
    <s v="Стоимостной"/>
    <s v="20%"/>
    <s v=""/>
    <s v=""/>
    <s v="426 000.00"/>
    <s v="355 000.00"/>
    <s v="71 000.00"/>
    <s v="нет"/>
    <s v="нет"/>
    <s v=""/>
    <s v=""/>
    <s v=""/>
    <s v=""/>
    <s v="нет"/>
  </r>
  <r>
    <s v="Газпромнефть-ГЕО, ООО"/>
    <s v="0000052955"/>
    <s v="Зарегистрирован"/>
    <d v="2022-10-31T00:00:00"/>
    <s v=""/>
    <x v="127"/>
    <s v="8602068466"/>
    <s v="№ ГЕО-21/11031/00040/Р"/>
    <s v=""/>
    <s v="6"/>
    <s v="Нетиповой ДД"/>
    <x v="0"/>
    <s v=""/>
    <s v="00948-22"/>
    <s v=""/>
    <s v="Внесении изменений в содержание Наряд-заказа №1 "/>
    <s v="Уточнение условий по Наряд-заказу №1"/>
    <s v="Крутова Е.С."/>
    <s v="Кукленков М.А."/>
    <s v="Договорный документ"/>
    <s v="Департамент капитального строительства"/>
    <s v="Трифонов А.В."/>
    <s v="На бумажном носителе"/>
    <s v="До исполнения обязательств"/>
    <d v="2022-10-31T00:00:00"/>
    <s v=""/>
    <s v="Д-33"/>
    <s v="Капитальное строительство и ПИР"/>
    <s v="Не предполагает взаиморасчетов"/>
    <s v=""/>
    <s v=""/>
    <s v=""/>
    <s v=""/>
    <s v=""/>
    <s v=""/>
    <s v=""/>
    <s v="нет"/>
    <s v="нет"/>
    <s v=""/>
    <s v=""/>
    <s v=""/>
    <s v=""/>
    <s v="нет"/>
  </r>
  <r>
    <s v="Газпромнефть-ГЕО, ООО"/>
    <s v="0000073438"/>
    <s v="Зарегистрирован"/>
    <d v="2021-12-30T00:00:00"/>
    <s v=""/>
    <x v="68"/>
    <s v="7720330291"/>
    <s v="ГЕО-19/10187/00123/Р"/>
    <s v=""/>
    <s v="1"/>
    <s v="Нетиповой ДД"/>
    <x v="0"/>
    <s v=""/>
    <s v="00949-21"/>
    <s v="Заказ №17"/>
    <s v="ДС №1 к Заказу №17 от 19.08.21г к Договору № ГЕО-19/10187/00123/Р от «30» мая 2019 г."/>
    <s v="Продление срока исполнения Заказа"/>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19-06-15T00:00:00"/>
    <d v="2022-06-01T00:00:00"/>
    <s v="Д-54"/>
    <s v="Договор на выполнение НИР, ОКР и технологических работ"/>
    <s v="Не предполагает взаиморасчетов"/>
    <s v="Рамочный"/>
    <s v=""/>
    <s v=""/>
    <s v=""/>
    <s v=""/>
    <s v=""/>
    <s v=""/>
    <s v="нет"/>
    <s v="нет"/>
    <s v=""/>
    <s v=""/>
    <s v=""/>
    <s v=""/>
    <s v="нет"/>
  </r>
  <r>
    <s v="Газпромнефть-ГЕО, ООО"/>
    <s v="0000063179"/>
    <s v="Зарегистрирован"/>
    <d v="2022-10-26T00:00:00"/>
    <s v=""/>
    <x v="54"/>
    <s v="7727747172"/>
    <s v="№ ГЕО-20/10986/00138/Р"/>
    <s v=""/>
    <s v="20"/>
    <s v="Нетиповой ДД"/>
    <x v="8"/>
    <s v=""/>
    <s v="00949-22"/>
    <s v=""/>
    <s v="Задание на оказание услуг № 20"/>
    <s v="Оказание супервайзерских услуг по контролю состояния _x000d__x000a_производственной безопасности на объектах ООО «ГПН-ГЕО»_x000d__x000a_"/>
    <s v="Автеньев М.В."/>
    <s v="Автеньев М.В."/>
    <s v="Договорный документ"/>
    <s v="Блок снабжения и закупок"/>
    <s v="Власов М.М."/>
    <s v="ЭП"/>
    <s v="С ограничением по срокам "/>
    <d v="2022-11-01T00:00:00"/>
    <d v="2023-12-31T00:00:00"/>
    <s v="Д-59"/>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9 972 138.00"/>
    <s v="8 310 115.00"/>
    <s v="1 662 023.00"/>
    <s v="нет"/>
    <s v="нет"/>
    <s v=""/>
    <s v=""/>
    <s v=""/>
    <s v=""/>
    <s v="нет"/>
  </r>
  <r>
    <s v="Газпромнефть-ГЕО, ООО"/>
    <s v="0000097399"/>
    <s v="Закрыт"/>
    <d v="2022-02-15T00:00:00"/>
    <s v=""/>
    <x v="210"/>
    <s v="7802015068"/>
    <s v=""/>
    <s v="ГЕО-22/29000/00031/Р"/>
    <s v="ГЕО-22/29000/00031/Р"/>
    <s v="Нетиповой ДД"/>
    <x v="2"/>
    <s v=""/>
    <s v="00950-21"/>
    <s v=""/>
    <s v="Договор на Шеф-монтажные и Пусконаладочные работы"/>
    <s v="Шеф-монтажные и Пусконаладочные работы метеостанции АМИС-РФ на проекте &quot;Енисей&quot;"/>
    <s v="Долгов Д.Г."/>
    <s v="Хисамутдинов С.И."/>
    <s v="Договорный документ"/>
    <s v="Производственно-технологический департамент"/>
    <s v="Перфильев Д.А."/>
    <s v="На бумажном носителе"/>
    <s v="До исполнения обязательств"/>
    <d v="2022-02-15T00:00:00"/>
    <s v=""/>
    <s v="Д-61"/>
    <s v="Смешанный договор"/>
    <s v="Расходная часть"/>
    <s v="Стоимостной"/>
    <s v="20%"/>
    <s v=""/>
    <s v=""/>
    <s v="1 048 800.00"/>
    <s v="874 000.00"/>
    <s v="174 800.00"/>
    <s v="нет"/>
    <s v="нет"/>
    <s v=""/>
    <s v=""/>
    <s v=""/>
    <s v=""/>
    <s v="нет"/>
  </r>
  <r>
    <s v="Газпромнефть-ГЕО, ООО"/>
    <s v="0000019598"/>
    <s v="Зарегистрирован"/>
    <d v="2022-10-31T00:00:00"/>
    <s v=""/>
    <x v="63"/>
    <s v="9909012867"/>
    <s v="ГЕО-22/10000/00048/Р"/>
    <s v=""/>
    <s v="2"/>
    <s v="Нетиповой ДД"/>
    <x v="0"/>
    <s v=""/>
    <s v="00950-22"/>
    <s v=""/>
    <s v="ДС №2 к договору ГЕО-22_10000_0004_Р от 28.02.2022 "/>
    <s v="Индексация ставок на 22%"/>
    <s v="Яшкина К.Л."/>
    <s v="Яшкина К.Л."/>
    <s v="Договорный документ"/>
    <s v="Блок бурения и ВСР"/>
    <s v="Агеев П.А."/>
    <s v="На бумажном носителе"/>
    <s v="С ограничением по срокам "/>
    <d v="2022-10-31T00:00:00"/>
    <d v="2023-12-31T00:00:00"/>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989 432.65"/>
    <s v="824 527.21"/>
    <s v="164 905.44"/>
    <s v="нет"/>
    <s v="нет"/>
    <s v=""/>
    <s v=""/>
    <s v=""/>
    <s v=""/>
    <s v="нет"/>
  </r>
  <r>
    <s v="Газпромнефть-ГЕО, ООО"/>
    <s v="0000068442"/>
    <s v="Зарегистрирован"/>
    <d v="2022-11-01T00:00:00"/>
    <s v=""/>
    <x v="92"/>
    <s v="5611027573"/>
    <s v="ГЕО-21/09000/00198/Р"/>
    <s v=""/>
    <s v="3"/>
    <s v="Нетиповой ДД"/>
    <x v="3"/>
    <s v=""/>
    <s v="00951-22"/>
    <s v=""/>
    <s v="Наряд-заказ"/>
    <s v="по оказанию услуг охраны по Договору № ГЕО-21/09000/00198/Р от 06.09.2021 г._x000d__x000a_"/>
    <s v="Данилов М.В."/>
    <s v="Данилов М.В."/>
    <s v="Договорный документ"/>
    <s v="Блок корпоративной защиты"/>
    <s v="Созинов С.А."/>
    <s v="ЭП"/>
    <s v="С ограничением по срокам "/>
    <d v="2022-11-01T00:00:00"/>
    <d v="2022-12-31T00:00:00"/>
    <s v="Д-60"/>
    <s v="Договор возмездного оказания услуг"/>
    <s v="Расходная часть"/>
    <s v="Рамочный"/>
    <s v="без НДС"/>
    <s v=""/>
    <s v=""/>
    <s v="1 636 626.95"/>
    <s v="1 636 626.95"/>
    <n v="0"/>
    <s v="нет"/>
    <s v="нет"/>
    <s v=""/>
    <s v=""/>
    <s v=""/>
    <s v=""/>
    <s v="нет"/>
  </r>
  <r>
    <s v="Газпромнефть-ГЕО, ООО"/>
    <s v="0000070846"/>
    <s v="Зарегистрирован"/>
    <d v="2022-11-01T00:00:00"/>
    <s v=""/>
    <x v="132"/>
    <s v="7014052636"/>
    <s v=""/>
    <s v="ГЕО-22/20000/00283/Д"/>
    <s v="ГЕО-22/20000/00283/Д"/>
    <s v="Типовой ДД"/>
    <x v="2"/>
    <s v="20000 Агентский договор на организацию вертолетных авиаперевозок"/>
    <s v="00952-22"/>
    <s v=""/>
    <s v="20000 Агентский договор на организацию вертолетных авиаперевозок с ООО «БРПО»"/>
    <s v="Авиаперевозка персонала и груза КА"/>
    <s v="Титова Е.В."/>
    <s v="Титова Е.В."/>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d v="2022-11-01T00:00:00"/>
    <d v="2023-12-31T00:00:00"/>
    <s v="Д-56"/>
    <s v="Агентский договор"/>
    <s v="Доходная часть"/>
    <s v="Агентский"/>
    <s v="20%"/>
    <s v=""/>
    <s v=""/>
    <s v="90 958.79"/>
    <s v="75 798.99"/>
    <s v="15 159.80"/>
    <s v="нет"/>
    <s v="нет"/>
    <s v=""/>
    <s v=""/>
    <s v=""/>
    <s v=""/>
    <s v="нет"/>
  </r>
  <r>
    <s v="Газпромнефть-ГЕО, ООО"/>
    <s v="0000066687"/>
    <s v="Зарегистрирован"/>
    <d v="2022-11-01T00:00:00"/>
    <s v=""/>
    <x v="161"/>
    <s v="9909012867"/>
    <s v="ГЕО-22/10000/00179/Р"/>
    <s v=""/>
    <s v="1"/>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53-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Обращение с металлической бочкотарой на объектах ДО БРД ПАО &quot;Газпром нефть&quot;"/>
    <s v="Бикташев Р.С."/>
    <s v=""/>
    <s v="Договорный документ"/>
    <s v="Производственно-технологический департамент"/>
    <s v="Трифонов А.В."/>
    <s v="На бумажном носителе"/>
    <s v="С ограничением по срокам "/>
    <d v="2022-11-01T00:00:00"/>
    <d v="2023-12-31T00:00:00"/>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73273"/>
    <s v="Зарегистрирован"/>
    <d v="2021-12-24T00:00:00"/>
    <s v=""/>
    <x v="21"/>
    <s v="5610218014"/>
    <s v=""/>
    <s v="ГЕО-21/20000/00312/Д"/>
    <s v="ГЕО-21/20000/00312/Д"/>
    <s v="Нетиповой ДД"/>
    <x v="2"/>
    <s v=""/>
    <s v="00954-21"/>
    <s v=""/>
    <s v="Агентский договор на выполнение обработки и интерпретации сейсморазведочных данных МОГТ 3Д Уранской площади в 2022-23 гг."/>
    <s v="Выполнение обработки и интерпретации сейсморазведочных данных МОГТ 3Д Уранской площади в 2022-23 гг."/>
    <s v="Мурзин Р.Р."/>
    <s v="Мурзин Р.Р."/>
    <s v="Договорный документ"/>
    <s v="Управление сейсморазведочных работ"/>
    <s v="Аксенов М.А."/>
    <s v="На бумажном носителе"/>
    <s v="С ограничением по срокам "/>
    <d v="2022-01-01T00:00:00"/>
    <d v="2023-03-31T00:00:00"/>
    <s v=""/>
    <s v="Агентский договор"/>
    <s v="Доходная часть"/>
    <s v="Агентский"/>
    <s v="20%"/>
    <s v=""/>
    <s v=""/>
    <s v="28 746 876.24"/>
    <s v="23 955 730.20"/>
    <s v="4 791 146.04"/>
    <s v="нет"/>
    <s v="нет"/>
    <s v=""/>
    <s v=""/>
    <s v=""/>
    <s v=""/>
    <s v="нет"/>
  </r>
  <r>
    <s v="Газпромнефть-ГЕО, ООО"/>
    <s v="0000068974"/>
    <s v="Зарегистрирован"/>
    <d v="2022-11-03T00:00:00"/>
    <s v=""/>
    <x v="81"/>
    <s v="3808120671"/>
    <s v=""/>
    <s v="ГЕО-22/33200/00288"/>
    <s v="ГЕО-22/33200/00288"/>
    <s v="Типовой ДД"/>
    <x v="1"/>
    <s v="33200 Соглашение об электронном документообороте"/>
    <s v="00954-22"/>
    <s v=""/>
    <s v="33200 Соглашение об электронном документообороте"/>
    <s v="обмен электронными документами"/>
    <s v="Коваленко М.В."/>
    <s v="Данилов М.В."/>
    <s v="Договорный документ"/>
    <s v="Блок корпоративной защиты"/>
    <s v="Агеев П.А."/>
    <s v="ЭП"/>
    <s v="До исполнения обязательств"/>
    <d v="2022-11-03T00:00:00"/>
    <s v=""/>
    <s v="Д-5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96440"/>
    <s v="Зарегистрирован"/>
    <d v="2023-02-07T00:00:00"/>
    <s v=""/>
    <x v="286"/>
    <s v="8401011340"/>
    <s v=""/>
    <s v="ГЕО-23/34000/00030/Р"/>
    <s v="ГЕО-23/34000/00030/Р"/>
    <s v="Нетиповой ДД"/>
    <x v="1"/>
    <s v=""/>
    <s v="00955-22"/>
    <s v=""/>
    <s v="Соглашение о взаимном сотрудничестве по социально-экономическому развитию Таймырского Долгано-Ненецкого муниципального района Красноярского края "/>
    <s v="Долгосрочное и взаимное сотрудничество в области использования природно-ресурсного потенциала территорий в границах Таймырского Долгано-Ненецкого муниципального района"/>
    <s v="Титаева И.А."/>
    <s v="Титаева И.А."/>
    <s v="Договорный документ"/>
    <s v="Управление маркшейдерско-землеустроительных работ"/>
    <s v="Ковтун М.А."/>
    <s v="На бумажном носителе"/>
    <s v="До исполнения обязательств"/>
    <d v="2023-02-01T00:00:00"/>
    <s v=""/>
    <s v="Д-62"/>
    <s v="Соглашение с органами государственной власти и управления и муниципальными образованиями"/>
    <s v="Расходная часть"/>
    <s v="Стоимостной"/>
    <s v="без НДС"/>
    <s v=""/>
    <s v=""/>
    <s v="3 000 000.00"/>
    <s v="3 000 000.00"/>
    <n v="0"/>
    <s v="нет"/>
    <s v="нет"/>
    <s v=""/>
    <s v=""/>
    <s v=""/>
    <s v=""/>
    <s v="нет"/>
  </r>
  <r>
    <s v="Газпромнефть-ГЕО, ООО"/>
    <s v="0000011433"/>
    <s v="Зарегистрирован"/>
    <d v="2021-12-28T00:00:00"/>
    <s v=""/>
    <x v="174"/>
    <s v="8604005359"/>
    <s v=""/>
    <s v=""/>
    <s v="2"/>
    <s v="Типовой ДД"/>
    <x v="0"/>
    <s v="00000 ДС на изменение реквизитов контрагента (адрес, счет)"/>
    <s v="00956-21"/>
    <s v=""/>
    <s v="00000 ДС на изменение реквизитов контрагента (адрес, счет)"/>
    <s v="Смена реквизитов Исполнителя"/>
    <s v="Ушакова М.А."/>
    <s v="Ушакова М.А."/>
    <s v="Договорный документ"/>
    <s v="Блок снабжения и закупок"/>
    <s v="Титов А.В."/>
    <s v="На бумажном носителе"/>
    <s v="С ограничением по срокам "/>
    <d v="2021-12-28T00:00:00"/>
    <d v="2025-12-31T00:00:00"/>
    <s v=""/>
    <s v="Договор возмездного оказания услуг"/>
    <s v="Не предполагает взаиморасчетов"/>
    <s v=""/>
    <s v=""/>
    <s v=""/>
    <s v=""/>
    <s v=""/>
    <s v=""/>
    <s v=""/>
    <s v="нет"/>
    <s v="нет"/>
    <s v=""/>
    <s v=""/>
    <s v=""/>
    <s v=""/>
    <s v="нет"/>
  </r>
  <r>
    <s v="Газпромнефть-ГЕО, ООО"/>
    <s v="0000083900"/>
    <s v="Зарегистрирован"/>
    <d v="2021-12-30T00:00:00"/>
    <s v=""/>
    <x v="124"/>
    <s v=""/>
    <s v="ГЕО-20/11104/00153/Д"/>
    <s v=""/>
    <s v="3"/>
    <s v="Нетиповой ДД"/>
    <x v="0"/>
    <s v=""/>
    <s v="00957-21"/>
    <s v=""/>
    <s v="ДС №3 к ГЕО-20/11104/00153/Д ГЕОЛОГ ИНТЕРНЕШНЛ Б.В."/>
    <s v="Продление срока действия договора, увеличение суммы"/>
    <s v="Титова Е.В."/>
    <s v="Титова Е.В."/>
    <s v="Договорный документ"/>
    <s v="Блок снабжения и закупок"/>
    <s v="Титов А.В."/>
    <s v="На бумажном носителе"/>
    <s v="С ограничением по срокам "/>
    <d v="2022-01-01T00:00:00"/>
    <d v="2022-12-31T00:00:00"/>
    <s v="Д-11"/>
    <s v="Агентский договор"/>
    <s v="Доходная часть"/>
    <s v="Агентский"/>
    <s v="20%"/>
    <s v=""/>
    <s v=""/>
    <s v="309 049.45"/>
    <s v="257 541.21"/>
    <s v="51 508.24"/>
    <s v="нет"/>
    <s v="нет"/>
    <s v=""/>
    <s v=""/>
    <s v=""/>
    <s v=""/>
    <s v="нет"/>
  </r>
  <r>
    <s v="Газпромнефть-ГЕО, ООО"/>
    <s v="0000087378"/>
    <s v="Зарегистрирован"/>
    <d v="2021-12-27T00:00:00"/>
    <s v=""/>
    <x v="97"/>
    <s v="7204203139"/>
    <s v="ГЕО-19/10156/00057/Р"/>
    <s v=""/>
    <s v="3"/>
    <s v="Нетиповой ДД"/>
    <x v="0"/>
    <s v=""/>
    <s v="00958-21"/>
    <s v=""/>
    <s v="Дополнительное Соглашение №3 К Договору № ГЕО-19/10156/00057/Р от 07.03.2019 г."/>
    <s v="на выполнение работ по теме: &quot;Комплексные исследования керна скважин месторождений Заказчика&quot;"/>
    <s v="Дыбов А."/>
    <s v="Дыбов А."/>
    <s v="Договорный документ"/>
    <s v="Управление по геологии"/>
    <s v="Аксенов М.А."/>
    <s v="На бумажном носителе"/>
    <s v="С ограничением по срокам "/>
    <d v="2021-12-27T00:00:00"/>
    <d v="2024-12-31T00:00:00"/>
    <s v="Д-54"/>
    <s v="Смешанный договор"/>
    <s v="Расходная часть"/>
    <s v="Рамочный"/>
    <s v="20%"/>
    <s v=""/>
    <s v=""/>
    <s v="135 615 162.29"/>
    <s v="113 012 635.24"/>
    <s v="22 602 527.05"/>
    <s v="нет"/>
    <s v="нет"/>
    <s v=""/>
    <s v=""/>
    <s v=""/>
    <s v=""/>
    <s v="нет"/>
  </r>
  <r>
    <s v="Газпромнефть-ГЕО, ООО"/>
    <s v="0000063129"/>
    <s v="Зарегистрирован"/>
    <d v="2022-11-09T00:00:00"/>
    <s v=""/>
    <x v="94"/>
    <s v="5603032851"/>
    <s v=""/>
    <s v="ГЕО-22/35000/00295"/>
    <s v="ГЕО-22/35000/00295"/>
    <s v="Нетиповой ДД"/>
    <x v="1"/>
    <s v=""/>
    <s v="00958-22"/>
    <s v=""/>
    <s v="Соглашение о безопасном использовании информационных систем"/>
    <s v="Согласешие по СУДИР"/>
    <s v="Автеньев М.В."/>
    <s v="Копылов Е.О."/>
    <s v="Договорный документ"/>
    <s v="Блок снабжения и закупок"/>
    <s v="Созинов С.А."/>
    <s v="ЭП"/>
    <s v="С ограничением по срокам "/>
    <d v="2022-11-09T00:00:00"/>
    <d v="2026-12-31T00:00:00"/>
    <s v="Д-60"/>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
    <s v="Проект"/>
    <s v=""/>
    <s v=""/>
    <x v="58"/>
    <s v=""/>
    <s v=""/>
    <s v=""/>
    <s v=""/>
    <s v="Нетиповой ДД"/>
    <x v="2"/>
    <s v=""/>
    <s v="00959-21"/>
    <s v=""/>
    <s v="Договор о выплате вознаграждений за служебный результат интеллектуальной деятельности"/>
    <s v="Выплата вознаграждений за служебный результат интеллектуальной деятельности"/>
    <s v="Гаврилов А.Б."/>
    <s v="Гаврилов А.Б."/>
    <s v="Договорный документ"/>
    <s v="Блок геологии и разработки"/>
    <s v="Масалкин Ю.В."/>
    <s v="На бумажном носителе"/>
    <s v=""/>
    <s v=""/>
    <s v=""/>
    <s v=""/>
    <s v="Договор возмездного оказания услуг"/>
    <s v="Расходная часть"/>
    <s v="Стоимостной"/>
    <s v="0%"/>
    <s v=""/>
    <s v=""/>
    <s v="80 064.68"/>
    <s v="80 064.68"/>
    <n v="0"/>
    <s v="нет"/>
    <s v="нет"/>
    <s v=""/>
    <s v=""/>
    <s v=""/>
    <s v=""/>
    <s v="нет"/>
  </r>
  <r>
    <s v="Газпромнефть-ГЕО, ООО"/>
    <s v="0000063129"/>
    <s v="Зарегистрирован"/>
    <d v="2022-11-07T00:00:00"/>
    <s v=""/>
    <x v="94"/>
    <s v="5603032851"/>
    <s v=""/>
    <s v="ГЕО-22/33200/00292"/>
    <s v="ГЕО-22/33200/00292"/>
    <s v="Типовой ДД"/>
    <x v="1"/>
    <s v="33200 Соглашение об электронном документообороте"/>
    <s v="00959-22"/>
    <s v=""/>
    <s v="33200 Соглашение об электронном документообороте"/>
    <s v="Ведение ЭДО с к/а"/>
    <s v="Автеньев М.В."/>
    <s v="Копылов Е.О."/>
    <s v="Договорный документ"/>
    <s v="Блок снабжения и закупок"/>
    <s v="Агеев П.А."/>
    <s v="ЭП"/>
    <s v="С ограничением по срокам "/>
    <d v="2022-11-07T00:00:00"/>
    <d v="2026-12-31T00:00:00"/>
    <s v="Д-5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37846"/>
    <s v="Закрыт"/>
    <d v="2021-12-30T00:00:00"/>
    <s v=""/>
    <x v="26"/>
    <s v="8905032518"/>
    <s v=""/>
    <s v="ГЕО-21/09000/00306/Р"/>
    <s v="ГЕО-21/09000/00306/Р"/>
    <s v="Нетиповой ДД"/>
    <x v="2"/>
    <s v=""/>
    <s v="00960-21"/>
    <s v=""/>
    <s v="закупка ИТ-сервисных услуг"/>
    <s v="Обеспечение компании ГПН-ГЕО бесперебойным сервисом в части ИТ"/>
    <s v="Разумовский М.В."/>
    <s v=""/>
    <s v="Договорный документ"/>
    <s v="Производственно-технологический департамент"/>
    <s v="Масалкин Ю.В."/>
    <s v="На бумажном носителе"/>
    <s v="С ограничением по срокам "/>
    <d v="2022-01-01T00:00:00"/>
    <d v="2022-12-31T00:00:00"/>
    <s v=""/>
    <s v="Договор возмездного оказания услуг"/>
    <s v="Расходная часть"/>
    <s v="Стоимостной"/>
    <s v="20%"/>
    <s v=""/>
    <s v=""/>
    <s v="43 200 000.00"/>
    <s v="36 000 000.00"/>
    <s v="7 200 000.00"/>
    <s v="нет"/>
    <s v="нет"/>
    <s v=""/>
    <s v=""/>
    <s v=""/>
    <s v=""/>
    <s v="нет"/>
  </r>
  <r>
    <s v="Газпромнефть-ГЕО, ООО"/>
    <s v="0000063129"/>
    <s v="Зарегистрирован"/>
    <d v="2022-11-01T00:00:00"/>
    <s v=""/>
    <x v="94"/>
    <s v="5603032851"/>
    <s v=""/>
    <s v="ГЕО-22/33200/00286"/>
    <s v="ГЕО-22/33200/00286"/>
    <s v="Типовой ДД"/>
    <x v="1"/>
    <s v="Соглашение, содержащее условия применения усиленной квалифицированной электронной подписи (УКЭП) при подписании ДД (ЭД в части ДД)"/>
    <s v="00960-22"/>
    <s v=""/>
    <s v="Соглашение, содержащее условия применения усиленной квалифицированной электронной подписи (УКЭП) при подписании ДД (ЭД в части ДД)"/>
    <s v="Применение УКЭП с к/а"/>
    <s v="Автеньев М.В."/>
    <s v="Копылов Е.О."/>
    <s v="Договорный документ"/>
    <s v="Блок снабжения и закупок"/>
    <s v="Агеев П.А."/>
    <s v="ЭП"/>
    <s v="С ограничением по срокам "/>
    <d v="2022-11-01T00:00:00"/>
    <d v="2026-12-31T00:00:00"/>
    <s v="Д-5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63984"/>
    <s v="Закрыт"/>
    <d v="2021-12-29T00:00:00"/>
    <s v=""/>
    <x v="141"/>
    <s v="3808099451"/>
    <s v="ГЕО-21/10968/00164/Р"/>
    <s v=""/>
    <s v="1"/>
    <s v="Нетиповой ДД"/>
    <x v="0"/>
    <s v=""/>
    <s v="00961-21"/>
    <s v=""/>
    <s v="Дополнительное соглашение №1 к Договору №ГЕО-21/10968/00164/Р от 20.07.2021 г. на оказание возмездных услуг по обращению с отходами производства и потребления"/>
    <s v="1. Изменение срока действия договора (с момента подписания по 28.02.2022 г.)_x000d__x000a_2. Изменение места проведения утилизации нефтесодержащих отходов"/>
    <s v="Липатова О.И."/>
    <s v="Липатова О.И."/>
    <s v="Договорный документ"/>
    <s v="Отдел экологической безопасности"/>
    <s v="Власов М.М."/>
    <s v="На бумажном носителе"/>
    <s v="С ограничением по срокам "/>
    <d v="2021-07-20T00:00:00"/>
    <d v="2022-02-28T00:00:00"/>
    <s v=""/>
    <s v="Вывоз, транспортировка и размещение отходов производственной деятельности"/>
    <s v="Не предполагает взаиморасчетов"/>
    <s v=""/>
    <s v=""/>
    <s v=""/>
    <s v=""/>
    <s v=""/>
    <s v=""/>
    <s v=""/>
    <s v="нет"/>
    <s v="нет"/>
    <s v=""/>
    <s v=""/>
    <s v=""/>
    <s v=""/>
    <s v="нет"/>
  </r>
  <r>
    <s v="Газпромнефть-ГЕО, ООО"/>
    <s v="0000070392"/>
    <s v="Зарегистрирован"/>
    <d v="2022-12-19T00:00:00"/>
    <s v=""/>
    <x v="154"/>
    <s v="7716180477"/>
    <s v=""/>
    <s v="ГЕО-22/09000/00333/Р"/>
    <s v="ГЕО-22/09000/00333/Р"/>
    <s v="Нетиповой ДД"/>
    <x v="2"/>
    <s v=""/>
    <s v="00961-22"/>
    <s v=""/>
    <s v="обучающе-контролирующая система «ОЛИМПОКС» "/>
    <s v="Возможность прохождения сотрудниками ДО учебных курсов"/>
    <s v="Разумовский М.В."/>
    <s v="Разумовский М.В."/>
    <s v="Договорный документ"/>
    <s v="Отдел информационных технологий, автоматизации и телекоммуникаций"/>
    <s v="Аксенов М.А."/>
    <s v="На бумажном носителе"/>
    <s v="С ограничением по срокам "/>
    <d v="2022-12-19T00:00:00"/>
    <d v="2023-12-18T00:00:00"/>
    <s v=""/>
    <s v="Договор возмездного оказания услуг"/>
    <s v="Расходная часть"/>
    <s v="Тарифный"/>
    <s v="без НДС"/>
    <s v=""/>
    <s v=""/>
    <s v="613 286.30"/>
    <s v="613 286.30"/>
    <n v="0"/>
    <s v="нет"/>
    <s v="нет"/>
    <s v=""/>
    <s v=""/>
    <s v=""/>
    <s v=""/>
    <s v="нет"/>
  </r>
  <r>
    <s v="Газпромнефть-ГЕО, ООО"/>
    <s v="0000073438"/>
    <s v="Зарегистрирован"/>
    <d v="2021-12-30T00:00:00"/>
    <s v=""/>
    <x v="68"/>
    <s v="7720330291"/>
    <s v="№ ГЕО-19/10187/00123/Р"/>
    <s v=""/>
    <s v="8"/>
    <s v="Нетиповой ДД"/>
    <x v="0"/>
    <s v=""/>
    <s v="00962-21"/>
    <s v=""/>
    <s v="ДС №8 к Договору № ГЕО-19/10187/00123/Р от «30» мая 2019 г."/>
    <s v="Продление действия договора № ГЕО-19/10187/00123/Р"/>
    <s v="Мустафин И.Р."/>
    <s v="Мустафин И.Р."/>
    <s v="Договорный документ"/>
    <s v="Управление лицензирования и недропользования"/>
    <s v="Аксенов М.А."/>
    <s v="На бумажном носителе"/>
    <s v="С ограничением по срокам "/>
    <d v="2021-12-30T00:00:00"/>
    <d v="2022-06-01T00:00:00"/>
    <s v="Д-54"/>
    <s v="Договор на выполнение НИР, ОКР и технологических работ"/>
    <s v="Не предполагает взаиморасчетов"/>
    <s v=""/>
    <s v=""/>
    <s v=""/>
    <s v=""/>
    <s v=""/>
    <s v=""/>
    <s v=""/>
    <s v="нет"/>
    <s v="нет"/>
    <s v=""/>
    <s v=""/>
    <s v=""/>
    <s v=""/>
    <s v="нет"/>
  </r>
  <r>
    <s v="Газпромнефть-ГЕО, ООО"/>
    <s v="0000065735"/>
    <s v="Зарегистрирован"/>
    <d v="2022-10-27T00:00:00"/>
    <s v=""/>
    <x v="200"/>
    <s v="0274095068"/>
    <s v=""/>
    <s v="ГЕО-22/11000/00300/Р"/>
    <s v="ГЕО-22/11000/00300/Р"/>
    <s v="Типовой ДД"/>
    <x v="2"/>
    <s v="10206 Договор на оказание услуг авторского надзора "/>
    <s v="00962-22"/>
    <s v=""/>
    <s v="10206 Договор на оказание услуг авторского надзора "/>
    <s v="Оказание услуг авторского надзора"/>
    <s v="Шолохова И.А."/>
    <s v="Салахутдинов Р.С."/>
    <s v="Договорный документ"/>
    <s v="Управление проектно-изыскательских работ"/>
    <s v="Трифонов А.В."/>
    <s v="На бумажном носителе"/>
    <s v="До исполнения обязательств"/>
    <d v="2022-10-27T00:00:00"/>
    <s v=""/>
    <s v="Д-33"/>
    <s v="Капитальное строительство и ПИР"/>
    <s v="Расходная часть"/>
    <s v="Стоимостной"/>
    <s v="20%"/>
    <s v=""/>
    <s v=""/>
    <s v="5 008 800.00"/>
    <s v="4 174 000.00"/>
    <s v="834 800.00"/>
    <s v="нет"/>
    <s v="нет"/>
    <s v=""/>
    <s v=""/>
    <s v=""/>
    <s v=""/>
    <s v="нет"/>
  </r>
  <r>
    <s v="Газпромнефть-ГЕО, ООО"/>
    <s v="0000039295"/>
    <s v="Зарегистрирован"/>
    <d v="2021-12-27T00:00:00"/>
    <s v=""/>
    <x v="90"/>
    <s v="8618006063"/>
    <s v="ГЕО-19/09000/00321/Д"/>
    <s v=""/>
    <s v="2"/>
    <s v="Нетиповой ДД"/>
    <x v="0"/>
    <s v=""/>
    <s v="00963-21"/>
    <s v=""/>
    <s v="Дополнительное соглашение №2"/>
    <s v="Геологическое изучение перспектив нефтегазоносности Западного кластера АТ"/>
    <s v="Андреева И.В."/>
    <s v="Белкин М.Ю."/>
    <s v="Договорный документ"/>
    <s v="Управление экономического планирования и анализа"/>
    <s v="Волков Г.В."/>
    <s v="На бумажном носителе"/>
    <s v="С ограничением по срокам "/>
    <d v="2021-12-01T00:00:00"/>
    <d v="2021-12-31T00:00:00"/>
    <s v="Д-55"/>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63129"/>
    <s v="Зарегистрирован"/>
    <d v="2022-10-31T00:00:00"/>
    <s v=""/>
    <x v="94"/>
    <s v="5603032851"/>
    <s v=""/>
    <s v="ГЕО-22/33100/00296"/>
    <s v="ГЕО-22/33100/00296"/>
    <s v="Типовой ДД"/>
    <x v="1"/>
    <s v="33100 Соглашение в области производственной безопасности"/>
    <s v="00963-22"/>
    <s v=""/>
    <s v="33100 Соглашение в области производственной безопасности"/>
    <s v="Заключение соглашения для ДД"/>
    <s v="Автеньев М.В."/>
    <s v="Копылов Е.О"/>
    <s v="Договорный документ"/>
    <s v="Блок снабжения и закупок"/>
    <s v="Власов М.М."/>
    <s v="ЭП"/>
    <s v="С ограничением по срокам "/>
    <d v="2022-10-31T00:00:00"/>
    <d v="2026-12-31T00:00:00"/>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Зарегистрирован"/>
    <d v="2022-01-04T00:00:00"/>
    <s v=""/>
    <x v="480"/>
    <s v=""/>
    <s v=""/>
    <s v="ГЕО-22/11000/00012/Р"/>
    <s v="ГЕО-22/11000/00012/Р"/>
    <s v="Нетиповой ДД"/>
    <x v="2"/>
    <s v=""/>
    <s v="00964-21"/>
    <s v=""/>
    <s v="Договор на выполнение строительно-монтажных Услуг (СМР) объектов инженерной подготовки и дорог месторождений нефти и газа Лескинском ЛУ"/>
    <s v="Выполнение в соответствии с условиями Договора , а также разработанной документацией обязуется выполнить Услуги в объеме и в сроки, определенные в соответствующем Графике выполнения Услуг и сдать их результат Заказчику, а Заказчик обязуется принять надлежаще выполненные Услуги и оплатить их в соответствии с условиями Договора._x000d__x000a_В комплекс Услуг, выполняемых Подрядчиком, входят следующие Услуги (далее – Услуги):_x000d__x000a_- строительно-монтажные Услуги; _x000d__x000a_- иные Услуги и услуги, предусмотренные Техническим заданием, Приложением «Производственная программа», Приложением «Технические требования к Подрядчик Услуг и Технике (Техническое задание)» неразрывно связанные с приемкой готового Объекта.  , неразрывно связанные с приемкой готового Объекта. _x000d__x000a_"/>
    <s v="Рузимуродов И.П."/>
    <s v="Кукленков Михаил Александрович"/>
    <s v="Договорный документ"/>
    <s v="Управление закупок работ и услуг"/>
    <s v="Аксенов М.А."/>
    <s v="На бумажном носителе"/>
    <s v="С ограничением по срокам "/>
    <d v="2022-01-04T00:00:00"/>
    <d v="2022-06-10T00:00:00"/>
    <s v="Д-54"/>
    <s v="Капитальное строительство и ПИР"/>
    <s v="Расходная часть"/>
    <s v="Стоимостной"/>
    <s v="20%"/>
    <s v=""/>
    <s v=""/>
    <s v="177 770 392.37"/>
    <s v="148 141 993.64"/>
    <s v="29 628 398.73"/>
    <s v="нет"/>
    <s v="нет"/>
    <s v=""/>
    <s v=""/>
    <s v=""/>
    <s v=""/>
    <s v="нет"/>
  </r>
  <r>
    <s v="Газпромнефть-ГЕО, ООО"/>
    <s v=""/>
    <s v="Закрыт"/>
    <d v="2022-11-01T00:00:00"/>
    <s v=""/>
    <x v="471"/>
    <s v=""/>
    <s v=""/>
    <s v="ГЕО-22/26000/00291"/>
    <s v="ГЕО-22/26000/00291"/>
    <s v="Типовой ДД"/>
    <x v="1"/>
    <s v="26000 Договор о конфиденциальности с физическим лицом"/>
    <s v="00964-22"/>
    <s v=""/>
    <s v="26000 Договор о конфиденциальности с физическим лицом"/>
    <s v="Заключение договора о конфиденциальности с физ.лицом, оказывающего Обществу услуги на основании договора ГПХ, по неразглашению информации, составляющей коммерческую тайну и иной конфиденциальной информации Общества и его контрагентов."/>
    <s v="Буракова О.В."/>
    <s v="Буракова О.В."/>
    <s v="Договорный документ"/>
    <s v="Отдел административной поддержки бизнеса"/>
    <s v="Созинов С.А."/>
    <s v="На бумажном носителе"/>
    <s v="С ограничением по срокам "/>
    <d v="2022-11-01T00:00:00"/>
    <d v="2022-12-31T00:00:00"/>
    <s v="Д-60"/>
    <s v="Соглашение о конфиденциальности"/>
    <s v="Не предполагает взаиморасчетов"/>
    <s v=""/>
    <s v=""/>
    <s v=""/>
    <s v=""/>
    <s v=""/>
    <s v=""/>
    <s v=""/>
    <s v="нет"/>
    <s v="нет"/>
    <s v=""/>
    <s v=""/>
    <s v=""/>
    <s v=""/>
    <s v="нет"/>
  </r>
  <r>
    <s v="Газпромнефть-ГЕО, ООО"/>
    <s v="0000043624"/>
    <s v="Зарегистрирован"/>
    <d v="2022-01-01T00:00:00"/>
    <s v=""/>
    <x v="222"/>
    <s v="7728632093"/>
    <s v="ГЕО-20/09000/00037/Р "/>
    <s v=""/>
    <s v="3"/>
    <s v="Нетиповой ДД"/>
    <x v="0"/>
    <s v=""/>
    <s v="00965-21"/>
    <s v=""/>
    <s v="ДС №3 к договору № ГЕО-20/09000/00037/Р от 03.02.2020 г."/>
    <s v="Увеличение стоимости по Договору за счет увеличения расценки по услугам внедрения и развития процессов управления взаимоотношениями с подрядными организациями, технической оценкой и системой качества, а также сокращение срока оказания услуг по Договору"/>
    <s v="Кулагина А.А."/>
    <s v="Кулагина А.А."/>
    <s v="Договорный документ"/>
    <s v="Блок снабжения и закупок"/>
    <s v="Титов А.В."/>
    <s v="На бумажном носителе"/>
    <s v="С ограничением по срокам "/>
    <d v="2022-01-01T00:00:00"/>
    <d v="2022-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4 433 040.10"/>
    <s v="3 694 200.08"/>
    <s v="738 840.02"/>
    <s v="нет"/>
    <s v="нет"/>
    <s v=""/>
    <s v=""/>
    <s v=""/>
    <s v=""/>
    <s v="нет"/>
  </r>
  <r>
    <s v="Газпромнефть-ГЕО, ООО"/>
    <s v="0000076283"/>
    <s v="Зарегистрирован"/>
    <d v="2022-10-10T00:00:00"/>
    <s v=""/>
    <x v="28"/>
    <s v="4501174492"/>
    <s v=""/>
    <s v="ГЕО-22/26000/00294"/>
    <s v="ГЕО-22/26000/00294"/>
    <s v="Типовой ДД"/>
    <x v="1"/>
    <s v="26000 Соглашение о конфиденциальности с российским контрагентом"/>
    <s v="00965-22"/>
    <s v=""/>
    <s v="26000 Соглашение о конфиденциальности с российским контрагентом"/>
    <s v="Соглашение о конфидициальности с ООО &quot;Уралгеопроект&quot;"/>
    <s v="Мормышев А.А."/>
    <s v="Шолохова И.А."/>
    <s v="Договорный документ"/>
    <s v="Управление проектно-изыскательских работ"/>
    <s v="Созинов С.А."/>
    <s v="ЭП"/>
    <s v="Без сроков "/>
    <d v="2022-10-10T00:00:00"/>
    <s v=""/>
    <s v="Д-60"/>
    <s v="Соглашение о конфиденциальности"/>
    <s v="Не предполагает взаиморасчетов"/>
    <s v=""/>
    <s v=""/>
    <s v=""/>
    <s v=""/>
    <s v=""/>
    <s v=""/>
    <s v=""/>
    <s v="нет"/>
    <s v="нет"/>
    <s v=""/>
    <s v=""/>
    <s v=""/>
    <s v=""/>
    <s v="нет"/>
  </r>
  <r>
    <s v="Газпромнефть-ГЕО, ООО"/>
    <s v="0000097399"/>
    <s v="Закрыт"/>
    <d v="2022-02-15T00:00:00"/>
    <s v=""/>
    <x v="210"/>
    <s v="7802015068"/>
    <s v=""/>
    <s v="ГЕО-22/33100/00032"/>
    <s v="ГЕО-22/33100/00032"/>
    <s v="Типовой ДД"/>
    <x v="1"/>
    <s v="33100 Соглашение в области производственной безопасности"/>
    <s v="00966-21"/>
    <s v=""/>
    <s v="33100 Соглашение в области производственной безопасности"/>
    <s v="_x000d__x000a_Соглашение в области производственной безопасности (ПБ) к договору ШМР, ПНР на метеостанцию АМИС-РФ_x000d__x000a_"/>
    <s v="Долгов Д.Г."/>
    <s v=""/>
    <s v="Договорный документ"/>
    <s v="Департамент капитального строительства"/>
    <s v="Перфильев Д.А."/>
    <s v="На бумажном носителе"/>
    <s v="До исполнения обязательств"/>
    <d v="2022-02-15T00:00:00"/>
    <s v=""/>
    <s v="Д-61"/>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106498"/>
    <s v="Закрыт"/>
    <d v="2022-08-01T00:00:00"/>
    <s v=""/>
    <x v="481"/>
    <s v="510303221295"/>
    <s v=""/>
    <s v="ГЕО-22/20000/00324/Р"/>
    <s v="ГЕО-22/20000/00324/Р"/>
    <s v="Нетиповой ДД"/>
    <x v="2"/>
    <s v=""/>
    <s v="00966-22"/>
    <s v=""/>
    <s v="Договор РИД"/>
    <s v="Оплата за результаты ИД на основании договора ГЕО-21/09000/00206/Д"/>
    <s v="Хужина В.А."/>
    <s v=""/>
    <s v="Договорный документ"/>
    <s v="Управление по работе с персоналом"/>
    <s v="Аксенов М.А."/>
    <s v="На бумажном носителе"/>
    <s v="До исполнения обязательств"/>
    <d v="2022-08-01T00:00:00"/>
    <s v=""/>
    <s v="Д-54"/>
    <s v="Агентский договор"/>
    <s v="Расходная часть"/>
    <s v="Стоимостной"/>
    <s v="13%"/>
    <s v=""/>
    <s v=""/>
    <s v="40 032.34"/>
    <s v="34 828.14"/>
    <s v="5 204.20"/>
    <s v="нет"/>
    <s v="нет"/>
    <s v=""/>
    <s v=""/>
    <s v=""/>
    <s v=""/>
    <s v="нет"/>
  </r>
  <r>
    <s v="Газпромнефть-ГЕО, ООО"/>
    <s v="0000027645"/>
    <s v="Зарегистрирован"/>
    <d v="2021-12-29T00:00:00"/>
    <s v=""/>
    <x v="80"/>
    <s v="5501072608"/>
    <s v="ГЕО-18/10001/00082/Р-ГСН-19/10001/00244/Д/ТМН-13 от 29.12.2018г."/>
    <s v=""/>
    <s v="8.1"/>
    <s v="Нетиповой ДД"/>
    <x v="0"/>
    <s v=""/>
    <s v="00967-21"/>
    <s v=""/>
    <s v="ДС № 8.1 (продление до 31.12.2022г.) на хранение и ПРР на базе г. Лабытнанги"/>
    <s v="Внесение изменений в: сроки оказания услуг (продление до 31.12.2022г.), Приложение 2.1 «Смета по услугам складской логистики» (Игнялинский ЛУ) и Приложение 2.2 «Смета по услугам складской логистики» (Южно-Новопортовский ЛУ)"/>
    <s v="Рябикина М.А."/>
    <s v="Нежальских В.А."/>
    <s v="Договорный документ"/>
    <s v="Блок снабжения и закупок"/>
    <s v="Титов А.В."/>
    <s v="На бумажном носителе"/>
    <s v="С ограничением по срокам "/>
    <d v="2021-12-29T00:00:00"/>
    <d v="2022-12-31T00:00:00"/>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n v="1"/>
    <n v="0.83"/>
    <n v="0.17"/>
    <s v="нет"/>
    <s v="нет"/>
    <s v=""/>
    <s v=""/>
    <s v=""/>
    <s v=""/>
    <s v="нет"/>
  </r>
  <r>
    <s v="Газпромнефть-ГЕО, ООО"/>
    <s v="0000106513"/>
    <s v="Закрыт"/>
    <d v="2022-08-01T00:00:00"/>
    <s v=""/>
    <x v="482"/>
    <s v="634001687170"/>
    <s v=""/>
    <s v="ГЕО-22/20000/00325/Р"/>
    <s v="ГЕО-22/20000/00325/Р"/>
    <s v="Нетиповой ДД"/>
    <x v="2"/>
    <s v=""/>
    <s v="00967-22"/>
    <s v=""/>
    <s v="Договор РИД"/>
    <s v="Оплата за результаты ИД на основании договора ГЕО-21/09000/00206/Д"/>
    <s v="Хужина В.А."/>
    <s v=""/>
    <s v="Договорный документ"/>
    <s v="Управление по работе с персоналом"/>
    <s v="Аксенов М.А."/>
    <s v="На бумажном носителе"/>
    <s v="До исполнения обязательств"/>
    <d v="2022-08-01T00:00:00"/>
    <s v=""/>
    <s v="Д-54"/>
    <s v="Агентский договор"/>
    <s v="Расходная часть"/>
    <s v="Стоимостной"/>
    <s v="13%"/>
    <s v=""/>
    <s v=""/>
    <s v="40 032.34"/>
    <s v="34 828.14"/>
    <s v="5 204.20"/>
    <s v="нет"/>
    <s v="нет"/>
    <s v=""/>
    <s v=""/>
    <s v=""/>
    <s v=""/>
    <s v="нет"/>
  </r>
  <r>
    <s v="Газпромнефть-ГЕО, ООО"/>
    <s v="0000086733"/>
    <s v="Зарегистрирован"/>
    <d v="2021-12-28T00:00:00"/>
    <s v=""/>
    <x v="164"/>
    <s v="7203336545"/>
    <s v="ГЕО-20/10940/00117/Р "/>
    <s v=""/>
    <s v="2"/>
    <s v="Нетиповой ДД"/>
    <x v="0"/>
    <s v=""/>
    <s v="00968-21"/>
    <s v=""/>
    <s v="Дополнительное соглашение № 2"/>
    <s v="Перевод негарантированного объема услуг 2022 г. в гарантированный объем услуг 2022 г. по Сибирскому ФО (скв. 178 ПО Лескинского ЛУ)."/>
    <s v="Липатова О.И."/>
    <s v="Липатова О.И."/>
    <s v="Договорный документ"/>
    <s v="Отдел экологической безопасности"/>
    <s v="Власов М.М."/>
    <s v="На бумажном носителе"/>
    <s v="С ограничением по срокам "/>
    <d v="2021-12-28T00:00:00"/>
    <d v="2022-12-31T00:00:00"/>
    <s v=""/>
    <s v="Договор возмездного оказания услуг"/>
    <s v="Не предполагает взаиморасчетов"/>
    <s v=""/>
    <s v=""/>
    <s v=""/>
    <s v=""/>
    <s v=""/>
    <s v=""/>
    <s v=""/>
    <s v="нет"/>
    <s v="нет"/>
    <s v=""/>
    <s v=""/>
    <s v=""/>
    <s v=""/>
    <s v="нет"/>
  </r>
  <r>
    <s v="Газпромнефть-ГЕО, ООО"/>
    <s v="0000085847"/>
    <s v="Закрыт"/>
    <d v="2022-11-15T00:00:00"/>
    <s v=""/>
    <x v="417"/>
    <s v="7708701831"/>
    <s v=""/>
    <s v="ГЕО-22/01200/00298/Р"/>
    <s v="ГЕО-22/01200/00298/Р"/>
    <s v="Типовой ДД"/>
    <x v="2"/>
    <s v="01200 Договор на поставку детских новогодних подарков для детей работников ООО &quot;ГПН-ГЕО&quot;"/>
    <s v="00968-22"/>
    <s v=""/>
    <s v="01200 Договор на поставку детских новогодних подарков для детей работников ООО &quot;ГПН-ГЕО&quot;"/>
    <s v="Поставка детских новогодних подарков для детей сотрудников "/>
    <s v="Савельева И.И."/>
    <s v="Савельева И.И."/>
    <s v="Договорный документ"/>
    <s v="Отдел административной поддержки бизнеса"/>
    <s v="Буракова О.В."/>
    <s v="На бумажном носителе"/>
    <s v="До исполнения обязательств"/>
    <d v="2022-11-15T00:00:00"/>
    <s v=""/>
    <s v="Д-46"/>
    <s v="Договор поставки/купли продажи движимого имущества"/>
    <s v="Расходная часть"/>
    <s v="Стоимостной"/>
    <s v="20%"/>
    <s v=""/>
    <s v=""/>
    <s v="641 520.00"/>
    <s v="534 600.00"/>
    <s v="106 920.00"/>
    <s v="нет"/>
    <s v="нет"/>
    <s v=""/>
    <s v=""/>
    <s v=""/>
    <s v=""/>
    <s v="нет"/>
  </r>
  <r>
    <s v="Газпромнефть-ГЕО, ООО"/>
    <s v="0000086733"/>
    <s v="Зарегистрирован"/>
    <d v="2021-12-29T00:00:00"/>
    <s v=""/>
    <x v="164"/>
    <s v="7203336545"/>
    <s v="ГЕО-20/10940/00117/Р "/>
    <s v=""/>
    <s v="5"/>
    <s v="Нетиповой ДД"/>
    <x v="3"/>
    <s v=""/>
    <s v="00969-21"/>
    <s v=""/>
    <s v="Заказ № 5"/>
    <s v="Супервайзерские услуги при осуществлении деятельности по утилизации отходов и (при необходимости) рекультивации земель, занятых под шламовые амбары/шламонакопители в Сибирском федеральном округе (Красноярский край, Лескинский ЛУ)."/>
    <s v="Липатова О.И."/>
    <s v=""/>
    <s v="Договорный документ"/>
    <s v="Отдел экологической безопасности"/>
    <s v="Власов М.М."/>
    <s v="На бумажном носителе"/>
    <s v="С ограничением по срокам "/>
    <d v="2022-01-01T00:00:00"/>
    <d v="2022-02-28T00:00:00"/>
    <s v="Д-30"/>
    <s v="Договор возмездного оказания услуг"/>
    <s v="Расходная часть"/>
    <s v="Стоимостной"/>
    <s v="без НДС"/>
    <s v=""/>
    <s v=""/>
    <s v="588 380.33"/>
    <s v="588 380.33"/>
    <n v="0"/>
    <s v="нет"/>
    <s v="нет"/>
    <s v=""/>
    <s v=""/>
    <s v=""/>
    <s v=""/>
    <s v="нет"/>
  </r>
  <r>
    <s v="Газпромнефть-ГЕО, ООО"/>
    <s v="0000048878"/>
    <s v="Зарегистрирован"/>
    <d v="2022-11-08T00:00:00"/>
    <s v=""/>
    <x v="29"/>
    <s v="1645019164"/>
    <s v="ГЕО-22/10000/00271/Р"/>
    <s v=""/>
    <s v="1"/>
    <s v="Нетиповой ДД"/>
    <x v="0"/>
    <s v=""/>
    <s v="00969-22"/>
    <s v=""/>
    <s v="ДС-1 к Договору № ГЕО-22/10000/00271/Р от 10.10.2022 на проведение полевых сейсморазведочных работ МОГТ 3D по заказу ООО &quot;ГПН-ГЕО&quot; на 2022-2026 гг. на включение условий банковского сопровождения"/>
    <s v="включение условий банковского сопровождения"/>
    <s v="Ахматгалиев С.З."/>
    <s v=""/>
    <s v="Договорный документ"/>
    <s v="Блок геологии и разработки"/>
    <s v="Аксенов М.А."/>
    <s v="ЭП"/>
    <s v="С ограничением по срокам "/>
    <d v="2022-11-08T00:00:00"/>
    <d v="2026-12-31T00:00:00"/>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Рамочный"/>
    <s v=""/>
    <s v=""/>
    <s v=""/>
    <s v=""/>
    <s v=""/>
    <s v=""/>
    <s v="нет"/>
    <s v="нет"/>
    <s v=""/>
    <s v=""/>
    <s v=""/>
    <s v=""/>
    <s v="нет"/>
  </r>
  <r>
    <s v="Газпромнефть-ГЕО, ООО"/>
    <s v="0000027645"/>
    <s v="Зарегистрирован"/>
    <m/>
    <m/>
    <x v="80"/>
    <s v="5501072608"/>
    <s v=""/>
    <s v="ГЕО-21/10000/00302/Р"/>
    <s v="ГЕО-21/10000/00302/Р"/>
    <s v="Нетиповой ДД"/>
    <x v="2"/>
    <s v=""/>
    <s v="00970-21"/>
    <s v=""/>
    <s v="Договор на оказание услуг складской и транспортной логистики (Проект Титан)"/>
    <s v="Оказание услуг СТЛ на проекте Титан"/>
    <s v="Долгов Д.Г."/>
    <s v="Долгов Д.Г."/>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22 401 735.00"/>
    <s v="268 668 112.50"/>
    <s v="53 733 622.50"/>
    <s v="нет"/>
    <s v="нет"/>
    <s v=""/>
    <s v=""/>
    <s v=""/>
    <s v=""/>
    <s v="нет"/>
  </r>
  <r>
    <s v="Газпромнефть-ГЕО, ООО"/>
    <s v="0000086565"/>
    <s v="Зарегистрирован"/>
    <m/>
    <m/>
    <x v="106"/>
    <s v="0278127289"/>
    <s v="ГЕО-21/101108/00193/Р "/>
    <s v=""/>
    <s v="2"/>
    <s v="Нетиповой ДД"/>
    <x v="3"/>
    <s v=""/>
    <s v="00970-22"/>
    <s v=""/>
    <s v="ЗАКАЗ №2 к Договору № ГЕО-21/101108/00193/Р от «16» августа 2021 г."/>
    <s v="Проведение комплекса лабораторных исследований проб пластовых флюидов, направленного на изучение процессов образования АСПО в пластовых условиях"/>
    <s v="Лобанов А.А."/>
    <s v="Лобанов А.А."/>
    <s v="Договорный документ"/>
    <s v="Управление по геологии"/>
    <s v="Аксенов М.А."/>
    <s v="На бумажном носителе"/>
    <s v="С ограничением по срокам "/>
    <m/>
    <m/>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2 269 179.43"/>
    <s v="1 890 982.86"/>
    <s v="378 196.57"/>
    <s v="нет"/>
    <s v="нет"/>
    <s v=""/>
    <s v=""/>
    <s v=""/>
    <s v=""/>
    <s v="нет"/>
  </r>
  <r>
    <s v="Газпромнефть-ГЕО, ООО"/>
    <s v=""/>
    <s v="Зарегистрирован"/>
    <m/>
    <m/>
    <x v="483"/>
    <s v=""/>
    <s v=""/>
    <s v="ГЕО-22/10968/00008/Р"/>
    <s v="ГЕО-22/10968/00008/Р"/>
    <s v="Типовой ДД"/>
    <x v="2"/>
    <s v="10968 Мастер форма по услуге   «Обращение с отходами производства и потребления»"/>
    <s v="00971-21"/>
    <s v=""/>
    <s v="10968 Мастер форма по услуге   «Обращение с отходами производства и потребления»"/>
    <s v="оказание услуг по обращению с отходами производства и потребления по проекту &quot;Южный Оренбург&quot;"/>
    <s v="Рябикина М.А."/>
    <s v="Бабаев Д.Г."/>
    <s v="Договорный документ"/>
    <s v="Блок главного инженера"/>
    <s v="Перфильев Д.А."/>
    <s v="На бумажном носителе"/>
    <s v="С ограничением по срокам "/>
    <m/>
    <m/>
    <s v=""/>
    <s v="Вывоз, транспортировка и размещение отходов производственной деятельности"/>
    <s v="Расходная часть"/>
    <s v="Тарифный"/>
    <s v="20%"/>
    <s v=""/>
    <s v="19165787.25"/>
    <s v="462 310 921.79"/>
    <s v="385 259 101.49"/>
    <s v="77 051 820.30"/>
    <s v="да"/>
    <s v="нет"/>
    <s v=""/>
    <s v=""/>
    <s v=""/>
    <s v=""/>
    <s v="нет"/>
  </r>
  <r>
    <s v="Газпромнефть-ГЕО, ООО"/>
    <s v="0000102205"/>
    <s v="Зарегистрирован"/>
    <m/>
    <m/>
    <x v="14"/>
    <s v="9715287189"/>
    <s v="ГЕО-22/11000/00012/Р"/>
    <s v=""/>
    <s v="6"/>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71-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на исполнение требований  «Временного регламента по обращению с металлической бочкотарой на объектах ДО БРД  ПАО «Газпром нефть». "/>
    <s v="Калугина С.Б."/>
    <s v="Галлямов Р.Ю."/>
    <s v="Договорный документ"/>
    <s v="Департамент капитального строительства"/>
    <s v="Трифонов А.В."/>
    <s v="ЭП"/>
    <s v="Без сроков "/>
    <m/>
    <m/>
    <s v="Д-33"/>
    <s v="Капитальное строительство и ПИР"/>
    <s v="Не предполагает взаиморасчетов"/>
    <s v="Стоимостной"/>
    <s v=""/>
    <s v=""/>
    <s v=""/>
    <s v=""/>
    <s v=""/>
    <s v=""/>
    <s v="нет"/>
    <s v="нет"/>
    <s v=""/>
    <s v=""/>
    <s v=""/>
    <s v=""/>
    <s v="нет"/>
  </r>
  <r>
    <s v="Газпромнефть-ГЕО, ООО"/>
    <s v=""/>
    <s v="Зарегистрирован"/>
    <m/>
    <m/>
    <x v="119"/>
    <s v=""/>
    <s v=""/>
    <s v="ГЕО-22/33100/00007"/>
    <s v="ГЕО-22/33100/00007"/>
    <s v="Типовой ДД"/>
    <x v="1"/>
    <s v="33100 Соглашение в области производственной безопасности"/>
    <s v="00972-21"/>
    <s v=""/>
    <s v="33100 Соглашение в области производственной безопасности"/>
    <s v="согласно требований Приказа № 122-П от 30.07.2021г."/>
    <s v="Рябикина М.А."/>
    <s v="Бабаев Дмитрий Георгиевич -начальник отдела строительного контроля и технического надзора инженерных изысканий"/>
    <s v="Договорный документ"/>
    <s v="Блок производственной безопасности"/>
    <s v="Власов М.М."/>
    <s v="На бумажном носителе"/>
    <s v="Без сроков "/>
    <m/>
    <m/>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1739"/>
    <s v="Зарегистрирован"/>
    <m/>
    <m/>
    <x v="13"/>
    <s v="7710497816"/>
    <s v="ГЕО-22/09000/00014/Р"/>
    <s v=""/>
    <s v="2"/>
    <s v="Типовой ДД"/>
    <x v="0"/>
    <s v="00000 ДС на изменение реквизитов контрагента (адрес, счет)"/>
    <s v="00972-22"/>
    <s v=""/>
    <s v="00000 ДС на изменение реквизитов контрагента (адрес, счет)"/>
    <s v="Изменение реквизитов контрагента"/>
    <s v="Мячина М.В."/>
    <s v="Мячина М.В."/>
    <s v="Договорный документ"/>
    <s v="Отдел подготовительных работ и экономического анализа"/>
    <s v="Трифонов А.В."/>
    <s v="На бумажном носителе"/>
    <s v="С ограничением по срокам "/>
    <m/>
    <m/>
    <s v="Д-33"/>
    <s v="Договор возмездного оказания услуг"/>
    <s v="Не предполагает взаиморасчетов"/>
    <s v="Стоимостной"/>
    <s v=""/>
    <s v=""/>
    <s v=""/>
    <s v=""/>
    <s v=""/>
    <s v=""/>
    <s v="нет"/>
    <s v="нет"/>
    <s v=""/>
    <s v=""/>
    <s v=""/>
    <s v=""/>
    <s v="нет"/>
  </r>
  <r>
    <s v="Газпромнефть-ГЕО, ООО"/>
    <s v=""/>
    <s v="Зарегистрирован"/>
    <m/>
    <m/>
    <x v="484"/>
    <s v=""/>
    <s v=""/>
    <s v="ГЕО-22/11029/00004/Р"/>
    <s v="ГЕО-22/11029/00004/Р"/>
    <s v="Типовой ДД"/>
    <x v="2"/>
    <s v="11029  Мастер форма договора-подряда на выполнение строительно-монтажных работ (СМР) Объектов инженерной подготовки и дорог месторождений нефти и газа (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одов"/>
    <s v="00973-21"/>
    <s v=""/>
    <s v="11029  Мастер форма договора-подряда на выполнение строительно-монтажных работ (СМР) Объектов инженерной подготовки и дорог месторождений нефти и газа (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одов"/>
    <s v="СМР объектов инженерной подготовки и дорог месторождений нефти и газа по проекту «Титан»"/>
    <s v="Макаринский Е.Ю."/>
    <s v="Галлямов Р.Ю."/>
    <s v="Договорный документ"/>
    <s v="Блок главного инженера"/>
    <s v="Перфильев Д.А."/>
    <s v="На бумажном носителе"/>
    <s v="До исполнения обязательств"/>
    <m/>
    <m/>
    <s v="Д-61"/>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Стоимостной"/>
    <s v="20%"/>
    <s v=""/>
    <s v=""/>
    <s v="502 005 415.20"/>
    <s v="418 337 846.00"/>
    <s v="83 667 569.20"/>
    <s v="нет"/>
    <s v="нет"/>
    <s v=""/>
    <s v=""/>
    <s v=""/>
    <s v=""/>
    <s v="нет"/>
  </r>
  <r>
    <s v="Газпромнефть-ГЕО, ООО"/>
    <s v="0000052955"/>
    <s v="Зарегистрирован"/>
    <m/>
    <m/>
    <x v="127"/>
    <s v="8602068466"/>
    <s v="ГЕО-21/11031/00040/Р "/>
    <s v=""/>
    <s v="7"/>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73-22"/>
    <s v=""/>
    <s v=" Дополнительное соглашение №7 о включении в договор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Дополнить Договор «Временным регламентом по обращению с металлической бочкотарой на объектах ДО БРД ПАО «Газпром нефть»"/>
    <s v="Крутова Е.С."/>
    <s v="Кукленков М.А."/>
    <s v="Договорный документ"/>
    <s v="Департамент капитального строительства"/>
    <s v="Трифонов А.В."/>
    <s v="На бумажном носителе"/>
    <s v="Без сроков "/>
    <m/>
    <m/>
    <s v="Д-33"/>
    <s v="Капитальное строительство и ПИР"/>
    <s v="Не предполагает взаиморасчетов"/>
    <s v=""/>
    <s v=""/>
    <s v=""/>
    <s v=""/>
    <s v=""/>
    <s v=""/>
    <s v=""/>
    <s v="нет"/>
    <s v="нет"/>
    <s v=""/>
    <s v=""/>
    <s v=""/>
    <s v=""/>
    <s v="нет"/>
  </r>
  <r>
    <s v="Газпромнефть-ГЕО, ООО"/>
    <s v="0000043624"/>
    <s v="Зарегистрирован"/>
    <m/>
    <m/>
    <x v="222"/>
    <s v="7728632093"/>
    <s v=""/>
    <s v="ГЕО-22/09000/00010/Р"/>
    <s v="ГЕО-22/09000/00010/Р"/>
    <s v="Нетиповой ДД"/>
    <x v="2"/>
    <s v=""/>
    <s v="00974-21"/>
    <s v=""/>
    <s v="Договор об оказании кончультационных услуг с ООО «ГПН-Нефтесервис»"/>
    <s v="Развитие авиационного обеспечения и безопасности полетов"/>
    <s v="Титова Е.В."/>
    <s v="Бабиков Н.В."/>
    <s v="Договорный документ"/>
    <s v="Блок снабжения и закупок"/>
    <s v="Титов А.В."/>
    <s v="На бумажном носителе"/>
    <s v="С ограничением по срокам "/>
    <m/>
    <m/>
    <s v="Д-56"/>
    <s v="Договор возмездного оказания услуг"/>
    <s v="Расходная часть"/>
    <s v="Стоимостной"/>
    <s v="20%"/>
    <s v=""/>
    <s v=""/>
    <s v="3 081 834.00"/>
    <s v="2 568 195.00"/>
    <s v="513 639.00"/>
    <s v="нет"/>
    <s v="нет"/>
    <s v=""/>
    <s v=""/>
    <s v=""/>
    <s v=""/>
    <s v="нет"/>
  </r>
  <r>
    <s v="Газпромнефть-ГЕО, ООО"/>
    <s v="0000052955"/>
    <s v="Зарегистрирован"/>
    <m/>
    <m/>
    <x v="127"/>
    <s v="8602068466"/>
    <s v="ГЕО-21/11031/00040/Р "/>
    <s v=""/>
    <s v="8"/>
    <s v="Типовой ДД"/>
    <x v="0"/>
    <s v="00000 ДС на изменение реквизитов контрагента (адрес, счет)"/>
    <s v="00974-22"/>
    <s v=""/>
    <s v="00000 ДС№8 на изменение реквизитов контрагента (адрес, счет)"/>
    <s v="Изменение реквизитов &quot;Исполнителя&quot;"/>
    <s v="Крутова Е.С."/>
    <s v="Кукленков М.А."/>
    <s v="Договорный документ"/>
    <s v="Департамент капитального строительства"/>
    <s v="Трифонов А.В."/>
    <s v="На бумажном носителе"/>
    <s v="До исполнения обязательств"/>
    <m/>
    <m/>
    <s v="Д-33"/>
    <s v="Капитальное строительство и ПИР"/>
    <s v="Не предполагает взаиморасчетов"/>
    <s v=""/>
    <s v=""/>
    <s v=""/>
    <s v=""/>
    <s v=""/>
    <s v=""/>
    <s v=""/>
    <s v="нет"/>
    <s v="нет"/>
    <s v=""/>
    <s v=""/>
    <s v=""/>
    <s v=""/>
    <s v="нет"/>
  </r>
  <r>
    <s v="Газпромнефть-ГЕО, ООО"/>
    <s v="0000067167"/>
    <s v="Зарегистрирован"/>
    <m/>
    <m/>
    <x v="145"/>
    <s v="7719520026"/>
    <s v="№ ГЕО-20/11014/00070/Р "/>
    <s v=""/>
    <s v="1"/>
    <s v="Нетиповой ДД"/>
    <x v="0"/>
    <s v=""/>
    <s v="00975-21"/>
    <s v=""/>
    <s v="ДОПОЛНИТЕЛЬНОЕ СОГЛАШЕНИЕ №1"/>
    <s v="Перераспределением объёмов работ из негарантированного в гарантированный объём:_x000d__x000a_1. Продление срока действия Договора до 31.12.2025 г; _x000d__x000a_2. Перераспределение объема работ из гарантированного объёма в негарантированный объём, в том числе между годами; _x000d__x000a_3. Замена приложения «Перечень нарушений и штрафных санкций в области ПБ»; _x000d__x000a_4. Замена приложения «Соглашение в области ПБ»; "/>
    <s v="Калугина С.Б."/>
    <s v="Бабаев Д.Г."/>
    <s v="Договорный документ"/>
    <s v="Департамент капитального строительства"/>
    <s v="Перфильев Д.А."/>
    <s v="На бумажном носителе"/>
    <s v="С ограничением по срокам "/>
    <m/>
    <m/>
    <s v="Д-22"/>
    <s v="Капитальное строительство и ПИР"/>
    <s v="Расходная часть"/>
    <s v="Стоимостной"/>
    <s v="20%"/>
    <s v=""/>
    <s v=""/>
    <s v="61 357 768.80"/>
    <s v="51 131 474.00"/>
    <s v="10 226 294.80"/>
    <s v="нет"/>
    <s v="нет"/>
    <s v=""/>
    <s v=""/>
    <s v=""/>
    <s v=""/>
    <s v="нет"/>
  </r>
  <r>
    <s v="Газпромнефть-ГЕО, ООО"/>
    <s v="0000073305"/>
    <s v="Зарегистрирован"/>
    <m/>
    <m/>
    <x v="64"/>
    <s v="8904080406"/>
    <s v="ГЕО-21/11031/00101/Р "/>
    <s v=""/>
    <s v="5"/>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75-22"/>
    <s v=""/>
    <s v=" Дополнительное соглашение №5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Дополнить Договор «Временным регламентом по обращению с металлической бочкотарой на объектах ДО БРД ПАО «Газпром нефть»"/>
    <s v="Крутова Е.С."/>
    <s v="Кукленков М.А."/>
    <s v="Договорный документ"/>
    <s v="Департамент капитального строительства"/>
    <s v="Перфильев Д.А."/>
    <s v="ЭП"/>
    <s v="Без сроков "/>
    <m/>
    <m/>
    <s v="Д-61"/>
    <s v="Капитальное строительство и ПИР"/>
    <s v="Не предполагает взаиморасчетов"/>
    <s v=""/>
    <s v=""/>
    <s v=""/>
    <s v=""/>
    <s v=""/>
    <s v=""/>
    <s v=""/>
    <s v="нет"/>
    <s v="нет"/>
    <s v=""/>
    <s v=""/>
    <s v=""/>
    <s v=""/>
    <s v="нет"/>
  </r>
  <r>
    <s v="Газпромнефть-ГЕО, ООО"/>
    <s v="0000069013"/>
    <s v="Зарегистрирован"/>
    <m/>
    <m/>
    <x v="114"/>
    <s v="7203218005"/>
    <s v="ГЕО-21/10924/00124/Р"/>
    <s v=""/>
    <s v="4"/>
    <s v="Нетиповой ДД"/>
    <x v="0"/>
    <s v=""/>
    <s v="00976-22"/>
    <s v=""/>
    <s v="Дополнительное соглашение №4  к Договору №ГЕО-21/10924/00124/Р от 12.05.2021 г. на оказание услуг Экологического мониторинга месторождений"/>
    <s v="1. Частичный первод негарантированного объема услуг в гарантированный по Уральскому ФО_x000d__x000a_2. Включение В ДД условий применения усиленной квалифицированной электронной подписи на основании приказа ООО &quot;ГПН-ГЕО&quot; от 05.04.2022 № 22-П"/>
    <s v="Липатова О.И."/>
    <s v="Липатова О.И."/>
    <s v="Договорный документ"/>
    <s v="Отдел экологической безопасности"/>
    <s v="Власов М.М."/>
    <s v="На бумажном носителе"/>
    <s v="С ограничением по срокам "/>
    <m/>
    <m/>
    <s v="Д-59"/>
    <s v="Договор возмездного оказания услуг"/>
    <s v="Расходная часть"/>
    <s v="Стоимостной"/>
    <s v="без НДС"/>
    <s v=""/>
    <s v=""/>
    <s v="171 210.37"/>
    <s v="171 210.37"/>
    <n v="0"/>
    <s v="нет"/>
    <s v="нет"/>
    <s v=""/>
    <s v=""/>
    <s v=""/>
    <s v=""/>
    <s v="нет"/>
  </r>
  <r>
    <s v="Газпромнефть-ГЕО, ООО"/>
    <s v="0000069013"/>
    <s v="Зарегистрирован"/>
    <m/>
    <m/>
    <x v="114"/>
    <s v="7203218005"/>
    <s v="ГЕО-21/10924/00124/Р "/>
    <s v=""/>
    <s v="Наряд-Заказ №3"/>
    <s v="Нетиповой ДД"/>
    <x v="3"/>
    <s v=""/>
    <s v="00977-22"/>
    <s v=""/>
    <s v="Наряд-Заказ №3 к ДОГОВОРУ № ГЕО-21/10924/00124/Р от 12.05.2021 г. на выполнение работ по экологическому мониторингу месторождений "/>
    <s v="Выполнение работ по экологическому мониторингу месторождений "/>
    <s v="Липатова О.И."/>
    <s v=""/>
    <s v="Договорный документ"/>
    <s v="Отдел экологической безопасности"/>
    <s v="Ядрышников П.Н."/>
    <s v="ЭП"/>
    <s v="С ограничением по срокам "/>
    <m/>
    <m/>
    <s v=""/>
    <s v="Договор возмездного оказания услуг"/>
    <s v="Расходная часть"/>
    <s v="Стоимостной"/>
    <s v="без НДС"/>
    <s v=""/>
    <s v=""/>
    <s v="171 210.37"/>
    <s v="171 210.37"/>
    <n v="0"/>
    <s v="нет"/>
    <s v="нет"/>
    <s v=""/>
    <s v=""/>
    <s v=""/>
    <s v=""/>
    <s v="нет"/>
  </r>
  <r>
    <s v="Газпромнефть-ГЕО, ООО"/>
    <s v="0000025354"/>
    <s v="Зарегистрирован"/>
    <m/>
    <m/>
    <x v="111"/>
    <s v="5003026493"/>
    <s v="ГЕО-21/07000/00283/Р"/>
    <s v=""/>
    <s v="3"/>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78-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ременный регламент по обращению с металлической бочкотарой на объектах ДО БРД ПАО «Газпром нефть»_x000d__x000a_Утвержден: протоколом ЗЗК по ПБ БРД_x000d__x000a_№ ПТ-100.0170/000005/01 от 02.08.2022_x000d__x000a_"/>
    <s v="Автеньев М.В."/>
    <s v="Автеньев М.В."/>
    <s v="Договорный документ"/>
    <s v="Блок снабжения и закупок"/>
    <s v="Трифонов А.В."/>
    <s v="ЭП"/>
    <s v="Без сроков "/>
    <m/>
    <m/>
    <s v="Д-33"/>
    <s v="Договор подряда"/>
    <s v="Не предполагает взаиморасчетов"/>
    <s v="Рамочный"/>
    <s v=""/>
    <s v=""/>
    <s v=""/>
    <s v=""/>
    <s v=""/>
    <s v=""/>
    <s v="нет"/>
    <s v="нет"/>
    <s v=""/>
    <s v=""/>
    <s v=""/>
    <s v=""/>
    <s v="нет"/>
  </r>
  <r>
    <s v="Газпромнефть-ГЕО, ООО"/>
    <s v="0000067167"/>
    <s v="Зарегистрирован"/>
    <m/>
    <m/>
    <x v="145"/>
    <s v="7719520026"/>
    <s v="№ГЕО-20/11014/00070/Р"/>
    <s v=""/>
    <s v="6"/>
    <s v="Нетиповой ДД"/>
    <x v="3"/>
    <s v=""/>
    <s v="00979-22"/>
    <s v=""/>
    <s v="Н-З №6 к  Договору №ГЕО-20/11014/00070/Р от 06.05. 2021 года"/>
    <s v="Заключения Наряд-заказа №6 по договору № ГЕО-20/11014/00070/Р от 06.05.2020 г. с ООО «Техно-Сервис»"/>
    <s v="Калугина С.Б."/>
    <s v="Бабаев Д.Г."/>
    <s v="Договорный документ"/>
    <s v="Департамент капитального строительства"/>
    <s v="Перфильев Д.А."/>
    <s v="ЭП"/>
    <s v="До исполнения обязательств"/>
    <m/>
    <m/>
    <s v="Д-61"/>
    <s v="Капитальное строительство и ПИР"/>
    <s v="Расходная часть"/>
    <s v="Стоимостной"/>
    <s v="20%"/>
    <s v=""/>
    <s v=""/>
    <s v="5 788 430.69"/>
    <s v="4 823 692.24"/>
    <s v="964 738.45"/>
    <s v="нет"/>
    <s v="нет"/>
    <s v=""/>
    <s v=""/>
    <s v=""/>
    <s v=""/>
    <s v="нет"/>
  </r>
  <r>
    <s v="Газпромнефть-ГЕО, ООО"/>
    <s v="0000067167"/>
    <s v="Зарегистрирован"/>
    <m/>
    <m/>
    <x v="145"/>
    <s v="7719520026"/>
    <s v="№ГЕО-20/11014/00070/Р"/>
    <s v=""/>
    <s v="7"/>
    <s v="Нетиповой ДД"/>
    <x v="3"/>
    <s v=""/>
    <s v="00980-22"/>
    <s v=""/>
    <s v="Н-З №7 к  Договору №ГЕО-20/11014/00070/Р от 06.05. 2021 года"/>
    <s v="Заключения Наряд-заказа №7 по договору № ГЕО-20/11014/00070/Р от 06.05.2020 г. с ООО «Техно-Сервис»"/>
    <s v="Калугина С.Б."/>
    <s v="Бабаев Д.Г."/>
    <s v="Договорный документ"/>
    <s v="Департамент капитального строительства"/>
    <s v="Перфильев Д.А."/>
    <s v="ЭП"/>
    <s v="С ограничением по срокам "/>
    <m/>
    <m/>
    <s v="Д-61"/>
    <s v="Капитальное строительство и ПИР"/>
    <s v="Расходная часть"/>
    <s v="Стоимостной"/>
    <s v="20%"/>
    <s v=""/>
    <s v=""/>
    <s v="3 061 139.32"/>
    <s v="2 550 949.43"/>
    <s v="510 189.89"/>
    <s v="нет"/>
    <s v="нет"/>
    <s v=""/>
    <s v=""/>
    <s v=""/>
    <s v=""/>
    <s v="нет"/>
  </r>
  <r>
    <s v="Газпромнефть-ГЕО, ООО"/>
    <s v="0000105643"/>
    <s v="Зарегистрирован"/>
    <m/>
    <m/>
    <x v="25"/>
    <s v="7717693190"/>
    <s v="ГЕО-22/10120/00208/Р"/>
    <s v=""/>
    <s v="1"/>
    <s v="Нетиповой ДД"/>
    <x v="0"/>
    <s v=""/>
    <s v="00981-22"/>
    <s v=""/>
    <s v="ДС №1 к Договору №ГЕО-22/10120/00208/Р от 18.08.2022 г. с ООО «НТЦ «ГЕОМЕХАНИКА»"/>
    <s v="Изменение условий договора без увеличения стоимости договора"/>
    <s v="Ушакова М.А."/>
    <s v=""/>
    <s v="Договорный документ"/>
    <s v="Блок геологии и разработки"/>
    <s v="Агеев П.А."/>
    <s v="ЭП"/>
    <s v="С ограничением по срокам "/>
    <m/>
    <m/>
    <s v="Д-52"/>
    <s v="Гидродинамические исследования"/>
    <s v="Не предполагает взаиморасчетов"/>
    <s v="Стоимостной"/>
    <s v=""/>
    <s v=""/>
    <s v=""/>
    <s v=""/>
    <s v=""/>
    <s v=""/>
    <s v="нет"/>
    <s v="нет"/>
    <s v=""/>
    <s v=""/>
    <s v=""/>
    <s v=""/>
    <s v="нет"/>
  </r>
  <r>
    <s v="Газпромнефть-ГЕО, ООО"/>
    <s v="0000067167"/>
    <s v="Зарегистрирован"/>
    <m/>
    <m/>
    <x v="145"/>
    <s v="7719520026"/>
    <s v=""/>
    <s v="ГЕО-22/33100/00299"/>
    <s v="ГЕО-22/33100/00299"/>
    <s v="Типовой ДД"/>
    <x v="1"/>
    <s v="33100 Соглашение в области производственной безопасности"/>
    <s v="00983-22"/>
    <s v=""/>
    <s v="33100 Соглашение в области производственной безопасности"/>
    <s v="на исполнение требований и обязательства Подрядчика в области ПБ  ПАО «Газпром нефть». "/>
    <s v="Калугина С.Б."/>
    <s v="Бабаев Д.Г."/>
    <s v="Договорный документ"/>
    <s v="Департамент капитального строительства"/>
    <s v="Трифонов А.В."/>
    <s v="ЭП"/>
    <s v="Без сроков "/>
    <m/>
    <m/>
    <s v="Д-33"/>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
    <s v="Закрыт"/>
    <m/>
    <m/>
    <x v="479"/>
    <s v=""/>
    <s v=""/>
    <s v="ГЕО-22/26000/00332"/>
    <s v="ГЕО-22/26000/00332"/>
    <s v="Типовой ДД"/>
    <x v="1"/>
    <s v="26000 Договор о конфиденциальности с физическим лицом"/>
    <s v="00984-22"/>
    <s v=""/>
    <s v="26000 Договор о конфиденциальности с физическим лицом"/>
    <s v="Предметом настоящего Договора являются обязательства Исполнителя, оказывающего Обществу услуги на основании договора ГЕО-22/25000/00293/Р от 01.11.2022, по неразглашению информации, составляющей коммерческую тайну и иной конфиденциальной информации (далее – Конфиденциальная информация) Общества и его контрагентов."/>
    <s v="Кайгородцева Е.В."/>
    <s v="Кайгородцева Е.В."/>
    <s v="Договорный документ"/>
    <s v="Управление инвестиционного планирования"/>
    <s v="Созинов С.А."/>
    <s v="На бумажном носителе"/>
    <s v="С ограничением по срокам "/>
    <m/>
    <m/>
    <s v="Д-60"/>
    <s v="Соглашение о конфиденциальности"/>
    <s v="Не предполагает взаиморасчетов"/>
    <s v=""/>
    <s v=""/>
    <s v=""/>
    <s v=""/>
    <s v=""/>
    <s v=""/>
    <s v=""/>
    <s v="нет"/>
    <s v="нет"/>
    <s v=""/>
    <s v=""/>
    <s v=""/>
    <s v=""/>
    <s v="нет"/>
  </r>
  <r>
    <s v="Газпромнефть-ГЕО, ООО"/>
    <s v="97735"/>
    <s v="Зарегистрирован"/>
    <m/>
    <m/>
    <x v="485"/>
    <s v="8901039921"/>
    <s v=""/>
    <s v="ГЕО-22/40000/00309/Р"/>
    <s v="ГЕО-22/40000/00309/Р"/>
    <s v="Нетиповой ДД"/>
    <x v="1"/>
    <s v=""/>
    <s v="00985-22"/>
    <s v=""/>
    <s v="Cоглашение об установлении сервитута"/>
    <s v="установление сервитута на часть земельного участка скадастровыми номерами: 89:03:020715:139, 89:03:020715:140, 89:03:020715:141, 89:03:020715:142, 89:03:020804:367 на общую площадь 19 109 кв.м., для объекта «Обустройство поисково-оценочной скважины №72 Хамбатейского лицензионного участка»"/>
    <s v="Расулов И.Ф."/>
    <s v="Расулов И.Ф."/>
    <s v="Договорный документ"/>
    <s v="Управление маркшейдерско-землеустроительных работ"/>
    <s v="Трифонов А.В."/>
    <s v="ЭП"/>
    <s v="С ограничением по срокам "/>
    <m/>
    <m/>
    <s v="Д-33"/>
    <s v="Соглашение о сервитуте"/>
    <s v="Расходная часть"/>
    <s v="Стоимостной"/>
    <s v="0%"/>
    <s v=""/>
    <s v=""/>
    <s v="68 466.06"/>
    <s v="68 466.06"/>
    <n v="0"/>
    <s v="нет"/>
    <s v="нет"/>
    <s v=""/>
    <s v=""/>
    <s v=""/>
    <s v=""/>
    <s v="нет"/>
  </r>
  <r>
    <s v="Газпромнефть-ГЕО, ООО"/>
    <s v="0000094457"/>
    <s v="Закрыт"/>
    <m/>
    <m/>
    <x v="486"/>
    <s v="2470000362"/>
    <s v=""/>
    <s v="ГЕО-22/33000/00303/Р"/>
    <s v="ГЕО-22/33000/00303/Р"/>
    <s v="Нетиповой ДД"/>
    <x v="1"/>
    <s v=""/>
    <s v="00987-22"/>
    <s v=""/>
    <s v="Соглашение о компенсации убытков"/>
    <s v="Компенсировать землепользователю СРОКМНС «Кунноир» (Взывающий) убытки понесенные в результате строительства и эксплуатации объекта: &quot;Строительство поисково-оценочной скважины Сал-3П и подъездной дороги к ней&quot;"/>
    <s v="Горев М.А."/>
    <s v="Горев М.А."/>
    <s v="Договорный документ"/>
    <s v="Управление маркшейдерско-землеустроительных работ"/>
    <s v="Трифонов А.В."/>
    <s v="На бумажном носителе"/>
    <s v="До исполнения обязательств"/>
    <m/>
    <m/>
    <s v="Д-33"/>
    <s v="Соглашение участников хозяйственных обществ (юридических лиц)"/>
    <s v="Расходная часть"/>
    <s v="Стоимостной"/>
    <s v="без НДС"/>
    <s v=""/>
    <s v=""/>
    <s v="1 230 195.00"/>
    <s v="1 230 195.00"/>
    <n v="0"/>
    <s v="нет"/>
    <s v="нет"/>
    <s v=""/>
    <s v=""/>
    <s v=""/>
    <s v=""/>
    <s v="нет"/>
  </r>
  <r>
    <s v="Газпромнефть-ГЕО, ООО"/>
    <s v="0000080408"/>
    <s v="Зарегистрирован"/>
    <m/>
    <m/>
    <x v="104"/>
    <s v="3812043780"/>
    <s v="ГЕО-22/11029/00171/Р"/>
    <s v=""/>
    <s v="3"/>
    <s v="Нетиповой ДД"/>
    <x v="0"/>
    <s v=""/>
    <s v="00988-22"/>
    <s v=""/>
    <s v="ДС№3 ВПТ (Труба)"/>
    <s v="На основании п.2.22 КТ-530 «Изменение, дополнение, расторжение договора, заключенного по результатам закупки»._x000d__x000a_Внесение изменений в Приложение 28.7 «Прейскурант цен МТР и оборудования» в части поставки Заказчика"/>
    <s v="Мормышев А.А."/>
    <s v="Бабаев Д.Г."/>
    <s v="Договорный документ"/>
    <s v="Департамент капитального строительства"/>
    <s v="Трифонов А.В."/>
    <s v="ЭП"/>
    <s v="До исполнения обязательств"/>
    <m/>
    <m/>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Не предполагает взаиморасчетов"/>
    <s v="Рамочный"/>
    <s v=""/>
    <s v=""/>
    <s v=""/>
    <s v=""/>
    <s v=""/>
    <s v=""/>
    <s v="нет"/>
    <s v="нет"/>
    <s v=""/>
    <s v=""/>
    <s v=""/>
    <s v=""/>
    <s v="нет"/>
  </r>
  <r>
    <s v="Газпромнефть-ГЕО, ООО"/>
    <s v="0000085381"/>
    <s v="Зарегистрирован"/>
    <m/>
    <m/>
    <x v="43"/>
    <s v="7813216425"/>
    <s v=""/>
    <s v="ГЕО-22/10000/00313/Р"/>
    <s v="ГЕО-22/10000/00313/Р"/>
    <s v="Нетиповой ДД"/>
    <x v="2"/>
    <s v=""/>
    <s v="00989-22"/>
    <s v=""/>
    <s v="На оказание услуг по техническому обслуживанию инженерно-технических средств охраны"/>
    <s v="Техническое обслуживание ИТСО по Договору "/>
    <s v="Глухарева Ю.Б."/>
    <s v="Глухарева Ю.Б."/>
    <s v="Договорный документ"/>
    <s v="Блок корпоративной защиты"/>
    <s v="Созинов С.А."/>
    <s v="ЭП"/>
    <s v="С ограничением по срокам "/>
    <m/>
    <m/>
    <s v="Д-6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 493 451.08"/>
    <s v="2 077 875.90"/>
    <s v="415 575.18"/>
    <s v="нет"/>
    <s v="нет"/>
    <s v=""/>
    <s v=""/>
    <s v=""/>
    <s v=""/>
    <s v="нет"/>
  </r>
  <r>
    <s v="Газпромнефть-ГЕО, ООО"/>
    <s v="0000039714"/>
    <s v="Зарегистрирован"/>
    <m/>
    <m/>
    <x v="1"/>
    <s v="7734033757"/>
    <s v="ГЕО-21/10114/00257/Р"/>
    <s v=""/>
    <s v="4"/>
    <s v="Нетиповой ДД"/>
    <x v="0"/>
    <s v=""/>
    <s v="00990-22"/>
    <s v=""/>
    <s v="10114 - Супервайзерские услуги полевых работ площадными геофизическими методами;"/>
    <s v="Перевод части негарантированного объёма в гарантированный. "/>
    <s v="Дакиров В.С."/>
    <s v=""/>
    <s v="Договорный документ"/>
    <s v="Управление сейсморазведочных работ"/>
    <s v="Аксенов М.А."/>
    <s v="ЭП"/>
    <s v="До исполнения обязательств"/>
    <m/>
    <m/>
    <s v="Д-54"/>
    <s v="Супервайзерские услуги полевых работ площадными геофизическими методами"/>
    <s v="Расходная часть"/>
    <s v="Стоимостной"/>
    <s v="20%"/>
    <s v=""/>
    <s v="14357729"/>
    <s v="155 119 736.40"/>
    <s v="129 266 447.00"/>
    <s v="25 853 289.40"/>
    <s v="да"/>
    <s v="нет"/>
    <s v=""/>
    <s v=""/>
    <s v=""/>
    <s v=""/>
    <s v="нет"/>
  </r>
  <r>
    <s v="Газпромнефть-ГЕО, ООО"/>
    <s v="0000057789"/>
    <s v="Зарегистрирован"/>
    <m/>
    <m/>
    <x v="186"/>
    <s v="6319065934"/>
    <s v="ГЕО-22/10000/00053/Р"/>
    <s v=""/>
    <s v="3"/>
    <s v="Нетиповой ДД"/>
    <x v="0"/>
    <s v=""/>
    <s v="00991-22"/>
    <s v=""/>
    <s v="замена приложения №21 и добавление приложения №33"/>
    <s v="Актуализация приложений к договору"/>
    <s v="Раковица Д.К."/>
    <s v="Раковица Д.К."/>
    <s v="Договорный документ"/>
    <s v="Отдел подготовительных работ и экономического анализа"/>
    <s v="Трифонов А.В."/>
    <s v="ЭП"/>
    <s v="Без сроков "/>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45671"/>
    <s v="Зарегистрирован"/>
    <m/>
    <m/>
    <x v="71"/>
    <s v="8905039143"/>
    <s v="ГЕО-22/33200/00017"/>
    <s v=""/>
    <s v="1"/>
    <s v="Нетиповой ДД"/>
    <x v="0"/>
    <s v=""/>
    <s v="00992-22"/>
    <s v=""/>
    <s v="Соглашение об использовании электронного документооборота"/>
    <s v="Стороны обмениваются электронными документами через Оператора ЭДО. Каждая из Сторон самостоятельно осуществляет выбор Оператора ЭДО и оплату услуг привлеченного ей Оператора ЭДО. "/>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Без сроков "/>
    <m/>
    <m/>
    <s v="Д-56"/>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8498"/>
    <s v="Зарегистрирован"/>
    <m/>
    <m/>
    <x v="95"/>
    <s v="3023006808"/>
    <s v=""/>
    <s v="ГЕО-22/10000/00312/Р"/>
    <s v="ГЕО-22/10000/00312/Р"/>
    <s v="Нетиповой ДД"/>
    <x v="2"/>
    <s v=""/>
    <s v="00993-22"/>
    <s v=""/>
    <s v="Договор на аренду азотной установки"/>
    <s v="оказание услуг по аренде азотной установки"/>
    <s v="Коваленко М.В."/>
    <s v="Конюх М.В."/>
    <s v="Договорный документ"/>
    <s v="Блок бурения и ВСР"/>
    <s v="Трифонов А.В."/>
    <s v="ЭП"/>
    <s v="С ограничением по срокам "/>
    <m/>
    <m/>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79 338 374.93"/>
    <s v="66 115 312.44"/>
    <s v="13 223 062.49"/>
    <s v="нет"/>
    <s v="нет"/>
    <s v=""/>
    <s v=""/>
    <s v=""/>
    <s v=""/>
    <s v="нет"/>
  </r>
  <r>
    <s v="Газпромнефть-ГЕО, ООО"/>
    <s v="0000039779"/>
    <s v="Зарегистрирован"/>
    <m/>
    <m/>
    <x v="139"/>
    <s v="0277067693"/>
    <s v=""/>
    <s v=""/>
    <s v="2"/>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94-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закрепить приложение №23 «Временный регламент по обращению с металлической бочкотарой на объектах ДО БРД ПАО «Газпром нефть» "/>
    <s v="Раковица Д.К."/>
    <s v="Раковица Д.К."/>
    <s v="Договорный документ"/>
    <s v="Отдел подготовительных работ и экономического анализа"/>
    <s v="Трифонов А.В."/>
    <s v="ЭП"/>
    <s v="Без сроков "/>
    <m/>
    <m/>
    <s v="Д-33"/>
    <s v="Договор возмездного оказания услуг"/>
    <s v="Не предполагает взаиморасчетов"/>
    <s v=""/>
    <s v=""/>
    <s v=""/>
    <s v=""/>
    <s v=""/>
    <s v=""/>
    <s v=""/>
    <s v="нет"/>
    <s v="нет"/>
    <s v=""/>
    <s v=""/>
    <s v=""/>
    <s v=""/>
    <s v="нет"/>
  </r>
  <r>
    <s v="Газпромнефть-ГЕО, ООО"/>
    <s v=""/>
    <s v="Зарегистрирован"/>
    <m/>
    <m/>
    <x v="487"/>
    <s v=""/>
    <s v=""/>
    <s v="ГЕО-22/25000/00302/Р"/>
    <s v="ГЕО-22/25000/00302/Р"/>
    <s v="Типовой ДД"/>
    <x v="2"/>
    <s v="25000 Договор об оказании услуг физическим лицом (без выезда на Лицензионные участки Заказчика)"/>
    <s v="00995-22"/>
    <s v=""/>
    <s v="25000 Договор об оказании услуг физическим лицом (без выезда на Лицензионные участки Заказчика)"/>
    <s v="В целях обеспечения процесса по администрированию действующих договоров на охранные услуги на проектах ООО «ГПН-ГЕО», договоров на техническое обслуживание инженерно-технических средств охраны, оказания консультационных услуг по направлению информационной безопасности"/>
    <s v="Данилов М.В."/>
    <s v="Данилов М.В."/>
    <s v="Договорный документ"/>
    <s v="Блок корпоративной защиты"/>
    <s v="Масалкин Ю.В."/>
    <s v="На бумажном носителе"/>
    <s v="С ограничением по срокам "/>
    <m/>
    <m/>
    <s v=""/>
    <s v="Договор оказания услуг с физическим лицом"/>
    <s v="Расходная часть"/>
    <s v="Стоимостной"/>
    <s v="13%"/>
    <s v=""/>
    <s v=""/>
    <s v="1 462 500.00"/>
    <s v="1 272 375.00"/>
    <s v="190 125.00"/>
    <s v="нет"/>
    <s v="нет"/>
    <s v=""/>
    <s v=""/>
    <s v=""/>
    <s v=""/>
    <s v="нет"/>
  </r>
  <r>
    <s v="Газпромнефть-ГЕО, ООО"/>
    <s v="0000096994"/>
    <s v="Зарегистрирован"/>
    <m/>
    <m/>
    <x v="102"/>
    <s v="6316103250"/>
    <s v=""/>
    <s v="ГЕО-22/10000/00318/Р"/>
    <s v="ГЕО-22/10000/00318/Р"/>
    <s v="Типовой ДД"/>
    <x v="2"/>
    <s v="10307 Договор на оказание услуг по предоставлению оборудования и инженерному сопровождению при спуске и креплению скважин хвостовиками "/>
    <s v="00996-22"/>
    <s v=""/>
    <s v="10307 Договор на оказание услуг по предоставлению оборудования и инженерному сопровождению при спуске и креплению скважин хвостовиками "/>
    <s v="по предоставлению оборудования и инженерному сопровождению при спуске и креплении скважин хвостовиками для проведения многостадийного "/>
    <s v="Мормышев А.А."/>
    <s v="Рымаренко А.А."/>
    <s v="Договорный документ"/>
    <s v="Блок бурения и ВСР"/>
    <s v="Трифонов А.В."/>
    <s v="ЭП"/>
    <s v="С ограничением по срокам "/>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9550000"/>
    <s v="21 756 000.00"/>
    <s v="18 130 000.00"/>
    <s v="3 626 000.00"/>
    <s v="да"/>
    <s v="нет"/>
    <s v=""/>
    <s v=""/>
    <s v=""/>
    <s v=""/>
    <s v="нет"/>
  </r>
  <r>
    <s v="Газпромнефть-ГЕО, ООО"/>
    <s v="0000105643"/>
    <s v="Зарегистрирован"/>
    <m/>
    <m/>
    <x v="25"/>
    <s v="7717693190"/>
    <s v="ГЕО-22/10120/00208/Р"/>
    <s v=""/>
    <s v="2"/>
    <s v="Нетиповой ДД"/>
    <x v="0"/>
    <s v=""/>
    <s v="00997-22"/>
    <s v=""/>
    <s v="ДС № 2 к Д № ГЕО-22/10120/00208/Р"/>
    <s v="Изменение условий договора без увеличения стоимости договора"/>
    <s v="Ушакова М.А."/>
    <s v=""/>
    <s v="Договорный документ"/>
    <s v="Блок геологии и разработки"/>
    <s v="Ковтун М.А."/>
    <s v="ЭП"/>
    <s v="С ограничением по срокам "/>
    <m/>
    <m/>
    <s v="Д-62"/>
    <s v="Гидродинамические исследования"/>
    <s v="Не предполагает взаиморасчетов"/>
    <s v="Стоимостной"/>
    <s v=""/>
    <s v=""/>
    <s v=""/>
    <s v=""/>
    <s v=""/>
    <s v=""/>
    <s v="нет"/>
    <s v="нет"/>
    <s v=""/>
    <s v=""/>
    <s v=""/>
    <s v=""/>
    <s v="нет"/>
  </r>
  <r>
    <s v="Газпромнефть-ГЕО, ООО"/>
    <s v="0000061300"/>
    <s v="Зарегистрирован"/>
    <m/>
    <m/>
    <x v="191"/>
    <s v="5603011386"/>
    <s v="ГЕО-22/09000/00066/Р"/>
    <s v=""/>
    <s v="4"/>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0998-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ключение в Договор временного регламента по обращению с металлической бочкотарой на объектах ДО БРД ПАО «Газпром нефть»"/>
    <s v="Раковица Д.К."/>
    <s v="Раковица Д.К."/>
    <s v="Договорный документ"/>
    <s v="Отдел подготовительных работ и экономического анализа"/>
    <s v="Трифонов А.В."/>
    <s v="ЭП"/>
    <s v="Без сроков "/>
    <m/>
    <m/>
    <s v="Д-33"/>
    <s v="Договор возмездного оказания услуг"/>
    <s v="Не предполагает взаиморасчетов"/>
    <s v="Стоимостной"/>
    <s v=""/>
    <s v=""/>
    <s v=""/>
    <s v=""/>
    <s v=""/>
    <s v=""/>
    <s v="нет"/>
    <s v="нет"/>
    <s v=""/>
    <s v=""/>
    <s v=""/>
    <s v=""/>
    <s v="нет"/>
  </r>
  <r>
    <s v="Газпромнефть-ГЕО, ООО"/>
    <s v=""/>
    <s v="Зарегистрирован"/>
    <m/>
    <m/>
    <x v="488"/>
    <s v=""/>
    <s v=""/>
    <s v="ГЕО-22/25000/00335/Р"/>
    <s v="ГЕО-22/25000/00335/Р"/>
    <s v="Типовой ДД"/>
    <x v="2"/>
    <s v="25000 Договор об оказании услуг физическим лицом (без выезда на Лицензионные участки Заказчика)"/>
    <s v="00999-22"/>
    <s v=""/>
    <s v="25000 Договор об оказании услуг физическим лицом (без выезда на Лицензионные участки Заказчика) с Безруковым А.А."/>
    <s v="Договор об оказании услуг физическим лицом (без выезда на Лицензионные участки Заказчика) с Безруковым А.А."/>
    <s v="Ахматгалиев С.З."/>
    <s v=""/>
    <s v="Договорный документ"/>
    <s v="Блок снабжения и закупок"/>
    <s v="Титов А.В."/>
    <s v="На бумажном носителе"/>
    <s v="С ограничением по срокам "/>
    <m/>
    <m/>
    <s v="Д-56"/>
    <s v="Договор оказания услуг с физическим лицом"/>
    <s v="Расходная часть"/>
    <s v="Стоимостной"/>
    <s v="13%"/>
    <s v=""/>
    <s v=""/>
    <s v="700 000.00"/>
    <s v="609 000.00"/>
    <s v="91 000.00"/>
    <s v="нет"/>
    <s v="нет"/>
    <s v=""/>
    <s v=""/>
    <s v=""/>
    <s v=""/>
    <s v="нет"/>
  </r>
  <r>
    <s v="Газпромнефть-ГЕО, ООО"/>
    <s v=""/>
    <s v="Зарегистрирован"/>
    <m/>
    <m/>
    <x v="488"/>
    <s v=""/>
    <s v=""/>
    <s v="ГЕО-22/26000/00304"/>
    <s v="ГЕО-22/26000/00304"/>
    <s v="Нетиповой ДД"/>
    <x v="2"/>
    <s v=""/>
    <s v="01000-22"/>
    <s v=""/>
    <s v="Договор о конфиденциальности к договору ГПХ с Безруковым А.А."/>
    <s v="Договор о конфиденциальности к договору ГПХ с Безруковым А.А."/>
    <s v="Ахматгалиев С.З."/>
    <s v=""/>
    <s v="Договорный документ"/>
    <s v="Блок корпоративной защиты"/>
    <s v="Созинов С.А."/>
    <s v="На бумажном носителе"/>
    <s v="Без сроков "/>
    <m/>
    <m/>
    <s v="Д-60"/>
    <s v="Соглашение о конфиденциальности"/>
    <s v="Не предполагает взаиморасчетов"/>
    <s v=""/>
    <s v=""/>
    <s v=""/>
    <s v=""/>
    <s v=""/>
    <s v=""/>
    <s v=""/>
    <s v="нет"/>
    <s v="нет"/>
    <s v=""/>
    <s v=""/>
    <s v=""/>
    <s v=""/>
    <s v="нет"/>
  </r>
  <r>
    <s v="Газпромнефть-ГЕО, ООО"/>
    <s v=""/>
    <s v="Зарегистрирован"/>
    <m/>
    <m/>
    <x v="488"/>
    <s v=""/>
    <s v=""/>
    <s v="ГЕО-22/35000/00336"/>
    <s v="ГЕО-22/35000/00336"/>
    <s v="Нетиповой ДД"/>
    <x v="1"/>
    <s v=""/>
    <s v="01001-22"/>
    <s v=""/>
    <s v="Соглашение о безопасном использовании информационных систем с Безруковым А.А."/>
    <s v="Соглашение о безопасном использовании информационных систем с Безруковым А.А."/>
    <s v="Ахматгалиев С.З."/>
    <s v=""/>
    <s v="Договорный документ"/>
    <s v="Блок корпоративной защиты"/>
    <s v="Созинов С.А."/>
    <s v="На бумажном носителе"/>
    <s v="С ограничением по срокам "/>
    <m/>
    <m/>
    <s v="Д-60"/>
    <s v="Соглашения об обеспечении исполнения обязательств"/>
    <s v="Не предполагает взаиморасчетов"/>
    <s v=""/>
    <s v=""/>
    <s v=""/>
    <s v=""/>
    <s v=""/>
    <s v=""/>
    <s v=""/>
    <s v="нет"/>
    <s v="нет"/>
    <s v=""/>
    <s v=""/>
    <s v=""/>
    <s v=""/>
    <s v="нет"/>
  </r>
  <r>
    <s v="Газпромнефть-ГЕО, ООО"/>
    <s v="0000080408"/>
    <s v="Зарегистрирован"/>
    <m/>
    <m/>
    <x v="104"/>
    <s v="3812043780"/>
    <s v="ГЕО-22/11029/00171/Р"/>
    <s v=""/>
    <s v="3"/>
    <s v="Нетиповой ДД"/>
    <x v="3"/>
    <s v=""/>
    <s v="01002-22"/>
    <s v=""/>
    <s v="Наряд-заказ №3. ...171 СТС, ООО (ключена ВПТ)"/>
    <s v="наряд-заказа №3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Департамент капитального строительства"/>
    <s v="Трифонов А.В."/>
    <s v="ЭП"/>
    <s v="С ограничением по срокам "/>
    <m/>
    <m/>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85 518 292.40"/>
    <s v="154 598 577.00"/>
    <s v="30 919 715.40"/>
    <s v="нет"/>
    <s v="нет"/>
    <s v=""/>
    <s v=""/>
    <s v=""/>
    <s v=""/>
    <s v="нет"/>
  </r>
  <r>
    <s v="Газпромнефть-ГЕО, ООО"/>
    <s v="0000062928"/>
    <s v="Зарегистрирован"/>
    <m/>
    <m/>
    <x v="136"/>
    <s v="7701645627"/>
    <s v="20/11501/00184"/>
    <s v=""/>
    <s v="6"/>
    <s v="Типовой ДД"/>
    <x v="0"/>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01003-22"/>
    <s v=""/>
    <s v="00000 Дополнительное соглашение о включении в договоры  типовых условий для обмена юридически значимыми документами в рамках электронного документооборота и универсальными передаточными документами"/>
    <s v="Оптимизация документооборота"/>
    <s v="Хохлов А.А."/>
    <s v="Хохлов А.А."/>
    <s v="Договорный документ"/>
    <s v="Управление маркшейдерско-землеустроительных работ"/>
    <s v="Трифонов А.В."/>
    <s v="На бумажном носителе"/>
    <s v="С ограничением по срокам "/>
    <m/>
    <m/>
    <s v="Д-33"/>
    <s v="Договор возмездного оказания услуг"/>
    <s v="Не предполагает взаиморасчетов"/>
    <s v=""/>
    <s v=""/>
    <s v=""/>
    <s v=""/>
    <s v=""/>
    <s v=""/>
    <s v=""/>
    <s v="нет"/>
    <s v="нет"/>
    <s v=""/>
    <s v=""/>
    <s v=""/>
    <s v=""/>
    <s v="нет"/>
  </r>
  <r>
    <s v="Газпромнефть-ГЕО, ООО"/>
    <s v="0000106509"/>
    <s v="Закрыт"/>
    <m/>
    <m/>
    <x v="35"/>
    <s v="470600737240"/>
    <s v="ГЕО-22/25000/00248/Р"/>
    <s v=""/>
    <s v="1"/>
    <s v="Нетиповой ДД"/>
    <x v="0"/>
    <s v=""/>
    <s v="01005-22"/>
    <s v=""/>
    <s v="Соглашение о расторжении "/>
    <s v="Расторжение Договора № ГЕО-22/25000/00248/Р от 07.10.2022 г. с Писаревой Ириной Михайловной на оказание услуг по ведению воинского учета"/>
    <s v="Сасса А.В."/>
    <s v="Сасса А.В."/>
    <s v="Договорный документ"/>
    <s v="Управление по работе с персоналом"/>
    <s v="Масалкин Ю.В."/>
    <s v="На бумажном носителе"/>
    <s v="До исполнения обязательств"/>
    <m/>
    <m/>
    <s v=""/>
    <s v="Договор оказания услуг с физическим лицом"/>
    <s v="Расходная часть"/>
    <s v="Стоимостной"/>
    <s v="13%"/>
    <s v=""/>
    <s v=""/>
    <s v="147 692.30"/>
    <s v="128 492.30"/>
    <s v="19 200.00"/>
    <s v="нет"/>
    <s v="нет"/>
    <s v=""/>
    <s v=""/>
    <s v=""/>
    <s v=""/>
    <s v="нет"/>
  </r>
  <r>
    <s v="Газпромнефть-ГЕО, ООО"/>
    <s v="0000043624"/>
    <s v="Зарегистрирован"/>
    <m/>
    <m/>
    <x v="222"/>
    <s v="7728632093"/>
    <s v=""/>
    <s v="ГЕО-23/09000/00001/Р"/>
    <s v="ГЕО-23/09000/00001/Р"/>
    <s v="Нетиповой ДД"/>
    <x v="2"/>
    <s v=""/>
    <s v="01006-22"/>
    <s v=""/>
    <s v="Договор возмездного оказания услуг по операционной поддержке бизнеса направления «Каркас безопасности» Заказчика"/>
    <s v="Методологическая поддержка и сопровождение внедрения и развития программы «Каркас безопасности» в ООО «ГПН-ГЕО». Разработка Учебно-методических комплексов (презентационных материалов, практических кейсов, тестовых вопросов) по барьерам КБ, с проведением мастерских по передаче УМК внутренним тренерам ООО «ГПН-ГЕО». Формирование критериев / показателей по КБ для включения в Производственные контракты ДО, УПЦ функций ПБ с учетом специфики деятельности ООО «ГПН-ГЕО». Мониторинг их исполнения в течении года. Формирование критериев в рамках КОВ по КБ с проведением коммуникации в целях разъяснения. Сопровождение внедрения IT-продуктов в рамках программы КБ (дашборды, АРМ, ЭПДС, 1С-ПБ) с учетом специфики деятельности ООО «ГПН-ГЕО»."/>
    <s v="Якобчак Р.И."/>
    <s v="Якобчак Р.И."/>
    <s v="Договорный документ"/>
    <s v="Управление производственной безопасности"/>
    <s v="Власов М.М."/>
    <s v="На бумажном носителе"/>
    <s v="С ограничением по срокам "/>
    <m/>
    <m/>
    <s v="Д-59"/>
    <s v="Договор возмездного оказания услуг"/>
    <s v="Расходная часть"/>
    <s v="Агентский"/>
    <s v="20%"/>
    <s v=""/>
    <s v=""/>
    <s v="5 853 627.50"/>
    <s v="4 878 022.92"/>
    <s v="975 604.58"/>
    <s v="нет"/>
    <s v="нет"/>
    <s v=""/>
    <s v=""/>
    <s v=""/>
    <s v=""/>
    <s v="нет"/>
  </r>
  <r>
    <s v="Газпромнефть-ГЕО, ООО"/>
    <s v="0000087258"/>
    <s v="Зарегистрирован"/>
    <m/>
    <m/>
    <x v="324"/>
    <s v="5610133699"/>
    <s v="ГЕО-20/11118/00069/Р"/>
    <s v=""/>
    <s v="3"/>
    <s v="Нетиповой ДД"/>
    <x v="0"/>
    <s v=""/>
    <s v="01007-22"/>
    <s v=""/>
    <s v="Дополнительное соглашение № 3 к договору возмездного оказания услуг № ГЕО-20/11118/00069/Р от «12» мая 2020 года"/>
    <s v="Продление срока договора без увеличения стоимости"/>
    <s v="Матвеев В.Н."/>
    <s v="Матвеев В.Н."/>
    <s v="Договорный документ"/>
    <s v="Отдел по работе с подрядными организациями и безопасности на транспорте"/>
    <s v="Ядрышников П.Н."/>
    <s v="ЭП"/>
    <s v="С ограничением по срокам "/>
    <m/>
    <m/>
    <s v=""/>
    <s v="Договор возмездного оказания услуг"/>
    <s v="Не предполагает взаиморасчетов"/>
    <s v="Тарифный"/>
    <s v=""/>
    <s v=""/>
    <s v=""/>
    <s v=""/>
    <s v=""/>
    <s v=""/>
    <s v="нет"/>
    <s v="нет"/>
    <s v=""/>
    <s v=""/>
    <s v=""/>
    <s v=""/>
    <s v="нет"/>
  </r>
  <r>
    <s v="Газпромнефть-ГЕО, ООО"/>
    <s v="0000047295"/>
    <s v="Зарегистрирован"/>
    <m/>
    <m/>
    <x v="150"/>
    <s v="7708639661"/>
    <s v="ГЕО-22/10419/00039/Р"/>
    <s v=""/>
    <s v="3"/>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08-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Продление сроков действия договора, смена реквизитов КА, введение регламента по обращению с металлической бочкотарой."/>
    <s v="Раковица Д.К."/>
    <s v="Раковица Д.К."/>
    <s v="Договорный документ"/>
    <s v="Отдел подготовительных работ и экономического анализа"/>
    <s v="Трифонов А.В."/>
    <s v="ЭП"/>
    <s v="С ограничением по срокам "/>
    <m/>
    <m/>
    <s v="Д-33"/>
    <s v="Услуги  по свинчиванию и спуску труб и НКТ, включая оборудование, инженерную поддержку и инструменты. Запись и предоставлнение момента свинчивания в цифровом виде"/>
    <s v="Не предполагает взаиморасчетов"/>
    <s v="Стоимостной"/>
    <s v=""/>
    <s v=""/>
    <s v=""/>
    <s v=""/>
    <s v=""/>
    <s v=""/>
    <s v="нет"/>
    <s v="нет"/>
    <s v=""/>
    <s v=""/>
    <s v=""/>
    <s v=""/>
    <s v="нет"/>
  </r>
  <r>
    <s v="Газпромнефть-ГЕО, ООО"/>
    <s v="0000070388"/>
    <s v="Зарегистрирован"/>
    <m/>
    <m/>
    <x v="489"/>
    <s v="0278206011"/>
    <s v="№ГЕО-19/10541/00314/Р "/>
    <s v=""/>
    <s v="1"/>
    <s v="Нетиповой ДД"/>
    <x v="0"/>
    <s v=""/>
    <s v="01009-22"/>
    <s v=""/>
    <s v="Дополнительное соглашение №1"/>
    <s v="продление сроков действия договора и оказания услуг, перевод ГО и НГО за 2019-2022 г. в НГО 2023 г."/>
    <s v="Коваленко М.В."/>
    <s v="Бикташев Р.С."/>
    <s v="Договорный документ"/>
    <s v="Производственно-технологический департамент"/>
    <s v="Трифонов А.В."/>
    <s v="ЭП"/>
    <s v="С ограничением по срокам "/>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
    <s v="Зарегистрирован"/>
    <m/>
    <m/>
    <x v="487"/>
    <s v=""/>
    <s v=""/>
    <s v="ГЕО-22/26000/00305"/>
    <s v="ГЕО-22/26000/00305"/>
    <s v="Типовой ДД"/>
    <x v="1"/>
    <s v="26000 Договор о конфиденциальности с физическим лицом"/>
    <s v="01010-22"/>
    <s v=""/>
    <s v="26000 Договор о конфиденциальности с физическим лицом"/>
    <s v="Неразглашение информации, составляющей коммерческую тайну и иной конфиденциальной информации"/>
    <s v="Бринкис В.В."/>
    <s v="Бринкис В.В."/>
    <s v="Договорный документ"/>
    <s v="Блок корпоративной защиты"/>
    <s v="Созинов С.А."/>
    <s v="На бумажном носителе"/>
    <s v="До исполнения обязательств"/>
    <m/>
    <m/>
    <s v="Д-60"/>
    <s v="Соглашение о конфиденциальности"/>
    <s v="Не предполагает взаиморасчетов"/>
    <s v=""/>
    <s v=""/>
    <s v=""/>
    <s v=""/>
    <s v=""/>
    <s v=""/>
    <s v=""/>
    <s v="нет"/>
    <s v="нет"/>
    <s v=""/>
    <s v=""/>
    <s v=""/>
    <s v=""/>
    <s v="нет"/>
  </r>
  <r>
    <s v="Газпромнефть-ГЕО, ООО"/>
    <s v="0000068695"/>
    <s v="Зарегистрирован"/>
    <m/>
    <m/>
    <x v="77"/>
    <s v="1106013435"/>
    <s v="ГЕО-21/10306/00256/Р"/>
    <s v=""/>
    <s v="3"/>
    <s v="Типовой ДД"/>
    <x v="0"/>
    <s v="00000 ДС на изменение реквизитов контрагента (адрес, счет)"/>
    <s v="01011-22"/>
    <s v=""/>
    <s v="00000 ДС на изменение реквизитов контрагента (адрес, счет)"/>
    <s v="Изменение реквизитов ООО «БурCервис» и ООО &quot;ГПН-ГЕО&quot;"/>
    <s v="Мячина М.В."/>
    <s v="Мячина М.В."/>
    <s v="Договорный документ"/>
    <s v="Отдел подготовительных работ и экономического анализа"/>
    <s v="Трифонов А.В."/>
    <s v="ЭП"/>
    <s v="С ограничением по срокам "/>
    <m/>
    <m/>
    <s v="Д-33"/>
    <s v="Цементирование обсадных колонн и хвостовиков, установка цементных мостов"/>
    <s v="Не предполагает взаиморасчетов"/>
    <s v="Стоимостной"/>
    <s v=""/>
    <s v=""/>
    <s v=""/>
    <s v=""/>
    <s v=""/>
    <s v=""/>
    <s v="нет"/>
    <s v="нет"/>
    <s v=""/>
    <s v=""/>
    <s v=""/>
    <s v=""/>
    <s v="нет"/>
  </r>
  <r>
    <s v="Газпромнефть-ГЕО, ООО"/>
    <s v="0000074858"/>
    <s v="Зарегистрирован"/>
    <m/>
    <m/>
    <x v="248"/>
    <s v="5609097622"/>
    <s v="ГЕО-20/11112/00108/Р"/>
    <s v=""/>
    <s v="8"/>
    <s v="Нетиповой ДД"/>
    <x v="0"/>
    <s v=""/>
    <s v="01013-22"/>
    <s v=""/>
    <s v="ДС-8 к договору  ГЕО-20/11112/00108/Р о переводе из НГО в ГО в 2022г. 374МШЧ, 260 тыс.руб"/>
    <s v="Перевод 374МШЧ из негарантированного объема услуг в Гарантированный в 2022 году, без увеличения стоимости ДД_x000d__x000a_"/>
    <s v="Гусаков В.В."/>
    <s v="Гусаков В.В."/>
    <s v="Договорный документ"/>
    <s v="Блок снабжения и закупок"/>
    <s v="Титов А.В."/>
    <s v="ЭП"/>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Тарифный"/>
    <s v="20%"/>
    <s v=""/>
    <s v=""/>
    <s v="310 918.08"/>
    <s v="259 098.40"/>
    <s v="51 819.68"/>
    <s v="нет"/>
    <s v="нет"/>
    <s v=""/>
    <s v=""/>
    <s v=""/>
    <s v=""/>
    <s v="нет"/>
  </r>
  <r>
    <s v="Газпромнефть-ГЕО, ООО"/>
    <s v="0000044973"/>
    <s v="Зарегистрирован"/>
    <m/>
    <m/>
    <x v="158"/>
    <s v="7709413265"/>
    <s v="ГЕО-22/07100/00042/Р"/>
    <s v=""/>
    <s v="3"/>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14-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ведение временного регламента по обращению с металлической бочкотарой на объектах ДО БРД ПАО «Газпром нефть»"/>
    <s v="Раковица Д.К."/>
    <s v="Раковица Д.К."/>
    <s v="Договорный документ"/>
    <s v="Отдел подготовительных работ и экономического анализа"/>
    <s v="Трифонов А.В."/>
    <s v="ЭП"/>
    <s v="До исполнения обязательств"/>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58974"/>
    <s v="Закрыт"/>
    <m/>
    <m/>
    <x v="178"/>
    <s v="8909001670"/>
    <s v="ГЕО-22/11518/00107/Р"/>
    <s v=""/>
    <s v="1"/>
    <s v="Нетиповой ДД"/>
    <x v="0"/>
    <s v=""/>
    <s v="01015-22"/>
    <s v=""/>
    <s v="Дополнительное соглашение № 1 к Соглашению № ГЕО-22/11518/00107/Р от 20.05.2022 г. о возмещении убытков при временном занятии земельных участков"/>
    <s v="внесение изменений в соответствии с обращением МОП Ярсалинское в соглашение, в части исключения предоставления актов выполненных работ и счетов на оплату "/>
    <s v="Титаева И.А."/>
    <s v="Титаева И.А."/>
    <s v="Договорный документ"/>
    <s v="Управление маркшейдерско-землеустроительных работ"/>
    <s v="Трифонов А.В."/>
    <s v="На бумажном носителе"/>
    <s v="До исполнения обязательств"/>
    <m/>
    <m/>
    <s v="Д-33"/>
    <s v="Расчет ущерба землепользователей (упущенной выгоды)"/>
    <s v="Не предполагает взаиморасчетов"/>
    <s v="Стоимостной"/>
    <s v=""/>
    <s v=""/>
    <s v=""/>
    <s v=""/>
    <s v=""/>
    <s v=""/>
    <s v="нет"/>
    <s v="нет"/>
    <s v=""/>
    <s v=""/>
    <s v=""/>
    <s v=""/>
    <s v="нет"/>
  </r>
  <r>
    <s v="Газпромнефть-ГЕО, ООО"/>
    <s v="0000085349"/>
    <s v="Зарегистрирован"/>
    <m/>
    <m/>
    <x v="140"/>
    <s v="5610220126"/>
    <s v="ГЕО-22/10000/00065/Р"/>
    <s v=""/>
    <s v="4"/>
    <s v="Нетиповой ДД"/>
    <x v="0"/>
    <s v=""/>
    <s v="01016-22"/>
    <s v=""/>
    <s v="Дополнительное соглашение №4"/>
    <s v="актуализация оценочного листа"/>
    <s v="Коваленко М.В."/>
    <s v="Бикташев Р.С."/>
    <s v="Договорный документ"/>
    <s v="Производственно-технологический департамент"/>
    <s v="Трифонов А.В."/>
    <s v="ЭП"/>
    <s v="До исполнения обязательств"/>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0000063179"/>
    <s v="Зарегистрирован"/>
    <m/>
    <m/>
    <x v="54"/>
    <s v="7727747172"/>
    <s v="ГЕО-20/10986/00138/Р"/>
    <s v=""/>
    <s v="16"/>
    <s v="Нетиповой ДД"/>
    <x v="8"/>
    <s v=""/>
    <s v="01017-22"/>
    <s v=""/>
    <s v="Задание на оказание услуг № 16"/>
    <s v="Оказание супервайзерских услуг по контролю состояния _x000d__x000a_производственной безопасности на объектах ООО «ГПН-ГЕО»"/>
    <s v="Автеньев М.В."/>
    <s v="Автеньев М.В."/>
    <s v="Договорный документ"/>
    <s v="Блок снабжения и закупок"/>
    <s v="Агеев П.А."/>
    <s v="ЭП"/>
    <s v="С ограничением по срокам "/>
    <m/>
    <m/>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 160 600.00"/>
    <s v="1 800 500.00"/>
    <s v="360 100.00"/>
    <s v="нет"/>
    <s v="нет"/>
    <s v=""/>
    <s v=""/>
    <s v=""/>
    <s v=""/>
    <s v="нет"/>
  </r>
  <r>
    <s v="Газпромнефть-ГЕО, ООО"/>
    <s v="0000088498"/>
    <s v="Зарегистрирован"/>
    <m/>
    <m/>
    <x v="95"/>
    <s v="3023006808"/>
    <s v=""/>
    <s v="ГЕО-22/33200/00315"/>
    <s v="ГЕО-22/33200/00315"/>
    <s v="Типовой ДД"/>
    <x v="1"/>
    <s v="33200 Соглашение об электронном документообороте"/>
    <s v="01018-22"/>
    <s v=""/>
    <s v="33200 Соглашение об электронном документообороте"/>
    <s v="с целью обмена электронными документами"/>
    <s v="Коваленко М.В."/>
    <s v="Конюх М.В."/>
    <s v="Договорный документ"/>
    <s v="Блок бурения и ВСР"/>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88498"/>
    <s v="Зарегистрирован"/>
    <m/>
    <m/>
    <x v="95"/>
    <s v="3023006808"/>
    <s v=""/>
    <s v="ГЕО-22/33100/00311"/>
    <s v="ГЕО-22/33100/00311"/>
    <s v="Типовой ДД"/>
    <x v="1"/>
    <s v="33100 Соглашение в области производственной безопасности"/>
    <s v="01019-22"/>
    <s v=""/>
    <s v="33100 Соглашение в области производственной безопасности"/>
    <s v="в целях обеспечения ПБ при оказании услуг"/>
    <s v="Коваленко М.В."/>
    <s v="Конюх М.В."/>
    <s v="Договорный документ"/>
    <s v="Блок бурения и ВСР"/>
    <s v="Ядрышников П.Н."/>
    <s v="ЭП"/>
    <s v="Без сроков "/>
    <m/>
    <m/>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4608"/>
    <s v="Зарегистрирован"/>
    <m/>
    <m/>
    <x v="490"/>
    <s v="8603100867"/>
    <s v=""/>
    <s v="ГЕО-22/33100/00306"/>
    <s v="ГЕО-22/33100/00306"/>
    <s v="Типовой ДД"/>
    <x v="1"/>
    <s v="33100 Соглашение в области производственной безопасности"/>
    <s v="01020-22"/>
    <s v=""/>
    <s v="33100 Соглашение в области производственной безопасности"/>
    <s v="в целях обеспечения ПБ при выполнени работ"/>
    <s v="Макаринский Е.Ю."/>
    <s v=""/>
    <s v="Договорный документ"/>
    <s v="Блок производственной безопасности"/>
    <s v="Власов М.М."/>
    <s v="ЭП"/>
    <s v="Без сроков "/>
    <m/>
    <m/>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74608"/>
    <s v="Закрыт"/>
    <m/>
    <m/>
    <x v="490"/>
    <s v="8603100867"/>
    <s v=""/>
    <s v="ГЕО-22/10000/00308/Р"/>
    <s v="ГЕО-22/10000/00308/Р"/>
    <s v="Типовой ДД"/>
    <x v="2"/>
    <s v="11100 Единая мастер-форма по услугам 11101 «Обслуживание специализированной техникой», 11102 «Обслуживание пассажироперевозящей техникой», 11103 «Обслуживание грузоперевозящей техникой», 11112 «Обслуживание оперативным транспортом»"/>
    <s v="01021-22"/>
    <s v=""/>
    <s v="11100 Единая мастер-форма по услугам 11101 «Обслуживание специализированной техникой», 11102 «Обслуживание пассажироперевозящей техникой», 11103 «Обслуживание грузоперевозящей техникой», 11112 «Обслуживание оперативным транспортом»"/>
    <s v="Оказание транспортных услуг для ОПР проекта «ЧОНА» в 2022-2024 гг."/>
    <s v="Макаринский Е.Ю."/>
    <s v="Гусаков В.В."/>
    <s v="Договорный документ"/>
    <s v="Блок снабжения и закупок"/>
    <s v="Титов А.В."/>
    <s v="ЭП"/>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91 325 941.86"/>
    <s v="326 104 951.55"/>
    <s v="65 220 990.31"/>
    <s v="нет"/>
    <s v="нет"/>
    <s v=""/>
    <s v=""/>
    <s v=""/>
    <s v=""/>
    <s v="нет"/>
  </r>
  <r>
    <s v="Газпромнефть-ГЕО, ООО"/>
    <s v="0000058703"/>
    <s v="Зарегистрирован"/>
    <m/>
    <m/>
    <x v="5"/>
    <s v="5914024719"/>
    <s v="ГЕО-21/10208/00166/Р"/>
    <s v=""/>
    <s v="9"/>
    <s v="Нетиповой ДД"/>
    <x v="0"/>
    <s v=""/>
    <s v="01022-22"/>
    <s v=""/>
    <s v="ДС№9. Индексация 4,5%. НСХ Азия Дриллинг, ООО"/>
    <s v="Индексация ставок на 4,5% в соответствии с Протоколом_x000d__x000a_ЭС БРД ПТ-НС-09/0000881 от 28.11.2022 без изменения объема работ и стоимости Договора."/>
    <s v="Мормышев А.А."/>
    <s v="Кольцов К.В."/>
    <s v="Договорный документ"/>
    <s v="Блок бурения и ВСР"/>
    <s v="Трифонов А.В."/>
    <s v="ЭП"/>
    <s v="С ограничением по срокам "/>
    <m/>
    <m/>
    <s v="Д-33"/>
    <s v="Бурение геологоразведочных скважин по суточной или иной фиксирванной ставке (в т.ч. мобильными установками)"/>
    <s v="Расходная часть"/>
    <s v="Тарифный"/>
    <s v="20%"/>
    <s v=""/>
    <s v=""/>
    <s v="1 580 449 985.47"/>
    <s v="1 317 041 654.56"/>
    <s v="263 408 330.91"/>
    <s v="нет"/>
    <s v="нет"/>
    <s v=""/>
    <s v=""/>
    <s v=""/>
    <s v=""/>
    <s v="нет"/>
  </r>
  <r>
    <s v="Газпромнефть-ГЕО, ООО"/>
    <s v="0000058271"/>
    <s v="Зарегистрирован"/>
    <m/>
    <m/>
    <x v="42"/>
    <s v="7725696878"/>
    <s v="ГЕО-19/11708/00133/Р "/>
    <s v=""/>
    <s v="21"/>
    <s v="Нетиповой ДД"/>
    <x v="3"/>
    <s v=""/>
    <s v="01023-22"/>
    <s v=""/>
    <s v="Заключение Заказ-Наряда №21"/>
    <s v="Формирование базы данных для реализации стратегии неорганического роста в районе проекта Оморинский"/>
    <s v="Ябиров Р.З."/>
    <s v="Ябиров Р.З."/>
    <s v="Договорный документ"/>
    <s v="Блок геологии и разработки"/>
    <s v="Аксенов М.А."/>
    <s v="На бумажном носителе"/>
    <s v="С ограничением по срокам "/>
    <m/>
    <m/>
    <s v="Д-54"/>
    <s v="Договор на выполнение НИР, ОКР и технологических работ"/>
    <s v="Расходная часть"/>
    <s v="Рамочный"/>
    <s v="20%"/>
    <s v=""/>
    <s v=""/>
    <s v="15 628 431.48"/>
    <s v="13 023 692.90"/>
    <s v="2 604 738.58"/>
    <s v="нет"/>
    <s v="нет"/>
    <s v=""/>
    <s v=""/>
    <s v=""/>
    <s v=""/>
    <s v="нет"/>
  </r>
  <r>
    <s v="Газпромнефть-ГЕО, ООО"/>
    <s v="0000039714"/>
    <s v="Зарегистрирован"/>
    <m/>
    <m/>
    <x v="1"/>
    <s v="7734033757"/>
    <s v="ГЕО-21/10114/00257/Р"/>
    <s v=""/>
    <s v="4"/>
    <s v="Нетиповой ДД"/>
    <x v="3"/>
    <s v=""/>
    <s v="01024-22"/>
    <s v=""/>
    <s v=" оказание услуг по супервайзерскому контролю технологии полевых сейсморазведочных работ на Воргенском ЛУ (Северо-Воргенская площадь)"/>
    <s v=" оказание услуг по супервайзерскому контролю технологии полевых сейсморазведочных работ на Воргенском ЛУ (Северо-Воргенская площадь), в рамках операторского договора между ГПН-ННГ и ГПН-ГЕО."/>
    <s v="Дакиров В.С."/>
    <s v=""/>
    <s v="Договорный документ"/>
    <s v="Управление сейсморазведочных работ"/>
    <s v="Аксенов М.А."/>
    <s v="ЭП"/>
    <s v="С ограничением по срокам "/>
    <m/>
    <m/>
    <s v="Д-54"/>
    <s v="Супервайзерские услуги полевых работ площадными геофизическими методами"/>
    <s v="Расходная часть"/>
    <s v="Стоимостной"/>
    <s v="20%"/>
    <s v=""/>
    <s v=""/>
    <s v="2 734 692.00"/>
    <s v="2 278 910.00"/>
    <s v="455 782.00"/>
    <s v="нет"/>
    <s v="нет"/>
    <s v=""/>
    <s v=""/>
    <s v=""/>
    <s v=""/>
    <s v="нет"/>
  </r>
  <r>
    <s v="Газпромнефть-ГЕО, ООО"/>
    <s v="0000063179"/>
    <s v="Зарегистрирован"/>
    <m/>
    <m/>
    <x v="54"/>
    <s v="7727747172"/>
    <s v="№ ГЕО-20/10986/00138/Р"/>
    <s v=""/>
    <s v="22"/>
    <s v="Нетиповой ДД"/>
    <x v="8"/>
    <s v=""/>
    <s v="01027-22"/>
    <s v=""/>
    <s v="Задание на оказание услуг № 22"/>
    <s v="Оказание супервайзерских услуг по контролю состояния _x000d__x000a_производственной безопасности на объектах ООО «ГПН-ГЕО»"/>
    <s v="Автеньев М.В."/>
    <s v="Фокин Е.В."/>
    <s v="Договорный документ"/>
    <s v="Блок производственной безопасности"/>
    <s v="Агеев П.А."/>
    <s v="ЭП"/>
    <s v="С ограничением по срокам "/>
    <m/>
    <m/>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56 735.20"/>
    <s v="463 946.00"/>
    <s v="92 789.20"/>
    <s v="нет"/>
    <s v="нет"/>
    <s v=""/>
    <s v=""/>
    <s v=""/>
    <s v=""/>
    <s v="нет"/>
  </r>
  <r>
    <s v="Газпромнефть-ГЕО, ООО"/>
    <s v="0000039463"/>
    <s v="Зарегистрирован"/>
    <m/>
    <m/>
    <x v="39"/>
    <s v="8905034804"/>
    <s v="№ АНГ-18/09000/00186/Р"/>
    <s v=""/>
    <s v="10"/>
    <s v="Нетиповой ДД"/>
    <x v="0"/>
    <s v=""/>
    <s v="01028-22"/>
    <s v=""/>
    <s v="Дополнительное соглашение №10 к Договору о выполнении операторских работ и оказании операторских услуг (проект Чона)"/>
    <s v="Перевод негарантированного объема работ в гарантированный (после получения инвест. решения) без изменения общей стоимости работ/услуг по производственной программе проектов ГРР на 2022г. Чона (Игнялинский ЛУ, Вакунайский ЛУ, Тымпучиканский ЛУ)."/>
    <s v="Частухина Е.В."/>
    <s v=""/>
    <s v="Договорный документ"/>
    <s v="Управление экономического планирования и анализа"/>
    <s v="Шакирзянов Л.Н."/>
    <s v="На бумажном носителе"/>
    <s v="С ограничением по срокам "/>
    <m/>
    <m/>
    <s v="Д-53"/>
    <s v="Договор возмездного оказания услуг"/>
    <s v="Доходная часть"/>
    <s v="Стоимостной"/>
    <s v="20%"/>
    <s v=""/>
    <s v=""/>
    <s v="519 255 467.46"/>
    <s v="432 712 889.55"/>
    <s v="86 542 577.91"/>
    <s v="нет"/>
    <s v="нет"/>
    <s v=""/>
    <s v=""/>
    <s v=""/>
    <s v=""/>
    <s v="нет"/>
  </r>
  <r>
    <s v="Газпромнефть-ГЕО, ООО"/>
    <s v=""/>
    <s v="Проект"/>
    <m/>
    <m/>
    <x v="58"/>
    <s v=""/>
    <s v=""/>
    <s v=""/>
    <s v=""/>
    <s v=""/>
    <x v="1"/>
    <s v=""/>
    <s v="01029-22"/>
    <s v=""/>
    <s v=""/>
    <s v=""/>
    <s v="Данилов М.В."/>
    <s v=""/>
    <s v="Договорный документ"/>
    <s v="Блок корпоративной защиты"/>
    <s v=""/>
    <s v=""/>
    <s v=""/>
    <m/>
    <m/>
    <s v=""/>
    <s v=""/>
    <s v=""/>
    <s v=""/>
    <s v=""/>
    <s v=""/>
    <s v=""/>
    <s v=""/>
    <s v=""/>
    <s v=""/>
    <s v="нет"/>
    <s v="нет"/>
    <s v=""/>
    <s v=""/>
    <s v=""/>
    <s v=""/>
    <s v="нет"/>
  </r>
  <r>
    <s v="Газпромнефть-ГЕО, ООО"/>
    <s v="0000082130"/>
    <s v="Зарегистрирован"/>
    <m/>
    <m/>
    <x v="17"/>
    <s v="7203027949"/>
    <s v="№ ГЕО-20/101109/00144/Р"/>
    <s v=""/>
    <s v="2"/>
    <s v="Нетиповой ДД"/>
    <x v="0"/>
    <s v=""/>
    <s v="01031-22"/>
    <s v=""/>
    <s v="Дополнительное соглашение №2 к договору № ГЕО-20/101109/00144/Р от 11.09.2020 г."/>
    <s v="Продление сроков действия договора. Перераспределение объемов без увеличения стоимости договора. Включение условий УКЭП"/>
    <s v="Лобанов А.А."/>
    <s v="Лобанов А.А."/>
    <s v="Договорный документ"/>
    <s v="Управление по геологии"/>
    <s v="Аксенов М.А."/>
    <s v="На бумажном носителе"/>
    <s v="С ограничением по срокам "/>
    <m/>
    <m/>
    <s v="Д-54"/>
    <s v="Договор на выполнение НИР, ОКР и технологических работ"/>
    <s v="Не предполагает взаиморасчетов"/>
    <s v="Рамочный"/>
    <s v=""/>
    <s v=""/>
    <s v=""/>
    <s v=""/>
    <s v=""/>
    <s v=""/>
    <s v="нет"/>
    <s v="нет"/>
    <s v=""/>
    <s v=""/>
    <s v=""/>
    <s v=""/>
    <s v="нет"/>
  </r>
  <r>
    <s v="Газпромнефть-ГЕО, ООО"/>
    <s v=""/>
    <s v="Закрыт"/>
    <m/>
    <m/>
    <x v="491"/>
    <s v=""/>
    <s v=""/>
    <s v="ГЕО-22/25000/00322/Р"/>
    <s v="ГЕО-22/25000/00322/Р"/>
    <s v="Типовой ДД"/>
    <x v="2"/>
    <s v="25000 Договор об оказании услуг физическим лицом (без выезда на Лицензионные участки Заказчика)"/>
    <s v="01032-22"/>
    <s v=""/>
    <s v="25000 Договор об оказании услуг физическим лицом (без выезда на Лицензионные участки Заказчика)"/>
    <s v="Оказание комплекса услуг в области бухгалтерского (финансового) учета"/>
    <s v="Малова Д.П."/>
    <s v="Малова Д.П."/>
    <s v="Договорный документ"/>
    <s v="Финансовое управление"/>
    <s v="Масалкин Ю.В."/>
    <s v="На бумажном носителе"/>
    <s v="С ограничением по срокам "/>
    <m/>
    <m/>
    <s v=""/>
    <s v="Договор оказания услуг с физическим лицом"/>
    <s v="Расходная часть"/>
    <s v="Стоимостной"/>
    <s v="13%"/>
    <s v=""/>
    <s v=""/>
    <s v="210 000.00"/>
    <s v="182 700.00"/>
    <s v="27 300.00"/>
    <s v="нет"/>
    <s v="нет"/>
    <s v=""/>
    <s v=""/>
    <s v=""/>
    <s v=""/>
    <s v="нет"/>
  </r>
  <r>
    <s v="Газпромнефть-ГЕО, ООО"/>
    <s v="0000087378"/>
    <s v="Зарегистрирован"/>
    <m/>
    <m/>
    <x v="97"/>
    <s v="7204203139"/>
    <s v="ГЕО-19/10156/00057/Р "/>
    <s v=""/>
    <s v="11/22-057"/>
    <s v="Нетиповой ДД"/>
    <x v="3"/>
    <s v=""/>
    <s v="01033-22"/>
    <s v=""/>
    <s v="Заключение Заказ-Наряда№ 11/22-057 по Проекту Ю.Оренбург скв 341"/>
    <s v="Первичные исследования керна и шлама скважины 341ПО Солнечного ЛУ"/>
    <s v="Ябиров Р.З."/>
    <s v=""/>
    <s v="Договорный документ"/>
    <s v="Блок геологии и разработки"/>
    <s v="Ковтун М.А."/>
    <s v="На бумажном носителе"/>
    <s v="С ограничением по срокам "/>
    <m/>
    <m/>
    <s v="Д-62"/>
    <s v="Договор на выполнение НИР, ОКР и технологических работ"/>
    <s v="Расходная часть"/>
    <s v="Рамочный"/>
    <s v="20%"/>
    <s v=""/>
    <s v=""/>
    <s v="1 605 910.39"/>
    <s v="1 338 258.66"/>
    <s v="267 651.73"/>
    <s v="нет"/>
    <s v="нет"/>
    <s v=""/>
    <s v=""/>
    <s v=""/>
    <s v=""/>
    <s v="нет"/>
  </r>
  <r>
    <s v="Газпромнефть-ГЕО, ООО"/>
    <s v="0000085381"/>
    <s v="Зарегистрирован"/>
    <m/>
    <m/>
    <x v="43"/>
    <s v="7813216425"/>
    <s v=""/>
    <s v="ГЕО-22/33100/00310"/>
    <s v="ГЕО-22/33100/00310"/>
    <s v="Типовой ДД"/>
    <x v="1"/>
    <s v="33100 Соглашение в области производственной безопасности"/>
    <s v="01034-22"/>
    <s v=""/>
    <s v="33100 Соглашение в области производственной безопасности"/>
    <s v="Соблюдение требований Заказчика в области ПБ указанных в настоящем Соглашении."/>
    <s v="Глухарева Ю.Б."/>
    <s v="Глухарева Ю.Б."/>
    <s v="Договорный документ"/>
    <s v="Блок корпоративной защиты"/>
    <s v="Ядрышников П.Н."/>
    <s v="ЭП"/>
    <s v="С ограничением по срокам "/>
    <m/>
    <m/>
    <s v=""/>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96994"/>
    <s v="Зарегистрирован"/>
    <m/>
    <m/>
    <x v="102"/>
    <s v="6316103250"/>
    <s v=""/>
    <s v="ГЕО-22/33100/00321"/>
    <s v="ГЕО-22/33100/00321"/>
    <s v="Типовой ДД"/>
    <x v="1"/>
    <s v="33100 Соглашение в области производственной безопасности"/>
    <s v="01035-22"/>
    <s v=""/>
    <s v="33100 Соглашение в области производственной безопасности. ООО &quot;БАРБУС&quot;"/>
    <s v="С целью обеспечения ПБ при оказании услуг. Бочкотара включена."/>
    <s v="Мормышев А.А."/>
    <s v="Рымаренко А.А."/>
    <s v="Договорный документ"/>
    <s v="Блок бурения и ВСР"/>
    <s v="Власов М.М."/>
    <s v="ЭП"/>
    <s v="До исполнения обязательств"/>
    <m/>
    <m/>
    <s v="Д-59"/>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нет"/>
  </r>
  <r>
    <s v="Газпромнефть-ГЕО, ООО"/>
    <s v="0000048878"/>
    <s v="Зарегистрирован"/>
    <m/>
    <m/>
    <x v="29"/>
    <s v="1645019164"/>
    <s v="ГЕО-22/10000/00271/Р"/>
    <s v=""/>
    <s v="1"/>
    <s v="Нетиповой ДД"/>
    <x v="3"/>
    <s v=""/>
    <s v="01037-22"/>
    <s v=""/>
    <s v="Наряд-заказ № 1 к Договору № ГЕО-22/10000/001271/Р от 10.10.2022 г."/>
    <s v="Выполнение СРР на Краснореченском ЛУ для ООО &quot;ГПН-Оренбург&quot;"/>
    <s v="Ахматгалиев С.З."/>
    <s v=""/>
    <s v="Договорный документ"/>
    <s v="Блок геологии и разработки"/>
    <s v="Агеев П.А."/>
    <s v="ЭП"/>
    <s v="До исполнения обязательств"/>
    <m/>
    <m/>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
    <s v="552 060 724.34"/>
    <s v="460 050 603.62"/>
    <s v="92 010 120.72"/>
    <s v="нет"/>
    <s v="нет"/>
    <s v=""/>
    <s v=""/>
    <s v=""/>
    <s v=""/>
    <s v="нет"/>
  </r>
  <r>
    <s v="Газпромнефть-ГЕО, ООО"/>
    <s v="0000063179"/>
    <s v="Зарегистрирован"/>
    <m/>
    <m/>
    <x v="54"/>
    <s v="7727747172"/>
    <s v="ГЕО-20/10986/00138/Р"/>
    <s v=""/>
    <s v="21"/>
    <s v="Нетиповой ДД"/>
    <x v="8"/>
    <s v=""/>
    <s v="01038-22"/>
    <s v=""/>
    <s v="Задание на оказание услуг № 21"/>
    <s v="Оказание супервайзерских услуг по контролю состояния _x000d__x000a_производственной безопасности на объектах ООО «ГПН-ГЕО»_x000d__x000a_"/>
    <s v="Автеньев М.В."/>
    <s v=""/>
    <s v="Договорный документ"/>
    <s v="Блок производственной безопасности"/>
    <s v="Ядрышников П.Н."/>
    <s v="ЭП"/>
    <s v="С ограничением по срокам "/>
    <m/>
    <m/>
    <s v="Д-2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 074 176.00"/>
    <s v="1 728 480.00"/>
    <s v="345 696.00"/>
    <s v="нет"/>
    <s v="нет"/>
    <s v=""/>
    <s v=""/>
    <s v=""/>
    <s v=""/>
    <s v="нет"/>
  </r>
  <r>
    <s v="Газпромнефть-ГЕО, ООО"/>
    <s v="0000074858"/>
    <s v="Зарегистрирован"/>
    <m/>
    <m/>
    <x v="248"/>
    <s v="5609097622"/>
    <s v="ГЕО-20/11112/00108/Р"/>
    <s v=""/>
    <s v="9"/>
    <s v="Нетиповой ДД"/>
    <x v="0"/>
    <s v=""/>
    <s v="01039-22"/>
    <s v=""/>
    <s v="33100 Соглашение в области производственной безопасности"/>
    <s v="Актуализация Соглашения в области ПБ утвержденным Приказом №95-П от 30.09.2022г."/>
    <s v="Гусаков В.В."/>
    <s v="Гусаков В.В."/>
    <s v="Договорный документ"/>
    <s v="Блок снабжения и закупок"/>
    <s v="Титов А.В."/>
    <s v="ЭП"/>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Тарифный"/>
    <s v=""/>
    <s v=""/>
    <s v=""/>
    <s v=""/>
    <s v=""/>
    <s v=""/>
    <s v="нет"/>
    <s v="нет"/>
    <s v=""/>
    <s v=""/>
    <s v=""/>
    <s v=""/>
    <s v="нет"/>
  </r>
  <r>
    <s v="Газпромнефть-ГЕО, ООО"/>
    <s v="0000086584"/>
    <s v="Зарегистрирован"/>
    <m/>
    <m/>
    <x v="113"/>
    <s v="5609077986"/>
    <s v="ГЕО-18/00000/00025Д"/>
    <s v=""/>
    <s v="9"/>
    <s v="Нетиповой ДД"/>
    <x v="0"/>
    <s v=""/>
    <s v="01040-22"/>
    <s v=""/>
    <s v="Дополнительное соглашение №9 к Договору о выполнении операторских работ и оказании операторских услуг (Оморинский ЛУ)"/>
    <s v="Согласование программы выполнения работ и оказания услуг ГРР на 2023г. в рамках выделенного лимита по пректу Оморинский"/>
    <s v="Частухина Е.В."/>
    <s v="Частухина Е.В."/>
    <s v="Договорный документ"/>
    <s v="Управление экономического планирования и анализа"/>
    <s v="Масалкин Ю.В."/>
    <s v="На бумажном носителе"/>
    <s v="С ограничением по срокам "/>
    <m/>
    <m/>
    <s v=""/>
    <s v="Договор возмездного оказания услуг"/>
    <s v="Доходная часть"/>
    <s v="Рамочный"/>
    <s v="20%"/>
    <s v=""/>
    <s v=""/>
    <s v="5 477 460 698.29"/>
    <s v="4 564 550 581.91"/>
    <s v="912 910 116.38"/>
    <s v="нет"/>
    <s v="нет"/>
    <s v=""/>
    <s v=""/>
    <s v=""/>
    <s v=""/>
    <s v="нет"/>
  </r>
  <r>
    <s v="Газпромнефть-ГЕО, ООО"/>
    <s v="0000060716"/>
    <s v="Зарегистрирован"/>
    <m/>
    <m/>
    <x v="18"/>
    <s v="7728803870"/>
    <s v="ГЕО-21/10303/00204/Р"/>
    <s v=""/>
    <s v="10"/>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41-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 Включение в договоры Приложения «Временный регламент по обращению с металлической бочкотарой на объектах ДО БРД ПАО «Газпром нефть»"/>
    <s v="Мячина М.В."/>
    <s v="Мячина М.В."/>
    <s v="Договорный документ"/>
    <s v="Отдел подготовительных работ и экономического анализа"/>
    <s v="Трифонов А.В."/>
    <s v="ЭП"/>
    <s v="До исполнения обязательств"/>
    <m/>
    <m/>
    <s v="Д-33"/>
    <s v="Приготовление и инженерное сопровождение буровых растворов"/>
    <s v="Не предполагает взаиморасчетов"/>
    <s v="Стоимостной"/>
    <s v=""/>
    <s v=""/>
    <s v=""/>
    <s v=""/>
    <s v=""/>
    <s v=""/>
    <s v="нет"/>
    <s v="нет"/>
    <s v=""/>
    <s v=""/>
    <s v=""/>
    <s v=""/>
    <s v="нет"/>
  </r>
  <r>
    <s v="Газпромнефть-ГЕО, ООО"/>
    <s v=""/>
    <s v="Закрыт"/>
    <m/>
    <m/>
    <x v="313"/>
    <s v=""/>
    <s v="ГЕО-22/25000/00117/Р"/>
    <s v=""/>
    <s v="1 (СОР)"/>
    <s v="Нетиповой ДД"/>
    <x v="0"/>
    <s v=""/>
    <s v="01042-22"/>
    <s v=""/>
    <s v="Соглашение о расторжении Договора"/>
    <s v="Расторжение Договорас Коваленко Мариной Витальевной №ГЕО-22/25000/00117/Р от 01.06.2022 г.  на оказание услуг в области закупок работ/услуг и управления исполнением договоров"/>
    <s v="Коваленко М.В."/>
    <s v="Быков Н.В."/>
    <s v="Договорный документ"/>
    <s v="Управление закупок работ и услуг"/>
    <s v="Титов А.В."/>
    <s v="На бумажном носителе"/>
    <s v="До исполнения обязательств"/>
    <m/>
    <m/>
    <s v="Д-56"/>
    <s v="Договор оказания услуг с физическим лицом"/>
    <s v="Не предполагает взаиморасчетов"/>
    <s v="Стоимостной"/>
    <s v=""/>
    <s v=""/>
    <s v=""/>
    <s v=""/>
    <s v=""/>
    <s v=""/>
    <s v="нет"/>
    <s v="нет"/>
    <s v=""/>
    <s v=""/>
    <s v=""/>
    <s v=""/>
    <s v="нет"/>
  </r>
  <r>
    <s v="Газпромнефть-ГЕО, ООО"/>
    <s v="0000040952"/>
    <s v="Зарегистрирован"/>
    <m/>
    <m/>
    <x v="207"/>
    <s v="7203126844"/>
    <s v="ГЕО-19/10823/00331/Р "/>
    <s v=""/>
    <s v="8"/>
    <s v="Нетиповой ДД"/>
    <x v="0"/>
    <s v=""/>
    <s v="01044-22"/>
    <s v=""/>
    <s v=" Дополнительное соглашение о продление срока действия и срока выполнения работ по Договору до 31.03.2023г.,"/>
    <s v="Продление срока действия и срока выполнения работ по Договору до 31.03.2023г., а также приведение под факт выполнения за 2020, 2021 и 2022 года с переводом неизрасходоавнных объёмов работ из гарантированной части в негарантированную в 2023г. с перераспределение объёмов работ между статьями затрат и между годами с уменьшением общей стоимости Договора на 1,41 руб. (один рубль сорок одна копейка) без НДС, без изменения единичных расценок по Договору."/>
    <s v="Забиров А.А."/>
    <s v="Забиров А.А."/>
    <s v="Договорный документ"/>
    <s v="Производственно-технологический департамент"/>
    <s v="Трифонов А.В."/>
    <s v="ЭП"/>
    <s v="С ограничением по срокам "/>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3624"/>
    <s v="Зарегистрирован"/>
    <m/>
    <m/>
    <x v="222"/>
    <s v="7728632093"/>
    <s v="ГЕО-22/09000/00002/P"/>
    <s v=""/>
    <s v="1"/>
    <s v="Нетиповой ДД"/>
    <x v="0"/>
    <s v=""/>
    <s v="01045-22"/>
    <s v=""/>
    <s v="ДС 1 к договору возмездного оказания услуг № ГЕО-22/09000/00002/P//ГПН-НС/22/001/Д"/>
    <s v="Продление на 2023 год срока оказания услуг по развитию социально-бытовых условий Заказчика, изменение стоимости услуг, изменение реквизитов банковских счетов &quot;ГПН-Нефтесервис&quot;"/>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m/>
    <m/>
    <s v="Д-56"/>
    <s v="Договор возмездного оказания услуг"/>
    <s v="Расходная часть"/>
    <s v="Стоимостной"/>
    <s v="20%"/>
    <s v=""/>
    <s v=""/>
    <s v="2 412 830.88"/>
    <s v="2 010 692.40"/>
    <s v="402 138.48"/>
    <s v="нет"/>
    <s v="нет"/>
    <s v=""/>
    <s v=""/>
    <s v=""/>
    <s v=""/>
    <s v="нет"/>
  </r>
  <r>
    <s v="Газпромнефть-ГЕО, ООО"/>
    <s v="0000061621"/>
    <s v="Зарегистрирован"/>
    <m/>
    <m/>
    <x v="57"/>
    <s v="6381010888"/>
    <s v="ГЕО-21/10301/00259/Р"/>
    <s v=""/>
    <s v="3"/>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47-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ключение в договоры Приложения «Временный регламент по обращению с металлической бочкотарой на объектах ДО БРД ПАО «Газпром нефть»"/>
    <s v="Мячина М.В."/>
    <s v="Мячина М.В."/>
    <s v="Договорный документ"/>
    <s v="Отдел подготовительных работ и экономического анализа"/>
    <s v="Трифонов А.В."/>
    <s v="ЭП"/>
    <s v="До исполнения обязательств"/>
    <m/>
    <m/>
    <s v="Д-33"/>
    <s v="Технологическое сопровождение (прокат) буровых долот"/>
    <s v="Не предполагает взаиморасчетов"/>
    <s v="Стоимостной"/>
    <s v=""/>
    <s v=""/>
    <s v=""/>
    <s v=""/>
    <s v=""/>
    <s v=""/>
    <s v="нет"/>
    <s v="нет"/>
    <s v=""/>
    <s v=""/>
    <s v=""/>
    <s v=""/>
    <s v="нет"/>
  </r>
  <r>
    <s v="Газпромнефть-ГЕО, ООО"/>
    <s v="0000045671"/>
    <s v="Зарегистрирован"/>
    <m/>
    <m/>
    <x v="71"/>
    <s v="8905039143"/>
    <s v="ГЕО-20/09000/00058/Р "/>
    <s v=""/>
    <s v="1"/>
    <s v="Нетиповой ДД"/>
    <x v="0"/>
    <s v=""/>
    <s v="01048-22"/>
    <s v=""/>
    <s v="ДС №6 к договору № ГЕО-20/09000/00058/Р от «15» марта 2020 г. на оказание услуг по содержанию Вахтового жилого комплекса (в т.ч. питание, клининг, химчистка) на Лицензионных участках ООО «ГПН-ГЕО»  "/>
    <s v="Продление на 2023 год услуг по содержанию Вахтового жилого комплекса (в т.ч. питание, клининг, химчистка) на Лицензионных участках ООО «ГПН-ГЕО» "/>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m/>
    <m/>
    <s v="Д-56"/>
    <s v="Договор возмездного оказания услуг"/>
    <s v="Расходная часть"/>
    <s v="Стоимостной"/>
    <s v="20%"/>
    <s v=""/>
    <s v="0"/>
    <s v="116 242 041.77"/>
    <s v="96 868 368.14"/>
    <s v="19 373 673.63"/>
    <s v="да"/>
    <s v="нет"/>
    <s v=""/>
    <s v=""/>
    <s v=""/>
    <s v=""/>
    <s v="нет"/>
  </r>
  <r>
    <s v="Газпромнефть-ГЕО, ООО"/>
    <s v="0000062928"/>
    <s v="Зарегистрирован"/>
    <m/>
    <m/>
    <x v="136"/>
    <s v="7701645627"/>
    <s v="ГЕО-20/11501/00184/Р"/>
    <s v=""/>
    <s v="4"/>
    <s v="Нетиповой ДД"/>
    <x v="3"/>
    <s v=""/>
    <s v="01049-22"/>
    <s v=""/>
    <s v="ГЕО-20/11501/00184/Р"/>
    <s v="Выполнение камеральных маркшейдерских работ"/>
    <s v="Хохлов А.А."/>
    <s v="Хохлов А.А."/>
    <s v="Договорный документ"/>
    <s v="Управление маркшейдерско-землеустроительных работ"/>
    <s v="Трифонов А.В."/>
    <s v="ЭП"/>
    <s v="С ограничением по срокам "/>
    <m/>
    <m/>
    <s v="Д-33"/>
    <s v="Договор возмездного оказания услуг"/>
    <s v="Расходная часть"/>
    <s v="Рамочный"/>
    <s v="без НДС"/>
    <s v=""/>
    <s v=""/>
    <s v="596 697.55"/>
    <s v="596 697.55"/>
    <n v="0"/>
    <s v="нет"/>
    <s v="нет"/>
    <s v=""/>
    <s v=""/>
    <s v=""/>
    <s v=""/>
    <s v="нет"/>
  </r>
  <r>
    <s v="Газпромнефть-ГЕО, ООО"/>
    <s v="0000063129"/>
    <s v="Зарегистрирован"/>
    <m/>
    <m/>
    <x v="94"/>
    <s v="5603032851"/>
    <s v="ГЕО-22/10968/00279/Р"/>
    <s v=""/>
    <s v="1"/>
    <s v="Нетиповой ДД"/>
    <x v="3"/>
    <s v=""/>
    <s v="01050-22"/>
    <s v=""/>
    <s v="Наряд-Задание № 1"/>
    <s v="Заключение Наряд-Заказа № 1 с ООО &quot;Велес&quot;"/>
    <s v="Автеньев М.В."/>
    <s v="Копылов Е.О."/>
    <s v="Договорный документ"/>
    <s v="Блок производственной безопасности"/>
    <s v="Ядрышников П.Н."/>
    <s v="ЭП"/>
    <s v="С ограничением по срокам "/>
    <m/>
    <m/>
    <s v="Д-2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7 324 004.15"/>
    <s v="6 103 336.79"/>
    <s v="1 220 667.36"/>
    <s v="нет"/>
    <s v="нет"/>
    <s v=""/>
    <s v=""/>
    <s v=""/>
    <s v=""/>
    <s v="нет"/>
  </r>
  <r>
    <s v="Газпромнефть-ГЕО, ООО"/>
    <s v="0000067121"/>
    <s v="Зарегистрирован"/>
    <m/>
    <m/>
    <x v="62"/>
    <s v="7202171361"/>
    <s v=""/>
    <s v="ГЕО-22/33400/00314"/>
    <s v="ГЕО-22/33400/00314"/>
    <s v="Нетиповой ДД"/>
    <x v="1"/>
    <s v=""/>
    <s v="01051-22"/>
    <s v=""/>
    <s v="Соглашение о безопасном использовании информационных систем"/>
    <s v="Для работы в Цифровом двойнике"/>
    <s v="Ушакова М.А."/>
    <s v=""/>
    <s v="Договорный документ"/>
    <s v="Блок геологии и разработки"/>
    <s v="Созинов С.А."/>
    <s v="ЭП"/>
    <s v="С ограничением по срокам "/>
    <m/>
    <m/>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43624"/>
    <s v="Зарегистрирован"/>
    <m/>
    <m/>
    <x v="222"/>
    <s v="7728632093"/>
    <s v="ГЕО-22/09000/00010/Р"/>
    <s v=""/>
    <s v="1"/>
    <s v="Нетиповой ДД"/>
    <x v="0"/>
    <s v=""/>
    <s v="01052-22"/>
    <s v=""/>
    <s v="Дополнительное соглашение №1"/>
    <s v="Заключение доп.соглашения к договору №ГЕО-22/09000/00010/Р от 01.01.2022г. с ООО «Газпромнефть-Нефтесервис», с целью продолжения работы по обеспечению безопасности полетов в периметре Компании."/>
    <s v="Бабиков Н.В."/>
    <s v="Бабиков Н.В."/>
    <s v="Договорный документ"/>
    <s v="Блок снабжения и закупок"/>
    <s v="Титов А.В."/>
    <s v="На бумажном носителе"/>
    <s v="С ограничением по срокам "/>
    <m/>
    <m/>
    <s v="Д-56"/>
    <s v="Договор возмездного оказания услуг"/>
    <s v="Расходная часть"/>
    <s v="Стоимостной"/>
    <s v="20%"/>
    <s v=""/>
    <s v=""/>
    <s v="3 771 838.66"/>
    <s v="3 143 198.88"/>
    <s v="628 639.78"/>
    <s v="нет"/>
    <s v="нет"/>
    <s v=""/>
    <s v=""/>
    <s v=""/>
    <s v=""/>
    <s v="нет"/>
  </r>
  <r>
    <s v="Газпромнефть-ГЕО, ООО"/>
    <s v="0000085139"/>
    <s v="Зарегистрирован"/>
    <m/>
    <m/>
    <x v="432"/>
    <s v="7802651190"/>
    <s v="АНГ-17/04300/00167/Р"/>
    <s v=""/>
    <s v="5"/>
    <s v="Нетиповой ДД"/>
    <x v="0"/>
    <s v=""/>
    <s v="01053-22"/>
    <s v=""/>
    <s v="Договор аренды"/>
    <s v="В целях обеспечения закупки услуг аренды помещений площадью 1546 м2, расположенных в здании по адресу г. Санкт-Петербург, ул. Синопская набережная 22 (8 этаж), для их использования в целях организации офиса и аренды 9 парковочных мест"/>
    <s v="Буракова О.В."/>
    <s v="Сергель О.Г."/>
    <s v="Договорный документ"/>
    <s v="Отдел административной поддержки бизнеса"/>
    <s v="Ковтун М.А."/>
    <s v="На бумажном носителе"/>
    <s v="С ограничением по срокам "/>
    <m/>
    <m/>
    <s v="Д-62"/>
    <s v="Договор аренды недвижимости"/>
    <s v="Расходная часть"/>
    <s v="Стоимостной"/>
    <s v="20%"/>
    <s v=""/>
    <s v=""/>
    <s v="372 113 220.92"/>
    <s v="310 094 350.77"/>
    <s v="62 018 870.15"/>
    <s v="нет"/>
    <s v="нет"/>
    <s v=""/>
    <s v=""/>
    <s v=""/>
    <s v=""/>
    <s v="нет"/>
  </r>
  <r>
    <s v="Газпромнефть-ГЕО, ООО"/>
    <s v="0000061903"/>
    <s v="Зарегистрирован"/>
    <m/>
    <m/>
    <x v="180"/>
    <s v="9909012867"/>
    <s v="ГЕО-21/10301/00261/Р"/>
    <s v=""/>
    <s v="3"/>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54-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ключение в договоры Приложения «Временный регламент по обращению с металлической бочкотарой на объектах ДО БРД ПАО «Газпром нефть»"/>
    <s v="Мячина М.В."/>
    <s v="Мячина М.В."/>
    <s v="Договорный документ"/>
    <s v="Отдел подготовительных работ и экономического анализа"/>
    <s v="Трифонов А.В."/>
    <s v="На бумажном носителе"/>
    <s v="До исполнения обязательств"/>
    <m/>
    <m/>
    <s v="Д-33"/>
    <s v="Технологическое сопровождение (прокат) буровых долот"/>
    <s v="Не предполагает взаиморасчетов"/>
    <s v="Стоимостной"/>
    <s v=""/>
    <s v=""/>
    <s v=""/>
    <s v=""/>
    <s v=""/>
    <s v=""/>
    <s v="нет"/>
    <s v="нет"/>
    <s v=""/>
    <s v=""/>
    <s v=""/>
    <s v=""/>
    <s v="нет"/>
  </r>
  <r>
    <s v="Газпромнефть-ГЕО, ООО"/>
    <s v="0000062524"/>
    <s v="Зарегистрирован"/>
    <m/>
    <m/>
    <x v="12"/>
    <s v="5908034187"/>
    <s v="ГЕО-21/10302/00225/Р"/>
    <s v=""/>
    <s v="3"/>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55-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ключение в договоры Приложения «Временный регламент по обращению с металлической бочкотарой на объектах ДО БРД ПАО «Газпром нефть»"/>
    <s v="Мячина М.В."/>
    <s v="Мячина М.В."/>
    <s v="Договорный документ"/>
    <s v="Отдел подготовительных работ и экономического анализа"/>
    <s v="Трифонов А.В."/>
    <s v="ЭП"/>
    <s v="До исполнения обязательств"/>
    <m/>
    <m/>
    <s v="Д-33"/>
    <s v="Технологическое сопровождение (прокат) забойных двигателей     "/>
    <s v="Не предполагает взаиморасчетов"/>
    <s v="Стоимостной"/>
    <s v=""/>
    <s v=""/>
    <s v=""/>
    <s v=""/>
    <s v=""/>
    <s v=""/>
    <s v="нет"/>
    <s v="нет"/>
    <s v=""/>
    <s v=""/>
    <s v=""/>
    <s v=""/>
    <s v="нет"/>
  </r>
  <r>
    <s v="Газпромнефть-ГЕО, ООО"/>
    <s v="0000071739"/>
    <s v="Зарегистрирован"/>
    <m/>
    <m/>
    <x v="13"/>
    <s v="7710497816"/>
    <s v="ГЕО-22/09000/00014/Р"/>
    <s v=""/>
    <s v="3"/>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56-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О включении в договоры Приложения «Временный регламент по обращению с металлической бочкотарой на объектах ДО БРД ПАО «Газпром нефть»"/>
    <s v="Мячина М.В."/>
    <s v="Мячина М.В."/>
    <s v="Договорный документ"/>
    <s v="Отдел подготовительных работ и экономического анализа"/>
    <s v="Трифонов А.В."/>
    <s v="На бумажном носителе"/>
    <s v="До исполнения обязательств"/>
    <m/>
    <m/>
    <s v="Д-33"/>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37860"/>
    <s v="Зарегистрирован"/>
    <m/>
    <m/>
    <x v="189"/>
    <s v="7714024384"/>
    <s v="ГЕО-21/10318/00258/Р"/>
    <s v=""/>
    <s v="2"/>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57-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ключение в договоры Приложения «Временный регламент по обращению с металлической бочкотарой на объектах ДО БРД ПАО «Газпром нефть»"/>
    <s v="Мячина М.В."/>
    <s v="Мячина М.В."/>
    <s v="Договорный документ"/>
    <s v="Отдел подготовительных работ и экономического анализа"/>
    <s v="Трифонов А.В."/>
    <s v="На бумажном носителе"/>
    <s v="До исполнения обязательств"/>
    <m/>
    <m/>
    <s v="Д-33"/>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068695"/>
    <s v="Зарегистрирован"/>
    <m/>
    <m/>
    <x v="77"/>
    <s v="1106013435"/>
    <s v="ГЕО-21/10306/00256/Р"/>
    <s v=""/>
    <s v="4"/>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58-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 Включение в договоры Приложения «Временный регламент по обращению с металлической бочкотарой на объектах ДО БРД ПАО «Газпром нефть»"/>
    <s v="Мячина М.В."/>
    <s v="Мячина М.В."/>
    <s v="Договорный документ"/>
    <s v="Отдел подготовительных работ и экономического анализа"/>
    <s v="Трифонов А.В."/>
    <s v="ЭП"/>
    <s v="До исполнения обязательств"/>
    <m/>
    <m/>
    <s v="Д-33"/>
    <s v="Цементирование обсадных колонн и хвостовиков, установка цементных мостов"/>
    <s v="Не предполагает взаиморасчетов"/>
    <s v="Стоимостной"/>
    <s v=""/>
    <s v=""/>
    <s v=""/>
    <s v=""/>
    <s v=""/>
    <s v=""/>
    <s v="нет"/>
    <s v="нет"/>
    <s v=""/>
    <s v=""/>
    <s v=""/>
    <s v=""/>
    <s v="нет"/>
  </r>
  <r>
    <s v="Газпромнефть-ГЕО, ООО"/>
    <s v="0000048878"/>
    <s v="Зарегистрирован"/>
    <m/>
    <m/>
    <x v="29"/>
    <s v="1645019164"/>
    <s v=""/>
    <s v="ГЕО-22/33400/00317"/>
    <s v="ГЕО-22/33400/00317"/>
    <s v="Нетиповой ДД"/>
    <x v="1"/>
    <s v=""/>
    <s v="01061-22"/>
    <s v=""/>
    <s v="Соглашение о безопасном использовании информационных систем"/>
    <s v="Для работы в Цифровом двойнике"/>
    <s v="Ушакова М.А."/>
    <s v=""/>
    <s v="Договорный документ"/>
    <s v="Блок геологии и разработки"/>
    <s v="Созинов С.А."/>
    <s v="ЭП"/>
    <s v="С ограничением по срокам "/>
    <m/>
    <m/>
    <s v="Д-60"/>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99166"/>
    <s v="Зарегистрирован"/>
    <m/>
    <m/>
    <x v="101"/>
    <s v="5648004029"/>
    <s v=""/>
    <s v="ГЕО-22/04300/00316/Р"/>
    <s v="ГЕО-22/04300/00316/Р"/>
    <s v="Типовой ДД"/>
    <x v="2"/>
    <s v="04300 Договор аренды земельных участков (под строительство)"/>
    <s v="01063-22"/>
    <s v=""/>
    <s v="04300 Договор аренды земельных участков (под строительство)"/>
    <s v="для строительства промышленных и иных объектов, а именно (но, не ограничиваясь) для размещения бурового оборудования при бурении скважины № 341 ПО и подъездного пути к ней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m/>
    <m/>
    <s v="Д-61"/>
    <s v="Договор аренды недвижимости"/>
    <s v="Расходная часть"/>
    <s v="Стоимостной"/>
    <s v="20%"/>
    <s v=""/>
    <s v=""/>
    <s v="1 188 000.00"/>
    <s v="990 000.00"/>
    <s v="198 000.00"/>
    <s v="нет"/>
    <s v="нет"/>
    <s v=""/>
    <s v=""/>
    <s v=""/>
    <s v=""/>
    <s v="нет"/>
  </r>
  <r>
    <s v="Газпромнефть-ГЕО, ООО"/>
    <s v="0000099166"/>
    <s v="Зарегистрирован"/>
    <m/>
    <m/>
    <x v="101"/>
    <s v="5648004029"/>
    <s v=""/>
    <s v="ГЕО-22/04500/00319/Р"/>
    <s v="ГЕО-22/04500/00319/Р"/>
    <s v="Нетиповой ДД"/>
    <x v="2"/>
    <s v=""/>
    <s v="01064-22"/>
    <s v=""/>
    <s v="ДОГОВОР СУБАРЕНДЫ ЗЕМЕЛЬНОГО УЧАСТКА"/>
    <s v="для строительства промышленных и иных объектов, а именно (но не ограничиваясь) 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m/>
    <m/>
    <s v="Д-61"/>
    <s v="Договор субаренды недвижимости"/>
    <s v="Расходная часть"/>
    <s v="Стоимостной"/>
    <s v="20%"/>
    <s v=""/>
    <s v=""/>
    <s v="469 260.00"/>
    <s v="391 050.00"/>
    <s v="78 210.00"/>
    <s v="нет"/>
    <s v="нет"/>
    <s v=""/>
    <s v=""/>
    <s v=""/>
    <s v=""/>
    <s v="нет"/>
  </r>
  <r>
    <s v="Газпромнефть-ГЕО, ООО"/>
    <s v="0000099595"/>
    <s v="Зарегистрирован"/>
    <m/>
    <m/>
    <x v="265"/>
    <s v="5648004036"/>
    <s v=""/>
    <s v="ГЕО-22/04500/00320/Р"/>
    <s v="ГЕО-22/04500/00320/Р"/>
    <s v="Нетиповой ДД"/>
    <x v="2"/>
    <s v=""/>
    <s v="01066-22"/>
    <s v=""/>
    <s v="ДОГОВОР СУБАРЕНДЫ ЗЕМЕЛЬНОГО УЧАСТКА"/>
    <s v="для размещения подъездного пути к скважине № 341ПО Солнечного лицензионного участка"/>
    <s v="Сазонова А.С."/>
    <s v="Сазонова А.С."/>
    <s v="Договорный документ"/>
    <s v="Управление маркшейдерско-землеустроительных работ"/>
    <s v="Перфильев Д.А."/>
    <s v="На бумажном носителе"/>
    <s v="С ограничением по срокам "/>
    <m/>
    <m/>
    <s v="Д-61"/>
    <s v="Договор субаренды недвижимости"/>
    <s v="Расходная часть"/>
    <s v="Стоимостной"/>
    <s v="20%"/>
    <s v=""/>
    <s v=""/>
    <s v="189 000.00"/>
    <s v="157 500.00"/>
    <s v="31 500.00"/>
    <s v="нет"/>
    <s v="нет"/>
    <s v=""/>
    <s v=""/>
    <s v=""/>
    <s v=""/>
    <s v="нет"/>
  </r>
  <r>
    <s v="Газпромнефть-ГЕО, ООО"/>
    <s v="0000062082"/>
    <s v="Зарегистрирован"/>
    <m/>
    <m/>
    <x v="122"/>
    <s v="7704627560"/>
    <s v="ГЕО-19/10201/00155/Р "/>
    <s v=""/>
    <s v="9"/>
    <s v="Типовой ДД"/>
    <x v="0"/>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01068-22"/>
    <s v=""/>
    <s v=" Дополнительное соглашение о включении в договоры Приложения «Временный регламент по обращению с металлической бочкотарой на объектах ДО БРД ПАО «Газпром нефть» во Исполнение протокола ЗЗК по производственной безопасности БРД №ПТ-100.0170/000005/01"/>
    <s v="Временный регламент по обращению с металлической бочкотарой на объектах ДО БРД ПАО «Газпром нефть»_x000d__x000a_Утвержден: протоколом ЗЗК по ПБ БРД_x000d__x000a_№ ПТ-100.0170/000005/01 от 02.08.2022"/>
    <s v="Яшкина К.Л."/>
    <s v="Яшкина К.Л."/>
    <s v="Договорный документ"/>
    <s v="Блок бурения и ВСР"/>
    <s v="Трифонов А.В."/>
    <s v="На бумажном носителе"/>
    <s v="С ограничением по срокам "/>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3624"/>
    <s v="Зарегистрирован"/>
    <m/>
    <m/>
    <x v="222"/>
    <s v="7728632093"/>
    <s v="ГЕО-20/09000/00037/Р "/>
    <s v=""/>
    <s v="4"/>
    <s v="Нетиповой ДД"/>
    <x v="0"/>
    <s v=""/>
    <s v="01069-22"/>
    <s v=""/>
    <s v="Дополнительное соглашение №4 к договору ГЕО-20/09000/00037/Р "/>
    <s v="Изменение реквизитов"/>
    <s v="Кулагина А.А."/>
    <s v="Кулагина А.А."/>
    <s v="Договорный документ"/>
    <s v="Блок снабжения и закупок"/>
    <s v="Титов А.В."/>
    <s v="На бумажном носителе"/>
    <s v="До исполнения обязательств"/>
    <m/>
    <m/>
    <s v="Д-56"/>
    <s v="Договор возмездного оказания услуг"/>
    <s v="Не предполагает взаиморасчетов"/>
    <s v=""/>
    <s v=""/>
    <s v=""/>
    <s v=""/>
    <s v=""/>
    <s v=""/>
    <s v=""/>
    <s v="нет"/>
    <s v="нет"/>
    <s v=""/>
    <s v=""/>
    <s v=""/>
    <s v=""/>
    <s v="нет"/>
  </r>
  <r>
    <s v="Газпромнефть-ГЕО, ООО"/>
    <s v="0000103544"/>
    <s v="Закрыт"/>
    <m/>
    <m/>
    <x v="268"/>
    <s v="563903365352"/>
    <s v="ГЕО-22/04500/00154/Р"/>
    <s v=""/>
    <s v="1"/>
    <s v="Нетиповой ДД"/>
    <x v="0"/>
    <s v=""/>
    <s v="01070-22"/>
    <s v=""/>
    <s v="Дополнительное соглашение № 1 к Соглашению о возмещении убытков сельскохозяйственного производства, в т. ч. упущенной выгоды и затрат на биологическую рекультивацию при временном занятии земельного участка"/>
    <s v="изменение условия оплаты по Соглашению ГЕО-22/04500/00154/Р"/>
    <s v="Сазонова А.С."/>
    <s v="Сазонова А.С."/>
    <s v="Договорный документ"/>
    <s v="Управление маркшейдерско-землеустроительных работ"/>
    <s v="Трифонов А.В."/>
    <s v="На бумажном носителе"/>
    <s v="До исполнения обязательств"/>
    <m/>
    <m/>
    <s v="Д-33"/>
    <s v="Договор субаренды недвижимости"/>
    <s v="Расходная часть"/>
    <s v="Стоимостной"/>
    <s v="0%"/>
    <s v=""/>
    <s v=""/>
    <s v="357 573.15"/>
    <s v="357 573.15"/>
    <n v="0"/>
    <s v="нет"/>
    <s v="нет"/>
    <s v=""/>
    <s v=""/>
    <s v=""/>
    <s v=""/>
    <s v="нет"/>
  </r>
  <r>
    <s v="Газпромнефть-ГЕО, ООО"/>
    <s v="0000047108"/>
    <s v="Зарегистрирован"/>
    <m/>
    <m/>
    <x v="19"/>
    <s v="3245502148"/>
    <s v="ГЕО-20/09000/00182/Д"/>
    <s v=""/>
    <s v="5"/>
    <s v="Нетиповой ДД"/>
    <x v="0"/>
    <s v=""/>
    <s v="01071-22"/>
    <s v=""/>
    <s v="Дополнительное соглашение №5 Операторскому соглашению"/>
    <s v="Дополнительное соглашение №5 Операторскому соглашению об изменении программы работ и оказания Услуг по программе проектов ГРР: Лескинский ЛУ, Пухуцяяский ЛУ"/>
    <s v="Андреева И.В."/>
    <s v="Титиевский Е.Н."/>
    <s v="Договорный документ"/>
    <s v="Управление экономического планирования и анализа"/>
    <s v="Николаев М.Н."/>
    <s v="На бумажном носителе"/>
    <s v="С ограничением по срокам "/>
    <m/>
    <m/>
    <s v="Д-57"/>
    <s v="Договор возмездного оказания услуг"/>
    <s v="Доходная часть"/>
    <s v="Стоимостной"/>
    <s v="20%"/>
    <s v=""/>
    <s v=""/>
    <s v="3 925 895 731.16"/>
    <s v="3 271 579 775.97"/>
    <s v="654 315 955.19"/>
    <s v="нет"/>
    <s v="нет"/>
    <s v=""/>
    <s v=""/>
    <s v=""/>
    <s v=""/>
    <s v="нет"/>
  </r>
  <r>
    <s v="Газпромнефть-ГЕО, ООО"/>
    <s v="0000080408"/>
    <s v="Зарегистрирован"/>
    <m/>
    <m/>
    <x v="104"/>
    <s v="3812043780"/>
    <s v="ГЕО-22/11029/00171/Р"/>
    <s v=""/>
    <s v="2"/>
    <s v="Нетиповой ДД"/>
    <x v="4"/>
    <s v=""/>
    <s v="01072-22"/>
    <s v="1"/>
    <s v="Изм №2 в Наряд-заказ №1 ...171 СТС,ООО"/>
    <s v="изменения №2 к Наряд-заказу №1 к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Департамент капитального строительства"/>
    <s v="Трифонов А.В."/>
    <s v="ЭП"/>
    <s v="До исполнения обязательств"/>
    <m/>
    <m/>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85 223 806.40"/>
    <s v="154 353 172.00"/>
    <s v="30 870 634.40"/>
    <s v="нет"/>
    <s v="нет"/>
    <s v=""/>
    <s v=""/>
    <s v=""/>
    <s v=""/>
    <s v="нет"/>
  </r>
  <r>
    <s v="Газпромнефть-ГЕО, ООО"/>
    <s v="0000064025, 0000074608"/>
    <s v="Закрыт"/>
    <m/>
    <m/>
    <x v="492"/>
    <s v="7728720448, 8603100867"/>
    <s v="ГЕО-22/10000/00308/Р"/>
    <s v=""/>
    <s v="1"/>
    <s v="Нетиповой ДД"/>
    <x v="0"/>
    <s v=""/>
    <s v="01073-22"/>
    <s v=""/>
    <s v="Соглашение о переуступке ДД ГЕО-22/10000/00308/Р от 29.11.22"/>
    <s v="Переуступка ДД ГЕО-22/10000/00308/Р от 29.11.2022 года в ГПН-Заполярье с 01.12.2022"/>
    <s v="Гусаков В.В."/>
    <s v="Гусаков В.В."/>
    <s v="Договорный документ"/>
    <s v="Блок снабжения и закупок"/>
    <s v="Титов А.В."/>
    <s v="На бумажном носителе"/>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7121"/>
    <s v="Зарегистрирован"/>
    <m/>
    <m/>
    <x v="62"/>
    <s v="7202171361"/>
    <s v="ХНТ-20/10110/967/Р/60/ГЕО-20/10110/00198/Р "/>
    <s v=""/>
    <s v="7"/>
    <s v="Нетиповой ДД"/>
    <x v="0"/>
    <s v=""/>
    <s v="01074-22"/>
    <s v=""/>
    <s v="ДС №7 к Договору № ХНТ-20/10110/967/Р/60/ГЕО-20/10110/00198/Р от 06.10.2020 г. с ООО «ТСГК»"/>
    <s v="Выплата мотивации по этапу работ №4"/>
    <s v="Ушакова М.А."/>
    <s v=""/>
    <s v="Договорный документ"/>
    <s v="Блок геологии и разработки"/>
    <s v="Аксенов М.А."/>
    <s v="ЭП"/>
    <s v="С ограничением по срокам "/>
    <m/>
    <m/>
    <s v=""/>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56254"/>
    <s v="Зарегистрирован"/>
    <m/>
    <m/>
    <x v="23"/>
    <s v="7839415866"/>
    <s v="ГЕО-18/00000/00071/Р"/>
    <s v=""/>
    <s v="9"/>
    <s v="Нетиповой ДД"/>
    <x v="0"/>
    <s v=""/>
    <s v="01075-22"/>
    <s v=""/>
    <s v="Дополнительное соглашение №9 к ДОГОВОРУ № ГЕО-18/00000/00071/Р на оказание охранных услуг"/>
    <s v="Перевод негарантированного объема в гарантированный без увеличения общей стоимости договора. "/>
    <s v="Глухарева Ю.Б."/>
    <s v="Глухарева Ю.Б."/>
    <s v="Договорный документ"/>
    <s v="Блок корпоративной защиты"/>
    <s v="Созинов С.А."/>
    <s v="ЭП"/>
    <s v="С ограничением по срокам "/>
    <m/>
    <m/>
    <s v="Д-60"/>
    <s v="Договор возмездного оказания услуг"/>
    <s v="Расходная часть"/>
    <s v="Стоимостной"/>
    <s v="20%"/>
    <s v=""/>
    <s v=""/>
    <s v="10 328 864.11"/>
    <s v="8 607 386.76"/>
    <s v="1 721 477.35"/>
    <s v="нет"/>
    <s v="нет"/>
    <s v=""/>
    <s v=""/>
    <s v=""/>
    <s v=""/>
    <s v="нет"/>
  </r>
  <r>
    <s v="Газпромнефть-ГЕО, ООО"/>
    <s v="0000039463"/>
    <s v="Зарегистрирован"/>
    <m/>
    <m/>
    <x v="39"/>
    <s v="8905034804"/>
    <s v="№ АНГ-18/09000/00186/Р "/>
    <s v=""/>
    <s v="11"/>
    <s v="Нетиповой ДД"/>
    <x v="0"/>
    <s v=""/>
    <s v="01078-22"/>
    <s v=""/>
    <s v="Дополнительное соглашение №11 к Договору о выполнении операторских работ и оказании операторских услуг (проект Чона)"/>
    <s v="Согласование программы выполнения работ и оказания услуг на 2023г. в рамках программы проектов ГРР: Чона (Игнялинский ЛУ, Вакунайский ЛУ, Тымпучиканский ЛУ)."/>
    <s v="Частухина Е.В."/>
    <s v="Частухина Е.В."/>
    <s v="Договорный документ"/>
    <s v="Управление экономического планирования и анализа"/>
    <s v="Шакирзянов Л.Н."/>
    <s v="На бумажном носителе"/>
    <s v="С ограничением по срокам "/>
    <m/>
    <m/>
    <s v="Д-53"/>
    <s v="Договор возмездного оказания услуг"/>
    <s v="Доходная часть"/>
    <s v="Стоимостной"/>
    <s v="20%"/>
    <s v=""/>
    <s v=""/>
    <s v="636 300 000.00"/>
    <s v="530 250 000.00"/>
    <s v="106 050 000.00"/>
    <s v="нет"/>
    <s v="нет"/>
    <s v=""/>
    <s v=""/>
    <s v=""/>
    <s v=""/>
    <s v="нет"/>
  </r>
  <r>
    <s v="Газпромнефть-ГЕО, ООО"/>
    <s v="0000086565"/>
    <s v="Зарегистрирован"/>
    <m/>
    <m/>
    <x v="106"/>
    <s v="0278127289"/>
    <s v="№ ГЕО-21/101108/00193/Р"/>
    <s v=""/>
    <s v="2"/>
    <s v="Нетиповой ДД"/>
    <x v="0"/>
    <s v=""/>
    <s v="01079-22"/>
    <s v=""/>
    <s v="Дополнительное Соглашение №2 к Договору № ГЕО-21/101108/00193/Р от 16.08.2021 г."/>
    <s v="1. Продление срока действия договора до 31.12.2024_x000d__x000a_2. Перевод гарантированного и негарантированного объема в негарантированный объем без увеличения стоимости договора."/>
    <s v="Лобанов А.А."/>
    <s v="Лобанов А.А."/>
    <s v="Договорный документ"/>
    <s v="Управление по геологии"/>
    <s v="Аксенов М.А."/>
    <s v="На бумажном носителе"/>
    <s v="С ограничением по срокам "/>
    <m/>
    <m/>
    <s v="Д-54"/>
    <s v="Договор на выполнение НИР, ОКР и технологических работ"/>
    <s v="Расходная часть"/>
    <s v="Рамочный"/>
    <s v="20%"/>
    <s v=""/>
    <s v=""/>
    <s v="19 218 628.50"/>
    <s v="16 015 523.75"/>
    <s v="3 203 104.75"/>
    <s v="нет"/>
    <s v="нет"/>
    <s v=""/>
    <s v=""/>
    <s v=""/>
    <s v=""/>
    <s v="нет"/>
  </r>
  <r>
    <s v="Газпромнефть-ГЕО, ООО"/>
    <s v="0000086565"/>
    <s v="Зарегистрирован"/>
    <m/>
    <m/>
    <x v="106"/>
    <s v="0278127289"/>
    <s v="№ ГЕО-21/101108/00193/Р"/>
    <s v=""/>
    <s v="3"/>
    <s v="Нетиповой ДД"/>
    <x v="3"/>
    <s v=""/>
    <s v="01080-22"/>
    <s v=""/>
    <s v="Заказ №3 к договору № ГЕО-21/101108/00193/Р"/>
    <s v="Проведение комплекса лабораторных исследований проб пластовых флюидов, направленного на изучение процессов образования АСПО в пластовых условиях. "/>
    <s v="Лобанов А.А."/>
    <s v="Лобанов А.А."/>
    <s v="Договорный документ"/>
    <s v="Управление по геологии"/>
    <s v="Аксенов М.А."/>
    <s v="ЭП"/>
    <s v="До исполнения обязательств"/>
    <m/>
    <m/>
    <s v="Д-54"/>
    <s v="Договор на выполнение НИР, ОКР и технологических работ"/>
    <s v="Расходная часть"/>
    <s v="Рамочный"/>
    <s v="20%"/>
    <s v=""/>
    <s v=""/>
    <s v="544 953.05"/>
    <s v="454 127.54"/>
    <s v="90 825.51"/>
    <s v="нет"/>
    <s v="нет"/>
    <s v=""/>
    <s v=""/>
    <s v=""/>
    <s v=""/>
    <s v="нет"/>
  </r>
  <r>
    <s v="Газпромнефть-ГЕО, ООО"/>
    <s v="0000048216"/>
    <s v="Зарегистрирован"/>
    <m/>
    <m/>
    <x v="38"/>
    <s v="8605013881"/>
    <s v="ГЕО-22/20000/00100/Д"/>
    <s v=""/>
    <s v="1"/>
    <s v="Нетиповой ДД"/>
    <x v="0"/>
    <s v=""/>
    <s v="01081-22"/>
    <s v=""/>
    <s v="Агентский договор на организацию вертолетных авиаперевозок с АО «ПГО «Тюменьпромгеофизика»"/>
    <s v="Продление срока действия и увеличение стоимости договора"/>
    <s v="Титова Е.В."/>
    <s v="Титова Е.В."/>
    <s v="Договорный документ"/>
    <s v="Блок снабжения и закупок"/>
    <s v="Титов А.В."/>
    <s v="ЭП"/>
    <s v="С ограничением по срокам "/>
    <m/>
    <m/>
    <s v="Д-56"/>
    <s v="Агентский договор"/>
    <s v="Доходная часть"/>
    <s v="Агентский"/>
    <s v="20%"/>
    <s v=""/>
    <s v=""/>
    <s v="206 092.59"/>
    <s v="171 743.82"/>
    <s v="34 348.77"/>
    <s v="нет"/>
    <s v="нет"/>
    <s v=""/>
    <s v=""/>
    <s v=""/>
    <s v=""/>
    <s v="нет"/>
  </r>
  <r>
    <s v="Газпромнефть-ГЕО, ООО"/>
    <s v="0000057554"/>
    <s v="Зарегистрирован"/>
    <m/>
    <m/>
    <x v="209"/>
    <s v="3811089799"/>
    <s v="ГЕО-20/11104/00201/Р "/>
    <s v=""/>
    <s v="4"/>
    <s v="Нетиповой ДД"/>
    <x v="0"/>
    <s v=""/>
    <s v="01082-22"/>
    <s v=""/>
    <s v="№ 4 к Договору № ГЕО-20/11104/00201/Р от 31.12.2020 г. с АО «Авиакомпания «Ангара» на оказание авиационных услуг с использованием вертолетов (Далее-Договор), предусматривающего перевод части гарантированного объема 2021 г. в негарантированный и   негаранти"/>
    <s v="Раскрытие ГО в 22 и 23 г. и корректировка ГО в 21 году_x000d__x000a_- по 2021 году перевод ГО в НГО в объеме 285 лет. часов;_x000d__x000a_- по 2022 году перевод НГО в ГО в объеме 50 лет. часов;_x000d__x000a_- по 2023 году перевод НГО в ГО в объеме 50 лет. часов."/>
    <s v="Яшкина К.Л."/>
    <s v="Яшкина К.Л."/>
    <s v="Договорный документ"/>
    <s v="Блок снабжения и закупок"/>
    <s v="Титов А.В."/>
    <s v="ЭП"/>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17853911.25"/>
    <s v="21 424 693.50"/>
    <s v="17 853 911.25"/>
    <s v="3 570 782.25"/>
    <s v="нет"/>
    <s v="нет"/>
    <s v=""/>
    <s v=""/>
    <s v=""/>
    <s v=""/>
    <s v="нет"/>
  </r>
  <r>
    <s v="Газпромнефть-ГЕО, ООО"/>
    <s v="0000063179"/>
    <s v="Зарегистрирован"/>
    <m/>
    <m/>
    <x v="54"/>
    <s v="7727747172"/>
    <s v="ГЕО-20/10986/00138/Р"/>
    <s v=""/>
    <s v="23"/>
    <s v="Нетиповой ДД"/>
    <x v="8"/>
    <s v=""/>
    <s v="01083-22"/>
    <s v=""/>
    <s v="Задание на оказание услуг № 23"/>
    <s v="Оказание супервайзерских услуг по контролю состояния _x000d__x000a_производственной безопасности на объектах ООО «ГПН-ГЕО»"/>
    <s v="Автеньев М.В."/>
    <s v="Фокин Е.В."/>
    <s v="Договорный документ"/>
    <s v="Блок производственной безопасности"/>
    <s v="Ядрышников П.Н."/>
    <s v="На бумажном носителе"/>
    <s v="С ограничением по срокам "/>
    <m/>
    <m/>
    <s v="Д-2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 348 749.60"/>
    <s v="1 123 958.00"/>
    <s v="224 791.60"/>
    <s v="нет"/>
    <s v="нет"/>
    <s v=""/>
    <s v=""/>
    <s v=""/>
    <s v=""/>
    <s v="нет"/>
  </r>
  <r>
    <s v="Газпромнефть-ГЕО, ООО"/>
    <s v="0000064025"/>
    <s v="Зарегистрирован"/>
    <m/>
    <m/>
    <x v="134"/>
    <s v="7728720448"/>
    <s v=""/>
    <s v="ГЕО-22/01200/00327/Д"/>
    <s v="ГЕО-22/01200/00327/Д"/>
    <s v="Нетиповой ДД"/>
    <x v="2"/>
    <s v=""/>
    <s v="01084-22"/>
    <s v=""/>
    <s v="Договор поставки Д_64025_67942_53066 со спецификацией №1, ДС№1 и ДС№2"/>
    <s v="Продажа невостребованного имущества ООО &quot;ГПН-ГЕО&quot; Арматура фонтанная АФКЭ6-65х35 К1"/>
    <s v="Долгов Д.Г."/>
    <s v="Долгов Д.Г."/>
    <s v="Договорный документ"/>
    <s v="Блок снабжения и закупок"/>
    <s v="Титов А.В."/>
    <s v="На бумажном носителе"/>
    <s v="С ограничением по срокам "/>
    <m/>
    <m/>
    <s v="Д-56"/>
    <s v="Договор поставки/купли продажи движимого имущества"/>
    <s v="Доходная часть"/>
    <s v="Стоимостной"/>
    <s v="20%"/>
    <s v=""/>
    <s v=""/>
    <s v="2 421 255.56"/>
    <s v="2 017 712.97"/>
    <s v="403 542.59"/>
    <s v="нет"/>
    <s v="нет"/>
    <s v=""/>
    <s v=""/>
    <s v=""/>
    <s v=""/>
    <s v="нет"/>
  </r>
  <r>
    <s v="Газпромнефть-ГЕО, ООО"/>
    <s v="0000039714"/>
    <s v="Зарегистрирован"/>
    <m/>
    <m/>
    <x v="1"/>
    <s v="7734033757"/>
    <s v="ГЕО-21/10114/00257/Р"/>
    <s v=""/>
    <s v="5"/>
    <s v="Нетиповой ДД"/>
    <x v="0"/>
    <s v=""/>
    <s v="01085-22"/>
    <s v=""/>
    <s v="10114 - Супервайзерские услуги полевых работ площадными геофизическими методами;"/>
    <s v="Перевод части негарантированного объёма в гарантированный. "/>
    <s v="Дакиров В.С."/>
    <s v=""/>
    <s v="Договорный документ"/>
    <s v="Управление сейсморазведочных работ"/>
    <s v="Аксенов М.А."/>
    <s v="ЭП"/>
    <s v="До исполнения обязательств"/>
    <m/>
    <m/>
    <s v="Д-54"/>
    <s v="Супервайзерские услуги полевых работ площадными геофизическими методами"/>
    <s v="Расходная часть"/>
    <s v="Стоимостной"/>
    <s v="20%"/>
    <s v=""/>
    <s v="16324613"/>
    <s v="155 119 736.40"/>
    <s v="129 266 447.00"/>
    <s v="25 853 289.40"/>
    <s v="да"/>
    <s v="нет"/>
    <s v=""/>
    <s v=""/>
    <s v=""/>
    <s v=""/>
    <s v="нет"/>
  </r>
  <r>
    <s v="Газпромнефть-ГЕО, ООО"/>
    <s v="0000039463"/>
    <s v="Зарегистрирован"/>
    <m/>
    <m/>
    <x v="39"/>
    <s v="8905034804"/>
    <s v=""/>
    <s v="ГЕО-22/01200/00330/Д"/>
    <s v="ГЕО-22/01200/00330/Д"/>
    <s v="Нетиповой ДД"/>
    <x v="2"/>
    <s v=""/>
    <s v="01086-22"/>
    <s v=""/>
    <s v="Договор купли продажи"/>
    <s v="Реализация МТР проекта ЧОНА с ГПН-ГЕО в ГПН-АНГАРА"/>
    <s v="Долгов Д.Г."/>
    <s v="Долгов Д.Г."/>
    <s v="Договорный документ"/>
    <s v="Блок снабжения и закупок"/>
    <s v="Титов А.В."/>
    <s v="На бумажном носителе"/>
    <s v="До исполнения обязательств"/>
    <m/>
    <m/>
    <s v="Д-56"/>
    <s v="Договор поставки/купли продажи движимого имущества"/>
    <s v="Доходная часть"/>
    <s v="Стоимостной"/>
    <s v="20%"/>
    <s v=""/>
    <s v=""/>
    <s v="67 040 001.31"/>
    <s v="55 866 667.76"/>
    <s v="11 173 333.55"/>
    <s v="нет"/>
    <s v="нет"/>
    <s v=""/>
    <s v=""/>
    <s v=""/>
    <s v=""/>
    <s v="нет"/>
  </r>
  <r>
    <s v="Газпромнефть-ГЕО, ООО"/>
    <s v="0000064025, 0000070388"/>
    <s v="Зарегистрирован"/>
    <m/>
    <m/>
    <x v="493"/>
    <s v="7728720448, 0278206011"/>
    <s v="ГЕО-19/10541/00314/Р"/>
    <s v=""/>
    <s v="2"/>
    <s v="Нетиповой ДД"/>
    <x v="0"/>
    <s v=""/>
    <s v="01087-22"/>
    <s v=""/>
    <s v="Соглашение о переуступке ДД №ГЕО-19/10541/00314/Р от 25.12.2019"/>
    <s v="Переуступка ДД  №ГЕО-19/10541/00314/Р от 25.12.2019 г. в ГПН-Заполярье "/>
    <s v="Коваленко М.В."/>
    <s v="Бикташев Р.С."/>
    <s v="Договорный документ"/>
    <s v="Производственно-технологический департамент"/>
    <s v="Трифонов А.В."/>
    <s v="На бумажном носителе"/>
    <s v="Без сроков "/>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0952, 0000064025"/>
    <s v="Зарегистрирован"/>
    <m/>
    <m/>
    <x v="465"/>
    <s v="7203126844, 7728720448"/>
    <s v="ГЕО-19/10823/00331/Р"/>
    <s v=""/>
    <s v="9"/>
    <s v="Нетиповой ДД"/>
    <x v="0"/>
    <s v=""/>
    <s v="01088-22"/>
    <s v=""/>
    <s v="СОГЛАШЕНИЕ О ПЕРЕМЕНЕ ЛИЦ В ОБЯЗАТЕЛЬСТВЕ"/>
    <s v="В связи принятием решения на Управляющем комитете БРД реализовать программу ОПР по проекту «Чона» силами ООО «Газпромнефть-Заполярье», принято решение о преуступки право по договору наоказание услуг по выработке электроэнергии сторонними производителями_x000d__x000a_№ ГЕО-19/10823/00331/Р от 31.12.2019, заключенного ООО &quot;ГПН-ГЕО&quot; с ООО «ЭнергоТехСервис»."/>
    <s v="Забиров А.А."/>
    <s v=""/>
    <s v="Договорный документ"/>
    <s v="Производственно-технологический департамент"/>
    <s v="Трифонов А.В."/>
    <s v="На бумажном носителе"/>
    <s v="С ограничением по срокам "/>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50121"/>
    <s v="Зарегистрирован"/>
    <m/>
    <m/>
    <x v="454"/>
    <s v="7702364555"/>
    <s v=""/>
    <s v="ГЕО-22/24000/00340/Р"/>
    <s v="ГЕО-22/24000/00340/Р"/>
    <s v="Нетиповой ДД"/>
    <x v="2"/>
    <s v=""/>
    <s v="01089-22"/>
    <s v=""/>
    <s v="Приобретение программного обеспечения tNavigator с лицензиями на 1 год"/>
    <s v="Предоставления права использования на условиях простой (неисключительной) лицензии программного обеспечения tNavigator и его обновления"/>
    <s v="Попов В.А."/>
    <s v="Попов В.А."/>
    <s v="Договорный документ"/>
    <s v="Блок геологии и разработки"/>
    <s v="Аксенов М.А."/>
    <s v="ЭП"/>
    <s v="До исполнения обязательств"/>
    <m/>
    <m/>
    <s v="Д-54"/>
    <s v="Лицензионный договор"/>
    <s v="Расходная часть"/>
    <s v="Стоимостной"/>
    <s v="без НДС"/>
    <s v=""/>
    <s v=""/>
    <s v="57 979 021.00"/>
    <s v="57 979 021.00"/>
    <n v="0"/>
    <s v="нет"/>
    <s v="нет"/>
    <s v=""/>
    <s v=""/>
    <s v=""/>
    <s v=""/>
    <s v="нет"/>
  </r>
  <r>
    <s v="Газпромнефть-ГЕО, ООО"/>
    <s v="0000062701"/>
    <s v="Зарегистрирован"/>
    <m/>
    <m/>
    <x v="212"/>
    <s v="6318166129"/>
    <s v="ГЕО-20/11019/00045/Р"/>
    <s v=""/>
    <s v="1"/>
    <s v="Типовой ДД"/>
    <x v="4"/>
    <s v="11018, 11019, 11020, 11021, 11022  Наряд-заказ к Договору (рамочному) на выполнение  работ по услугам &quot;Капитальное строительство и ПИР&quot;"/>
    <s v="01091-22"/>
    <s v="7"/>
    <s v="Изменение 1 к НЗ №7 от 08.07.2022 к ДОГОВОРУ № ГЕО-20/11019/00045/Р от 15.03.2020 г."/>
    <s v="Корректировка объемов проектно-изыскательских работ, перенос сроков выполнения работ"/>
    <s v="Шолохова И.А."/>
    <s v="Салахутдинов Р.С."/>
    <s v="Договорный документ"/>
    <s v="Управление проектно-изыскательских работ"/>
    <s v="Трифонов А.В."/>
    <s v="На бумажном носителе"/>
    <s v="До исполнения обязательств"/>
    <m/>
    <m/>
    <s v="Д-33"/>
    <s v="Капитальное строительство и ПИР"/>
    <s v="Расходная часть"/>
    <s v="Стоимостной"/>
    <s v="20%"/>
    <s v=""/>
    <s v=""/>
    <s v="4 322 254.54"/>
    <s v="3 601 878.78"/>
    <s v="720 375.76"/>
    <s v="нет"/>
    <s v="нет"/>
    <s v=""/>
    <s v=""/>
    <s v=""/>
    <s v=""/>
    <s v="нет"/>
  </r>
  <r>
    <s v="Газпромнефть-ГЕО, ООО"/>
    <s v="0000062701"/>
    <s v="Зарегистрирован"/>
    <m/>
    <m/>
    <x v="212"/>
    <s v="6318166129"/>
    <s v="ГЕО-20/11019/00045/Р"/>
    <s v=""/>
    <s v="1"/>
    <s v="Типовой ДД"/>
    <x v="4"/>
    <s v="11018, 11019, 11020, 11021, 11022  Наряд-заказ к Договору (рамочному) на выполнение  работ по услугам &quot;Капитальное строительство и ПИР&quot;"/>
    <s v="01092-22"/>
    <s v="8"/>
    <s v="ИЗМЕНЕНИЕ № 1 к НАРЯД-ЗАКАЗУ № 8 от 08.07.2022 г. к ДОГОВОРУ № ГЕО-20/11019/00045/Р от 15.03.2020 г."/>
    <s v="Уменьшение объема работ, перенос сроков выполнения работ"/>
    <s v="Шолохова И.А."/>
    <s v="Салахутдинов Р.С."/>
    <s v="Договорный документ"/>
    <s v="Управление проектно-изыскательских работ"/>
    <s v="Трифонов А.В."/>
    <s v="На бумажном носителе"/>
    <s v="До исполнения обязательств"/>
    <m/>
    <m/>
    <s v="Д-33"/>
    <s v="Капитальное строительство и ПИР"/>
    <s v="Расходная часть"/>
    <s v="Рамочный"/>
    <s v="20%"/>
    <s v=""/>
    <s v=""/>
    <s v="4 322 254.54"/>
    <s v="3 601 878.78"/>
    <s v="720 375.76"/>
    <s v="нет"/>
    <s v="нет"/>
    <s v=""/>
    <s v=""/>
    <s v=""/>
    <s v=""/>
    <s v="нет"/>
  </r>
  <r>
    <s v="Газпромнефть-ГЕО, ООО"/>
    <s v="0000105643"/>
    <s v="Зарегистрирован"/>
    <m/>
    <m/>
    <x v="25"/>
    <s v="7717693190"/>
    <s v="ГЕО-22/10120/00208/Р"/>
    <s v=""/>
    <s v="1"/>
    <s v="Нетиповой ДД"/>
    <x v="3"/>
    <s v=""/>
    <s v="01093-22"/>
    <s v=""/>
    <s v="Наряд-заказ на производство работ №1 к Договору №ГЕО-22/10120/00208/Р от «18» августа 2022г."/>
    <s v="Для выполнения ГДИ на Северо-Ямбургском ЛУ"/>
    <s v="Ушакова М.А."/>
    <s v="Николаев В.А."/>
    <s v="Договорный документ"/>
    <s v="Блок геологии и разработки"/>
    <s v="Аксенов М.А."/>
    <s v="ЭП"/>
    <s v="С ограничением по срокам "/>
    <m/>
    <m/>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63179"/>
    <s v="Зарегистрирован"/>
    <m/>
    <m/>
    <x v="54"/>
    <s v="7727747172"/>
    <s v="ГЕО-20/10986/00138/Р"/>
    <s v=""/>
    <s v="25"/>
    <s v="Нетиповой ДД"/>
    <x v="8"/>
    <s v=""/>
    <s v="01094-22"/>
    <s v=""/>
    <s v="Задание на оказание услуг № 25"/>
    <s v="Оказание супервайзерских услуг по контролю состояния _x000d__x000a_производственной безопасности на объектах ООО «ГПН-ГЕО»"/>
    <s v="Автеньев М.В."/>
    <s v="Фокин Е.В."/>
    <s v="Договорный документ"/>
    <s v="Блок производственной безопасности"/>
    <s v="Ядрышников П.Н."/>
    <s v="ЭП"/>
    <s v="С ограничением по срокам "/>
    <m/>
    <m/>
    <s v="Д-2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 793 298.00"/>
    <s v="1 494 415.00"/>
    <s v="298 883.00"/>
    <s v="нет"/>
    <s v="нет"/>
    <s v=""/>
    <s v=""/>
    <s v=""/>
    <s v=""/>
    <s v="нет"/>
  </r>
  <r>
    <s v="Газпромнефть-ГЕО, ООО"/>
    <s v="0000104871"/>
    <s v="Зарегистрирован"/>
    <m/>
    <m/>
    <x v="53"/>
    <s v="7705848410"/>
    <s v=""/>
    <s v="ГЕО-22/33200/00326"/>
    <s v="ГЕО-22/33200/00326"/>
    <s v="Типовой ДД"/>
    <x v="1"/>
    <s v="33200 Соглашение об электронном документообороте"/>
    <s v="01095-22"/>
    <s v=""/>
    <s v="33200 Соглашение об электронном документообороте"/>
    <s v="Внедрение Электронного Документооборота"/>
    <s v="Коротков С.П."/>
    <s v=""/>
    <s v="Договорный документ"/>
    <s v="Управление по разработке"/>
    <s v="Аксенов М.А."/>
    <s v="На бумажном носителе"/>
    <s v="Без сроков "/>
    <m/>
    <m/>
    <s v="Д-54"/>
    <s v="Соглашение об использовании электронного документооборота"/>
    <s v="Не предполагает взаиморасчетов"/>
    <s v="Рамочный"/>
    <s v=""/>
    <s v=""/>
    <s v=""/>
    <s v=""/>
    <s v=""/>
    <s v=""/>
    <s v="нет"/>
    <s v="нет"/>
    <s v=""/>
    <s v=""/>
    <s v=""/>
    <s v=""/>
    <s v="нет"/>
  </r>
  <r>
    <s v="Газпромнефть-ГЕО, ООО"/>
    <s v="0000086584"/>
    <s v="Зарегистрирован"/>
    <m/>
    <m/>
    <x v="113"/>
    <s v="5609077986"/>
    <s v="ЕО-19/09000/00312/Д"/>
    <s v=""/>
    <s v="2"/>
    <s v="Нетиповой ДД"/>
    <x v="0"/>
    <s v=""/>
    <s v="01097-22"/>
    <s v=""/>
    <s v="Дополнителное соглашение №2 к Договору № ГЕО-19/09000/00312/Д"/>
    <s v="Продление сроков действия договора"/>
    <s v="Андреева И.В."/>
    <s v="Андреева И.В."/>
    <s v="Договорный документ"/>
    <s v="Управление экономического планирования и анализа"/>
    <s v="Ковтун М.А."/>
    <s v="На бумажном носителе"/>
    <s v="С ограничением по срокам "/>
    <m/>
    <m/>
    <s v="Д-62"/>
    <s v="Договор возмездного оказания услуг"/>
    <s v="Не предполагает взаиморасчетов"/>
    <s v=""/>
    <s v=""/>
    <s v=""/>
    <s v=""/>
    <s v=""/>
    <s v=""/>
    <s v=""/>
    <s v="нет"/>
    <s v="нет"/>
    <s v=""/>
    <s v=""/>
    <s v=""/>
    <s v=""/>
    <s v="нет"/>
  </r>
  <r>
    <s v="Газпромнефть-ГЕО, ООО"/>
    <s v="0000065735"/>
    <s v="Зарегистрирован"/>
    <m/>
    <m/>
    <x v="200"/>
    <s v="0274095068"/>
    <s v="ГЕО-19/11019/00145/Р"/>
    <s v=""/>
    <s v="1"/>
    <s v="Типовой ДД"/>
    <x v="4"/>
    <s v="11018, 11019, 11020, 11021, 11022  Наряд-заказ к Договору (рамочному) на выполнение  работ по услугам &quot;Капитальное строительство и ПИР&quot;"/>
    <s v="01098-22"/>
    <s v="8"/>
    <s v="ИЗМЕНЕНИЕ №1 к НАРЯД-ЗАКАЗУ №8 от 21.06.2022г. к ДОГОВОРУ № ГЕО-19/11019/00145/Р от 19.06.2019г."/>
    <s v="Выполнение дополнительныъ объемов работ"/>
    <s v="Шолохова И.А."/>
    <s v="Салахутдинов Р.С."/>
    <s v="Договорный документ"/>
    <s v="Управление проектно-изыскательских работ"/>
    <s v="Трифонов А.В."/>
    <s v="На бумажном носителе"/>
    <s v="До исполнения обязательств"/>
    <m/>
    <m/>
    <s v="Д-33"/>
    <s v="Капитальное строительство и ПИР"/>
    <s v="Расходная часть"/>
    <s v="Рамочный"/>
    <s v="20%"/>
    <s v=""/>
    <s v=""/>
    <s v="509 019.30"/>
    <s v="424 182.75"/>
    <s v="84 836.55"/>
    <s v="нет"/>
    <s v="нет"/>
    <s v=""/>
    <s v=""/>
    <s v=""/>
    <s v=""/>
    <s v="нет"/>
  </r>
  <r>
    <s v="Газпромнефть-ГЕО, ООО"/>
    <s v="0000065735"/>
    <s v="Зарегистрирован"/>
    <m/>
    <m/>
    <x v="200"/>
    <s v="0274095068"/>
    <s v="ГЕЩ-19/11019/00145/Р"/>
    <s v=""/>
    <s v="1"/>
    <s v="Типовой ДД"/>
    <x v="4"/>
    <s v="11018, 11019, 11020, 11021, 11022  Наряд-заказ к Договору (рамочному) на выполнение  работ по услугам &quot;Капитальное строительство и ПИР&quot;"/>
    <s v="01099-22"/>
    <s v="9"/>
    <s v="ИЗМЕНЕНИЕ №1 К НАРЯД-ЗАКАЗУ №9 от 23.06.2022г. к ДОГОВОРУ № ГЕО-19/11019/00145/Р от 19.06.2019г."/>
    <s v="Выполнение дополнительных работ"/>
    <s v="Шолохова И.А."/>
    <s v="Салахутдинов Р.С."/>
    <s v="Договорный документ"/>
    <s v="Управление проектно-изыскательских работ"/>
    <s v="Трифонов А.В."/>
    <s v="На бумажном носителе"/>
    <s v="До исполнения обязательств"/>
    <m/>
    <m/>
    <s v="Д-33"/>
    <s v="Капитальное строительство и ПИР"/>
    <s v="Расходная часть"/>
    <s v="Рамочный"/>
    <s v="20%"/>
    <s v=""/>
    <s v=""/>
    <s v="3 795 991.15"/>
    <s v="3 163 325.96"/>
    <s v="632 665.19"/>
    <s v="нет"/>
    <s v="нет"/>
    <s v=""/>
    <s v=""/>
    <s v=""/>
    <s v=""/>
    <s v="нет"/>
  </r>
  <r>
    <s v="Газпромнефть-ГЕО, ООО"/>
    <s v="0000047108"/>
    <s v="Зарегистрирован"/>
    <m/>
    <m/>
    <x v="19"/>
    <s v="3245502148"/>
    <s v=""/>
    <s v="ГЕО-22/01200/00328/Р"/>
    <s v="ГЕО-22/01200/00328/Р"/>
    <s v="Нетиповой ДД"/>
    <x v="2"/>
    <s v=""/>
    <s v="01100-22"/>
    <s v=""/>
    <s v="Договор купли-продажи"/>
    <s v="Выкуп Ит техники из Гыдан в ГЕО на основании решения ПДК"/>
    <s v="Долгов Д.Г."/>
    <s v="Долгов Д.Г."/>
    <s v="Договорный документ"/>
    <s v="Блок снабжения и закупок"/>
    <s v="Титов А.В."/>
    <s v="На бумажном носителе"/>
    <s v="До исполнения обязательств"/>
    <m/>
    <m/>
    <s v="Д-56"/>
    <s v="Договор поставки/купли продажи движимого имущества"/>
    <s v="Расходная часть"/>
    <s v="Стоимостной"/>
    <s v="20%"/>
    <s v=""/>
    <s v=""/>
    <s v="11 242 892.88"/>
    <s v="9 369 077.40"/>
    <s v="1 873 815.48"/>
    <s v="нет"/>
    <s v="нет"/>
    <s v=""/>
    <s v=""/>
    <s v=""/>
    <s v=""/>
    <s v="нет"/>
  </r>
  <r>
    <s v="Газпромнефть-ГЕО, ООО"/>
    <s v="0000073563"/>
    <s v="Зарегистрирован"/>
    <m/>
    <m/>
    <x v="120"/>
    <s v="8609322418"/>
    <s v="ГЕО-22/10402/00187/Р"/>
    <s v=""/>
    <s v="2"/>
    <s v="Нетиповой ДД"/>
    <x v="0"/>
    <s v=""/>
    <s v="01101-22"/>
    <s v=""/>
    <s v="Дополнительное соглашение №2 к Договору ГЕО-22/10402/00187/Р от 03.08.2022 с Геолад-СТ на включение Методические указания по проведению супервайзинговых работ при ВСР"/>
    <s v="Внесение НМД по супервайзингу в Договор "/>
    <s v="Яшкина К.Л."/>
    <s v="Яшкина К.Л."/>
    <s v="Договорный документ"/>
    <s v="Блок бурения и ВСР"/>
    <s v="Трифонов А.В."/>
    <s v="ЭП"/>
    <s v="С ограничением по срокам "/>
    <m/>
    <m/>
    <s v="Д-33"/>
    <s v="Капитальный ремонт и освоение скважин"/>
    <s v="Не предполагает взаиморасчетов"/>
    <s v="Стоимостной"/>
    <s v=""/>
    <s v=""/>
    <s v=""/>
    <s v=""/>
    <s v=""/>
    <s v=""/>
    <s v="нет"/>
    <s v="нет"/>
    <s v=""/>
    <s v=""/>
    <s v=""/>
    <s v=""/>
    <s v="нет"/>
  </r>
  <r>
    <s v="Газпромнефть-ГЕО, ООО"/>
    <s v="0000047108"/>
    <s v="Зарегистрирован"/>
    <m/>
    <m/>
    <x v="19"/>
    <s v="3245502148"/>
    <s v=""/>
    <s v="ГЕО-22/09000/00331/Д"/>
    <s v="ГЕО-22/09000/00331/Д"/>
    <s v="Нетиповой ДД"/>
    <x v="2"/>
    <s v=""/>
    <s v="01102-22"/>
    <s v=""/>
    <s v="Договор передачи полномочий единоличного исполнительного органа управляющей организации"/>
    <s v="Управляющая организация принимает на себя полномочия единоличного исполнительного органа Общества с ограниченной ответственностью «ГЫДАН ЭНЕРДЖИ»."/>
    <s v="Андреева И.В."/>
    <s v="Андреева И.В."/>
    <s v="Договорный документ"/>
    <s v="Управление экономического планирования и анализа"/>
    <s v="Ковтун М.А."/>
    <s v="На бумажном носителе"/>
    <s v="С ограничением по срокам "/>
    <m/>
    <m/>
    <s v="Д-62"/>
    <s v="Договор возмездного оказания услуг"/>
    <s v="Доходная часть"/>
    <s v="Стоимостной"/>
    <s v="20%"/>
    <s v=""/>
    <s v=""/>
    <s v="2 160 000.00"/>
    <s v="1 800 000.00"/>
    <s v="360 000.00"/>
    <s v="нет"/>
    <s v="нет"/>
    <s v=""/>
    <s v=""/>
    <s v=""/>
    <s v=""/>
    <s v="нет"/>
  </r>
  <r>
    <s v="Газпромнефть-ГЕО, ООО"/>
    <s v="0000049141"/>
    <s v="Зарегистрирован"/>
    <m/>
    <m/>
    <x v="60"/>
    <s v="7203215460"/>
    <s v="№ ХНТ-19/10110/898/Р/60 от 27.08.2019 г."/>
    <s v=""/>
    <s v="6"/>
    <s v="Нетиповой ДД"/>
    <x v="0"/>
    <s v=""/>
    <s v="01103-22"/>
    <s v=""/>
    <s v="ДС №6 к Договору № ХНТ-19/10110/898/Р/60 от 27.08.2019 г."/>
    <s v="Перенос демобилизации с 2022 г. на 2023 г. и продление срока действия договора"/>
    <s v="Ушакова М.А."/>
    <s v=""/>
    <s v="Договорный документ"/>
    <s v="Блок геологии и разработки"/>
    <s v="Аксенов М.А."/>
    <s v="ЭП"/>
    <s v="С ограничением по срокам "/>
    <m/>
    <m/>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25072"/>
    <s v="Зарегистрирован"/>
    <m/>
    <m/>
    <x v="303"/>
    <s v="7713080756"/>
    <s v="ГЕО-21/101108/00194/Р"/>
    <s v=""/>
    <s v="2"/>
    <s v="Нетиповой ДД"/>
    <x v="0"/>
    <s v=""/>
    <s v="01104-22"/>
    <s v=""/>
    <s v="Специальные фильтрационные исследования для определения минимального дав-ления смесимости на модели тонкой трубки"/>
    <s v="Изменение срока действия договора"/>
    <s v="Коротков С.П."/>
    <s v="Яковенко Артём Витальевич"/>
    <s v="Договорный документ"/>
    <s v="Управление по разработке"/>
    <s v="Аксенов М.А."/>
    <s v="На бумажном носителе"/>
    <s v="С ограничением по срокам "/>
    <m/>
    <m/>
    <s v="Д-54"/>
    <s v="Договор возмездного оказания услуг"/>
    <s v="Не предполагает взаиморасчетов"/>
    <s v="Стоимостной"/>
    <s v=""/>
    <s v=""/>
    <s v=""/>
    <s v=""/>
    <s v=""/>
    <s v=""/>
    <s v="нет"/>
    <s v="нет"/>
    <s v=""/>
    <s v=""/>
    <s v=""/>
    <s v=""/>
    <s v="нет"/>
  </r>
  <r>
    <s v="Газпромнефть-ГЕО, ООО"/>
    <s v="0000064025, 0000045671"/>
    <s v="Зарегистрирован"/>
    <m/>
    <m/>
    <x v="494"/>
    <s v="7728720448, 8905039143"/>
    <s v="ГЕО-20/09000/00058/Р "/>
    <s v=""/>
    <s v="7"/>
    <s v="Нетиповой ДД"/>
    <x v="0"/>
    <s v=""/>
    <s v="01105-22"/>
    <s v=""/>
    <s v="Соглашение"/>
    <s v="Перемена лиц в обязательстве"/>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Без сроков "/>
    <m/>
    <m/>
    <s v="Д-56"/>
    <s v="Договор возмездного оказания услуг"/>
    <s v="Не предполагает взаиморасчетов"/>
    <s v=""/>
    <s v=""/>
    <s v=""/>
    <s v=""/>
    <s v=""/>
    <s v=""/>
    <s v=""/>
    <s v="нет"/>
    <s v="нет"/>
    <s v=""/>
    <s v=""/>
    <s v=""/>
    <s v=""/>
    <s v="нет"/>
  </r>
  <r>
    <s v="Газпромнефть-ГЕО, ООО"/>
    <s v="0000039714"/>
    <s v="Зарегистрирован"/>
    <m/>
    <m/>
    <x v="1"/>
    <s v="7734033757"/>
    <s v="ГЕО-21/10114/00257/Р"/>
    <s v=""/>
    <s v="5"/>
    <s v="Нетиповой ДД"/>
    <x v="3"/>
    <s v=""/>
    <s v="01107-22"/>
    <s v=""/>
    <s v=" оказание услуг по супервайзерскому контролю технологии полевых сейсморазведочных работ на Воргенском ЛУ (Северо-Воргенская площадь)"/>
    <s v=" оказание услуг по супервайзерскому контролю технологии полевых сейсморазведочных работ на Краснореченском ЛУ, в рамках операторского договора между ГПН-Оренбург и ГПН-ГЕО."/>
    <s v="Дакиров В.С."/>
    <s v=""/>
    <s v="Договорный документ"/>
    <s v="Управление сейсморазведочных работ"/>
    <s v="Аксенов М.А."/>
    <s v="ЭП"/>
    <s v="С ограничением по срокам "/>
    <m/>
    <m/>
    <s v="Д-54"/>
    <s v="Супервайзерские услуги полевых работ площадными геофизическими методами"/>
    <s v="Расходная часть"/>
    <s v="Стоимостной"/>
    <s v="20%"/>
    <s v=""/>
    <s v=""/>
    <s v="2 360 260.80"/>
    <s v="1 966 884.00"/>
    <s v="393 376.80"/>
    <s v="нет"/>
    <s v="нет"/>
    <s v=""/>
    <s v=""/>
    <s v=""/>
    <s v=""/>
    <s v="нет"/>
  </r>
  <r>
    <s v="Газпромнефть-ГЕО, ООО"/>
    <s v="0000037860"/>
    <s v="Зарегистрирован"/>
    <m/>
    <m/>
    <x v="189"/>
    <s v="7714024384"/>
    <s v="ГЕО-21/10318/00258/Р"/>
    <s v=""/>
    <s v="3"/>
    <s v="Типовой ДД"/>
    <x v="0"/>
    <s v="00000 ДС на изменение реквизитов контрагента (адрес, счет)"/>
    <s v="01108-22"/>
    <s v=""/>
    <s v="00000 ДС на изменение реквизитов контрагента (адрес, счет)"/>
    <s v="Изменение реквизитов контрагента"/>
    <s v="Мячина М.В."/>
    <s v="Мячина М.В."/>
    <s v="Договорный документ"/>
    <s v="Отдел подготовительных работ и экономического анализа"/>
    <s v="Трифонов А.В."/>
    <s v="На бумажном носителе"/>
    <s v="До исполнения обязательств"/>
    <m/>
    <m/>
    <s v="Д-33"/>
    <s v="Отбор керна при бурении и реконструкции скважин"/>
    <s v="Не предполагает взаиморасчетов"/>
    <s v="Рамочный"/>
    <s v=""/>
    <s v=""/>
    <s v=""/>
    <s v=""/>
    <s v=""/>
    <s v=""/>
    <s v="нет"/>
    <s v="нет"/>
    <s v=""/>
    <s v=""/>
    <s v=""/>
    <s v=""/>
    <s v="нет"/>
  </r>
  <r>
    <s v="Газпромнефть-ГЕО, ООО"/>
    <s v="0000069013"/>
    <s v="Зарегистрирован"/>
    <m/>
    <m/>
    <x v="114"/>
    <s v="7203218005"/>
    <s v="ГЕО-21/10924/00124/Р "/>
    <s v=""/>
    <s v="5"/>
    <s v="Нетиповой ДД"/>
    <x v="0"/>
    <s v=""/>
    <s v="01109-22"/>
    <s v=""/>
    <s v="Дополнительное соглашение №5 к Договору №ГЕО-21/10924/00124/Р от 12.05.2021 г. на оказание услуг Экологического мониторинга месторождений"/>
    <s v="Частичный перевод негарантированного объема услуг в гарантированный в 2022 - 2024 годах в Сибирском федеральном округе на Лескинском ЛУ без изменения единичных расценок и общей суммы договора"/>
    <s v="Липатова О.И."/>
    <s v=""/>
    <s v="Договорный документ"/>
    <s v="Отдел экологической безопасности"/>
    <s v="Ядрышников П.Н."/>
    <s v="ЭП"/>
    <s v="С ограничением по срокам "/>
    <m/>
    <m/>
    <s v=""/>
    <s v="Договор возмездного оказания услуг"/>
    <s v="Расходная часть"/>
    <s v="Стоимостной"/>
    <s v="без НДС"/>
    <s v=""/>
    <s v=""/>
    <s v="342 420.74"/>
    <s v="342 420.74"/>
    <n v="0"/>
    <s v="нет"/>
    <s v="нет"/>
    <s v=""/>
    <s v=""/>
    <s v=""/>
    <s v=""/>
    <s v="нет"/>
  </r>
  <r>
    <s v="Газпромнефть-ГЕО, ООО"/>
    <s v="0000069013"/>
    <s v="Зарегистрирован"/>
    <m/>
    <m/>
    <x v="114"/>
    <s v="7203218005"/>
    <s v="ГЕО-21/10924/00124/Р"/>
    <s v=""/>
    <s v="4"/>
    <s v="Нетиповой ДД"/>
    <x v="3"/>
    <s v=""/>
    <s v="01110-22"/>
    <s v=""/>
    <s v="НАРЯД-ЗАКАЗ № 4 к Договору №ГЕО-21/10924/00124/Р от 12.05.2021 г. на выполнение работ по экологическому мониторингу месторождений "/>
    <s v="Оказание услуг в 2022 - 2024 годах в Сибирском федеральном округе на Лескинском ЛУ "/>
    <s v="Липатова О.И."/>
    <s v=""/>
    <s v="Договорный документ"/>
    <s v="Отдел экологической безопасности"/>
    <s v="Ядрышников П.Н."/>
    <s v="ЭП"/>
    <s v="С ограничением по срокам "/>
    <m/>
    <m/>
    <s v=""/>
    <s v="Договор возмездного оказания услуг"/>
    <s v="Расходная часть"/>
    <s v="Стоимостной"/>
    <s v="без НДС"/>
    <s v=""/>
    <s v=""/>
    <s v="342 420.74"/>
    <s v="342 420.74"/>
    <n v="0"/>
    <s v="нет"/>
    <s v="нет"/>
    <s v=""/>
    <s v=""/>
    <s v=""/>
    <s v=""/>
    <s v="нет"/>
  </r>
  <r>
    <s v="Газпромнефть-ГЕО, ООО"/>
    <s v="0000040255"/>
    <s v="Зарегистрирован"/>
    <m/>
    <m/>
    <x v="88"/>
    <s v="7729407742"/>
    <s v=""/>
    <s v="ГЕО-23/33400/00022"/>
    <s v="ГЕО-23/33400/00022"/>
    <s v="Нетиповой ДД"/>
    <x v="1"/>
    <s v=""/>
    <s v="01111-22"/>
    <s v=""/>
    <s v="Соглашение о безопасном использовании информационных систем"/>
    <s v="Реализация проекта &quot;Цифровой партнер&quot;"/>
    <s v="Копылов Е.О."/>
    <s v=""/>
    <s v="Договорный документ"/>
    <s v="Отдел экологической безопасности"/>
    <s v="Михайлов Ю.А."/>
    <s v="ЭП"/>
    <s v="С ограничением по срокам "/>
    <m/>
    <m/>
    <s v="Д-2"/>
    <s v="Соглашение о безопасном использовании информационных систем"/>
    <s v="Не предполагает взаиморасчетов"/>
    <s v=""/>
    <s v=""/>
    <s v=""/>
    <s v=""/>
    <s v=""/>
    <s v=""/>
    <s v=""/>
    <s v="нет"/>
    <s v="нет"/>
    <s v=""/>
    <s v=""/>
    <s v=""/>
    <s v=""/>
    <s v="нет"/>
  </r>
  <r>
    <s v="Газпромнефть-ГЕО, ООО"/>
    <s v="0000096994"/>
    <s v="Зарегистрирован"/>
    <m/>
    <m/>
    <x v="102"/>
    <s v="6316103250"/>
    <s v=""/>
    <s v="ГЕО-22/26000/00329"/>
    <s v="ГЕО-22/26000/00329"/>
    <s v="Типовой ДД"/>
    <x v="1"/>
    <s v="26000 Соглашение о конфиденциальности с российским контрагентом"/>
    <s v="01112-22"/>
    <s v=""/>
    <s v="26000 Соглашение о конфиденциальности с российским контрагентом (ООО &quot;БАРБУС&quot;)"/>
    <s v="Соглашение о конфидициальности с ООО &quot;БАРБУС&quot;"/>
    <s v="Мормышев А.А."/>
    <s v="Дунаев Э.В."/>
    <s v="Договорный документ"/>
    <s v="Блок бурения и ВСР"/>
    <s v="Созинов С.А."/>
    <s v="ЭП"/>
    <s v="До исполнения обязательств"/>
    <m/>
    <m/>
    <s v="Д-60"/>
    <s v="Соглашение о конфиденциальности"/>
    <s v="Не предполагает взаиморасчетов"/>
    <s v=""/>
    <s v=""/>
    <s v=""/>
    <s v=""/>
    <s v=""/>
    <s v=""/>
    <s v=""/>
    <s v="нет"/>
    <s v="нет"/>
    <s v=""/>
    <s v=""/>
    <s v=""/>
    <s v=""/>
    <s v="нет"/>
  </r>
  <r>
    <s v="Газпромнефть-ГЕО, ООО"/>
    <s v="0000040255"/>
    <s v="Зарегистрирован"/>
    <m/>
    <m/>
    <x v="88"/>
    <s v="7729407742"/>
    <s v=""/>
    <s v="ГЕО-22/10986/00341/Р"/>
    <s v="ГЕО-22/10986/00341/Р"/>
    <s v="Типовой ДД"/>
    <x v="2"/>
    <s v="10986 Мастер-форма договора   по услугам &quot;Супервайзинг ПЭБ и ОТ&quot;"/>
    <s v="01113-22"/>
    <s v=""/>
    <s v="10986 Мастер-форма договора   по услугам &quot;Супервайзинг ПЭБ и ОТ&quot;"/>
    <s v="Оказание супервайзерских услуг при осуществлении природовосстановительных работ, с целью соблюдения природоохранного законодательства РФ"/>
    <s v="Авдеева Д.Б."/>
    <s v="Копылов Е.О."/>
    <s v="Договорный документ"/>
    <s v="Блок производственной безопасности"/>
    <s v="Ядрышников П.Н."/>
    <s v="ЭП"/>
    <s v="С ограничением по срокам "/>
    <m/>
    <m/>
    <s v="Д-51"/>
    <s v="Супервайзинг ПЭБ и ОТ"/>
    <s v="Расходная часть"/>
    <s v="Рамочный"/>
    <s v="20%"/>
    <s v=""/>
    <s v="4852960"/>
    <s v="209 576 725.20"/>
    <s v="174 647 271.00"/>
    <s v="34 929 454.20"/>
    <s v="да"/>
    <s v="нет"/>
    <s v=""/>
    <s v=""/>
    <s v=""/>
    <s v=""/>
    <s v="нет"/>
  </r>
  <r>
    <s v="Газпромнефть-ГЕО, ООО"/>
    <s v="0000080408"/>
    <s v="Зарегистрирован"/>
    <m/>
    <m/>
    <x v="104"/>
    <s v="3812043780"/>
    <s v="ГЕО-22/11029/00171/Р"/>
    <s v=""/>
    <s v="1"/>
    <s v="Нетиповой ДД"/>
    <x v="4"/>
    <s v=""/>
    <s v="01114-22"/>
    <s v="3"/>
    <s v="Изм.№1 к наряд-заказу №3 . ...171 СТС, ООО"/>
    <s v="Изм.№1 к наряд-заказу №3 по договору №ГЕО-22/11029/00171/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
    <s v="Договорный документ"/>
    <s v="Департамент капитального строительства"/>
    <s v="Трифонов А.В."/>
    <s v="ЭП"/>
    <s v="До исполнения обязательств"/>
    <m/>
    <m/>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99 238 178.00"/>
    <s v="166 031 815.00"/>
    <s v="33 206 363.00"/>
    <s v="нет"/>
    <s v="нет"/>
    <s v=""/>
    <s v=""/>
    <s v=""/>
    <s v=""/>
    <s v="нет"/>
  </r>
  <r>
    <s v="Газпромнефть-ГЕО, ООО"/>
    <s v="0000080408"/>
    <s v="Зарегистрирован"/>
    <m/>
    <m/>
    <x v="104"/>
    <s v="3812043780"/>
    <s v="ГЕО-22/11029/00172/Р"/>
    <s v=""/>
    <s v="2"/>
    <s v="Нетиповой ДД"/>
    <x v="3"/>
    <s v=""/>
    <s v="01115-22"/>
    <s v=""/>
    <s v="Наряд-заказ №2 к Договору №ГЕО-22/11029/00172/Р от 25.07.2022"/>
    <s v="Наряд-заказ №2 к Договору №ГЕО-22/11029/00172/Р от 25.07.2022  – «Оказание комплекса услуг по устройству и содержанию зимних проездов и площадок геологоразведочных скважин Салаирского лицензионного участка»"/>
    <s v="Мормышев А.А."/>
    <s v="Бабаев Д.Г."/>
    <s v="Договорный документ"/>
    <s v="Департамент капитального строительства"/>
    <s v="Трифонов А.В."/>
    <s v="ЭП"/>
    <s v="До исполнения обязательств"/>
    <m/>
    <m/>
    <s v="Д-33"/>
    <s v="СМР Объектов инженерной подготовки и дорог месторождений нефти и газа_x000a_(примечание: Инженерная подготовка кустовых площадок и подъездных автодорог к ним включая мостовые сооружения до 24м., площадок одиночных скважин, площадок узлов и камер трубопров"/>
    <s v="Расходная часть"/>
    <s v="Рамочный"/>
    <s v="20%"/>
    <s v=""/>
    <s v=""/>
    <s v="130 839 573.60"/>
    <s v="109 032 978.00"/>
    <s v="21 806 595.60"/>
    <s v="нет"/>
    <s v="нет"/>
    <s v=""/>
    <s v=""/>
    <s v=""/>
    <s v=""/>
    <s v="нет"/>
  </r>
  <r>
    <s v="Газпромнефть-ГЕО, ООО"/>
    <s v="0000068442"/>
    <s v="Зарегистрирован"/>
    <m/>
    <m/>
    <x v="92"/>
    <s v="5611027573"/>
    <s v="ГЕО-21/09000/00198/Р"/>
    <s v=""/>
    <s v="6"/>
    <s v="Нетиповой ДД"/>
    <x v="0"/>
    <s v=""/>
    <s v="01116-22"/>
    <s v=""/>
    <s v="ДОПОЛНИТЕЛЬНОЕ СОГЛАШЕНИЕ № 6 К ДОГОВОРУ № ГЕО-21/09000/00198/Р от 06.09.2021 г.  возмездного оказания услуг по охране объектов"/>
    <s v="Продление срока действия Договора и срока оказания услуг , а также перераспределение объемов услуг с уменьшением общей стоимости"/>
    <s v="Аршинина М.Н."/>
    <s v="Аршинина М.Н."/>
    <s v="Договорный документ"/>
    <s v="Блок корпоративной защиты"/>
    <s v="Созинов С.А."/>
    <s v="ЭП"/>
    <s v="С ограничением по срокам "/>
    <m/>
    <m/>
    <s v="Д-60"/>
    <s v="Договор возмездного оказания услуг"/>
    <s v="Расходная часть"/>
    <s v="Стоимостной"/>
    <s v="без НДС"/>
    <s v=""/>
    <s v=""/>
    <s v="39 410 090.68"/>
    <s v="39 410 090.68"/>
    <n v="0"/>
    <s v="нет"/>
    <s v="нет"/>
    <s v=""/>
    <s v=""/>
    <s v=""/>
    <s v=""/>
    <s v="нет"/>
  </r>
  <r>
    <s v="Газпромнефть-ГЕО, ООО"/>
    <s v="0000068974"/>
    <s v="Зарегистрирован"/>
    <m/>
    <m/>
    <x v="81"/>
    <s v="3808120671"/>
    <s v="ГЕО-21/09000/00250/Р"/>
    <s v=""/>
    <s v="4"/>
    <s v="Нетиповой ДД"/>
    <x v="0"/>
    <s v=""/>
    <s v="01117-22"/>
    <s v=""/>
    <s v="ДОПОЛНИТЕЛЬНОЕ СОГЛАШЕНИЕ № 4 к ДОГОВОРУ № ГЕО-21/09000/00250/Р от 08.11.2021 г. на оказание охранных услуг"/>
    <s v="Перераспределение объема услуг специалиста по организации пропускного режима между годами с уменьшением общей стоимости договора"/>
    <s v="Аршинина М.Н."/>
    <s v="Аршинина М.Н."/>
    <s v="Договорный документ"/>
    <s v="Блок корпоративной защиты"/>
    <s v="Созинов С.А."/>
    <s v="ЭП"/>
    <s v="С ограничением по срокам "/>
    <m/>
    <m/>
    <s v="Д-60"/>
    <s v="Договор возмездного оказания услуг"/>
    <s v="Расходная часть"/>
    <s v="Стоимостной"/>
    <s v="20%"/>
    <s v=""/>
    <s v=""/>
    <s v="70 842 621.46"/>
    <s v="59 035 517.88"/>
    <s v="11 807 103.58"/>
    <s v="нет"/>
    <s v="нет"/>
    <s v=""/>
    <s v=""/>
    <s v=""/>
    <s v=""/>
    <s v="нет"/>
  </r>
  <r>
    <s v="Газпромнефть-ГЕО, ООО"/>
    <s v="0000068974"/>
    <s v="Зарегистрирован"/>
    <m/>
    <m/>
    <x v="81"/>
    <s v="3808120671"/>
    <s v="ГЕО-22/09000/00287/Р "/>
    <s v=""/>
    <s v="1"/>
    <s v="Нетиповой ДД"/>
    <x v="0"/>
    <s v=""/>
    <s v="01118-22"/>
    <s v=""/>
    <s v="ДОПОЛНИТЕЛЬНОЕ СОГЛАШЕНИЕ № 1 к ДОГОВОРУ № ГЕО-22/09000/00287/Р от 03.11.2022 г. на оказание охранных услуг"/>
    <s v="Перераспределение объема услуг 2023-2024 гг. без изменения общей стоимости договора"/>
    <s v="Аршинина М.Н."/>
    <s v="Аршинина М.Н."/>
    <s v="Договорный документ"/>
    <s v="Блок корпоративной защиты"/>
    <s v="Созинов С.А."/>
    <s v="ЭП"/>
    <s v="С ограничением по срокам "/>
    <m/>
    <m/>
    <s v="Д-60"/>
    <s v="Договор возмездного оказания услуг"/>
    <s v="Расходная часть"/>
    <s v="Стоимостной"/>
    <s v="20%"/>
    <s v=""/>
    <s v=""/>
    <s v="174 377 829.54"/>
    <s v="145 314 857.95"/>
    <s v="29 062 971.59"/>
    <s v="нет"/>
    <s v="нет"/>
    <s v=""/>
    <s v=""/>
    <s v=""/>
    <s v=""/>
    <s v="нет"/>
  </r>
  <r>
    <s v="Газпромнефть-ГЕО, ООО"/>
    <s v="0000057326"/>
    <s v="Зарегистрирован"/>
    <m/>
    <m/>
    <x v="206"/>
    <s v="7204121542"/>
    <s v="ГЕО-22/10000/00061/Р"/>
    <s v=""/>
    <s v="1 (СОР)"/>
    <s v="Нетиповой ДД"/>
    <x v="10"/>
    <s v=""/>
    <s v="01119-22"/>
    <s v=""/>
    <s v="СОГЛАШЕНИЕ О РАСТОРЖЕНИИ Договора №ГЕО-22/10000/00061/Р от 28.03.2022г."/>
    <s v="Расторжение Договора , в связи с отсутствием потребности у ООО &quot;ГПН-ГЕО&quot; в работах по Договору"/>
    <s v="Рымаренко А.А."/>
    <s v="Рымаренко А.А."/>
    <s v="Договорный документ"/>
    <s v="Управление внутрискважинных работ"/>
    <s v="Трифонов А.В."/>
    <s v="ЭП"/>
    <s v="Без сроков "/>
    <m/>
    <m/>
    <s v="Д-33"/>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57812"/>
    <s v="Зарегистрирован"/>
    <m/>
    <m/>
    <x v="7"/>
    <s v="7841006500"/>
    <s v="ГЕО-21/09000/00120/Р"/>
    <s v=""/>
    <s v="2"/>
    <s v="Нетиповой ДД"/>
    <x v="0"/>
    <s v=""/>
    <s v="01120-22"/>
    <s v=""/>
    <s v="ДОПОЛНИТЕЛЬНОЕ СОГЛАШЕНИЕ №2 К СОГЛАШЕНИЮ ОБ ОКАЗАНИИ ЮРИДИЧЕСКОЙ ПОМОЩИ №ГЕО-21/09000/00120/Р от 30.04.2021г."/>
    <s v="Продление срока оказания услуг"/>
    <s v="Цветков Д.В."/>
    <s v=""/>
    <s v="Договорный документ"/>
    <s v="Газпромнефть-ГЕО, ООО"/>
    <s v="Масалкин Ю.В."/>
    <s v="На бумажном носителе"/>
    <s v="С ограничением по срокам "/>
    <m/>
    <m/>
    <s v=""/>
    <s v="Договор возмездного оказания услуг"/>
    <s v="Не предполагает взаиморасчетов"/>
    <s v=""/>
    <s v=""/>
    <s v=""/>
    <s v=""/>
    <s v=""/>
    <s v=""/>
    <s v=""/>
    <s v="нет"/>
    <s v="нет"/>
    <s v=""/>
    <s v=""/>
    <s v=""/>
    <s v=""/>
    <s v="нет"/>
  </r>
  <r>
    <s v="Газпромнефть-ГЕО, ООО"/>
    <s v="0000093917"/>
    <s v="Зарегистрирован"/>
    <m/>
    <m/>
    <x v="9"/>
    <s v="5609193118"/>
    <s v=""/>
    <s v="ГЕО-22/20000/00334/Д"/>
    <s v="ГЕО-22/20000/00334/Д"/>
    <s v="Типовой ДД"/>
    <x v="2"/>
    <s v="20000 Агентский договор на организацию вертолетных авиаперевозок"/>
    <s v="01122-22"/>
    <s v=""/>
    <s v="20000 Агентский договор на организацию вертолетных авиаперевозок ООО &quot;АКБАРЫС&quot;"/>
    <s v="Авиаперевозка персонала и груза КА"/>
    <s v="Титова Е.В."/>
    <s v="Титова Е.В."/>
    <s v="Договорный документ"/>
    <s v="Блок снабжения и закупок"/>
    <s v="Титов А.В."/>
    <s v="ЭП"/>
    <s v="С ограничением по срокам "/>
    <m/>
    <m/>
    <s v="Д-56"/>
    <s v="Агентский договор"/>
    <s v="Доходная часть"/>
    <s v="Агентский"/>
    <s v="20%"/>
    <s v=""/>
    <s v=""/>
    <s v="1 623 045.39"/>
    <s v="1 352 537.82"/>
    <s v="270 507.57"/>
    <s v="нет"/>
    <s v="нет"/>
    <s v=""/>
    <s v=""/>
    <s v=""/>
    <s v=""/>
    <s v="нет"/>
  </r>
  <r>
    <s v="Газпромнефть-ГЕО, ООО"/>
    <s v="0000011433"/>
    <s v="Зарегистрирован"/>
    <m/>
    <m/>
    <x v="174"/>
    <s v="8604005359"/>
    <s v="№ГЕО-21/11104/00292/Р от 24.12.2021 г"/>
    <s v=""/>
    <s v="4"/>
    <s v="Нетиповой ДД"/>
    <x v="0"/>
    <s v=""/>
    <s v="01123-22"/>
    <s v=""/>
    <s v="ДС № 4 к Договору №ГЕО-21/11104/00292/Р от 24.12.2021 г. на оказание авиационных услуг с использованием вертолетов с Ютэйр-ВУ"/>
    <s v="Раскрытие ГО из НГО на 2023 год"/>
    <s v="Яшкина К.Л."/>
    <s v="Яшкина К.Л."/>
    <s v="Договорный документ"/>
    <s v="Блок снабжения и закупок"/>
    <s v="Титов А.В."/>
    <s v="ЭП"/>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367 024 800.00"/>
    <s v="305 854 000.00"/>
    <s v="61 170 800.00"/>
    <s v="нет"/>
    <s v="нет"/>
    <s v=""/>
    <s v=""/>
    <s v=""/>
    <s v=""/>
    <s v="нет"/>
  </r>
  <r>
    <s v="Газпромнефть-ГЕО, ООО"/>
    <s v="0000039779"/>
    <s v="Зарегистрирован"/>
    <m/>
    <m/>
    <x v="139"/>
    <s v="0277067693"/>
    <s v=""/>
    <s v="ГЕО-23/10318/00013/Р"/>
    <s v="ГЕО-23/10318/00013/Р"/>
    <s v="Типовой ДД"/>
    <x v="2"/>
    <s v="10318  Мастер-форма Договора по услуге  «Отбор керна при бурении и реконструкции скважин»"/>
    <s v="01124-22"/>
    <s v=""/>
    <s v="10318  Мастер-форма Договора по услуге  «Отбор керна при бурении и реконструкции скважин»"/>
    <s v="выполнение Работ по отбору изолированного керна "/>
    <s v="Коваленко М.В."/>
    <s v=""/>
    <s v="Договорный документ"/>
    <s v="Блок бурения и ВСР"/>
    <s v="Трифонов А.В."/>
    <s v="На бумажном носителе"/>
    <s v="Без сроков "/>
    <m/>
    <m/>
    <s v="Д-33"/>
    <s v="Отбор керна при бурении и реконструкции скважин"/>
    <s v="Расходная часть"/>
    <s v="Стоимостной"/>
    <s v="20%"/>
    <s v=""/>
    <s v="32654786.32"/>
    <s v="79 898 822.56"/>
    <s v="66 582 352.13"/>
    <s v="13 316 470.43"/>
    <s v="да"/>
    <s v="нет"/>
    <s v=""/>
    <s v=""/>
    <s v=""/>
    <s v=""/>
    <s v="нет"/>
  </r>
  <r>
    <s v="Газпромнефть-ГЕО, ООО"/>
    <s v="0000068442"/>
    <s v="Зарегистрирован"/>
    <m/>
    <m/>
    <x v="92"/>
    <s v="5611027573"/>
    <s v="ГЕО-21/09000/00198/Р"/>
    <s v=""/>
    <s v="4"/>
    <s v="Нетиповой ДД"/>
    <x v="3"/>
    <s v=""/>
    <s v="01125-22"/>
    <s v=""/>
    <s v="Наряд-Заказ № 4 "/>
    <s v="по оказанию услуг охраны по Договору № ГЕО-21/09000/00198/Р от 06.09.2021 г."/>
    <s v="Аршинина М.Н."/>
    <s v="Аршинина М.Н."/>
    <s v="Договорный документ"/>
    <s v="Блок корпоративной защиты"/>
    <s v="Созинов С.А."/>
    <s v="ЭП"/>
    <s v="С ограничением по срокам "/>
    <m/>
    <m/>
    <s v="Д-60"/>
    <s v="Договор возмездного оказания услуг"/>
    <s v="Расходная часть"/>
    <s v="Рамочный"/>
    <s v="без НДС"/>
    <s v=""/>
    <s v=""/>
    <s v="7 544 311.32"/>
    <s v="7 544 311.32"/>
    <n v="0"/>
    <s v="нет"/>
    <s v="нет"/>
    <s v=""/>
    <s v=""/>
    <s v=""/>
    <s v=""/>
    <s v="нет"/>
  </r>
  <r>
    <s v="Газпромнефть-ГЕО, ООО"/>
    <s v="0000068974"/>
    <s v="Зарегистрирован"/>
    <m/>
    <m/>
    <x v="81"/>
    <s v="3808120671"/>
    <s v="ГЕО-21/09000/00250/Р"/>
    <s v=""/>
    <s v="3"/>
    <s v="Нетиповой ДД"/>
    <x v="3"/>
    <s v=""/>
    <s v="01126-22"/>
    <s v=""/>
    <s v="Наряд-Заказ № 3 к Договору № ГЕО-21/09000/00250/Р от 08.11.2021 г."/>
    <s v="по оказанию услуг охраны"/>
    <s v="Аршинина М.Н."/>
    <s v="Аршинина М.Н."/>
    <s v="Договорный документ"/>
    <s v="Блок корпоративной защиты"/>
    <s v="Созинов С.А."/>
    <s v="ЭП"/>
    <s v="С ограничением по срокам "/>
    <m/>
    <m/>
    <s v="Д-60"/>
    <s v="Договор возмездного оказания услуг"/>
    <s v="Расходная часть"/>
    <s v="Рамочный"/>
    <s v="20%"/>
    <s v=""/>
    <s v=""/>
    <s v="1 789 267.68"/>
    <s v="1 491 056.40"/>
    <s v="298 211.28"/>
    <s v="нет"/>
    <s v="нет"/>
    <s v=""/>
    <s v=""/>
    <s v=""/>
    <s v=""/>
    <s v="нет"/>
  </r>
  <r>
    <s v="Газпромнефть-ГЕО, ООО"/>
    <s v="0000105643"/>
    <s v="Зарегистрирован"/>
    <m/>
    <m/>
    <x v="25"/>
    <s v="7717693190"/>
    <s v=""/>
    <s v="ГЕО-22/20000/00337/Д"/>
    <s v="ГЕО-22/20000/00337/Д"/>
    <s v="Типовой ДД"/>
    <x v="2"/>
    <s v="20000 Агентский договор на организацию вертолетных авиаперевозок"/>
    <s v="01127-22"/>
    <s v=""/>
    <s v="20000 Агентский договор на организацию вертолетных авиаперевозок ООО «НТЦ «Геомеханика»"/>
    <s v="Авиаперевозка персонала и груза КА"/>
    <s v="Титова Е.В."/>
    <s v="Титова Е.В."/>
    <s v="Договорный документ"/>
    <s v="Блок снабжения и закупок"/>
    <s v="Титов А.В."/>
    <s v="ЭП"/>
    <s v="С ограничением по срокам "/>
    <m/>
    <m/>
    <s v="Д-56"/>
    <s v="Агентский договор"/>
    <s v="Доходная часть"/>
    <s v="Агентский"/>
    <s v="20%"/>
    <s v=""/>
    <s v=""/>
    <s v="41 584.06"/>
    <s v="34 653.38"/>
    <s v="6 930.68"/>
    <s v="нет"/>
    <s v="нет"/>
    <s v=""/>
    <s v=""/>
    <s v=""/>
    <s v=""/>
    <s v="нет"/>
  </r>
  <r>
    <s v="Газпромнефть-ГЕО, ООО"/>
    <s v="0000072857"/>
    <s v="Зарегистрирован"/>
    <m/>
    <m/>
    <x v="27"/>
    <s v="6679052232"/>
    <s v="ГЕО-21/10985/00168/Р"/>
    <s v=""/>
    <s v="5"/>
    <s v="Нетиповой ДД"/>
    <x v="0"/>
    <s v=""/>
    <s v="01128-22"/>
    <s v=""/>
    <s v="Дополнительное соглашение №5"/>
    <s v="Раскрытие негарантированного объема работ"/>
    <s v="Копылов Е.О."/>
    <s v="Копылов Е.О."/>
    <s v="Договорный документ"/>
    <s v="Отдел экологической безопасности"/>
    <s v="Ядрышников П.Н."/>
    <s v="ЭП"/>
    <s v="До исполнения обязательств"/>
    <m/>
    <m/>
    <s v="Д-51"/>
    <s v="Утилизация отходов бурения и рекультивация нарушенных земель, занятых под шламовые амбары/шламонакопители"/>
    <s v="Расходная часть"/>
    <s v="Стоимостной"/>
    <s v="20%"/>
    <s v=""/>
    <s v=""/>
    <s v="70 207 437.26"/>
    <s v="58 506 197.72"/>
    <s v="11 701 239.54"/>
    <s v="нет"/>
    <s v="нет"/>
    <s v=""/>
    <s v=""/>
    <s v=""/>
    <s v=""/>
    <s v="нет"/>
  </r>
  <r>
    <s v="Газпромнефть-ГЕО, ООО"/>
    <s v="0000067121"/>
    <s v="Зарегистрирован"/>
    <m/>
    <m/>
    <x v="62"/>
    <s v="7202171361"/>
    <s v="№ ХНТ-20/10110/967/Р/60/ГЕО-20/10110/00198/Р"/>
    <s v=""/>
    <s v="8"/>
    <s v="Нетиповой ДД"/>
    <x v="0"/>
    <s v=""/>
    <s v="01129-22"/>
    <s v=""/>
    <s v="ДС №8 к Договору № ХНТ-20/10110/967/Р/60/ГЕО-20/10110/00198/Р от 06.10.2020 г с ООО &quot;ТСГК&quot;"/>
    <s v="Перераспределение объемов путем уменьшения одной номенклатуры и одновременного увеличения другой, увеличение срока оплаты, а также продление срока действия договора, без изменения единичных расценок и без изменения общей стоимости договора"/>
    <s v="Ушакова М.А."/>
    <s v=""/>
    <s v="Договорный документ"/>
    <s v="Блок геологии и разработки"/>
    <s v="Аксенов М.А."/>
    <s v="ЭП"/>
    <s v="С ограничением по срокам "/>
    <m/>
    <m/>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нет"/>
  </r>
  <r>
    <s v="Газпромнефть-ГЕО, ООО"/>
    <s v="0000047295"/>
    <s v="Зарегистрирован"/>
    <m/>
    <m/>
    <x v="150"/>
    <s v="7708639661"/>
    <s v="ГЕО-22/20000/00103/Д"/>
    <s v=""/>
    <s v="1"/>
    <s v="Нетиповой ДД"/>
    <x v="0"/>
    <s v=""/>
    <s v="01130-22"/>
    <s v=""/>
    <s v="ДС 1 к ГЕО-22/20000/00103/Д ООО «Везерфорд»"/>
    <s v="Продление срока действия договора, включение стандартной  оговорки УКЭП, актуализация реквизитов"/>
    <s v="Титова Е.В."/>
    <s v="Титова Е.В."/>
    <s v="Договорный документ"/>
    <s v="Блок снабжения и закупок"/>
    <s v="Титов А.В."/>
    <s v="ЭП"/>
    <s v="С ограничением по срокам "/>
    <m/>
    <m/>
    <s v="Д-56"/>
    <s v="Агентский договор"/>
    <s v="Доходная часть"/>
    <s v="Агентский"/>
    <s v="20%"/>
    <s v=""/>
    <s v=""/>
    <s v="276 179.60"/>
    <s v="230 149.67"/>
    <s v="46 029.93"/>
    <s v="нет"/>
    <s v="нет"/>
    <s v=""/>
    <s v=""/>
    <s v=""/>
    <s v=""/>
    <s v="нет"/>
  </r>
  <r>
    <s v="Газпромнефть-ГЕО, ООО"/>
    <s v="0000104871"/>
    <s v="Зарегистрирован"/>
    <m/>
    <m/>
    <x v="45"/>
    <s v="7705848410"/>
    <s v="ГЕО-19/10308/00217/Р "/>
    <s v=""/>
    <s v="3"/>
    <s v="Нетиповой ДД"/>
    <x v="0"/>
    <s v=""/>
    <s v="01131-22"/>
    <s v=""/>
    <s v="Дополнительное соглашение № 3 с Геологинг, к Договору №ГЕО-19/10308/00217/Р от 19.08.2019 на проведение геолого-технологических исследований скважин при бурении"/>
    <s v="Раскрытие всего НГО и включение условий УКЭП"/>
    <s v="Яшкина К.Л."/>
    <s v="Мухамадиев Р.В."/>
    <s v="Договорный документ"/>
    <s v="Блок геологии и разработки"/>
    <s v="Аксенов М.А."/>
    <s v="На бумажном носителе"/>
    <s v="С ограничением по срокам "/>
    <m/>
    <m/>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82 291 868.00"/>
    <s v="151 909 890.00"/>
    <s v="30 381 978.00"/>
    <s v="нет"/>
    <s v="нет"/>
    <s v=""/>
    <s v=""/>
    <s v=""/>
    <s v=""/>
    <s v="нет"/>
  </r>
  <r>
    <s v="Газпромнефть-ГЕО, ООО"/>
    <s v="0000043624"/>
    <s v="Зарегистрирован"/>
    <m/>
    <m/>
    <x v="222"/>
    <s v="7728632093"/>
    <s v=""/>
    <s v="ГЕО-22/09000/00339/Р"/>
    <s v="ГЕО-22/09000/00339/Р"/>
    <s v="Нетиповой ДД"/>
    <x v="2"/>
    <s v=""/>
    <s v="01132-22"/>
    <s v=""/>
    <s v="Договор возмездного оказания услуг по внедрению и развитию процессов управления взаимоотношениями с подрядными организациями, технической оценкой и системой качества Заказчика"/>
    <s v="Оказание услуг по внедрению и развитию процессов управления взаимоотношениями с подрядными организациями ООО «ГПН-ГЕО», технической оценке и системе качества "/>
    <s v="Кулагина А.А."/>
    <s v="Кулагина А.А."/>
    <s v="Договорный документ"/>
    <s v="Блок снабжения и закупок"/>
    <s v="Титов А.В."/>
    <s v="На бумажном носителе"/>
    <s v="С ограничением по срокам "/>
    <m/>
    <m/>
    <s v="Д-56"/>
    <s v="Договор возмездного оказания услуг"/>
    <s v="Расходная часть"/>
    <s v="Стоимостной"/>
    <s v="20%"/>
    <s v=""/>
    <s v=""/>
    <s v="14 463 912.00"/>
    <s v="12 053 260.00"/>
    <s v="2 410 652.00"/>
    <s v="нет"/>
    <s v="нет"/>
    <s v=""/>
    <s v=""/>
    <s v=""/>
    <s v=""/>
    <s v="нет"/>
  </r>
  <r>
    <s v="Газпромнефть-ГЕО, ООО"/>
    <s v="0000093917"/>
    <s v="Зарегистрирован"/>
    <m/>
    <m/>
    <x v="9"/>
    <s v="5609193118"/>
    <s v="ГЕО-20/10986/00128/Р"/>
    <s v=""/>
    <s v="10"/>
    <s v="Нетиповой ДД"/>
    <x v="3"/>
    <s v=""/>
    <s v="01133-22"/>
    <s v=""/>
    <s v="Наряд-заказ на оказание услуг № 10 к Договору №ГЕО-20/10986/00128/Р от 01.09.2020 г. "/>
    <s v="Оказание услуг по обеспечению безопасных условий труда для работников и соблюдению требований промышленной безопасности на скважинах № 198 Лескинского лицензионного участка. "/>
    <s v="Хабибуллин Т.Ф."/>
    <s v="Хабибуллин Т.Ф."/>
    <s v="Договорный документ"/>
    <s v="Отдел по промышленной и пожарной безопасности"/>
    <s v="Ядрышников П.Н."/>
    <s v="ЭП"/>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1 112 590.00"/>
    <s v="9 260 491.67"/>
    <s v="1 852 098.33"/>
    <s v="нет"/>
    <s v="нет"/>
    <s v=""/>
    <s v=""/>
    <s v=""/>
    <s v=""/>
    <s v="нет"/>
  </r>
  <r>
    <s v="Газпромнефть-ГЕО, ООО"/>
    <s v="0000104871"/>
    <s v="Зарегистрирован"/>
    <m/>
    <m/>
    <x v="53"/>
    <s v="7705848410"/>
    <s v="ГЕО-20/11104/00153/Д"/>
    <s v=""/>
    <s v="8"/>
    <s v="Нетиповой ДД"/>
    <x v="0"/>
    <s v=""/>
    <s v="01135-22"/>
    <s v=""/>
    <s v="ДС 8 кГЕО-20/11104/00153/Д ООО &quot;Геологгинг&quot;"/>
    <s v="Продление срока действия и увеличение стоимости договора, увеличение срока оплаты, включение стандартной оговорки УКЭП, актуализация реквизитов"/>
    <s v="Титова Е.В."/>
    <s v="Титова Е.В."/>
    <s v="Договорный документ"/>
    <s v="Блок снабжения и закупок"/>
    <s v="Титов А.В."/>
    <s v="ЭП"/>
    <s v="С ограничением по срокам "/>
    <m/>
    <m/>
    <s v="Д-56"/>
    <s v="Агентский договор"/>
    <s v="Доходная часть"/>
    <s v="Агентский"/>
    <s v="20%"/>
    <s v=""/>
    <s v=""/>
    <s v="930 282.13"/>
    <s v="775 235.11"/>
    <s v="155 047.02"/>
    <s v="нет"/>
    <s v="нет"/>
    <s v=""/>
    <s v=""/>
    <s v=""/>
    <s v=""/>
    <s v="нет"/>
  </r>
  <r>
    <s v="Газпромнефть-ГЕО, ООО"/>
    <s v="0000108565"/>
    <s v="Зарегистрирован"/>
    <m/>
    <m/>
    <x v="193"/>
    <s v="344313434712"/>
    <s v=""/>
    <s v="ГЕО-23/25000/00005/Р"/>
    <s v="ГЕО-23/25000/00005/Р"/>
    <s v="Типовой ДД"/>
    <x v="2"/>
    <s v="25000 Договор об оказании услуг физическим лицом (без выезда на Лицензионные участки Заказчика)"/>
    <s v="01136-22"/>
    <s v=""/>
    <s v="25000 Договор об оказании услуг физическим лицом (без выезда на Лицензионные участки Заказчика)"/>
    <s v="Заключение договора возмездного оказания услуг по подготовке геопространственых данных к внесению в базу ГИС БРД"/>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m/>
    <m/>
    <s v=""/>
    <s v="Договор оказания услуг с физическим лицом"/>
    <s v="Расходная часть"/>
    <s v="Стоимостной"/>
    <s v="13%"/>
    <s v=""/>
    <s v=""/>
    <s v="68 000.00"/>
    <s v="59 160.00"/>
    <s v="8 840.00"/>
    <s v="нет"/>
    <s v="нет"/>
    <s v=""/>
    <s v=""/>
    <s v=""/>
    <s v=""/>
    <s v="нет"/>
  </r>
  <r>
    <s v="Газпромнефть-ГЕО, ООО"/>
    <s v=""/>
    <s v="Зарегистрирован"/>
    <m/>
    <m/>
    <x v="244"/>
    <s v=""/>
    <s v=""/>
    <s v="ГЕО-22/26000/00338"/>
    <s v="ГЕО-22/26000/00338"/>
    <s v="Типовой ДД"/>
    <x v="1"/>
    <s v="26000 Соглашение о конфиденциальности с дочерним обществом ПАО «Газпром»"/>
    <s v="01137-22"/>
    <s v=""/>
    <s v="26000 Соглашение о конфиденциальности с дочерним обществом ПАО «Газпром»"/>
    <s v="СОблюдение режима коммерческой тайны"/>
    <s v="Разумовский М.В."/>
    <s v="Разумовский М.В."/>
    <s v="Договорный документ"/>
    <s v="Блок геологии и разработки"/>
    <s v="Созинов С.А."/>
    <s v="На бумажном носителе"/>
    <s v="С ограничением по срокам "/>
    <m/>
    <m/>
    <s v="Д-60"/>
    <s v="Соглашение о конфиденциальности"/>
    <s v="Не предполагает взаиморасчетов"/>
    <s v=""/>
    <s v=""/>
    <s v=""/>
    <s v=""/>
    <s v=""/>
    <s v=""/>
    <s v=""/>
    <s v="нет"/>
    <s v="нет"/>
    <s v=""/>
    <s v=""/>
    <s v=""/>
    <s v=""/>
    <s v="нет"/>
  </r>
  <r>
    <s v="Газпромнефть-ГЕО, ООО"/>
    <s v="0000108565"/>
    <s v="Зарегистрирован"/>
    <m/>
    <m/>
    <x v="193"/>
    <s v="344313434712"/>
    <s v=""/>
    <s v="ГЕО-23/26000/00006"/>
    <s v="ГЕО-23/26000/00006"/>
    <s v="Типовой ДД"/>
    <x v="1"/>
    <s v="26000 Договор о конфиденциальности с физическим лицом"/>
    <s v="01138-22"/>
    <s v=""/>
    <s v="26000 Договор о конфиденциальности с физическим лицом"/>
    <s v="Заключение договора о конфиденциальности, в связи с заключением договора возмездного оказания услуг по подготовке геопространственых данных к внесению в базу ГИС БРД"/>
    <s v="Хохлов А.А."/>
    <s v="Хохлов А.А."/>
    <s v="Договорный документ"/>
    <s v="Управление маркшейдерско-землеустроительных работ"/>
    <s v="Масалкин Ю.В."/>
    <s v="На бумажном носителе"/>
    <s v="С ограничением по срокам "/>
    <m/>
    <m/>
    <s v=""/>
    <s v="Соглашение о конфиденциальности"/>
    <s v="Не предполагает взаиморасчетов"/>
    <s v="Стоимостной"/>
    <s v=""/>
    <s v=""/>
    <s v=""/>
    <s v=""/>
    <s v=""/>
    <s v=""/>
    <s v="нет"/>
    <s v="нет"/>
    <s v=""/>
    <s v=""/>
    <s v=""/>
    <s v=""/>
    <s v="нет"/>
  </r>
  <r>
    <s v="Газпромнефть-ГЕО, ООО"/>
    <s v="0000060948"/>
    <s v="Зарегистрирован"/>
    <m/>
    <m/>
    <x v="406"/>
    <s v="5603030477"/>
    <s v="ГЕО-22/09000/00125/Р"/>
    <s v=""/>
    <s v="1"/>
    <s v="Нетиповой ДД"/>
    <x v="0"/>
    <s v=""/>
    <s v="01139-22"/>
    <s v=""/>
    <s v="Дополнительное соглашение №1"/>
    <s v="Продление срока действия Договора №22/09000/00125/Р от 01.06.2022; изменение стоимости питания одного работника в сутки"/>
    <s v="Касатов И.Н."/>
    <s v="Касатов И.Н."/>
    <s v="Договорный документ"/>
    <s v="Управление материально-технического обеспечения, транспортного обеспечения и сопутствующих сервисов"/>
    <s v="Титов А.В."/>
    <s v="На бумажном носителе"/>
    <s v="С ограничением по срокам "/>
    <m/>
    <m/>
    <s v="Д-56"/>
    <s v="Договор возмездного оказания услуг"/>
    <s v="Расходная часть"/>
    <s v="Стоимостной"/>
    <s v="20%"/>
    <s v=""/>
    <s v=""/>
    <s v="1 361 918.00"/>
    <s v="1 134 931.67"/>
    <s v="226 986.33"/>
    <s v="нет"/>
    <s v="нет"/>
    <s v=""/>
    <s v=""/>
    <s v=""/>
    <s v=""/>
    <s v="нет"/>
  </r>
  <r>
    <s v="Газпромнефть-ГЕО, ООО"/>
    <s v="0000065735"/>
    <s v="Зарегистрирован"/>
    <m/>
    <m/>
    <x v="200"/>
    <s v="0274095068"/>
    <s v="ГЕО-19/11019/00145/Р"/>
    <s v=""/>
    <s v="3"/>
    <s v="Типовой ДД"/>
    <x v="0"/>
    <s v="00000 ДС на изменение реквизитов контрагента (адрес, счет)"/>
    <s v="01140-22"/>
    <s v=""/>
    <s v="00000 ДС на изменение реквизитов контрагента (адрес, счет)"/>
    <s v="Изменение срокоа действия Договра "/>
    <s v="Шолохова И.А."/>
    <s v="Шолохова И.А."/>
    <s v="Договорный документ"/>
    <s v="Управление проектно-изыскательских работ"/>
    <s v="Трифонов А.В."/>
    <s v="На бумажном носителе"/>
    <s v="До исполнения обязательств"/>
    <m/>
    <m/>
    <s v="Д-33"/>
    <s v="Капитальное строительство и ПИР"/>
    <s v="Не предполагает взаиморасчетов"/>
    <s v=""/>
    <s v=""/>
    <s v=""/>
    <s v=""/>
    <s v=""/>
    <s v=""/>
    <s v=""/>
    <s v="нет"/>
    <s v="нет"/>
    <s v=""/>
    <s v=""/>
    <s v=""/>
    <s v=""/>
    <s v="нет"/>
  </r>
  <r>
    <s v="Газпромнефть-ГЕО, ООО"/>
    <s v="0000062701"/>
    <s v="Зарегистрирован"/>
    <m/>
    <m/>
    <x v="212"/>
    <s v="6318166129"/>
    <s v="ГЕО-20/11019/00045/Р"/>
    <s v=""/>
    <s v="4"/>
    <s v="Типовой ДД"/>
    <x v="0"/>
    <s v="00000 ДС на изменение реквизитов контрагента (адрес, счет)"/>
    <s v="01141-22"/>
    <s v=""/>
    <s v="00000 ДС на изменение реквизитов контрагента (адрес, счет)"/>
    <s v="Продление срока действия Договора"/>
    <s v="Шолохова И.А."/>
    <s v="Салахутдинов Р.С."/>
    <s v="Договорный документ"/>
    <s v="Управление проектно-изыскательских работ"/>
    <s v="Трифонов А.В."/>
    <s v="На бумажном носителе"/>
    <s v="До исполнения обязательств"/>
    <m/>
    <m/>
    <s v="Д-33"/>
    <s v="Капитальное строительство и ПИР"/>
    <s v="Не предполагает взаиморасчетов"/>
    <s v=""/>
    <s v=""/>
    <s v=""/>
    <s v=""/>
    <s v=""/>
    <s v=""/>
    <s v=""/>
    <s v="нет"/>
    <s v="нет"/>
    <s v=""/>
    <s v=""/>
    <s v=""/>
    <s v=""/>
    <s v="нет"/>
  </r>
  <r>
    <s v="Газпромнефть-ГЕО, ООО"/>
    <s v="0000048356"/>
    <s v="Зарегистрирован"/>
    <m/>
    <m/>
    <x v="152"/>
    <s v="8601034898"/>
    <s v="ГЕО-22/10000/00144/Р"/>
    <s v=""/>
    <s v="3"/>
    <s v="Нетиповой ДД"/>
    <x v="3"/>
    <s v=""/>
    <s v="01142-22"/>
    <s v=""/>
    <s v="Наряд-Заказ №3"/>
    <s v="Оказание услуг по обеспечению проивопожарной безопасности, в т.ч. содержание пожарной охраны на проекте Енисей"/>
    <s v="Автеньев М.В."/>
    <s v="Белоусов О.В."/>
    <s v="Договорный документ"/>
    <s v="Блок производственной безопасности"/>
    <s v="Ядрышников П.Н."/>
    <s v="ЭП"/>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20 238 136.38"/>
    <s v="16 865 113.65"/>
    <s v="3 373 022.73"/>
    <s v="нет"/>
    <s v="нет"/>
    <s v=""/>
    <s v=""/>
    <s v=""/>
    <s v=""/>
    <s v="нет"/>
  </r>
  <r>
    <s v="Газпромнефть-ГЕО, ООО"/>
    <s v="0000037860"/>
    <s v="Зарегистрирован"/>
    <m/>
    <m/>
    <x v="20"/>
    <s v="7714024384"/>
    <s v=""/>
    <s v="ГЕО-23/10318/00010/Р+ ПР + ПУР"/>
    <s v="ГЕО-23/10318/00010/Р+ ПР + ПУР"/>
    <s v="Типовой ДД"/>
    <x v="2"/>
    <s v="10318  Мастер-форма Договора по услуге  «Отбор керна при бурении и реконструкции скважин»"/>
    <s v="01143-22"/>
    <s v=""/>
    <s v="10318  Мастер-форма Договора по услуге  «Отбор керна при бурении и реконструкции скважин»"/>
    <s v="Оказание услуг по отбору керна при бурении и реконструкции скважин"/>
    <s v="Ушакова М.А."/>
    <s v="Кушников А.М."/>
    <s v="Договорный документ"/>
    <s v="Блок геологии и разработки"/>
    <s v="Аксенов М.А."/>
    <s v="На бумажном носителе"/>
    <s v="С ограничением по срокам "/>
    <m/>
    <m/>
    <s v=""/>
    <s v="Отбор керна при бурении и реконструкции скважин"/>
    <s v="Расходная часть"/>
    <s v="Рамочный"/>
    <s v="20%"/>
    <s v=""/>
    <s v=""/>
    <s v="592 569 436.45"/>
    <s v="493 807 863.71"/>
    <s v="98 761 572.74"/>
    <s v="нет"/>
    <s v="нет"/>
    <s v=""/>
    <s v=""/>
    <s v=""/>
    <s v=""/>
    <s v="нет"/>
  </r>
  <r>
    <s v="Газпромнефть-ГЕО, ООО"/>
    <s v=""/>
    <s v="Зарегистрирован"/>
    <m/>
    <m/>
    <x v="495"/>
    <s v=""/>
    <s v=""/>
    <s v="ГЕО-23/25000/00002/Р"/>
    <s v="ГЕО-23/25000/00002/Р"/>
    <s v="Типовой ДД"/>
    <x v="2"/>
    <s v="25000 Договор об оказании услуг физическим лицом (без выезда на Лицензионные участки Заказчика)"/>
    <s v="01144-22"/>
    <s v=""/>
    <s v="25000 Договор об оказании услуг физическим лицом (без выезда на Лицензионные участки Заказчика)"/>
    <s v="Исполнитель обязуется выполнить Заказчику PR-услуги по управлению проектом формирования зонтичного бренда цифровых продуктов, подготовки и реализации специальных проектов со СМИ по ключевым темам геологоразведочного бизнеса, менеджмента проектов международной конференции по геологоразведке «ПроГРРесс-2023», а также созданию и актуализации базы данных СМИ, а Заказчик обязуется принять результат Услуг и оплатить его."/>
    <s v="Нюняйкина О.В."/>
    <s v="Нюняйкина О.В."/>
    <s v="Договорный документ"/>
    <s v="Отдел по корпоративным коммуникациям"/>
    <s v="Масалкин Ю.В."/>
    <s v="На бумажном носителе"/>
    <s v="С ограничением по срокам "/>
    <m/>
    <m/>
    <s v=""/>
    <s v="Договор оказания услуг с физическим лицом"/>
    <s v="Расходная часть"/>
    <s v="Стоимостной"/>
    <s v="13%"/>
    <s v=""/>
    <s v=""/>
    <s v="1 070 894.00"/>
    <s v="931 678.00"/>
    <s v="139 216.00"/>
    <s v="нет"/>
    <s v="нет"/>
    <s v=""/>
    <s v=""/>
    <s v=""/>
    <s v=""/>
    <s v="нет"/>
  </r>
  <r>
    <s v="Газпромнефть-ГЕО, ООО"/>
    <s v=""/>
    <s v="Зарегистрирован"/>
    <m/>
    <m/>
    <x v="496"/>
    <s v=""/>
    <s v=""/>
    <s v="ГЕО-23/10000/00044/Р"/>
    <s v="ГЕО-23/10000/00044/Р"/>
    <s v="Нетиповой ДД"/>
    <x v="1"/>
    <s v=""/>
    <s v="01145-22"/>
    <s v=""/>
    <s v="СОГЛАШЕНИЕ о передаче Договора № RUS-22-HSSE-001 на оказание услуг по проведению локального экологического мониторинга в границах лицензионного участка АО «Евротек-Югра» Карабашского 10 л.у. в 2023-2025 годах"/>
    <s v="АО «Евротэк-Югра» передает, а ООО &quot;ГПН-ГЕО&quot; принимает в полном объеме все права и обязанности АО «Евротэк-Югра» по договору № RUS-22-HSSE-001 на оказание услуг по проведению локального экологического мониторинга в границах лицензионного участка АО «Евротек-Югра» Карабашского 10 л.у. в 2023-2025 годах"/>
    <s v="Липатова О.И."/>
    <s v=""/>
    <s v="Договорный документ"/>
    <s v="Отдел экологической безопасности"/>
    <s v="Ядрышников П.Н."/>
    <s v="На бумажном носителе"/>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957 080.80"/>
    <s v="797 567.33"/>
    <s v="159 513.47"/>
    <s v="нет"/>
    <s v="нет"/>
    <s v=""/>
    <s v=""/>
    <s v=""/>
    <s v=""/>
    <s v="нет"/>
  </r>
  <r>
    <s v="Газпромнефть-ГЕО, ООО"/>
    <s v="0000102205"/>
    <s v="Зарегистрирован"/>
    <m/>
    <m/>
    <x v="14"/>
    <s v="9715287189"/>
    <s v="ГЕО-22/11000/00012/Р"/>
    <s v=""/>
    <s v="7"/>
    <s v="Нетиповой ДД"/>
    <x v="0"/>
    <s v=""/>
    <s v="01146-22"/>
    <s v=""/>
    <s v="выполнение работ «Инженерная подготовка площадки скважины №198 на Лескинском ЛУ» с привлечением машин и механизмов Заказчика"/>
    <s v="с целью завершения СМР на площадке скв. 198 заключить дополнительное соглашение №7 с подрядной организацией для выполнении СМР при испытании скв.198 с продлением срока действия Договора без изменения стоиомости работ"/>
    <s v="Калугина С.Б."/>
    <s v="Галлямов Р.Ю."/>
    <s v="Договорный документ"/>
    <s v="Департамент капитального строительства"/>
    <s v="Трифонов А.В."/>
    <s v="ЭП"/>
    <s v="До исполнения обязательств"/>
    <m/>
    <m/>
    <s v="Д-33"/>
    <s v="Капитальное строительство и ПИР"/>
    <s v="Не предполагает взаиморасчетов"/>
    <s v=""/>
    <s v=""/>
    <s v=""/>
    <s v=""/>
    <s v=""/>
    <s v=""/>
    <s v=""/>
    <s v="нет"/>
    <s v="нет"/>
    <s v=""/>
    <s v=""/>
    <s v=""/>
    <s v=""/>
    <s v="нет"/>
  </r>
  <r>
    <s v="Газпромнефть-ГЕО, ООО"/>
    <s v="0000065849"/>
    <s v="Зарегистрирован"/>
    <m/>
    <m/>
    <x v="73"/>
    <s v="7816556691"/>
    <s v="ГЕО-20/09000/00170/Р"/>
    <s v=""/>
    <s v="4"/>
    <s v="Нетиповой ДД"/>
    <x v="0"/>
    <s v=""/>
    <s v="01147-22"/>
    <s v=""/>
    <s v="Дополнительное соглашение 4 к Договору на оказание услуг № ГЕО-20/09000/00170/Р  от 30.10.2020 г."/>
    <s v="Перевод негарантированного объема, запланированного на 2020 г. в гарантированный объем 2023 г. – без изменения общей стоимости по договору и без изменения единичных расценок по договору"/>
    <s v="Курашко М.В."/>
    <s v=""/>
    <s v="Договорный документ"/>
    <s v="Управление по работе с персоналом"/>
    <s v="Игнатова Ю.В."/>
    <s v="На бумажном носителе"/>
    <s v="До исполнения обязательств"/>
    <m/>
    <m/>
    <s v="Д-66"/>
    <s v="Договор возмездного оказания услуг"/>
    <s v="Расходная часть"/>
    <s v="Рамочный"/>
    <s v="без НДС"/>
    <s v=""/>
    <s v=""/>
    <s v="48 197 221.93"/>
    <s v="48 197 221.93"/>
    <n v="0"/>
    <s v="нет"/>
    <s v="нет"/>
    <s v=""/>
    <s v=""/>
    <s v=""/>
    <s v=""/>
    <s v="нет"/>
  </r>
  <r>
    <s v="Газпромнефть-ГЕО, ООО"/>
    <s v="0000101037"/>
    <s v="Зарегистрирован"/>
    <m/>
    <m/>
    <x v="497"/>
    <s v="7710374010"/>
    <s v=""/>
    <s v="ГЕО-23/09000/00016/Р"/>
    <s v="ГЕО-23/09000/00016/Р"/>
    <s v="Нетиповой ДД"/>
    <x v="2"/>
    <s v=""/>
    <s v="01148-22"/>
    <s v=""/>
    <s v="доступ к ИС СПАРК"/>
    <s v="доступ к ИС СПАРК"/>
    <s v="Разумовский М.В."/>
    <s v="Разумовский М.В."/>
    <s v="Договорный документ"/>
    <s v="Блок геологии и разработки"/>
    <s v="Аксенов М.А."/>
    <s v="На бумажном носителе"/>
    <s v="С ограничением по срокам "/>
    <m/>
    <m/>
    <s v="Д-54"/>
    <s v="Договор возмездного оказания услуг"/>
    <s v="Расходная часть"/>
    <s v="Тарифный"/>
    <s v="20%"/>
    <s v=""/>
    <s v=""/>
    <s v="756 000.00"/>
    <s v="630 000.00"/>
    <s v="126 000.00"/>
    <s v="нет"/>
    <s v="нет"/>
    <s v=""/>
    <s v=""/>
    <s v=""/>
    <s v=""/>
    <s v="нет"/>
  </r>
  <r>
    <s v="Газпромнефть-ГЕО, ООО"/>
    <s v="0000063179"/>
    <s v="Зарегистрирован"/>
    <m/>
    <m/>
    <x v="54"/>
    <s v="7727747172"/>
    <s v="ГЕО-20/10986/00138/Р "/>
    <s v=""/>
    <s v="26"/>
    <s v="Нетиповой ДД"/>
    <x v="8"/>
    <s v=""/>
    <s v="01149-22"/>
    <s v=""/>
    <s v="Задание № 26"/>
    <s v="Заключении Задания № 26 к Договору № ГЕО-20/10986/00138/Р от 10.08.2020г. с компанией ООО «ОГК» на оказание супервайзерских услуг по контролю состояния производственной безопасности, безопасности дорожного движения, услуг водителя и автомобиль в 2023г. в Уральском федеральном округе (проект «Титан»), "/>
    <s v="Автеньев М.В."/>
    <s v="Фокин Е.В."/>
    <s v="Договорный документ"/>
    <s v="Блок производственной безопасности"/>
    <s v="Ядрышников П.Н."/>
    <s v="ЭП"/>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8 147 962.80"/>
    <s v="6 789 969.00"/>
    <s v="1 357 993.80"/>
    <s v="нет"/>
    <s v="нет"/>
    <s v=""/>
    <s v=""/>
    <s v=""/>
    <s v=""/>
    <s v="нет"/>
  </r>
  <r>
    <s v="Газпромнефть-ГЕО, ООО"/>
    <s v="0000063179"/>
    <s v="Зарегистрирован"/>
    <m/>
    <m/>
    <x v="54"/>
    <s v="7727747172"/>
    <s v="ГЕО-20/10986/00138/Р "/>
    <s v=""/>
    <s v="27"/>
    <s v="Нетиповой ДД"/>
    <x v="8"/>
    <s v=""/>
    <s v="01150-22"/>
    <s v=""/>
    <s v="Задание № 27"/>
    <s v="Заключение Задания № 27 к Договору № ГЕО-20/10986/00138/Р от 10.08.2020г. с компанией ООО «ОГК» на оказание супервайзерских услуг по контролю состояния производственной безопасности в 2023г. в Сибирском федеральном округе (проект «Енисей»), "/>
    <s v="Автеньев М.В."/>
    <s v="Фокин Е.В."/>
    <s v="Договорный документ"/>
    <s v="Блок производственной безопасности"/>
    <s v="Ядрышников П.Н."/>
    <s v="ЭП"/>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1 753 664.00"/>
    <s v="9 794 720.00"/>
    <s v="1 958 944.00"/>
    <s v="нет"/>
    <s v="нет"/>
    <s v=""/>
    <s v=""/>
    <s v=""/>
    <s v=""/>
    <s v="нет"/>
  </r>
  <r>
    <s v="Газпромнефть-ГЕО, ООО"/>
    <s v="0000063179"/>
    <s v="Зарегистрирован"/>
    <m/>
    <m/>
    <x v="54"/>
    <s v="7727747172"/>
    <s v="ГЕО-20/10986/00138/Р "/>
    <s v=""/>
    <s v="28"/>
    <s v="Нетиповой ДД"/>
    <x v="8"/>
    <s v=""/>
    <s v="01151-22"/>
    <s v=""/>
    <s v="Задание № 28"/>
    <s v="Заключение Задания № 28 к Договору № ГЕО-20/10986/00138/Р от 10.08.2020г. с компанией ООО «ОГК» на оказание супервайзерских услуг по контролю состояния производственной безопасности в 2023г. в Приволжском федеральном округе (проект «Южный Оренбург»"/>
    <s v="Автеньев М.В."/>
    <s v="Фокин Е.В."/>
    <s v="Договорный документ"/>
    <s v="Блок производственной безопасности"/>
    <s v="Ядрышников П.Н."/>
    <s v="ЭП"/>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4 902 861.60"/>
    <s v="4 085 718.00"/>
    <s v="817 143.60"/>
    <s v="нет"/>
    <s v="нет"/>
    <s v=""/>
    <s v=""/>
    <s v=""/>
    <s v=""/>
    <s v="нет"/>
  </r>
  <r>
    <s v="Газпромнефть-ГЕО, ООО"/>
    <s v="0000063179"/>
    <s v="Проект"/>
    <m/>
    <m/>
    <x v="54"/>
    <s v="7727747172"/>
    <s v=""/>
    <s v=""/>
    <s v=""/>
    <s v=""/>
    <x v="6"/>
    <s v=""/>
    <s v="01152-22"/>
    <s v=""/>
    <s v="Задание № 29"/>
    <s v="Заключение Задания № 29 к Договору № ГЕО-20/10986/00138/Р от 10.08.2020г. с компанией ООО «ОГК» на оказание супервайзерских услуг по контролю состояния производственной безопасности, безопасности дорожного движения, услуг водителя и автомобиль в 2023г. в Сибирском федеральном округе (проект «Оморинский») "/>
    <s v="Автеньев М.В."/>
    <s v="Фокин Е.В."/>
    <s v="Договорный документ"/>
    <s v="Блок производственной безопасности"/>
    <s v="Ядрышников П.Н."/>
    <s v="ЭП"/>
    <s v="С ограничением по срокам "/>
    <m/>
    <m/>
    <s v="Д-51"/>
    <s v=""/>
    <s v=""/>
    <s v=""/>
    <s v=""/>
    <s v=""/>
    <s v=""/>
    <s v=""/>
    <s v=""/>
    <s v=""/>
    <s v="нет"/>
    <s v="нет"/>
    <s v=""/>
    <s v=""/>
    <s v=""/>
    <s v=""/>
    <s v="нет"/>
  </r>
  <r>
    <s v="Газпромнефть-ГЕО, ООО"/>
    <s v="0000063179"/>
    <s v="Зарегистрирован"/>
    <m/>
    <m/>
    <x v="54"/>
    <s v="7727747172"/>
    <s v="ГЕО-20/10986/00138/Р "/>
    <s v=""/>
    <s v="29"/>
    <s v="Нетиповой ДД"/>
    <x v="8"/>
    <s v=""/>
    <s v="01153-22"/>
    <s v=""/>
    <s v="Задание № 29"/>
    <s v="Заключение Задания № 29 к Договору № ГЕО-20/10986/00138/Р от 10.08.2020г. с компанией ООО «ОГК» на оказание супервайзерских услуг по контролю состояния производственной безопасности, безопасности дорожного движения, услуг водителя и автомобиль в 2023г. в Сибирском федеральном округе (проект «Оморинский») "/>
    <s v="Автеньев М.В."/>
    <s v="Фокин Е.В."/>
    <s v="Договорный документ"/>
    <s v="Блок производственной безопасности"/>
    <s v="Ядрышников П.Н."/>
    <s v="ЭП"/>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17 756 337.60"/>
    <s v="14 796 948.00"/>
    <s v="2 959 389.60"/>
    <s v="нет"/>
    <s v="нет"/>
    <s v=""/>
    <s v=""/>
    <s v=""/>
    <s v=""/>
    <s v="нет"/>
  </r>
  <r>
    <s v="Газпромнефть-ГЕО, ООО"/>
    <s v="0000057796"/>
    <s v="Зарегистрирован"/>
    <m/>
    <m/>
    <x v="109"/>
    <s v="5003028148"/>
    <s v="ГЕО-10/10900/00266/Р"/>
    <s v=""/>
    <s v="3"/>
    <s v="Нетиповой ДД"/>
    <x v="0"/>
    <s v=""/>
    <s v="01154-22"/>
    <s v=""/>
    <s v="Дополнительное соглашение №3 к Договору № ГЕО-19/10900/00266/Р от 01.10.2019 г. "/>
    <s v="В целях оказание услуг по противофонтанной безопасности на объектах Лескинского ЛУ у январе-феврале 2023 года"/>
    <s v="Хабибуллин Т.Ф."/>
    <s v="Хабибуллин Т.Ф."/>
    <s v="Договорный документ"/>
    <s v="Отдел по промышленной и пожарной безопасности"/>
    <s v="Ядрышников П.Н."/>
    <s v="На бумажном носителе"/>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Рамочный"/>
    <s v="20%"/>
    <s v=""/>
    <s v="24905155"/>
    <s v="347 413 114.80"/>
    <s v="289 510 929.00"/>
    <s v="57 902 185.80"/>
    <s v="да"/>
    <s v="нет"/>
    <s v=""/>
    <s v=""/>
    <s v=""/>
    <s v=""/>
    <s v="нет"/>
  </r>
  <r>
    <s v="Газпромнефть-ГЕО, ООО"/>
    <s v="0000063179"/>
    <s v="Зарегистрирован"/>
    <m/>
    <m/>
    <x v="54"/>
    <s v="7727747172"/>
    <s v="ГЕО-20/10986/00138/Р "/>
    <s v=""/>
    <s v="30"/>
    <s v="Нетиповой ДД"/>
    <x v="8"/>
    <s v=""/>
    <s v="01155-22"/>
    <s v=""/>
    <s v="Задание № 30"/>
    <s v="Заключение Задания № 30 к Договору № ГЕО-20/10986/00138/Р от 10.08.2020г. с компанией ООО «ОГК» на оказание супервайзерских услуг по контролю состояния производственной безопасности и безопасности дорожного движения в 2023г. Два супервайзера (офисные сотрудники)."/>
    <s v="Автеньев М.В."/>
    <s v="Фокин Е.В."/>
    <s v="Договорный документ"/>
    <s v="Блок производственной безопасности"/>
    <s v="Ядрышников П.Н."/>
    <s v="ЭП"/>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6 654 772.80"/>
    <s v="5 545 644.00"/>
    <s v="1 109 128.80"/>
    <s v="нет"/>
    <s v="нет"/>
    <s v=""/>
    <s v=""/>
    <s v=""/>
    <s v=""/>
    <s v="нет"/>
  </r>
  <r>
    <s v="Газпромнефть-ГЕО, ООО"/>
    <s v="0000063179"/>
    <s v="Зарегистрирован"/>
    <m/>
    <m/>
    <x v="54"/>
    <s v="7727747172"/>
    <s v="ГЕО-20/10986/00138/Р"/>
    <s v=""/>
    <s v="31"/>
    <s v="Нетиповой ДД"/>
    <x v="8"/>
    <s v=""/>
    <s v="01156-22"/>
    <s v=""/>
    <s v="Задание № 31"/>
    <s v="Заключение Задания № 31 к Договору № ГЕО-20/10986/00138/Р от 10.08.2020г. с компанией ООО «ОГК» на оказание супервайзерских услуг по контролю состояния производственной безопасности в 2023г. в Приволжском федеральном округе (Краснореченский ЛУ)."/>
    <s v="Автеньев М.В."/>
    <s v="Фокин Е.В."/>
    <s v="Договорный документ"/>
    <s v="Блок производственной безопасности"/>
    <s v="Ядрышников П.Н."/>
    <s v="ЭП"/>
    <s v="С ограничением по срокам "/>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Расходная часть"/>
    <s v="Стоимостной"/>
    <s v="20%"/>
    <s v=""/>
    <s v=""/>
    <s v="5 999 824.80"/>
    <s v="4 999 854.00"/>
    <s v="999 970.80"/>
    <s v="нет"/>
    <s v="нет"/>
    <s v=""/>
    <s v=""/>
    <s v=""/>
    <s v=""/>
    <s v="нет"/>
  </r>
  <r>
    <s v="Газпромнефть-ГЕО, ООО"/>
    <s v=""/>
    <s v="Зарегистрирован"/>
    <m/>
    <m/>
    <x v="495"/>
    <s v=""/>
    <s v=""/>
    <s v="ГЕО-23/26000/00003"/>
    <s v="ГЕО-23/26000/00003"/>
    <s v="Типовой ДД"/>
    <x v="1"/>
    <s v="26000 Договор о конфиденциальности с физическим лицом"/>
    <s v="01157-22"/>
    <s v=""/>
    <s v="26000 Договор о конфиденциальности с физическим лицом"/>
    <s v="В связи с заключением договора ГПХ"/>
    <s v="Нюняйкина О.В."/>
    <s v=""/>
    <s v="Договорный документ"/>
    <s v="Отдел по корпоративным коммуникациям"/>
    <s v="Созинов С.А."/>
    <s v="На бумажном носителе"/>
    <s v="С ограничением по срокам "/>
    <m/>
    <m/>
    <s v="Д-60"/>
    <s v="Соглашение о конфиденциальности"/>
    <s v="Не предполагает взаиморасчетов"/>
    <s v=""/>
    <s v=""/>
    <s v=""/>
    <s v=""/>
    <s v=""/>
    <s v=""/>
    <s v=""/>
    <s v="нет"/>
    <s v="нет"/>
    <s v=""/>
    <s v=""/>
    <s v=""/>
    <s v=""/>
    <s v="нет"/>
  </r>
  <r>
    <s v="Газпромнефть-ГЕО, ООО"/>
    <s v="0000070392"/>
    <s v="Зарегистрирован"/>
    <m/>
    <m/>
    <x v="154"/>
    <s v="7716180477"/>
    <s v=""/>
    <s v="ГЕО-22/33200/00342"/>
    <s v="ГЕО-22/33200/00342"/>
    <s v="Типовой ДД"/>
    <x v="1"/>
    <s v="33200 Соглашение об электронном документообороте"/>
    <s v="01158-22"/>
    <s v=""/>
    <s v="33200 Соглашение об электронном документообороте"/>
    <s v="33200 Соглашение об электронном документообороте"/>
    <s v="Разумовский М.В."/>
    <s v="Разумовский М.В."/>
    <s v="Договорный документ"/>
    <s v="Блок геологии и разработки"/>
    <s v="Аксенов М.А."/>
    <s v="На бумажном носителе"/>
    <s v="Без сроков "/>
    <m/>
    <m/>
    <s v="Д-54"/>
    <s v="Соглашение об использовании электронного документооборота"/>
    <s v="Не предполагает взаиморасчетов"/>
    <s v=""/>
    <s v=""/>
    <s v=""/>
    <s v=""/>
    <s v=""/>
    <s v=""/>
    <s v=""/>
    <s v="нет"/>
    <s v="нет"/>
    <s v=""/>
    <s v=""/>
    <s v=""/>
    <s v=""/>
    <s v="нет"/>
  </r>
  <r>
    <s v="Газпромнефть-ГЕО, ООО"/>
    <s v="0000040426"/>
    <s v="Зарегистрирован"/>
    <m/>
    <m/>
    <x v="498"/>
    <s v="7702204865"/>
    <s v=""/>
    <s v="ГЕО-23/09000/00060/Р"/>
    <s v="ГЕО-23/09000/00060/Р"/>
    <s v="Нетиповой ДД"/>
    <x v="2"/>
    <s v=""/>
    <s v="01159-22"/>
    <s v=""/>
    <s v="заключение договора на ПО ПИКЕЗА"/>
    <s v="заключение договора на ПО ПИКЕЗА"/>
    <s v="Разумовский М.В."/>
    <s v="Разумовский М.В."/>
    <s v="Договорный документ"/>
    <s v="Блок геологии и разработки"/>
    <s v="Аксенов М.А."/>
    <s v="На бумажном носителе"/>
    <s v="С ограничением по срокам "/>
    <m/>
    <m/>
    <s v="Д-54"/>
    <s v="Договор возмездного оказания услуг"/>
    <s v="Расходная часть"/>
    <s v="Стоимостной"/>
    <s v="без НДС"/>
    <s v=""/>
    <s v=""/>
    <s v="1 480 000.00"/>
    <s v="1 480 000.00"/>
    <n v="0"/>
    <s v="нет"/>
    <s v="нет"/>
    <s v=""/>
    <s v=""/>
    <s v=""/>
    <s v=""/>
    <s v="нет"/>
  </r>
  <r>
    <s v="Газпромнефть-ГЕО, ООО"/>
    <s v="0000063179"/>
    <s v="Зарегистрирован"/>
    <m/>
    <m/>
    <x v="54"/>
    <s v="7727747172"/>
    <s v=""/>
    <s v=""/>
    <s v="10"/>
    <s v="Нетиповой ДД"/>
    <x v="0"/>
    <s v=""/>
    <s v="01160-22"/>
    <s v=""/>
    <s v="ДОПОЛНИТЕЛЬНОЕ СОГЛАШЕНИЕ № 10 к ДОГОВОРУ № ГЕО-20/10986/00138/Р от 10.08.2020г. на оказание супервайзерских услуг по контролю состояния производственной безопасности на объектах ООО «ГПН-ГЕО»"/>
    <s v="Перераспределение негарантированного объема услуг 2022г. в негарантированный объем 2023г. и 2024г. для покрытия ориентировочной планируемой потребности на 2023-2024гг. по проектам СРР и ПРБ, в том числе по планируемым доходным операторским договорам. "/>
    <s v="Автеньев М.В."/>
    <s v="Фокин Е.В."/>
    <s v="Договорный документ"/>
    <s v="Блок производственной безопасности"/>
    <s v="Ядрышников П.Н."/>
    <s v="ЭП"/>
    <s v="До исполнения обязательств"/>
    <m/>
    <m/>
    <s v="Д-5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
    <s v="нет"/>
  </r>
  <r>
    <s v="Газпромнефть-ГЕО, ООО"/>
    <s v="0000089597"/>
    <s v="Зарегистрирован"/>
    <m/>
    <m/>
    <x v="155"/>
    <s v="7811455562"/>
    <s v="ГЕО-22/16000/00080/Р"/>
    <s v=""/>
    <s v="1"/>
    <s v="Нетиповой ДД"/>
    <x v="0"/>
    <s v=""/>
    <s v="01161-22"/>
    <s v=""/>
    <s v="Дополнительное соглашение"/>
    <s v="Продление срока действия договора до 31.12.2023 г. и увеличение стоимости Договора_x000d__x000a_"/>
    <s v="Петушкова В.Е."/>
    <s v="Петушкова В.Е."/>
    <s v="Договорный документ"/>
    <s v="Управление производственной безопасности"/>
    <s v="Ядрышников П.Н."/>
    <s v="На бумажном носителе"/>
    <s v="С ограничением по срокам "/>
    <m/>
    <m/>
    <s v="Д-51"/>
    <s v="Договор хранения"/>
    <s v="Расходная часть"/>
    <s v="Стоимостной"/>
    <s v="20%"/>
    <s v=""/>
    <s v=""/>
    <s v="1 433 233.08"/>
    <s v="1 194 360.90"/>
    <s v="238 872.18"/>
    <s v="нет"/>
    <s v="нет"/>
    <s v=""/>
    <s v=""/>
    <s v=""/>
    <s v=""/>
    <s v="нет"/>
  </r>
  <r>
    <s v="Газпромнефть-ГЕО, ООО"/>
    <s v="0000067067"/>
    <s v="Зарегистрирован"/>
    <m/>
    <m/>
    <x v="85"/>
    <s v="7816483740"/>
    <s v=""/>
    <s v=""/>
    <s v="6"/>
    <s v="Нетиповой ДД"/>
    <x v="0"/>
    <s v=""/>
    <s v="01162-22"/>
    <s v=""/>
    <s v="Дополнительное соглашение №6"/>
    <s v="- Перераспределение негарантированных объемов 2022 - 2028гг. в гарантированный объем в 2023г. для покрытия потребности в медицинских услугах проектов ГПН-ГЕО._x000d__x000a_- Устранение технических ошибок в ставках Приложения № 1 к Договору (Расчет стоимости) в Уральском, Сибирском, Дальневосточном, Приволжском федеральных округах."/>
    <s v="Автеньев М.В."/>
    <s v="Евстигнеев В.А."/>
    <s v="Договорный документ"/>
    <s v="Блок производственной безопасности"/>
    <s v="Ядрышников П.Н."/>
    <s v="На бумажном носителе"/>
    <s v="До исполнения обязательств"/>
    <m/>
    <m/>
    <s v="Д-51"/>
    <s v="Договор возмездного оказания услуг"/>
    <s v="Расходная часть"/>
    <s v="Стоимостной"/>
    <s v="20%"/>
    <s v=""/>
    <s v=""/>
    <s v="296 010 346.45"/>
    <s v="246 675 288.71"/>
    <s v="49 335 057.74"/>
    <s v="нет"/>
    <s v="нет"/>
    <s v=""/>
    <s v=""/>
    <s v=""/>
    <s v=""/>
    <s v="нет"/>
  </r>
  <r>
    <s v="Газпромнефть-ГЕО, ООО"/>
    <s v="0000067067"/>
    <s v="Зарегистрирован"/>
    <m/>
    <m/>
    <x v="85"/>
    <s v="7816483740"/>
    <s v=""/>
    <s v=""/>
    <s v="1"/>
    <s v="Нетиповой ДД"/>
    <x v="8"/>
    <s v=""/>
    <s v="01163-22"/>
    <s v=""/>
    <s v="Наряд-задание № 1 "/>
    <s v="Организации работы здравпунктов и оказанию медицинских услуг с компанией ООО «ММЦ Профмедицина» в Сибирском федеральном округе (проект «ЧОНА»),"/>
    <s v="Автеньев М.В."/>
    <s v="Евстигнеев В.А."/>
    <s v="Договорный документ"/>
    <s v="Блок производственной безопасности"/>
    <s v="Михайлов Ю.А."/>
    <s v="На бумажном носителе"/>
    <s v="До исполнения обязательств"/>
    <m/>
    <m/>
    <s v="Д-2"/>
    <s v="Договор возмездного оказания услуг"/>
    <s v="Расходная часть"/>
    <s v="Стоимостной"/>
    <s v="20%"/>
    <s v=""/>
    <s v=""/>
    <s v="30 194 255.28"/>
    <s v="25 161 879.40"/>
    <s v="5 032 375.88"/>
    <s v="нет"/>
    <s v="нет"/>
    <s v=""/>
    <s v=""/>
    <s v=""/>
    <s v=""/>
    <s v="нет"/>
  </r>
  <r>
    <s v="Газпромнефть-ГЕО, ООО"/>
    <s v="0000008602"/>
    <s v="Зарегистрирован"/>
    <m/>
    <m/>
    <x v="32"/>
    <s v="5504036333"/>
    <s v="ГЕО-21/00000/00144/Д"/>
    <s v=""/>
    <s v="2"/>
    <s v="Нетиповой ДД"/>
    <x v="0"/>
    <s v=""/>
    <s v="В00326-24"/>
    <s v=""/>
    <s v="ДС №2 к Договору ГПН-21/09000/01736/Р/ГЕО-21/00000/00144/Д от «16» апреля 2021г."/>
    <s v="Продление сроков действия рамочного договора ГПН-21/09000/01736/Р/ГЕО-21/00000/00144/Д от «16» апреля 2021г."/>
    <s v="Блинова Д.М."/>
    <s v="Блинова Д.М."/>
    <s v="Внутригрупповой договорный документ"/>
    <s v="Управление экономического планирования и анализа"/>
    <s v="Шакирзянов Л.Н."/>
    <s v="На бумажном носителе"/>
    <s v="С ограничением по срокам "/>
    <m/>
    <m/>
    <s v="Д-20"/>
    <s v="ПРОЧИЕ ДОГОВОРЫ"/>
    <s v="Не предполагает взаиморасчетов"/>
    <s v="Рамочный"/>
    <s v=""/>
    <s v=""/>
    <s v=""/>
    <s v=""/>
    <s v=""/>
    <s v=""/>
    <s v="нет"/>
    <s v="нет"/>
    <s v=""/>
    <s v=""/>
    <s v=""/>
    <s v=""/>
    <s v=""/>
  </r>
  <r>
    <s v="Газпромнефть-ГЕО, ООО"/>
    <s v="0000045789"/>
    <s v="Зарегистрирован"/>
    <m/>
    <m/>
    <x v="16"/>
    <s v="7838395487"/>
    <s v="НТЦ-21/08000/00390/Р"/>
    <s v=""/>
    <s v="НТЦ-В00334-24Р-ГПН"/>
    <s v="Нетиповой ДД"/>
    <x v="3"/>
    <s v=""/>
    <s v="В00334-24"/>
    <s v=""/>
    <s v="Заказ к Договору №НТЦ-21/08000/00390/Р//ГЕО-21/00000/00123/Д от 17.05.2021г. Научно-техническое сопровождение проекта I18PRD0694 "/>
    <s v="Основной целью заказа является научно-техническое сопровождение работ, выполняемых в рамках проекта «Разработка когнитивных инструментов геологического анализа»:"/>
    <s v="Шохин А.Е."/>
    <s v="Шохин А.Е."/>
    <s v="Внутригрупповой договорный документ"/>
    <s v="Управление по геологии"/>
    <s v="Ковтун М.А."/>
    <s v="ЭП"/>
    <s v="С ограничением по срокам "/>
    <m/>
    <m/>
    <s v="Д-62"/>
    <s v="Договор на выполнение НИР, ОКР и технологических работ"/>
    <s v="Доходная часть"/>
    <s v="Рамочный"/>
    <s v="20%"/>
    <s v=""/>
    <s v=""/>
    <s v="1 738 665.72"/>
    <s v="1 448 888.10"/>
    <s v="289 777.62"/>
    <s v="нет"/>
    <s v="нет"/>
    <s v=""/>
    <s v=""/>
    <s v=""/>
    <s v=""/>
    <s v=""/>
  </r>
  <r>
    <s v="Газпромнефть-ГЕО, ООО"/>
    <s v="0000073273"/>
    <s v="Зарегистрирован"/>
    <m/>
    <m/>
    <x v="21"/>
    <s v="5610218014"/>
    <s v="ОРН-23/09000/00002/Р/15/02/ГЕО-Д/7/ВГС"/>
    <s v=""/>
    <s v="1"/>
    <s v="Нетиповой ДД"/>
    <x v="4"/>
    <s v=""/>
    <s v="В00494-24"/>
    <s v="2"/>
    <s v="Изменение №1 к ЗК № 2 к Д № ОРН-23/09000/00002/Р/15/02/ГЕО-Д/7/ВГС"/>
    <s v="Изменение сроков исполнения ЗК № 2 к Д № ОРН-23/09000/00002/Р/15/02/ГЕО-Д/7/ВГС"/>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Не предполагает взаиморасчетов"/>
    <s v=""/>
    <s v=""/>
    <s v=""/>
    <s v=""/>
    <s v=""/>
    <s v=""/>
    <s v=""/>
    <s v="нет"/>
    <s v="нет"/>
    <s v=""/>
    <s v=""/>
    <s v=""/>
    <s v=""/>
    <s v=""/>
  </r>
  <r>
    <s v="Газпромнефть-ГЕО, ООО"/>
    <s v="0000073273"/>
    <s v="Зарегистрирован"/>
    <m/>
    <m/>
    <x v="21"/>
    <s v="5610218014"/>
    <s v="ОРН-23/09000/00002/Р/15/02/ГЕО-Д/7/ВГС"/>
    <s v=""/>
    <s v="1"/>
    <s v="Нетиповой ДД"/>
    <x v="4"/>
    <s v=""/>
    <s v="В00551-24"/>
    <s v="3"/>
    <s v="Изменение №1 к ЗК № 3 к Д № ОРН-23/09000/00002/Р/15/02/ГЕО-Д/7/ВГС"/>
    <s v="Изменение сроков исполнения ЗК № 3 к Д № ОРН-23/09000/00002/Р/15/02/ГЕО-Д/7/ВГС"/>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Не предполагает взаиморасчетов"/>
    <s v=""/>
    <s v=""/>
    <s v=""/>
    <s v=""/>
    <s v=""/>
    <s v=""/>
    <s v=""/>
    <s v="нет"/>
    <s v="нет"/>
    <s v=""/>
    <s v=""/>
    <s v=""/>
    <s v=""/>
    <s v=""/>
  </r>
  <r>
    <s v="Газпромнефть-ГЕО, ООО"/>
    <s v="0000000059"/>
    <s v="Зарегистрирован"/>
    <m/>
    <m/>
    <x v="131"/>
    <s v="8905000428"/>
    <s v="ГЕО-19/00000/00317/Д"/>
    <s v=""/>
    <s v="7"/>
    <s v="Нетиповой ДД"/>
    <x v="0"/>
    <s v=""/>
    <s v="В01204-24"/>
    <s v=""/>
    <s v="ДС № 7 к Договору №ГЕО-19/00000/00317/Д / ННГ-19/10124/01839/Р от 24.12.2019"/>
    <s v="Актуализация программы работ"/>
    <s v="Андреева И.В."/>
    <s v="Андреева И.В."/>
    <s v="Внутригрупповой договорный документ"/>
    <s v="Кластер &quot;Традиционные запасы&quot;"/>
    <s v="Николаев М.Н."/>
    <s v="На бумажном носителе"/>
    <s v="С ограничением по срокам "/>
    <m/>
    <m/>
    <s v="Д-57"/>
    <s v="Договор возмездного оказания услуг"/>
    <s v="Доходная часть"/>
    <s v="Стоимостной"/>
    <s v="20%"/>
    <s v=""/>
    <s v=""/>
    <s v="1 132 000 505.06"/>
    <s v="943 333 754.22"/>
    <s v="188 666 750.84"/>
    <s v="нет"/>
    <s v="нет"/>
    <s v=""/>
    <s v=""/>
    <s v=""/>
    <s v=""/>
    <s v=""/>
  </r>
  <r>
    <s v="Газпромнефть-ГЕО, ООО"/>
    <s v="0000069357"/>
    <s v="Зарегистрирован"/>
    <m/>
    <m/>
    <x v="147"/>
    <s v="8903034220"/>
    <s v="МрНГ-22/08000/00008/Р/13/4/ГЕО-Д/5-1/ВГС"/>
    <s v=""/>
    <s v="1"/>
    <s v="Типовой ДД"/>
    <x v="0"/>
    <s v="00000 ДС на изменение реквизитов контрагента (адрес, счет)"/>
    <s v="В0148-23"/>
    <s v=""/>
    <s v="ДС №1 к ДД №МрНГ-22/08000/00008/Р/13/4/ГЕО-Д/5-1/ВГС"/>
    <s v="ДС на изменение реквизитов КА"/>
    <s v="Мустафин А.Р."/>
    <s v="Мустафин А.Р."/>
    <s v="Внутригрупповой договорный документ"/>
    <s v="Кластер &quot;Большая Ачимовка&quot;"/>
    <s v="Волков Г.В."/>
    <s v="ЭП"/>
    <s v="С ограничением по срокам "/>
    <m/>
    <m/>
    <s v="Д-16"/>
    <s v="Договор на выполнение НИР, ОКР и технологических работ"/>
    <s v="Не предполагает взаиморасчетов"/>
    <s v=""/>
    <s v=""/>
    <s v=""/>
    <s v=""/>
    <s v=""/>
    <s v=""/>
    <s v=""/>
    <s v="нет"/>
    <s v="нет"/>
    <s v=""/>
    <s v=""/>
    <s v=""/>
    <s v=""/>
    <s v=""/>
  </r>
  <r>
    <s v="Газпромнефть-ГЕО, ООО"/>
    <s v="0000064025"/>
    <s v="Зарегистрирован"/>
    <m/>
    <m/>
    <x v="134"/>
    <s v="7728720448"/>
    <s v="ГНЗ-22/20000/00007/Р/02/1/ГЕО-Д/9-1/ВГС"/>
    <s v=""/>
    <s v="1"/>
    <s v="Типовой ДД"/>
    <x v="0"/>
    <s v="00000 ДС на изменение реквизитов контрагента (адрес, счет)"/>
    <s v="В0219-23"/>
    <s v=""/>
    <s v="00000 ДС на изменение реквизитов контрагента (адрес, счет)"/>
    <s v="Изменение реквизитов &quot;ГПН-Заполярье&quot;"/>
    <s v="Горлач А.А."/>
    <s v=""/>
    <s v="Внутригрупповой договорный документ"/>
    <s v="Управление производственной безопасности"/>
    <s v="Ядрышников П.Н."/>
    <s v="ЭП"/>
    <s v="С ограничением по срокам "/>
    <m/>
    <m/>
    <s v="Д-51"/>
    <s v="Агентский договор"/>
    <s v="Доходная часть"/>
    <s v="Агентский"/>
    <s v="20%"/>
    <s v=""/>
    <s v=""/>
    <s v="58 178 415.01"/>
    <s v="48 482 012.51"/>
    <s v="9 696 402.50"/>
    <s v="нет"/>
    <s v="нет"/>
    <s v=""/>
    <s v=""/>
    <s v=""/>
    <s v=""/>
    <s v=""/>
  </r>
  <r>
    <s v="Газпромнефть-ГЕО, ООО"/>
    <s v="0000027645"/>
    <s v="Доработка"/>
    <m/>
    <m/>
    <x v="80"/>
    <s v="5501072608"/>
    <s v=""/>
    <s v=""/>
    <s v=""/>
    <s v="Нетиповой ДД"/>
    <x v="2"/>
    <s v=""/>
    <s v="В02913-24"/>
    <s v=""/>
    <s v="Договор поставки "/>
    <s v="Коллеги, добрый день!_x000a_К нам обратились Газпромнефть-Снабжение по вопросу приобретения ДТ на проекте «Оморинский», в объеме 10 тн, для заправки техники своего подрядчика - СТО2000. _x000a_Расчет стоимости сформирован, предварительно согласован с  отделом эффективности контрактования._x000a_"/>
    <s v="Нежальских В.А."/>
    <s v="Нежальских В.А."/>
    <s v="Внутригрупповой 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m/>
    <m/>
    <s v="Д-56"/>
    <s v="Договор поставки нефтепродуктов (рубли)"/>
    <s v="Доходная часть"/>
    <s v="Стоимостной"/>
    <s v="20%"/>
    <s v=""/>
    <s v=""/>
    <s v="906 484.56"/>
    <s v="755 403.80"/>
    <s v="151 080.76"/>
    <s v="нет"/>
    <s v="нет"/>
    <s v=""/>
    <s v=""/>
    <s v=""/>
    <s v=""/>
    <s v=""/>
  </r>
  <r>
    <s v="Газпромнефть-ГЕО, ООО"/>
    <s v="0000008602"/>
    <s v="Зарегистрирован"/>
    <m/>
    <m/>
    <x v="32"/>
    <s v="5504036333"/>
    <s v="ГПН-23/09000/01265/Р/ГЕО-Д/ВГС"/>
    <s v=""/>
    <s v="3"/>
    <s v="Нетиповой ДД"/>
    <x v="3"/>
    <s v=""/>
    <s v="В02955-24"/>
    <s v=""/>
    <s v="Заказ на выполнение научно-исследовательских работ к договору ГПН-23/09000/01265/Р/ГЕО-Д/ВГС​ от 15.12.2023"/>
    <s v="Заказ на выполнение научно-исследовательских работ "/>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31 656 720.00"/>
    <s v="26 380 600.00"/>
    <s v="5 276 120.00"/>
    <s v="нет"/>
    <s v="нет"/>
    <s v=""/>
    <s v=""/>
    <s v=""/>
    <s v="ООО ГПН-ГЕО "/>
    <s v=""/>
  </r>
  <r>
    <s v="Газпромнефть-ГЕО, ООО"/>
    <s v="0000084973"/>
    <s v="Зарегистрирован"/>
    <m/>
    <m/>
    <x v="205"/>
    <s v="8601066868"/>
    <s v=""/>
    <s v="ГТП-24/09000/00433/Р/ГЕО-Д/ВГС"/>
    <s v="ГТП-24/09000/00433/Р/ГЕО-Д/ВГС"/>
    <s v="Нетиповой ДД"/>
    <x v="2"/>
    <s v=""/>
    <s v="В03152-24"/>
    <s v=""/>
    <s v="Договор на оказание услуг по &quot;Формированию бизнес-кейса проекта ГРР Салымский 3,5&quot; № ГТП-24/09000/00433/Р/ГЕО-Д/ВГС от 01.04.2024"/>
    <s v="Услуги по формированию бизнес-кейса проекта ГРР Салымский 3,5"/>
    <s v="Коротков С.П."/>
    <s v="Тарасов С.Л."/>
    <s v="Внутригрупповой договорный документ"/>
    <s v="Управление по разработке"/>
    <s v="Аксенов М.А."/>
    <s v="На бумажном носителе"/>
    <s v="С ограничением по срокам "/>
    <m/>
    <m/>
    <s v="Д-54"/>
    <s v="Договор возмездного оказания услуг"/>
    <s v="Доходная часть"/>
    <s v="Стоимостной"/>
    <s v="20%"/>
    <s v=""/>
    <s v=""/>
    <s v="51 360 000.00"/>
    <s v="42 800 000.00"/>
    <s v="8 560 000.00"/>
    <s v="нет"/>
    <s v="нет"/>
    <s v=""/>
    <s v=""/>
    <s v=""/>
    <s v=""/>
    <s v=""/>
  </r>
  <r>
    <s v="Газпромнефть-ГЕО, ООО"/>
    <s v="0000074750"/>
    <s v="Зарегистрирован"/>
    <m/>
    <m/>
    <x v="66"/>
    <s v="8905062456"/>
    <s v="ГГФ-23/20000/00001/Р/08-02/ГЕО-Д/3/ВГС"/>
    <s v=""/>
    <s v="4"/>
    <s v="Нетиповой ДД"/>
    <x v="0"/>
    <s v=""/>
    <s v="В03657-24"/>
    <s v=""/>
    <s v="ДС 4 к ГГФ-23/20000/00001/Р/08-02/ГЕО-Д/3/ВГС ООО &quot;ГПН-ГЕО&quot; - ООО &quot;Газпромнефть-ННГГФ&quot;"/>
    <s v="Продление срока действия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Не предполагает взаиморасчетов"/>
    <s v="Агентский"/>
    <s v=""/>
    <s v=""/>
    <s v=""/>
    <s v=""/>
    <s v=""/>
    <s v=""/>
    <s v="нет"/>
    <s v="нет"/>
    <s v=""/>
    <s v=""/>
    <s v=""/>
    <s v=""/>
    <s v=""/>
  </r>
  <r>
    <s v="Газпромнефть-ГЕО, ООО"/>
    <s v="0000008602"/>
    <s v="Зарегистрирован"/>
    <m/>
    <m/>
    <x v="32"/>
    <s v="5504036333"/>
    <s v="ГПН-23/09000/01265/Р/ГЕО-Д/ВГС"/>
    <s v=""/>
    <s v="1"/>
    <s v="Нетиповой ДД"/>
    <x v="4"/>
    <s v=""/>
    <s v="В03790-24"/>
    <s v="2"/>
    <s v="Изменение №1 к Заказу №2 к  ДД ГПН-23/09000/01265/Р/ГЕО-Д/ВГС от 15.12.2023г"/>
    <s v="Изменение сроков исполнения и уменьшение суммы Заказа №2 к  ДД ГПН-23/09000/01265/Р/ГЕО-Д/ВГС от 15.12.2023г"/>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506 358 617.88"/>
    <s v="421 965 514.90"/>
    <s v="84 393 102.98"/>
    <s v="нет"/>
    <s v="нет"/>
    <s v=""/>
    <s v=""/>
    <s v=""/>
    <s v=""/>
    <s v=""/>
  </r>
  <r>
    <s v="Газпромнефть-ГЕО, ООО"/>
    <s v="0000039295"/>
    <s v="Зарегистрирован"/>
    <m/>
    <m/>
    <x v="90"/>
    <s v="8618006063"/>
    <s v="ГЕО-20/00000/00183/Д "/>
    <s v=""/>
    <s v="4"/>
    <s v="Нетиповой ДД"/>
    <x v="0"/>
    <s v=""/>
    <s v="В04103-24"/>
    <s v=""/>
    <s v="Дополнительное соглашение №4"/>
    <s v="Актуализация программы работ на 2024-2030гг"/>
    <s v="Андреева И.В."/>
    <s v="С.Л. Тарасов"/>
    <s v="Внутригрупповой договорный документ"/>
    <s v="Кластер &quot;Традиционные запасы&quot;"/>
    <s v="Николаев М.Н."/>
    <s v="ЭП"/>
    <s v="С ограничением по срокам "/>
    <m/>
    <m/>
    <s v="Д-57"/>
    <s v="Договор возмездного оказания услуг"/>
    <s v="Доходная часть"/>
    <s v="Стоимостной"/>
    <s v="20%"/>
    <s v=""/>
    <s v=""/>
    <s v="120 000 000.00"/>
    <s v="100 000 000.00"/>
    <s v="20 000 000.00"/>
    <s v="нет"/>
    <s v="нет"/>
    <s v=""/>
    <s v=""/>
    <s v=""/>
    <s v=""/>
    <s v=""/>
  </r>
  <r>
    <s v="Газпромнефть-ГЕО, ООО"/>
    <s v="0000000059"/>
    <s v="Зарегистрирован"/>
    <m/>
    <m/>
    <x v="131"/>
    <s v="8905000428"/>
    <s v="ГЕО-19/00000/00317/Д"/>
    <s v=""/>
    <s v="8"/>
    <s v="Нетиповой ДД"/>
    <x v="0"/>
    <s v=""/>
    <s v="В04772-24"/>
    <s v=""/>
    <s v="ДС №8 к операторскому договору № ГЕО-19/00000/00317/Д / ННГ-19/10124/01839/Р от 24.12.2019"/>
    <s v="Актуализация программы работ"/>
    <s v="Андреева И.В."/>
    <s v="Андреева И.В."/>
    <s v="Внутригрупповой договорный документ"/>
    <s v="Кластер &quot;Традиционные запасы&quot;"/>
    <s v="Николаев М.Н."/>
    <s v="На бумажном носителе"/>
    <s v="С ограничением по срокам "/>
    <m/>
    <m/>
    <s v=""/>
    <s v="Договор возмездного оказания услуг"/>
    <s v="Доходная часть"/>
    <s v="Стоимостной"/>
    <s v="20%"/>
    <s v=""/>
    <s v=""/>
    <s v="3 579 809 781.71"/>
    <s v="2 983 174 818.09"/>
    <s v="596 634 963.62"/>
    <s v="нет"/>
    <s v="нет"/>
    <s v=""/>
    <s v=""/>
    <s v=""/>
    <s v=""/>
    <s v=""/>
  </r>
  <r>
    <s v="Газпромнефть-ГЕО, ООО"/>
    <s v="0000008602"/>
    <s v="Зарегистрирован"/>
    <m/>
    <m/>
    <x v="32"/>
    <s v="5504036333"/>
    <s v="ГПН-18/09000/02142/Р"/>
    <s v=""/>
    <s v="29"/>
    <s v="Нетиповой ДД"/>
    <x v="0"/>
    <s v=""/>
    <s v="В05118-24"/>
    <s v=""/>
    <s v="Дополнительное соглашение № 29 к Операторскому Договору № ГПН-18/09000/02142/Р от 07 сентября 2018 г. "/>
    <s v="Дополнительное соглашение для включения условия договора по компенсации фактически понесенных расходов Оператора на уплату суммы вознаграждения банкам по договорам факторинга в целях выполнении операторских работ и оказания операторских услуг"/>
    <s v="Блинова Д.М."/>
    <s v="Блинова Д.М."/>
    <s v="Внутригрупповой договорный документ"/>
    <s v="Управление экономического планирования и анализа"/>
    <s v="Николаев М.Н."/>
    <s v="ЭП"/>
    <s v="До исполнения обязательств"/>
    <m/>
    <m/>
    <s v="Д-15"/>
    <s v="Договор возмездного оказания услуг"/>
    <s v="Не предполагает взаиморасчетов"/>
    <s v=""/>
    <s v=""/>
    <s v=""/>
    <s v=""/>
    <s v=""/>
    <s v=""/>
    <s v=""/>
    <s v="нет"/>
    <s v="нет"/>
    <s v=""/>
    <s v=""/>
    <s v=""/>
    <s v=""/>
    <s v=""/>
  </r>
  <r>
    <s v="Газпромнефть-ГЕО, ООО"/>
    <s v="0000039463"/>
    <s v="Зарегистрирован"/>
    <m/>
    <m/>
    <x v="39"/>
    <s v="8905034804"/>
    <s v="АНГ-18/09000/00186/Р"/>
    <s v=""/>
    <s v="14"/>
    <s v="Нетиповой ДД"/>
    <x v="0"/>
    <s v=""/>
    <s v="В05336-24"/>
    <s v=""/>
    <s v="Дополнительное соглашение № 14 к Договору № АНГ-18/09000/00186/Р от 24.09.2018г. "/>
    <s v="Дополнительное соглашение № 14 к Договору № АНГ-18/09000/00186/Р от 24.09.2018г. по изменению программы 2024-2026"/>
    <s v="Блинова Д.М."/>
    <s v="Блинова Д.М."/>
    <s v="Внутригрупповой договорный документ"/>
    <s v="Управление экономического планирования и анализа"/>
    <s v="Николаев М.Н."/>
    <s v="ЭП"/>
    <s v="До исполнения обязательств"/>
    <m/>
    <m/>
    <s v="Д-15"/>
    <s v="Договор возмездного оказания услуг"/>
    <s v="Доходная часть"/>
    <s v="Рамочный"/>
    <s v="20%"/>
    <s v=""/>
    <s v=""/>
    <s v="6 636 753 001.91"/>
    <s v="5 530 627 501.59"/>
    <s v="1 106 125 500.32"/>
    <s v="нет"/>
    <s v="нет"/>
    <s v=""/>
    <s v=""/>
    <s v=""/>
    <s v=""/>
    <s v=""/>
  </r>
  <r>
    <s v="Газпромнефть-ГЕО, ООО"/>
    <s v="0000089487"/>
    <s v="Зарегистрирован"/>
    <m/>
    <m/>
    <x v="499"/>
    <s v="8601068463"/>
    <s v=""/>
    <s v="ПЛН-24/09000/00676/Р/ГЕО-Д/ВГС"/>
    <s v="ПЛН-24/09000/00676/Р/ГЕО-Д/ВГС"/>
    <s v="Нетиповой ДД"/>
    <x v="2"/>
    <s v=""/>
    <s v="В05750-24"/>
    <s v=""/>
    <s v="Договор по оказанию услуг экспертно-методического сопровождения работ по отбору проб пластовых флюидов под давлением"/>
    <s v="Экспертно-методическое сопровождение работ по отбору проб пластовых флюидов под давлением"/>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24 060 579.12"/>
    <s v="20 050 482.60"/>
    <s v="4 010 096.52"/>
    <s v="нет"/>
    <s v="нет"/>
    <s v=""/>
    <s v=""/>
    <s v=""/>
    <s v=""/>
    <s v=""/>
  </r>
  <r>
    <s v="Газпромнефть-ГЕО, ООО"/>
    <s v="0000069357"/>
    <s v="Зарегистрирован"/>
    <m/>
    <m/>
    <x v="147"/>
    <s v="8903034220"/>
    <s v="ГЕО-21/20000/00293/Д"/>
    <s v=""/>
    <s v="1"/>
    <s v="Нетиповой ДД"/>
    <x v="4"/>
    <s v=""/>
    <s v="В05928-24"/>
    <s v="ЗК № 1 к Д № ГЕО-21/20000/00293/Д / Д № МрНГ-21/10000/00135/Р"/>
    <s v="Изменение №1 к Агентскому поручению № 1 от 01.09.2023 г. к Агентскому договору № МрНГ-21/10000/00135/Р//ГЕО-21/20000/00293/Д от 23.12.2021."/>
    <s v="Согласование агентского поручения к агентскому договору с Меретояханефтегаз с целью выполнения обработки и интерпретации СРР на С-Самбургской площади."/>
    <s v="Мурзин Р.Р."/>
    <s v="Мурзин Р.Р."/>
    <s v="Внутригрупповой договорный документ"/>
    <s v="Управление сейсморазведочных работ"/>
    <s v="Аксенов М.А."/>
    <s v="ЭП"/>
    <s v="С ограничением по срокам "/>
    <m/>
    <m/>
    <s v=""/>
    <s v="Агентский договор"/>
    <s v="Доходная часть"/>
    <s v="Агентский"/>
    <s v="20%"/>
    <s v=""/>
    <s v=""/>
    <s v="102 161 584.94"/>
    <s v="85 134 654.12"/>
    <s v="17 026 930.82"/>
    <s v="нет"/>
    <s v="нет"/>
    <s v=""/>
    <s v=""/>
    <s v=""/>
    <s v=""/>
    <s v=""/>
  </r>
  <r>
    <s v="Газпромнефть-ГЕО, ООО"/>
    <s v="0000008602"/>
    <s v="Зарегистрирован"/>
    <m/>
    <m/>
    <x v="32"/>
    <s v="5504036333"/>
    <s v="ГПН-23/09000/01265/Р/ГЕО-Д/ВГС"/>
    <s v=""/>
    <s v="1"/>
    <s v="Нетиповой ДД"/>
    <x v="4"/>
    <s v=""/>
    <s v="В06107-24"/>
    <s v="3"/>
    <s v="Изменение №1 к Заказу №3 к договору ГПН-23/09000/01265/Р/ГЕО-Д/ВГС​ от 15.12.2023"/>
    <s v="В целях корректировки сроков исполнения заказа №3 по НИР 2"/>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31 656 720.00"/>
    <s v="26 380 600.00"/>
    <s v="5 276 120.00"/>
    <s v="нет"/>
    <s v="нет"/>
    <s v=""/>
    <s v=""/>
    <s v=""/>
    <s v=""/>
    <s v=""/>
  </r>
  <r>
    <s v="Газпромнефть-ГЕО, ООО"/>
    <s v="0000064025"/>
    <s v="Зарегистрирован"/>
    <m/>
    <m/>
    <x v="134"/>
    <s v="7728720448"/>
    <s v="ГНЗ-22/20000/00007/Р/02/1/ГЕО-Д/9-1/ВГС"/>
    <s v=""/>
    <s v="2"/>
    <s v="Нетиповой ДД"/>
    <x v="8"/>
    <s v=""/>
    <s v="В0638-23"/>
    <s v=""/>
    <s v="АГЕНТСКОЕ ПОРУЧЕНИЕ № 2 к Агентскому договору №ГНЗ-22/20000/00007/Р/02/1/ГЕО-Д/9-1/ВГС от 30.12.2022г."/>
    <s v="Организации работ в области производственной безопасности на Лицензионных участках Чонской группы месторождений"/>
    <s v="Горлач А.А."/>
    <s v=""/>
    <s v="Внутригрупповой договорный документ"/>
    <s v="Управление производственной безопасности"/>
    <s v="Ядрышников П.Н."/>
    <s v="На бумажном носителе"/>
    <s v="С ограничением по срокам "/>
    <m/>
    <m/>
    <s v="Д-51"/>
    <s v="Агентский договор"/>
    <s v="Доходная часть"/>
    <s v="Агентский"/>
    <s v="20%"/>
    <s v=""/>
    <s v=""/>
    <s v="22 947 175.37"/>
    <s v="19 122 646.14"/>
    <s v="3 824 529.23"/>
    <s v="нет"/>
    <s v="нет"/>
    <s v=""/>
    <s v=""/>
    <s v=""/>
    <s v=""/>
    <s v=""/>
  </r>
  <r>
    <s v="Газпромнефть-ГЕО, ООО"/>
    <s v="0000008602"/>
    <s v="Зарегистрирован"/>
    <m/>
    <m/>
    <x v="32"/>
    <s v="5504036333"/>
    <s v="ГЕО-21/00000/00144/Д"/>
    <s v=""/>
    <s v="3"/>
    <s v="Нетиповой ДД"/>
    <x v="0"/>
    <s v=""/>
    <s v="В06633-24"/>
    <s v=""/>
    <s v="Дополнительное соглашение № 3 к договору № ГПН-21/09000/01736/Р/ГЕО-21/00000/00144/Д от «16» апреля 2021 г."/>
    <s v="Когнитивная геология_x000a_UFSB-4913_x000a_Актуализация Ставок Специалистов Исполнителя в Приложении № 4 к Договору № ГПН-21/09000/01736/Р/ГЕО-21/00000/00144/Д от «16» апреля 2021 г."/>
    <s v="Котова А.М."/>
    <s v="Котова А.М."/>
    <s v="Внутригрупповой договорный документ"/>
    <s v="Управление экономического планирования и анализа"/>
    <s v="Аксенов М.А."/>
    <s v="ЭП"/>
    <s v="Без сроков "/>
    <m/>
    <m/>
    <s v=""/>
    <s v="ПРОЧИЕ ДОГОВОРЫ"/>
    <s v="Не предполагает взаиморасчетов"/>
    <s v=""/>
    <s v=""/>
    <s v=""/>
    <s v=""/>
    <s v=""/>
    <s v=""/>
    <s v=""/>
    <s v="нет"/>
    <s v="нет"/>
    <s v=""/>
    <s v=""/>
    <s v=""/>
    <s v=""/>
    <s v=""/>
  </r>
  <r>
    <s v="Газпромнефть-ГЕО, ООО"/>
    <s v="0000073273"/>
    <s v="Зарегистрирован"/>
    <m/>
    <m/>
    <x v="21"/>
    <s v="5610218014"/>
    <s v=""/>
    <s v="ОРН-24/09000/00742/Р/ГЕО-Д/ВГС"/>
    <s v="ОРН-24/09000/00742/Р/ГЕО-Д/ВГС"/>
    <s v="Нетиповой ДД"/>
    <x v="2"/>
    <s v=""/>
    <s v="В06794-24"/>
    <s v=""/>
    <s v="Договор   возмездного оказания услуг"/>
    <s v="Оказание услуг по выполнению цифровой аэрофотосъемки и воздушно-лазерного сканирования с пилотируемых воздушных средств_x000a_"/>
    <s v="Хохлов А.А."/>
    <s v="Хохлов А.А."/>
    <s v="Внутригрупповой договорный документ"/>
    <s v="Управление маркшейдерско-землеустроительных работ"/>
    <s v="Трифонов А.В."/>
    <s v="ЭП"/>
    <s v="С ограничением по срокам "/>
    <m/>
    <m/>
    <s v="Д-82"/>
    <s v="Договор возмездного оказания услуг"/>
    <s v="Доходная часть"/>
    <s v="Рамочный"/>
    <s v="20%"/>
    <s v=""/>
    <s v=""/>
    <s v="14 243 708.61"/>
    <s v="11 869 757.18"/>
    <s v="2 373 951.43"/>
    <s v="нет"/>
    <s v="нет"/>
    <s v=""/>
    <s v=""/>
    <s v=""/>
    <s v=""/>
    <s v=""/>
  </r>
  <r>
    <s v="Газпромнефть-ГЕО, ООО"/>
    <s v="0000064025"/>
    <s v="Зарегистрирован"/>
    <m/>
    <m/>
    <x v="134"/>
    <s v="7728720448"/>
    <s v="ГЕО-22/09000/00137/Д"/>
    <s v=""/>
    <s v="2"/>
    <s v="Нетиповой ДД"/>
    <x v="0"/>
    <s v=""/>
    <s v="В06906-23"/>
    <s v=""/>
    <s v="ДС №2 к Договору № ГНЗ-22/08000/00620/Р//ГЕО-22/09000/00137/Д от 16.06.2022"/>
    <s v="ДС 2 к Договору на выполнение научно-исследовательской работы для последующей реализации экономически эффективной добычи и первичной подготовки нефти, природного газа, газоконденсата посредством комплекса технико-технологических решений строительства и эксплуатации скважин на Харвутинской площади Ямбургского НГКМ в 2022-2023 г._x000d__x000a_№ ГНЗ-22/08000/00620/Р//ГЕО-22/09000/00137/Д от 16.06.2022_x000d__x000a_"/>
    <s v="Тюгаева Е.С."/>
    <s v="Тюгаева Е.С."/>
    <s v="Внутригрупповой договорный документ"/>
    <s v="Кластер &quot;Большая Ачимовка&quot;"/>
    <s v="Волков Г.В."/>
    <s v="ЭП"/>
    <s v="С ограничением по срокам "/>
    <m/>
    <m/>
    <s v="Д-16"/>
    <s v="Договор возмездного оказания услуг"/>
    <s v="Не предполагает взаиморасчетов"/>
    <s v=""/>
    <s v=""/>
    <s v=""/>
    <s v=""/>
    <s v=""/>
    <s v=""/>
    <s v=""/>
    <s v="нет"/>
    <s v="нет"/>
    <s v=""/>
    <s v=""/>
    <s v=""/>
    <s v=""/>
    <s v=""/>
  </r>
  <r>
    <s v="Газпромнефть-ГЕО, ООО"/>
    <s v="0000073273"/>
    <s v="Зарегистрирован"/>
    <m/>
    <m/>
    <x v="21"/>
    <s v="5610218014"/>
    <s v="ОРН-22/10000/00003/Р/15/02/ГЕО-Д/3/ВГС"/>
    <s v=""/>
    <s v="3"/>
    <s v="Нетиповой ДД"/>
    <x v="0"/>
    <s v=""/>
    <s v="В06944-23"/>
    <s v=""/>
    <s v="ДС №3 к договору №ОРН-22/10000/00003/Р/15/02/ГЕО-Д/3/ВГС от «13» октября 2022 года "/>
    <s v="Включение в договор условий во исполнение Письма ПАО &quot;Газпром нефть&quot; НК-26/003111 от 22.02.2023 "/>
    <s v="Ушакова М.А."/>
    <s v=""/>
    <s v="Внутригрупповой договорный документ"/>
    <s v="Блок геологии и разработки"/>
    <s v="Шакирзянов Л.Н."/>
    <s v="ЭП"/>
    <s v="С ограничением по срокам "/>
    <m/>
    <m/>
    <s v="Д-2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Стоимостной"/>
    <s v=""/>
    <s v=""/>
    <s v=""/>
    <s v=""/>
    <s v=""/>
    <s v=""/>
    <s v="нет"/>
    <s v="нет"/>
    <s v=""/>
    <s v=""/>
    <s v=""/>
    <s v="ООО ГПН-ГЕО "/>
    <s v=""/>
  </r>
  <r>
    <s v="Газпромнефть-ГЕО, ООО"/>
    <s v="0000045789"/>
    <s v="Зарегистрирован"/>
    <m/>
    <m/>
    <x v="16"/>
    <s v="7838395487"/>
    <s v="ГЕО-21/00000/00123/Д"/>
    <s v=""/>
    <s v="НТЦ-В06975-24Р-ГПН"/>
    <s v="Нетиповой ДД"/>
    <x v="3"/>
    <s v=""/>
    <s v="В06975-24"/>
    <s v=""/>
    <s v="Заказ (ProБА) № НТЦ-В06975-24Р-ГПН к Договору № НТЦ-21/08000/00390/Р//ГЕО-21/00000/00123/Д от «17» мая 2021 г."/>
    <s v="Экспертная система по подбору типовых технологических решений для разработки и изучения АТ (ProБА)"/>
    <s v="Блинова Д.М."/>
    <s v="Блинова Д.М."/>
    <s v="Внутригрупповой договорный документ"/>
    <s v="Управление экономического планирования и анализа"/>
    <s v="Волков Г.В."/>
    <s v="ЭП"/>
    <s v="С ограничением по срокам "/>
    <m/>
    <m/>
    <s v="Д-16"/>
    <s v="ПРОЧИЕ ДОГОВОРЫ"/>
    <s v="Доходная часть"/>
    <s v="Рамочный"/>
    <s v="20%"/>
    <s v=""/>
    <s v=""/>
    <s v="6 638 541.84"/>
    <s v="5 532 118.20"/>
    <s v="1 106 423.64"/>
    <s v="нет"/>
    <s v="нет"/>
    <s v=""/>
    <s v=""/>
    <s v=""/>
    <s v=""/>
    <s v=""/>
  </r>
  <r>
    <s v="Газпромнефть-ГЕО, ООО"/>
    <s v="0000064025"/>
    <s v="Зарегистрирован"/>
    <m/>
    <m/>
    <x v="134"/>
    <s v="7728720448"/>
    <s v="ГЕО-22/20000/00094/Д"/>
    <s v=""/>
    <s v="2"/>
    <s v="Нетиповой ДД"/>
    <x v="3"/>
    <s v=""/>
    <s v="В07064-23"/>
    <s v=""/>
    <s v="Агентское поручение №2 к договору ГНЗ-22/20000/00429/Р/ГЕО-22/20000/00094/Д  от 26.04.2022г."/>
    <s v="Выполнения работ по аэрофотосъемке, воздушному лазерному сканированию на территории Тас-Юряхского, Верхневилючанского лицензионных участков для нужд ООО «Газпромнефть-Заполярье» в 2023 году"/>
    <s v="Хохлов А.А."/>
    <s v="Хохлов А.А."/>
    <s v="Внутригрупповой договорный документ"/>
    <s v="Управление маркшейдерско-землеустроительных работ"/>
    <s v="Трифонов А.В."/>
    <s v="ЭП"/>
    <s v="С ограничением по срокам "/>
    <m/>
    <m/>
    <s v="Д-33"/>
    <s v="Агентский договор"/>
    <s v="Доходная часть"/>
    <s v="Агентский"/>
    <s v="20%"/>
    <s v=""/>
    <s v=""/>
    <s v="36 405 422.98"/>
    <s v="30 337 852.48"/>
    <s v="6 067 570.50"/>
    <s v="нет"/>
    <s v="нет"/>
    <s v=""/>
    <s v=""/>
    <s v=""/>
    <s v=""/>
    <s v=""/>
  </r>
  <r>
    <s v="Газпромнефть-ГЕО, ООО"/>
    <s v="0000008602"/>
    <s v="Зарегистрирован"/>
    <m/>
    <m/>
    <x v="32"/>
    <s v="5504036333"/>
    <s v="ГПН-23/09000/01265/Р/ГЕО-Д/ВГС"/>
    <s v=""/>
    <s v="2"/>
    <s v="Нетиповой ДД"/>
    <x v="4"/>
    <s v=""/>
    <s v="В07101-24"/>
    <s v="2"/>
    <s v="Изменение №2 к Заказу №2 к  ДД ГПН-23/09000/01265/Р/ГЕО-Д/ВГС от 15.12.2023г"/>
    <s v="Изменение сроков исполнения и уменьшение суммы Заказа №2 к  ДД ГПН-23/09000/01265/Р/ГЕО-Д/ВГС от 15.12.2023г"/>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481 531 308.04"/>
    <s v="401 276 090.03"/>
    <s v="80 255 218.01"/>
    <s v="нет"/>
    <s v="нет"/>
    <s v=""/>
    <s v=""/>
    <s v=""/>
    <s v="ООО ГПН-ГЕО "/>
    <s v=""/>
  </r>
  <r>
    <s v="Газпромнефть-ГЕО, ООО"/>
    <s v="0000008602"/>
    <s v="Зарегистрирован"/>
    <m/>
    <m/>
    <x v="32"/>
    <s v="5504036333"/>
    <s v="ГЕО-21/00000/00144/Д"/>
    <s v=""/>
    <s v="5"/>
    <s v="Нетиповой ДД"/>
    <x v="3"/>
    <s v=""/>
    <s v="В07252-24"/>
    <s v=""/>
    <s v="Заказ №5 к Договору № ГПН-21/09000/01736/Р // ГЕО-21/00000/00144/Д от «16» апреля 2021г с ООО «ГПН-ГЕО»"/>
    <s v="Когнитивная геология_x000a_UFSB-4947_x000a_Цифровой проект U190001390 - Цифровой двойник СРР, этап развитие и тиражирование._x000a_Экспертная поддержка тиражирования web-системы ЦД СРР по направлению полевых работ._x000a_Экспертная поддержка тиражирования web-системы ЦД СРР по направлению камеральных работ._x000a_Инициатор: Ермоленко М.В."/>
    <s v="Котова А.М."/>
    <s v="Ермоленко М.В."/>
    <s v="Внутригрупповой договорный документ"/>
    <s v="Управление экономического планирования и анализа"/>
    <s v="Аксенов М.А."/>
    <s v="ЭП"/>
    <s v="С ограничением по срокам "/>
    <m/>
    <m/>
    <s v=""/>
    <s v="ПРОЧИЕ ДОГОВОРЫ"/>
    <s v="Доходная часть"/>
    <s v="Рамочный"/>
    <s v="20%"/>
    <s v=""/>
    <s v=""/>
    <s v="5 953 612.92"/>
    <s v="4 961 344.10"/>
    <s v="992 268.82"/>
    <s v="нет"/>
    <s v="нет"/>
    <s v=""/>
    <s v=""/>
    <s v=""/>
    <s v=""/>
    <s v=""/>
  </r>
  <r>
    <s v="Газпромнефть-ГЕО, ООО"/>
    <s v="0000008602"/>
    <s v="Зарегистрирован"/>
    <m/>
    <m/>
    <x v="32"/>
    <s v="5504036333"/>
    <s v="ГПН-23/09000/01265/Р/ГЕО-Д/ВГС"/>
    <s v=""/>
    <s v="4"/>
    <s v="Нетиповой ДД"/>
    <x v="3"/>
    <s v=""/>
    <s v="В07355-24"/>
    <s v=""/>
    <s v="Заказ на выполнение научно-исследовательских работ к договору ГПН-23/09000/01265/Р/ГЕО-Д/ВГС​ от 15.12.2023"/>
    <s v="Заказ на выполнение научно-исследовательских работ "/>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91 419 312.00"/>
    <s v="76 182 760.00"/>
    <s v="15 236 552.00"/>
    <s v="нет"/>
    <s v="нет"/>
    <s v=""/>
    <s v=""/>
    <s v=""/>
    <s v="ООО ГПН-ГЕО "/>
    <s v=""/>
  </r>
  <r>
    <s v="Газпромнефть-ГЕО, ООО"/>
    <s v="0000027645"/>
    <s v="Зарегистрирован"/>
    <m/>
    <m/>
    <x v="80"/>
    <s v="5501072608"/>
    <s v=""/>
    <s v="ГСН-23/33300/00376/ГЕО/ВГС"/>
    <s v="ГСН-23/33300/00376/ГЕО/ВГС"/>
    <s v="Нетиповой ДД"/>
    <x v="2"/>
    <s v=""/>
    <s v="В07728-23"/>
    <s v=""/>
    <s v="Договор об обработке персональных данных"/>
    <s v="Ведение и актуализация антропометрических данных работников Заказчика, наборов СО и СИЗ, планирование и расчет потребности в СО и СИЗ"/>
    <s v="Петушкова В.Е."/>
    <s v="Петушкова В.Е."/>
    <s v="Внутригрупповой договорный документ"/>
    <s v="Управление производственной безопасности"/>
    <s v="Созинов С.А."/>
    <s v="На бумажном носителе"/>
    <s v="С ограничением по срокам "/>
    <m/>
    <m/>
    <s v="Д-60"/>
    <s v="Договор об обработке персональных данных"/>
    <s v="Не предполагает взаиморасчетов"/>
    <s v=""/>
    <s v=""/>
    <s v=""/>
    <s v=""/>
    <s v=""/>
    <s v=""/>
    <s v=""/>
    <s v="нет"/>
    <s v="нет"/>
    <s v=""/>
    <s v=""/>
    <s v=""/>
    <s v=""/>
    <s v=""/>
  </r>
  <r>
    <s v="Газпромнефть-ГЕО, ООО"/>
    <s v="0000027605"/>
    <s v="Зарегистрирован"/>
    <m/>
    <m/>
    <x v="67"/>
    <s v="8605003932"/>
    <s v="МНГ-22/10000/00006/Р/54/ГЕО-Д/3/ВГС"/>
    <s v=""/>
    <s v="1"/>
    <s v="Нетиповой ДД"/>
    <x v="0"/>
    <s v=""/>
    <s v="В07761-23"/>
    <s v=""/>
    <s v="ДС №1 к Договору №МНГ-22/10000/00006/Р/54/ГЕО-Д/3/ВГС от «16» декабря 2022 года "/>
    <s v="Включение в договор условий во исполнение Письма ПАО &quot;Газпром нефть&quot; НК-26/003111 от 22.02.2023 "/>
    <s v="Ушакова М.А."/>
    <s v=""/>
    <s v="Внутригрупповой договорный документ"/>
    <s v="Блок геологии и разработки"/>
    <s v="Шакирзянов Л.Н."/>
    <s v="ЭП"/>
    <s v="С ограничением по срокам "/>
    <m/>
    <m/>
    <s v="Д-20"/>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
  </r>
  <r>
    <s v="Газпромнефть-ГЕО, ООО"/>
    <s v="0000039463"/>
    <s v="Зарегистрирован"/>
    <m/>
    <m/>
    <x v="39"/>
    <s v="8905034804"/>
    <s v="№ГЕО-22/01200/00330/Д"/>
    <s v=""/>
    <s v="2"/>
    <s v="Нетиповой ДД"/>
    <x v="5"/>
    <s v=""/>
    <s v="В08219-23"/>
    <s v=""/>
    <s v="Приложение № 1.2  к договору №ГЕО-22/01200/00330/Д от &quot;23&quot; декабря 2022 года"/>
    <s v="Реализация МТР (ДТ) проекта ЧОНА с ГПН-ГЕО в ГПН-АНГАРА"/>
    <s v="Лесняк Н.А."/>
    <s v="Лесняк Н.А."/>
    <s v="Внутригрупповой договорный документ"/>
    <s v="Управление материально-технического обеспечения, транспортного обеспечения и сопутствующих сервисов"/>
    <s v="Титов А.В."/>
    <s v="ЭП"/>
    <s v="До исполнения обязательств"/>
    <m/>
    <m/>
    <s v="Д-56"/>
    <s v="Договор поставки/купли продажи движимого имущества"/>
    <s v="Доходная часть"/>
    <s v="Стоимостной"/>
    <s v="20%"/>
    <s v=""/>
    <s v=""/>
    <s v="3 151 074.46"/>
    <s v="2 625 895.38"/>
    <s v="525 179.08"/>
    <s v="нет"/>
    <s v="нет"/>
    <s v=""/>
    <s v=""/>
    <s v=""/>
    <s v=""/>
    <s v=""/>
  </r>
  <r>
    <s v="Газпромнефть-ГЕО, ООО"/>
    <s v="0000073273"/>
    <s v="Зарегистрирован"/>
    <m/>
    <m/>
    <x v="21"/>
    <s v="5610218014"/>
    <s v="ОРН-23/09000/00002/Р/15/02/ГЕО-Д/7/ВГС"/>
    <s v=""/>
    <s v="1"/>
    <s v="Нетиповой ДД"/>
    <x v="0"/>
    <s v=""/>
    <s v="В08267-23"/>
    <s v=""/>
    <s v="Дополнительное соглашение № 1 к Договору № ОРН-23/09000/00002/Р/15/02/ГЕО-Д/7/ВГС от 19.04.2023"/>
    <s v="Дополнительное соглашение № 1 изменение гарантированного и негарантированного объема. "/>
    <s v="Блинова Д.М."/>
    <s v="Блинова Д.М."/>
    <s v="Внутригрупповой договорный документ"/>
    <s v="Управление экономического планирования и анализа"/>
    <s v="Шакирзянов Л.Н."/>
    <s v="ЭП"/>
    <s v="С ограничением по срокам "/>
    <m/>
    <m/>
    <s v="Д-20"/>
    <s v="Договор возмездного оказания услуг"/>
    <s v="Доходная часть"/>
    <s v="Рамочный"/>
    <s v="20%"/>
    <s v=""/>
    <s v=""/>
    <s v="629 470 494.50"/>
    <s v="524 558 745.42"/>
    <s v="104 911 749.08"/>
    <s v="нет"/>
    <s v="нет"/>
    <s v=""/>
    <s v=""/>
    <s v=""/>
    <s v=""/>
    <s v=""/>
  </r>
  <r>
    <s v="Газпромнефть-ГЕО, ООО"/>
    <s v="0000008602"/>
    <s v="Проект"/>
    <m/>
    <m/>
    <x v="32"/>
    <s v="5504036333"/>
    <s v=""/>
    <s v=""/>
    <s v=""/>
    <s v="Нетиповой ДД"/>
    <x v="2"/>
    <s v=""/>
    <s v="В08324-23"/>
    <s v=""/>
    <s v=""/>
    <s v="Анализ и разработка методов прогнозирования насыщения Ачимовской толщи в Западной Сибири"/>
    <s v="Блинова Д.М."/>
    <s v="Блинова Д.М."/>
    <s v="Внутригрупповой договорный документ"/>
    <s v="Управление экономического планирования и анализа"/>
    <s v="Волков Г.В."/>
    <s v="ЭП"/>
    <s v="С ограничением по срокам "/>
    <m/>
    <m/>
    <s v="Д-16"/>
    <s v="Договор возмездного оказания услуг"/>
    <s v="Доходная часть"/>
    <s v="Рамочный"/>
    <s v=""/>
    <s v=""/>
    <s v=""/>
    <s v=""/>
    <s v=""/>
    <s v=""/>
    <s v="нет"/>
    <s v="нет"/>
    <s v=""/>
    <s v=""/>
    <s v=""/>
    <s v=""/>
    <s v=""/>
  </r>
  <r>
    <s v="Газпромнефть-ГЕО, ООО"/>
    <s v="0000084973"/>
    <s v="Зарегистрирован"/>
    <m/>
    <m/>
    <x v="205"/>
    <s v="8601066868"/>
    <s v=""/>
    <s v="ГТП-24/09000/00923/Р/ГЕО-Д/ВГС"/>
    <s v="ГТП-24/09000/00923/Р/ГЕО-Д/ВГС"/>
    <s v="Нетиповой ДД"/>
    <x v="2"/>
    <s v=""/>
    <s v="В08350-24"/>
    <s v=""/>
    <s v="Рамочный договор с ООО &quot;Газпромнефть-Технологические партнерства&quot; по подготовке и комплексному сопровождению проектов на геологическое изучение недр на участках недр в периметре лицензионного портфеля"/>
    <s v="Оказание услуг по подготовке и комплексному сопровождению проектов на геологическое изучение недр на участках недр в периметре лицензионного портфеля ООО «Газпромнефть – Технологические Партнерства»"/>
    <s v="Котова А.М."/>
    <s v="Котова А.М."/>
    <s v="Внутригрупповой договорный документ"/>
    <s v="Управление экономического планирования и анализа"/>
    <s v="Трифонов А.В."/>
    <s v="ЭП"/>
    <s v="С ограничением по срокам "/>
    <m/>
    <m/>
    <s v="Д-82"/>
    <s v="Договор возмездного оказания услуг"/>
    <s v="Доходная часть"/>
    <s v="Рамочный"/>
    <s v="20%"/>
    <s v=""/>
    <s v="3116954.5"/>
    <s v="22 166 323.50"/>
    <s v="18 471 936.25"/>
    <s v="3 694 387.25"/>
    <s v="да"/>
    <s v="нет"/>
    <s v=""/>
    <s v=""/>
    <s v=""/>
    <s v=""/>
    <s v=""/>
  </r>
  <r>
    <s v="Газпромнефть-ГЕО, ООО"/>
    <s v=""/>
    <s v="Проект"/>
    <m/>
    <m/>
    <x v="58"/>
    <s v=""/>
    <s v=""/>
    <s v=""/>
    <s v=""/>
    <s v=""/>
    <x v="6"/>
    <s v=""/>
    <s v="В08356-24"/>
    <s v=""/>
    <s v=""/>
    <s v=""/>
    <s v="Блинова Д.М."/>
    <s v=""/>
    <s v="Внутригрупповой договорный документ"/>
    <s v="Управление экономического планирования и анализа"/>
    <s v=""/>
    <s v=""/>
    <s v=""/>
    <m/>
    <m/>
    <s v=""/>
    <s v=""/>
    <s v=""/>
    <s v=""/>
    <s v=""/>
    <s v=""/>
    <s v=""/>
    <s v=""/>
    <s v=""/>
    <s v=""/>
    <s v="нет"/>
    <s v="нет"/>
    <s v=""/>
    <s v=""/>
    <s v=""/>
    <s v=""/>
    <s v=""/>
  </r>
  <r>
    <s v="Газпромнефть-ГЕО, ООО"/>
    <s v="0000084973"/>
    <s v="Зарегистрирован"/>
    <m/>
    <m/>
    <x v="205"/>
    <s v="8601066868"/>
    <s v=""/>
    <s v=""/>
    <s v="1"/>
    <s v="Нетиповой ДД"/>
    <x v="3"/>
    <s v=""/>
    <s v="В08383-24"/>
    <s v=""/>
    <s v="НАРЯД-ЗАКАЗ № 1 к Договору № ГТП-24/09000/00923/Р/ГЕО-Д/ВГС от «01» августа 2024 г. "/>
    <s v="НАРЯД-ЗАКАЗ № 1_x000a_к Договору - № ГТП-24/09000/00923/Р/ГЕО-Д/ВГС от 01.08.2024"/>
    <s v="Котова А.М."/>
    <s v="Котова А.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3 740 345.40"/>
    <s v="3 116 954.50"/>
    <s v="623 390.90"/>
    <s v="нет"/>
    <s v="нет"/>
    <s v=""/>
    <s v=""/>
    <s v=""/>
    <s v=""/>
    <s v=""/>
  </r>
  <r>
    <s v="Газпромнефть-ГЕО, ООО"/>
    <s v="0000008602"/>
    <s v="Зарегистрирован"/>
    <m/>
    <m/>
    <x v="32"/>
    <s v="5504036333"/>
    <s v="ГПН-18/09000/02142/Р "/>
    <s v=""/>
    <s v="17"/>
    <s v="Нетиповой ДД"/>
    <x v="0"/>
    <s v=""/>
    <s v="В0869-23"/>
    <s v=""/>
    <s v="Дополнительное соглашение №17"/>
    <s v="Актуализация программы работ на 2023 год"/>
    <s v="Андреева И.В."/>
    <s v="Останков А.В."/>
    <s v="Внутригрупповой договорный документ"/>
    <s v="Кластер &quot;Большая Ачимовка&quot;"/>
    <s v="Волков Г.В."/>
    <s v="На бумажном носителе"/>
    <s v="С ограничением по срокам "/>
    <m/>
    <m/>
    <s v="Д-16"/>
    <s v="Договор возмездного оказания услуг"/>
    <s v="Доходная часть"/>
    <s v="Рамочный"/>
    <s v="20%"/>
    <s v=""/>
    <s v=""/>
    <s v="2 783 749 500.00"/>
    <s v="2 319 791 250.00"/>
    <s v="463 958 250.00"/>
    <s v="нет"/>
    <s v="нет"/>
    <s v=""/>
    <s v=""/>
    <s v=""/>
    <s v="ООО ГПН-ГЕО "/>
    <s v=""/>
  </r>
  <r>
    <s v="Газпромнефть-ГЕО, ООО"/>
    <s v="0000008602"/>
    <s v="Зарегистрирован"/>
    <m/>
    <m/>
    <x v="32"/>
    <s v="5504036333"/>
    <s v="ГПН-18/09000/02142/Р"/>
    <s v=""/>
    <s v="18"/>
    <s v="Нетиповой ДД"/>
    <x v="0"/>
    <s v=""/>
    <s v="В0882-23"/>
    <s v=""/>
    <s v="Дополнительное соглашение №18 к Договору о выполнении операторских работ и оказании операторских услуг, проект Хамбатей"/>
    <s v="1. Уточнение программы выполнения работ и оказания услуг ГРР на 2023г. в рамках выделенного лимита по пректу Хамбатей._x000d__x000a_2. Изменение % рентабельности с 01.01.2023г._x000d__x000a_3. Дополнение условиями, касательно возможности приобретения товаров в рамках Договора."/>
    <s v="Частухина Е.В."/>
    <s v="Частухина Е.В."/>
    <s v="Внутригрупповой договорный документ"/>
    <s v="Управление экономического планирования и анализа"/>
    <s v="Николаев М.Н."/>
    <s v="На бумажном носителе"/>
    <s v="С ограничением по срокам "/>
    <m/>
    <m/>
    <s v="Д-57"/>
    <s v="Договор возмездного оказания услуг"/>
    <s v="Доходная часть"/>
    <s v="Рамочный"/>
    <s v="20%"/>
    <s v=""/>
    <s v=""/>
    <s v="3 610 244 847.18"/>
    <s v="3 008 537 372.65"/>
    <s v="601 707 474.53"/>
    <s v="нет"/>
    <s v="нет"/>
    <s v=""/>
    <s v=""/>
    <s v=""/>
    <s v="ООО ГПН-ГЕО "/>
    <s v=""/>
  </r>
  <r>
    <s v="Газпромнефть-ГЕО, ООО"/>
    <s v="0000069357"/>
    <s v="Зарегистрирован"/>
    <m/>
    <m/>
    <x v="147"/>
    <s v="8903034220"/>
    <s v="ГЕО-21/20000/00293/Д"/>
    <s v=""/>
    <s v="1"/>
    <s v="Нетиповой ДД"/>
    <x v="3"/>
    <s v=""/>
    <s v="В09036-23"/>
    <s v=""/>
    <s v="Агентское поручение №1 к агентскому договору №МрНГ-21/10000/00135/Р от 23.12.2021"/>
    <s v="Согласование агентского поручения к агентскому договору с Меретояханефтегаз с целью выполнения обработки и интерпретации СРР на С-Самбургской площади."/>
    <s v="Мурзин Р.Р."/>
    <s v="Мурзин Р.Р."/>
    <s v="Внутригрупповой договорный документ"/>
    <s v="Управление сейсморазведочных работ"/>
    <s v="Аксенов М.А."/>
    <s v="ЭП"/>
    <s v="С ограничением по срокам "/>
    <m/>
    <m/>
    <s v=""/>
    <s v="Агентский договор"/>
    <s v="Доходная часть"/>
    <s v="Агентский"/>
    <s v="20%"/>
    <s v=""/>
    <s v=""/>
    <s v="80 782 984.94"/>
    <s v="67 319 154.12"/>
    <s v="13 463 830.82"/>
    <s v="нет"/>
    <s v="нет"/>
    <s v=""/>
    <s v=""/>
    <s v=""/>
    <s v=""/>
    <s v=""/>
  </r>
  <r>
    <s v="Газпромнефть-ГЕО, ООО"/>
    <s v="0000069357"/>
    <s v="Зарегистрирован"/>
    <m/>
    <m/>
    <x v="147"/>
    <s v="8903034220"/>
    <s v="ГЕО-Д/5-1/ВГС"/>
    <s v=""/>
    <s v="2"/>
    <s v="Нетиповой ДД"/>
    <x v="0"/>
    <s v=""/>
    <s v="В09062-23"/>
    <s v=""/>
    <s v="Дополнительное соглашение № 2"/>
    <s v="Дополнительное соглашение о мобилизации"/>
    <s v="Тюгаева Е.С."/>
    <s v="Метелкин Д.В."/>
    <s v="Внутригрупповой договорный документ"/>
    <s v="Кластер &quot;Большая Ачимовка&quot;"/>
    <s v="Волков Г.В."/>
    <s v="ЭП"/>
    <s v="Без сроков "/>
    <m/>
    <m/>
    <s v="Д-16"/>
    <s v="Договор на выполнение НИР, ОКР и технологических работ"/>
    <s v="Не предполагает взаиморасчетов"/>
    <s v=""/>
    <s v=""/>
    <s v=""/>
    <s v=""/>
    <s v=""/>
    <s v=""/>
    <s v=""/>
    <s v="нет"/>
    <s v="нет"/>
    <s v=""/>
    <s v=""/>
    <s v=""/>
    <s v=""/>
    <s v=""/>
  </r>
  <r>
    <s v="Газпромнефть-ГЕО, ООО"/>
    <s v="0000069357"/>
    <s v="Зарегистрирован"/>
    <m/>
    <m/>
    <x v="147"/>
    <s v="8903034220"/>
    <s v="ГЕО-Д/12/ВГС"/>
    <s v=""/>
    <s v="1"/>
    <s v="Нетиповой ДД"/>
    <x v="0"/>
    <s v=""/>
    <s v="В09088-23"/>
    <s v=""/>
    <s v="Дополнительное соглашение"/>
    <s v="Дополнительное соглашение о мобилизации"/>
    <s v="Тюгаева Е.С."/>
    <s v="Ваганов А.В."/>
    <s v="Внутригрупповой договорный документ"/>
    <s v="Кластер &quot;Большая Ачимовка&quot;"/>
    <s v="Волков Г.В."/>
    <s v="ЭП"/>
    <s v="Без сроков "/>
    <m/>
    <m/>
    <s v="Д-16"/>
    <s v="Договор на выполнение НИР, ОКР и технологических работ"/>
    <s v="Не предполагает взаиморасчетов"/>
    <s v=""/>
    <s v=""/>
    <s v=""/>
    <s v=""/>
    <s v=""/>
    <s v=""/>
    <s v=""/>
    <s v="нет"/>
    <s v="нет"/>
    <s v=""/>
    <s v=""/>
    <s v=""/>
    <s v=""/>
    <s v=""/>
  </r>
  <r>
    <s v="Газпромнефть-ГЕО, ООО"/>
    <s v="0000069357"/>
    <s v="Зарегистрирован"/>
    <m/>
    <m/>
    <x v="147"/>
    <s v="8903034220"/>
    <s v="ГЕО-21/20000/00293/Д"/>
    <s v=""/>
    <s v="2"/>
    <s v="Нетиповой ДД"/>
    <x v="0"/>
    <s v=""/>
    <s v="В09263-23"/>
    <s v=""/>
    <s v="Дополнительное соглашение №2 Агентскому договору № МрНГ-21/10000/00135/Р//ГЕО-21/20000/00293/Д на выполнение обработки и интерпретации СРР на Северо-Самбургском ЛУ и прилегающей территории"/>
    <s v="Заключение Дополнительного соглашения №2 к Агентскому договору № МрНГ-21/10000/00135/Р//ГЕО-21/20000/00293/Д на выполнение обработки и интерпретации СРР на Северо-Самбургском ЛУ и прилегающей территории в связи с внесением дополнения, предусматривающего взаимное заверение сторон в оказании услуг/выполнении работ, в случае введения на всей территории Российской Федерации или отдельных субъектах Российской Федерации военного положения или фактического начала военных действий, без изменения сроков и стоимости"/>
    <s v="Мурзин Р.Р."/>
    <s v="Мурзин Р.Р."/>
    <s v="Внутригрупповой договорный документ"/>
    <s v="Управление сейсморазведочных работ"/>
    <s v="Аксенов М.А."/>
    <s v="ЭП"/>
    <s v="С ограничением по срокам "/>
    <m/>
    <m/>
    <s v="Д-54"/>
    <s v="Агентский договор"/>
    <s v="Не предполагает взаиморасчетов"/>
    <s v="Агентский"/>
    <s v=""/>
    <s v=""/>
    <s v=""/>
    <s v=""/>
    <s v=""/>
    <s v=""/>
    <s v="нет"/>
    <s v="нет"/>
    <s v=""/>
    <s v=""/>
    <s v=""/>
    <s v=""/>
    <s v=""/>
  </r>
  <r>
    <s v="Газпромнефть-ГЕО, ООО"/>
    <s v="0000073273"/>
    <s v="Зарегистрирован"/>
    <m/>
    <m/>
    <x v="21"/>
    <s v="5610218014"/>
    <s v="ОРН-23/09000/00002/Р/15/02/ГЕО-Д/7/ВГС"/>
    <s v=""/>
    <s v="2"/>
    <s v="Нетиповой ДД"/>
    <x v="3"/>
    <s v=""/>
    <s v="В09280-23"/>
    <s v=""/>
    <s v="НАРЯД-ЗАКАЗ № 2"/>
    <s v="НАРЯД-ЗАКАЗ № 2 к Договору № ОРН-23/09000/00002/Р/15/02/ГЕО-Д/7/ВГС от «20» апреля 2023 г"/>
    <s v="Блинова Д.М."/>
    <s v="Блинова Д.М."/>
    <s v="Внутригрупповой договорный документ"/>
    <s v="Управление экономического планирования и анализа"/>
    <s v="Шакирзянов Л.Н."/>
    <s v="ЭП"/>
    <s v="С ограничением по срокам "/>
    <m/>
    <m/>
    <s v="Д-20"/>
    <s v="Договор возмездного оказания услуг"/>
    <s v="Доходная часть"/>
    <s v="Рамочный"/>
    <s v="20%"/>
    <s v=""/>
    <s v=""/>
    <s v="4 658 167.01"/>
    <s v="3 881 805.84"/>
    <s v="776 361.17"/>
    <s v="нет"/>
    <s v="нет"/>
    <s v=""/>
    <s v=""/>
    <s v=""/>
    <s v=""/>
    <s v=""/>
  </r>
  <r>
    <s v="Газпромнефть-ГЕО, ООО"/>
    <s v="0000073273"/>
    <s v="Зарегистрирован"/>
    <m/>
    <m/>
    <x v="21"/>
    <s v="5610218014"/>
    <s v="ОРН-23/09000/00002/Р/15/02/ГЕО-Д/7/ВГС"/>
    <s v=""/>
    <s v="3"/>
    <s v="Нетиповой ДД"/>
    <x v="3"/>
    <s v=""/>
    <s v="В09284-23"/>
    <s v=""/>
    <s v="НАРЯД-ЗАКАЗ № 3"/>
    <s v="НАРЯД-ЗАКАЗ № 3 к Договору № ОРН-23/09000/00002/Р/15/02/ГЕО-Д/7/ВГС от «20» апреля 2023 г"/>
    <s v="Блинова Д.М."/>
    <s v="Блинова Д.М."/>
    <s v="Внутригрупповой договорный документ"/>
    <s v="Управление экономического планирования и анализа"/>
    <s v="Шакирзянов Л.Н."/>
    <s v="ЭП"/>
    <s v="С ограничением по срокам "/>
    <m/>
    <m/>
    <s v="Д-20"/>
    <s v="Договор возмездного оказания услуг"/>
    <s v="Доходная часть"/>
    <s v="Рамочный"/>
    <s v="20%"/>
    <s v=""/>
    <s v=""/>
    <s v="4 658 167.01"/>
    <s v="3 881 805.84"/>
    <s v="776 361.17"/>
    <s v="нет"/>
    <s v="нет"/>
    <s v=""/>
    <s v=""/>
    <s v=""/>
    <s v=""/>
    <s v=""/>
  </r>
  <r>
    <s v="Газпромнефть-ГЕО, ООО"/>
    <s v="0000000059"/>
    <s v="Зарегистрирован"/>
    <m/>
    <m/>
    <x v="131"/>
    <s v="8905000428"/>
    <s v=""/>
    <s v="ННГ-24/10000/01040/Р/ГЕО-Д/ВГС"/>
    <s v="ННГ-24/10000/01040/Р/ГЕО-Д/ВГС"/>
    <s v="Нетиповой ДД"/>
    <x v="2"/>
    <s v=""/>
    <s v="В09585-24"/>
    <s v=""/>
    <s v="Рамочный Договор с АО &quot;Газпромнефть-ННГ&quot; на оказание услуг и проведение геологоразведочных работ"/>
    <s v="Оказание услуг и проведение геологоразведочных работ по отбору керна, отбору проб пластовых флюидов, гидродинамических исследований скважин, геолого-технологического контроля и исследований скважин, геологическому супервайзингу._x000a_"/>
    <s v="Блинова Д.М."/>
    <s v="Котова А.М."/>
    <s v="Внутригрупповой договорный документ"/>
    <s v="Управление экономического планирования и анализа"/>
    <s v="Аксенов М.А."/>
    <s v="ЭП"/>
    <s v="С ограничением по срокам "/>
    <m/>
    <m/>
    <s v="Д-41"/>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Рамочный"/>
    <s v="20%"/>
    <s v=""/>
    <s v=""/>
    <s v="2 803 905 088.16"/>
    <s v="2 336 587 573.47"/>
    <s v="467 317 514.69"/>
    <s v="нет"/>
    <s v="нет"/>
    <s v=""/>
    <s v=""/>
    <s v=""/>
    <s v=""/>
    <s v=""/>
  </r>
  <r>
    <s v="Газпромнефть-ГЕО, ООО"/>
    <s v="0000074750"/>
    <s v="Зарегистрирован"/>
    <m/>
    <m/>
    <x v="66"/>
    <s v="8905062456"/>
    <s v="ГГФ-23/20000/00001/Р/08-02/ГЕО-Д/3/ВГС"/>
    <s v=""/>
    <s v="1"/>
    <s v="Нетиповой ДД"/>
    <x v="0"/>
    <s v=""/>
    <s v="В09666-23"/>
    <s v=""/>
    <s v="ДС 1 к ГГФ-23/20000/00001/Р/08-02/ГЕО-Д/3/ВГС ООО &quot;ГПН-ГЕО&quot; - ООО &quot;Газпромнефть-ННГГФ&quot;"/>
    <s v="Увеличение стоимости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Доходная часть"/>
    <s v="Агентский"/>
    <s v="20%"/>
    <s v=""/>
    <s v=""/>
    <s v="2 664 181.39"/>
    <s v="2 220 151.16"/>
    <s v="444 030.23"/>
    <s v="нет"/>
    <s v="нет"/>
    <s v=""/>
    <s v=""/>
    <s v=""/>
    <s v=""/>
    <s v=""/>
  </r>
  <r>
    <s v="Газпромнефть-ГЕО, ООО"/>
    <s v=""/>
    <s v="Проект"/>
    <m/>
    <m/>
    <x v="58"/>
    <s v=""/>
    <s v=""/>
    <s v=""/>
    <s v=""/>
    <s v="Типовой ДД"/>
    <x v="1"/>
    <s v="26000 Соглашение о конфиденциальности с дочерним обществом ГК ГПН"/>
    <s v="В09679-24"/>
    <s v=""/>
    <s v="26000 Соглашение о конфиденциальности с дочерним обществом ГК ГПН"/>
    <s v="В связи с предпроектной проработкой НИОКР &quot;Многофазный глубинный пробоотборник&quot;"/>
    <s v="Лобанов А.А."/>
    <s v="Лобанов А.А."/>
    <s v="Внутригрупповой договорный документ"/>
    <s v="Управление по геологии"/>
    <s v="Трифонов А.В."/>
    <s v="ЭП"/>
    <s v="Без сроков "/>
    <m/>
    <m/>
    <s v="Д-45"/>
    <s v="Соглашение о конфиденциальности"/>
    <s v=""/>
    <s v=""/>
    <s v=""/>
    <s v=""/>
    <s v=""/>
    <s v=""/>
    <s v=""/>
    <s v=""/>
    <s v="нет"/>
    <s v="нет"/>
    <s v=""/>
    <s v=""/>
    <s v=""/>
    <s v=""/>
    <s v=""/>
  </r>
  <r>
    <s v="Газпромнефть-ГЕО, ООО"/>
    <s v="0000008602"/>
    <s v="Зарегистрирован"/>
    <m/>
    <m/>
    <x v="32"/>
    <s v="5504036333"/>
    <s v="№ ГПН-18/09000/02142/Р от 07 сентября 2018 г."/>
    <s v=""/>
    <s v="19"/>
    <s v="Нетиповой ДД"/>
    <x v="0"/>
    <s v=""/>
    <s v="В09740-23"/>
    <s v=""/>
    <s v="Дополнительное соглашение №19 к Договору о выполнении операторских работ и оказании операторских услуг, проект Ю.Ямал"/>
    <s v="Уточнение программы выполнения работ и оказания услуг ГРР на 2023г. в рамках выделенного лимита по проекту  Ю.Ямал."/>
    <s v="Андреева И.В."/>
    <s v="Андреева И.В."/>
    <s v="Внутригрупповой договорный документ"/>
    <s v="Управление экономического планирования и анализа"/>
    <s v="Николаев М.Н."/>
    <s v="ЭП"/>
    <s v="С ограничением по срокам "/>
    <m/>
    <m/>
    <s v="Д-57"/>
    <s v="Договор возмездного оказания услуг"/>
    <s v="Доходная часть"/>
    <s v="Рамочный"/>
    <s v="20%"/>
    <s v=""/>
    <s v=""/>
    <s v="90 720 000.00"/>
    <s v="75 600 000.00"/>
    <s v="15 120 000.00"/>
    <s v="нет"/>
    <s v="нет"/>
    <s v=""/>
    <s v=""/>
    <s v=""/>
    <s v=""/>
    <s v=""/>
  </r>
  <r>
    <s v="Газпромнефть-ГЕО, ООО"/>
    <s v="0000045789"/>
    <s v="Зарегистрирован"/>
    <m/>
    <m/>
    <x v="16"/>
    <s v="7838395487"/>
    <s v="ГЕО-21/00000/00123/Д"/>
    <s v=""/>
    <s v="1"/>
    <s v="Нетиповой ДД"/>
    <x v="0"/>
    <s v=""/>
    <s v="В09803-24"/>
    <s v="НТЦ-В06975-24Р-ГПН"/>
    <s v="ДС №1 к Заказу № НТЦ-В06975-24Р-ГПН к ДД № НТЦ-21/08000/00390/Р//ГЕО-21/00000/00123/Д от «17» мая 2021 г."/>
    <s v="Изменение сроков выполнения работ без изменения суммы Заказа № НТЦ-В06975-24Р-ГПН к ДД № НТЦ-21/08000/00390/Р//ГЕО-21/00000/00123/Д от «17» мая 2021 г."/>
    <s v="Блинова Д.М."/>
    <s v="Блинова Д.М."/>
    <s v="Внутригрупповой договорный документ"/>
    <s v="Управление экономического планирования и анализа"/>
    <s v="Трифонов А.В."/>
    <s v="ЭП"/>
    <s v="С ограничением по срокам "/>
    <m/>
    <m/>
    <s v="Д-82"/>
    <s v="ПРОЧИЕ ДОГОВОРЫ"/>
    <s v="Доходная часть"/>
    <s v="Рамочный"/>
    <s v="20%"/>
    <s v=""/>
    <s v=""/>
    <s v="6 638 541.84"/>
    <s v="5 532 118.20"/>
    <s v="1 106 423.64"/>
    <s v="нет"/>
    <s v="нет"/>
    <s v=""/>
    <s v=""/>
    <s v=""/>
    <s v=""/>
    <s v=""/>
  </r>
  <r>
    <s v="Газпромнефть-ГЕО, ООО"/>
    <s v="0000008602"/>
    <s v="Зарегистрирован"/>
    <m/>
    <m/>
    <x v="32"/>
    <s v="5504036333"/>
    <s v=""/>
    <s v="ГПН-23/33000/00546/Р/ГЕО-Д/ВГС"/>
    <s v="ГПН-23/33000/00546/Р/ГЕО-Д/ВГС"/>
    <s v="Нетиповой ДД"/>
    <x v="1"/>
    <s v=""/>
    <s v="В09805-23"/>
    <s v=""/>
    <s v="Соглашение О компенсации расходов на освоение природных ресурсов"/>
    <s v="В связи с переходом к ПАО «Газпром нефть» от ООО «ГПН-ГЕО» в соответствии с абзацем седьмым части первой статьи 17.1 Закона Российской Федерации от 21.02.1992 № 2395-1 «О недрах» права пользования недрами Лицензионных участков, ПАО «Газпром нефть» обязуется в порядке и сроки, предусмотренные настоящим Соглашением, компенсировать ООО «ГПН-ГЕО» Расходы на освоение природных ресурсов"/>
    <s v="Гимаев Р.Р."/>
    <s v=""/>
    <s v="Внутригрупповой договорный документ"/>
    <s v="Управление лицензирования и недропользования"/>
    <s v="Аксенов М.А."/>
    <s v="ЭП"/>
    <s v="До исполнения обязательств"/>
    <m/>
    <m/>
    <s v="Д-54"/>
    <s v="Соглашение участников хозяйственных обществ (юридических лиц)"/>
    <s v="Доходная часть"/>
    <s v="Стоимостной"/>
    <s v="0%"/>
    <s v=""/>
    <s v=""/>
    <s v="22 500.00"/>
    <s v="22 500.00"/>
    <n v="0"/>
    <s v="нет"/>
    <s v="нет"/>
    <s v=""/>
    <s v=""/>
    <s v=""/>
    <s v=""/>
    <s v=""/>
  </r>
  <r>
    <s v="Газпромнефть-ГЕО, ООО"/>
    <s v="0000008602"/>
    <s v="Проект"/>
    <m/>
    <m/>
    <x v="32"/>
    <s v="5504036333"/>
    <s v="ГПН-23/09000/01265/Р/ГЕО-Д/ВГС"/>
    <s v=""/>
    <s v=""/>
    <s v="Нетиповой ДД"/>
    <x v="3"/>
    <s v=""/>
    <s v="В09874-24"/>
    <s v=""/>
    <s v="Заказ на выполнение научно-исследовательских работ к договору ГПН-23/09000/01265/Р/ГЕО-Д/ВГС​ от 15.12.2023"/>
    <s v="Заказ на выполнение научно-исследовательских работ "/>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96 081 893.22"/>
    <s v="80 068 244.35"/>
    <s v="16 013 648.87"/>
    <s v="нет"/>
    <s v="нет"/>
    <s v=""/>
    <s v=""/>
    <s v=""/>
    <s v=""/>
    <s v=""/>
  </r>
  <r>
    <s v="Газпромнефть-ГЕО, ООО"/>
    <s v="0000073273"/>
    <s v="Зарегистрирован"/>
    <m/>
    <m/>
    <x v="21"/>
    <s v="5610218014"/>
    <s v=""/>
    <s v="ОРН-24/09000/01123/Р/ГЕО-Д/ВГС"/>
    <s v="ОРН-24/09000/01123/Р/ГЕО-Д/ВГС"/>
    <s v="Нетиповой ДД"/>
    <x v="2"/>
    <s v=""/>
    <s v="В09933-24"/>
    <s v=""/>
    <s v="Рамочный договор на оказание услуг "/>
    <s v="Рамочный договор  на оказание услуг:_x000a_Анализ, обоснование и сопровождение геологоразведочных работ (в том числе ведение архива сейсмических и несейсмических данных, исследований керна и флюидов, ПРБ), в том числе:_x000a_- экспертно-методическое сопровождение работ по отбору проб пластовых флюидов под давлением._x000a_и пр. "/>
    <s v="Блинова Д.М."/>
    <s v="Блинова Д.М."/>
    <s v="Внутригрупповой договорный документ"/>
    <s v="Управление экономического планирования и анализа"/>
    <s v="Трифонов А.В."/>
    <s v="ЭП"/>
    <s v="С ограничением по срокам "/>
    <m/>
    <m/>
    <s v="Д-45"/>
    <s v="Договор возмездного оказания услуг"/>
    <s v="Доходная часть"/>
    <s v="Рамочный"/>
    <s v="20%"/>
    <s v=""/>
    <s v=""/>
    <s v="22 458 708.72"/>
    <s v="18 715 590.60"/>
    <s v="3 743 118.12"/>
    <s v="нет"/>
    <s v="нет"/>
    <s v=""/>
    <s v=""/>
    <s v=""/>
    <s v=""/>
    <s v=""/>
  </r>
  <r>
    <s v="Газпромнефть-ГЕО, ООО"/>
    <s v="0000008602"/>
    <s v="Зарегистрирован"/>
    <m/>
    <m/>
    <x v="32"/>
    <s v="5504036333"/>
    <s v="ГПН-23/09000/01265/Р/ГЕО-Д/ВГС"/>
    <s v=""/>
    <s v="5"/>
    <s v="Нетиповой ДД"/>
    <x v="3"/>
    <s v=""/>
    <s v="В10059-24"/>
    <s v=""/>
    <s v="Заказ на выполнение научно-исследовательских работ к договору ГПН-23/09000/01265/Р/ГЕО-Д/ВГС​ от 15.12.2023"/>
    <s v="Заказ на выполнение научно-исследовательских работ НИР 2"/>
    <s v="Блинова Д.М."/>
    <s v="Блинова Д.М."/>
    <s v="Внутригрупповой договорный документ"/>
    <s v="Управление экономического планирования и анализа"/>
    <s v="Трифонов А.В."/>
    <s v="ЭП"/>
    <s v="С ограничением по срокам "/>
    <m/>
    <m/>
    <s v="Д-82"/>
    <s v="Договор возмездного оказания услуг"/>
    <s v="Доходная часть"/>
    <s v="Рамочный"/>
    <s v="20%"/>
    <s v=""/>
    <s v=""/>
    <s v="96 081 893.22"/>
    <s v="80 068 244.35"/>
    <s v="16 013 648.87"/>
    <s v="нет"/>
    <s v="нет"/>
    <s v=""/>
    <s v=""/>
    <s v=""/>
    <s v=""/>
    <s v=""/>
  </r>
  <r>
    <s v="Газпромнефть-ГЕО, ООО"/>
    <s v="0000027645"/>
    <s v="Зарегистрирован"/>
    <m/>
    <m/>
    <x v="80"/>
    <s v="5501072608"/>
    <s v=""/>
    <s v="ГСН-23/01200/00580/Р/ГЕО-Д/ВГС"/>
    <s v="ГСН-23/01200/00580/Р/ГЕО-Д/ВГС"/>
    <s v="Нетиповой ДД"/>
    <x v="2"/>
    <s v=""/>
    <s v="В10210-23"/>
    <s v=""/>
    <s v="ДОГОВОР ПОСТАВКИ1 № Д_27645_67942_57068"/>
    <s v="Реализация в адрес ООО &quot;Газпромнефть-Снабжение&quot; &quot;Комплекта материалов ограждения&quot;  из СЗ ООО &quot;ГПН-ГЕО&quot;  проект &quot;Енисей*"/>
    <s v="Лесняк Н.А."/>
    <s v="Лесняк Н.А."/>
    <s v="Внутригрупповой договорный документ"/>
    <s v="Управление материально-технического обеспечения, транспортного обеспечения и сопутствующих сервисов"/>
    <s v="Ковтун М.А."/>
    <s v="ЭП"/>
    <s v="До исполнения обязательств"/>
    <m/>
    <m/>
    <s v="Д-62"/>
    <s v="Договор поставки/купли продажи движимого имущества"/>
    <s v="Доходная часть"/>
    <s v="Стоимостной"/>
    <s v="20%"/>
    <s v=""/>
    <s v=""/>
    <s v="11 370 071.45"/>
    <s v="9 475 059.54"/>
    <s v="1 895 011.91"/>
    <s v="нет"/>
    <s v="нет"/>
    <s v=""/>
    <s v=""/>
    <s v=""/>
    <s v=""/>
    <s v=""/>
  </r>
  <r>
    <s v="Газпромнефть-ГЕО, ООО"/>
    <s v="0000008602"/>
    <s v="Зарегистрирован"/>
    <m/>
    <m/>
    <x v="32"/>
    <s v="5504036333"/>
    <s v="ГПН-18/09000/02142/Р "/>
    <s v=""/>
    <s v="21"/>
    <s v="Нетиповой ДД"/>
    <x v="0"/>
    <s v=""/>
    <s v="В10225-23"/>
    <s v=""/>
    <s v="Дополнительное соглашение № 21 к Операторскому Договору № ГПН-18/09000/02142/Р от 07 сентября 2018 г. "/>
    <s v="Дополнительное соглашение № 21 к Договору № ГПН-18/09000/02142/Р от 07 сентября 2018 г. об изменении формата отчетных документов"/>
    <s v="Блинова Д.М."/>
    <s v="Блинова Д.М."/>
    <s v="Внутригрупповой договорный документ"/>
    <s v="Управление экономического планирования и анализа"/>
    <s v="Шакирзянов Л.Н."/>
    <s v="ЭП"/>
    <s v="До исполнения обязательств"/>
    <m/>
    <m/>
    <s v="Д-20"/>
    <s v="Договор возмездного оказания услуг"/>
    <s v="Не предполагает взаиморасчетов"/>
    <s v=""/>
    <s v=""/>
    <s v=""/>
    <s v=""/>
    <s v=""/>
    <s v=""/>
    <s v=""/>
    <s v="нет"/>
    <s v="нет"/>
    <s v=""/>
    <s v=""/>
    <s v=""/>
    <s v=""/>
    <s v=""/>
  </r>
  <r>
    <s v="Газпромнефть-ГЕО, ООО"/>
    <s v="0000073273"/>
    <s v="Зарегистрирован"/>
    <m/>
    <m/>
    <x v="21"/>
    <s v="5610218014"/>
    <s v="ОРН-23/09000/00002/Р/15/02/ГЕО-Д/7/ВГС"/>
    <s v=""/>
    <s v="2"/>
    <s v="Нетиповой ДД"/>
    <x v="0"/>
    <s v=""/>
    <s v="В10288-23"/>
    <s v=""/>
    <s v="ДС № 2 к Д № ОРН-23/09000/00002/Р/15/02/ГЕО-Д/7/ВГС"/>
    <s v="Дополнительное соглашение № 2 изменение гарантированного объема 2023 и 2024 года"/>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629 470 494.50"/>
    <s v="524 558 745.42"/>
    <s v="104 911 749.08"/>
    <s v="нет"/>
    <s v="нет"/>
    <s v=""/>
    <s v=""/>
    <s v=""/>
    <s v=""/>
    <s v=""/>
  </r>
  <r>
    <s v="Газпромнефть-ГЕО, ООО"/>
    <s v="0000008602"/>
    <s v="Зарегистрирован"/>
    <m/>
    <m/>
    <x v="32"/>
    <s v="5504036333"/>
    <s v="ГПН-18-09000-02142/Р"/>
    <s v=""/>
    <s v="20"/>
    <s v="Нетиповой ДД"/>
    <x v="0"/>
    <s v=""/>
    <s v="В10348-23"/>
    <s v=""/>
    <s v="Дополнительное соглашение №20 Западный Таймыр"/>
    <s v="Оказание операторских услуг на проекте Западный Таймыр."/>
    <s v="Андреева И.В."/>
    <s v="Андреева И.В."/>
    <s v="Внутригрупповой договорный документ"/>
    <s v="Кластер &quot;Традиционные запасы&quot;"/>
    <s v="Николаев М.Н."/>
    <s v="ЭП"/>
    <s v="С ограничением по срокам "/>
    <m/>
    <m/>
    <s v="Д-57"/>
    <s v="Договор возмездного оказания услуг"/>
    <s v="Доходная часть"/>
    <s v="Стоимостной"/>
    <s v="20%"/>
    <s v=""/>
    <s v=""/>
    <s v="117 100 620.00"/>
    <s v="97 583 850.00"/>
    <s v="19 516 770.00"/>
    <s v="нет"/>
    <s v="нет"/>
    <s v=""/>
    <s v=""/>
    <s v=""/>
    <s v=""/>
    <s v=""/>
  </r>
  <r>
    <s v="Газпромнефть-ГЕО, ООО"/>
    <s v="0000039463"/>
    <s v="Зарегистрирован"/>
    <m/>
    <m/>
    <x v="39"/>
    <s v="8905034804"/>
    <s v="АНГ-18/09000/00186/Р"/>
    <s v=""/>
    <s v="12"/>
    <s v="Нетиповой ДД"/>
    <x v="0"/>
    <s v=""/>
    <s v="В10420-23"/>
    <s v=""/>
    <s v="Дополнительное соглашение № 12 к Договору № АНГ-18/09000/00186/Р от 24.09.2018г. "/>
    <s v="Дополнительное соглашение № 12 к Договору № АНГ-18/09000/00186/Р от 24.09.2018г. об изменении формата отчетных документов"/>
    <s v="Блинова Д.М."/>
    <s v="Блинова Д.М."/>
    <s v="Внутригрупповой договорный документ"/>
    <s v="Управление экономического планирования и анализа"/>
    <s v="Шакирзянов Л.Н."/>
    <s v="ЭП"/>
    <s v="До исполнения обязательств"/>
    <m/>
    <m/>
    <s v="Д-20"/>
    <s v="Договор возмездного оказания услуг"/>
    <s v="Не предполагает взаиморасчетов"/>
    <s v="Рамочный"/>
    <s v=""/>
    <s v=""/>
    <s v=""/>
    <s v=""/>
    <s v=""/>
    <s v=""/>
    <s v="нет"/>
    <s v="нет"/>
    <s v=""/>
    <s v=""/>
    <s v=""/>
    <s v=""/>
    <s v=""/>
  </r>
  <r>
    <s v="Газпромнефть-ГЕО, ООО"/>
    <s v="0000045789"/>
    <s v="Зарегистрирован"/>
    <m/>
    <m/>
    <x v="16"/>
    <s v="7838395487"/>
    <s v="НТЦ-21/08000/00390/Р//ГЕО-21/00000/00123/Д "/>
    <s v=""/>
    <s v="НТЦ- В10424-23Р"/>
    <s v="Нетиповой ДД"/>
    <x v="3"/>
    <s v=""/>
    <s v="В10424-23"/>
    <s v=""/>
    <s v="Научно-техническое сопровождение проекта «Разработка когнитивных инструментов геологического анализа», включая сопровождение разработки алгоритмов и апробацию прототипов, анализ результатов и выдачу рекомендаций. Поддержка при формировании пользовательских"/>
    <s v="Основной целью заказа является научно-техническое сопровождение работ, выполняемых в рамках проекта «Разработка когнитивных инструментов геологического анализа»:"/>
    <s v="Шохин А.Е."/>
    <s v="Шохин А.Е."/>
    <s v="Внутригрупповой договорный документ"/>
    <s v="Управление по геологии"/>
    <s v="Аксенов М.А."/>
    <s v="ЭП"/>
    <s v="С ограничением по срокам "/>
    <m/>
    <m/>
    <s v="Д-54"/>
    <s v="Договор на выполнение НИР, ОКР и технологических работ"/>
    <s v="Доходная часть"/>
    <s v="Рамочный"/>
    <s v="20%"/>
    <s v=""/>
    <s v=""/>
    <s v="2 324 125.00"/>
    <s v="1 936 770.83"/>
    <s v="387 354.17"/>
    <s v="нет"/>
    <s v="нет"/>
    <s v=""/>
    <s v=""/>
    <s v=""/>
    <s v=""/>
    <s v=""/>
  </r>
  <r>
    <s v="Газпромнефть-ГЕО, ООО"/>
    <s v="0000008602"/>
    <s v="Зарегистрирован"/>
    <m/>
    <m/>
    <x v="32"/>
    <s v="5504036333"/>
    <s v="ГПН-23/09000/01265/Р/ГЕО-Д/ВГС"/>
    <s v=""/>
    <s v="3"/>
    <s v="Нетиповой ДД"/>
    <x v="4"/>
    <s v=""/>
    <s v="В10808-24"/>
    <s v="2"/>
    <s v="Изменение №3 к Заказу №2 к  ДД ГПН-23/09000/01265/Р/ГЕО-Д/ВГС от 15.12.2023г"/>
    <s v="Изменение сроков исполнения Заказа №2 к ДД ГПН-23/09000/01265/Р/ГЕО-Д/ВГС от 15.12.2023г"/>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41"/>
    <s v="Договор возмездного оказания услуг"/>
    <s v="Доходная часть"/>
    <s v="Рамочный"/>
    <s v="20%"/>
    <s v=""/>
    <s v=""/>
    <s v="481 531 308.04"/>
    <s v="401 276 090.03"/>
    <s v="80 255 218.01"/>
    <s v="нет"/>
    <s v="нет"/>
    <s v=""/>
    <s v=""/>
    <s v=""/>
    <s v=""/>
    <s v=""/>
  </r>
  <r>
    <s v="Газпромнефть-ГЕО, ООО"/>
    <s v="0000008602"/>
    <s v="Зарегистрирован"/>
    <m/>
    <m/>
    <x v="32"/>
    <s v="5504036333"/>
    <s v="ГПН-23/09000/01265/Р/ГЕО-Д/ВГС"/>
    <s v=""/>
    <s v="1"/>
    <s v="Нетиповой ДД"/>
    <x v="4"/>
    <s v=""/>
    <s v="В10928-24"/>
    <s v="5"/>
    <s v="Изменение №1 к Заказу №5 к  ДД ГПН-23/09000/01265/Р/ГЕО-Д/ВГС от 15.12.2023г"/>
    <s v="Изменение суммы Заказа №5 к ДД ГПН-23/09000/01265/Р/ГЕО-Д/ВГС от 15.12.2023г"/>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41"/>
    <s v="Договор возмездного оказания услуг"/>
    <s v="Доходная часть"/>
    <s v="Рамочный"/>
    <s v="20%"/>
    <s v=""/>
    <s v=""/>
    <s v="215 661 773.22"/>
    <s v="179 718 144.35"/>
    <s v="35 943 628.87"/>
    <s v="нет"/>
    <s v="нет"/>
    <s v=""/>
    <s v=""/>
    <s v=""/>
    <s v="ООО ГПН-ГЕО "/>
    <s v=""/>
  </r>
  <r>
    <s v="Газпромнефть-ГЕО, ООО"/>
    <s v="0000064025"/>
    <s v="Проект"/>
    <m/>
    <m/>
    <x v="134"/>
    <s v="7728720448"/>
    <s v=""/>
    <s v=""/>
    <s v=""/>
    <s v="Нетиповой ДД"/>
    <x v="2"/>
    <s v=""/>
    <s v="В1102-22"/>
    <s v=""/>
    <s v="ДОПОЛНИТЕЛЬНОЕ СОГЛАШЕНИЕ №1 к Договору поставки АНГ-22/01200/00002/Д от 05.05.2022 г."/>
    <s v="Корретировка спецификации без изменения общей стоимости реализации (приведение в соответствие наименований и номеров бухгалтерскому учету)_x000d__x000a_"/>
    <s v="Долгов Д.Г."/>
    <s v="Долгов Д.Г."/>
    <s v="Внутригрупповой 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
    <s v="Стоимостной"/>
    <s v="20%"/>
    <s v=""/>
    <s v=""/>
    <s v="1 186 465.36"/>
    <s v="988 721.13"/>
    <s v="197 744.23"/>
    <s v="нет"/>
    <s v="нет"/>
    <s v=""/>
    <s v=""/>
    <s v=""/>
    <s v=""/>
    <s v=""/>
  </r>
  <r>
    <s v="Газпромнефть-ГЕО, ООО"/>
    <s v="0000045789"/>
    <s v="Зарегистрирован"/>
    <m/>
    <m/>
    <x v="16"/>
    <s v="7838395487"/>
    <s v="ГЕО-21/00000/00123/Д"/>
    <s v=""/>
    <s v="НТЦ-В11094-24Р-ГПН"/>
    <s v="Нетиповой ДД"/>
    <x v="3"/>
    <s v=""/>
    <s v="В11094-24"/>
    <s v=""/>
    <s v="Заказ (ПГИН) к Договору № НТЦ-21/08000/00390/Р//ГЕО-21/00000/00123/Д от «17» мая 2021 г."/>
    <s v="Разработка проектной документации на геологическое изучение недр на Вологодский 1 и Центральный лицензионные участки"/>
    <s v="Котова А.М."/>
    <s v="Котова А.М."/>
    <s v="Внутригрупповой договорный документ"/>
    <s v="Управление экономического планирования и анализа"/>
    <s v="Аксенов М.А."/>
    <s v="ЭП"/>
    <s v="С ограничением по срокам "/>
    <m/>
    <m/>
    <s v="Д-41"/>
    <s v="ПРОЧИЕ ДОГОВОРЫ"/>
    <s v="Доходная часть"/>
    <s v="Рамочный"/>
    <s v="20%"/>
    <s v=""/>
    <s v=""/>
    <s v="5 745 483.62"/>
    <s v="4 787 903.02"/>
    <s v="957 580.60"/>
    <s v="нет"/>
    <s v="нет"/>
    <s v=""/>
    <s v=""/>
    <s v=""/>
    <s v=""/>
    <s v=""/>
  </r>
  <r>
    <s v="Газпромнефть-ГЕО, ООО"/>
    <s v="0000045789"/>
    <s v="Зарегистрирован"/>
    <m/>
    <m/>
    <x v="16"/>
    <s v="7838395487"/>
    <s v="ГЕО-21/00000/00123/Д"/>
    <s v=""/>
    <s v="НТЦ-В11314-23Р-ГПН"/>
    <s v="Нетиповой ДД"/>
    <x v="3"/>
    <s v=""/>
    <s v="В11314-23"/>
    <s v=""/>
    <s v="Заказ (ProБА)"/>
    <s v="Экспертная система по подбору типовых технологических решений для разработки и изучения АТ (ProБА)"/>
    <s v="Блинова Д.М."/>
    <s v="Блинова Д.М."/>
    <s v="Внутригрупповой договорный документ"/>
    <s v="Управление экономического планирования и анализа"/>
    <s v="Шакирзянов Л.Н."/>
    <s v="ЭП"/>
    <s v="С ограничением по срокам "/>
    <m/>
    <m/>
    <s v="Д-20"/>
    <s v="ПРОЧИЕ ДОГОВОРЫ"/>
    <s v="Доходная часть"/>
    <s v="Рамочный"/>
    <s v="20%"/>
    <s v=""/>
    <s v=""/>
    <s v="7 367 970.73"/>
    <s v="6 139 975.61"/>
    <s v="1 227 995.12"/>
    <s v="нет"/>
    <s v="нет"/>
    <s v=""/>
    <s v=""/>
    <s v=""/>
    <s v=""/>
    <s v=""/>
  </r>
  <r>
    <s v="Газпромнефть-ГЕО, ООО"/>
    <s v="0000000059"/>
    <s v="Зарегистрирован"/>
    <m/>
    <m/>
    <x v="131"/>
    <s v="8905000428"/>
    <s v="ГЕО-19/00000/00317/Д"/>
    <s v=""/>
    <s v="5"/>
    <s v="Нетиповой ДД"/>
    <x v="0"/>
    <s v=""/>
    <s v="В11430-23"/>
    <s v=""/>
    <s v="Дополнительное соглашение №5 к Договору №ГЕО-19/00000/00317/Д / ННГ-19/10124/01839/Р от 24.12.2019"/>
    <s v="О применении универсального передаточного документа."/>
    <s v="Андреева И.В."/>
    <s v="Андреева И.В."/>
    <s v="Внутригрупповой договорный документ"/>
    <s v="Кластер &quot;Традиционные запасы&quot;"/>
    <s v="Николаев М.Н."/>
    <s v="На бумажном носителе"/>
    <s v="Без сроков "/>
    <m/>
    <m/>
    <s v="Д-57"/>
    <s v="Договор возмездного оказания услуг"/>
    <s v="Не предполагает взаиморасчетов"/>
    <s v=""/>
    <s v=""/>
    <s v=""/>
    <s v=""/>
    <s v=""/>
    <s v=""/>
    <s v=""/>
    <s v="нет"/>
    <s v="нет"/>
    <s v=""/>
    <s v=""/>
    <s v=""/>
    <s v=""/>
    <s v=""/>
  </r>
  <r>
    <s v="Газпромнефть-ГЕО, ООО"/>
    <s v="0000000059"/>
    <s v="Зарегистрирован"/>
    <m/>
    <m/>
    <x v="131"/>
    <s v="8905000428"/>
    <s v=""/>
    <s v="ННГ-24/26000/01205/ГЕО/ВГС"/>
    <s v="ННГ-24/26000/01205/ГЕО/ВГС"/>
    <s v="Типовой ДД"/>
    <x v="1"/>
    <s v="26000 Соглашение о конфиденциальности с дочерним обществом ГК ГПН"/>
    <s v="В11471-24"/>
    <s v=""/>
    <s v="26000 Соглашение о конфиденциальности с дочерним обществом ГК ГПН"/>
    <s v="Заключение соглашения о конфиденциальности"/>
    <s v="Блинова Д.М."/>
    <s v="Блинова Д.М."/>
    <s v="Внутригрупповой договорный документ"/>
    <s v="Управление экономического планирования и анализа"/>
    <s v="Созинов С.А."/>
    <s v="ЭП"/>
    <s v="С ограничением по срокам "/>
    <m/>
    <m/>
    <s v="Д-31"/>
    <s v="Соглашение о конфиденциальности"/>
    <s v="Не предполагает взаиморасчетов"/>
    <s v=""/>
    <s v=""/>
    <s v=""/>
    <s v=""/>
    <s v=""/>
    <s v=""/>
    <s v=""/>
    <s v="нет"/>
    <s v="нет"/>
    <s v=""/>
    <s v=""/>
    <s v=""/>
    <s v=""/>
    <s v=""/>
  </r>
  <r>
    <s v="Газпромнефть-ГЕО, ООО"/>
    <s v="0000008602"/>
    <s v="Зарегистрирован"/>
    <m/>
    <m/>
    <x v="32"/>
    <s v="5504036333"/>
    <s v="ГПН-18/09000/02142/Р "/>
    <s v=""/>
    <s v="22"/>
    <s v="Нетиповой ДД"/>
    <x v="0"/>
    <s v=""/>
    <s v="В11817-23"/>
    <s v=""/>
    <s v="Дополнительное соглашение № 22 к Операторскому Договору № ГПН-18/09000/02142/Р от 07 сентября 2018 г. "/>
    <s v="Дополнительное соглашение для проведения инвентаризации Оператором"/>
    <s v="Блинова Д.М."/>
    <s v="Блинова Д.М."/>
    <s v="Внутригрупповой договорный документ"/>
    <s v="Управление экономического планирования и анализа"/>
    <s v="Ковтун М.А."/>
    <s v="ЭП"/>
    <s v="До исполнения обязательств"/>
    <m/>
    <m/>
    <s v="Д-62"/>
    <s v="Договор возмездного оказания услуг"/>
    <s v="Не предполагает взаиморасчетов"/>
    <s v=""/>
    <s v=""/>
    <s v=""/>
    <s v=""/>
    <s v=""/>
    <s v=""/>
    <s v=""/>
    <s v="нет"/>
    <s v="нет"/>
    <s v=""/>
    <s v=""/>
    <s v=""/>
    <s v=""/>
    <s v=""/>
  </r>
  <r>
    <s v="Газпромнефть-ГЕО, ООО"/>
    <s v="0000073273"/>
    <s v="Зарегистрирован"/>
    <m/>
    <m/>
    <x v="21"/>
    <s v="5610218014"/>
    <s v="ОРН-24/09000/01123/Р/ГЕО-Д/ВГС"/>
    <s v=""/>
    <s v="1"/>
    <s v="Нетиповой ДД"/>
    <x v="3"/>
    <s v=""/>
    <s v="В12568-24"/>
    <s v=""/>
    <s v="Наряд-Заказ №1 к договору ОРН-24/09000/01123/Р/ГЕО-Д/ВГС"/>
    <s v="Экспертно-методическое сопровождение работ по отбору проб пластовых флюидов под давлением со скважины №341 месторождения им. В.П. Орлова с выездом специалиста ГПН-ГЕО."/>
    <s v="Блинова Д.М."/>
    <s v="Блинова Д.М."/>
    <s v="Внутригрупповой договорный документ"/>
    <s v="Управление экономического планирования и анализа"/>
    <s v="Трифонов А.В."/>
    <s v="ЭП"/>
    <s v="С ограничением по срокам "/>
    <m/>
    <m/>
    <s v="Д-45"/>
    <s v="Договор возмездного оказания услуг"/>
    <s v="Доходная часть"/>
    <s v="Рамочный"/>
    <s v="20%"/>
    <s v=""/>
    <s v=""/>
    <s v="972 155.17"/>
    <s v="810 129.31"/>
    <s v="162 025.86"/>
    <s v="нет"/>
    <s v="нет"/>
    <s v=""/>
    <s v=""/>
    <s v=""/>
    <s v=""/>
    <s v=""/>
  </r>
  <r>
    <s v="Газпромнефть-ГЕО, ООО"/>
    <s v="0000039463"/>
    <s v="Зарегистрирован"/>
    <m/>
    <m/>
    <x v="39"/>
    <s v="8905034804"/>
    <s v=" АНГ-18/09000/00186/Р"/>
    <s v=""/>
    <s v="13"/>
    <s v="Нетиповой ДД"/>
    <x v="0"/>
    <s v=""/>
    <s v="В12683-23"/>
    <s v=""/>
    <s v="Дополнительное соглашение № 13 к Договору № АНГ-18/09000/00186/Р от 24.09.2018г. "/>
    <s v="Дополнительное соглашение № 13 к Договору № АНГ-18/09000/00186/Р от 24.09.2018г. по изменению программы 2024-2026"/>
    <s v="Блинова Д.М."/>
    <s v="Блинова Д.М."/>
    <s v="Внутригрупповой договорный документ"/>
    <s v="Управление экономического планирования и анализа"/>
    <s v="Шакирзянов Л.Н."/>
    <s v="На бумажном носителе"/>
    <s v="До исполнения обязательств"/>
    <m/>
    <m/>
    <s v="Д-20"/>
    <s v="Договор возмездного оказания услуг"/>
    <s v="Доходная часть"/>
    <s v="Рамочный"/>
    <s v="20%"/>
    <s v=""/>
    <s v=""/>
    <s v="7 964 103 602.29"/>
    <s v="6 636 753 001.91"/>
    <s v="1 327 350 600.38"/>
    <s v="нет"/>
    <s v="нет"/>
    <s v=""/>
    <s v=""/>
    <s v=""/>
    <s v=""/>
    <s v=""/>
  </r>
  <r>
    <s v="Газпромнефть-ГЕО, ООО"/>
    <s v=""/>
    <s v="Проект"/>
    <m/>
    <m/>
    <x v="58"/>
    <s v=""/>
    <s v=""/>
    <s v=""/>
    <s v=""/>
    <s v="Типовой ДД"/>
    <x v="1"/>
    <s v="33200 Соглашение об электронном документообороте"/>
    <s v="В1271-22"/>
    <s v=""/>
    <s v="33200 Соглашение об электронном документообороте"/>
    <s v="Заключение Соглашения об ЭДО к договору на организацию ВОЗ между ПАО &quot;Газпром нефть&quot; и ООО &quot;ГПН-ГЕО&quot;"/>
    <s v="Григорьева А.А."/>
    <s v=""/>
    <s v="Внутригрупповой договорный документ"/>
    <s v="Блок производственной безопасности"/>
    <s v="Масалкин Ю.В."/>
    <s v=""/>
    <s v="Без сроков "/>
    <m/>
    <m/>
    <s v=""/>
    <s v="Соглашение об использовании электронного документооборота"/>
    <s v=""/>
    <s v=""/>
    <s v=""/>
    <s v=""/>
    <s v=""/>
    <s v=""/>
    <s v=""/>
    <s v=""/>
    <s v="нет"/>
    <s v="нет"/>
    <s v=""/>
    <s v=""/>
    <s v=""/>
    <s v=""/>
    <s v=""/>
  </r>
  <r>
    <s v="Газпромнефть-ГЕО, ООО"/>
    <s v="0000027605"/>
    <s v="Зарегистрирован"/>
    <m/>
    <m/>
    <x v="67"/>
    <s v="8605003932"/>
    <s v="ГЕО-21/07000/00311/Д"/>
    <s v=""/>
    <s v="1"/>
    <s v="Нетиповой ДД"/>
    <x v="0"/>
    <s v=""/>
    <s v="В1290-22"/>
    <s v=""/>
    <s v="ДС-1 к договору ВР-49-10110/22-23/ГЕО-21/07000/00311/Д на проведение полевых сейсморазведочных работ МОГТ ЗД с применением технологии «Зеленая сейсмика ©» на ЛУ работ ПАО «СН-МНГ», а также, в пределах примыкающего нераспределенного фонда в 2021-2023 гг"/>
    <s v="ДС-1 к договору ВР-49-10110/22-23/ГЕО-21/07000/00311/Д на проведение полевых сейсморазведочных работ МОГТ ЗД с применением технологии «Зеленая сейсмика ©» на ЛУ работ ПАО «СН-МНГ», а также, в пределах примыкающего нераспределенного фонда в 2021-2023 гг"/>
    <s v="Ахматгалиев С.З."/>
    <s v="Ахматгалиев С.З."/>
    <s v="Внутригрупповой договорный документ"/>
    <s v="Блок геологии и разработки"/>
    <s v="Агеев П.А."/>
    <s v="ЭП"/>
    <s v="С ограничением по срокам "/>
    <m/>
    <m/>
    <s v="Д-52"/>
    <s v="Договор подряда"/>
    <s v="Не предполагает взаиморасчетов"/>
    <s v=""/>
    <s v=""/>
    <s v=""/>
    <s v=""/>
    <s v=""/>
    <s v=""/>
    <s v=""/>
    <s v="нет"/>
    <s v="нет"/>
    <s v=""/>
    <s v=""/>
    <s v=""/>
    <s v=""/>
    <s v=""/>
  </r>
  <r>
    <s v="Газпромнефть-ГЕО, ООО"/>
    <s v="0000064025"/>
    <s v="На согласовании"/>
    <m/>
    <m/>
    <x v="134"/>
    <s v="7728720448"/>
    <s v=""/>
    <s v=""/>
    <s v=""/>
    <s v="Нетиповой ДД"/>
    <x v="2"/>
    <s v=""/>
    <s v="В12912-24"/>
    <s v=""/>
    <s v="Договор на оказание услуг по экспертно-методическому сопровождению отбора проб пластовых флюидов под давлением"/>
    <s v="Оказание услуг по экспертно-методическому сопровождению услуг по отбору проб пластовых флюидов под давлением, ГДИС/ПГИ на скважинах Ямбургского нефтегазоконденсатного месторождения"/>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41"/>
    <s v="Договор возмездного оказания услуг"/>
    <s v="Доходная часть"/>
    <s v="Рамочный"/>
    <s v="20%"/>
    <s v=""/>
    <s v=""/>
    <s v="19 205 977.25"/>
    <s v="16 004 981.04"/>
    <s v="3 200 996.21"/>
    <s v="нет"/>
    <s v="нет"/>
    <s v=""/>
    <s v=""/>
    <s v=""/>
    <s v=""/>
    <s v=""/>
  </r>
  <r>
    <s v="Газпромнефть-ГЕО, ООО"/>
    <s v="0000008602"/>
    <s v="Зарегистрирован"/>
    <m/>
    <m/>
    <x v="32"/>
    <s v="5504036333"/>
    <s v=""/>
    <s v="ГПН-23/09000/00946/Р/ГЕО-Д/ВГС"/>
    <s v="ГПН-23/09000/00946/Р/ГЕО-Д/ВГС"/>
    <s v="Нетиповой ДД"/>
    <x v="2"/>
    <s v=""/>
    <s v="В12988-23"/>
    <s v=""/>
    <s v="Договор на оказание консалтинговых услуг"/>
    <s v="Договор на оказание консалтинговых услуг в целях выполнения геолого-экономической оценки и сопровождения функциональной экспертизы ИК БРД проектов «6К» и «10»"/>
    <s v="Блинова Д.М."/>
    <s v="Блинова Д.М."/>
    <s v="Внутригрупповой договорный документ"/>
    <s v="Управление экономического планирования и анализа"/>
    <s v="Шакирзянов Л.Н."/>
    <s v="ЭП"/>
    <s v="С ограничением по срокам "/>
    <m/>
    <m/>
    <s v="Д-20"/>
    <s v="Договор возмездного оказания услуг"/>
    <s v="Доходная часть"/>
    <s v="Рамочный"/>
    <s v="20%"/>
    <s v=""/>
    <s v=""/>
    <s v="17 340 000.00"/>
    <s v="14 450 000.00"/>
    <s v="2 890 000.00"/>
    <s v="нет"/>
    <s v="нет"/>
    <s v=""/>
    <s v=""/>
    <s v=""/>
    <s v="ООО ГПН-ГЕО "/>
    <s v=""/>
  </r>
  <r>
    <s v="Газпромнефть-ГЕО, ООО"/>
    <s v="0000027645"/>
    <s v="Зарегистрирован"/>
    <m/>
    <m/>
    <x v="80"/>
    <s v="5501072608"/>
    <s v="ГСН-23/01200/00580/Р/ГЕО-Д/ВГС"/>
    <s v=""/>
    <s v="3"/>
    <s v="Типовой ДД"/>
    <x v="12"/>
    <s v="01200 Приложение (Спецификация) к Договору  поставки МТР категории «Свободный запас»"/>
    <s v="В13032-24"/>
    <s v=""/>
    <s v="01200 Приложение (Спецификация) к Договору  поставки МТР категории «Свободный запас»"/>
    <s v="Реализация в адрес ООО &quot;Газпромнефть-Снабжение&quot; - Топливо дизельное ЕВРО, зимнее, класс 2: ДТ-З-К5 (770000796580) в количестве 10,204 тн для оказания услуг АО &quot;ССК&quot; в период мобилизации БУ со скв. 4 на скв. 5 Камовской площади"/>
    <s v="Разгоняев И.А."/>
    <s v="Разгоняев И.А."/>
    <s v="Внутригрупповой договорный документ"/>
    <s v="Управление материально-технического обеспечения, транспортного обеспечения и сопутствующих сервисов"/>
    <s v="Титов А.В."/>
    <s v="ЭП"/>
    <s v="Без сроков "/>
    <m/>
    <m/>
    <s v="Д-47"/>
    <s v="Договор поставки/купли продажи движимого имущества"/>
    <s v="Доходная часть"/>
    <s v="Стоимостной"/>
    <s v="20%"/>
    <s v=""/>
    <s v=""/>
    <s v="924 976.85"/>
    <s v="770 814.04"/>
    <s v="154 162.81"/>
    <s v="нет"/>
    <s v="нет"/>
    <s v=""/>
    <s v=""/>
    <s v=""/>
    <s v=""/>
    <s v=""/>
  </r>
  <r>
    <s v="Газпромнефть-ГЕО, ООО"/>
    <s v="0000058553"/>
    <s v="Зарегистрирован"/>
    <m/>
    <m/>
    <x v="500"/>
    <s v="7725610285"/>
    <s v=""/>
    <s v="ГНШ-24/09000/01252/Р/ГЕО-Д/ВГС"/>
    <s v="ГНШ-24/09000/01252/Р/ГЕО-Д/ВГС"/>
    <s v="Нетиповой ДД"/>
    <x v="2"/>
    <s v=""/>
    <s v="В13035-24"/>
    <s v=""/>
    <s v="Подготовка и проектирование геологической нагрузки на скважинах поисково-разведочного бурения"/>
    <s v="Договор на оказания услуги: «Подготовка и проектирование геологической нагрузки на скважинах поисково-разведочного бурения» "/>
    <s v="Блинова Д.М."/>
    <s v="Блинова Д.М."/>
    <s v="Внутригрупповой договорный документ"/>
    <s v="Управление экономического планирования и анализа"/>
    <s v="Трифонов А.В."/>
    <s v="ЭП"/>
    <s v="С ограничением по срокам "/>
    <m/>
    <m/>
    <s v="Д-45"/>
    <s v="Договор возмездного оказания услуг"/>
    <s v="Доходная часть"/>
    <s v="Рамочный"/>
    <s v="20%"/>
    <s v=""/>
    <s v=""/>
    <s v="16 650 759.60"/>
    <s v="13 875 633.00"/>
    <s v="2 775 126.60"/>
    <s v="нет"/>
    <s v="нет"/>
    <s v=""/>
    <s v=""/>
    <s v=""/>
    <s v=""/>
    <s v=""/>
  </r>
  <r>
    <s v="Газпромнефть-ГЕО, ООО"/>
    <s v="0000008602"/>
    <s v="На согласовании"/>
    <m/>
    <m/>
    <x v="32"/>
    <s v="5504036333"/>
    <s v="ГПН-23/09000/01265/Р/ГЕО-Д/ВГС"/>
    <s v=""/>
    <s v="1"/>
    <s v="Нетиповой ДД"/>
    <x v="4"/>
    <s v=""/>
    <s v="В13181-24"/>
    <s v="4"/>
    <s v="Изменение №1 к Заказу №4 к  ДД ГПН-23/09000/01265/Р/ГЕО-Д/ВГС от 15.12.2023г"/>
    <s v="Изменение суммы и сроков исполнения Заказа №4  к  ДД ГПН-23/09000/01265/Р/ГЕО-Д/ВГС от 15.12.2023г. за счет расширения состава услуг "/>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41"/>
    <s v="Договор возмездного оказания услуг"/>
    <s v="Доходная часть"/>
    <s v="Рамочный"/>
    <s v="20%"/>
    <s v=""/>
    <s v=""/>
    <s v="118 350 197.54"/>
    <s v="98 625 164.62"/>
    <s v="19 725 032.92"/>
    <s v="нет"/>
    <s v="нет"/>
    <s v=""/>
    <s v=""/>
    <s v=""/>
    <s v="ООО ГПН-ГЕО "/>
    <s v=""/>
  </r>
  <r>
    <s v="Газпромнефть-ГЕО, ООО"/>
    <s v="0000045789"/>
    <s v="На согласовании"/>
    <m/>
    <m/>
    <x v="16"/>
    <s v="7838395487"/>
    <s v="ГЕО-21/00000/00123/Д"/>
    <s v=""/>
    <s v=""/>
    <s v="Нетиповой ДД"/>
    <x v="0"/>
    <s v=""/>
    <s v="В13208-24"/>
    <s v="НТЦ-В11094-24Р-ГПН"/>
    <s v="ДС №1 к Заказу №НТЦ-В11094-24Р-ГПН к ДД № НТЦ-21/08000/00390/Р//ГЕО-21/00000/00123/Д от «17» мая 2021 г."/>
    <s v="Изменение сроков выполнения работ без изменения суммы Заказа №НТЦ-В11094-24Р-ГПН к ДД № НТЦ-21/08000/00390/Р//ГЕО-21/00000/00123/Д от «17» мая 2021 г."/>
    <s v="Котова А.М."/>
    <s v="Котова А.М."/>
    <s v="Внутригрупповой договорный документ"/>
    <s v="Управление экономического планирования и анализа"/>
    <s v="Аксенов М.А."/>
    <s v="ЭП"/>
    <s v="С ограничением по срокам "/>
    <m/>
    <m/>
    <s v="Д-41"/>
    <s v="ПРОЧИЕ ДОГОВОРЫ"/>
    <s v="Доходная часть"/>
    <s v="Рамочный"/>
    <s v="20%"/>
    <s v=""/>
    <s v=""/>
    <s v="5 745 483.62"/>
    <s v="4 787 903.02"/>
    <s v="957 580.60"/>
    <s v="нет"/>
    <s v="нет"/>
    <s v=""/>
    <s v=""/>
    <s v=""/>
    <s v=""/>
    <s v=""/>
  </r>
  <r>
    <s v="Газпромнефть-ГЕО, ООО"/>
    <s v="0000027645"/>
    <s v="Зарегистрирован"/>
    <m/>
    <m/>
    <x v="80"/>
    <s v="5501072608"/>
    <s v="ГСН-23/01200/00580/Р/ГЕО-Д/ВГС"/>
    <s v=""/>
    <s v="2"/>
    <s v="Нетиповой ДД"/>
    <x v="5"/>
    <s v=""/>
    <s v="В13306-23"/>
    <s v=""/>
    <s v="Спецификация № 2 к ДОГОВОРУ ПОСТАВКИ1 № Д_27645_67942_57068"/>
    <s v="Реализация в адрес ООО &quot;Газпромнефть-Снабжение&quot; &quot;Материала слоистого противофильтрационного Теплонит GEONOR TMP 450, ширина 2,4 м, длина 50 м СТО 52306731-011-2015&quot;  из СЗ ООО &quot;ГПН-ГЕО&quot; проекта Хамбатей на основе ранее согласованного КП."/>
    <s v="Лесняк Н.А."/>
    <s v="Лесняк Н.А."/>
    <s v="Внутригрупповой 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m/>
    <m/>
    <s v="Д-56"/>
    <s v="Договор поставки/купли продажи движимого имущества"/>
    <s v="Доходная часть"/>
    <s v="Стоимостной"/>
    <s v="20%"/>
    <s v=""/>
    <s v=""/>
    <s v="714 216.96"/>
    <s v="595 180.80"/>
    <s v="119 036.16"/>
    <s v="нет"/>
    <s v="нет"/>
    <s v=""/>
    <s v=""/>
    <s v=""/>
    <s v=""/>
    <s v=""/>
  </r>
  <r>
    <s v="Газпромнефть-ГЕО, ООО"/>
    <s v="0000027645"/>
    <s v="На согласовании"/>
    <m/>
    <m/>
    <x v="80"/>
    <s v="5501072608"/>
    <s v=""/>
    <s v=""/>
    <s v=""/>
    <s v="Нетиповой ДД"/>
    <x v="2"/>
    <s v=""/>
    <s v="В13331-24"/>
    <s v=""/>
    <s v="Договор купли-продажи движимого имущества"/>
    <s v="Реализация в адрес ООО &quot;Газпромнефть-Снабжение&quot; - Лодка надувная Пилот 330 (основное средство) в количестве 1 шт. в связи с окончанием работ по бурению и освоению скважин на Лескинском ЛУ. Решение принято на ПДК по вопросам МТР и реализации НВИ/НЛИ (протокол № ПТ-7/0000193 от 11.07.2024)"/>
    <s v="Разгоняев И.А."/>
    <s v="Разгоняев И.А."/>
    <s v="Внутригрупповой 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m/>
    <m/>
    <s v="Д-47"/>
    <s v="Договор поставки/купли продажи движимого имущества"/>
    <s v="Доходная часть"/>
    <s v="Стоимостной"/>
    <s v="20%"/>
    <s v=""/>
    <s v=""/>
    <s v="25 916.40"/>
    <s v="21 597.00"/>
    <s v="4 319.40"/>
    <s v="нет"/>
    <s v="нет"/>
    <s v=""/>
    <s v=""/>
    <s v=""/>
    <s v=""/>
    <s v=""/>
  </r>
  <r>
    <s v="Газпромнефть-ГЕО, ООО"/>
    <s v="0000008602"/>
    <s v="Зарегистрирован"/>
    <m/>
    <m/>
    <x v="32"/>
    <s v="5504036333"/>
    <s v=""/>
    <s v="ГПН-23/09000/01265/Р/ГЕО-Д/ВГС"/>
    <s v="ГПН-23/09000/01265/Р/ГЕО-Д/ВГС"/>
    <s v="Нетиповой ДД"/>
    <x v="2"/>
    <s v=""/>
    <s v="В13477-23"/>
    <s v=""/>
    <s v="Анализ, обоснование и сопровождение программы Региональных Научно-исследовательских работ 2023-2026гг"/>
    <s v="Анализ, обоснование и сопровождение программы Региональных Научно-исследовательских работ 2023-2026гг (Негарантированные объемы)"/>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2 538 515 573.60"/>
    <s v="2 115 429 644.67"/>
    <s v="423 085 928.93"/>
    <s v="нет"/>
    <s v="нет"/>
    <s v=""/>
    <s v=""/>
    <s v=""/>
    <s v=""/>
    <s v=""/>
  </r>
  <r>
    <s v="Газпромнефть-ГЕО, ООО"/>
    <s v="0000008602"/>
    <s v="Зарегистрирован"/>
    <m/>
    <m/>
    <x v="32"/>
    <s v="5504036333"/>
    <s v="ГПН-23/09000/01265/Р/ГЕО-Д/ВГС"/>
    <s v=""/>
    <s v="1"/>
    <s v="Нетиповой ДД"/>
    <x v="3"/>
    <s v=""/>
    <s v="В13760-23"/>
    <s v=""/>
    <s v="Заказ на выполнение научно-исследовательских работ к договору ГПН-23/09000/01265/Р/ГЕО-Д/ВГС​ от 15.12.2023"/>
    <s v="Заказ на выполнение научно-исследовательских работ "/>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
    <s v="Договор возмездного оказания услуг"/>
    <s v="Доходная часть"/>
    <s v="Рамочный"/>
    <s v="20%"/>
    <s v=""/>
    <s v=""/>
    <s v="414 000 000.00"/>
    <s v="345 000 000.00"/>
    <s v="69 000 000.00"/>
    <s v="нет"/>
    <s v="нет"/>
    <s v=""/>
    <s v=""/>
    <s v=""/>
    <s v=""/>
    <s v=""/>
  </r>
  <r>
    <s v="Газпромнефть-ГЕО, ООО"/>
    <s v="0000044114"/>
    <s v="Зарегистрирован"/>
    <m/>
    <m/>
    <x v="226"/>
    <s v="7728639370"/>
    <s v=""/>
    <s v="ГНР-23/33200/01252/ГЕО/ВГС"/>
    <s v="ГНР-23/33200/01252/ГЕО/ВГС"/>
    <s v="Типовой ДД"/>
    <x v="1"/>
    <s v="33200 Соглашение об электронном документообороте"/>
    <s v="В14347-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43624"/>
    <s v="Зарегистрирован"/>
    <m/>
    <m/>
    <x v="501"/>
    <s v="7728632093"/>
    <s v=""/>
    <s v="ГНС-23/33200/01206/ГЕО/ВГС"/>
    <s v="ГНС-23/33200/01206/ГЕО/ВГС"/>
    <s v="Типовой ДД"/>
    <x v="1"/>
    <s v="33200 Соглашение об электронном документообороте"/>
    <s v="В14352-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00059"/>
    <s v="Зарегистрирован"/>
    <m/>
    <m/>
    <x v="131"/>
    <s v="8905000428"/>
    <s v=""/>
    <s v="ННГ-23/33200/01175/ГЕО/ВГС"/>
    <s v="ННГ-23/33200/01175/ГЕО/ВГС"/>
    <s v="Типовой ДД"/>
    <x v="1"/>
    <s v="33200 Соглашение об электронном документообороте"/>
    <s v="В14355-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64025"/>
    <s v="Зарегистрирован"/>
    <m/>
    <m/>
    <x v="134"/>
    <s v="7728720448"/>
    <s v=""/>
    <s v="ГНЗ-23/33200/01240/ГЕО/ВГС"/>
    <s v="ГНЗ-23/33200/01240/ГЕО/ВГС"/>
    <s v="Типовой ДД"/>
    <x v="1"/>
    <s v="33200 Соглашение об электронном документообороте"/>
    <s v="В14356-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73273"/>
    <s v="Зарегистрирован"/>
    <m/>
    <m/>
    <x v="21"/>
    <s v="5610218014"/>
    <s v=""/>
    <s v="ОРН-24/33200/00227/ГЕО/ВГС"/>
    <s v="ОРН-24/33200/00227/ГЕО/ВГС"/>
    <s v="Типовой ДД"/>
    <x v="1"/>
    <s v="33200 Соглашение об электронном документообороте"/>
    <s v="В14357-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08602"/>
    <s v="Зарегистрирован"/>
    <m/>
    <m/>
    <x v="32"/>
    <s v="5504036333"/>
    <s v="ГПН-18/09000/02142/Р "/>
    <s v=""/>
    <s v="23"/>
    <s v="Нетиповой ДД"/>
    <x v="0"/>
    <s v=""/>
    <s v="В14394-23"/>
    <s v=""/>
    <s v="Дополнительное соглашение № 23 к Договору № ГПН-18/09000/02142/Р от 07 сентября 2018 г. о выполнении операторских работ и оказании операторских услуг"/>
    <s v="Актуализация программы работ на 2023 год по проекту Южный Ямал "/>
    <s v="Андреева И.В."/>
    <s v="Андреева И.В."/>
    <s v="Внутригрупповой договорный документ"/>
    <s v="Кластер &quot;Традиционные запасы&quot;"/>
    <s v="Николаев М.Н."/>
    <s v="ЭП"/>
    <s v="С ограничением по срокам "/>
    <m/>
    <m/>
    <s v="Д-57"/>
    <s v="Договор возмездного оказания услуг"/>
    <s v="Доходная часть"/>
    <s v="Рамочный"/>
    <s v="20%"/>
    <s v=""/>
    <s v=""/>
    <s v="264 796 619.18"/>
    <s v="220 663 849.32"/>
    <s v="44 132 769.86"/>
    <s v="нет"/>
    <s v="нет"/>
    <s v=""/>
    <s v=""/>
    <s v=""/>
    <s v=""/>
    <s v=""/>
  </r>
  <r>
    <s v="Газпромнефть-ГЕО, ООО"/>
    <s v="0000027645"/>
    <s v="Зарегистрирован"/>
    <m/>
    <m/>
    <x v="80"/>
    <s v="5501072608"/>
    <s v="ГЕО-22/20000/00088/Д"/>
    <s v=""/>
    <s v="3"/>
    <s v="Нетиповой ДД"/>
    <x v="0"/>
    <s v=""/>
    <s v="В14549-23"/>
    <s v=""/>
    <s v="ДС № 3 к ГСН-22/20000/00604/Р / ГЕО-22/20000/00088/Д "/>
    <s v="Продление срока действия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Не предполагает взаиморасчетов"/>
    <s v=""/>
    <s v=""/>
    <s v=""/>
    <s v=""/>
    <s v=""/>
    <s v=""/>
    <s v=""/>
    <s v="нет"/>
    <s v="нет"/>
    <s v=""/>
    <s v=""/>
    <s v=""/>
    <s v=""/>
    <s v=""/>
  </r>
  <r>
    <s v="Газпромнефть-ГЕО, ООО"/>
    <s v="0000027645"/>
    <s v="Зарегистрирован"/>
    <m/>
    <m/>
    <x v="80"/>
    <s v="5501072608"/>
    <s v="ГСН-22/20000/00002/Р/НС-11.1/ГЕО-Д/3/ВГС"/>
    <s v=""/>
    <s v="2"/>
    <s v="Нетиповой ДД"/>
    <x v="0"/>
    <s v=""/>
    <s v="В14550-23"/>
    <s v=""/>
    <s v="ДС № 2 к ГСН-22/20000/00002/Р/НС-11.1/ГЕО-Д/3/ВГС"/>
    <s v="Продление срока действия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Не предполагает взаиморасчетов"/>
    <s v="Агентский"/>
    <s v=""/>
    <s v=""/>
    <s v=""/>
    <s v=""/>
    <s v=""/>
    <s v=""/>
    <s v="нет"/>
    <s v="нет"/>
    <s v=""/>
    <s v=""/>
    <s v=""/>
    <s v=""/>
    <s v=""/>
  </r>
  <r>
    <s v="Газпромнефть-ГЕО, ООО"/>
    <s v="0000039463"/>
    <s v="Зарегистрирован"/>
    <m/>
    <m/>
    <x v="39"/>
    <s v="8905034804"/>
    <s v=""/>
    <s v="АНГ-24/33200/00118/ГЕО/ВГС"/>
    <s v="АНГ-24/33200/00118/ГЕО/ВГС"/>
    <s v="Типовой ДД"/>
    <x v="1"/>
    <s v="33200 Соглашение об электронном документообороте"/>
    <s v="В14924-23"/>
    <s v=""/>
    <s v="33200 Соглашение об электронном документообороте"/>
    <s v="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74750"/>
    <s v="Зарегистрирован"/>
    <m/>
    <m/>
    <x v="66"/>
    <s v="8905062456"/>
    <s v="ГГФ-23/20000/00001/Р/08-02/ГЕО-Д/3/ВГС"/>
    <s v=""/>
    <s v="2"/>
    <s v="Нетиповой ДД"/>
    <x v="0"/>
    <s v=""/>
    <s v="В14950-23"/>
    <s v=""/>
    <s v="ДС 2 к ГГФ-23/20000/00001/Р/08-02/ГЕО-Д/3/ВГС ООО &quot;ГПН-ГЕО&quot; - ООО &quot;Газпромнефть-ННГГФ&quot;"/>
    <s v="Увеличение стоимости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Доходная часть"/>
    <s v="Агентский"/>
    <s v="20%"/>
    <s v=""/>
    <s v=""/>
    <s v="3 257 219.37"/>
    <s v="2 714 349.47"/>
    <s v="542 869.90"/>
    <s v="нет"/>
    <s v="нет"/>
    <s v=""/>
    <s v=""/>
    <s v=""/>
    <s v=""/>
    <s v=""/>
  </r>
  <r>
    <s v="Газпромнефть-ГЕО, ООО"/>
    <s v="0000047806"/>
    <s v="Зарегистрирован"/>
    <m/>
    <m/>
    <x v="30"/>
    <s v="8905044954"/>
    <s v=""/>
    <s v="ГБС-23/33200/01337/ГЕО/ВГС"/>
    <s v="ГБС-23/33200/01337/ГЕО/ВГС"/>
    <s v="Типовой ДД"/>
    <x v="1"/>
    <s v="33200 Соглашение об электронном документообороте"/>
    <s v="В15008-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39295"/>
    <s v="Зарегистрирован"/>
    <m/>
    <m/>
    <x v="90"/>
    <s v="8618006063"/>
    <s v=""/>
    <s v="ХНТ-23/33200/01251/ГЕО/ВГС"/>
    <s v="ХНТ-23/33200/01251/ГЕО/ВГС"/>
    <s v="Типовой ДД"/>
    <x v="1"/>
    <s v="33200 Соглашение об электронном документообороте"/>
    <s v="В15096-23"/>
    <s v=""/>
    <s v="33200 Соглашение об электронном документообороте"/>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s v="Малова Д.П."/>
    <s v="Малова Д.П."/>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08602"/>
    <s v="Зарегистрирован"/>
    <m/>
    <m/>
    <x v="32"/>
    <s v="5504036333"/>
    <s v=""/>
    <s v="ГПН-23/33200/01327/ГЕО/ВГС"/>
    <s v="ГПН-23/33200/01327/ГЕО/ВГС"/>
    <s v="Типовой ДД"/>
    <x v="1"/>
    <s v="33200 Соглашение об электронном документообороте"/>
    <s v="В15100-23"/>
    <s v=""/>
    <s v="Соглашение об электронном документообороте между ГПН и ГПН-ГЕО"/>
    <s v="Настоящим Соглашением Стороны устанавливают условия и порядок организации юридически значимого документооборота во исполнение совершенных между ними сделок с использованием Электронной подписи между ГПН и ГПН-ГЕО"/>
    <s v="Малова Д.П."/>
    <s v="Малова Д.П."/>
    <s v="Внутригрупповой договорный документ"/>
    <s v="Финансовое управление"/>
    <s v="Ковтун М.А."/>
    <s v="ЭП"/>
    <s v="Без сроков "/>
    <m/>
    <m/>
    <s v="Д-62"/>
    <s v="Соглашение об использовании электронного документооборота"/>
    <s v="Не предполагает взаиморасчетов"/>
    <s v=""/>
    <s v=""/>
    <s v=""/>
    <s v=""/>
    <s v=""/>
    <s v=""/>
    <s v=""/>
    <s v="нет"/>
    <s v="нет"/>
    <s v=""/>
    <s v=""/>
    <s v=""/>
    <s v=""/>
    <s v=""/>
  </r>
  <r>
    <s v="Газпромнефть-ГЕО, ООО"/>
    <s v="0000000059"/>
    <s v="Зарегистрирован"/>
    <m/>
    <m/>
    <x v="131"/>
    <s v="8905000428"/>
    <s v="ГЕО-19/00000/00317/Д"/>
    <s v=""/>
    <s v="6"/>
    <s v="Нетиповой ДД"/>
    <x v="0"/>
    <s v=""/>
    <s v="В15410-23"/>
    <s v=""/>
    <s v="ДС №6 к Договору №ГЕО-19/00000/00317/Д / ННГ-19/10124/01839/Р от 24.12.2019"/>
    <s v="Дополнительное соглашение №6 к операторскому договору №ГЕО-19/00000/00317/Д / ННГ-19/10124/01839/Р от 24.12.2019"/>
    <s v="Андреева И.В."/>
    <s v="Андреева И.В."/>
    <s v="Внутригрупповой договорный документ"/>
    <s v="Кластер &quot;Традиционные запасы&quot;"/>
    <s v="Николаев М.Н."/>
    <s v="На бумажном носителе"/>
    <s v="С ограничением по срокам "/>
    <m/>
    <m/>
    <s v="Д-57"/>
    <s v="Договор возмездного оказания услуг"/>
    <s v="Доходная часть"/>
    <s v="Рамочный"/>
    <s v="20%"/>
    <s v=""/>
    <s v=""/>
    <s v="664 916 253.95"/>
    <s v="554 096 878.29"/>
    <s v="110 819 375.66"/>
    <s v="нет"/>
    <s v="нет"/>
    <s v=""/>
    <s v=""/>
    <s v=""/>
    <s v=""/>
    <s v=""/>
  </r>
  <r>
    <s v="Газпромнефть-ГЕО, ООО"/>
    <s v="0000008602"/>
    <s v="Зарегистрирован"/>
    <m/>
    <m/>
    <x v="32"/>
    <s v="5504036333"/>
    <s v="ГПН-18/09000/02142/Р"/>
    <s v=""/>
    <s v="№24"/>
    <s v="Нетиповой ДД"/>
    <x v="0"/>
    <s v=""/>
    <s v="В15429-23"/>
    <s v=""/>
    <s v="Дополнительное соглашение №24 к Договору № ГПН-18/09000/02142/Р от 07 сентября 2018 г. о выполнении операторских работ и оказании операторских услуг"/>
    <s v="Актуализация программы работ на 2024 год по проекту Южный Ямал "/>
    <s v="Андреева И.В."/>
    <s v="Андреева И.В."/>
    <s v="Внутригрупповой договорный документ"/>
    <s v="Кластер &quot;Традиционные запасы&quot;"/>
    <s v="Николаев М.Н."/>
    <s v="ЭП"/>
    <s v="С ограничением по срокам "/>
    <m/>
    <m/>
    <s v="Д-57"/>
    <s v="Договор возмездного оказания услуг"/>
    <s v="Доходная часть"/>
    <s v="Стоимостной"/>
    <s v="20%"/>
    <s v=""/>
    <s v=""/>
    <s v="2 210 098 310.84"/>
    <s v="1 841 748 592.37"/>
    <s v="368 349 718.47"/>
    <s v="нет"/>
    <s v="нет"/>
    <s v=""/>
    <s v=""/>
    <s v=""/>
    <s v=""/>
    <s v=""/>
  </r>
  <r>
    <s v="Газпромнефть-ГЕО, ООО"/>
    <s v="0000008602"/>
    <s v="Зарегистрирован"/>
    <m/>
    <m/>
    <x v="32"/>
    <s v="5504036333"/>
    <s v="ГПН-18/09000/02142/Р"/>
    <s v=""/>
    <s v="25"/>
    <s v="Нетиповой ДД"/>
    <x v="0"/>
    <s v=""/>
    <s v="В15433-23"/>
    <s v=""/>
    <s v="Дополнительное соглашение №25 к Договору № ГПН-18/09000/02142/Р от 07 сентября 2018 г. о выполнении операторских работ и оказании операторских услуг"/>
    <s v="Актуализация программы работ на 2024 год по проекту Таймыр"/>
    <s v="Андреева И.В."/>
    <s v="Андреева И.В."/>
    <s v="Внутригрупповой договорный документ"/>
    <s v="Кластер &quot;Традиционные запасы&quot;"/>
    <s v="Николаев М.Н."/>
    <s v="ЭП"/>
    <s v="С ограничением по срокам "/>
    <m/>
    <m/>
    <s v="Д-57"/>
    <s v="Договор возмездного оказания услуг"/>
    <s v="Доходная часть"/>
    <s v="Стоимостной"/>
    <s v="20%"/>
    <s v=""/>
    <s v=""/>
    <s v="108 630 000.00"/>
    <s v="90 525 000.00"/>
    <s v="18 105 000.00"/>
    <s v="нет"/>
    <s v="нет"/>
    <s v=""/>
    <s v=""/>
    <s v=""/>
    <s v=""/>
    <s v=""/>
  </r>
  <r>
    <s v="Газпромнефть-ГЕО, ООО"/>
    <s v="0000069357"/>
    <s v="Зарегистрирован"/>
    <m/>
    <m/>
    <x v="147"/>
    <s v="8903034220"/>
    <s v="ГЕО-21/20000/00293/Д"/>
    <s v=""/>
    <s v="3"/>
    <s v="Нетиповой ДД"/>
    <x v="0"/>
    <s v=""/>
    <s v="В15448-23"/>
    <s v=""/>
    <s v="Дополнительное соглашение №3 к Агентскому договору № МрНГ-21/10000/00135/Р//ГЕО-21/20000/00293/Д на выполнение обработки и интерпретации СРР на Северо-Самбургском ЛУ и прилегающей территории"/>
    <s v="Заключение Дополнительного соглашения №3 к Агентскому договору № МрНГ-21/10000/00135/Р//ГЕО-21/20000/00293/Д на выполнение обработки и интерпретации СРР на Северо-Самбургском ЛУ и прилегающей территории в связи с изменением производственной потребности, увеличением объемов работ, увеличением стоимости Договора"/>
    <s v="Мурзин Р.Р."/>
    <s v="Мурзин Р.Р."/>
    <s v="Внутригрупповой договорный документ"/>
    <s v="Управление сейсморазведочных работ"/>
    <s v="Аксенов М.А."/>
    <s v="ЭП"/>
    <s v="С ограничением по срокам "/>
    <m/>
    <m/>
    <s v="Д-54"/>
    <s v="Агентский договор"/>
    <s v="Доходная часть"/>
    <s v="Агентский"/>
    <s v="20%"/>
    <s v=""/>
    <s v=""/>
    <s v="104 204 816.64"/>
    <s v="86 837 347.20"/>
    <s v="17 367 469.44"/>
    <s v="нет"/>
    <s v="нет"/>
    <s v=""/>
    <s v=""/>
    <s v=""/>
    <s v=""/>
    <s v=""/>
  </r>
  <r>
    <s v="Газпромнефть-ГЕО, ООО"/>
    <s v="0000027645"/>
    <s v="Зарегистрирован"/>
    <m/>
    <m/>
    <x v="80"/>
    <s v="5501072608"/>
    <s v=""/>
    <s v="ГСН-22/20000/00002/Р/НС-11.1/ГЕО-Д/3/ВГС"/>
    <s v="ГСН-22/20000/00002/Р/НС-11.1/ГЕО-Д/3/ВГС"/>
    <s v="Типовой ДД"/>
    <x v="2"/>
    <s v="20000 Агентский договор на организацию вертолетных авиаперевозок"/>
    <s v="В1547-22"/>
    <s v=""/>
    <s v="Агентский договор на организацию вертолетных авиаперевозок ООО &quot;Газпромнефть-Снабжение&quot; - ООО &quot;ГПН-ГЕО&quot;"/>
    <s v="Авиаперевозка персонала и грузов Принципала"/>
    <s v="Титова Е.В."/>
    <s v="Титова Е.В."/>
    <s v="Внутригрупповой 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m/>
    <m/>
    <s v="Д-56"/>
    <s v="Агентский договор"/>
    <s v="Доходная часть"/>
    <s v="Агентский"/>
    <s v="20%"/>
    <s v=""/>
    <s v=""/>
    <s v="43 444 171.90"/>
    <s v="36 203 476.58"/>
    <s v="7 240 695.32"/>
    <s v="нет"/>
    <s v="нет"/>
    <s v=""/>
    <s v=""/>
    <s v=""/>
    <s v=""/>
    <s v=""/>
  </r>
  <r>
    <s v="Газпромнефть-ГЕО, ООО"/>
    <s v="0000008602"/>
    <s v="Зарегистрирован"/>
    <m/>
    <m/>
    <x v="32"/>
    <s v="5504036333"/>
    <s v="ГПН-18/09000/02142/Р"/>
    <s v=""/>
    <s v="26"/>
    <s v="Нетиповой ДД"/>
    <x v="0"/>
    <s v=""/>
    <s v="В15873-23"/>
    <s v=""/>
    <s v="Дополнительное соглашение № 26 к Договору № ГПН-18/09000/02142/Р от 07 сентября 2018 г. "/>
    <s v="Актуализация программы работ на 2024 год по Хамбатейскому ЛУ_x000a_"/>
    <s v="Андреева И.В."/>
    <s v="Андреева И.В."/>
    <s v="Внутригрупповой договорный документ"/>
    <s v="Кластер &quot;Традиционные запасы&quot;"/>
    <s v="Николаев М.Н."/>
    <s v="ЭП"/>
    <s v="С ограничением по срокам "/>
    <m/>
    <m/>
    <s v="Д-57"/>
    <s v="Договор возмездного оказания услуг"/>
    <s v="Доходная часть"/>
    <s v="Стоимостной"/>
    <s v="20%"/>
    <s v=""/>
    <s v=""/>
    <s v="194 146 344.38"/>
    <s v="161 788 620.32"/>
    <s v="32 357 724.06"/>
    <s v="нет"/>
    <s v="нет"/>
    <s v=""/>
    <s v=""/>
    <s v=""/>
    <s v=""/>
    <s v=""/>
  </r>
  <r>
    <s v="Газпромнефть-ГЕО, ООО"/>
    <s v="0000008602"/>
    <s v="Зарегистрирован"/>
    <m/>
    <m/>
    <x v="32"/>
    <s v="5504036333"/>
    <s v="ГПН-18/09000/02142/Р"/>
    <s v=""/>
    <s v="27"/>
    <s v="Нетиповой ДД"/>
    <x v="0"/>
    <s v=""/>
    <s v="В16131-23"/>
    <s v=""/>
    <s v="Дополнительное соглашение № 27 к Договору № ГПН-18/09000/02142/Р от 07 сентября 2018 г. "/>
    <s v="Актуализация программы работ на 2024 год по Северо-Ямбургскому ЛУ"/>
    <s v="Блинова Д.М."/>
    <s v="Блинова Д.М."/>
    <s v="Внутригрупповой договорный документ"/>
    <s v="Управление экономического планирования и анализа"/>
    <s v="Волков Г.В."/>
    <s v="ЭП"/>
    <s v="С ограничением по срокам "/>
    <m/>
    <m/>
    <s v="Д-16"/>
    <s v="Договор возмездного оказания услуг"/>
    <s v="Доходная часть"/>
    <s v="Стоимостной"/>
    <s v="20%"/>
    <s v=""/>
    <s v=""/>
    <s v="1 191 732 159.50"/>
    <s v="993 110 132.92"/>
    <s v="198 622 026.58"/>
    <s v="нет"/>
    <s v="нет"/>
    <s v=""/>
    <s v=""/>
    <s v=""/>
    <s v=""/>
    <s v=""/>
  </r>
  <r>
    <s v="Газпромнефть-ГЕО, ООО"/>
    <s v="0000008602"/>
    <s v="Зарегистрирован"/>
    <m/>
    <m/>
    <x v="32"/>
    <s v="5504036333"/>
    <s v="ГПН-18/09000/02142/Р"/>
    <s v=""/>
    <s v="28"/>
    <s v="Нетиповой ДД"/>
    <x v="0"/>
    <s v=""/>
    <s v="В16202-23"/>
    <s v=""/>
    <s v="Дополнительное соглашение № 28 к Договору № ГПН-18/09000/02142/Р от 07 сентября 2018 г. "/>
    <s v="Актуализация программы работ на 2024 год по Южному Оренбургу"/>
    <s v="Блинова Д.М."/>
    <s v="Блинова Д.М."/>
    <s v="Внутригрупповой договорный документ"/>
    <s v="Управление экономического планирования и анализа"/>
    <s v="Шакирзянов Л.Н."/>
    <s v="На бумажном носителе"/>
    <s v="С ограничением по срокам "/>
    <m/>
    <m/>
    <s v="Д-20"/>
    <s v="Договор возмездного оказания услуг"/>
    <s v="Доходная часть"/>
    <s v="Стоимостной"/>
    <s v="20%"/>
    <s v=""/>
    <s v=""/>
    <s v="3 976 128 180.33"/>
    <s v="3 313 440 150.28"/>
    <s v="662 688 030.05"/>
    <s v="нет"/>
    <s v="нет"/>
    <s v=""/>
    <s v=""/>
    <s v=""/>
    <s v=""/>
    <s v=""/>
  </r>
  <r>
    <s v="Газпромнефть-ГЕО, ООО"/>
    <s v="0000027605"/>
    <s v="Зарегистрирован"/>
    <m/>
    <m/>
    <x v="67"/>
    <s v="8605003932"/>
    <s v=""/>
    <s v="МНГ-23/10000/01681/Р/ГЕО-Д/ВГС"/>
    <s v="МНГ-23/10000/01681/Р/ГЕО-Д/ВГС"/>
    <s v="Нетиповой ДД"/>
    <x v="2"/>
    <s v=""/>
    <s v="В16886-23"/>
    <s v=""/>
    <s v="Договор на услуги по сопровождению и организации сейсморазведочных работ, супервайзинга, обработки сейсмических данных с применением технологии «Зеленая сейсмика ©» на лицензионных участках работ ПАО «СН-МНГ»"/>
    <s v="Оказание услуг по сопровождению и организации сейсморазведочных работ, супервайзинга, обработки сейсмических данных с применением технологии «Зеленая сейсмика ©» на лицензионных участках работ ПАО «СН-МНГ»_x000a_"/>
    <s v="Ушакова М.А."/>
    <s v=""/>
    <s v="Внутригрупповой договорный документ"/>
    <s v="Блок геологии и разработки"/>
    <s v="Аксенов М.А."/>
    <s v="ЭП"/>
    <s v="С ограничением по срокам "/>
    <m/>
    <m/>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76 387 544.63"/>
    <s v="63 656 287.19"/>
    <s v="12 731 257.44"/>
    <s v="нет"/>
    <s v="нет"/>
    <s v=""/>
    <s v=""/>
    <s v=""/>
    <s v=""/>
    <s v=""/>
  </r>
  <r>
    <s v="Газпромнефть-ГЕО, ООО"/>
    <s v="0000064025"/>
    <s v="Зарегистрирован"/>
    <m/>
    <m/>
    <x v="134"/>
    <s v="7728720448"/>
    <s v="ГНЗ-22/20000/00007/Р/02/1/ГЕО-Д/9-1/ВГС"/>
    <s v=""/>
    <s v="3"/>
    <s v="Нетиповой ДД"/>
    <x v="0"/>
    <s v=""/>
    <s v="В17318-23"/>
    <s v=""/>
    <s v="Дополнительное соглашение №3 к агентскому договору № ГНЗ-22/20000/00007/Р/02/1/ГЕО-Д/9-1/ВГС от 30 декабря 2022 года"/>
    <s v="В связи внесением изменений в наименование и стоимости единичных расценок "/>
    <s v="Горлач А.А."/>
    <s v="Горлач А.А."/>
    <s v="Внутригрупповой договорный документ"/>
    <s v="Управление производственной безопасности"/>
    <s v="Ядрышников П.Н."/>
    <s v="ЭП"/>
    <s v="С ограничением по срокам "/>
    <m/>
    <m/>
    <s v="Д-51"/>
    <s v="Агентский договор"/>
    <s v="Доходная часть"/>
    <s v="Агентский"/>
    <s v="20%"/>
    <s v=""/>
    <s v=""/>
    <s v="71 093 657.66"/>
    <s v="59 244 714.72"/>
    <s v="11 848 942.94"/>
    <s v="нет"/>
    <s v="нет"/>
    <s v=""/>
    <s v=""/>
    <s v=""/>
    <s v=""/>
    <s v=""/>
  </r>
  <r>
    <s v="Газпромнефть-ГЕО, ООО"/>
    <s v="0000039463"/>
    <s v="Зарегистрирован"/>
    <m/>
    <m/>
    <x v="39"/>
    <s v="8905034804"/>
    <s v="ГЕО-22/01200/00330/Д"/>
    <s v=""/>
    <s v="3"/>
    <s v="Нетиповой ДД"/>
    <x v="5"/>
    <s v=""/>
    <s v="В17384-23"/>
    <s v=""/>
    <s v="Спецификация № 3 к договору №ГЕО-22/01200/00330/Д"/>
    <s v="Реализация ОС из ГПН-ГЕО в ГПН-Ангара в связи с тем, что ОС вовлечены на проекте &quot;ЧОНА&quot;"/>
    <s v="Разгоняев И.А."/>
    <s v="Разгоняев И.А."/>
    <s v="Внутригрупповой договорный документ"/>
    <s v="Управление материально-технического обеспечения, транспортного обеспечения и сопутствующих сервисов"/>
    <s v="Титов А.В."/>
    <s v="ЭП"/>
    <s v="С ограничением по срокам "/>
    <m/>
    <m/>
    <s v="Д-56"/>
    <s v="Договор поставки/купли продажи движимого имущества"/>
    <s v="Доходная часть"/>
    <s v="Стоимостной"/>
    <s v="20%"/>
    <s v=""/>
    <s v=""/>
    <s v="4 327 079.90"/>
    <s v="3 605 899.92"/>
    <s v="721 179.98"/>
    <s v="нет"/>
    <s v="нет"/>
    <s v=""/>
    <s v=""/>
    <s v=""/>
    <s v=""/>
    <s v=""/>
  </r>
  <r>
    <s v="Газпромнефть-ГЕО, ООО"/>
    <s v="0000045789"/>
    <s v="Зарегистрирован"/>
    <m/>
    <m/>
    <x v="16"/>
    <s v="7838395487"/>
    <s v="ГЕО-21/00000/0023/Д"/>
    <s v=""/>
    <s v="2"/>
    <s v="Нетиповой ДД"/>
    <x v="0"/>
    <s v=""/>
    <s v="В17386-23"/>
    <s v=""/>
    <s v="ДС №2 к Договору № НТЦ-21/08000/00390/Р//ГЕО-21/00000/00123/Д от «17» мая 2021 г."/>
    <s v="ДС №2 по изменению срока договора и единичных ставок "/>
    <s v="Блинова Д.М."/>
    <s v="Блинова Д.М."/>
    <s v="Внутригрупповой договорный документ"/>
    <s v="Управление экономического планирования и анализа"/>
    <s v="Шакирзянов Л.Н."/>
    <s v="ЭП"/>
    <s v="С ограничением по срокам "/>
    <m/>
    <m/>
    <s v="Д-20"/>
    <s v="Договор на выполнение НИР, ОКР и технологических работ"/>
    <s v="Не предполагает взаиморасчетов"/>
    <s v=""/>
    <s v=""/>
    <s v=""/>
    <s v=""/>
    <s v=""/>
    <s v=""/>
    <s v=""/>
    <s v="нет"/>
    <s v="нет"/>
    <s v=""/>
    <s v=""/>
    <s v=""/>
    <s v=""/>
    <s v=""/>
  </r>
  <r>
    <s v="Газпромнефть-ГЕО, ООО"/>
    <s v="0000027605"/>
    <s v="Зарегистрирован"/>
    <m/>
    <m/>
    <x v="67"/>
    <s v="8605003932"/>
    <s v=""/>
    <s v="МНГ-22/26000/00001/54/ГЕО/3/ВГС"/>
    <s v="МНГ-22/26000/00001/54/ГЕО/3/ВГС"/>
    <s v="Типовой ДД"/>
    <x v="1"/>
    <s v="26000 Соглашение о конфиденциальности с дочерним обществом ГК ГПН"/>
    <s v="В1786-22"/>
    <s v=""/>
    <s v="26000 Соглашение о конфиденциальности с дочерним обществом ГК ГПН"/>
    <s v="Заключение соглашения о конфиденциальности"/>
    <s v="Ахматгалиев С.З."/>
    <s v=""/>
    <s v="Внутригрупповой договорный документ"/>
    <s v="Блок корпоративной защиты"/>
    <s v="Созинов С.А."/>
    <s v="ЭП"/>
    <s v="До исполнения обязательств"/>
    <m/>
    <m/>
    <s v="Д-60"/>
    <s v="Соглашение о конфиденциальности"/>
    <s v="Не предполагает взаиморасчетов"/>
    <s v=""/>
    <s v=""/>
    <s v=""/>
    <s v=""/>
    <s v=""/>
    <s v=""/>
    <s v=""/>
    <s v="нет"/>
    <s v="нет"/>
    <s v=""/>
    <s v=""/>
    <s v=""/>
    <s v="ООО ГПН-ГЕО "/>
    <s v=""/>
  </r>
  <r>
    <s v="Газпромнефть-ГЕО, ООО"/>
    <s v="0000074750"/>
    <s v="Зарегистрирован"/>
    <m/>
    <m/>
    <x v="66"/>
    <s v="8905062456"/>
    <s v="ГГФ-23/20000/00001/Р/08-02/ГЕО-Д/3/ВГС"/>
    <s v=""/>
    <s v="3"/>
    <s v="Нетиповой ДД"/>
    <x v="0"/>
    <s v=""/>
    <s v="В17926-23"/>
    <s v=""/>
    <s v="ДС 3 к ГГФ-23/20000/00001/Р/08-02/ГЕО-Д/3/ВГС ООО &quot;ГПН-ГЕО&quot; - ООО &quot;Газпромнефть-ННГГФ&quot;"/>
    <s v="Продление срока действия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Не предполагает взаиморасчетов"/>
    <s v="Агентский"/>
    <s v=""/>
    <s v=""/>
    <s v=""/>
    <s v=""/>
    <s v=""/>
    <s v=""/>
    <s v="нет"/>
    <s v="нет"/>
    <s v=""/>
    <s v=""/>
    <s v=""/>
    <s v=""/>
    <s v=""/>
  </r>
  <r>
    <s v="Газпромнефть-ГЕО, ООО"/>
    <s v="0000008602"/>
    <s v="Зарегистрирован"/>
    <m/>
    <m/>
    <x v="32"/>
    <s v="5504036333"/>
    <s v="ГПН-23/09000/01265/Р/ГЕО-Д/ВГС"/>
    <s v=""/>
    <s v="2"/>
    <s v="Нетиповой ДД"/>
    <x v="3"/>
    <s v=""/>
    <s v="В18118-23"/>
    <s v=""/>
    <s v="Заказ на выполнение научно-исследовательских работ к договору ГПН-23/09000/01265/Р/ГЕО-Д/ВГС​ от 15.12.2023"/>
    <s v="Заказ на выполнение научно-исследовательских работ "/>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511 447 097.87"/>
    <s v="426 205 914.89"/>
    <s v="85 241 182.98"/>
    <s v="нет"/>
    <s v="нет"/>
    <s v=""/>
    <s v=""/>
    <s v=""/>
    <s v="ООО ГПН-ГЕО "/>
    <s v=""/>
  </r>
  <r>
    <s v="Газпромнефть-ГЕО, ООО"/>
    <s v="0000039295"/>
    <s v="Зарегистрирован"/>
    <m/>
    <m/>
    <x v="90"/>
    <s v="8618006063"/>
    <s v="ГЕО-20/00000/00183/Д "/>
    <s v=""/>
    <s v="3"/>
    <s v="Нетиповой ДД"/>
    <x v="0"/>
    <s v=""/>
    <s v="В1872-23"/>
    <s v=""/>
    <s v="Дополнительное соглашение №3"/>
    <s v="Внесение изменений в Техническое задание. "/>
    <s v="Андреева И.В."/>
    <s v="Тарасов С.Л."/>
    <s v="Внутригрупповой договорный документ"/>
    <s v="Кластер &quot;Традиционные запасы&quot;"/>
    <s v="Николаев М.Н."/>
    <s v="ЭП"/>
    <s v="До исполнения обязательств"/>
    <m/>
    <m/>
    <s v="Д-57"/>
    <s v="Договор возмездного оказания услуг"/>
    <s v="Не предполагает взаиморасчетов"/>
    <s v=""/>
    <s v=""/>
    <s v=""/>
    <s v=""/>
    <s v=""/>
    <s v=""/>
    <s v=""/>
    <s v="нет"/>
    <s v="нет"/>
    <s v=""/>
    <s v=""/>
    <s v=""/>
    <s v=""/>
    <s v=""/>
  </r>
  <r>
    <s v="Газпромнефть-ГЕО, ООО"/>
    <s v="0000027645"/>
    <s v="Зарегистрирован"/>
    <m/>
    <m/>
    <x v="80"/>
    <s v="5501072608"/>
    <s v="ГСН-22/20000/00002/Р/НС-11.1/ГЕО-Д/3/ВГС"/>
    <s v=""/>
    <s v="1"/>
    <s v="Нетиповой ДД"/>
    <x v="0"/>
    <s v=""/>
    <s v="В1915-23"/>
    <s v=""/>
    <s v="ДС № 1 к ГСН-22/20000/00002/Р/НС-11.1/ГЕО-Д/3/ВГС"/>
    <s v="Продление срока действия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Не предполагает взаиморасчетов"/>
    <s v="Агентский"/>
    <s v=""/>
    <s v=""/>
    <s v=""/>
    <s v=""/>
    <s v=""/>
    <s v=""/>
    <s v="нет"/>
    <s v="нет"/>
    <s v=""/>
    <s v=""/>
    <s v=""/>
    <s v=""/>
    <s v=""/>
  </r>
  <r>
    <s v="Газпромнефть-ГЕО, ООО"/>
    <s v="0000045789"/>
    <s v="Зарегистрирован"/>
    <m/>
    <m/>
    <x v="16"/>
    <s v="7838395487"/>
    <s v="ГЕО-21/00000/0023/Д"/>
    <s v=""/>
    <s v="1"/>
    <s v="Нетиповой ДД"/>
    <x v="0"/>
    <s v=""/>
    <s v="В1964-23"/>
    <s v=""/>
    <s v="Дополнительное согашение №1"/>
    <s v="Дополнительное согашение №1"/>
    <s v="Гулин В.Д."/>
    <s v="Гулин В.Д."/>
    <s v="Внутригрупповой договорный документ"/>
    <s v="Блок геологии и разработки"/>
    <s v="Агеев П.А."/>
    <s v="ЭП"/>
    <s v="С ограничением по срокам "/>
    <m/>
    <m/>
    <s v="Д-52"/>
    <s v="Договор на выполнение НИР, ОКР и технологических работ"/>
    <s v="Доходная часть"/>
    <s v="Рамочный"/>
    <s v="20%"/>
    <s v=""/>
    <s v=""/>
    <s v="432 501 320.40"/>
    <s v="360 417 767.00"/>
    <s v="72 083 553.40"/>
    <s v="нет"/>
    <s v="нет"/>
    <s v=""/>
    <s v=""/>
    <s v=""/>
    <s v=""/>
    <s v=""/>
  </r>
  <r>
    <s v="Газпромнефть-ГЕО, ООО"/>
    <s v="0000045789"/>
    <s v="Зарегистрирован"/>
    <m/>
    <m/>
    <x v="16"/>
    <s v="7838395487"/>
    <s v="ГЕО-21/00000/00123/Д"/>
    <s v=""/>
    <s v="НТЦ-В2266-23Р-ГПН"/>
    <s v="Нетиповой ДД"/>
    <x v="3"/>
    <s v=""/>
    <s v="В2266-23"/>
    <s v=""/>
    <s v="Проведение научно-исследовательских работ по теме "/>
    <s v="Проведение научно-исследовательских работ по теме _x000d__x000a_«Высокоразрешающая электроразведка»_x000d__x000a_"/>
    <s v="Гулин В.Д."/>
    <s v="Гулин В.Д."/>
    <s v="Внутригрупповой договорный документ"/>
    <s v="Блок геологии и разработки"/>
    <s v="Аксенов М.А."/>
    <s v="На бумажном носителе"/>
    <s v="С ограничением по срокам "/>
    <m/>
    <m/>
    <s v="Д-54"/>
    <s v="ПРОЧИЕ ДОГОВОРЫ"/>
    <s v="Доходная часть"/>
    <s v="Рамочный"/>
    <s v="20%"/>
    <s v=""/>
    <s v=""/>
    <s v="1 236 236.70"/>
    <s v="1 030 197.25"/>
    <s v="206 039.45"/>
    <s v="нет"/>
    <s v="нет"/>
    <s v=""/>
    <s v=""/>
    <s v=""/>
    <s v=""/>
    <s v=""/>
  </r>
  <r>
    <s v="Газпромнефть-ГЕО, ООО"/>
    <s v="0000045789"/>
    <s v="Зарегистрирован"/>
    <m/>
    <m/>
    <x v="16"/>
    <s v="7838395487"/>
    <s v="ГЕО-21/00000/00123/Д "/>
    <s v=""/>
    <s v="НТЦ-В2333-22Р-ГПН"/>
    <s v="Нетиповой ДД"/>
    <x v="3"/>
    <s v=""/>
    <s v="В2333-22"/>
    <s v=""/>
    <s v="Заключение Заказа по теме: «Научно-техническое сопровождение этапа «Определение» по проекту «Разработка когнитивных инструментов геологического анализа» I18PRD0791, включая формирование датасетов, базы знаний и базы аналогов, апробацию прототипов, анализ р"/>
    <s v="Наполнение геологической базы знаний MVP"/>
    <s v="Ябиров Р.З."/>
    <s v="Ябиров Р.З."/>
    <s v="Внутригрупповой договорный документ"/>
    <s v="Блок геологии и разработки"/>
    <s v="Агеев П.А."/>
    <s v="ЭП"/>
    <s v="С ограничением по срокам "/>
    <m/>
    <m/>
    <s v="Д-52"/>
    <s v="Договор на выполнение НИР, ОКР и технологических работ"/>
    <s v="Доходная часть"/>
    <s v="Рамочный"/>
    <s v="20%"/>
    <s v=""/>
    <s v=""/>
    <s v="2 712 822.00"/>
    <s v="2 260 685.00"/>
    <s v="452 137.00"/>
    <s v="нет"/>
    <s v="нет"/>
    <s v=""/>
    <s v=""/>
    <s v=""/>
    <s v=""/>
    <s v=""/>
  </r>
  <r>
    <s v="Газпромнефть-ГЕО, ООО"/>
    <s v="0000064025"/>
    <s v="Зарегистрирован"/>
    <m/>
    <m/>
    <x v="134"/>
    <s v="7728720448"/>
    <s v="ГЕО-22/09000/00137/Д"/>
    <s v=""/>
    <s v="1"/>
    <s v="Нетиповой ДД"/>
    <x v="0"/>
    <s v=""/>
    <s v="В2479-23"/>
    <s v=""/>
    <s v="ДОПОЛНИТЕЛЬНОЕ СОГЛАШЕНИЕ №1 к Договору ГЕО-22/09000/00137/Д//ГНЗ-22/08000/00620/Р"/>
    <s v="Продление сроков выполнения работ и срока действия Договора без изменения единичных расценок , общей стоимости и объема по Договору"/>
    <s v="Блинова Д.М."/>
    <s v="Блинова Д.М."/>
    <s v="Внутригрупповой договорный документ"/>
    <s v="Управление экономического планирования и анализа"/>
    <s v="Волков Г.В."/>
    <s v="ЭП"/>
    <s v="С ограничением по срокам "/>
    <m/>
    <m/>
    <s v="Д-16"/>
    <s v="Договор возмездного оказания услуг"/>
    <s v="Не предполагает взаиморасчетов"/>
    <s v="Стоимостной"/>
    <s v=""/>
    <s v=""/>
    <s v=""/>
    <s v=""/>
    <s v=""/>
    <s v=""/>
    <s v="нет"/>
    <s v="нет"/>
    <s v=""/>
    <s v=""/>
    <s v=""/>
    <s v=""/>
    <s v=""/>
  </r>
  <r>
    <s v="Газпромнефть-ГЕО, ООО"/>
    <s v="0000008602"/>
    <s v="Зарегистрирован"/>
    <m/>
    <m/>
    <x v="32"/>
    <s v="5504036333"/>
    <s v="ГЕО-21/09000/00043/Д "/>
    <s v=""/>
    <s v="3"/>
    <s v="Нетиповой ДД"/>
    <x v="0"/>
    <s v=""/>
    <s v="В2736-22"/>
    <s v=""/>
    <s v="Доплнительное соглашение №3"/>
    <s v="Доплнительное соглашение №3"/>
    <s v="Андреева И.В."/>
    <s v="Ибрагимов А.М."/>
    <s v="Внутригрупповой договорный документ"/>
    <s v="Управление экономического планирования и анализа"/>
    <s v="Ковтун М.А."/>
    <s v="На бумажном носителе"/>
    <s v="С ограничением по срокам "/>
    <m/>
    <m/>
    <s v="Д-62"/>
    <s v="Договор возмездного оказания услуг"/>
    <s v="Доходная часть"/>
    <s v="Стоимостной"/>
    <s v="20%"/>
    <s v=""/>
    <s v=""/>
    <s v="202 913 834.87"/>
    <s v="169 094 862.39"/>
    <s v="33 818 972.48"/>
    <s v="нет"/>
    <s v="нет"/>
    <s v=""/>
    <s v=""/>
    <s v=""/>
    <s v="ООО ГПН-ГЕО "/>
    <s v=""/>
  </r>
  <r>
    <s v="Газпромнефть-ГЕО, ООО"/>
    <s v="0000000059"/>
    <s v="Зарегистрирован"/>
    <m/>
    <m/>
    <x v="131"/>
    <s v="8905000428"/>
    <s v="ГЕО-20/00000/00086/Д (ННГ-20/11708/00380/Р)"/>
    <s v=""/>
    <s v="4"/>
    <s v="Нетиповой ДД"/>
    <x v="0"/>
    <s v=""/>
    <s v="В2791-22"/>
    <s v=""/>
    <s v="Дополнительное соглашение №4 к договору ГЕО-20/00000/00086/Д (ННГ-20/11708/00380/Р) от 10.03.2020 г."/>
    <s v="Корректировка производственной программы работ по проекту «Ачимовка-ННГ» на период 2020-2022 гг., уменьшением стоимости Договора, без изменения срока оказания Услуг"/>
    <s v="Андреева И.В."/>
    <s v="Шушаков А.А."/>
    <s v="Внутригрупповой договорный документ"/>
    <s v="Управление экономического планирования и анализа"/>
    <s v="Волков Г.В."/>
    <s v="На бумажном носителе"/>
    <s v="С ограничением по срокам "/>
    <m/>
    <m/>
    <s v="Д-16"/>
    <s v="Договор возмездного оказания услуг"/>
    <s v="Доходная часть"/>
    <s v="Стоимостной"/>
    <s v="20%"/>
    <s v=""/>
    <s v=""/>
    <s v="94 380 352.40"/>
    <s v="78 650 293.67"/>
    <s v="15 730 058.73"/>
    <s v="нет"/>
    <s v="нет"/>
    <s v=""/>
    <s v=""/>
    <s v=""/>
    <s v=""/>
    <s v=""/>
  </r>
  <r>
    <s v="Газпромнефть-ГЕО, ООО"/>
    <s v="0000064025"/>
    <s v="Зарегистрирован"/>
    <m/>
    <m/>
    <x v="134"/>
    <s v="7728720448"/>
    <s v="ГНЗ-22/20000/00007/Р/02/1/ГЕО-Д/9-1/ВГС"/>
    <s v=""/>
    <s v="3"/>
    <s v="Нетиповой ДД"/>
    <x v="3"/>
    <s v=""/>
    <s v="В2851-23"/>
    <s v=""/>
    <s v="Агентское поручение № 3 к Агентскому договору №ГНЗ-22/20000/00007/Р/02/1/ГЕО-Д/9-1/ВГС от 30.12.2022г."/>
    <s v="Оказание услуг по экологическому мониторингу месторождений"/>
    <s v="Липатова О.И."/>
    <s v="Липатова О.И."/>
    <s v="Внутригрупповой договорный документ"/>
    <s v="Отдел экологической безопасности"/>
    <s v="Михайлов Ю.А."/>
    <s v="ЭП"/>
    <s v="С ограничением по срокам "/>
    <m/>
    <m/>
    <s v="Д-2"/>
    <s v="Агентский договор"/>
    <s v="Доходная часть"/>
    <s v="Агентский"/>
    <s v="20%"/>
    <s v=""/>
    <s v=""/>
    <s v="2 776 373.64"/>
    <s v="2 313 644.70"/>
    <s v="462 728.94"/>
    <s v="нет"/>
    <s v="нет"/>
    <s v=""/>
    <s v=""/>
    <s v=""/>
    <s v=""/>
    <s v=""/>
  </r>
  <r>
    <s v="Газпромнефть-ГЕО, ООО"/>
    <s v="0000039295"/>
    <s v="Зарегистрирован"/>
    <m/>
    <m/>
    <x v="90"/>
    <s v="8618006063"/>
    <s v="ГЕО-20/00000/00183/Д"/>
    <s v=""/>
    <s v="2"/>
    <s v="Нетиповой ДД"/>
    <x v="0"/>
    <s v=""/>
    <s v="В3078-22"/>
    <s v=""/>
    <s v="Дополнительное соглашение №2"/>
    <s v="к Договору № ХНТ-20/10185/1080/Р/60 от 05.11.2020г._x000d__x000a_на оказание услуг, связанных с реализацией задач в сфере управления проектом по поиску, разведке и разработке перспективных участков Программы проектов «ЗИМА» на 2020-2029 гг."/>
    <s v="Андреева И.В."/>
    <s v="Тарасов С.Л."/>
    <s v="Внутригрупповой договорный документ"/>
    <s v="Управление экономического планирования и анализа"/>
    <s v="Николаев М.Н."/>
    <s v="ЭП"/>
    <s v="С ограничением по срокам "/>
    <m/>
    <m/>
    <s v="Д-57"/>
    <s v="Договор возмездного оказания услуг"/>
    <s v="Доходная часть"/>
    <s v="Стоимостной"/>
    <s v="20%"/>
    <s v=""/>
    <s v=""/>
    <s v="304 426 492.30"/>
    <s v="253 688 743.58"/>
    <s v="50 737 748.72"/>
    <s v="нет"/>
    <s v="нет"/>
    <s v=""/>
    <s v=""/>
    <s v=""/>
    <s v=""/>
    <s v=""/>
  </r>
  <r>
    <s v="Газпромнефть-ГЕО, ООО"/>
    <s v="0000069357"/>
    <s v="Зарегистрирован"/>
    <m/>
    <m/>
    <x v="147"/>
    <s v="8903034220"/>
    <s v=""/>
    <s v="МрНГ-22/08000/00004/Р/13/4/ГЕО-Д/12/ВГС"/>
    <s v="МрНГ-22/08000/00004/Р/13/4/ГЕО-Д/12/ВГС"/>
    <s v="Нетиповой ДД"/>
    <x v="2"/>
    <s v=""/>
    <s v="В3219-22"/>
    <s v=""/>
    <s v="11708; 10124 Договор на выполнение работ по услугам:   «НИОКР, НИР прочие»  и «НИОКР, НИР в области геофизики, геологии и разработки месторождений»"/>
    <s v="По настоящему Договору Исполнитель обязуется оказать услуги, связанные с реализацией задач по проработке технологического рычага АchMGI для Тазовского ЛУ на 2022-2024 гг. в пределах, составе, объеме и на иных условиях, установленных в Техническом задании (Приложение № 1 к настоящему Договору), в порядке и на условиях, предусмотренных настоящим Договором, а Заказчик обязуется оплатить услуги."/>
    <s v="Удовиченко Д.А."/>
    <s v="Ваганов А.В."/>
    <s v="Внутригрупповой договорный документ"/>
    <s v="Кластер &quot;Большая Ачимовка&quot;"/>
    <s v="Волков Г.В."/>
    <s v="На бумажном носителе"/>
    <s v="С ограничением по срокам "/>
    <m/>
    <m/>
    <s v="Д-16"/>
    <s v="Договор на выполнение НИР, ОКР и технологических работ"/>
    <s v="Доходная часть"/>
    <s v="Стоимостной"/>
    <s v="20%"/>
    <s v=""/>
    <s v=""/>
    <s v="709 920 119.35"/>
    <s v="591 600 099.46"/>
    <s v="118 320 019.89"/>
    <s v="нет"/>
    <s v="нет"/>
    <s v=""/>
    <s v=""/>
    <s v=""/>
    <s v=""/>
    <s v=""/>
  </r>
  <r>
    <s v="Газпромнефть-ГЕО, ООО"/>
    <s v="0000039295"/>
    <s v="Зарегистрирован"/>
    <m/>
    <m/>
    <x v="90"/>
    <s v="8618006063"/>
    <s v="ГЕО-19/09000/00321/Д"/>
    <s v=""/>
    <s v="5"/>
    <s v="Нетиповой ДД"/>
    <x v="0"/>
    <s v=""/>
    <s v="В3315-22"/>
    <s v=""/>
    <s v="Дополнительное соглашение № 5"/>
    <s v="Продление срока действия договора без увеличения стоимости договора"/>
    <s v="Андреева И.В."/>
    <s v="Белкин М.Ю"/>
    <s v="Внутригрупповой договорный документ"/>
    <s v="Управление экономического планирования и анализа"/>
    <s v="Волков Г.В."/>
    <s v="На бумажном носителе"/>
    <s v="С ограничением по срокам "/>
    <m/>
    <m/>
    <s v="Д-16"/>
    <s v="Договор возмездного оказания услуг"/>
    <s v="Не предполагает взаиморасчетов"/>
    <s v=""/>
    <s v=""/>
    <s v=""/>
    <s v=""/>
    <s v=""/>
    <s v=""/>
    <s v=""/>
    <s v="нет"/>
    <s v="нет"/>
    <s v=""/>
    <s v=""/>
    <s v=""/>
    <s v=""/>
    <s v=""/>
  </r>
  <r>
    <s v="Газпромнефть-ГЕО, ООО"/>
    <s v="0000073273"/>
    <s v="Зарегистрирован"/>
    <m/>
    <m/>
    <x v="21"/>
    <s v="5610218014"/>
    <s v=""/>
    <s v="ОРН-22/10000/00003/Р/15/02/ГЕО-Д/3/ВГС"/>
    <s v="ОРН-22/10000/00003/Р/15/02/ГЕО-Д/3/ВГС"/>
    <s v="Нетиповой ДД"/>
    <x v="2"/>
    <s v=""/>
    <s v="В3646-22"/>
    <s v=""/>
    <s v="Договор на оказание операторских услуг по выполнению СРР на ЛУ ООО &quot;Газпромнефть-Оренбург&quot;"/>
    <s v="Договор на оказание операторских услуг по выполнению СРР на ЛУ ООО &quot;Газпромнефть-Оренбург&quot;"/>
    <s v="Ахматгалиев С.З."/>
    <s v=""/>
    <s v="Внутригрупповой договорный документ"/>
    <s v="Блок геологии и разработки"/>
    <s v="Агеев П.А."/>
    <s v="ЭП"/>
    <s v="С ограничением по срокам "/>
    <m/>
    <m/>
    <s v="Д-52"/>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967 308 985.58"/>
    <s v="806 090 821.32"/>
    <s v="161 218 164.26"/>
    <s v="нет"/>
    <s v="нет"/>
    <s v=""/>
    <s v=""/>
    <s v=""/>
    <s v=""/>
    <s v=""/>
  </r>
  <r>
    <s v="Газпромнефть-ГЕО, ООО"/>
    <s v="0000045789"/>
    <s v="Зарегистрирован"/>
    <m/>
    <m/>
    <x v="16"/>
    <s v="7838395487"/>
    <s v="ГЕО-21/00000/00123/Д "/>
    <s v=""/>
    <s v="НТЦ-В3734-22Р-ГПН"/>
    <s v="Нетиповой ДД"/>
    <x v="3"/>
    <s v=""/>
    <s v="В3734-22"/>
    <s v=""/>
    <s v="Заказ к Договору № НТЦ-21/08000/00390/Р//ГЕО-21/00000/00123/Д от «17» мая 2021 г."/>
    <s v="Методическое сопровождение технологического проекта «Экспертная система по подбору типовых технологических решений для разработки и изучения АТ (ProБА)» в рамках выполнения работ этапа «Определение» технологического проекта I18PRD0695 «Экспертная система по подбору типовых технологических решений для разработки и изучения АТ (ProБА)»"/>
    <s v="Андреева И.В."/>
    <s v=""/>
    <s v="Внутригрупповой договорный документ"/>
    <s v="Управление экономического планирования и анализа"/>
    <s v="Волков Г.В."/>
    <s v="ЭП"/>
    <s v="С ограничением по срокам "/>
    <m/>
    <m/>
    <s v="Д-16"/>
    <s v="Договор на выполнение НИР, ОКР и технологических работ"/>
    <s v="Доходная часть"/>
    <s v="Стоимостной"/>
    <s v="20%"/>
    <s v=""/>
    <s v=""/>
    <s v="5 038 098.00"/>
    <s v="4 198 415.00"/>
    <s v="839 683.00"/>
    <s v="нет"/>
    <s v="нет"/>
    <s v=""/>
    <s v=""/>
    <s v=""/>
    <s v=""/>
    <s v=""/>
  </r>
  <r>
    <s v="Газпромнефть-ГЕО, ООО"/>
    <s v="0000045789"/>
    <s v="Зарегистрирован"/>
    <m/>
    <m/>
    <x v="16"/>
    <s v="7838395487"/>
    <s v="ГЕО-21/00000/00123/Д "/>
    <s v=""/>
    <s v="НТЦ- В3836-22Р-ГПН"/>
    <s v="Нетиповой ДД"/>
    <x v="3"/>
    <s v=""/>
    <s v="В3836-22"/>
    <s v=""/>
    <s v="Заказ к Договору № НТЦ-21/08000/00390/Р//ГЕО-21/00000/00123/Д от «17» мая 2021 г. "/>
    <s v="Методическое и экспертное сопровождение этапа «ПОИСК» технологического проекта I22PRD0410 «Новый технологический уровень сейсморазведки»"/>
    <s v="Андреева И.В."/>
    <s v="Любимов Е.В."/>
    <s v="Внутригрупповой договорный документ"/>
    <s v="Управление экономического планирования и анализа"/>
    <s v="Агеев П.А."/>
    <s v="ЭП"/>
    <s v="С ограничением по срокам "/>
    <m/>
    <m/>
    <s v="Д-52"/>
    <s v="Договор возмездного оказания услуг"/>
    <s v="Доходная часть"/>
    <s v="Стоимостной"/>
    <s v="20%"/>
    <s v=""/>
    <s v=""/>
    <s v="2 364 030.60"/>
    <s v="1 970 025.50"/>
    <s v="394 005.10"/>
    <s v="нет"/>
    <s v="нет"/>
    <s v=""/>
    <s v=""/>
    <s v=""/>
    <s v=""/>
    <s v=""/>
  </r>
  <r>
    <s v="Газпромнефть-ГЕО, ООО"/>
    <s v="0000073273"/>
    <s v="Зарегистрирован"/>
    <m/>
    <m/>
    <x v="21"/>
    <s v="5610218014"/>
    <s v=""/>
    <s v="ОРН-23/09000/00002/Р/15/02/ГЕО-Д/7/ВГС"/>
    <s v="ОРН-23/09000/00002/Р/15/02/ГЕО-Д/7/ВГС"/>
    <s v="Нетиповой ДД"/>
    <x v="2"/>
    <s v=""/>
    <s v="В4088-23"/>
    <s v=""/>
    <s v="Рамочный договор с ООО &quot;Газпромнефть-Оренбург на информационно-аналитическое сопровождение и практическое ведение недропользования на участках недр в периметре лицензионного портфеля"/>
    <s v="Оказание услуг комплексного сопровождения по информационно-аналитическому и практическому ведению недропользования на участках недр в периметре лицензионного портфеля ООО &quot;Газпромнефть-Оренбург"/>
    <s v="Блинова Д.М."/>
    <s v="Блинова Д.М."/>
    <s v="Внутригрупповой договорный документ"/>
    <s v="Управление экономического планирования и анализа"/>
    <s v="Ковтун М.А."/>
    <s v="ЭП"/>
    <s v="С ограничением по срокам "/>
    <m/>
    <m/>
    <s v="Д-62"/>
    <s v="Договор возмездного оказания услуг"/>
    <s v="Доходная часть"/>
    <s v="Рамочный"/>
    <s v="20%"/>
    <s v=""/>
    <s v=""/>
    <s v="629 470 494.50"/>
    <s v="524 558 745.42"/>
    <s v="104 911 749.08"/>
    <s v="нет"/>
    <s v="нет"/>
    <s v=""/>
    <s v=""/>
    <s v=""/>
    <s v=""/>
    <s v=""/>
  </r>
  <r>
    <s v="Газпромнефть-ГЕО, ООО"/>
    <s v="0000040194"/>
    <s v="Зарегистрирован"/>
    <m/>
    <m/>
    <x v="177"/>
    <s v="7017126251"/>
    <s v=""/>
    <s v="ВСТ-22/20000/00005/Р/ГЕО-Д/9-1/ВГС"/>
    <s v="ВСТ-22/20000/00005/Р/ГЕО-Д/9-1/ВГС"/>
    <s v="Нетиповой ДД"/>
    <x v="2"/>
    <s v=""/>
    <s v="В4726-22"/>
    <s v=""/>
    <s v="Оказание супервайзерских услуг по контролю состояния производственной безопасности."/>
    <s v="Оказание супервайзерских услуг по контролю состояния производственной безопасности на объектах ООО «Газпромнефть-Восток»_x000d__x000a_"/>
    <s v="Фокин Е.В."/>
    <s v="Фокин Е.В."/>
    <s v="Внутригрупповой договорный документ"/>
    <s v="Управление производственной безопасности"/>
    <s v="Власов М.М."/>
    <s v="ЭП"/>
    <s v="С ограничением по срокам "/>
    <m/>
    <m/>
    <s v="Д-59"/>
    <s v="Агентский договор"/>
    <s v="Доходная часть"/>
    <s v="Агентский"/>
    <s v="20%"/>
    <s v=""/>
    <s v=""/>
    <s v="1 829 163.96"/>
    <s v="1 524 303.30"/>
    <s v="304 860.66"/>
    <s v="нет"/>
    <s v="нет"/>
    <s v=""/>
    <s v=""/>
    <s v=""/>
    <s v="ООО ГПН-ГЕО "/>
    <s v=""/>
  </r>
  <r>
    <s v="Газпромнефть-ГЕО, ООО"/>
    <s v="0000000059"/>
    <s v="Зарегистрирован"/>
    <m/>
    <m/>
    <x v="131"/>
    <s v="8905000428"/>
    <s v="ГЕО-21/09000/00048/Д "/>
    <s v=""/>
    <s v="2"/>
    <s v="Нетиповой ДД"/>
    <x v="4"/>
    <s v=""/>
    <s v="В4875-22"/>
    <s v="2"/>
    <s v="Изменение № 2 к Заказу №2 от 01.12.2021 г. к Договору № ННГ-21/11708/00982/Р / ГЕО-21/09000/00048/Д от 19.07.2021г."/>
    <s v="Изменения в производственной программе"/>
    <s v="Андреева И.В."/>
    <s v="Райденко Е.В."/>
    <s v="Внутригрупповой договорный документ"/>
    <s v="Управление экономического планирования и анализа"/>
    <s v="Волков Г.В."/>
    <s v="На бумажном носителе"/>
    <s v="С ограничением по срокам "/>
    <m/>
    <m/>
    <s v="Д-16"/>
    <s v="Договор возмездного оказания услуг"/>
    <s v="Доходная часть"/>
    <s v="Стоимостной"/>
    <s v="20%"/>
    <s v=""/>
    <s v=""/>
    <s v="277 154 313.04"/>
    <s v="230 961 927.53"/>
    <s v="46 192 385.51"/>
    <s v="нет"/>
    <s v="нет"/>
    <s v=""/>
    <s v=""/>
    <s v=""/>
    <s v=""/>
    <s v=""/>
  </r>
  <r>
    <s v="Газпромнефть-ГЕО, ООО"/>
    <s v="0000000059"/>
    <s v="Зарегистрирован"/>
    <m/>
    <m/>
    <x v="131"/>
    <s v="8905000428"/>
    <s v="ГЕО-21/09000/00048/Д"/>
    <s v=""/>
    <s v="2"/>
    <s v="Нетиповой ДД"/>
    <x v="4"/>
    <s v=""/>
    <s v="В4878-22"/>
    <s v="1 "/>
    <s v="Изменение №2 к заказу №1 от 21.08.2021 к Договору №ННГ-21/11708/00982/Р / ГЕО-21/09000/00048/Д "/>
    <s v="Изменение №2 к заказу №1 от 21.08.2021 г. с целью уменьшения стоимости заказа №1 от 21.08.2021г. на сумму 50 503 819,40 руб. без НДС в связи с возникшей экономией при выполнении следующих задач:  отказ от дополнительной переобработки и переинтерпретации СРР 2Д;  сокращение времени и объемов закачки азота в связи с техническими ограничениями в скважине 2238. Без изменения стоимости рамочного договора."/>
    <s v="Андреева И.В."/>
    <s v="Коняшкина К.В"/>
    <s v="Внутригрупповой договорный документ"/>
    <s v="Управление экономического планирования и анализа"/>
    <s v="Волков Г.В."/>
    <s v="ЭП"/>
    <s v="С ограничением по срокам "/>
    <m/>
    <m/>
    <s v="Д-16"/>
    <s v="Договор возмездного оказания услуг"/>
    <s v="Доходная часть"/>
    <s v="Стоимостной"/>
    <s v="20%"/>
    <s v=""/>
    <s v=""/>
    <s v="22 895 064.78"/>
    <s v="19 079 220.65"/>
    <s v="3 815 844.13"/>
    <s v="нет"/>
    <s v="нет"/>
    <s v=""/>
    <s v=""/>
    <s v=""/>
    <s v=""/>
    <s v=""/>
  </r>
  <r>
    <s v="Газпромнефть-ГЕО, ООО"/>
    <s v="0000040194"/>
    <s v="Зарегистрирован"/>
    <m/>
    <m/>
    <x v="177"/>
    <s v="7017126251"/>
    <s v="ГЕО-22/09000/00051/Д"/>
    <s v=""/>
    <s v="1"/>
    <s v="Нетиповой ДД"/>
    <x v="0"/>
    <s v=""/>
    <s v="В5134-22"/>
    <s v=""/>
    <s v="Дополнительное соглашение №1  к Договору ГЕО-22/09000/00051/Д"/>
    <s v="Дополнительное соглашение №1 к Договору ГЕО-22/09000/00051/Д"/>
    <s v="Андреева И.В."/>
    <s v="Коротков А.Б."/>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Не предполагает взаиморасчетов"/>
    <s v=""/>
    <s v=""/>
    <s v=""/>
    <s v=""/>
    <s v=""/>
    <s v=""/>
    <s v=""/>
    <s v="нет"/>
    <s v="нет"/>
    <s v=""/>
    <s v=""/>
    <s v=""/>
    <s v=""/>
    <s v=""/>
  </r>
  <r>
    <s v="Газпромнефть-ГЕО, ООО"/>
    <s v="0000027645"/>
    <s v="Зарегистрирован"/>
    <m/>
    <m/>
    <x v="80"/>
    <s v="5501072608"/>
    <s v="ГЕО-22/20000/00088/Д"/>
    <s v=""/>
    <s v="1"/>
    <s v="Нетиповой ДД"/>
    <x v="0"/>
    <s v=""/>
    <s v="В5301-22"/>
    <s v=""/>
    <s v="ДС № 1 к ГСН-22/20000/00604/Р / ГЕО-22/20000/00088/Д "/>
    <s v="Продление срока действия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Не предполагает взаиморасчетов"/>
    <s v=""/>
    <s v=""/>
    <s v=""/>
    <s v=""/>
    <s v=""/>
    <s v=""/>
    <s v=""/>
    <s v="нет"/>
    <s v="нет"/>
    <s v=""/>
    <s v=""/>
    <s v=""/>
    <s v="ООО ГПН-ГЕО "/>
    <s v=""/>
  </r>
  <r>
    <s v="Газпромнефть-ГЕО, ООО"/>
    <s v="0000073273"/>
    <s v="Зарегистрирован"/>
    <m/>
    <m/>
    <x v="21"/>
    <s v="5610218014"/>
    <s v="ОРН-23/09000/00002/Р/15/02/ГЕО-Д/7/ВГС"/>
    <s v=""/>
    <s v="1"/>
    <s v="Нетиповой ДД"/>
    <x v="3"/>
    <s v=""/>
    <s v="В5344-23"/>
    <s v=""/>
    <s v="НАРЯД-ЗАКАЗ № 1"/>
    <s v="НАРЯД-ЗАКАЗ № 1_x000d__x000a_к Договору № ОРН-23/09000/00002/Р/15/02/ГЕО-Д/7/ВГС от «20» апреля 2023 г"/>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
    <s v="Договор возмездного оказания услуг"/>
    <s v="Доходная часть"/>
    <s v="Рамочный"/>
    <s v="20%"/>
    <s v=""/>
    <s v=""/>
    <s v="2 944 836.82"/>
    <s v="2 454 030.68"/>
    <s v="490 806.14"/>
    <s v="нет"/>
    <s v="нет"/>
    <s v=""/>
    <s v=""/>
    <s v=""/>
    <s v=""/>
    <s v=""/>
  </r>
  <r>
    <s v="Газпромнефть-ГЕО, ООО"/>
    <s v="0000027645"/>
    <s v="Зарегистрирован"/>
    <m/>
    <m/>
    <x v="80"/>
    <s v="5501072608"/>
    <s v="ГЕО-22/20000/00088/Д"/>
    <s v=""/>
    <s v="2"/>
    <s v="Нетиповой ДД"/>
    <x v="0"/>
    <s v=""/>
    <s v="В5361-23"/>
    <s v=""/>
    <s v="ДС № 2 к ГСН-22/20000/00604/Р / ГЕО-22/20000/00088/Д "/>
    <s v="Продление срока действия договор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Не предполагает взаиморасчетов"/>
    <s v=""/>
    <s v=""/>
    <s v=""/>
    <s v=""/>
    <s v=""/>
    <s v=""/>
    <s v=""/>
    <s v="нет"/>
    <s v="нет"/>
    <s v=""/>
    <s v=""/>
    <s v=""/>
    <s v=""/>
    <s v=""/>
  </r>
  <r>
    <s v="Газпромнефть-ГЕО, ООО"/>
    <s v="0000073273"/>
    <s v="Зарегистрирован"/>
    <m/>
    <m/>
    <x v="21"/>
    <s v="5610218014"/>
    <s v="ОРН-22/10000/00003/Р/15/02/ГЕО-Д/3/ВГС"/>
    <s v=""/>
    <s v="2"/>
    <s v="Нетиповой ДД"/>
    <x v="0"/>
    <s v=""/>
    <s v="В5576-23"/>
    <s v=""/>
    <s v="ДС №2 к Договору №ОРН-22/10000/00003/Р/15/02/ГЕО-Д/3/ВГС от «13» октября 2022 года "/>
    <s v="Раскрытие негарантированного объема работ для выполнения СРР на Ягодному ЛУ "/>
    <s v="Ушакова М.А."/>
    <s v=""/>
    <s v="Внутригрупповой договорный документ"/>
    <s v="Блок геологии и разработки"/>
    <s v="Аксенов М.А."/>
    <s v="ЭП"/>
    <s v="С ограничением по срокам "/>
    <m/>
    <m/>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825 606 161.60"/>
    <s v="688 005 134.67"/>
    <s v="137 601 026.93"/>
    <s v="нет"/>
    <s v="нет"/>
    <s v=""/>
    <s v=""/>
    <s v=""/>
    <s v="ООО ГПН-ГЕО "/>
    <s v=""/>
  </r>
  <r>
    <s v="Газпромнефть-ГЕО, ООО"/>
    <s v="0000045789"/>
    <s v="Зарегистрирован"/>
    <m/>
    <m/>
    <x v="16"/>
    <s v="7838395487"/>
    <s v="ГЕО-21/00000/00123/Д"/>
    <s v=""/>
    <s v="НТЦ-В5688-22Р-ГПН"/>
    <s v="Нетиповой ДД"/>
    <x v="3"/>
    <s v=""/>
    <s v="В5688-22"/>
    <s v=""/>
    <s v="Проведение научно-исследовательских работ по теме «Высокоразрешающая электроразведка»"/>
    <s v="Проведение научно-исследовательских работ по теме «Высокоразрешающая электроразведка»"/>
    <s v="Гулин В.Д."/>
    <s v="Гулин В.Д."/>
    <s v="Внутригрупповой договорный документ"/>
    <s v="Блок геологии и разработки"/>
    <s v="Аксенов М.А."/>
    <s v="ЭП"/>
    <s v="С ограничением по срокам "/>
    <m/>
    <m/>
    <s v="Д-54"/>
    <s v="ПРОЧИЕ ДОГОВОРЫ"/>
    <s v="Доходная часть"/>
    <s v="Рамочный"/>
    <s v="20%"/>
    <s v=""/>
    <s v=""/>
    <s v="1 150 995.40"/>
    <s v="959 162.83"/>
    <s v="191 832.57"/>
    <s v="нет"/>
    <s v="нет"/>
    <s v=""/>
    <s v=""/>
    <s v=""/>
    <s v=""/>
    <s v=""/>
  </r>
  <r>
    <s v="Газпромнефть-ГЕО, ООО"/>
    <s v="0000008602"/>
    <s v="Зарегистрирован"/>
    <m/>
    <m/>
    <x v="32"/>
    <s v="5504036333"/>
    <s v="ГПН-18/09000/02142/Р "/>
    <s v=""/>
    <s v="16"/>
    <s v="Нетиповой ДД"/>
    <x v="0"/>
    <s v=""/>
    <s v="В5928-22"/>
    <s v=""/>
    <s v="Дополнительное соглашение №16 к Договору о выполнении операторских работ и оказании операторских услуг, проект Ю. Оренбург (КНЗР, Первомайский)"/>
    <s v="Согласование программы выполнения работ и оказания услуг ГРР на 2023г. в рамках выделенного лимита по пректу Южный Оренбург"/>
    <s v="Частухина Е.В."/>
    <s v="Частухина Е.В."/>
    <s v="Внутригрупповой договорный документ"/>
    <s v="Управление экономического планирования и анализа"/>
    <s v="Ковтун М.А."/>
    <s v="На бумажном носителе"/>
    <s v="С ограничением по срокам "/>
    <m/>
    <m/>
    <s v="Д-62"/>
    <s v="Договор возмездного оказания услуг"/>
    <s v="Не предполагает взаиморасчетов"/>
    <s v=""/>
    <s v=""/>
    <s v=""/>
    <s v=""/>
    <s v=""/>
    <s v=""/>
    <s v=""/>
    <s v="нет"/>
    <s v="нет"/>
    <s v=""/>
    <s v=""/>
    <s v=""/>
    <s v=""/>
    <s v=""/>
  </r>
  <r>
    <s v="Газпромнефть-ГЕО, ООО"/>
    <s v="0000064025"/>
    <s v="Зарегистрирован"/>
    <m/>
    <m/>
    <x v="134"/>
    <s v="7728720448"/>
    <s v="ГНЗ-22/20000/00007/Р/02/1/ГЕО-Д/9-1/ВГС"/>
    <s v=""/>
    <s v="2"/>
    <s v="Нетиповой ДД"/>
    <x v="0"/>
    <s v=""/>
    <s v="В5942-23"/>
    <s v=""/>
    <s v="Дополнительное соглашение №2 к агентскому договору № ГНЗ-22/20000/00007/Р/02/1/ГЕО-Д/9-1/ВГС от 30 декабря 2022 года"/>
    <s v="доп.услуга по пожарной безопасности "/>
    <s v="Горлач А.А."/>
    <s v=""/>
    <s v="Внутригрупповой договорный документ"/>
    <s v="Управление производственной безопасности"/>
    <s v="Ядрышников П.Н."/>
    <s v="ЭП"/>
    <s v="С ограничением по срокам "/>
    <m/>
    <m/>
    <s v="Д-51"/>
    <s v="Агентский договор"/>
    <s v="Доходная часть"/>
    <s v="Агентский"/>
    <s v="20%"/>
    <s v=""/>
    <s v=""/>
    <s v="13 751 482.79"/>
    <s v="11 459 568.99"/>
    <s v="2 291 913.80"/>
    <s v="нет"/>
    <s v="нет"/>
    <s v=""/>
    <s v=""/>
    <s v=""/>
    <s v=""/>
    <s v=""/>
  </r>
  <r>
    <s v="Газпромнефть-ГЕО, ООО"/>
    <s v="0000039295"/>
    <s v="Зарегистрирован"/>
    <m/>
    <m/>
    <x v="90"/>
    <s v="8618006063"/>
    <s v=""/>
    <s v="ХНТ-23/09000/00181/Р/ХС/ГЕО-Д/7/ВГС"/>
    <s v="ХНТ-23/09000/00181/Р/ХС/ГЕО-Д/7/ВГС"/>
    <s v="Нетиповой ДД"/>
    <x v="2"/>
    <s v=""/>
    <s v="В5996-23"/>
    <s v=""/>
    <s v="Договор на оказание услуг :«Экспертно-методическое сопровождение работ по отбору проб пластовых флюидов под давлением»"/>
    <s v="Заключение рамочного договора на оказание услуг :«Экспертно-методическое сопровождение работ по отбору проб пластовых флюидов под давлением»_x000d__x000a_"/>
    <s v="Блинова Д.М."/>
    <s v="Блинова Д.М."/>
    <s v="Внутригрупповой договорный документ"/>
    <s v="Управление экономического планирования и анализа"/>
    <s v="Аксенов М.А."/>
    <s v="ЭП"/>
    <s v="С ограничением по срокам "/>
    <m/>
    <m/>
    <s v="Д-54"/>
    <s v="Договор возмездного оказания услуг"/>
    <s v="Доходная часть"/>
    <s v="Рамочный"/>
    <s v="20%"/>
    <s v=""/>
    <s v=""/>
    <s v="18 967 822.28"/>
    <s v="15 806 518.57"/>
    <s v="3 161 303.71"/>
    <s v="нет"/>
    <s v="нет"/>
    <s v=""/>
    <s v=""/>
    <s v=""/>
    <s v=""/>
    <s v=""/>
  </r>
  <r>
    <s v="Газпромнефть-ГЕО, ООО"/>
    <s v="0000027605"/>
    <s v="Зарегистрирован"/>
    <m/>
    <m/>
    <x v="67"/>
    <s v="8605003932"/>
    <s v=""/>
    <s v="МНГ-22/10000/00006/Р/54/ГЕО-Д/3/ВГС"/>
    <s v="МНГ-22/10000/00006/Р/54/ГЕО-Д/3/ВГС"/>
    <s v="Нетиповой ДД"/>
    <x v="2"/>
    <s v=""/>
    <s v="В6033-22"/>
    <s v=""/>
    <s v="Договор на проведение полевых сейсморазведочных работ МОГТ 3Д с применением технологии «Зеленая сейсмика ©» на лицензионных участках работ ПАО «СН-МНГ» в 2022-2024гг. "/>
    <s v="Проведение полевых сейсморазведочных работ МОГТ 3Д с применением техно-логии «Зеленая сейсмика ©» на лицензионных участках работ ПАО «СН-МНГ» в 2022-2024гг."/>
    <s v="Ушакова М.А."/>
    <s v="Воцалевский В.З."/>
    <s v="Внутригрупповой договорный документ"/>
    <s v="Блок геологии и разработки"/>
    <s v="Аксенов М.А."/>
    <s v="ЭП"/>
    <s v="С ограничением по срокам "/>
    <m/>
    <m/>
    <s v=""/>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888 846 302.41"/>
    <s v="740 705 252.01"/>
    <s v="148 141 050.40"/>
    <s v="нет"/>
    <s v="нет"/>
    <s v=""/>
    <s v=""/>
    <s v=""/>
    <s v=""/>
    <s v=""/>
  </r>
  <r>
    <s v="Газпромнефть-ГЕО, ООО"/>
    <s v="0000040878"/>
    <s v="Доработка"/>
    <m/>
    <m/>
    <x v="40"/>
    <s v="7826711272"/>
    <s v=""/>
    <s v=""/>
    <s v=""/>
    <s v="Типовой ДД"/>
    <x v="1"/>
    <s v="33100 Соглашение в области производственной безопасности"/>
    <s v="В6070-22"/>
    <s v=""/>
    <s v="33100 Соглашение в области производственной безопасности"/>
    <s v="Актуализация Соглашения в области ПБ утвержденным Приказом №95-П от 30.09.2022г."/>
    <s v="Гусаков В.В."/>
    <s v="Гусаков В.В."/>
    <s v="Внутригрупповой договорный документ"/>
    <s v="Блок снабжения и закупок"/>
    <s v="Титов А.В."/>
    <s v="ЭП"/>
    <s v="С ограничением по срокам "/>
    <m/>
    <m/>
    <s v="Д-56"/>
    <s v="Соглашение участников хозяйственных обществ в области производственной безопасности"/>
    <s v="Не предполагает взаиморасчетов"/>
    <s v=""/>
    <s v=""/>
    <s v=""/>
    <s v=""/>
    <s v=""/>
    <s v=""/>
    <s v=""/>
    <s v="нет"/>
    <s v="нет"/>
    <s v=""/>
    <s v=""/>
    <s v=""/>
    <s v=""/>
    <s v=""/>
  </r>
  <r>
    <s v="Газпромнефть-ГЕО, ООО"/>
    <s v="0000008602"/>
    <s v="Зарегистрирован"/>
    <m/>
    <m/>
    <x v="32"/>
    <s v="5504036333"/>
    <s v="ГЕО-21/09000/00303/Д"/>
    <s v=""/>
    <s v="1"/>
    <s v="Нетиповой ДД"/>
    <x v="0"/>
    <s v=""/>
    <s v="В6084-23"/>
    <s v=""/>
    <s v="Дополнительное соглашение №1"/>
    <s v="ДС на изменение формы Заказа к Договору № ГПН-21/09000/04810/Р//ГЕО-21/09000/00303/Д от «17» декабря 2021 г."/>
    <s v="Блинова Д.М."/>
    <s v="Блинова Д.М."/>
    <s v="Внутригрупповой договорный документ"/>
    <s v="Управление экономического планирования и анализа"/>
    <s v="Ковтун М.А."/>
    <s v="ЭП"/>
    <s v="С ограничением по срокам "/>
    <m/>
    <m/>
    <s v="Д-62"/>
    <s v="Договор возмездного оказания услуг"/>
    <s v="Не предполагает взаиморасчетов"/>
    <s v="Рамочный"/>
    <s v=""/>
    <s v=""/>
    <s v=""/>
    <s v=""/>
    <s v=""/>
    <s v=""/>
    <s v="нет"/>
    <s v="нет"/>
    <s v=""/>
    <s v=""/>
    <s v=""/>
    <s v=""/>
    <s v=""/>
  </r>
  <r>
    <s v="Газпромнефть-ГЕО, ООО"/>
    <s v="0000039295"/>
    <s v="Зарегистрирован"/>
    <m/>
    <m/>
    <x v="90"/>
    <s v="8618006063"/>
    <s v="ГЕО-21/00000/00281/Д"/>
    <s v=""/>
    <s v="2"/>
    <s v="Нетиповой ДД"/>
    <x v="0"/>
    <s v=""/>
    <s v="В6148-22"/>
    <s v=""/>
    <s v="Дополнительное соглашение №2"/>
    <s v="Заключить Дополнительное соглашение №2 к Операторскому договору для переноса этапа «Демобилизация» из 2022г. в 2023г. для демобилизации ресурсов сейсморазведочной партии в соответствии с Планом демобилизации ПАО «ГЕОТЕК Сейсморазведка»._x000d__x000a_Общая стоимость договора не изменяется."/>
    <s v="Андреева И.В."/>
    <s v="Дакиров В.С."/>
    <s v="Внутригрупповой договорный документ"/>
    <s v="Кластер &quot;Традиционные запасы&quot;"/>
    <s v="Николаев М.Н."/>
    <s v="ЭП"/>
    <s v="С ограничением по срокам "/>
    <m/>
    <m/>
    <s v="Д-57"/>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
  </r>
  <r>
    <s v="Газпромнефть-ГЕО, ООО"/>
    <s v="0000040194"/>
    <s v="Зарегистрирован"/>
    <m/>
    <m/>
    <x v="177"/>
    <s v="7017126251"/>
    <s v="ВСТ-22/20000/00005/Р/ГЕО-Д/9-1/ВГС"/>
    <s v=""/>
    <s v="1"/>
    <s v="Нетиповой ДД"/>
    <x v="8"/>
    <s v=""/>
    <s v="В6222-22"/>
    <s v=""/>
    <s v="АГЕНТСКОЕ ПОРУЧЕНИЕ № 1 к Агентскому договору № ВСТ-22/20000/00005/Р/ГЕО-Д/9-1/ВГС  от «30» ноября 2022 г."/>
    <s v="Экспертная поддержка по вопросам производственной безопасности на всех жизненных циклах проекта. Обеспечение выявления, накопления и соблюдения новых знаний и лучших практик по улучшению культуры безопасности и усовершенствованию системы управления производственной безопасности на всех стадиях проектной деятельности. Обеспечение успешного функционирования СУПБ по предотвращению или уменьшению вредных воздействий на персонал, окружающую природную среду, имущество и производственную среду._x000d__x000a_"/>
    <s v="Фокин Е.В."/>
    <s v="Фокин Е.В."/>
    <s v="Внутригрупповой договорный документ"/>
    <s v="Управление производственной безопасности"/>
    <s v="Ядрышников П.Н."/>
    <s v="ЭП"/>
    <s v="С ограничением по срокам "/>
    <m/>
    <m/>
    <s v="Д-23"/>
    <s v="Агентский договор"/>
    <s v="Доходная часть"/>
    <s v="Агентский"/>
    <s v="20%"/>
    <s v=""/>
    <s v=""/>
    <s v="1 829 163.96"/>
    <s v="1 524 303.30"/>
    <s v="304 860.66"/>
    <s v="нет"/>
    <s v="нет"/>
    <s v=""/>
    <s v=""/>
    <s v=""/>
    <s v="ООО ГПН-ГЕО "/>
    <s v=""/>
  </r>
  <r>
    <s v="Газпромнефть-ГЕО, ООО"/>
    <s v="0000027605"/>
    <s v="Зарегистрирован"/>
    <m/>
    <m/>
    <x v="67"/>
    <s v="8605003932"/>
    <s v="ГЕО-21/07000/00311/Д"/>
    <s v=""/>
    <s v="СОР"/>
    <s v="Нетиповой ДД"/>
    <x v="10"/>
    <s v=""/>
    <s v="В6307-23"/>
    <s v=""/>
    <s v="Соглашение о расторжении договора №ВР-49-10110/22-23/ГЕО-21/07000/00311/Д от 30.12.2021г. "/>
    <s v="Расторжение договора по согласию сторон в связи с полным исполнением обязательств по договору"/>
    <s v="Ушакова М.А."/>
    <s v=""/>
    <s v="Внутригрупповой договорный документ"/>
    <s v="Блок геологии и разработки"/>
    <s v="Аксенов М.А."/>
    <s v="ЭП"/>
    <s v="Без сроков "/>
    <m/>
    <m/>
    <s v=""/>
    <s v="Договор подряда"/>
    <s v="Не предполагает взаиморасчетов"/>
    <s v=""/>
    <s v=""/>
    <s v=""/>
    <s v=""/>
    <s v=""/>
    <s v=""/>
    <s v=""/>
    <s v="нет"/>
    <s v="нет"/>
    <s v=""/>
    <s v=""/>
    <s v=""/>
    <s v=""/>
    <s v=""/>
  </r>
  <r>
    <s v="Газпромнефть-ГЕО, ООО"/>
    <s v="0000037846"/>
    <s v="Зарегистрирован"/>
    <m/>
    <m/>
    <x v="26"/>
    <s v="8905032518"/>
    <s v="ГЕО-22/09000/00023/Р"/>
    <s v=""/>
    <s v="3"/>
    <s v="Типовой ДД"/>
    <x v="0"/>
    <s v="00000 ДС на изменение реквизитов контрагента (адрес, счет)"/>
    <s v="В6338-22"/>
    <s v=""/>
    <s v="00000 ДС на изменение реквизитов контрагента (адрес, счет)"/>
    <s v="Изменение банковских реквизитов ГПН-ГЕО"/>
    <s v="Раковица Д.К."/>
    <s v="Раковица Д.К."/>
    <s v="Внутригрупповой договорный документ"/>
    <s v="Отдел подготовительных работ и экономического анализа"/>
    <s v="Трифонов А.В."/>
    <s v="ЭП"/>
    <s v="До исполнения обязательств"/>
    <m/>
    <m/>
    <s v="Д-33"/>
    <s v="Договор возмездного оказания услуг"/>
    <s v="Не предполагает взаиморасчетов"/>
    <s v=""/>
    <s v=""/>
    <s v=""/>
    <s v=""/>
    <s v=""/>
    <s v=""/>
    <s v=""/>
    <s v="нет"/>
    <s v="нет"/>
    <s v=""/>
    <s v=""/>
    <s v=""/>
    <s v=""/>
    <s v=""/>
  </r>
  <r>
    <s v="Газпромнефть-ГЕО, ООО"/>
    <s v="0000069357"/>
    <s v="Зарегистрирован"/>
    <m/>
    <m/>
    <x v="147"/>
    <s v="8903034220"/>
    <s v=""/>
    <s v="МрНГ-22/08000/00008/Р/13/4/ГЕО-Д/5-1/ВГС"/>
    <s v="МрНГ-22/08000/00008/Р/13/4/ГЕО-Д/5-1/ВГС"/>
    <s v="Нетиповой ДД"/>
    <x v="2"/>
    <s v=""/>
    <s v="В6346-22"/>
    <s v=""/>
    <s v="&quot;Реализация программы повышения эффективности &quot;Ach-Well&quot; на ачимовской толще Тазовского месторождения&quot;"/>
    <s v="По настоящему Договору Исполнитель обязуется оказать услугу «Реализация программы повышения эффективности &quot;Ach-Well&quot; на ачимовской толще Тазовского месторождения»"/>
    <s v="Мустафин А.Р."/>
    <s v="Мустафин Альберт Рустэмович"/>
    <s v="Внутригрупповой договорный документ"/>
    <s v="Отдел инжиниринга бурения"/>
    <s v="Волков Г.В."/>
    <s v="ЭП"/>
    <s v="С ограничением по срокам "/>
    <m/>
    <m/>
    <s v="Д-16"/>
    <s v="Договор на выполнение НИР, ОКР и технологических работ"/>
    <s v="Доходная часть"/>
    <s v="Стоимостной"/>
    <s v="20%"/>
    <s v=""/>
    <s v=""/>
    <s v="427 982 454.86"/>
    <s v="356 652 045.72"/>
    <s v="71 330 409.14"/>
    <s v="нет"/>
    <s v="нет"/>
    <s v=""/>
    <s v=""/>
    <s v=""/>
    <s v=""/>
    <s v=""/>
  </r>
  <r>
    <s v="Газпромнефть-ГЕО, ООО"/>
    <s v="0000069357"/>
    <s v="Зарегистрирован"/>
    <m/>
    <m/>
    <x v="147"/>
    <s v="8903034220"/>
    <s v="ГЕО-21/20000/00293/Д"/>
    <s v=""/>
    <s v="1"/>
    <s v="Нетиповой ДД"/>
    <x v="0"/>
    <s v=""/>
    <s v="В6405-23"/>
    <s v=""/>
    <s v="Дополнительное соглашение №1 Агентскому договору № МрНГ-21/10000/00135/Р//ГЕО-21/20000/00293/Д на выполнение обработки и интерпретации СРР на Северо-Самбургском ЛУ и прилегающей территории"/>
    <s v="Заключение Дополнительного соглашения №1 к Агентскому договору № МрНГ-21/10000/00135/Р//ГЕО-21/20000/00293/Д на выполнение обработки и интерпретации СРР на Северо-Самбургском ЛУ и прилегающей территории в связи с изменением ТЗ и КП"/>
    <s v="Мурзин Р.Р."/>
    <s v="Мурзин Р.Р."/>
    <s v="Внутригрупповой договорный документ"/>
    <s v="Управление сейсморазведочных работ"/>
    <s v="Шакирзянов Л.Н."/>
    <s v="ЭП"/>
    <s v="С ограничением по срокам "/>
    <m/>
    <m/>
    <s v="Д-20"/>
    <s v="Агентский договор"/>
    <s v="Доходная часть"/>
    <s v="Агентский"/>
    <s v="20%"/>
    <s v=""/>
    <s v=""/>
    <s v="82 491 166.80"/>
    <s v="68 742 639.00"/>
    <s v="13 748 527.80"/>
    <s v="нет"/>
    <s v="нет"/>
    <s v=""/>
    <s v=""/>
    <s v=""/>
    <s v=""/>
    <s v=""/>
  </r>
  <r>
    <s v="Газпромнефть-ГЕО, ООО"/>
    <s v="0000008602"/>
    <s v="Зарегистрирован"/>
    <m/>
    <m/>
    <x v="32"/>
    <s v="5504036333"/>
    <s v="2014/1772/004"/>
    <s v=""/>
    <s v="б/н"/>
    <s v="Нетиповой ДД"/>
    <x v="0"/>
    <s v=""/>
    <s v="В6461-22"/>
    <s v=""/>
    <s v="ДС б/н к к Договору займа между ООО «ГПН-ГЕО» и ПАО «Газпром нефть» № ГПН-14/12100/03171 от 19.11.2014г."/>
    <s v="Увеличение суммы договора"/>
    <s v="Чернявский Г.С."/>
    <s v="Чернявский Г.С."/>
    <s v="Внутригрупповой договорный документ"/>
    <s v="Финансовое управление"/>
    <s v="Ковтун М.А."/>
    <s v="ЭП"/>
    <s v="До исполнения обязательств"/>
    <m/>
    <m/>
    <s v="Д-62"/>
    <s v="Договор займа"/>
    <s v="На возвратной основе"/>
    <s v="Стоимостной"/>
    <s v="без НДС"/>
    <s v=""/>
    <s v=""/>
    <s v="6 000 000 000.00"/>
    <s v="6 000 000 000.00"/>
    <n v="0"/>
    <s v="нет"/>
    <s v="нет"/>
    <s v=""/>
    <s v=""/>
    <s v=""/>
    <s v=""/>
    <s v=""/>
  </r>
  <r>
    <s v="Газпромнефть-ГЕО, ООО"/>
    <s v="0000064025"/>
    <s v="Доработка"/>
    <m/>
    <m/>
    <x v="134"/>
    <s v="7728720448"/>
    <s v=""/>
    <s v=""/>
    <s v=""/>
    <s v="Нетиповой ДД"/>
    <x v="1"/>
    <s v=""/>
    <s v="В6583-22"/>
    <s v=""/>
    <s v="Соглашение о переуступке ДД"/>
    <s v="Переуступка ДД ГЕО-22/10000/00308/Р от 29.11.2022 года в ГПН-Заполярье с 01.12.2022"/>
    <s v="Гусаков В.В."/>
    <s v="Гусаков В.В."/>
    <s v="Внутригрупповой договорный документ"/>
    <s v="Блок снабжения и закупок"/>
    <s v="Титов А.В."/>
    <s v="На бумажном носителе"/>
    <s v="С ограничением по срокам "/>
    <m/>
    <m/>
    <s v="Д-56"/>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Не предполагает взаиморасчетов"/>
    <s v=""/>
    <s v=""/>
    <s v=""/>
    <s v=""/>
    <s v=""/>
    <s v=""/>
    <s v=""/>
    <s v="нет"/>
    <s v="нет"/>
    <s v=""/>
    <s v=""/>
    <s v=""/>
    <s v=""/>
    <s v=""/>
  </r>
  <r>
    <s v="Газпромнефть-ГЕО, ООО"/>
    <s v="0000000059"/>
    <s v="Зарегистрирован"/>
    <m/>
    <m/>
    <x v="131"/>
    <s v="8905000428"/>
    <s v="ГЕО-19/00000/00317/Д"/>
    <s v=""/>
    <s v="4"/>
    <s v="Нетиповой ДД"/>
    <x v="0"/>
    <s v=""/>
    <s v="В6750-22"/>
    <s v=""/>
    <s v="Дополнительное соглашение №4 к ГЕО-19/00000/00317/Д / ННГ-19/10124/01839/Р"/>
    <s v="Увеличение суммы договора на оказание операторских услуг в области научно- исследовательских работ, геологии, разработке и сейсморазведочных работ. "/>
    <s v="Андреева И.В."/>
    <s v="Титиевский Е.Н. Гуляев А.Е."/>
    <s v="Внутригрупповой договорный документ"/>
    <s v="Кластер &quot;Традиционные запасы&quot;"/>
    <s v="Николаев М.Н."/>
    <s v="На бумажном носителе"/>
    <s v="С ограничением по срокам "/>
    <m/>
    <m/>
    <s v="Д-57"/>
    <s v="Договор возмездного оказания услуг"/>
    <s v="Доходная часть"/>
    <s v="Стоимостной"/>
    <s v="20%"/>
    <s v=""/>
    <s v=""/>
    <s v="2 584 206 496.73"/>
    <s v="2 153 505 413.94"/>
    <s v="430 701 082.79"/>
    <s v="нет"/>
    <s v="нет"/>
    <s v=""/>
    <s v=""/>
    <s v=""/>
    <s v=""/>
    <s v=""/>
  </r>
  <r>
    <s v="Газпромнефть-ГЕО, ООО"/>
    <s v="0000008602"/>
    <s v="Зарегистрирован"/>
    <m/>
    <m/>
    <x v="32"/>
    <s v="5504036333"/>
    <s v="ГЕО-21/00000/00144/Д"/>
    <s v=""/>
    <s v="4"/>
    <s v="Нетиповой ДД"/>
    <x v="3"/>
    <s v=""/>
    <s v="В6833-22"/>
    <s v=""/>
    <s v="Заказ №4 к Договору № ГПН-21/09000/01736/Р // ГЕО-21/00000/00144/Д от «16» апреля 2021г с ООО «ГПН-ГЕО»"/>
    <s v="Цифровой проект U190001390 Цифровой двойник СРР, этап Развитие и тиражирование._x000d__x000a__x000d__x000a_Согласование стандарта на процесс и НМД для WEB-системы ЦД СРР по направлению камеральных работ_x000d__x000a__x000d__x000a_Экспертная оценка разработанной НМД по направлению камеральных работ СРР и НСМ с учетом стандартов ПАО «Газпром нефть»_x000d__x000a_Рекомендации по дальнейшему применению НМД при сопровождении камеральных работ СРР и НСМ._x000d__x000a_ _x000d__x000a_Программа: Когнитивная геология"/>
    <s v="Андреева И.В."/>
    <s v="Любимов Е.В."/>
    <s v="Внутригрупповой договорный документ"/>
    <s v="Блок геологии и разработки"/>
    <s v="Аксенов М.А."/>
    <s v="ЭП"/>
    <s v="С ограничением по срокам "/>
    <m/>
    <m/>
    <s v=""/>
    <s v="Договор возмездного оказания услуг"/>
    <s v="Доходная часть"/>
    <s v="Рамочный"/>
    <s v="20%"/>
    <s v=""/>
    <s v=""/>
    <s v="4 206 384.00"/>
    <s v="3 505 320.00"/>
    <s v="701 064.00"/>
    <s v="нет"/>
    <s v="нет"/>
    <s v=""/>
    <s v=""/>
    <s v=""/>
    <s v=""/>
    <s v=""/>
  </r>
  <r>
    <s v="Газпромнефть-ГЕО, ООО"/>
    <s v="0000000059"/>
    <s v="Зарегистрирован"/>
    <m/>
    <m/>
    <x v="131"/>
    <s v="8905000428"/>
    <s v="ГЕО-20/00000/00086/Д "/>
    <s v=""/>
    <s v="5"/>
    <s v="Нетиповой ДД"/>
    <x v="0"/>
    <s v=""/>
    <s v="В7230-22"/>
    <s v=""/>
    <s v="ДОПОЛНИТЕЛЬНОЕ СОГЛАШЕНИЕ № 5 к Договору от 10.03.2020 г. № ННГ-20/11708/00380/P//ГЕО-20/00000/00086/Д "/>
    <s v="Увеличение срока оказания услуг и действия договора до 31.12.2023г., а также увеличение объема выполняемых услуг (Этап 7) и суммы договора."/>
    <s v="Андреева И.В."/>
    <s v="Шушаков А.А."/>
    <s v="Внутригрупповой договорный документ"/>
    <s v="Кластер &quot;Большая Ачимовка&quot;"/>
    <s v="Волков Г.В."/>
    <s v="На бумажном носителе"/>
    <s v="С ограничением по срокам "/>
    <m/>
    <m/>
    <s v="Д-16"/>
    <s v="Договор возмездного оказания услуг"/>
    <s v="Доходная часть"/>
    <s v="Стоимостной"/>
    <s v="20%"/>
    <s v=""/>
    <s v=""/>
    <s v="1 049 255 367.59"/>
    <s v="874 379 472.99"/>
    <s v="174 875 894.60"/>
    <s v="нет"/>
    <s v="нет"/>
    <s v=""/>
    <s v=""/>
    <s v=""/>
    <s v=""/>
    <s v=""/>
  </r>
  <r>
    <s v="Газпромнефть-ГЕО, ООО"/>
    <s v="0000073273"/>
    <s v="Зарегистрирован"/>
    <m/>
    <m/>
    <x v="21"/>
    <s v="5610218014"/>
    <s v="ОРН-22/10000/00003/Р/15/02/ГЕО-Д/3/ВГС"/>
    <s v=""/>
    <s v="1"/>
    <s v="Нетиповой ДД"/>
    <x v="0"/>
    <s v=""/>
    <s v="В7685-22"/>
    <s v=""/>
    <s v="ДС-1 к Договору на оказание операторских услуг по выполнению СРР на ЛУ ООО &quot;Газпромнефть-Оренбург&quot;"/>
    <s v="Уменьшение стоимости договора в связи с актуализацией расценок"/>
    <s v="Ахматгалиев С.З."/>
    <s v=""/>
    <s v="Внутригрупповой договорный документ"/>
    <s v="Блок геологии и разработки"/>
    <s v="Аксенов М.А."/>
    <s v="ЭП"/>
    <s v="С ограничением по срокам "/>
    <m/>
    <m/>
    <s v="Д-54"/>
    <s v="Прочие производственные услуги._x000a_ Услуги оказываются на производственных объектах добычи нефти и газа, в том числе на месторождениях, на опасных производствах, в офисах предприятий добычи нефти и газа. "/>
    <s v="Доходная часть"/>
    <s v="Стоимостной"/>
    <s v="20%"/>
    <s v=""/>
    <s v=""/>
    <s v="882 877 570.96"/>
    <s v="735 731 309.13"/>
    <s v="147 146 261.83"/>
    <s v="нет"/>
    <s v="нет"/>
    <s v=""/>
    <s v=""/>
    <s v=""/>
    <s v=""/>
    <s v=""/>
  </r>
  <r>
    <s v="Газпромнефть-ГЕО, ООО"/>
    <s v="0000000059"/>
    <s v="Зарегистрирован"/>
    <m/>
    <m/>
    <x v="131"/>
    <s v="8905000428"/>
    <s v="ГЕО-21/09000/00048/Д "/>
    <s v=""/>
    <s v="2"/>
    <s v="Нетиповой ДД"/>
    <x v="0"/>
    <s v=""/>
    <s v="В7727-22"/>
    <s v=""/>
    <s v="Дополнительное соглашение №2 к договору №ГЕО-21/09000/00048/Д / ННГ-21/11708/00982/Р"/>
    <s v="Корректировка сроков действия договора и перенос объемов с 2023 года на 2022 год без изменения стоимости договора."/>
    <s v="Андреева И.В."/>
    <s v="Метелкин Д.В."/>
    <s v="Внутригрупповой договорный документ"/>
    <s v="Кластер &quot;Большая Ачимовка&quot;"/>
    <s v="Волков Г.В."/>
    <s v="ЭП"/>
    <s v="С ограничением по срокам "/>
    <m/>
    <m/>
    <s v="Д-16"/>
    <s v="Договор возмездного оказания услуг"/>
    <s v="Доходная часть"/>
    <s v="Рамочный"/>
    <s v="20%"/>
    <s v=""/>
    <s v=""/>
    <s v="773 644 446.47"/>
    <s v="644 703 705.39"/>
    <s v="128 940 741.08"/>
    <s v="нет"/>
    <s v="нет"/>
    <s v=""/>
    <s v=""/>
    <s v=""/>
    <s v=""/>
    <s v=""/>
  </r>
  <r>
    <s v="Газпромнефть-ГЕО, ООО"/>
    <s v="0000074750"/>
    <s v="Зарегистрирован"/>
    <m/>
    <m/>
    <x v="66"/>
    <s v="8905062456"/>
    <s v=""/>
    <s v="ГГФ-23/20000/00001/Р/08-02/ГЕО-Д/3/ВГС"/>
    <s v="ГГФ-23/20000/00001/Р/08-02/ГЕО-Д/3/ВГС"/>
    <s v="Типовой ДД"/>
    <x v="2"/>
    <s v="20000 Агентский договор на организацию вертолетных авиаперевозок"/>
    <s v="В7767-22"/>
    <s v=""/>
    <s v="20000 Агентский договор на организацию вертолетных авиаперевозок ООО &quot;ГПН-ГЕО&quot; - ООО &quot;Газпромнефть-ННГГФ&quot;"/>
    <s v="Авиаперевозка персонала и грузов Принципала"/>
    <s v="Титова Е.В."/>
    <s v="Титова Е.В."/>
    <s v="Внутригрупповой договорный документ"/>
    <s v="Блок снабжения и закупок"/>
    <s v="Титов А.В."/>
    <s v="ЭП"/>
    <s v="С ограничением по срокам "/>
    <m/>
    <m/>
    <s v="Д-56"/>
    <s v="Агентский договор"/>
    <s v="Доходная часть"/>
    <s v="Агентский"/>
    <s v="20%"/>
    <s v=""/>
    <s v=""/>
    <s v="1 129 494.38"/>
    <s v="941 245.32"/>
    <s v="188 249.06"/>
    <s v="нет"/>
    <s v="нет"/>
    <s v=""/>
    <s v=""/>
    <s v=""/>
    <s v=""/>
    <s v=""/>
  </r>
  <r>
    <s v="Газпромнефть-ГЕО, ООО"/>
    <s v="0000064025"/>
    <s v="Зарегистрирован"/>
    <m/>
    <m/>
    <x v="134"/>
    <s v="7728720448"/>
    <s v=""/>
    <s v="ГНЗ-22/20000/00007/Р/02/1/ГЕО-Д/9-1/ВГС"/>
    <s v="ГНЗ-22/20000/00007/Р/02/1/ГЕО-Д/9-1/ВГС"/>
    <s v="Нетиповой ДД"/>
    <x v="2"/>
    <s v=""/>
    <s v="В7848-22"/>
    <s v=""/>
    <s v="Оказание услуг: с пожарной охраной, с экологическим контролем и мониторингом, со скорой, доврачебной и врачебной медицинской помощью."/>
    <s v="Оказание услуг: с пожарной охраной, с экологическим контролем и мониторингом, со скорой, доврачебной и врачебной медицинской помощью."/>
    <s v="Горлач А.А."/>
    <s v="Горлач А.А."/>
    <s v="Внутригрупповой договорный документ"/>
    <s v="Управление производственной безопасности"/>
    <s v="Ядрышников П.Н."/>
    <s v="ЭП"/>
    <s v="С ограничением по срокам "/>
    <m/>
    <m/>
    <s v="Д-51"/>
    <s v="Агентский договор"/>
    <s v="Доходная часть"/>
    <s v="Агентский"/>
    <s v="20%"/>
    <s v=""/>
    <s v=""/>
    <s v="58 178 415.01"/>
    <s v="48 482 012.51"/>
    <s v="9 696 402.50"/>
    <s v="нет"/>
    <s v="нет"/>
    <s v=""/>
    <s v=""/>
    <s v=""/>
    <s v=""/>
    <s v=""/>
  </r>
  <r>
    <s v="Газпромнефть-ГЕО, ООО"/>
    <s v="0000064025"/>
    <s v="Зарегистрирован"/>
    <m/>
    <m/>
    <x v="134"/>
    <s v="7728720448"/>
    <s v=""/>
    <s v=""/>
    <s v="1"/>
    <s v="Нетиповой ДД"/>
    <x v="8"/>
    <s v=""/>
    <s v="В8464-22"/>
    <s v=""/>
    <s v="Агентское поручение"/>
    <s v="Осуществление оплаты по договору на медицинские услуги с третьим лицом."/>
    <s v="Евстигнеев В.А."/>
    <s v="Евстигнеев В.А."/>
    <s v="Внутригрупповой договорный документ"/>
    <s v="Управление производственной безопасности"/>
    <s v="Ядрышников П.Н."/>
    <s v="На бумажном носителе"/>
    <s v="С ограничением по срокам "/>
    <m/>
    <m/>
    <s v=""/>
    <s v="Агентский договор"/>
    <s v="Доходная часть"/>
    <s v="Агентский"/>
    <s v="20%"/>
    <s v=""/>
    <s v=""/>
    <s v="30 194 255.28"/>
    <s v="25 161 879.40"/>
    <s v="5 032 375.88"/>
    <s v="нет"/>
    <s v="нет"/>
    <s v=""/>
    <s v=""/>
    <s v=""/>
    <s v=""/>
    <s v=""/>
  </r>
  <r>
    <m/>
    <m/>
    <m/>
    <m/>
    <m/>
    <x v="502"/>
    <m/>
    <m/>
    <m/>
    <m/>
    <m/>
    <x v="13"/>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 таблица1" cacheId="5"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B238" firstHeaderRow="1" firstDataRow="1" firstDataCol="1" rowPageCount="1" colPageCount="1"/>
  <pivotFields count="43">
    <pivotField showAll="0"/>
    <pivotField showAll="0"/>
    <pivotField showAll="0"/>
    <pivotField showAll="0"/>
    <pivotField showAll="0"/>
    <pivotField axis="axisRow" showAll="0">
      <items count="504">
        <item x="58"/>
        <item x="442"/>
        <item x="6"/>
        <item x="312"/>
        <item x="124"/>
        <item x="283"/>
        <item x="477"/>
        <item x="452"/>
        <item x="457"/>
        <item x="7"/>
        <item x="293"/>
        <item x="334"/>
        <item x="317"/>
        <item x="135"/>
        <item x="286"/>
        <item x="257"/>
        <item x="72"/>
        <item x="187"/>
        <item x="157"/>
        <item x="307"/>
        <item x="392"/>
        <item x="88"/>
        <item x="495"/>
        <item x="281"/>
        <item x="369"/>
        <item x="372"/>
        <item x="476"/>
        <item x="397"/>
        <item x="301"/>
        <item x="431"/>
        <item x="470"/>
        <item x="466"/>
        <item x="400"/>
        <item x="496"/>
        <item x="413"/>
        <item x="209"/>
        <item x="245"/>
        <item x="225"/>
        <item x="167"/>
        <item x="189"/>
        <item x="432"/>
        <item x="303"/>
        <item x="464"/>
        <item x="131"/>
        <item x="195"/>
        <item x="181"/>
        <item x="284"/>
        <item x="117"/>
        <item x="79"/>
        <item x="122"/>
        <item x="335"/>
        <item x="497"/>
        <item x="0"/>
        <item x="279"/>
        <item x="237"/>
        <item x="329"/>
        <item x="489"/>
        <item x="227"/>
        <item x="139"/>
        <item x="321"/>
        <item x="422"/>
        <item x="339"/>
        <item x="228"/>
        <item x="38"/>
        <item x="70"/>
        <item x="95"/>
        <item x="4"/>
        <item x="137"/>
        <item x="239"/>
        <item x="288"/>
        <item x="176"/>
        <item x="20"/>
        <item x="251"/>
        <item x="8"/>
        <item x="78"/>
        <item x="83"/>
        <item x="1"/>
        <item x="249"/>
        <item x="367"/>
        <item x="174"/>
        <item x="487"/>
        <item x="247"/>
        <item x="31"/>
        <item x="488"/>
        <item x="447"/>
        <item x="160"/>
        <item x="99"/>
        <item x="93"/>
        <item x="491"/>
        <item x="440"/>
        <item x="458"/>
        <item x="345"/>
        <item x="180"/>
        <item x="481"/>
        <item x="112"/>
        <item x="170"/>
        <item x="266"/>
        <item x="294"/>
        <item x="416"/>
        <item x="438"/>
        <item x="485"/>
        <item x="448"/>
        <item x="168"/>
        <item x="459"/>
        <item x="411"/>
        <item x="300"/>
        <item x="100"/>
        <item x="498"/>
        <item x="101"/>
        <item x="420"/>
        <item x="298"/>
        <item x="299"/>
        <item x="265"/>
        <item x="36"/>
        <item x="378"/>
        <item x="384"/>
        <item x="374"/>
        <item x="44"/>
        <item x="159"/>
        <item x="320"/>
        <item x="46"/>
        <item x="262"/>
        <item x="408"/>
        <item x="471"/>
        <item x="11"/>
        <item x="313"/>
        <item x="429"/>
        <item x="469"/>
        <item x="451"/>
        <item x="171"/>
        <item x="63"/>
        <item x="148"/>
        <item x="230"/>
        <item x="325"/>
        <item x="89"/>
        <item x="401"/>
        <item x="409"/>
        <item x="285"/>
        <item x="482"/>
        <item x="403"/>
        <item x="183"/>
        <item x="474"/>
        <item x="398"/>
        <item x="479"/>
        <item x="37"/>
        <item x="331"/>
        <item x="253"/>
        <item x="178"/>
        <item x="76"/>
        <item x="268"/>
        <item x="385"/>
        <item x="444"/>
        <item x="486"/>
        <item x="310"/>
        <item x="130"/>
        <item x="483"/>
        <item x="478"/>
        <item x="350"/>
        <item x="144"/>
        <item x="349"/>
        <item x="224"/>
        <item x="3"/>
        <item x="337"/>
        <item x="418"/>
        <item x="304"/>
        <item x="220"/>
        <item x="296"/>
        <item x="437"/>
        <item x="388"/>
        <item x="2"/>
        <item x="327"/>
        <item x="246"/>
        <item x="359"/>
        <item x="480"/>
        <item x="277"/>
        <item x="290"/>
        <item x="282"/>
        <item x="455"/>
        <item x="357"/>
        <item x="342"/>
        <item x="362"/>
        <item x="443"/>
        <item x="244"/>
        <item x="410"/>
        <item x="360"/>
        <item x="319"/>
        <item x="425"/>
        <item x="344"/>
        <item x="363"/>
        <item x="415"/>
        <item x="184"/>
        <item x="292"/>
        <item x="446"/>
        <item x="308"/>
        <item x="105"/>
        <item x="394"/>
        <item x="119"/>
        <item x="316"/>
        <item x="358"/>
        <item x="368"/>
        <item x="311"/>
        <item x="241"/>
        <item x="434"/>
        <item x="326"/>
        <item x="453"/>
        <item x="484"/>
        <item x="91"/>
        <item x="185"/>
        <item x="399"/>
        <item x="460"/>
        <item x="379"/>
        <item x="365"/>
        <item x="441"/>
        <item x="402"/>
        <item x="295"/>
        <item x="274"/>
        <item x="315"/>
        <item x="258"/>
        <item x="103"/>
        <item x="407"/>
        <item x="248"/>
        <item x="188"/>
        <item x="9"/>
        <item x="129"/>
        <item x="261"/>
        <item x="427"/>
        <item x="352"/>
        <item x="306"/>
        <item x="305"/>
        <item x="390"/>
        <item x="102"/>
        <item x="463"/>
        <item x="439"/>
        <item x="132"/>
        <item x="287"/>
        <item x="275"/>
        <item x="77"/>
        <item x="165"/>
        <item x="150"/>
        <item x="94"/>
        <item x="75"/>
        <item x="269"/>
        <item x="73"/>
        <item x="346"/>
        <item x="111"/>
        <item x="59"/>
        <item x="109"/>
        <item x="192"/>
        <item x="48"/>
        <item x="500"/>
        <item x="436"/>
        <item x="201"/>
        <item x="134"/>
        <item x="493"/>
        <item x="494"/>
        <item x="492"/>
        <item x="80"/>
        <item x="138"/>
        <item x="223"/>
        <item x="387"/>
        <item x="393"/>
        <item x="30"/>
        <item x="26"/>
        <item x="351"/>
        <item x="16"/>
        <item x="468"/>
        <item x="472"/>
        <item x="172"/>
        <item x="39"/>
        <item x="340"/>
        <item x="177"/>
        <item x="314"/>
        <item x="66"/>
        <item x="21"/>
        <item x="213"/>
        <item x="499"/>
        <item x="118"/>
        <item x="278"/>
        <item x="205"/>
        <item x="90"/>
        <item x="190"/>
        <item x="347"/>
        <item x="235"/>
        <item x="120"/>
        <item x="53"/>
        <item x="45"/>
        <item x="149"/>
        <item x="17"/>
        <item x="141"/>
        <item x="324"/>
        <item x="136"/>
        <item x="263"/>
        <item x="166"/>
        <item x="222"/>
        <item x="226"/>
        <item x="252"/>
        <item x="125"/>
        <item x="19"/>
        <item x="203"/>
        <item x="14"/>
        <item x="219"/>
        <item x="152"/>
        <item x="210"/>
        <item x="34"/>
        <item x="381"/>
        <item x="243"/>
        <item x="114"/>
        <item x="206"/>
        <item x="18"/>
        <item x="47"/>
        <item x="297"/>
        <item x="202"/>
        <item x="40"/>
        <item x="151"/>
        <item x="417"/>
        <item x="406"/>
        <item x="179"/>
        <item x="236"/>
        <item x="123"/>
        <item x="377"/>
        <item x="175"/>
        <item x="74"/>
        <item x="336"/>
        <item x="353"/>
        <item x="291"/>
        <item x="147"/>
        <item x="85"/>
        <item x="121"/>
        <item x="41"/>
        <item x="153"/>
        <item x="97"/>
        <item x="501"/>
        <item x="142"/>
        <item x="13"/>
        <item x="371"/>
        <item x="98"/>
        <item x="215"/>
        <item x="51"/>
        <item x="216"/>
        <item x="5"/>
        <item x="25"/>
        <item x="50"/>
        <item x="54"/>
        <item x="332"/>
        <item x="140"/>
        <item x="92"/>
        <item x="412"/>
        <item x="361"/>
        <item x="71"/>
        <item x="217"/>
        <item x="43"/>
        <item x="42"/>
        <item x="52"/>
        <item x="197"/>
        <item x="199"/>
        <item x="330"/>
        <item x="204"/>
        <item x="22"/>
        <item x="267"/>
        <item x="12"/>
        <item x="200"/>
        <item x="169"/>
        <item x="449"/>
        <item x="302"/>
        <item x="194"/>
        <item x="10"/>
        <item x="107"/>
        <item x="106"/>
        <item x="338"/>
        <item x="454"/>
        <item x="221"/>
        <item x="116"/>
        <item x="61"/>
        <item x="405"/>
        <item x="49"/>
        <item x="115"/>
        <item x="15"/>
        <item x="435"/>
        <item x="24"/>
        <item x="133"/>
        <item x="254"/>
        <item x="55"/>
        <item x="104"/>
        <item x="191"/>
        <item x="84"/>
        <item x="428"/>
        <item x="154"/>
        <item x="212"/>
        <item x="186"/>
        <item x="158"/>
        <item x="145"/>
        <item x="29"/>
        <item x="128"/>
        <item x="57"/>
        <item x="62"/>
        <item x="231"/>
        <item x="155"/>
        <item x="373"/>
        <item x="64"/>
        <item x="127"/>
        <item x="65"/>
        <item x="28"/>
        <item x="490"/>
        <item x="214"/>
        <item x="273"/>
        <item x="126"/>
        <item x="343"/>
        <item x="424"/>
        <item x="23"/>
        <item x="276"/>
        <item x="81"/>
        <item x="395"/>
        <item x="69"/>
        <item x="272"/>
        <item x="208"/>
        <item x="256"/>
        <item x="164"/>
        <item x="255"/>
        <item x="207"/>
        <item x="465"/>
        <item x="27"/>
        <item x="113"/>
        <item x="375"/>
        <item x="391"/>
        <item x="383"/>
        <item x="386"/>
        <item x="380"/>
        <item x="396"/>
        <item x="421"/>
        <item x="33"/>
        <item x="366"/>
        <item x="234"/>
        <item x="32"/>
        <item x="218"/>
        <item x="60"/>
        <item x="475"/>
        <item x="238"/>
        <item x="473"/>
        <item x="67"/>
        <item x="318"/>
        <item x="354"/>
        <item x="250"/>
        <item x="461"/>
        <item x="35"/>
        <item x="370"/>
        <item x="355"/>
        <item x="280"/>
        <item x="87"/>
        <item x="198"/>
        <item x="389"/>
        <item x="271"/>
        <item x="162"/>
        <item x="376"/>
        <item x="323"/>
        <item x="341"/>
        <item x="96"/>
        <item x="240"/>
        <item x="426"/>
        <item x="146"/>
        <item x="356"/>
        <item x="364"/>
        <item x="182"/>
        <item x="419"/>
        <item x="270"/>
        <item x="232"/>
        <item x="450"/>
        <item x="259"/>
        <item x="108"/>
        <item x="264"/>
        <item x="260"/>
        <item x="242"/>
        <item x="68"/>
        <item x="333"/>
        <item x="211"/>
        <item x="163"/>
        <item x="414"/>
        <item x="110"/>
        <item x="82"/>
        <item x="86"/>
        <item x="433"/>
        <item x="462"/>
        <item x="143"/>
        <item x="309"/>
        <item x="289"/>
        <item x="382"/>
        <item x="196"/>
        <item x="430"/>
        <item x="456"/>
        <item x="322"/>
        <item x="161"/>
        <item x="423"/>
        <item x="445"/>
        <item x="233"/>
        <item x="348"/>
        <item x="404"/>
        <item x="328"/>
        <item x="467"/>
        <item x="229"/>
        <item x="156"/>
        <item x="173"/>
        <item x="193"/>
        <item x="56"/>
        <item x="502"/>
        <item t="default"/>
      </items>
    </pivotField>
    <pivotField showAll="0"/>
    <pivotField showAll="0"/>
    <pivotField dataField="1" showAll="0"/>
    <pivotField showAll="0"/>
    <pivotField showAll="0"/>
    <pivotField axis="axisPage" showAll="0">
      <items count="15">
        <item x="6"/>
        <item x="2"/>
        <item x="9"/>
        <item x="0"/>
        <item x="8"/>
        <item x="3"/>
        <item x="7"/>
        <item x="4"/>
        <item x="12"/>
        <item x="11"/>
        <item x="1"/>
        <item x="10"/>
        <item x="5"/>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35">
    <i>
      <x/>
    </i>
    <i>
      <x v="4"/>
    </i>
    <i>
      <x v="5"/>
    </i>
    <i>
      <x v="6"/>
    </i>
    <i>
      <x v="7"/>
    </i>
    <i>
      <x v="9"/>
    </i>
    <i>
      <x v="13"/>
    </i>
    <i>
      <x v="21"/>
    </i>
    <i>
      <x v="23"/>
    </i>
    <i>
      <x v="26"/>
    </i>
    <i>
      <x v="35"/>
    </i>
    <i>
      <x v="36"/>
    </i>
    <i>
      <x v="38"/>
    </i>
    <i>
      <x v="39"/>
    </i>
    <i>
      <x v="40"/>
    </i>
    <i>
      <x v="41"/>
    </i>
    <i>
      <x v="43"/>
    </i>
    <i>
      <x v="44"/>
    </i>
    <i>
      <x v="45"/>
    </i>
    <i>
      <x v="46"/>
    </i>
    <i>
      <x v="47"/>
    </i>
    <i>
      <x v="48"/>
    </i>
    <i>
      <x v="49"/>
    </i>
    <i>
      <x v="52"/>
    </i>
    <i>
      <x v="56"/>
    </i>
    <i>
      <x v="57"/>
    </i>
    <i>
      <x v="58"/>
    </i>
    <i>
      <x v="63"/>
    </i>
    <i>
      <x v="64"/>
    </i>
    <i>
      <x v="65"/>
    </i>
    <i>
      <x v="66"/>
    </i>
    <i>
      <x v="69"/>
    </i>
    <i>
      <x v="70"/>
    </i>
    <i>
      <x v="71"/>
    </i>
    <i>
      <x v="73"/>
    </i>
    <i>
      <x v="74"/>
    </i>
    <i>
      <x v="75"/>
    </i>
    <i>
      <x v="76"/>
    </i>
    <i>
      <x v="79"/>
    </i>
    <i>
      <x v="82"/>
    </i>
    <i>
      <x v="84"/>
    </i>
    <i>
      <x v="86"/>
    </i>
    <i>
      <x v="91"/>
    </i>
    <i>
      <x v="92"/>
    </i>
    <i>
      <x v="94"/>
    </i>
    <i>
      <x v="102"/>
    </i>
    <i>
      <x v="108"/>
    </i>
    <i>
      <x v="109"/>
    </i>
    <i>
      <x v="111"/>
    </i>
    <i>
      <x v="112"/>
    </i>
    <i>
      <x v="113"/>
    </i>
    <i>
      <x v="120"/>
    </i>
    <i>
      <x v="124"/>
    </i>
    <i>
      <x v="125"/>
    </i>
    <i>
      <x v="129"/>
    </i>
    <i>
      <x v="130"/>
    </i>
    <i>
      <x v="132"/>
    </i>
    <i>
      <x v="134"/>
    </i>
    <i>
      <x v="140"/>
    </i>
    <i>
      <x v="147"/>
    </i>
    <i>
      <x v="148"/>
    </i>
    <i>
      <x v="149"/>
    </i>
    <i>
      <x v="151"/>
    </i>
    <i>
      <x v="156"/>
    </i>
    <i>
      <x v="166"/>
    </i>
    <i>
      <x v="168"/>
    </i>
    <i>
      <x v="172"/>
    </i>
    <i>
      <x v="178"/>
    </i>
    <i>
      <x v="180"/>
    </i>
    <i>
      <x v="183"/>
    </i>
    <i>
      <x v="186"/>
    </i>
    <i>
      <x v="199"/>
    </i>
    <i>
      <x v="204"/>
    </i>
    <i>
      <x v="210"/>
    </i>
    <i>
      <x v="211"/>
    </i>
    <i>
      <x v="220"/>
    </i>
    <i>
      <x v="222"/>
    </i>
    <i>
      <x v="223"/>
    </i>
    <i>
      <x v="226"/>
    </i>
    <i>
      <x v="227"/>
    </i>
    <i>
      <x v="228"/>
    </i>
    <i>
      <x v="230"/>
    </i>
    <i>
      <x v="231"/>
    </i>
    <i>
      <x v="233"/>
    </i>
    <i>
      <x v="236"/>
    </i>
    <i>
      <x v="238"/>
    </i>
    <i>
      <x v="239"/>
    </i>
    <i>
      <x v="240"/>
    </i>
    <i>
      <x v="242"/>
    </i>
    <i>
      <x v="244"/>
    </i>
    <i>
      <x v="246"/>
    </i>
    <i>
      <x v="247"/>
    </i>
    <i>
      <x v="248"/>
    </i>
    <i>
      <x v="252"/>
    </i>
    <i>
      <x v="253"/>
    </i>
    <i>
      <x v="254"/>
    </i>
    <i>
      <x v="255"/>
    </i>
    <i>
      <x v="256"/>
    </i>
    <i>
      <x v="257"/>
    </i>
    <i>
      <x v="259"/>
    </i>
    <i>
      <x v="261"/>
    </i>
    <i>
      <x v="262"/>
    </i>
    <i>
      <x v="263"/>
    </i>
    <i>
      <x v="264"/>
    </i>
    <i>
      <x v="266"/>
    </i>
    <i>
      <x v="268"/>
    </i>
    <i>
      <x v="269"/>
    </i>
    <i>
      <x v="270"/>
    </i>
    <i>
      <x v="271"/>
    </i>
    <i>
      <x v="272"/>
    </i>
    <i>
      <x v="273"/>
    </i>
    <i>
      <x v="276"/>
    </i>
    <i>
      <x v="277"/>
    </i>
    <i>
      <x v="278"/>
    </i>
    <i>
      <x v="279"/>
    </i>
    <i>
      <x v="283"/>
    </i>
    <i>
      <x v="284"/>
    </i>
    <i>
      <x v="285"/>
    </i>
    <i>
      <x v="286"/>
    </i>
    <i>
      <x v="287"/>
    </i>
    <i>
      <x v="288"/>
    </i>
    <i>
      <x v="289"/>
    </i>
    <i>
      <x v="290"/>
    </i>
    <i>
      <x v="293"/>
    </i>
    <i>
      <x v="294"/>
    </i>
    <i>
      <x v="296"/>
    </i>
    <i>
      <x v="297"/>
    </i>
    <i>
      <x v="299"/>
    </i>
    <i>
      <x v="300"/>
    </i>
    <i>
      <x v="301"/>
    </i>
    <i>
      <x v="304"/>
    </i>
    <i>
      <x v="306"/>
    </i>
    <i>
      <x v="307"/>
    </i>
    <i>
      <x v="308"/>
    </i>
    <i>
      <x v="309"/>
    </i>
    <i>
      <x v="312"/>
    </i>
    <i>
      <x v="315"/>
    </i>
    <i>
      <x v="316"/>
    </i>
    <i>
      <x v="320"/>
    </i>
    <i>
      <x v="321"/>
    </i>
    <i>
      <x v="322"/>
    </i>
    <i>
      <x v="325"/>
    </i>
    <i>
      <x v="326"/>
    </i>
    <i>
      <x v="329"/>
    </i>
    <i>
      <x v="330"/>
    </i>
    <i>
      <x v="332"/>
    </i>
    <i>
      <x v="333"/>
    </i>
    <i>
      <x v="336"/>
    </i>
    <i>
      <x v="337"/>
    </i>
    <i>
      <x v="339"/>
    </i>
    <i>
      <x v="340"/>
    </i>
    <i>
      <x v="341"/>
    </i>
    <i>
      <x v="342"/>
    </i>
    <i>
      <x v="344"/>
    </i>
    <i>
      <x v="345"/>
    </i>
    <i>
      <x v="346"/>
    </i>
    <i>
      <x v="347"/>
    </i>
    <i>
      <x v="348"/>
    </i>
    <i>
      <x v="349"/>
    </i>
    <i>
      <x v="350"/>
    </i>
    <i>
      <x v="351"/>
    </i>
    <i>
      <x v="352"/>
    </i>
    <i>
      <x v="356"/>
    </i>
    <i>
      <x v="357"/>
    </i>
    <i>
      <x v="358"/>
    </i>
    <i>
      <x v="359"/>
    </i>
    <i>
      <x v="360"/>
    </i>
    <i>
      <x v="361"/>
    </i>
    <i>
      <x v="363"/>
    </i>
    <i>
      <x v="365"/>
    </i>
    <i>
      <x v="366"/>
    </i>
    <i>
      <x v="367"/>
    </i>
    <i>
      <x v="370"/>
    </i>
    <i>
      <x v="372"/>
    </i>
    <i>
      <x v="374"/>
    </i>
    <i>
      <x v="376"/>
    </i>
    <i>
      <x v="378"/>
    </i>
    <i>
      <x v="379"/>
    </i>
    <i>
      <x v="380"/>
    </i>
    <i>
      <x v="381"/>
    </i>
    <i>
      <x v="382"/>
    </i>
    <i>
      <x v="383"/>
    </i>
    <i>
      <x v="384"/>
    </i>
    <i>
      <x v="387"/>
    </i>
    <i>
      <x v="388"/>
    </i>
    <i>
      <x v="389"/>
    </i>
    <i>
      <x v="390"/>
    </i>
    <i>
      <x v="391"/>
    </i>
    <i>
      <x v="392"/>
    </i>
    <i>
      <x v="393"/>
    </i>
    <i>
      <x v="394"/>
    </i>
    <i>
      <x v="396"/>
    </i>
    <i>
      <x v="397"/>
    </i>
    <i>
      <x v="398"/>
    </i>
    <i>
      <x v="399"/>
    </i>
    <i>
      <x v="401"/>
    </i>
    <i>
      <x v="404"/>
    </i>
    <i>
      <x v="408"/>
    </i>
    <i>
      <x v="409"/>
    </i>
    <i>
      <x v="410"/>
    </i>
    <i>
      <x v="411"/>
    </i>
    <i>
      <x v="412"/>
    </i>
    <i>
      <x v="414"/>
    </i>
    <i>
      <x v="416"/>
    </i>
    <i>
      <x v="417"/>
    </i>
    <i>
      <x v="418"/>
    </i>
    <i>
      <x v="419"/>
    </i>
    <i>
      <x v="420"/>
    </i>
    <i>
      <x v="421"/>
    </i>
    <i>
      <x v="431"/>
    </i>
    <i>
      <x v="432"/>
    </i>
    <i>
      <x v="434"/>
    </i>
    <i>
      <x v="438"/>
    </i>
    <i>
      <x v="439"/>
    </i>
    <i>
      <x v="441"/>
    </i>
    <i>
      <x v="443"/>
    </i>
    <i>
      <x v="449"/>
    </i>
    <i>
      <x v="457"/>
    </i>
    <i>
      <x v="461"/>
    </i>
    <i>
      <x v="465"/>
    </i>
    <i>
      <x v="471"/>
    </i>
    <i>
      <x v="472"/>
    </i>
    <i>
      <x v="473"/>
    </i>
    <i>
      <x v="474"/>
    </i>
    <i>
      <x v="476"/>
    </i>
    <i>
      <x v="480"/>
    </i>
    <i>
      <x v="484"/>
    </i>
    <i>
      <x v="485"/>
    </i>
    <i>
      <x v="487"/>
    </i>
    <i>
      <x v="488"/>
    </i>
    <i>
      <x v="489"/>
    </i>
    <i>
      <x v="493"/>
    </i>
    <i>
      <x v="497"/>
    </i>
    <i>
      <x v="500"/>
    </i>
    <i t="grand">
      <x/>
    </i>
  </rowItems>
  <colItems count="1">
    <i/>
  </colItems>
  <pageFields count="1">
    <pageField fld="11" item="3" hier="-1"/>
  </pageFields>
  <dataFields count="1">
    <dataField name="Количество по полю Рег. Номер договора/соглашения" fld="8"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8"/>
  <sheetViews>
    <sheetView workbookViewId="0">
      <selection activeCell="C10" sqref="C10"/>
    </sheetView>
  </sheetViews>
  <sheetFormatPr defaultRowHeight="15.75" x14ac:dyDescent="0.25"/>
  <cols>
    <col min="1" max="1" width="49.375" customWidth="1"/>
    <col min="2" max="2" width="48.75" bestFit="1" customWidth="1"/>
  </cols>
  <sheetData>
    <row r="1" spans="1:2" x14ac:dyDescent="0.25">
      <c r="A1" s="19" t="s">
        <v>6</v>
      </c>
      <c r="B1" t="s">
        <v>48</v>
      </c>
    </row>
    <row r="3" spans="1:2" x14ac:dyDescent="0.25">
      <c r="A3" s="19" t="s">
        <v>14533</v>
      </c>
      <c r="B3" t="s">
        <v>14535</v>
      </c>
    </row>
    <row r="4" spans="1:2" x14ac:dyDescent="0.25">
      <c r="A4" s="20"/>
      <c r="B4">
        <v>6</v>
      </c>
    </row>
    <row r="5" spans="1:2" x14ac:dyDescent="0.25">
      <c r="A5" s="20" t="s">
        <v>1571</v>
      </c>
      <c r="B5">
        <v>4</v>
      </c>
    </row>
    <row r="6" spans="1:2" x14ac:dyDescent="0.25">
      <c r="A6" s="20" t="s">
        <v>4885</v>
      </c>
      <c r="B6">
        <v>1</v>
      </c>
    </row>
    <row r="7" spans="1:2" x14ac:dyDescent="0.25">
      <c r="A7" s="20" t="s">
        <v>9551</v>
      </c>
      <c r="B7">
        <v>1</v>
      </c>
    </row>
    <row r="8" spans="1:2" x14ac:dyDescent="0.25">
      <c r="A8" s="20" t="s">
        <v>8779</v>
      </c>
      <c r="B8">
        <v>1</v>
      </c>
    </row>
    <row r="9" spans="1:2" x14ac:dyDescent="0.25">
      <c r="A9" s="20" t="s">
        <v>151</v>
      </c>
      <c r="B9">
        <v>2</v>
      </c>
    </row>
    <row r="10" spans="1:2" x14ac:dyDescent="0.25">
      <c r="A10" s="20" t="s">
        <v>1692</v>
      </c>
      <c r="B10">
        <v>1</v>
      </c>
    </row>
    <row r="11" spans="1:2" x14ac:dyDescent="0.25">
      <c r="A11" s="20" t="s">
        <v>1068</v>
      </c>
      <c r="B11">
        <v>6</v>
      </c>
    </row>
    <row r="12" spans="1:2" x14ac:dyDescent="0.25">
      <c r="A12" s="20" t="s">
        <v>4865</v>
      </c>
      <c r="B12">
        <v>1</v>
      </c>
    </row>
    <row r="13" spans="1:2" x14ac:dyDescent="0.25">
      <c r="A13" s="20" t="s">
        <v>9537</v>
      </c>
      <c r="B13">
        <v>1</v>
      </c>
    </row>
    <row r="14" spans="1:2" x14ac:dyDescent="0.25">
      <c r="A14" s="20" t="s">
        <v>3090</v>
      </c>
      <c r="B14">
        <v>5</v>
      </c>
    </row>
    <row r="15" spans="1:2" x14ac:dyDescent="0.25">
      <c r="A15" s="20" t="s">
        <v>4005</v>
      </c>
      <c r="B15">
        <v>6</v>
      </c>
    </row>
    <row r="16" spans="1:2" x14ac:dyDescent="0.25">
      <c r="A16" s="20" t="s">
        <v>2267</v>
      </c>
      <c r="B16">
        <v>6</v>
      </c>
    </row>
    <row r="17" spans="1:2" x14ac:dyDescent="0.25">
      <c r="A17" s="20" t="s">
        <v>2663</v>
      </c>
      <c r="B17">
        <v>3</v>
      </c>
    </row>
    <row r="18" spans="1:2" x14ac:dyDescent="0.25">
      <c r="A18" s="20" t="s">
        <v>8275</v>
      </c>
      <c r="B18">
        <v>2</v>
      </c>
    </row>
    <row r="19" spans="1:2" x14ac:dyDescent="0.25">
      <c r="A19" s="20" t="s">
        <v>5465</v>
      </c>
      <c r="B19">
        <v>3</v>
      </c>
    </row>
    <row r="20" spans="1:2" x14ac:dyDescent="0.25">
      <c r="A20" s="20" t="s">
        <v>1641</v>
      </c>
      <c r="B20">
        <v>14</v>
      </c>
    </row>
    <row r="21" spans="1:2" x14ac:dyDescent="0.25">
      <c r="A21" s="20" t="s">
        <v>2782</v>
      </c>
      <c r="B21">
        <v>1</v>
      </c>
    </row>
    <row r="22" spans="1:2" x14ac:dyDescent="0.25">
      <c r="A22" s="20" t="s">
        <v>2466</v>
      </c>
      <c r="B22">
        <v>4</v>
      </c>
    </row>
    <row r="23" spans="1:2" x14ac:dyDescent="0.25">
      <c r="A23" s="20" t="s">
        <v>4899</v>
      </c>
      <c r="B23">
        <v>1</v>
      </c>
    </row>
    <row r="24" spans="1:2" x14ac:dyDescent="0.25">
      <c r="A24" s="20" t="s">
        <v>1436</v>
      </c>
      <c r="B24">
        <v>5</v>
      </c>
    </row>
    <row r="25" spans="1:2" x14ac:dyDescent="0.25">
      <c r="A25" s="20" t="s">
        <v>950</v>
      </c>
      <c r="B25">
        <v>1</v>
      </c>
    </row>
    <row r="26" spans="1:2" x14ac:dyDescent="0.25">
      <c r="A26" s="20" t="s">
        <v>1553</v>
      </c>
      <c r="B26">
        <v>10</v>
      </c>
    </row>
    <row r="27" spans="1:2" x14ac:dyDescent="0.25">
      <c r="A27" s="20" t="s">
        <v>62</v>
      </c>
      <c r="B27">
        <v>2</v>
      </c>
    </row>
    <row r="28" spans="1:2" x14ac:dyDescent="0.25">
      <c r="A28" s="20" t="s">
        <v>9828</v>
      </c>
      <c r="B28">
        <v>1</v>
      </c>
    </row>
    <row r="29" spans="1:2" x14ac:dyDescent="0.25">
      <c r="A29" s="20" t="s">
        <v>3539</v>
      </c>
      <c r="B29">
        <v>2</v>
      </c>
    </row>
    <row r="30" spans="1:2" x14ac:dyDescent="0.25">
      <c r="A30" s="20" t="s">
        <v>1755</v>
      </c>
      <c r="B30">
        <v>6</v>
      </c>
    </row>
    <row r="31" spans="1:2" x14ac:dyDescent="0.25">
      <c r="A31" s="20" t="s">
        <v>489</v>
      </c>
      <c r="B31">
        <v>23</v>
      </c>
    </row>
    <row r="32" spans="1:2" x14ac:dyDescent="0.25">
      <c r="A32" s="20" t="s">
        <v>831</v>
      </c>
      <c r="B32">
        <v>2</v>
      </c>
    </row>
    <row r="33" spans="1:2" x14ac:dyDescent="0.25">
      <c r="A33" s="20" t="s">
        <v>1148</v>
      </c>
      <c r="B33">
        <v>5</v>
      </c>
    </row>
    <row r="34" spans="1:2" x14ac:dyDescent="0.25">
      <c r="A34" s="20" t="s">
        <v>115</v>
      </c>
      <c r="B34">
        <v>19</v>
      </c>
    </row>
    <row r="35" spans="1:2" x14ac:dyDescent="0.25">
      <c r="A35" s="20" t="s">
        <v>4952</v>
      </c>
      <c r="B35">
        <v>4</v>
      </c>
    </row>
    <row r="36" spans="1:2" x14ac:dyDescent="0.25">
      <c r="A36" s="20" t="s">
        <v>2384</v>
      </c>
      <c r="B36">
        <v>6</v>
      </c>
    </row>
    <row r="37" spans="1:2" x14ac:dyDescent="0.25">
      <c r="A37" s="20" t="s">
        <v>285</v>
      </c>
      <c r="B37">
        <v>6</v>
      </c>
    </row>
    <row r="38" spans="1:2" x14ac:dyDescent="0.25">
      <c r="A38" s="20" t="s">
        <v>159</v>
      </c>
      <c r="B38">
        <v>3</v>
      </c>
    </row>
    <row r="39" spans="1:2" x14ac:dyDescent="0.25">
      <c r="A39" s="20" t="s">
        <v>943</v>
      </c>
      <c r="B39">
        <v>1</v>
      </c>
    </row>
    <row r="40" spans="1:2" x14ac:dyDescent="0.25">
      <c r="A40" s="20" t="s">
        <v>989</v>
      </c>
      <c r="B40">
        <v>4</v>
      </c>
    </row>
    <row r="41" spans="1:2" x14ac:dyDescent="0.25">
      <c r="A41" s="20" t="s">
        <v>76</v>
      </c>
      <c r="B41">
        <v>10</v>
      </c>
    </row>
    <row r="42" spans="1:2" x14ac:dyDescent="0.25">
      <c r="A42" s="20" t="s">
        <v>2351</v>
      </c>
      <c r="B42">
        <v>21</v>
      </c>
    </row>
    <row r="43" spans="1:2" x14ac:dyDescent="0.25">
      <c r="A43" s="20" t="s">
        <v>430</v>
      </c>
      <c r="B43">
        <v>1</v>
      </c>
    </row>
    <row r="44" spans="1:2" x14ac:dyDescent="0.25">
      <c r="A44" s="20" t="s">
        <v>8543</v>
      </c>
      <c r="B44">
        <v>1</v>
      </c>
    </row>
    <row r="45" spans="1:2" x14ac:dyDescent="0.25">
      <c r="A45" s="20" t="s">
        <v>1181</v>
      </c>
      <c r="B45">
        <v>1</v>
      </c>
    </row>
    <row r="46" spans="1:2" x14ac:dyDescent="0.25">
      <c r="A46" s="20" t="s">
        <v>6343</v>
      </c>
      <c r="B46">
        <v>2</v>
      </c>
    </row>
    <row r="47" spans="1:2" x14ac:dyDescent="0.25">
      <c r="A47" s="20" t="s">
        <v>2462</v>
      </c>
      <c r="B47">
        <v>4</v>
      </c>
    </row>
    <row r="48" spans="1:2" x14ac:dyDescent="0.25">
      <c r="A48" s="20" t="s">
        <v>1378</v>
      </c>
      <c r="B48">
        <v>1</v>
      </c>
    </row>
    <row r="49" spans="1:2" x14ac:dyDescent="0.25">
      <c r="A49" s="20" t="s">
        <v>2275</v>
      </c>
      <c r="B49">
        <v>2</v>
      </c>
    </row>
    <row r="50" spans="1:2" x14ac:dyDescent="0.25">
      <c r="A50" s="20" t="s">
        <v>1201</v>
      </c>
      <c r="B50">
        <v>5</v>
      </c>
    </row>
    <row r="51" spans="1:2" x14ac:dyDescent="0.25">
      <c r="A51" s="20" t="s">
        <v>8080</v>
      </c>
      <c r="B51">
        <v>4</v>
      </c>
    </row>
    <row r="52" spans="1:2" x14ac:dyDescent="0.25">
      <c r="A52" s="20" t="s">
        <v>5383</v>
      </c>
      <c r="B52">
        <v>2</v>
      </c>
    </row>
    <row r="53" spans="1:2" x14ac:dyDescent="0.25">
      <c r="A53" s="20" t="s">
        <v>4497</v>
      </c>
      <c r="B53">
        <v>2</v>
      </c>
    </row>
    <row r="54" spans="1:2" x14ac:dyDescent="0.25">
      <c r="A54" s="20" t="s">
        <v>470</v>
      </c>
      <c r="B54">
        <v>1</v>
      </c>
    </row>
    <row r="55" spans="1:2" x14ac:dyDescent="0.25">
      <c r="A55" s="20" t="s">
        <v>571</v>
      </c>
      <c r="B55">
        <v>1</v>
      </c>
    </row>
    <row r="56" spans="1:2" x14ac:dyDescent="0.25">
      <c r="A56" s="20" t="s">
        <v>190</v>
      </c>
      <c r="B56">
        <v>1</v>
      </c>
    </row>
    <row r="57" spans="1:2" x14ac:dyDescent="0.25">
      <c r="A57" s="20" t="s">
        <v>5632</v>
      </c>
      <c r="B57">
        <v>1</v>
      </c>
    </row>
    <row r="58" spans="1:2" x14ac:dyDescent="0.25">
      <c r="A58" s="20" t="s">
        <v>2323</v>
      </c>
      <c r="B58">
        <v>1</v>
      </c>
    </row>
    <row r="59" spans="1:2" x14ac:dyDescent="0.25">
      <c r="A59" s="20" t="s">
        <v>738</v>
      </c>
      <c r="B59">
        <v>11</v>
      </c>
    </row>
    <row r="60" spans="1:2" x14ac:dyDescent="0.25">
      <c r="A60" s="20" t="s">
        <v>3617</v>
      </c>
      <c r="B60">
        <v>1</v>
      </c>
    </row>
    <row r="61" spans="1:2" x14ac:dyDescent="0.25">
      <c r="A61" s="20" t="s">
        <v>1076</v>
      </c>
      <c r="B61">
        <v>2</v>
      </c>
    </row>
    <row r="62" spans="1:2" x14ac:dyDescent="0.25">
      <c r="A62" s="20" t="s">
        <v>2544</v>
      </c>
      <c r="B62">
        <v>1</v>
      </c>
    </row>
    <row r="63" spans="1:2" x14ac:dyDescent="0.25">
      <c r="A63" s="20" t="s">
        <v>2435</v>
      </c>
      <c r="B63">
        <v>2</v>
      </c>
    </row>
    <row r="64" spans="1:2" x14ac:dyDescent="0.25">
      <c r="A64" s="20" t="s">
        <v>909</v>
      </c>
      <c r="B64">
        <v>1</v>
      </c>
    </row>
    <row r="65" spans="1:2" x14ac:dyDescent="0.25">
      <c r="A65" s="20" t="s">
        <v>4520</v>
      </c>
      <c r="B65">
        <v>1</v>
      </c>
    </row>
    <row r="66" spans="1:2" x14ac:dyDescent="0.25">
      <c r="A66" s="20" t="s">
        <v>8496</v>
      </c>
      <c r="B66">
        <v>1</v>
      </c>
    </row>
    <row r="67" spans="1:2" x14ac:dyDescent="0.25">
      <c r="A67" s="20" t="s">
        <v>9559</v>
      </c>
      <c r="B67">
        <v>1</v>
      </c>
    </row>
    <row r="68" spans="1:2" x14ac:dyDescent="0.25">
      <c r="A68" s="20" t="s">
        <v>5260</v>
      </c>
      <c r="B68">
        <v>1</v>
      </c>
    </row>
    <row r="69" spans="1:2" x14ac:dyDescent="0.25">
      <c r="A69" s="20" t="s">
        <v>7180</v>
      </c>
      <c r="B69">
        <v>1</v>
      </c>
    </row>
    <row r="70" spans="1:2" x14ac:dyDescent="0.25">
      <c r="A70" s="20" t="s">
        <v>6655</v>
      </c>
      <c r="B70">
        <v>1</v>
      </c>
    </row>
    <row r="71" spans="1:2" x14ac:dyDescent="0.25">
      <c r="A71" s="20" t="s">
        <v>6600</v>
      </c>
      <c r="B71">
        <v>5</v>
      </c>
    </row>
    <row r="72" spans="1:2" x14ac:dyDescent="0.25">
      <c r="A72" s="20" t="s">
        <v>6706</v>
      </c>
      <c r="B72">
        <v>1</v>
      </c>
    </row>
    <row r="73" spans="1:2" x14ac:dyDescent="0.25">
      <c r="A73" s="20" t="s">
        <v>7652</v>
      </c>
      <c r="B73">
        <v>1</v>
      </c>
    </row>
    <row r="74" spans="1:2" x14ac:dyDescent="0.25">
      <c r="A74" s="20" t="s">
        <v>8159</v>
      </c>
      <c r="B74">
        <v>2</v>
      </c>
    </row>
    <row r="75" spans="1:2" x14ac:dyDescent="0.25">
      <c r="A75" s="20" t="s">
        <v>6796</v>
      </c>
      <c r="B75">
        <v>4</v>
      </c>
    </row>
    <row r="76" spans="1:2" x14ac:dyDescent="0.25">
      <c r="A76" s="20" t="s">
        <v>8787</v>
      </c>
      <c r="B76">
        <v>1</v>
      </c>
    </row>
    <row r="77" spans="1:2" x14ac:dyDescent="0.25">
      <c r="A77" s="20" t="s">
        <v>7001</v>
      </c>
      <c r="B77">
        <v>1</v>
      </c>
    </row>
    <row r="78" spans="1:2" x14ac:dyDescent="0.25">
      <c r="A78" s="20" t="s">
        <v>6757</v>
      </c>
      <c r="B78">
        <v>2</v>
      </c>
    </row>
    <row r="79" spans="1:2" x14ac:dyDescent="0.25">
      <c r="A79" s="20" t="s">
        <v>4072</v>
      </c>
      <c r="B79">
        <v>11</v>
      </c>
    </row>
    <row r="80" spans="1:2" x14ac:dyDescent="0.25">
      <c r="A80" s="20" t="s">
        <v>171</v>
      </c>
      <c r="B80">
        <v>12</v>
      </c>
    </row>
    <row r="81" spans="1:2" x14ac:dyDescent="0.25">
      <c r="A81" s="20" t="s">
        <v>1624</v>
      </c>
      <c r="B81">
        <v>5</v>
      </c>
    </row>
    <row r="82" spans="1:2" x14ac:dyDescent="0.25">
      <c r="A82" s="20" t="s">
        <v>6479</v>
      </c>
      <c r="B82">
        <v>1</v>
      </c>
    </row>
    <row r="83" spans="1:2" x14ac:dyDescent="0.25">
      <c r="A83" s="20" t="s">
        <v>5554</v>
      </c>
      <c r="B83">
        <v>1</v>
      </c>
    </row>
    <row r="84" spans="1:2" x14ac:dyDescent="0.25">
      <c r="A84" s="20" t="s">
        <v>5541</v>
      </c>
      <c r="B84">
        <v>2</v>
      </c>
    </row>
    <row r="85" spans="1:2" x14ac:dyDescent="0.25">
      <c r="A85" s="20" t="s">
        <v>1217</v>
      </c>
      <c r="B85">
        <v>5</v>
      </c>
    </row>
    <row r="86" spans="1:2" x14ac:dyDescent="0.25">
      <c r="A86" s="20" t="s">
        <v>9257</v>
      </c>
      <c r="B86">
        <v>1</v>
      </c>
    </row>
    <row r="87" spans="1:2" x14ac:dyDescent="0.25">
      <c r="A87" s="20" t="s">
        <v>1658</v>
      </c>
      <c r="B87">
        <v>6</v>
      </c>
    </row>
    <row r="88" spans="1:2" x14ac:dyDescent="0.25">
      <c r="A88" s="20" t="s">
        <v>928</v>
      </c>
      <c r="B88">
        <v>19</v>
      </c>
    </row>
    <row r="89" spans="1:2" x14ac:dyDescent="0.25">
      <c r="A89" s="20" t="s">
        <v>1982</v>
      </c>
      <c r="B89">
        <v>6</v>
      </c>
    </row>
    <row r="90" spans="1:2" x14ac:dyDescent="0.25">
      <c r="A90" s="20" t="s">
        <v>1141</v>
      </c>
      <c r="B90">
        <v>4</v>
      </c>
    </row>
    <row r="91" spans="1:2" x14ac:dyDescent="0.25">
      <c r="A91" s="20" t="s">
        <v>901</v>
      </c>
      <c r="B91">
        <v>9</v>
      </c>
    </row>
    <row r="92" spans="1:2" x14ac:dyDescent="0.25">
      <c r="A92" s="20" t="s">
        <v>853</v>
      </c>
      <c r="B92">
        <v>7</v>
      </c>
    </row>
    <row r="93" spans="1:2" x14ac:dyDescent="0.25">
      <c r="A93" s="20" t="s">
        <v>1352</v>
      </c>
      <c r="B93">
        <v>11</v>
      </c>
    </row>
    <row r="94" spans="1:2" x14ac:dyDescent="0.25">
      <c r="A94" s="20" t="s">
        <v>1329</v>
      </c>
      <c r="B94">
        <v>8</v>
      </c>
    </row>
    <row r="95" spans="1:2" x14ac:dyDescent="0.25">
      <c r="A95" s="20" t="s">
        <v>2671</v>
      </c>
      <c r="B95">
        <v>1</v>
      </c>
    </row>
    <row r="96" spans="1:2" x14ac:dyDescent="0.25">
      <c r="A96" s="20" t="s">
        <v>593</v>
      </c>
      <c r="B96">
        <v>7</v>
      </c>
    </row>
    <row r="97" spans="1:2" x14ac:dyDescent="0.25">
      <c r="A97" s="20" t="s">
        <v>1685</v>
      </c>
      <c r="B97">
        <v>5</v>
      </c>
    </row>
    <row r="98" spans="1:2" x14ac:dyDescent="0.25">
      <c r="A98" s="20" t="s">
        <v>10000</v>
      </c>
      <c r="B98">
        <v>1</v>
      </c>
    </row>
    <row r="99" spans="1:2" x14ac:dyDescent="0.25">
      <c r="A99" s="20" t="s">
        <v>10052</v>
      </c>
      <c r="B99">
        <v>1</v>
      </c>
    </row>
    <row r="100" spans="1:2" x14ac:dyDescent="0.25">
      <c r="A100" s="20" t="s">
        <v>9962</v>
      </c>
      <c r="B100">
        <v>1</v>
      </c>
    </row>
    <row r="101" spans="1:2" x14ac:dyDescent="0.25">
      <c r="A101" s="20" t="s">
        <v>965</v>
      </c>
      <c r="B101">
        <v>28</v>
      </c>
    </row>
    <row r="102" spans="1:2" x14ac:dyDescent="0.25">
      <c r="A102" s="20" t="s">
        <v>1746</v>
      </c>
      <c r="B102">
        <v>1</v>
      </c>
    </row>
    <row r="103" spans="1:2" x14ac:dyDescent="0.25">
      <c r="A103" s="20" t="s">
        <v>7154</v>
      </c>
      <c r="B103">
        <v>1</v>
      </c>
    </row>
    <row r="104" spans="1:2" x14ac:dyDescent="0.25">
      <c r="A104" s="20" t="s">
        <v>411</v>
      </c>
      <c r="B104">
        <v>3</v>
      </c>
    </row>
    <row r="105" spans="1:2" x14ac:dyDescent="0.25">
      <c r="A105" s="20" t="s">
        <v>375</v>
      </c>
      <c r="B105">
        <v>10</v>
      </c>
    </row>
    <row r="106" spans="1:2" x14ac:dyDescent="0.25">
      <c r="A106" s="20" t="s">
        <v>6462</v>
      </c>
      <c r="B106">
        <v>1</v>
      </c>
    </row>
    <row r="107" spans="1:2" x14ac:dyDescent="0.25">
      <c r="A107" s="20" t="s">
        <v>246</v>
      </c>
      <c r="B107">
        <v>18</v>
      </c>
    </row>
    <row r="108" spans="1:2" x14ac:dyDescent="0.25">
      <c r="A108" s="20" t="s">
        <v>9484</v>
      </c>
      <c r="B108">
        <v>1</v>
      </c>
    </row>
    <row r="109" spans="1:2" x14ac:dyDescent="0.25">
      <c r="A109" s="20" t="s">
        <v>498</v>
      </c>
      <c r="B109">
        <v>7</v>
      </c>
    </row>
    <row r="110" spans="1:2" x14ac:dyDescent="0.25">
      <c r="A110" s="20" t="s">
        <v>6193</v>
      </c>
      <c r="B110">
        <v>1</v>
      </c>
    </row>
    <row r="111" spans="1:2" x14ac:dyDescent="0.25">
      <c r="A111" s="20" t="s">
        <v>2409</v>
      </c>
      <c r="B111">
        <v>1</v>
      </c>
    </row>
    <row r="112" spans="1:2" x14ac:dyDescent="0.25">
      <c r="A112" s="20" t="s">
        <v>5659</v>
      </c>
      <c r="B112">
        <v>1</v>
      </c>
    </row>
    <row r="113" spans="1:2" x14ac:dyDescent="0.25">
      <c r="A113" s="20" t="s">
        <v>794</v>
      </c>
      <c r="B113">
        <v>12</v>
      </c>
    </row>
    <row r="114" spans="1:2" x14ac:dyDescent="0.25">
      <c r="A114" s="20" t="s">
        <v>298</v>
      </c>
      <c r="B114">
        <v>8</v>
      </c>
    </row>
    <row r="115" spans="1:2" x14ac:dyDescent="0.25">
      <c r="A115" s="20" t="s">
        <v>1454</v>
      </c>
      <c r="B115">
        <v>1</v>
      </c>
    </row>
    <row r="116" spans="1:2" x14ac:dyDescent="0.25">
      <c r="A116" s="20" t="s">
        <v>4773</v>
      </c>
      <c r="B116">
        <v>1</v>
      </c>
    </row>
    <row r="117" spans="1:2" x14ac:dyDescent="0.25">
      <c r="A117" s="20" t="s">
        <v>2994</v>
      </c>
      <c r="B117">
        <v>1</v>
      </c>
    </row>
    <row r="118" spans="1:2" x14ac:dyDescent="0.25">
      <c r="A118" s="20" t="s">
        <v>1085</v>
      </c>
      <c r="B118">
        <v>21</v>
      </c>
    </row>
    <row r="119" spans="1:2" x14ac:dyDescent="0.25">
      <c r="A119" s="20" t="s">
        <v>1496</v>
      </c>
      <c r="B119">
        <v>13</v>
      </c>
    </row>
    <row r="120" spans="1:2" x14ac:dyDescent="0.25">
      <c r="A120" s="20" t="s">
        <v>653</v>
      </c>
      <c r="B120">
        <v>3</v>
      </c>
    </row>
    <row r="121" spans="1:2" x14ac:dyDescent="0.25">
      <c r="A121" s="20" t="s">
        <v>566</v>
      </c>
      <c r="B121">
        <v>3</v>
      </c>
    </row>
    <row r="122" spans="1:2" x14ac:dyDescent="0.25">
      <c r="A122" s="20" t="s">
        <v>1951</v>
      </c>
      <c r="B122">
        <v>5</v>
      </c>
    </row>
    <row r="123" spans="1:2" x14ac:dyDescent="0.25">
      <c r="A123" s="20" t="s">
        <v>254</v>
      </c>
      <c r="B123">
        <v>2</v>
      </c>
    </row>
    <row r="124" spans="1:2" x14ac:dyDescent="0.25">
      <c r="A124" s="20" t="s">
        <v>1785</v>
      </c>
      <c r="B124">
        <v>5</v>
      </c>
    </row>
    <row r="125" spans="1:2" x14ac:dyDescent="0.25">
      <c r="A125" s="20" t="s">
        <v>5816</v>
      </c>
      <c r="B125">
        <v>3</v>
      </c>
    </row>
    <row r="126" spans="1:2" x14ac:dyDescent="0.25">
      <c r="A126" s="20" t="s">
        <v>1713</v>
      </c>
      <c r="B126">
        <v>8</v>
      </c>
    </row>
    <row r="127" spans="1:2" x14ac:dyDescent="0.25">
      <c r="A127" s="20" t="s">
        <v>3327</v>
      </c>
      <c r="B127">
        <v>4</v>
      </c>
    </row>
    <row r="128" spans="1:2" x14ac:dyDescent="0.25">
      <c r="A128" s="20" t="s">
        <v>3504</v>
      </c>
      <c r="B128">
        <v>1</v>
      </c>
    </row>
    <row r="129" spans="1:2" x14ac:dyDescent="0.25">
      <c r="A129" s="20" t="s">
        <v>1577</v>
      </c>
      <c r="B129">
        <v>3</v>
      </c>
    </row>
    <row r="130" spans="1:2" x14ac:dyDescent="0.25">
      <c r="A130" s="20" t="s">
        <v>276</v>
      </c>
      <c r="B130">
        <v>7</v>
      </c>
    </row>
    <row r="131" spans="1:2" x14ac:dyDescent="0.25">
      <c r="A131" s="20" t="s">
        <v>226</v>
      </c>
      <c r="B131">
        <v>8</v>
      </c>
    </row>
    <row r="132" spans="1:2" x14ac:dyDescent="0.25">
      <c r="A132" s="20" t="s">
        <v>3293</v>
      </c>
      <c r="B132">
        <v>1</v>
      </c>
    </row>
    <row r="133" spans="1:2" x14ac:dyDescent="0.25">
      <c r="A133" s="20" t="s">
        <v>2002</v>
      </c>
      <c r="B133">
        <v>6</v>
      </c>
    </row>
    <row r="134" spans="1:2" x14ac:dyDescent="0.25">
      <c r="A134" s="20" t="s">
        <v>7014</v>
      </c>
      <c r="B134">
        <v>1</v>
      </c>
    </row>
    <row r="135" spans="1:2" x14ac:dyDescent="0.25">
      <c r="A135" s="20" t="s">
        <v>1397</v>
      </c>
      <c r="B135">
        <v>12</v>
      </c>
    </row>
    <row r="136" spans="1:2" x14ac:dyDescent="0.25">
      <c r="A136" s="20" t="s">
        <v>3010</v>
      </c>
      <c r="B136">
        <v>1</v>
      </c>
    </row>
    <row r="137" spans="1:2" x14ac:dyDescent="0.25">
      <c r="A137" s="20" t="s">
        <v>266</v>
      </c>
      <c r="B137">
        <v>13</v>
      </c>
    </row>
    <row r="138" spans="1:2" x14ac:dyDescent="0.25">
      <c r="A138" s="20" t="s">
        <v>583</v>
      </c>
      <c r="B138">
        <v>8</v>
      </c>
    </row>
    <row r="139" spans="1:2" x14ac:dyDescent="0.25">
      <c r="A139" s="20" t="s">
        <v>521</v>
      </c>
      <c r="B139">
        <v>8</v>
      </c>
    </row>
    <row r="140" spans="1:2" x14ac:dyDescent="0.25">
      <c r="A140" s="20" t="s">
        <v>7567</v>
      </c>
      <c r="B140">
        <v>3</v>
      </c>
    </row>
    <row r="141" spans="1:2" x14ac:dyDescent="0.25">
      <c r="A141" s="20" t="s">
        <v>2449</v>
      </c>
      <c r="B141">
        <v>5</v>
      </c>
    </row>
    <row r="142" spans="1:2" x14ac:dyDescent="0.25">
      <c r="A142" s="20" t="s">
        <v>2363</v>
      </c>
      <c r="B142">
        <v>3</v>
      </c>
    </row>
    <row r="143" spans="1:2" x14ac:dyDescent="0.25">
      <c r="A143" s="20" t="s">
        <v>886</v>
      </c>
      <c r="B143">
        <v>7</v>
      </c>
    </row>
    <row r="144" spans="1:2" x14ac:dyDescent="0.25">
      <c r="A144" s="20" t="s">
        <v>6071</v>
      </c>
      <c r="B144">
        <v>2</v>
      </c>
    </row>
    <row r="145" spans="1:2" x14ac:dyDescent="0.25">
      <c r="A145" s="20" t="s">
        <v>1926</v>
      </c>
      <c r="B145">
        <v>6</v>
      </c>
    </row>
    <row r="146" spans="1:2" x14ac:dyDescent="0.25">
      <c r="A146" s="20" t="s">
        <v>1027</v>
      </c>
      <c r="B146">
        <v>11</v>
      </c>
    </row>
    <row r="147" spans="1:2" x14ac:dyDescent="0.25">
      <c r="A147" s="20" t="s">
        <v>2051</v>
      </c>
      <c r="B147">
        <v>1</v>
      </c>
    </row>
    <row r="148" spans="1:2" x14ac:dyDescent="0.25">
      <c r="A148" s="20" t="s">
        <v>1166</v>
      </c>
      <c r="B148">
        <v>4</v>
      </c>
    </row>
    <row r="149" spans="1:2" x14ac:dyDescent="0.25">
      <c r="A149" s="20" t="s">
        <v>1844</v>
      </c>
      <c r="B149">
        <v>8</v>
      </c>
    </row>
    <row r="150" spans="1:2" x14ac:dyDescent="0.25">
      <c r="A150" s="20" t="s">
        <v>214</v>
      </c>
      <c r="B150">
        <v>10</v>
      </c>
    </row>
    <row r="151" spans="1:2" x14ac:dyDescent="0.25">
      <c r="A151" s="20" t="s">
        <v>3249</v>
      </c>
      <c r="B151">
        <v>2</v>
      </c>
    </row>
    <row r="152" spans="1:2" x14ac:dyDescent="0.25">
      <c r="A152" s="20" t="s">
        <v>640</v>
      </c>
      <c r="B152">
        <v>9</v>
      </c>
    </row>
    <row r="153" spans="1:2" x14ac:dyDescent="0.25">
      <c r="A153" s="20" t="s">
        <v>128</v>
      </c>
      <c r="B153">
        <v>14</v>
      </c>
    </row>
    <row r="154" spans="1:2" x14ac:dyDescent="0.25">
      <c r="A154" s="20" t="s">
        <v>364</v>
      </c>
      <c r="B154">
        <v>9</v>
      </c>
    </row>
    <row r="155" spans="1:2" x14ac:dyDescent="0.25">
      <c r="A155" s="20" t="s">
        <v>621</v>
      </c>
      <c r="B155">
        <v>7</v>
      </c>
    </row>
    <row r="156" spans="1:2" x14ac:dyDescent="0.25">
      <c r="A156" s="20" t="s">
        <v>662</v>
      </c>
      <c r="B156">
        <v>10</v>
      </c>
    </row>
    <row r="157" spans="1:2" x14ac:dyDescent="0.25">
      <c r="A157" s="20" t="s">
        <v>1776</v>
      </c>
      <c r="B157">
        <v>11</v>
      </c>
    </row>
    <row r="158" spans="1:2" x14ac:dyDescent="0.25">
      <c r="A158" s="20" t="s">
        <v>1102</v>
      </c>
      <c r="B158">
        <v>15</v>
      </c>
    </row>
    <row r="159" spans="1:2" x14ac:dyDescent="0.25">
      <c r="A159" s="20" t="s">
        <v>7689</v>
      </c>
      <c r="B159">
        <v>1</v>
      </c>
    </row>
    <row r="160" spans="1:2" x14ac:dyDescent="0.25">
      <c r="A160" s="20" t="s">
        <v>6670</v>
      </c>
      <c r="B160">
        <v>1</v>
      </c>
    </row>
    <row r="161" spans="1:2" x14ac:dyDescent="0.25">
      <c r="A161" s="20" t="s">
        <v>838</v>
      </c>
      <c r="B161">
        <v>6</v>
      </c>
    </row>
    <row r="162" spans="1:2" x14ac:dyDescent="0.25">
      <c r="A162" s="20" t="s">
        <v>3274</v>
      </c>
      <c r="B162">
        <v>4</v>
      </c>
    </row>
    <row r="163" spans="1:2" x14ac:dyDescent="0.25">
      <c r="A163" s="20" t="s">
        <v>551</v>
      </c>
      <c r="B163">
        <v>1</v>
      </c>
    </row>
    <row r="164" spans="1:2" x14ac:dyDescent="0.25">
      <c r="A164" s="20" t="s">
        <v>543</v>
      </c>
      <c r="B164">
        <v>4</v>
      </c>
    </row>
    <row r="165" spans="1:2" x14ac:dyDescent="0.25">
      <c r="A165" s="20" t="s">
        <v>648</v>
      </c>
      <c r="B165">
        <v>1</v>
      </c>
    </row>
    <row r="166" spans="1:2" x14ac:dyDescent="0.25">
      <c r="A166" s="20" t="s">
        <v>2983</v>
      </c>
      <c r="B166">
        <v>1</v>
      </c>
    </row>
    <row r="167" spans="1:2" x14ac:dyDescent="0.25">
      <c r="A167" s="20" t="s">
        <v>326</v>
      </c>
      <c r="B167">
        <v>1</v>
      </c>
    </row>
    <row r="168" spans="1:2" x14ac:dyDescent="0.25">
      <c r="A168" s="20" t="s">
        <v>4514</v>
      </c>
      <c r="B168">
        <v>3</v>
      </c>
    </row>
    <row r="169" spans="1:2" x14ac:dyDescent="0.25">
      <c r="A169" s="20" t="s">
        <v>202</v>
      </c>
      <c r="B169">
        <v>5</v>
      </c>
    </row>
    <row r="170" spans="1:2" x14ac:dyDescent="0.25">
      <c r="A170" s="20" t="s">
        <v>2899</v>
      </c>
      <c r="B170">
        <v>5</v>
      </c>
    </row>
    <row r="171" spans="1:2" x14ac:dyDescent="0.25">
      <c r="A171" s="20" t="s">
        <v>2292</v>
      </c>
      <c r="B171">
        <v>9</v>
      </c>
    </row>
    <row r="172" spans="1:2" x14ac:dyDescent="0.25">
      <c r="A172" s="20" t="s">
        <v>5438</v>
      </c>
      <c r="B172">
        <v>1</v>
      </c>
    </row>
    <row r="173" spans="1:2" x14ac:dyDescent="0.25">
      <c r="A173" s="20" t="s">
        <v>180</v>
      </c>
      <c r="B173">
        <v>3</v>
      </c>
    </row>
    <row r="174" spans="1:2" x14ac:dyDescent="0.25">
      <c r="A174" s="20" t="s">
        <v>1303</v>
      </c>
      <c r="B174">
        <v>1</v>
      </c>
    </row>
    <row r="175" spans="1:2" x14ac:dyDescent="0.25">
      <c r="A175" s="20" t="s">
        <v>1280</v>
      </c>
      <c r="B175">
        <v>4</v>
      </c>
    </row>
    <row r="176" spans="1:2" x14ac:dyDescent="0.25">
      <c r="A176" s="20" t="s">
        <v>3320</v>
      </c>
      <c r="B176">
        <v>1</v>
      </c>
    </row>
    <row r="177" spans="1:2" x14ac:dyDescent="0.25">
      <c r="A177" s="20" t="s">
        <v>716</v>
      </c>
      <c r="B177">
        <v>4</v>
      </c>
    </row>
    <row r="178" spans="1:2" x14ac:dyDescent="0.25">
      <c r="A178" s="20" t="s">
        <v>607</v>
      </c>
      <c r="B178">
        <v>5</v>
      </c>
    </row>
    <row r="179" spans="1:2" x14ac:dyDescent="0.25">
      <c r="A179" s="20" t="s">
        <v>235</v>
      </c>
      <c r="B179">
        <v>6</v>
      </c>
    </row>
    <row r="180" spans="1:2" x14ac:dyDescent="0.25">
      <c r="A180" s="20" t="s">
        <v>351</v>
      </c>
      <c r="B180">
        <v>6</v>
      </c>
    </row>
    <row r="181" spans="1:2" x14ac:dyDescent="0.25">
      <c r="A181" s="20" t="s">
        <v>1676</v>
      </c>
      <c r="B181">
        <v>2</v>
      </c>
    </row>
    <row r="182" spans="1:2" x14ac:dyDescent="0.25">
      <c r="A182" s="20" t="s">
        <v>4294</v>
      </c>
      <c r="B182">
        <v>3</v>
      </c>
    </row>
    <row r="183" spans="1:2" x14ac:dyDescent="0.25">
      <c r="A183" s="20" t="s">
        <v>674</v>
      </c>
      <c r="B183">
        <v>9</v>
      </c>
    </row>
    <row r="184" spans="1:2" x14ac:dyDescent="0.25">
      <c r="A184" s="20" t="s">
        <v>1241</v>
      </c>
      <c r="B184">
        <v>11</v>
      </c>
    </row>
    <row r="185" spans="1:2" x14ac:dyDescent="0.25">
      <c r="A185" s="20" t="s">
        <v>2707</v>
      </c>
      <c r="B185">
        <v>7</v>
      </c>
    </row>
    <row r="186" spans="1:2" x14ac:dyDescent="0.25">
      <c r="A186" s="20" t="s">
        <v>1018</v>
      </c>
      <c r="B186">
        <v>1</v>
      </c>
    </row>
    <row r="187" spans="1:2" x14ac:dyDescent="0.25">
      <c r="A187" s="20" t="s">
        <v>3173</v>
      </c>
      <c r="B187">
        <v>6</v>
      </c>
    </row>
    <row r="188" spans="1:2" x14ac:dyDescent="0.25">
      <c r="A188" s="20" t="s">
        <v>2596</v>
      </c>
      <c r="B188">
        <v>7</v>
      </c>
    </row>
    <row r="189" spans="1:2" x14ac:dyDescent="0.25">
      <c r="A189" s="20" t="s">
        <v>2109</v>
      </c>
      <c r="B189">
        <v>7</v>
      </c>
    </row>
    <row r="190" spans="1:2" x14ac:dyDescent="0.25">
      <c r="A190" s="20" t="s">
        <v>1910</v>
      </c>
      <c r="B190">
        <v>4</v>
      </c>
    </row>
    <row r="191" spans="1:2" x14ac:dyDescent="0.25">
      <c r="A191" s="20" t="s">
        <v>404</v>
      </c>
      <c r="B191">
        <v>16</v>
      </c>
    </row>
    <row r="192" spans="1:2" x14ac:dyDescent="0.25">
      <c r="A192" s="20" t="s">
        <v>1612</v>
      </c>
      <c r="B192">
        <v>1</v>
      </c>
    </row>
    <row r="193" spans="1:2" x14ac:dyDescent="0.25">
      <c r="A193" s="20" t="s">
        <v>688</v>
      </c>
      <c r="B193">
        <v>7</v>
      </c>
    </row>
    <row r="194" spans="1:2" x14ac:dyDescent="0.25">
      <c r="A194" s="20" t="s">
        <v>728</v>
      </c>
      <c r="B194">
        <v>17</v>
      </c>
    </row>
    <row r="195" spans="1:2" x14ac:dyDescent="0.25">
      <c r="A195" s="20" t="s">
        <v>2092</v>
      </c>
      <c r="B195">
        <v>1</v>
      </c>
    </row>
    <row r="196" spans="1:2" x14ac:dyDescent="0.25">
      <c r="A196" s="20" t="s">
        <v>6923</v>
      </c>
      <c r="B196">
        <v>1</v>
      </c>
    </row>
    <row r="197" spans="1:2" x14ac:dyDescent="0.25">
      <c r="A197" s="20" t="s">
        <v>754</v>
      </c>
      <c r="B197">
        <v>8</v>
      </c>
    </row>
    <row r="198" spans="1:2" x14ac:dyDescent="0.25">
      <c r="A198" s="20" t="s">
        <v>1594</v>
      </c>
      <c r="B198">
        <v>9</v>
      </c>
    </row>
    <row r="199" spans="1:2" x14ac:dyDescent="0.25">
      <c r="A199" s="20" t="s">
        <v>396</v>
      </c>
      <c r="B199">
        <v>13</v>
      </c>
    </row>
    <row r="200" spans="1:2" x14ac:dyDescent="0.25">
      <c r="A200" s="20" t="s">
        <v>4658</v>
      </c>
      <c r="B200">
        <v>1</v>
      </c>
    </row>
    <row r="201" spans="1:2" x14ac:dyDescent="0.25">
      <c r="A201" s="20" t="s">
        <v>343</v>
      </c>
      <c r="B201">
        <v>6</v>
      </c>
    </row>
    <row r="202" spans="1:2" x14ac:dyDescent="0.25">
      <c r="A202" s="20" t="s">
        <v>4720</v>
      </c>
      <c r="B202">
        <v>2</v>
      </c>
    </row>
    <row r="203" spans="1:2" x14ac:dyDescent="0.25">
      <c r="A203" s="20" t="s">
        <v>972</v>
      </c>
      <c r="B203">
        <v>20</v>
      </c>
    </row>
    <row r="204" spans="1:2" x14ac:dyDescent="0.25">
      <c r="A204" s="20" t="s">
        <v>7326</v>
      </c>
      <c r="B204">
        <v>4</v>
      </c>
    </row>
    <row r="205" spans="1:2" x14ac:dyDescent="0.25">
      <c r="A205" s="20" t="s">
        <v>819</v>
      </c>
      <c r="B205">
        <v>1</v>
      </c>
    </row>
    <row r="206" spans="1:2" x14ac:dyDescent="0.25">
      <c r="A206" s="20" t="s">
        <v>3074</v>
      </c>
      <c r="B206">
        <v>8</v>
      </c>
    </row>
    <row r="207" spans="1:2" x14ac:dyDescent="0.25">
      <c r="A207" s="20" t="s">
        <v>2194</v>
      </c>
      <c r="B207">
        <v>6</v>
      </c>
    </row>
    <row r="208" spans="1:2" x14ac:dyDescent="0.25">
      <c r="A208" s="20" t="s">
        <v>4320</v>
      </c>
      <c r="B208">
        <v>1</v>
      </c>
    </row>
    <row r="209" spans="1:2" x14ac:dyDescent="0.25">
      <c r="A209" s="20" t="s">
        <v>3032</v>
      </c>
      <c r="B209">
        <v>8</v>
      </c>
    </row>
    <row r="210" spans="1:2" x14ac:dyDescent="0.25">
      <c r="A210" s="20" t="s">
        <v>9295</v>
      </c>
      <c r="B210">
        <v>2</v>
      </c>
    </row>
    <row r="211" spans="1:2" x14ac:dyDescent="0.25">
      <c r="A211" s="20" t="s">
        <v>385</v>
      </c>
      <c r="B211">
        <v>5</v>
      </c>
    </row>
    <row r="212" spans="1:2" x14ac:dyDescent="0.25">
      <c r="A212" s="20" t="s">
        <v>1387</v>
      </c>
      <c r="B212">
        <v>11</v>
      </c>
    </row>
    <row r="213" spans="1:2" x14ac:dyDescent="0.25">
      <c r="A213" s="20" t="s">
        <v>3693</v>
      </c>
      <c r="B213">
        <v>1</v>
      </c>
    </row>
    <row r="214" spans="1:2" x14ac:dyDescent="0.25">
      <c r="A214" s="20" t="s">
        <v>437</v>
      </c>
      <c r="B214">
        <v>36</v>
      </c>
    </row>
    <row r="215" spans="1:2" x14ac:dyDescent="0.25">
      <c r="A215" s="20" t="s">
        <v>706</v>
      </c>
      <c r="B215">
        <v>6</v>
      </c>
    </row>
    <row r="216" spans="1:2" x14ac:dyDescent="0.25">
      <c r="A216" s="20" t="s">
        <v>802</v>
      </c>
      <c r="B216">
        <v>3</v>
      </c>
    </row>
    <row r="217" spans="1:2" x14ac:dyDescent="0.25">
      <c r="A217" s="20" t="s">
        <v>5714</v>
      </c>
      <c r="B217">
        <v>1</v>
      </c>
    </row>
    <row r="218" spans="1:2" x14ac:dyDescent="0.25">
      <c r="A218" s="20" t="s">
        <v>4180</v>
      </c>
      <c r="B218">
        <v>1</v>
      </c>
    </row>
    <row r="219" spans="1:2" x14ac:dyDescent="0.25">
      <c r="A219" s="20" t="s">
        <v>461</v>
      </c>
      <c r="B219">
        <v>1</v>
      </c>
    </row>
    <row r="220" spans="1:2" x14ac:dyDescent="0.25">
      <c r="A220" s="20" t="s">
        <v>7209</v>
      </c>
      <c r="B220">
        <v>2</v>
      </c>
    </row>
    <row r="221" spans="1:2" x14ac:dyDescent="0.25">
      <c r="A221" s="20" t="s">
        <v>8167</v>
      </c>
      <c r="B221">
        <v>2</v>
      </c>
    </row>
    <row r="222" spans="1:2" x14ac:dyDescent="0.25">
      <c r="A222" s="20" t="s">
        <v>2496</v>
      </c>
      <c r="B222">
        <v>13</v>
      </c>
    </row>
    <row r="223" spans="1:2" x14ac:dyDescent="0.25">
      <c r="A223" s="20" t="s">
        <v>8604</v>
      </c>
      <c r="B223">
        <v>1</v>
      </c>
    </row>
    <row r="224" spans="1:2" x14ac:dyDescent="0.25">
      <c r="A224" s="20" t="s">
        <v>814</v>
      </c>
      <c r="B224">
        <v>18</v>
      </c>
    </row>
    <row r="225" spans="1:2" x14ac:dyDescent="0.25">
      <c r="A225" s="20" t="s">
        <v>6014</v>
      </c>
      <c r="B225">
        <v>2</v>
      </c>
    </row>
    <row r="226" spans="1:2" x14ac:dyDescent="0.25">
      <c r="A226" s="20" t="s">
        <v>3150</v>
      </c>
      <c r="B226">
        <v>1</v>
      </c>
    </row>
    <row r="227" spans="1:2" x14ac:dyDescent="0.25">
      <c r="A227" s="20" t="s">
        <v>2180</v>
      </c>
      <c r="B227">
        <v>2</v>
      </c>
    </row>
    <row r="228" spans="1:2" x14ac:dyDescent="0.25">
      <c r="A228" s="20" t="s">
        <v>1334</v>
      </c>
      <c r="B228">
        <v>1</v>
      </c>
    </row>
    <row r="229" spans="1:2" x14ac:dyDescent="0.25">
      <c r="A229" s="20" t="s">
        <v>9253</v>
      </c>
      <c r="B229">
        <v>1</v>
      </c>
    </row>
    <row r="230" spans="1:2" x14ac:dyDescent="0.25">
      <c r="A230" s="20" t="s">
        <v>7051</v>
      </c>
      <c r="B230">
        <v>1</v>
      </c>
    </row>
    <row r="231" spans="1:2" x14ac:dyDescent="0.25">
      <c r="A231" s="20" t="s">
        <v>2824</v>
      </c>
      <c r="B231">
        <v>5</v>
      </c>
    </row>
    <row r="232" spans="1:2" x14ac:dyDescent="0.25">
      <c r="A232" s="20" t="s">
        <v>8953</v>
      </c>
      <c r="B232">
        <v>1</v>
      </c>
    </row>
    <row r="233" spans="1:2" x14ac:dyDescent="0.25">
      <c r="A233" s="20" t="s">
        <v>5801</v>
      </c>
      <c r="B233">
        <v>1</v>
      </c>
    </row>
    <row r="234" spans="1:2" x14ac:dyDescent="0.25">
      <c r="A234" s="20" t="s">
        <v>2133</v>
      </c>
      <c r="B234">
        <v>14</v>
      </c>
    </row>
    <row r="235" spans="1:2" x14ac:dyDescent="0.25">
      <c r="A235" s="20" t="s">
        <v>6401</v>
      </c>
      <c r="B235">
        <v>3</v>
      </c>
    </row>
    <row r="236" spans="1:2" x14ac:dyDescent="0.25">
      <c r="A236" s="20" t="s">
        <v>3608</v>
      </c>
      <c r="B236">
        <v>2</v>
      </c>
    </row>
    <row r="237" spans="1:2" x14ac:dyDescent="0.25">
      <c r="A237" s="20" t="s">
        <v>2745</v>
      </c>
      <c r="B237">
        <v>1</v>
      </c>
    </row>
    <row r="238" spans="1:2" x14ac:dyDescent="0.25">
      <c r="A238" s="20" t="s">
        <v>14534</v>
      </c>
      <c r="B238">
        <v>1162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2952"/>
  <sheetViews>
    <sheetView tabSelected="1" workbookViewId="0">
      <selection activeCell="S1601" sqref="S1601"/>
    </sheetView>
  </sheetViews>
  <sheetFormatPr defaultColWidth="9.625" defaultRowHeight="15.75" outlineLevelCol="1" x14ac:dyDescent="0.25"/>
  <cols>
    <col min="4" max="4" width="16.375" customWidth="1"/>
    <col min="5" max="5" width="9.875" hidden="1" customWidth="1"/>
    <col min="6" max="6" width="20.75" style="18" customWidth="1"/>
    <col min="8" max="8" width="17.5" customWidth="1"/>
    <col min="14" max="15" width="9.625" outlineLevel="1"/>
    <col min="18" max="18" width="13.875" customWidth="1"/>
    <col min="19" max="19" width="13.75" customWidth="1"/>
    <col min="22" max="22" width="16.25" bestFit="1" customWidth="1"/>
    <col min="25" max="26" width="9.875" bestFit="1" customWidth="1"/>
    <col min="31" max="32" width="0" hidden="1" customWidth="1"/>
    <col min="34" max="34" width="16.25" style="1" bestFit="1" customWidth="1"/>
    <col min="35" max="36" width="9.75" style="1" bestFit="1" customWidth="1"/>
    <col min="37" max="44" width="9.625" outlineLevel="1"/>
  </cols>
  <sheetData>
    <row r="1" spans="1:45" x14ac:dyDescent="0.25">
      <c r="A1" s="2" t="s">
        <v>1</v>
      </c>
      <c r="B1" s="3" t="s">
        <v>25</v>
      </c>
      <c r="C1" s="3" t="s">
        <v>4</v>
      </c>
      <c r="D1" s="3" t="s">
        <v>13</v>
      </c>
      <c r="E1" s="3" t="s">
        <v>16</v>
      </c>
      <c r="F1" s="15" t="s">
        <v>26</v>
      </c>
      <c r="G1" s="3" t="s">
        <v>27</v>
      </c>
      <c r="H1" s="3" t="s">
        <v>8</v>
      </c>
      <c r="I1" s="3" t="s">
        <v>9</v>
      </c>
      <c r="J1" s="3" t="s">
        <v>11</v>
      </c>
      <c r="K1" s="3" t="s">
        <v>5</v>
      </c>
      <c r="L1" s="3" t="s">
        <v>6</v>
      </c>
      <c r="M1" s="3" t="s">
        <v>2</v>
      </c>
      <c r="N1" s="3" t="s">
        <v>3</v>
      </c>
      <c r="O1" s="3" t="s">
        <v>7</v>
      </c>
      <c r="P1" s="3" t="s">
        <v>10</v>
      </c>
      <c r="Q1" s="3" t="s">
        <v>12</v>
      </c>
      <c r="R1" s="3" t="s">
        <v>14</v>
      </c>
      <c r="S1" s="3" t="s">
        <v>15</v>
      </c>
      <c r="T1" s="3" t="s">
        <v>17</v>
      </c>
      <c r="U1" s="3" t="s">
        <v>18</v>
      </c>
      <c r="V1" s="3" t="s">
        <v>19</v>
      </c>
      <c r="W1" s="3" t="s">
        <v>20</v>
      </c>
      <c r="X1" s="3" t="s">
        <v>21</v>
      </c>
      <c r="Y1" s="3" t="s">
        <v>22</v>
      </c>
      <c r="Z1" s="3" t="s">
        <v>23</v>
      </c>
      <c r="AA1" s="3" t="s">
        <v>24</v>
      </c>
      <c r="AB1" s="3" t="s">
        <v>28</v>
      </c>
      <c r="AC1" s="3" t="s">
        <v>29</v>
      </c>
      <c r="AD1" s="3" t="s">
        <v>30</v>
      </c>
      <c r="AE1" s="3" t="s">
        <v>31</v>
      </c>
      <c r="AF1" s="3" t="s">
        <v>32</v>
      </c>
      <c r="AG1" s="3" t="s">
        <v>10690</v>
      </c>
      <c r="AH1" s="4" t="s">
        <v>33</v>
      </c>
      <c r="AI1" s="4" t="s">
        <v>34</v>
      </c>
      <c r="AJ1" s="4" t="s">
        <v>35</v>
      </c>
      <c r="AK1" s="3" t="s">
        <v>36</v>
      </c>
      <c r="AL1" s="3" t="s">
        <v>37</v>
      </c>
      <c r="AM1" s="3" t="s">
        <v>38</v>
      </c>
      <c r="AN1" s="3" t="s">
        <v>39</v>
      </c>
      <c r="AO1" s="3" t="s">
        <v>41</v>
      </c>
      <c r="AP1" s="3" t="s">
        <v>40</v>
      </c>
      <c r="AQ1" s="3" t="s">
        <v>42</v>
      </c>
      <c r="AR1" s="3" t="s">
        <v>42</v>
      </c>
      <c r="AS1" s="5" t="s">
        <v>43</v>
      </c>
    </row>
    <row r="2" spans="1:45" hidden="1" x14ac:dyDescent="0.25">
      <c r="A2" s="6" t="s">
        <v>44</v>
      </c>
      <c r="B2" s="7" t="s">
        <v>225</v>
      </c>
      <c r="C2" s="7" t="s">
        <v>218</v>
      </c>
      <c r="D2" s="8" t="s">
        <v>0</v>
      </c>
      <c r="E2" s="8" t="s">
        <v>0</v>
      </c>
      <c r="F2" s="16" t="s">
        <v>226</v>
      </c>
      <c r="G2" s="7" t="s">
        <v>227</v>
      </c>
      <c r="H2" s="7" t="s">
        <v>0</v>
      </c>
      <c r="I2" s="7" t="s">
        <v>0</v>
      </c>
      <c r="J2" s="7" t="s">
        <v>0</v>
      </c>
      <c r="K2" s="7" t="s">
        <v>85</v>
      </c>
      <c r="L2" s="7" t="s">
        <v>86</v>
      </c>
      <c r="M2" s="7" t="s">
        <v>216</v>
      </c>
      <c r="N2" s="7" t="s">
        <v>217</v>
      </c>
      <c r="O2" s="7" t="s">
        <v>0</v>
      </c>
      <c r="P2" s="7" t="s">
        <v>216</v>
      </c>
      <c r="Q2" s="7" t="s">
        <v>219</v>
      </c>
      <c r="R2" s="7" t="s">
        <v>220</v>
      </c>
      <c r="S2" s="7" t="s">
        <v>221</v>
      </c>
      <c r="T2" s="7" t="s">
        <v>54</v>
      </c>
      <c r="U2" s="7" t="s">
        <v>222</v>
      </c>
      <c r="V2" s="7" t="s">
        <v>126</v>
      </c>
      <c r="W2" s="7" t="s">
        <v>74</v>
      </c>
      <c r="X2" s="7" t="s">
        <v>223</v>
      </c>
      <c r="Y2" s="8">
        <v>44927</v>
      </c>
      <c r="Z2" s="8" t="s">
        <v>0</v>
      </c>
      <c r="AA2" s="7" t="s">
        <v>224</v>
      </c>
      <c r="AB2" s="7" t="s">
        <v>228</v>
      </c>
      <c r="AC2" s="7" t="s">
        <v>65</v>
      </c>
      <c r="AD2" s="7" t="s">
        <v>0</v>
      </c>
      <c r="AE2" s="7" t="s">
        <v>0</v>
      </c>
      <c r="AF2" s="7" t="s">
        <v>0</v>
      </c>
      <c r="AG2" s="7" t="s">
        <v>0</v>
      </c>
      <c r="AH2" s="9" t="s">
        <v>0</v>
      </c>
      <c r="AI2" s="9" t="s">
        <v>0</v>
      </c>
      <c r="AJ2" s="9" t="s">
        <v>0</v>
      </c>
      <c r="AK2" s="7" t="s">
        <v>61</v>
      </c>
      <c r="AL2" s="7" t="s">
        <v>61</v>
      </c>
      <c r="AM2" s="7" t="s">
        <v>0</v>
      </c>
      <c r="AN2" s="7" t="s">
        <v>0</v>
      </c>
      <c r="AO2" s="7" t="s">
        <v>0</v>
      </c>
      <c r="AP2" s="7" t="s">
        <v>0</v>
      </c>
      <c r="AQ2" s="7" t="s">
        <v>61</v>
      </c>
      <c r="AR2" s="7" t="s">
        <v>0</v>
      </c>
      <c r="AS2" s="10" t="str">
        <f>HYPERLINK("https://tessa.gazprom-neft.local/edo/card/d4227f2a-5c8d-477d-896a-a2cf76a5bf31", "https://tessa.gazprom-neft.local/edo/card/d4227f2a-5c8d-477d-896a-a2cf76a5bf31")</f>
        <v>https://tessa.gazprom-neft.local/edo/card/d4227f2a-5c8d-477d-896a-a2cf76a5bf31</v>
      </c>
    </row>
    <row r="3" spans="1:45" x14ac:dyDescent="0.25">
      <c r="A3" s="6" t="s">
        <v>44</v>
      </c>
      <c r="B3" s="7" t="s">
        <v>436</v>
      </c>
      <c r="C3" s="7" t="s">
        <v>218</v>
      </c>
      <c r="D3" s="8" t="s">
        <v>0</v>
      </c>
      <c r="E3" s="8" t="s">
        <v>0</v>
      </c>
      <c r="F3" s="16" t="s">
        <v>437</v>
      </c>
      <c r="G3" s="7" t="s">
        <v>438</v>
      </c>
      <c r="H3" s="7" t="s">
        <v>483</v>
      </c>
      <c r="I3" s="7" t="s">
        <v>0</v>
      </c>
      <c r="J3" s="7" t="s">
        <v>0</v>
      </c>
      <c r="K3" s="7" t="s">
        <v>47</v>
      </c>
      <c r="L3" s="7" t="s">
        <v>48</v>
      </c>
      <c r="M3" s="7" t="s">
        <v>0</v>
      </c>
      <c r="N3" s="7" t="s">
        <v>482</v>
      </c>
      <c r="O3" s="7" t="s">
        <v>0</v>
      </c>
      <c r="P3" s="7" t="s">
        <v>0</v>
      </c>
      <c r="Q3" s="7" t="s">
        <v>0</v>
      </c>
      <c r="R3" s="7" t="s">
        <v>484</v>
      </c>
      <c r="S3" s="7" t="s">
        <v>0</v>
      </c>
      <c r="T3" s="7" t="s">
        <v>54</v>
      </c>
      <c r="U3" s="7" t="s">
        <v>274</v>
      </c>
      <c r="V3" s="7" t="s">
        <v>0</v>
      </c>
      <c r="W3" s="7" t="s">
        <v>0</v>
      </c>
      <c r="X3" s="7" t="s">
        <v>0</v>
      </c>
      <c r="Y3" s="8" t="s">
        <v>0</v>
      </c>
      <c r="Z3" s="8" t="s">
        <v>0</v>
      </c>
      <c r="AA3" s="7" t="s">
        <v>0</v>
      </c>
      <c r="AB3" s="7" t="s">
        <v>328</v>
      </c>
      <c r="AC3" s="7" t="s">
        <v>0</v>
      </c>
      <c r="AD3" s="7" t="s">
        <v>0</v>
      </c>
      <c r="AE3" s="7" t="s">
        <v>0</v>
      </c>
      <c r="AF3" s="7" t="s">
        <v>0</v>
      </c>
      <c r="AG3" s="7" t="s">
        <v>0</v>
      </c>
      <c r="AH3" s="9" t="s">
        <v>0</v>
      </c>
      <c r="AI3" s="9" t="s">
        <v>0</v>
      </c>
      <c r="AJ3" s="9" t="s">
        <v>0</v>
      </c>
      <c r="AK3" s="7" t="s">
        <v>61</v>
      </c>
      <c r="AL3" s="7" t="s">
        <v>61</v>
      </c>
      <c r="AM3" s="7" t="s">
        <v>0</v>
      </c>
      <c r="AN3" s="7" t="s">
        <v>0</v>
      </c>
      <c r="AO3" s="7" t="s">
        <v>0</v>
      </c>
      <c r="AP3" s="7" t="s">
        <v>0</v>
      </c>
      <c r="AQ3" s="7" t="s">
        <v>61</v>
      </c>
      <c r="AR3" s="7" t="s">
        <v>0</v>
      </c>
      <c r="AS3" s="10" t="str">
        <f>HYPERLINK("https://tessa.gazprom-neft.local/edo/card/10b443de-c307-4b93-ba38-e7097310320e", "https://tessa.gazprom-neft.local/edo/card/10b443de-c307-4b93-ba38-e7097310320e")</f>
        <v>https://tessa.gazprom-neft.local/edo/card/10b443de-c307-4b93-ba38-e7097310320e</v>
      </c>
    </row>
    <row r="4" spans="1:45" hidden="1" x14ac:dyDescent="0.25">
      <c r="A4" s="6" t="s">
        <v>44</v>
      </c>
      <c r="B4" s="7" t="s">
        <v>0</v>
      </c>
      <c r="C4" s="7" t="s">
        <v>218</v>
      </c>
      <c r="D4" s="8" t="s">
        <v>0</v>
      </c>
      <c r="E4" s="8" t="s">
        <v>0</v>
      </c>
      <c r="F4" s="16" t="s">
        <v>0</v>
      </c>
      <c r="G4" s="7" t="s">
        <v>0</v>
      </c>
      <c r="H4" s="7" t="s">
        <v>0</v>
      </c>
      <c r="I4" s="7" t="s">
        <v>0</v>
      </c>
      <c r="J4" s="7" t="s">
        <v>0</v>
      </c>
      <c r="K4" s="7" t="s">
        <v>0</v>
      </c>
      <c r="L4" s="7" t="s">
        <v>0</v>
      </c>
      <c r="M4" s="7" t="s">
        <v>0</v>
      </c>
      <c r="N4" s="7" t="s">
        <v>691</v>
      </c>
      <c r="O4" s="7" t="s">
        <v>0</v>
      </c>
      <c r="P4" s="7" t="s">
        <v>0</v>
      </c>
      <c r="Q4" s="7" t="s">
        <v>0</v>
      </c>
      <c r="R4" s="7" t="s">
        <v>671</v>
      </c>
      <c r="S4" s="7" t="s">
        <v>0</v>
      </c>
      <c r="T4" s="7" t="s">
        <v>54</v>
      </c>
      <c r="U4" s="7" t="s">
        <v>672</v>
      </c>
      <c r="V4" s="7" t="s">
        <v>0</v>
      </c>
      <c r="W4" s="7" t="s">
        <v>0</v>
      </c>
      <c r="X4" s="7" t="s">
        <v>0</v>
      </c>
      <c r="Y4" s="8" t="s">
        <v>0</v>
      </c>
      <c r="Z4" s="8" t="s">
        <v>0</v>
      </c>
      <c r="AA4" s="7" t="s">
        <v>0</v>
      </c>
      <c r="AB4" s="7" t="s">
        <v>0</v>
      </c>
      <c r="AC4" s="7" t="s">
        <v>0</v>
      </c>
      <c r="AD4" s="7" t="s">
        <v>0</v>
      </c>
      <c r="AE4" s="7" t="s">
        <v>0</v>
      </c>
      <c r="AF4" s="7" t="s">
        <v>0</v>
      </c>
      <c r="AG4" s="7" t="s">
        <v>0</v>
      </c>
      <c r="AH4" s="9" t="s">
        <v>0</v>
      </c>
      <c r="AI4" s="9" t="s">
        <v>0</v>
      </c>
      <c r="AJ4" s="9" t="s">
        <v>0</v>
      </c>
      <c r="AK4" s="7" t="s">
        <v>61</v>
      </c>
      <c r="AL4" s="7" t="s">
        <v>61</v>
      </c>
      <c r="AM4" s="7" t="s">
        <v>0</v>
      </c>
      <c r="AN4" s="7" t="s">
        <v>0</v>
      </c>
      <c r="AO4" s="7" t="s">
        <v>0</v>
      </c>
      <c r="AP4" s="7" t="s">
        <v>0</v>
      </c>
      <c r="AQ4" s="7" t="s">
        <v>61</v>
      </c>
      <c r="AR4" s="7" t="s">
        <v>0</v>
      </c>
      <c r="AS4" s="10" t="str">
        <f>HYPERLINK("https://tessa.gazprom-neft.local/edo/card/52cad7f9-6696-46e1-b795-819e8fe390bb", "https://tessa.gazprom-neft.local/edo/card/52cad7f9-6696-46e1-b795-819e8fe390bb")</f>
        <v>https://tessa.gazprom-neft.local/edo/card/52cad7f9-6696-46e1-b795-819e8fe390bb</v>
      </c>
    </row>
    <row r="5" spans="1:45" hidden="1" x14ac:dyDescent="0.25">
      <c r="A5" s="6" t="s">
        <v>44</v>
      </c>
      <c r="B5" s="7" t="s">
        <v>786</v>
      </c>
      <c r="C5" s="7" t="s">
        <v>218</v>
      </c>
      <c r="D5" s="8" t="s">
        <v>0</v>
      </c>
      <c r="E5" s="8" t="s">
        <v>0</v>
      </c>
      <c r="F5" s="16" t="s">
        <v>787</v>
      </c>
      <c r="G5" s="7" t="s">
        <v>788</v>
      </c>
      <c r="H5" s="7" t="s">
        <v>0</v>
      </c>
      <c r="I5" s="7" t="s">
        <v>0</v>
      </c>
      <c r="J5" s="7" t="s">
        <v>0</v>
      </c>
      <c r="K5" s="7" t="s">
        <v>85</v>
      </c>
      <c r="L5" s="7" t="s">
        <v>86</v>
      </c>
      <c r="M5" s="7" t="s">
        <v>289</v>
      </c>
      <c r="N5" s="7" t="s">
        <v>784</v>
      </c>
      <c r="O5" s="7" t="s">
        <v>0</v>
      </c>
      <c r="P5" s="7" t="s">
        <v>289</v>
      </c>
      <c r="Q5" s="7" t="s">
        <v>785</v>
      </c>
      <c r="R5" s="7" t="s">
        <v>361</v>
      </c>
      <c r="S5" s="7" t="s">
        <v>361</v>
      </c>
      <c r="T5" s="7" t="s">
        <v>54</v>
      </c>
      <c r="U5" s="7" t="s">
        <v>362</v>
      </c>
      <c r="V5" s="7" t="s">
        <v>295</v>
      </c>
      <c r="W5" s="7" t="s">
        <v>74</v>
      </c>
      <c r="X5" s="7" t="s">
        <v>223</v>
      </c>
      <c r="Y5" s="8">
        <v>45474</v>
      </c>
      <c r="Z5" s="8" t="s">
        <v>0</v>
      </c>
      <c r="AA5" s="7" t="s">
        <v>296</v>
      </c>
      <c r="AB5" s="7" t="s">
        <v>300</v>
      </c>
      <c r="AC5" s="7" t="s">
        <v>65</v>
      </c>
      <c r="AD5" s="7" t="s">
        <v>0</v>
      </c>
      <c r="AE5" s="7" t="s">
        <v>0</v>
      </c>
      <c r="AF5" s="7" t="s">
        <v>0</v>
      </c>
      <c r="AG5" s="7" t="s">
        <v>0</v>
      </c>
      <c r="AH5" s="9" t="s">
        <v>0</v>
      </c>
      <c r="AI5" s="9" t="s">
        <v>0</v>
      </c>
      <c r="AJ5" s="9" t="s">
        <v>0</v>
      </c>
      <c r="AK5" s="7" t="s">
        <v>61</v>
      </c>
      <c r="AL5" s="7" t="s">
        <v>61</v>
      </c>
      <c r="AM5" s="7" t="s">
        <v>0</v>
      </c>
      <c r="AN5" s="7" t="s">
        <v>0</v>
      </c>
      <c r="AO5" s="7" t="s">
        <v>0</v>
      </c>
      <c r="AP5" s="7" t="s">
        <v>0</v>
      </c>
      <c r="AQ5" s="7" t="s">
        <v>61</v>
      </c>
      <c r="AR5" s="7" t="s">
        <v>0</v>
      </c>
      <c r="AS5" s="10" t="str">
        <f>HYPERLINK("https://tessa.gazprom-neft.local/edo/card/c8c9e8d0-5847-4ace-813e-d0e6f01659fc", "https://tessa.gazprom-neft.local/edo/card/c8c9e8d0-5847-4ace-813e-d0e6f01659fc")</f>
        <v>https://tessa.gazprom-neft.local/edo/card/c8c9e8d0-5847-4ace-813e-d0e6f01659fc</v>
      </c>
    </row>
    <row r="6" spans="1:45" hidden="1" x14ac:dyDescent="0.25">
      <c r="A6" s="6" t="s">
        <v>44</v>
      </c>
      <c r="B6" s="7" t="s">
        <v>0</v>
      </c>
      <c r="C6" s="7" t="s">
        <v>218</v>
      </c>
      <c r="D6" s="8" t="s">
        <v>0</v>
      </c>
      <c r="E6" s="8" t="s">
        <v>0</v>
      </c>
      <c r="F6" s="16" t="s">
        <v>1058</v>
      </c>
      <c r="G6" s="7" t="s">
        <v>0</v>
      </c>
      <c r="H6" s="7" t="s">
        <v>0</v>
      </c>
      <c r="I6" s="7" t="s">
        <v>0</v>
      </c>
      <c r="J6" s="7" t="s">
        <v>0</v>
      </c>
      <c r="K6" s="7" t="s">
        <v>47</v>
      </c>
      <c r="L6" s="7" t="s">
        <v>96</v>
      </c>
      <c r="M6" s="7" t="s">
        <v>0</v>
      </c>
      <c r="N6" s="7" t="s">
        <v>1055</v>
      </c>
      <c r="O6" s="7" t="s">
        <v>0</v>
      </c>
      <c r="P6" s="7" t="s">
        <v>1056</v>
      </c>
      <c r="Q6" s="7" t="s">
        <v>1056</v>
      </c>
      <c r="R6" s="7" t="s">
        <v>1057</v>
      </c>
      <c r="S6" s="7" t="s">
        <v>0</v>
      </c>
      <c r="T6" s="7" t="s">
        <v>54</v>
      </c>
      <c r="U6" s="7" t="s">
        <v>188</v>
      </c>
      <c r="V6" s="7" t="s">
        <v>137</v>
      </c>
      <c r="W6" s="7" t="s">
        <v>0</v>
      </c>
      <c r="X6" s="7" t="s">
        <v>58</v>
      </c>
      <c r="Y6" s="8">
        <v>45327</v>
      </c>
      <c r="Z6" s="8" t="s">
        <v>0</v>
      </c>
      <c r="AA6" s="7" t="s">
        <v>0</v>
      </c>
      <c r="AB6" s="7" t="s">
        <v>64</v>
      </c>
      <c r="AC6" s="7" t="s">
        <v>79</v>
      </c>
      <c r="AD6" s="7" t="s">
        <v>0</v>
      </c>
      <c r="AE6" s="7" t="s">
        <v>0</v>
      </c>
      <c r="AF6" s="7" t="s">
        <v>0</v>
      </c>
      <c r="AG6" s="7" t="s">
        <v>0</v>
      </c>
      <c r="AH6" s="9" t="s">
        <v>0</v>
      </c>
      <c r="AI6" s="9" t="s">
        <v>0</v>
      </c>
      <c r="AJ6" s="9" t="s">
        <v>0</v>
      </c>
      <c r="AK6" s="7" t="s">
        <v>61</v>
      </c>
      <c r="AL6" s="7" t="s">
        <v>61</v>
      </c>
      <c r="AM6" s="7" t="s">
        <v>0</v>
      </c>
      <c r="AN6" s="7" t="s">
        <v>0</v>
      </c>
      <c r="AO6" s="7" t="s">
        <v>0</v>
      </c>
      <c r="AP6" s="7" t="s">
        <v>0</v>
      </c>
      <c r="AQ6" s="7" t="s">
        <v>61</v>
      </c>
      <c r="AR6" s="7" t="s">
        <v>0</v>
      </c>
      <c r="AS6" s="10" t="str">
        <f>HYPERLINK("https://tessa.gazprom-neft.local/edo/card/4bf76234-3c96-48ca-b34b-2aff9e8ff77f", "https://tessa.gazprom-neft.local/edo/card/4bf76234-3c96-48ca-b34b-2aff9e8ff77f")</f>
        <v>https://tessa.gazprom-neft.local/edo/card/4bf76234-3c96-48ca-b34b-2aff9e8ff77f</v>
      </c>
    </row>
    <row r="7" spans="1:45" hidden="1" x14ac:dyDescent="0.25">
      <c r="A7" s="6" t="s">
        <v>44</v>
      </c>
      <c r="B7" s="7" t="s">
        <v>1328</v>
      </c>
      <c r="C7" s="7" t="s">
        <v>218</v>
      </c>
      <c r="D7" s="8" t="s">
        <v>0</v>
      </c>
      <c r="E7" s="8" t="s">
        <v>0</v>
      </c>
      <c r="F7" s="16" t="s">
        <v>1329</v>
      </c>
      <c r="G7" s="7" t="s">
        <v>1330</v>
      </c>
      <c r="H7" s="7" t="s">
        <v>0</v>
      </c>
      <c r="I7" s="7" t="s">
        <v>0</v>
      </c>
      <c r="J7" s="7" t="s">
        <v>0</v>
      </c>
      <c r="K7" s="7" t="s">
        <v>47</v>
      </c>
      <c r="L7" s="7" t="s">
        <v>96</v>
      </c>
      <c r="M7" s="7" t="s">
        <v>0</v>
      </c>
      <c r="N7" s="7" t="s">
        <v>1325</v>
      </c>
      <c r="O7" s="7" t="s">
        <v>0</v>
      </c>
      <c r="P7" s="7" t="s">
        <v>1326</v>
      </c>
      <c r="Q7" s="7" t="s">
        <v>1327</v>
      </c>
      <c r="R7" s="7" t="s">
        <v>166</v>
      </c>
      <c r="S7" s="7" t="s">
        <v>166</v>
      </c>
      <c r="T7" s="7" t="s">
        <v>54</v>
      </c>
      <c r="U7" s="7" t="s">
        <v>167</v>
      </c>
      <c r="V7" s="7" t="s">
        <v>168</v>
      </c>
      <c r="W7" s="7" t="s">
        <v>57</v>
      </c>
      <c r="X7" s="7" t="s">
        <v>103</v>
      </c>
      <c r="Y7" s="8">
        <v>44986</v>
      </c>
      <c r="Z7" s="8">
        <v>46387</v>
      </c>
      <c r="AA7" s="7" t="s">
        <v>169</v>
      </c>
      <c r="AB7" s="7" t="s">
        <v>130</v>
      </c>
      <c r="AC7" s="7" t="s">
        <v>79</v>
      </c>
      <c r="AD7" s="7" t="s">
        <v>144</v>
      </c>
      <c r="AE7" s="7" t="s">
        <v>82</v>
      </c>
      <c r="AF7" s="7" t="s">
        <v>0</v>
      </c>
      <c r="AG7" s="7" t="s">
        <v>0</v>
      </c>
      <c r="AH7" s="9" t="s">
        <v>10991</v>
      </c>
      <c r="AI7" s="9" t="s">
        <v>10992</v>
      </c>
      <c r="AJ7" s="9" t="s">
        <v>10993</v>
      </c>
      <c r="AK7" s="7" t="s">
        <v>61</v>
      </c>
      <c r="AL7" s="7" t="s">
        <v>61</v>
      </c>
      <c r="AM7" s="7" t="s">
        <v>0</v>
      </c>
      <c r="AN7" s="7" t="s">
        <v>0</v>
      </c>
      <c r="AO7" s="7" t="s">
        <v>0</v>
      </c>
      <c r="AP7" s="7" t="s">
        <v>0</v>
      </c>
      <c r="AQ7" s="7" t="s">
        <v>61</v>
      </c>
      <c r="AR7" s="7" t="s">
        <v>0</v>
      </c>
      <c r="AS7" s="10" t="str">
        <f>HYPERLINK("https://tessa.gazprom-neft.local/edo/card/6020cc24-e49c-4738-84ac-0bc1956889a3", "https://tessa.gazprom-neft.local/edo/card/6020cc24-e49c-4738-84ac-0bc1956889a3")</f>
        <v>https://tessa.gazprom-neft.local/edo/card/6020cc24-e49c-4738-84ac-0bc1956889a3</v>
      </c>
    </row>
    <row r="8" spans="1:45" x14ac:dyDescent="0.25">
      <c r="A8" s="6" t="s">
        <v>44</v>
      </c>
      <c r="B8" s="7" t="s">
        <v>1084</v>
      </c>
      <c r="C8" s="7" t="s">
        <v>492</v>
      </c>
      <c r="D8" s="8" t="s">
        <v>0</v>
      </c>
      <c r="E8" s="8" t="s">
        <v>0</v>
      </c>
      <c r="F8" s="16" t="s">
        <v>1085</v>
      </c>
      <c r="G8" s="7" t="s">
        <v>1086</v>
      </c>
      <c r="H8" s="7" t="s">
        <v>1518</v>
      </c>
      <c r="I8" s="7" t="s">
        <v>0</v>
      </c>
      <c r="J8" s="7" t="s">
        <v>0</v>
      </c>
      <c r="K8" s="7" t="s">
        <v>47</v>
      </c>
      <c r="L8" s="7" t="s">
        <v>48</v>
      </c>
      <c r="M8" s="7" t="s">
        <v>0</v>
      </c>
      <c r="N8" s="7" t="s">
        <v>1517</v>
      </c>
      <c r="O8" s="7" t="s">
        <v>0</v>
      </c>
      <c r="P8" s="7" t="s">
        <v>50</v>
      </c>
      <c r="Q8" s="7" t="s">
        <v>1146</v>
      </c>
      <c r="R8" s="7" t="s">
        <v>1083</v>
      </c>
      <c r="S8" s="7" t="s">
        <v>1519</v>
      </c>
      <c r="T8" s="7" t="s">
        <v>54</v>
      </c>
      <c r="U8" s="7" t="s">
        <v>274</v>
      </c>
      <c r="V8" s="7" t="s">
        <v>56</v>
      </c>
      <c r="W8" s="7" t="s">
        <v>57</v>
      </c>
      <c r="X8" s="7" t="s">
        <v>103</v>
      </c>
      <c r="Y8" s="8">
        <v>44603</v>
      </c>
      <c r="Z8" s="8">
        <v>46387</v>
      </c>
      <c r="AA8" s="7" t="s">
        <v>0</v>
      </c>
      <c r="AB8" s="7" t="s">
        <v>130</v>
      </c>
      <c r="AC8" s="7" t="s">
        <v>278</v>
      </c>
      <c r="AD8" s="7" t="s">
        <v>80</v>
      </c>
      <c r="AE8" s="7" t="s">
        <v>82</v>
      </c>
      <c r="AF8" s="7" t="s">
        <v>0</v>
      </c>
      <c r="AG8" s="7" t="s">
        <v>0</v>
      </c>
      <c r="AH8" s="9" t="s">
        <v>11048</v>
      </c>
      <c r="AI8" s="9" t="s">
        <v>11049</v>
      </c>
      <c r="AJ8" s="9" t="s">
        <v>11050</v>
      </c>
      <c r="AK8" s="7" t="s">
        <v>61</v>
      </c>
      <c r="AL8" s="7" t="s">
        <v>61</v>
      </c>
      <c r="AM8" s="7" t="s">
        <v>0</v>
      </c>
      <c r="AN8" s="7" t="s">
        <v>0</v>
      </c>
      <c r="AO8" s="7" t="s">
        <v>0</v>
      </c>
      <c r="AP8" s="7" t="s">
        <v>0</v>
      </c>
      <c r="AQ8" s="7" t="s">
        <v>61</v>
      </c>
      <c r="AR8" s="7" t="s">
        <v>0</v>
      </c>
      <c r="AS8" s="10" t="str">
        <f>HYPERLINK("https://tessa.gazprom-neft.local/edo/card/11343dae-2382-4ca1-bcdc-9c729784b22f", "https://tessa.gazprom-neft.local/edo/card/11343dae-2382-4ca1-bcdc-9c729784b22f")</f>
        <v>https://tessa.gazprom-neft.local/edo/card/11343dae-2382-4ca1-bcdc-9c729784b22f</v>
      </c>
    </row>
    <row r="9" spans="1:45" hidden="1" x14ac:dyDescent="0.25">
      <c r="A9" s="6" t="s">
        <v>44</v>
      </c>
      <c r="B9" s="7" t="s">
        <v>1140</v>
      </c>
      <c r="C9" s="7" t="s">
        <v>218</v>
      </c>
      <c r="D9" s="8" t="s">
        <v>0</v>
      </c>
      <c r="E9" s="8" t="s">
        <v>0</v>
      </c>
      <c r="F9" s="16" t="s">
        <v>1141</v>
      </c>
      <c r="G9" s="7" t="s">
        <v>1142</v>
      </c>
      <c r="H9" s="7" t="s">
        <v>1136</v>
      </c>
      <c r="I9" s="7" t="s">
        <v>0</v>
      </c>
      <c r="J9" s="7" t="s">
        <v>156</v>
      </c>
      <c r="K9" s="7" t="s">
        <v>47</v>
      </c>
      <c r="L9" s="7" t="s">
        <v>239</v>
      </c>
      <c r="M9" s="7" t="s">
        <v>0</v>
      </c>
      <c r="N9" s="7" t="s">
        <v>1872</v>
      </c>
      <c r="O9" s="7" t="s">
        <v>0</v>
      </c>
      <c r="P9" s="7" t="s">
        <v>1873</v>
      </c>
      <c r="Q9" s="7" t="s">
        <v>1874</v>
      </c>
      <c r="R9" s="7" t="s">
        <v>124</v>
      </c>
      <c r="S9" s="7" t="s">
        <v>0</v>
      </c>
      <c r="T9" s="7" t="s">
        <v>54</v>
      </c>
      <c r="U9" s="7" t="s">
        <v>0</v>
      </c>
      <c r="V9" s="7" t="s">
        <v>308</v>
      </c>
      <c r="W9" s="7" t="s">
        <v>74</v>
      </c>
      <c r="X9" s="7" t="s">
        <v>0</v>
      </c>
      <c r="Y9" s="8" t="s">
        <v>0</v>
      </c>
      <c r="Z9" s="8" t="s">
        <v>0</v>
      </c>
      <c r="AA9" s="7" t="s">
        <v>309</v>
      </c>
      <c r="AB9" s="7" t="s">
        <v>1143</v>
      </c>
      <c r="AC9" s="7" t="s">
        <v>79</v>
      </c>
      <c r="AD9" s="7" t="s">
        <v>144</v>
      </c>
      <c r="AE9" s="7" t="s">
        <v>0</v>
      </c>
      <c r="AF9" s="7" t="s">
        <v>0</v>
      </c>
      <c r="AG9" s="7" t="s">
        <v>0</v>
      </c>
      <c r="AH9" s="9" t="s">
        <v>0</v>
      </c>
      <c r="AI9" s="9" t="s">
        <v>0</v>
      </c>
      <c r="AJ9" s="9" t="s">
        <v>0</v>
      </c>
      <c r="AK9" s="7" t="s">
        <v>61</v>
      </c>
      <c r="AL9" s="7" t="s">
        <v>61</v>
      </c>
      <c r="AM9" s="7" t="s">
        <v>0</v>
      </c>
      <c r="AN9" s="7" t="s">
        <v>0</v>
      </c>
      <c r="AO9" s="7" t="s">
        <v>0</v>
      </c>
      <c r="AP9" s="7" t="s">
        <v>0</v>
      </c>
      <c r="AQ9" s="7" t="s">
        <v>61</v>
      </c>
      <c r="AR9" s="7" t="s">
        <v>0</v>
      </c>
      <c r="AS9" s="10" t="str">
        <f>HYPERLINK("https://tessa.gazprom-neft.local/edo/card/cfea624c-481a-40c4-9b8e-3e528ebde009", "https://tessa.gazprom-neft.local/edo/card/cfea624c-481a-40c4-9b8e-3e528ebde009")</f>
        <v>https://tessa.gazprom-neft.local/edo/card/cfea624c-481a-40c4-9b8e-3e528ebde009</v>
      </c>
    </row>
    <row r="10" spans="1:45" hidden="1" x14ac:dyDescent="0.25">
      <c r="A10" s="6" t="s">
        <v>44</v>
      </c>
      <c r="B10" s="7" t="s">
        <v>0</v>
      </c>
      <c r="C10" s="7" t="s">
        <v>218</v>
      </c>
      <c r="D10" s="8" t="s">
        <v>0</v>
      </c>
      <c r="E10" s="8" t="s">
        <v>0</v>
      </c>
      <c r="F10" s="16" t="s">
        <v>0</v>
      </c>
      <c r="G10" s="7" t="s">
        <v>0</v>
      </c>
      <c r="H10" s="7" t="s">
        <v>0</v>
      </c>
      <c r="I10" s="7" t="s">
        <v>0</v>
      </c>
      <c r="J10" s="7" t="s">
        <v>0</v>
      </c>
      <c r="K10" s="7" t="s">
        <v>85</v>
      </c>
      <c r="L10" s="7" t="s">
        <v>0</v>
      </c>
      <c r="M10" s="7" t="s">
        <v>0</v>
      </c>
      <c r="N10" s="7" t="s">
        <v>1915</v>
      </c>
      <c r="O10" s="7" t="s">
        <v>0</v>
      </c>
      <c r="P10" s="7" t="s">
        <v>0</v>
      </c>
      <c r="Q10" s="7" t="s">
        <v>0</v>
      </c>
      <c r="R10" s="7" t="s">
        <v>1011</v>
      </c>
      <c r="S10" s="7" t="s">
        <v>0</v>
      </c>
      <c r="T10" s="7" t="s">
        <v>54</v>
      </c>
      <c r="U10" s="7" t="s">
        <v>1012</v>
      </c>
      <c r="V10" s="7" t="s">
        <v>0</v>
      </c>
      <c r="W10" s="7" t="s">
        <v>0</v>
      </c>
      <c r="X10" s="7" t="s">
        <v>0</v>
      </c>
      <c r="Y10" s="8" t="s">
        <v>0</v>
      </c>
      <c r="Z10" s="8" t="s">
        <v>0</v>
      </c>
      <c r="AA10" s="7" t="s">
        <v>0</v>
      </c>
      <c r="AB10" s="7" t="s">
        <v>0</v>
      </c>
      <c r="AC10" s="7" t="s">
        <v>0</v>
      </c>
      <c r="AD10" s="7" t="s">
        <v>0</v>
      </c>
      <c r="AE10" s="7" t="s">
        <v>0</v>
      </c>
      <c r="AF10" s="7" t="s">
        <v>0</v>
      </c>
      <c r="AG10" s="7" t="s">
        <v>0</v>
      </c>
      <c r="AH10" s="9" t="s">
        <v>0</v>
      </c>
      <c r="AI10" s="9" t="s">
        <v>0</v>
      </c>
      <c r="AJ10" s="9" t="s">
        <v>0</v>
      </c>
      <c r="AK10" s="7" t="s">
        <v>61</v>
      </c>
      <c r="AL10" s="7" t="s">
        <v>61</v>
      </c>
      <c r="AM10" s="7" t="s">
        <v>0</v>
      </c>
      <c r="AN10" s="7" t="s">
        <v>0</v>
      </c>
      <c r="AO10" s="7" t="s">
        <v>0</v>
      </c>
      <c r="AP10" s="7" t="s">
        <v>0</v>
      </c>
      <c r="AQ10" s="7" t="s">
        <v>61</v>
      </c>
      <c r="AR10" s="7" t="s">
        <v>0</v>
      </c>
      <c r="AS10" s="10" t="str">
        <f>HYPERLINK("https://tessa.gazprom-neft.local/edo/card/1d46642f-6429-4a6b-b65d-de96e8c8fb92", "https://tessa.gazprom-neft.local/edo/card/1d46642f-6429-4a6b-b65d-de96e8c8fb92")</f>
        <v>https://tessa.gazprom-neft.local/edo/card/1d46642f-6429-4a6b-b65d-de96e8c8fb92</v>
      </c>
    </row>
    <row r="11" spans="1:45" hidden="1" x14ac:dyDescent="0.25">
      <c r="A11" s="6" t="s">
        <v>44</v>
      </c>
      <c r="B11" s="7" t="s">
        <v>0</v>
      </c>
      <c r="C11" s="7" t="s">
        <v>218</v>
      </c>
      <c r="D11" s="8" t="s">
        <v>0</v>
      </c>
      <c r="E11" s="8" t="s">
        <v>0</v>
      </c>
      <c r="F11" s="16" t="s">
        <v>0</v>
      </c>
      <c r="G11" s="7" t="s">
        <v>0</v>
      </c>
      <c r="H11" s="7" t="s">
        <v>0</v>
      </c>
      <c r="I11" s="7" t="s">
        <v>0</v>
      </c>
      <c r="J11" s="7" t="s">
        <v>0</v>
      </c>
      <c r="K11" s="7" t="s">
        <v>0</v>
      </c>
      <c r="L11" s="7" t="s">
        <v>0</v>
      </c>
      <c r="M11" s="7" t="s">
        <v>0</v>
      </c>
      <c r="N11" s="7" t="s">
        <v>1945</v>
      </c>
      <c r="O11" s="7" t="s">
        <v>0</v>
      </c>
      <c r="P11" s="7" t="s">
        <v>0</v>
      </c>
      <c r="Q11" s="7" t="s">
        <v>0</v>
      </c>
      <c r="R11" s="7" t="s">
        <v>1125</v>
      </c>
      <c r="S11" s="7" t="s">
        <v>0</v>
      </c>
      <c r="T11" s="7" t="s">
        <v>54</v>
      </c>
      <c r="U11" s="7" t="s">
        <v>188</v>
      </c>
      <c r="V11" s="7" t="s">
        <v>0</v>
      </c>
      <c r="W11" s="7" t="s">
        <v>0</v>
      </c>
      <c r="X11" s="7" t="s">
        <v>0</v>
      </c>
      <c r="Y11" s="8" t="s">
        <v>0</v>
      </c>
      <c r="Z11" s="8" t="s">
        <v>0</v>
      </c>
      <c r="AA11" s="7" t="s">
        <v>0</v>
      </c>
      <c r="AB11" s="7" t="s">
        <v>0</v>
      </c>
      <c r="AC11" s="7" t="s">
        <v>0</v>
      </c>
      <c r="AD11" s="7" t="s">
        <v>0</v>
      </c>
      <c r="AE11" s="7" t="s">
        <v>0</v>
      </c>
      <c r="AF11" s="7" t="s">
        <v>0</v>
      </c>
      <c r="AG11" s="7" t="s">
        <v>0</v>
      </c>
      <c r="AH11" s="9" t="s">
        <v>0</v>
      </c>
      <c r="AI11" s="9" t="s">
        <v>0</v>
      </c>
      <c r="AJ11" s="9" t="s">
        <v>0</v>
      </c>
      <c r="AK11" s="7" t="s">
        <v>61</v>
      </c>
      <c r="AL11" s="7" t="s">
        <v>61</v>
      </c>
      <c r="AM11" s="7" t="s">
        <v>0</v>
      </c>
      <c r="AN11" s="7" t="s">
        <v>0</v>
      </c>
      <c r="AO11" s="7" t="s">
        <v>0</v>
      </c>
      <c r="AP11" s="7" t="s">
        <v>0</v>
      </c>
      <c r="AQ11" s="7" t="s">
        <v>61</v>
      </c>
      <c r="AR11" s="7" t="s">
        <v>0</v>
      </c>
      <c r="AS11" s="10" t="str">
        <f>HYPERLINK("https://tessa.gazprom-neft.local/edo/card/0a09fe10-2783-462a-bf08-bbee8eec1e03", "https://tessa.gazprom-neft.local/edo/card/0a09fe10-2783-462a-bf08-bbee8eec1e03")</f>
        <v>https://tessa.gazprom-neft.local/edo/card/0a09fe10-2783-462a-bf08-bbee8eec1e03</v>
      </c>
    </row>
    <row r="12" spans="1:45" hidden="1" x14ac:dyDescent="0.25">
      <c r="A12" s="6" t="s">
        <v>44</v>
      </c>
      <c r="B12" s="7" t="s">
        <v>2124</v>
      </c>
      <c r="C12" s="7" t="s">
        <v>218</v>
      </c>
      <c r="D12" s="8" t="s">
        <v>0</v>
      </c>
      <c r="E12" s="8" t="s">
        <v>0</v>
      </c>
      <c r="F12" s="16" t="s">
        <v>2125</v>
      </c>
      <c r="G12" s="7" t="s">
        <v>2126</v>
      </c>
      <c r="H12" s="7" t="s">
        <v>0</v>
      </c>
      <c r="I12" s="7" t="s">
        <v>0</v>
      </c>
      <c r="J12" s="7" t="s">
        <v>0</v>
      </c>
      <c r="K12" s="7" t="s">
        <v>47</v>
      </c>
      <c r="L12" s="7" t="s">
        <v>96</v>
      </c>
      <c r="M12" s="7" t="s">
        <v>0</v>
      </c>
      <c r="N12" s="7" t="s">
        <v>2121</v>
      </c>
      <c r="O12" s="7" t="s">
        <v>0</v>
      </c>
      <c r="P12" s="7" t="s">
        <v>64</v>
      </c>
      <c r="Q12" s="7" t="s">
        <v>2122</v>
      </c>
      <c r="R12" s="7" t="s">
        <v>2123</v>
      </c>
      <c r="S12" s="7" t="s">
        <v>0</v>
      </c>
      <c r="T12" s="7" t="s">
        <v>54</v>
      </c>
      <c r="U12" s="7" t="s">
        <v>478</v>
      </c>
      <c r="V12" s="7" t="s">
        <v>137</v>
      </c>
      <c r="W12" s="7" t="s">
        <v>57</v>
      </c>
      <c r="X12" s="7" t="s">
        <v>103</v>
      </c>
      <c r="Y12" s="8">
        <v>44328</v>
      </c>
      <c r="Z12" s="8">
        <v>44421</v>
      </c>
      <c r="AA12" s="7" t="s">
        <v>0</v>
      </c>
      <c r="AB12" s="7" t="s">
        <v>192</v>
      </c>
      <c r="AC12" s="7" t="s">
        <v>79</v>
      </c>
      <c r="AD12" s="7" t="s">
        <v>80</v>
      </c>
      <c r="AE12" s="7" t="s">
        <v>193</v>
      </c>
      <c r="AF12" s="7" t="s">
        <v>0</v>
      </c>
      <c r="AG12" s="7" t="s">
        <v>0</v>
      </c>
      <c r="AH12" s="9" t="s">
        <v>11248</v>
      </c>
      <c r="AI12" s="9" t="s">
        <v>11249</v>
      </c>
      <c r="AJ12" s="9" t="s">
        <v>11250</v>
      </c>
      <c r="AK12" s="7" t="s">
        <v>61</v>
      </c>
      <c r="AL12" s="7" t="s">
        <v>61</v>
      </c>
      <c r="AM12" s="7" t="s">
        <v>0</v>
      </c>
      <c r="AN12" s="7" t="s">
        <v>0</v>
      </c>
      <c r="AO12" s="7" t="s">
        <v>0</v>
      </c>
      <c r="AP12" s="7" t="s">
        <v>0</v>
      </c>
      <c r="AQ12" s="7" t="s">
        <v>61</v>
      </c>
      <c r="AR12" s="7" t="s">
        <v>0</v>
      </c>
      <c r="AS12" s="10" t="str">
        <f>HYPERLINK("https://tessa.gazprom-neft.local/edo/card/0e11608c-5845-4c89-81d0-9c95a526475f", "https://tessa.gazprom-neft.local/edo/card/0e11608c-5845-4c89-81d0-9c95a526475f")</f>
        <v>https://tessa.gazprom-neft.local/edo/card/0e11608c-5845-4c89-81d0-9c95a526475f</v>
      </c>
    </row>
    <row r="13" spans="1:45" hidden="1" x14ac:dyDescent="0.25">
      <c r="A13" s="6" t="s">
        <v>44</v>
      </c>
      <c r="B13" s="7" t="s">
        <v>737</v>
      </c>
      <c r="C13" s="7" t="s">
        <v>218</v>
      </c>
      <c r="D13" s="8" t="s">
        <v>0</v>
      </c>
      <c r="E13" s="8" t="s">
        <v>0</v>
      </c>
      <c r="F13" s="16" t="s">
        <v>738</v>
      </c>
      <c r="G13" s="7" t="s">
        <v>739</v>
      </c>
      <c r="H13" s="7" t="s">
        <v>0</v>
      </c>
      <c r="I13" s="7" t="s">
        <v>0</v>
      </c>
      <c r="J13" s="7" t="s">
        <v>0</v>
      </c>
      <c r="K13" s="7" t="s">
        <v>85</v>
      </c>
      <c r="L13" s="7" t="s">
        <v>86</v>
      </c>
      <c r="M13" s="7" t="s">
        <v>2736</v>
      </c>
      <c r="N13" s="7" t="s">
        <v>2750</v>
      </c>
      <c r="O13" s="7" t="s">
        <v>0</v>
      </c>
      <c r="P13" s="7" t="s">
        <v>2736</v>
      </c>
      <c r="Q13" s="7" t="s">
        <v>2739</v>
      </c>
      <c r="R13" s="7" t="s">
        <v>540</v>
      </c>
      <c r="S13" s="7" t="s">
        <v>0</v>
      </c>
      <c r="T13" s="7" t="s">
        <v>54</v>
      </c>
      <c r="U13" s="7" t="s">
        <v>541</v>
      </c>
      <c r="V13" s="7" t="s">
        <v>56</v>
      </c>
      <c r="W13" s="7" t="s">
        <v>74</v>
      </c>
      <c r="X13" s="7" t="s">
        <v>223</v>
      </c>
      <c r="Y13" s="8">
        <v>45008</v>
      </c>
      <c r="Z13" s="8" t="s">
        <v>0</v>
      </c>
      <c r="AA13" s="7" t="s">
        <v>59</v>
      </c>
      <c r="AB13" s="7" t="s">
        <v>300</v>
      </c>
      <c r="AC13" s="7" t="s">
        <v>65</v>
      </c>
      <c r="AD13" s="7" t="s">
        <v>0</v>
      </c>
      <c r="AE13" s="7" t="s">
        <v>0</v>
      </c>
      <c r="AF13" s="7" t="s">
        <v>0</v>
      </c>
      <c r="AG13" s="7" t="s">
        <v>0</v>
      </c>
      <c r="AH13" s="9" t="s">
        <v>0</v>
      </c>
      <c r="AI13" s="9" t="s">
        <v>0</v>
      </c>
      <c r="AJ13" s="9" t="s">
        <v>0</v>
      </c>
      <c r="AK13" s="7" t="s">
        <v>61</v>
      </c>
      <c r="AL13" s="7" t="s">
        <v>61</v>
      </c>
      <c r="AM13" s="7" t="s">
        <v>0</v>
      </c>
      <c r="AN13" s="7" t="s">
        <v>0</v>
      </c>
      <c r="AO13" s="7" t="s">
        <v>0</v>
      </c>
      <c r="AP13" s="7" t="s">
        <v>0</v>
      </c>
      <c r="AQ13" s="7" t="s">
        <v>61</v>
      </c>
      <c r="AR13" s="7" t="s">
        <v>0</v>
      </c>
      <c r="AS13" s="10" t="str">
        <f>HYPERLINK("https://tessa.gazprom-neft.local/edo/card/91f03338-bc52-4c38-92cc-b1d2257a1749", "https://tessa.gazprom-neft.local/edo/card/91f03338-bc52-4c38-92cc-b1d2257a1749")</f>
        <v>https://tessa.gazprom-neft.local/edo/card/91f03338-bc52-4c38-92cc-b1d2257a1749</v>
      </c>
    </row>
    <row r="14" spans="1:45" hidden="1" x14ac:dyDescent="0.25">
      <c r="A14" s="6" t="s">
        <v>44</v>
      </c>
      <c r="B14" s="7" t="s">
        <v>0</v>
      </c>
      <c r="C14" s="7" t="s">
        <v>218</v>
      </c>
      <c r="D14" s="8" t="s">
        <v>0</v>
      </c>
      <c r="E14" s="8" t="s">
        <v>0</v>
      </c>
      <c r="F14" s="16" t="s">
        <v>0</v>
      </c>
      <c r="G14" s="7" t="s">
        <v>0</v>
      </c>
      <c r="H14" s="7" t="s">
        <v>0</v>
      </c>
      <c r="I14" s="7" t="s">
        <v>0</v>
      </c>
      <c r="J14" s="7" t="s">
        <v>0</v>
      </c>
      <c r="K14" s="7" t="s">
        <v>47</v>
      </c>
      <c r="L14" s="7" t="s">
        <v>0</v>
      </c>
      <c r="M14" s="7" t="s">
        <v>0</v>
      </c>
      <c r="N14" s="7" t="s">
        <v>2767</v>
      </c>
      <c r="O14" s="7" t="s">
        <v>0</v>
      </c>
      <c r="P14" s="7" t="s">
        <v>0</v>
      </c>
      <c r="Q14" s="7" t="s">
        <v>0</v>
      </c>
      <c r="R14" s="7" t="s">
        <v>2768</v>
      </c>
      <c r="S14" s="7" t="s">
        <v>0</v>
      </c>
      <c r="T14" s="7" t="s">
        <v>54</v>
      </c>
      <c r="U14" s="7" t="s">
        <v>2769</v>
      </c>
      <c r="V14" s="7" t="s">
        <v>0</v>
      </c>
      <c r="W14" s="7" t="s">
        <v>0</v>
      </c>
      <c r="X14" s="7" t="s">
        <v>0</v>
      </c>
      <c r="Y14" s="8" t="s">
        <v>0</v>
      </c>
      <c r="Z14" s="8" t="s">
        <v>0</v>
      </c>
      <c r="AA14" s="7" t="s">
        <v>0</v>
      </c>
      <c r="AB14" s="7" t="s">
        <v>0</v>
      </c>
      <c r="AC14" s="7" t="s">
        <v>0</v>
      </c>
      <c r="AD14" s="7" t="s">
        <v>0</v>
      </c>
      <c r="AE14" s="7" t="s">
        <v>0</v>
      </c>
      <c r="AF14" s="7" t="s">
        <v>0</v>
      </c>
      <c r="AG14" s="7" t="s">
        <v>0</v>
      </c>
      <c r="AH14" s="9" t="s">
        <v>0</v>
      </c>
      <c r="AI14" s="9" t="s">
        <v>0</v>
      </c>
      <c r="AJ14" s="9" t="s">
        <v>0</v>
      </c>
      <c r="AK14" s="7" t="s">
        <v>61</v>
      </c>
      <c r="AL14" s="7" t="s">
        <v>61</v>
      </c>
      <c r="AM14" s="7" t="s">
        <v>0</v>
      </c>
      <c r="AN14" s="7" t="s">
        <v>0</v>
      </c>
      <c r="AO14" s="7" t="s">
        <v>0</v>
      </c>
      <c r="AP14" s="7" t="s">
        <v>0</v>
      </c>
      <c r="AQ14" s="7" t="s">
        <v>61</v>
      </c>
      <c r="AR14" s="7" t="s">
        <v>0</v>
      </c>
      <c r="AS14" s="10" t="str">
        <f>HYPERLINK("https://tessa.gazprom-neft.local/edo/card/cde78164-d525-41a1-b130-cc5f7288089f", "https://tessa.gazprom-neft.local/edo/card/cde78164-d525-41a1-b130-cc5f7288089f")</f>
        <v>https://tessa.gazprom-neft.local/edo/card/cde78164-d525-41a1-b130-cc5f7288089f</v>
      </c>
    </row>
    <row r="15" spans="1:45" hidden="1" x14ac:dyDescent="0.25">
      <c r="A15" s="6" t="s">
        <v>44</v>
      </c>
      <c r="B15" s="7" t="s">
        <v>0</v>
      </c>
      <c r="C15" s="7" t="s">
        <v>218</v>
      </c>
      <c r="D15" s="8" t="s">
        <v>0</v>
      </c>
      <c r="E15" s="8" t="s">
        <v>0</v>
      </c>
      <c r="F15" s="16" t="s">
        <v>842</v>
      </c>
      <c r="G15" s="7" t="s">
        <v>0</v>
      </c>
      <c r="H15" s="7" t="s">
        <v>0</v>
      </c>
      <c r="I15" s="7" t="s">
        <v>0</v>
      </c>
      <c r="J15" s="7" t="s">
        <v>0</v>
      </c>
      <c r="K15" s="7" t="s">
        <v>47</v>
      </c>
      <c r="L15" s="7" t="s">
        <v>86</v>
      </c>
      <c r="M15" s="7" t="s">
        <v>0</v>
      </c>
      <c r="N15" s="7" t="s">
        <v>2863</v>
      </c>
      <c r="O15" s="7" t="s">
        <v>0</v>
      </c>
      <c r="P15" s="7" t="s">
        <v>94</v>
      </c>
      <c r="Q15" s="7" t="s">
        <v>94</v>
      </c>
      <c r="R15" s="7" t="s">
        <v>233</v>
      </c>
      <c r="S15" s="7" t="s">
        <v>233</v>
      </c>
      <c r="T15" s="7" t="s">
        <v>54</v>
      </c>
      <c r="U15" s="7" t="s">
        <v>55</v>
      </c>
      <c r="V15" s="7" t="s">
        <v>56</v>
      </c>
      <c r="W15" s="7" t="s">
        <v>829</v>
      </c>
      <c r="X15" s="7" t="s">
        <v>103</v>
      </c>
      <c r="Y15" s="8">
        <v>44995</v>
      </c>
      <c r="Z15" s="8">
        <v>45291</v>
      </c>
      <c r="AA15" s="7" t="s">
        <v>59</v>
      </c>
      <c r="AB15" s="7" t="s">
        <v>94</v>
      </c>
      <c r="AC15" s="7" t="s">
        <v>0</v>
      </c>
      <c r="AD15" s="7" t="s">
        <v>0</v>
      </c>
      <c r="AE15" s="7" t="s">
        <v>0</v>
      </c>
      <c r="AF15" s="7" t="s">
        <v>0</v>
      </c>
      <c r="AG15" s="7" t="s">
        <v>0</v>
      </c>
      <c r="AH15" s="9" t="s">
        <v>0</v>
      </c>
      <c r="AI15" s="9" t="s">
        <v>0</v>
      </c>
      <c r="AJ15" s="9" t="s">
        <v>0</v>
      </c>
      <c r="AK15" s="7" t="s">
        <v>61</v>
      </c>
      <c r="AL15" s="7" t="s">
        <v>61</v>
      </c>
      <c r="AM15" s="7" t="s">
        <v>0</v>
      </c>
      <c r="AN15" s="7" t="s">
        <v>0</v>
      </c>
      <c r="AO15" s="7" t="s">
        <v>0</v>
      </c>
      <c r="AP15" s="7" t="s">
        <v>0</v>
      </c>
      <c r="AQ15" s="7" t="s">
        <v>61</v>
      </c>
      <c r="AR15" s="7" t="s">
        <v>0</v>
      </c>
      <c r="AS15" s="10" t="str">
        <f>HYPERLINK("https://tessa.gazprom-neft.local/edo/card/be8d3716-4ec3-41ea-a254-633e7e3d87a5", "https://tessa.gazprom-neft.local/edo/card/be8d3716-4ec3-41ea-a254-633e7e3d87a5")</f>
        <v>https://tessa.gazprom-neft.local/edo/card/be8d3716-4ec3-41ea-a254-633e7e3d87a5</v>
      </c>
    </row>
    <row r="16" spans="1:45" hidden="1" x14ac:dyDescent="0.25">
      <c r="A16" s="6" t="s">
        <v>44</v>
      </c>
      <c r="B16" s="7" t="s">
        <v>0</v>
      </c>
      <c r="C16" s="7" t="s">
        <v>218</v>
      </c>
      <c r="D16" s="8" t="s">
        <v>0</v>
      </c>
      <c r="E16" s="8" t="s">
        <v>0</v>
      </c>
      <c r="F16" s="16" t="s">
        <v>0</v>
      </c>
      <c r="G16" s="7" t="s">
        <v>0</v>
      </c>
      <c r="H16" s="7" t="s">
        <v>0</v>
      </c>
      <c r="I16" s="7" t="s">
        <v>0</v>
      </c>
      <c r="J16" s="7" t="s">
        <v>0</v>
      </c>
      <c r="K16" s="7" t="s">
        <v>0</v>
      </c>
      <c r="L16" s="7" t="s">
        <v>0</v>
      </c>
      <c r="M16" s="7" t="s">
        <v>0</v>
      </c>
      <c r="N16" s="7" t="s">
        <v>2895</v>
      </c>
      <c r="O16" s="7" t="s">
        <v>0</v>
      </c>
      <c r="P16" s="7" t="s">
        <v>0</v>
      </c>
      <c r="Q16" s="7" t="s">
        <v>0</v>
      </c>
      <c r="R16" s="7" t="s">
        <v>244</v>
      </c>
      <c r="S16" s="7" t="s">
        <v>0</v>
      </c>
      <c r="T16" s="7" t="s">
        <v>54</v>
      </c>
      <c r="U16" s="7" t="s">
        <v>0</v>
      </c>
      <c r="V16" s="7" t="s">
        <v>0</v>
      </c>
      <c r="W16" s="7" t="s">
        <v>0</v>
      </c>
      <c r="X16" s="7" t="s">
        <v>0</v>
      </c>
      <c r="Y16" s="8" t="s">
        <v>0</v>
      </c>
      <c r="Z16" s="8" t="s">
        <v>0</v>
      </c>
      <c r="AA16" s="7" t="s">
        <v>0</v>
      </c>
      <c r="AB16" s="7" t="s">
        <v>0</v>
      </c>
      <c r="AC16" s="7" t="s">
        <v>0</v>
      </c>
      <c r="AD16" s="7" t="s">
        <v>0</v>
      </c>
      <c r="AE16" s="7" t="s">
        <v>0</v>
      </c>
      <c r="AF16" s="7" t="s">
        <v>0</v>
      </c>
      <c r="AG16" s="7" t="s">
        <v>0</v>
      </c>
      <c r="AH16" s="9" t="s">
        <v>0</v>
      </c>
      <c r="AI16" s="9" t="s">
        <v>0</v>
      </c>
      <c r="AJ16" s="9" t="s">
        <v>0</v>
      </c>
      <c r="AK16" s="7" t="s">
        <v>61</v>
      </c>
      <c r="AL16" s="7" t="s">
        <v>61</v>
      </c>
      <c r="AM16" s="7" t="s">
        <v>0</v>
      </c>
      <c r="AN16" s="7" t="s">
        <v>0</v>
      </c>
      <c r="AO16" s="7" t="s">
        <v>0</v>
      </c>
      <c r="AP16" s="7" t="s">
        <v>0</v>
      </c>
      <c r="AQ16" s="7" t="s">
        <v>61</v>
      </c>
      <c r="AR16" s="7" t="s">
        <v>0</v>
      </c>
      <c r="AS16" s="10" t="str">
        <f>HYPERLINK("https://tessa.gazprom-neft.local/edo/card/46549828-4d17-4db9-823f-e19542ba60ec", "https://tessa.gazprom-neft.local/edo/card/46549828-4d17-4db9-823f-e19542ba60ec")</f>
        <v>https://tessa.gazprom-neft.local/edo/card/46549828-4d17-4db9-823f-e19542ba60ec</v>
      </c>
    </row>
    <row r="17" spans="1:45" hidden="1" x14ac:dyDescent="0.25">
      <c r="A17" s="6" t="s">
        <v>44</v>
      </c>
      <c r="B17" s="7" t="s">
        <v>0</v>
      </c>
      <c r="C17" s="7" t="s">
        <v>218</v>
      </c>
      <c r="D17" s="8" t="s">
        <v>0</v>
      </c>
      <c r="E17" s="8" t="s">
        <v>0</v>
      </c>
      <c r="F17" s="16" t="s">
        <v>0</v>
      </c>
      <c r="G17" s="7" t="s">
        <v>0</v>
      </c>
      <c r="H17" s="7" t="s">
        <v>0</v>
      </c>
      <c r="I17" s="7" t="s">
        <v>0</v>
      </c>
      <c r="J17" s="7" t="s">
        <v>0</v>
      </c>
      <c r="K17" s="7" t="s">
        <v>47</v>
      </c>
      <c r="L17" s="7" t="s">
        <v>0</v>
      </c>
      <c r="M17" s="7" t="s">
        <v>0</v>
      </c>
      <c r="N17" s="7" t="s">
        <v>2934</v>
      </c>
      <c r="O17" s="7" t="s">
        <v>0</v>
      </c>
      <c r="P17" s="7" t="s">
        <v>0</v>
      </c>
      <c r="Q17" s="7" t="s">
        <v>0</v>
      </c>
      <c r="R17" s="7" t="s">
        <v>338</v>
      </c>
      <c r="S17" s="7" t="s">
        <v>0</v>
      </c>
      <c r="T17" s="7" t="s">
        <v>54</v>
      </c>
      <c r="U17" s="7" t="s">
        <v>0</v>
      </c>
      <c r="V17" s="7" t="s">
        <v>0</v>
      </c>
      <c r="W17" s="7" t="s">
        <v>0</v>
      </c>
      <c r="X17" s="7" t="s">
        <v>0</v>
      </c>
      <c r="Y17" s="8" t="s">
        <v>0</v>
      </c>
      <c r="Z17" s="8" t="s">
        <v>0</v>
      </c>
      <c r="AA17" s="7" t="s">
        <v>0</v>
      </c>
      <c r="AB17" s="7" t="s">
        <v>0</v>
      </c>
      <c r="AC17" s="7" t="s">
        <v>0</v>
      </c>
      <c r="AD17" s="7" t="s">
        <v>0</v>
      </c>
      <c r="AE17" s="7" t="s">
        <v>0</v>
      </c>
      <c r="AF17" s="7" t="s">
        <v>0</v>
      </c>
      <c r="AG17" s="7" t="s">
        <v>0</v>
      </c>
      <c r="AH17" s="9" t="s">
        <v>0</v>
      </c>
      <c r="AI17" s="9" t="s">
        <v>0</v>
      </c>
      <c r="AJ17" s="9" t="s">
        <v>0</v>
      </c>
      <c r="AK17" s="7" t="s">
        <v>61</v>
      </c>
      <c r="AL17" s="7" t="s">
        <v>61</v>
      </c>
      <c r="AM17" s="7" t="s">
        <v>0</v>
      </c>
      <c r="AN17" s="7" t="s">
        <v>0</v>
      </c>
      <c r="AO17" s="7" t="s">
        <v>0</v>
      </c>
      <c r="AP17" s="7" t="s">
        <v>0</v>
      </c>
      <c r="AQ17" s="7" t="s">
        <v>61</v>
      </c>
      <c r="AR17" s="7" t="s">
        <v>0</v>
      </c>
      <c r="AS17" s="10" t="str">
        <f>HYPERLINK("https://tessa.gazprom-neft.local/edo/card/3608b688-bff0-4403-af78-fab578398a12", "https://tessa.gazprom-neft.local/edo/card/3608b688-bff0-4403-af78-fab578398a12")</f>
        <v>https://tessa.gazprom-neft.local/edo/card/3608b688-bff0-4403-af78-fab578398a12</v>
      </c>
    </row>
    <row r="18" spans="1:45" hidden="1" x14ac:dyDescent="0.25">
      <c r="A18" s="6" t="s">
        <v>44</v>
      </c>
      <c r="B18" s="7" t="s">
        <v>1240</v>
      </c>
      <c r="C18" s="7" t="s">
        <v>218</v>
      </c>
      <c r="D18" s="8" t="s">
        <v>0</v>
      </c>
      <c r="E18" s="8" t="s">
        <v>0</v>
      </c>
      <c r="F18" s="16" t="s">
        <v>1241</v>
      </c>
      <c r="G18" s="7" t="s">
        <v>1242</v>
      </c>
      <c r="H18" s="7" t="s">
        <v>0</v>
      </c>
      <c r="I18" s="7" t="s">
        <v>0</v>
      </c>
      <c r="J18" s="7" t="s">
        <v>0</v>
      </c>
      <c r="K18" s="7" t="s">
        <v>85</v>
      </c>
      <c r="L18" s="7" t="s">
        <v>86</v>
      </c>
      <c r="M18" s="7" t="s">
        <v>216</v>
      </c>
      <c r="N18" s="7" t="s">
        <v>3131</v>
      </c>
      <c r="O18" s="7" t="s">
        <v>0</v>
      </c>
      <c r="P18" s="7" t="s">
        <v>216</v>
      </c>
      <c r="Q18" s="7" t="s">
        <v>3132</v>
      </c>
      <c r="R18" s="7" t="s">
        <v>393</v>
      </c>
      <c r="S18" s="7" t="s">
        <v>1476</v>
      </c>
      <c r="T18" s="7" t="s">
        <v>54</v>
      </c>
      <c r="U18" s="7" t="s">
        <v>362</v>
      </c>
      <c r="V18" s="7" t="s">
        <v>308</v>
      </c>
      <c r="W18" s="7" t="s">
        <v>74</v>
      </c>
      <c r="X18" s="7" t="s">
        <v>58</v>
      </c>
      <c r="Y18" s="8">
        <v>45387</v>
      </c>
      <c r="Z18" s="8" t="s">
        <v>0</v>
      </c>
      <c r="AA18" s="7" t="s">
        <v>309</v>
      </c>
      <c r="AB18" s="7" t="s">
        <v>228</v>
      </c>
      <c r="AC18" s="7" t="s">
        <v>65</v>
      </c>
      <c r="AD18" s="7" t="s">
        <v>0</v>
      </c>
      <c r="AE18" s="7" t="s">
        <v>0</v>
      </c>
      <c r="AF18" s="7" t="s">
        <v>0</v>
      </c>
      <c r="AG18" s="7" t="s">
        <v>0</v>
      </c>
      <c r="AH18" s="9" t="s">
        <v>0</v>
      </c>
      <c r="AI18" s="9" t="s">
        <v>0</v>
      </c>
      <c r="AJ18" s="9" t="s">
        <v>0</v>
      </c>
      <c r="AK18" s="7" t="s">
        <v>61</v>
      </c>
      <c r="AL18" s="7" t="s">
        <v>61</v>
      </c>
      <c r="AM18" s="7" t="s">
        <v>0</v>
      </c>
      <c r="AN18" s="7" t="s">
        <v>0</v>
      </c>
      <c r="AO18" s="7" t="s">
        <v>0</v>
      </c>
      <c r="AP18" s="7" t="s">
        <v>0</v>
      </c>
      <c r="AQ18" s="7" t="s">
        <v>61</v>
      </c>
      <c r="AR18" s="7" t="s">
        <v>0</v>
      </c>
      <c r="AS18" s="10" t="str">
        <f>HYPERLINK("https://tessa.gazprom-neft.local/edo/card/d3de7eb2-3718-4088-99ee-7eb38057409f", "https://tessa.gazprom-neft.local/edo/card/d3de7eb2-3718-4088-99ee-7eb38057409f")</f>
        <v>https://tessa.gazprom-neft.local/edo/card/d3de7eb2-3718-4088-99ee-7eb38057409f</v>
      </c>
    </row>
    <row r="19" spans="1:45" hidden="1" x14ac:dyDescent="0.25">
      <c r="A19" s="6" t="s">
        <v>44</v>
      </c>
      <c r="B19" s="7" t="s">
        <v>3229</v>
      </c>
      <c r="C19" s="7" t="s">
        <v>218</v>
      </c>
      <c r="D19" s="8" t="s">
        <v>0</v>
      </c>
      <c r="E19" s="8" t="s">
        <v>0</v>
      </c>
      <c r="F19" s="16" t="s">
        <v>3230</v>
      </c>
      <c r="G19" s="7" t="s">
        <v>3231</v>
      </c>
      <c r="H19" s="7" t="s">
        <v>0</v>
      </c>
      <c r="I19" s="7" t="s">
        <v>0</v>
      </c>
      <c r="J19" s="7" t="s">
        <v>0</v>
      </c>
      <c r="K19" s="7" t="s">
        <v>47</v>
      </c>
      <c r="L19" s="7" t="s">
        <v>86</v>
      </c>
      <c r="M19" s="7" t="s">
        <v>0</v>
      </c>
      <c r="N19" s="7" t="s">
        <v>3228</v>
      </c>
      <c r="O19" s="7" t="s">
        <v>0</v>
      </c>
      <c r="P19" s="7" t="s">
        <v>0</v>
      </c>
      <c r="Q19" s="7" t="s">
        <v>0</v>
      </c>
      <c r="R19" s="7" t="s">
        <v>1057</v>
      </c>
      <c r="S19" s="7" t="s">
        <v>0</v>
      </c>
      <c r="T19" s="7" t="s">
        <v>54</v>
      </c>
      <c r="U19" s="7" t="s">
        <v>188</v>
      </c>
      <c r="V19" s="7" t="s">
        <v>56</v>
      </c>
      <c r="W19" s="7" t="s">
        <v>57</v>
      </c>
      <c r="X19" s="7" t="s">
        <v>0</v>
      </c>
      <c r="Y19" s="8" t="s">
        <v>0</v>
      </c>
      <c r="Z19" s="8" t="s">
        <v>0</v>
      </c>
      <c r="AA19" s="7" t="s">
        <v>59</v>
      </c>
      <c r="AB19" s="7" t="s">
        <v>0</v>
      </c>
      <c r="AC19" s="7" t="s">
        <v>0</v>
      </c>
      <c r="AD19" s="7" t="s">
        <v>0</v>
      </c>
      <c r="AE19" s="7" t="s">
        <v>0</v>
      </c>
      <c r="AF19" s="7" t="s">
        <v>0</v>
      </c>
      <c r="AG19" s="7" t="s">
        <v>0</v>
      </c>
      <c r="AH19" s="9" t="s">
        <v>0</v>
      </c>
      <c r="AI19" s="9" t="s">
        <v>0</v>
      </c>
      <c r="AJ19" s="9" t="s">
        <v>0</v>
      </c>
      <c r="AK19" s="7" t="s">
        <v>61</v>
      </c>
      <c r="AL19" s="7" t="s">
        <v>61</v>
      </c>
      <c r="AM19" s="7" t="s">
        <v>0</v>
      </c>
      <c r="AN19" s="7" t="s">
        <v>0</v>
      </c>
      <c r="AO19" s="7" t="s">
        <v>0</v>
      </c>
      <c r="AP19" s="7" t="s">
        <v>0</v>
      </c>
      <c r="AQ19" s="7" t="s">
        <v>61</v>
      </c>
      <c r="AR19" s="7" t="s">
        <v>0</v>
      </c>
      <c r="AS19" s="10" t="str">
        <f>HYPERLINK("https://tessa.gazprom-neft.local/edo/card/c178b275-e250-401b-83d1-f1444c03f076", "https://tessa.gazprom-neft.local/edo/card/c178b275-e250-401b-83d1-f1444c03f076")</f>
        <v>https://tessa.gazprom-neft.local/edo/card/c178b275-e250-401b-83d1-f1444c03f076</v>
      </c>
    </row>
    <row r="20" spans="1:45" hidden="1" x14ac:dyDescent="0.25">
      <c r="A20" s="6" t="s">
        <v>44</v>
      </c>
      <c r="B20" s="7" t="s">
        <v>0</v>
      </c>
      <c r="C20" s="7" t="s">
        <v>218</v>
      </c>
      <c r="D20" s="8" t="s">
        <v>0</v>
      </c>
      <c r="E20" s="8" t="s">
        <v>0</v>
      </c>
      <c r="F20" s="16" t="s">
        <v>0</v>
      </c>
      <c r="G20" s="7" t="s">
        <v>0</v>
      </c>
      <c r="H20" s="7" t="s">
        <v>0</v>
      </c>
      <c r="I20" s="7" t="s">
        <v>0</v>
      </c>
      <c r="J20" s="7" t="s">
        <v>0</v>
      </c>
      <c r="K20" s="7" t="s">
        <v>0</v>
      </c>
      <c r="L20" s="7" t="s">
        <v>0</v>
      </c>
      <c r="M20" s="7" t="s">
        <v>0</v>
      </c>
      <c r="N20" s="7" t="s">
        <v>3424</v>
      </c>
      <c r="O20" s="7" t="s">
        <v>0</v>
      </c>
      <c r="P20" s="7" t="s">
        <v>0</v>
      </c>
      <c r="Q20" s="7" t="s">
        <v>0</v>
      </c>
      <c r="R20" s="7" t="s">
        <v>187</v>
      </c>
      <c r="S20" s="7" t="s">
        <v>0</v>
      </c>
      <c r="T20" s="7" t="s">
        <v>54</v>
      </c>
      <c r="U20" s="7" t="s">
        <v>188</v>
      </c>
      <c r="V20" s="7" t="s">
        <v>0</v>
      </c>
      <c r="W20" s="7" t="s">
        <v>0</v>
      </c>
      <c r="X20" s="7" t="s">
        <v>0</v>
      </c>
      <c r="Y20" s="8" t="s">
        <v>0</v>
      </c>
      <c r="Z20" s="8" t="s">
        <v>0</v>
      </c>
      <c r="AA20" s="7" t="s">
        <v>0</v>
      </c>
      <c r="AB20" s="7" t="s">
        <v>0</v>
      </c>
      <c r="AC20" s="7" t="s">
        <v>0</v>
      </c>
      <c r="AD20" s="7" t="s">
        <v>0</v>
      </c>
      <c r="AE20" s="7" t="s">
        <v>0</v>
      </c>
      <c r="AF20" s="7" t="s">
        <v>0</v>
      </c>
      <c r="AG20" s="7" t="s">
        <v>0</v>
      </c>
      <c r="AH20" s="9" t="s">
        <v>0</v>
      </c>
      <c r="AI20" s="9" t="s">
        <v>0</v>
      </c>
      <c r="AJ20" s="9" t="s">
        <v>0</v>
      </c>
      <c r="AK20" s="7" t="s">
        <v>61</v>
      </c>
      <c r="AL20" s="7" t="s">
        <v>61</v>
      </c>
      <c r="AM20" s="7" t="s">
        <v>0</v>
      </c>
      <c r="AN20" s="7" t="s">
        <v>0</v>
      </c>
      <c r="AO20" s="7" t="s">
        <v>0</v>
      </c>
      <c r="AP20" s="7" t="s">
        <v>0</v>
      </c>
      <c r="AQ20" s="7" t="s">
        <v>61</v>
      </c>
      <c r="AR20" s="7" t="s">
        <v>0</v>
      </c>
      <c r="AS20" s="10" t="str">
        <f>HYPERLINK("https://tessa.gazprom-neft.local/edo/card/693cc8b3-28d7-4369-85ab-08f706eb957f", "https://tessa.gazprom-neft.local/edo/card/693cc8b3-28d7-4369-85ab-08f706eb957f")</f>
        <v>https://tessa.gazprom-neft.local/edo/card/693cc8b3-28d7-4369-85ab-08f706eb957f</v>
      </c>
    </row>
    <row r="21" spans="1:45" hidden="1" x14ac:dyDescent="0.25">
      <c r="A21" s="6" t="s">
        <v>44</v>
      </c>
      <c r="B21" s="7" t="s">
        <v>0</v>
      </c>
      <c r="C21" s="7" t="s">
        <v>218</v>
      </c>
      <c r="D21" s="8" t="s">
        <v>0</v>
      </c>
      <c r="E21" s="8" t="s">
        <v>0</v>
      </c>
      <c r="F21" s="16" t="s">
        <v>0</v>
      </c>
      <c r="G21" s="7" t="s">
        <v>0</v>
      </c>
      <c r="H21" s="7" t="s">
        <v>0</v>
      </c>
      <c r="I21" s="7" t="s">
        <v>0</v>
      </c>
      <c r="J21" s="7" t="s">
        <v>0</v>
      </c>
      <c r="K21" s="7" t="s">
        <v>0</v>
      </c>
      <c r="L21" s="7" t="s">
        <v>0</v>
      </c>
      <c r="M21" s="7" t="s">
        <v>0</v>
      </c>
      <c r="N21" s="7" t="s">
        <v>3425</v>
      </c>
      <c r="O21" s="7" t="s">
        <v>0</v>
      </c>
      <c r="P21" s="7" t="s">
        <v>0</v>
      </c>
      <c r="Q21" s="7" t="s">
        <v>0</v>
      </c>
      <c r="R21" s="7" t="s">
        <v>339</v>
      </c>
      <c r="S21" s="7" t="s">
        <v>0</v>
      </c>
      <c r="T21" s="7" t="s">
        <v>54</v>
      </c>
      <c r="U21" s="7" t="s">
        <v>303</v>
      </c>
      <c r="V21" s="7" t="s">
        <v>0</v>
      </c>
      <c r="W21" s="7" t="s">
        <v>0</v>
      </c>
      <c r="X21" s="7" t="s">
        <v>0</v>
      </c>
      <c r="Y21" s="8" t="s">
        <v>0</v>
      </c>
      <c r="Z21" s="8" t="s">
        <v>0</v>
      </c>
      <c r="AA21" s="7" t="s">
        <v>0</v>
      </c>
      <c r="AB21" s="7" t="s">
        <v>0</v>
      </c>
      <c r="AC21" s="7" t="s">
        <v>0</v>
      </c>
      <c r="AD21" s="7" t="s">
        <v>0</v>
      </c>
      <c r="AE21" s="7" t="s">
        <v>0</v>
      </c>
      <c r="AF21" s="7" t="s">
        <v>0</v>
      </c>
      <c r="AG21" s="7" t="s">
        <v>0</v>
      </c>
      <c r="AH21" s="9" t="s">
        <v>0</v>
      </c>
      <c r="AI21" s="9" t="s">
        <v>0</v>
      </c>
      <c r="AJ21" s="9" t="s">
        <v>0</v>
      </c>
      <c r="AK21" s="7" t="s">
        <v>61</v>
      </c>
      <c r="AL21" s="7" t="s">
        <v>61</v>
      </c>
      <c r="AM21" s="7" t="s">
        <v>0</v>
      </c>
      <c r="AN21" s="7" t="s">
        <v>0</v>
      </c>
      <c r="AO21" s="7" t="s">
        <v>0</v>
      </c>
      <c r="AP21" s="7" t="s">
        <v>0</v>
      </c>
      <c r="AQ21" s="7" t="s">
        <v>61</v>
      </c>
      <c r="AR21" s="7" t="s">
        <v>0</v>
      </c>
      <c r="AS21" s="10" t="str">
        <f>HYPERLINK("https://tessa.gazprom-neft.local/edo/card/d01604e9-9752-4ab7-a159-b76232cdf08b", "https://tessa.gazprom-neft.local/edo/card/d01604e9-9752-4ab7-a159-b76232cdf08b")</f>
        <v>https://tessa.gazprom-neft.local/edo/card/d01604e9-9752-4ab7-a159-b76232cdf08b</v>
      </c>
    </row>
    <row r="22" spans="1:45" hidden="1" x14ac:dyDescent="0.25">
      <c r="A22" s="6" t="s">
        <v>44</v>
      </c>
      <c r="B22" s="7" t="s">
        <v>0</v>
      </c>
      <c r="C22" s="7" t="s">
        <v>218</v>
      </c>
      <c r="D22" s="8" t="s">
        <v>0</v>
      </c>
      <c r="E22" s="8" t="s">
        <v>0</v>
      </c>
      <c r="F22" s="16" t="s">
        <v>0</v>
      </c>
      <c r="G22" s="7" t="s">
        <v>0</v>
      </c>
      <c r="H22" s="7" t="s">
        <v>0</v>
      </c>
      <c r="I22" s="7" t="s">
        <v>0</v>
      </c>
      <c r="J22" s="7" t="s">
        <v>0</v>
      </c>
      <c r="K22" s="7" t="s">
        <v>0</v>
      </c>
      <c r="L22" s="7" t="s">
        <v>0</v>
      </c>
      <c r="M22" s="7" t="s">
        <v>0</v>
      </c>
      <c r="N22" s="7" t="s">
        <v>3479</v>
      </c>
      <c r="O22" s="7" t="s">
        <v>0</v>
      </c>
      <c r="P22" s="7" t="s">
        <v>0</v>
      </c>
      <c r="Q22" s="7" t="s">
        <v>0</v>
      </c>
      <c r="R22" s="7" t="s">
        <v>187</v>
      </c>
      <c r="S22" s="7" t="s">
        <v>0</v>
      </c>
      <c r="T22" s="7" t="s">
        <v>54</v>
      </c>
      <c r="U22" s="7" t="s">
        <v>188</v>
      </c>
      <c r="V22" s="7" t="s">
        <v>0</v>
      </c>
      <c r="W22" s="7" t="s">
        <v>0</v>
      </c>
      <c r="X22" s="7" t="s">
        <v>0</v>
      </c>
      <c r="Y22" s="8" t="s">
        <v>0</v>
      </c>
      <c r="Z22" s="8" t="s">
        <v>0</v>
      </c>
      <c r="AA22" s="7" t="s">
        <v>0</v>
      </c>
      <c r="AB22" s="7" t="s">
        <v>0</v>
      </c>
      <c r="AC22" s="7" t="s">
        <v>0</v>
      </c>
      <c r="AD22" s="7" t="s">
        <v>0</v>
      </c>
      <c r="AE22" s="7" t="s">
        <v>0</v>
      </c>
      <c r="AF22" s="7" t="s">
        <v>0</v>
      </c>
      <c r="AG22" s="7" t="s">
        <v>0</v>
      </c>
      <c r="AH22" s="9" t="s">
        <v>0</v>
      </c>
      <c r="AI22" s="9" t="s">
        <v>0</v>
      </c>
      <c r="AJ22" s="9" t="s">
        <v>0</v>
      </c>
      <c r="AK22" s="7" t="s">
        <v>61</v>
      </c>
      <c r="AL22" s="7" t="s">
        <v>61</v>
      </c>
      <c r="AM22" s="7" t="s">
        <v>0</v>
      </c>
      <c r="AN22" s="7" t="s">
        <v>0</v>
      </c>
      <c r="AO22" s="7" t="s">
        <v>0</v>
      </c>
      <c r="AP22" s="7" t="s">
        <v>0</v>
      </c>
      <c r="AQ22" s="7" t="s">
        <v>61</v>
      </c>
      <c r="AR22" s="7" t="s">
        <v>0</v>
      </c>
      <c r="AS22" s="10" t="str">
        <f>HYPERLINK("https://tessa.gazprom-neft.local/edo/card/1d4090a5-5e32-4b05-b84a-d0502f7d18b7", "https://tessa.gazprom-neft.local/edo/card/1d4090a5-5e32-4b05-b84a-d0502f7d18b7")</f>
        <v>https://tessa.gazprom-neft.local/edo/card/1d4090a5-5e32-4b05-b84a-d0502f7d18b7</v>
      </c>
    </row>
    <row r="23" spans="1:45" hidden="1" x14ac:dyDescent="0.25">
      <c r="A23" s="6" t="s">
        <v>44</v>
      </c>
      <c r="B23" s="7" t="s">
        <v>0</v>
      </c>
      <c r="C23" s="7" t="s">
        <v>218</v>
      </c>
      <c r="D23" s="8" t="s">
        <v>0</v>
      </c>
      <c r="E23" s="8" t="s">
        <v>0</v>
      </c>
      <c r="F23" s="16" t="s">
        <v>0</v>
      </c>
      <c r="G23" s="7" t="s">
        <v>0</v>
      </c>
      <c r="H23" s="7" t="s">
        <v>0</v>
      </c>
      <c r="I23" s="7" t="s">
        <v>0</v>
      </c>
      <c r="J23" s="7" t="s">
        <v>0</v>
      </c>
      <c r="K23" s="7" t="s">
        <v>0</v>
      </c>
      <c r="L23" s="7" t="s">
        <v>0</v>
      </c>
      <c r="M23" s="7" t="s">
        <v>0</v>
      </c>
      <c r="N23" s="7" t="s">
        <v>3486</v>
      </c>
      <c r="O23" s="7" t="s">
        <v>0</v>
      </c>
      <c r="P23" s="7" t="s">
        <v>0</v>
      </c>
      <c r="Q23" s="7" t="s">
        <v>0</v>
      </c>
      <c r="R23" s="7" t="s">
        <v>187</v>
      </c>
      <c r="S23" s="7" t="s">
        <v>0</v>
      </c>
      <c r="T23" s="7" t="s">
        <v>54</v>
      </c>
      <c r="U23" s="7" t="s">
        <v>188</v>
      </c>
      <c r="V23" s="7" t="s">
        <v>0</v>
      </c>
      <c r="W23" s="7" t="s">
        <v>0</v>
      </c>
      <c r="X23" s="7" t="s">
        <v>0</v>
      </c>
      <c r="Y23" s="8" t="s">
        <v>0</v>
      </c>
      <c r="Z23" s="8" t="s">
        <v>0</v>
      </c>
      <c r="AA23" s="7" t="s">
        <v>0</v>
      </c>
      <c r="AB23" s="7" t="s">
        <v>0</v>
      </c>
      <c r="AC23" s="7" t="s">
        <v>0</v>
      </c>
      <c r="AD23" s="7" t="s">
        <v>0</v>
      </c>
      <c r="AE23" s="7" t="s">
        <v>0</v>
      </c>
      <c r="AF23" s="7" t="s">
        <v>0</v>
      </c>
      <c r="AG23" s="7" t="s">
        <v>0</v>
      </c>
      <c r="AH23" s="9" t="s">
        <v>0</v>
      </c>
      <c r="AI23" s="9" t="s">
        <v>0</v>
      </c>
      <c r="AJ23" s="9" t="s">
        <v>0</v>
      </c>
      <c r="AK23" s="7" t="s">
        <v>61</v>
      </c>
      <c r="AL23" s="7" t="s">
        <v>61</v>
      </c>
      <c r="AM23" s="7" t="s">
        <v>0</v>
      </c>
      <c r="AN23" s="7" t="s">
        <v>0</v>
      </c>
      <c r="AO23" s="7" t="s">
        <v>0</v>
      </c>
      <c r="AP23" s="7" t="s">
        <v>0</v>
      </c>
      <c r="AQ23" s="7" t="s">
        <v>61</v>
      </c>
      <c r="AR23" s="7" t="s">
        <v>0</v>
      </c>
      <c r="AS23" s="10" t="str">
        <f>HYPERLINK("https://tessa.gazprom-neft.local/edo/card/5c75fc94-ebc5-41d3-ab91-5eebb20d2c24", "https://tessa.gazprom-neft.local/edo/card/5c75fc94-ebc5-41d3-ab91-5eebb20d2c24")</f>
        <v>https://tessa.gazprom-neft.local/edo/card/5c75fc94-ebc5-41d3-ab91-5eebb20d2c24</v>
      </c>
    </row>
    <row r="24" spans="1:45" hidden="1" x14ac:dyDescent="0.25">
      <c r="A24" s="6" t="s">
        <v>44</v>
      </c>
      <c r="B24" s="7" t="s">
        <v>0</v>
      </c>
      <c r="C24" s="7" t="s">
        <v>218</v>
      </c>
      <c r="D24" s="8" t="s">
        <v>0</v>
      </c>
      <c r="E24" s="8" t="s">
        <v>0</v>
      </c>
      <c r="F24" s="16" t="s">
        <v>0</v>
      </c>
      <c r="G24" s="7" t="s">
        <v>0</v>
      </c>
      <c r="H24" s="7" t="s">
        <v>0</v>
      </c>
      <c r="I24" s="7" t="s">
        <v>0</v>
      </c>
      <c r="J24" s="7" t="s">
        <v>0</v>
      </c>
      <c r="K24" s="7" t="s">
        <v>47</v>
      </c>
      <c r="L24" s="7" t="s">
        <v>0</v>
      </c>
      <c r="M24" s="7" t="s">
        <v>0</v>
      </c>
      <c r="N24" s="7" t="s">
        <v>3494</v>
      </c>
      <c r="O24" s="7" t="s">
        <v>0</v>
      </c>
      <c r="P24" s="7" t="s">
        <v>0</v>
      </c>
      <c r="Q24" s="7" t="s">
        <v>0</v>
      </c>
      <c r="R24" s="7" t="s">
        <v>187</v>
      </c>
      <c r="S24" s="7" t="s">
        <v>0</v>
      </c>
      <c r="T24" s="7" t="s">
        <v>54</v>
      </c>
      <c r="U24" s="7" t="s">
        <v>188</v>
      </c>
      <c r="V24" s="7" t="s">
        <v>0</v>
      </c>
      <c r="W24" s="7" t="s">
        <v>0</v>
      </c>
      <c r="X24" s="7" t="s">
        <v>0</v>
      </c>
      <c r="Y24" s="8" t="s">
        <v>0</v>
      </c>
      <c r="Z24" s="8" t="s">
        <v>0</v>
      </c>
      <c r="AA24" s="7" t="s">
        <v>0</v>
      </c>
      <c r="AB24" s="7" t="s">
        <v>0</v>
      </c>
      <c r="AC24" s="7" t="s">
        <v>0</v>
      </c>
      <c r="AD24" s="7" t="s">
        <v>0</v>
      </c>
      <c r="AE24" s="7" t="s">
        <v>0</v>
      </c>
      <c r="AF24" s="7" t="s">
        <v>0</v>
      </c>
      <c r="AG24" s="7" t="s">
        <v>0</v>
      </c>
      <c r="AH24" s="9" t="s">
        <v>0</v>
      </c>
      <c r="AI24" s="9" t="s">
        <v>0</v>
      </c>
      <c r="AJ24" s="9" t="s">
        <v>0</v>
      </c>
      <c r="AK24" s="7" t="s">
        <v>61</v>
      </c>
      <c r="AL24" s="7" t="s">
        <v>61</v>
      </c>
      <c r="AM24" s="7" t="s">
        <v>0</v>
      </c>
      <c r="AN24" s="7" t="s">
        <v>0</v>
      </c>
      <c r="AO24" s="7" t="s">
        <v>0</v>
      </c>
      <c r="AP24" s="7" t="s">
        <v>0</v>
      </c>
      <c r="AQ24" s="7" t="s">
        <v>61</v>
      </c>
      <c r="AR24" s="7" t="s">
        <v>0</v>
      </c>
      <c r="AS24" s="10" t="str">
        <f>HYPERLINK("https://tessa.gazprom-neft.local/edo/card/53a46868-999e-458a-acfb-4c5544ea80ba", "https://tessa.gazprom-neft.local/edo/card/53a46868-999e-458a-acfb-4c5544ea80ba")</f>
        <v>https://tessa.gazprom-neft.local/edo/card/53a46868-999e-458a-acfb-4c5544ea80ba</v>
      </c>
    </row>
    <row r="25" spans="1:45" hidden="1" x14ac:dyDescent="0.25">
      <c r="A25" s="6" t="s">
        <v>44</v>
      </c>
      <c r="B25" s="7" t="s">
        <v>0</v>
      </c>
      <c r="C25" s="7" t="s">
        <v>218</v>
      </c>
      <c r="D25" s="8" t="s">
        <v>0</v>
      </c>
      <c r="E25" s="8" t="s">
        <v>0</v>
      </c>
      <c r="F25" s="16" t="s">
        <v>0</v>
      </c>
      <c r="G25" s="7" t="s">
        <v>0</v>
      </c>
      <c r="H25" s="7" t="s">
        <v>0</v>
      </c>
      <c r="I25" s="7" t="s">
        <v>0</v>
      </c>
      <c r="J25" s="7" t="s">
        <v>0</v>
      </c>
      <c r="K25" s="7" t="s">
        <v>47</v>
      </c>
      <c r="L25" s="7" t="s">
        <v>0</v>
      </c>
      <c r="M25" s="7" t="s">
        <v>0</v>
      </c>
      <c r="N25" s="7" t="s">
        <v>3506</v>
      </c>
      <c r="O25" s="7" t="s">
        <v>0</v>
      </c>
      <c r="P25" s="7" t="s">
        <v>0</v>
      </c>
      <c r="Q25" s="7" t="s">
        <v>0</v>
      </c>
      <c r="R25" s="7" t="s">
        <v>187</v>
      </c>
      <c r="S25" s="7" t="s">
        <v>0</v>
      </c>
      <c r="T25" s="7" t="s">
        <v>54</v>
      </c>
      <c r="U25" s="7" t="s">
        <v>188</v>
      </c>
      <c r="V25" s="7" t="s">
        <v>0</v>
      </c>
      <c r="W25" s="7" t="s">
        <v>0</v>
      </c>
      <c r="X25" s="7" t="s">
        <v>0</v>
      </c>
      <c r="Y25" s="8" t="s">
        <v>0</v>
      </c>
      <c r="Z25" s="8" t="s">
        <v>0</v>
      </c>
      <c r="AA25" s="7" t="s">
        <v>0</v>
      </c>
      <c r="AB25" s="7" t="s">
        <v>0</v>
      </c>
      <c r="AC25" s="7" t="s">
        <v>0</v>
      </c>
      <c r="AD25" s="7" t="s">
        <v>0</v>
      </c>
      <c r="AE25" s="7" t="s">
        <v>0</v>
      </c>
      <c r="AF25" s="7" t="s">
        <v>0</v>
      </c>
      <c r="AG25" s="7" t="s">
        <v>0</v>
      </c>
      <c r="AH25" s="9" t="s">
        <v>0</v>
      </c>
      <c r="AI25" s="9" t="s">
        <v>0</v>
      </c>
      <c r="AJ25" s="9" t="s">
        <v>0</v>
      </c>
      <c r="AK25" s="7" t="s">
        <v>61</v>
      </c>
      <c r="AL25" s="7" t="s">
        <v>61</v>
      </c>
      <c r="AM25" s="7" t="s">
        <v>0</v>
      </c>
      <c r="AN25" s="7" t="s">
        <v>0</v>
      </c>
      <c r="AO25" s="7" t="s">
        <v>0</v>
      </c>
      <c r="AP25" s="7" t="s">
        <v>0</v>
      </c>
      <c r="AQ25" s="7" t="s">
        <v>61</v>
      </c>
      <c r="AR25" s="7" t="s">
        <v>0</v>
      </c>
      <c r="AS25" s="10" t="str">
        <f>HYPERLINK("https://tessa.gazprom-neft.local/edo/card/27b35900-4e61-43e0-8d6d-7952cfda4ce0", "https://tessa.gazprom-neft.local/edo/card/27b35900-4e61-43e0-8d6d-7952cfda4ce0")</f>
        <v>https://tessa.gazprom-neft.local/edo/card/27b35900-4e61-43e0-8d6d-7952cfda4ce0</v>
      </c>
    </row>
    <row r="26" spans="1:45" hidden="1" x14ac:dyDescent="0.25">
      <c r="A26" s="6" t="s">
        <v>44</v>
      </c>
      <c r="B26" s="7" t="s">
        <v>0</v>
      </c>
      <c r="C26" s="7" t="s">
        <v>218</v>
      </c>
      <c r="D26" s="8" t="s">
        <v>0</v>
      </c>
      <c r="E26" s="8" t="s">
        <v>0</v>
      </c>
      <c r="F26" s="16" t="s">
        <v>4016</v>
      </c>
      <c r="G26" s="7" t="s">
        <v>0</v>
      </c>
      <c r="H26" s="7" t="s">
        <v>0</v>
      </c>
      <c r="I26" s="7" t="s">
        <v>0</v>
      </c>
      <c r="J26" s="7" t="s">
        <v>0</v>
      </c>
      <c r="K26" s="7" t="s">
        <v>47</v>
      </c>
      <c r="L26" s="7" t="s">
        <v>96</v>
      </c>
      <c r="M26" s="7" t="s">
        <v>0</v>
      </c>
      <c r="N26" s="7" t="s">
        <v>4013</v>
      </c>
      <c r="O26" s="7" t="s">
        <v>0</v>
      </c>
      <c r="P26" s="7" t="s">
        <v>4014</v>
      </c>
      <c r="Q26" s="7" t="s">
        <v>4015</v>
      </c>
      <c r="R26" s="7" t="s">
        <v>484</v>
      </c>
      <c r="S26" s="7" t="s">
        <v>484</v>
      </c>
      <c r="T26" s="7" t="s">
        <v>54</v>
      </c>
      <c r="U26" s="7" t="s">
        <v>274</v>
      </c>
      <c r="V26" s="7" t="s">
        <v>56</v>
      </c>
      <c r="W26" s="7" t="s">
        <v>0</v>
      </c>
      <c r="X26" s="7" t="s">
        <v>58</v>
      </c>
      <c r="Y26" s="8">
        <v>45414</v>
      </c>
      <c r="Z26" s="8" t="s">
        <v>0</v>
      </c>
      <c r="AA26" s="7" t="s">
        <v>59</v>
      </c>
      <c r="AB26" s="7" t="s">
        <v>64</v>
      </c>
      <c r="AC26" s="7" t="s">
        <v>278</v>
      </c>
      <c r="AD26" s="7" t="s">
        <v>144</v>
      </c>
      <c r="AE26" s="7" t="s">
        <v>82</v>
      </c>
      <c r="AF26" s="7" t="s">
        <v>0</v>
      </c>
      <c r="AG26" s="7" t="s">
        <v>0</v>
      </c>
      <c r="AH26" s="9" t="s">
        <v>11898</v>
      </c>
      <c r="AI26" s="9" t="s">
        <v>11899</v>
      </c>
      <c r="AJ26" s="9" t="s">
        <v>11900</v>
      </c>
      <c r="AK26" s="7" t="s">
        <v>61</v>
      </c>
      <c r="AL26" s="7" t="s">
        <v>61</v>
      </c>
      <c r="AM26" s="7" t="s">
        <v>0</v>
      </c>
      <c r="AN26" s="7" t="s">
        <v>0</v>
      </c>
      <c r="AO26" s="7" t="s">
        <v>0</v>
      </c>
      <c r="AP26" s="7" t="s">
        <v>0</v>
      </c>
      <c r="AQ26" s="7" t="s">
        <v>61</v>
      </c>
      <c r="AR26" s="7" t="s">
        <v>0</v>
      </c>
      <c r="AS26" s="10" t="str">
        <f>HYPERLINK("https://tessa.gazprom-neft.local/edo/card/b5b10b66-1117-4848-8be4-fd824f98b6fa", "https://tessa.gazprom-neft.local/edo/card/b5b10b66-1117-4848-8be4-fd824f98b6fa")</f>
        <v>https://tessa.gazprom-neft.local/edo/card/b5b10b66-1117-4848-8be4-fd824f98b6fa</v>
      </c>
    </row>
    <row r="27" spans="1:45" hidden="1" x14ac:dyDescent="0.25">
      <c r="A27" s="6" t="s">
        <v>44</v>
      </c>
      <c r="B27" s="7" t="s">
        <v>2132</v>
      </c>
      <c r="C27" s="7" t="s">
        <v>218</v>
      </c>
      <c r="D27" s="8" t="s">
        <v>0</v>
      </c>
      <c r="E27" s="8" t="s">
        <v>0</v>
      </c>
      <c r="F27" s="16" t="s">
        <v>2133</v>
      </c>
      <c r="G27" s="7" t="s">
        <v>739</v>
      </c>
      <c r="H27" s="7" t="s">
        <v>0</v>
      </c>
      <c r="I27" s="7" t="s">
        <v>0</v>
      </c>
      <c r="J27" s="7" t="s">
        <v>0</v>
      </c>
      <c r="K27" s="7" t="s">
        <v>47</v>
      </c>
      <c r="L27" s="7" t="s">
        <v>86</v>
      </c>
      <c r="M27" s="7" t="s">
        <v>0</v>
      </c>
      <c r="N27" s="7" t="s">
        <v>4051</v>
      </c>
      <c r="O27" s="7" t="s">
        <v>0</v>
      </c>
      <c r="P27" s="7" t="s">
        <v>237</v>
      </c>
      <c r="Q27" s="7" t="s">
        <v>4052</v>
      </c>
      <c r="R27" s="7" t="s">
        <v>1774</v>
      </c>
      <c r="S27" s="7" t="s">
        <v>1774</v>
      </c>
      <c r="T27" s="7" t="s">
        <v>54</v>
      </c>
      <c r="U27" s="7" t="s">
        <v>307</v>
      </c>
      <c r="V27" s="7" t="s">
        <v>382</v>
      </c>
      <c r="W27" s="7" t="s">
        <v>74</v>
      </c>
      <c r="X27" s="7" t="s">
        <v>103</v>
      </c>
      <c r="Y27" s="8">
        <v>45076</v>
      </c>
      <c r="Z27" s="8">
        <v>46387</v>
      </c>
      <c r="AA27" s="7" t="s">
        <v>383</v>
      </c>
      <c r="AB27" s="7" t="s">
        <v>130</v>
      </c>
      <c r="AC27" s="7" t="s">
        <v>65</v>
      </c>
      <c r="AD27" s="7" t="s">
        <v>0</v>
      </c>
      <c r="AE27" s="7" t="s">
        <v>0</v>
      </c>
      <c r="AF27" s="7" t="s">
        <v>0</v>
      </c>
      <c r="AG27" s="7" t="s">
        <v>0</v>
      </c>
      <c r="AH27" s="9" t="s">
        <v>0</v>
      </c>
      <c r="AI27" s="9" t="s">
        <v>0</v>
      </c>
      <c r="AJ27" s="9" t="s">
        <v>0</v>
      </c>
      <c r="AK27" s="7" t="s">
        <v>61</v>
      </c>
      <c r="AL27" s="7" t="s">
        <v>61</v>
      </c>
      <c r="AM27" s="7" t="s">
        <v>0</v>
      </c>
      <c r="AN27" s="7" t="s">
        <v>0</v>
      </c>
      <c r="AO27" s="7" t="s">
        <v>0</v>
      </c>
      <c r="AP27" s="7" t="s">
        <v>0</v>
      </c>
      <c r="AQ27" s="7" t="s">
        <v>61</v>
      </c>
      <c r="AR27" s="7" t="s">
        <v>0</v>
      </c>
      <c r="AS27" s="10" t="str">
        <f>HYPERLINK("https://tessa.gazprom-neft.local/edo/card/e5db003c-77b2-4a46-b123-73c65e2b3583", "https://tessa.gazprom-neft.local/edo/card/e5db003c-77b2-4a46-b123-73c65e2b3583")</f>
        <v>https://tessa.gazprom-neft.local/edo/card/e5db003c-77b2-4a46-b123-73c65e2b3583</v>
      </c>
    </row>
    <row r="28" spans="1:45" hidden="1" x14ac:dyDescent="0.25">
      <c r="A28" s="6" t="s">
        <v>44</v>
      </c>
      <c r="B28" s="7" t="s">
        <v>0</v>
      </c>
      <c r="C28" s="7" t="s">
        <v>218</v>
      </c>
      <c r="D28" s="8" t="s">
        <v>0</v>
      </c>
      <c r="E28" s="8" t="s">
        <v>0</v>
      </c>
      <c r="F28" s="16" t="s">
        <v>0</v>
      </c>
      <c r="G28" s="7" t="s">
        <v>0</v>
      </c>
      <c r="H28" s="7" t="s">
        <v>0</v>
      </c>
      <c r="I28" s="7" t="s">
        <v>0</v>
      </c>
      <c r="J28" s="7" t="s">
        <v>0</v>
      </c>
      <c r="K28" s="7" t="s">
        <v>85</v>
      </c>
      <c r="L28" s="7" t="s">
        <v>96</v>
      </c>
      <c r="M28" s="7" t="s">
        <v>4277</v>
      </c>
      <c r="N28" s="7" t="s">
        <v>4278</v>
      </c>
      <c r="O28" s="7" t="s">
        <v>0</v>
      </c>
      <c r="P28" s="7" t="s">
        <v>4277</v>
      </c>
      <c r="Q28" s="7" t="s">
        <v>4279</v>
      </c>
      <c r="R28" s="7" t="s">
        <v>1774</v>
      </c>
      <c r="S28" s="7" t="s">
        <v>0</v>
      </c>
      <c r="T28" s="7" t="s">
        <v>54</v>
      </c>
      <c r="U28" s="7" t="s">
        <v>307</v>
      </c>
      <c r="V28" s="7" t="s">
        <v>382</v>
      </c>
      <c r="W28" s="7" t="s">
        <v>57</v>
      </c>
      <c r="X28" s="7" t="s">
        <v>103</v>
      </c>
      <c r="Y28" s="8">
        <v>44682</v>
      </c>
      <c r="Z28" s="8">
        <v>45291</v>
      </c>
      <c r="AA28" s="7" t="s">
        <v>383</v>
      </c>
      <c r="AB28" s="7" t="s">
        <v>4280</v>
      </c>
      <c r="AC28" s="7" t="s">
        <v>79</v>
      </c>
      <c r="AD28" s="7" t="s">
        <v>0</v>
      </c>
      <c r="AE28" s="7" t="s">
        <v>0</v>
      </c>
      <c r="AF28" s="7" t="s">
        <v>0</v>
      </c>
      <c r="AG28" s="7" t="s">
        <v>0</v>
      </c>
      <c r="AH28" s="9" t="s">
        <v>0</v>
      </c>
      <c r="AI28" s="9" t="s">
        <v>0</v>
      </c>
      <c r="AJ28" s="9" t="s">
        <v>0</v>
      </c>
      <c r="AK28" s="7" t="s">
        <v>61</v>
      </c>
      <c r="AL28" s="7" t="s">
        <v>61</v>
      </c>
      <c r="AM28" s="7" t="s">
        <v>0</v>
      </c>
      <c r="AN28" s="7" t="s">
        <v>0</v>
      </c>
      <c r="AO28" s="7" t="s">
        <v>0</v>
      </c>
      <c r="AP28" s="7" t="s">
        <v>0</v>
      </c>
      <c r="AQ28" s="7" t="s">
        <v>61</v>
      </c>
      <c r="AR28" s="7" t="s">
        <v>0</v>
      </c>
      <c r="AS28" s="10" t="str">
        <f>HYPERLINK("https://tessa.gazprom-neft.local/edo/card/20fd770f-49ea-4669-888b-e4f225656cba", "https://tessa.gazprom-neft.local/edo/card/20fd770f-49ea-4669-888b-e4f225656cba")</f>
        <v>https://tessa.gazprom-neft.local/edo/card/20fd770f-49ea-4669-888b-e4f225656cba</v>
      </c>
    </row>
    <row r="29" spans="1:45" hidden="1" x14ac:dyDescent="0.25">
      <c r="A29" s="6" t="s">
        <v>44</v>
      </c>
      <c r="B29" s="7" t="s">
        <v>2001</v>
      </c>
      <c r="C29" s="7" t="s">
        <v>218</v>
      </c>
      <c r="D29" s="8" t="s">
        <v>0</v>
      </c>
      <c r="E29" s="8" t="s">
        <v>0</v>
      </c>
      <c r="F29" s="16" t="s">
        <v>2002</v>
      </c>
      <c r="G29" s="7" t="s">
        <v>2003</v>
      </c>
      <c r="H29" s="7" t="s">
        <v>1998</v>
      </c>
      <c r="I29" s="7" t="s">
        <v>0</v>
      </c>
      <c r="J29" s="7" t="s">
        <v>0</v>
      </c>
      <c r="K29" s="7" t="s">
        <v>47</v>
      </c>
      <c r="L29" s="7" t="s">
        <v>239</v>
      </c>
      <c r="M29" s="7" t="s">
        <v>0</v>
      </c>
      <c r="N29" s="7" t="s">
        <v>4361</v>
      </c>
      <c r="O29" s="7" t="s">
        <v>0</v>
      </c>
      <c r="P29" s="7" t="s">
        <v>4362</v>
      </c>
      <c r="Q29" s="7" t="s">
        <v>4363</v>
      </c>
      <c r="R29" s="7" t="s">
        <v>393</v>
      </c>
      <c r="S29" s="7" t="s">
        <v>0</v>
      </c>
      <c r="T29" s="7" t="s">
        <v>54</v>
      </c>
      <c r="U29" s="7" t="s">
        <v>0</v>
      </c>
      <c r="V29" s="7" t="s">
        <v>168</v>
      </c>
      <c r="W29" s="7" t="s">
        <v>0</v>
      </c>
      <c r="X29" s="7" t="s">
        <v>0</v>
      </c>
      <c r="Y29" s="8" t="s">
        <v>0</v>
      </c>
      <c r="Z29" s="8" t="s">
        <v>0</v>
      </c>
      <c r="AA29" s="7" t="s">
        <v>0</v>
      </c>
      <c r="AB29" s="7" t="s">
        <v>130</v>
      </c>
      <c r="AC29" s="7" t="s">
        <v>79</v>
      </c>
      <c r="AD29" s="7" t="s">
        <v>144</v>
      </c>
      <c r="AE29" s="7" t="s">
        <v>0</v>
      </c>
      <c r="AF29" s="7" t="s">
        <v>0</v>
      </c>
      <c r="AG29" s="7" t="s">
        <v>0</v>
      </c>
      <c r="AH29" s="9" t="s">
        <v>0</v>
      </c>
      <c r="AI29" s="9" t="s">
        <v>0</v>
      </c>
      <c r="AJ29" s="9" t="s">
        <v>0</v>
      </c>
      <c r="AK29" s="7" t="s">
        <v>61</v>
      </c>
      <c r="AL29" s="7" t="s">
        <v>61</v>
      </c>
      <c r="AM29" s="7" t="s">
        <v>0</v>
      </c>
      <c r="AN29" s="7" t="s">
        <v>0</v>
      </c>
      <c r="AO29" s="7" t="s">
        <v>0</v>
      </c>
      <c r="AP29" s="7" t="s">
        <v>0</v>
      </c>
      <c r="AQ29" s="7" t="s">
        <v>61</v>
      </c>
      <c r="AR29" s="7" t="s">
        <v>0</v>
      </c>
      <c r="AS29" s="10" t="str">
        <f>HYPERLINK("https://tessa.gazprom-neft.local/edo/card/c033d511-8f10-4071-9c5e-abc6ce163bfb", "https://tessa.gazprom-neft.local/edo/card/c033d511-8f10-4071-9c5e-abc6ce163bfb")</f>
        <v>https://tessa.gazprom-neft.local/edo/card/c033d511-8f10-4071-9c5e-abc6ce163bfb</v>
      </c>
    </row>
    <row r="30" spans="1:45" x14ac:dyDescent="0.25">
      <c r="A30" s="6" t="s">
        <v>44</v>
      </c>
      <c r="B30" s="7" t="s">
        <v>1192</v>
      </c>
      <c r="C30" s="7" t="s">
        <v>218</v>
      </c>
      <c r="D30" s="8" t="s">
        <v>0</v>
      </c>
      <c r="E30" s="8" t="s">
        <v>0</v>
      </c>
      <c r="F30" s="16" t="s">
        <v>4005</v>
      </c>
      <c r="G30" s="7" t="s">
        <v>1194</v>
      </c>
      <c r="H30" s="7" t="s">
        <v>4003</v>
      </c>
      <c r="I30" s="7" t="s">
        <v>0</v>
      </c>
      <c r="J30" s="7" t="s">
        <v>0</v>
      </c>
      <c r="K30" s="7" t="s">
        <v>47</v>
      </c>
      <c r="L30" s="7" t="s">
        <v>48</v>
      </c>
      <c r="M30" s="7" t="s">
        <v>0</v>
      </c>
      <c r="N30" s="7" t="s">
        <v>4431</v>
      </c>
      <c r="O30" s="7" t="s">
        <v>0</v>
      </c>
      <c r="P30" s="7" t="s">
        <v>4432</v>
      </c>
      <c r="Q30" s="7" t="s">
        <v>4433</v>
      </c>
      <c r="R30" s="7" t="s">
        <v>393</v>
      </c>
      <c r="S30" s="7" t="s">
        <v>0</v>
      </c>
      <c r="T30" s="7" t="s">
        <v>54</v>
      </c>
      <c r="U30" s="7" t="s">
        <v>0</v>
      </c>
      <c r="V30" s="7" t="s">
        <v>295</v>
      </c>
      <c r="W30" s="7" t="s">
        <v>74</v>
      </c>
      <c r="X30" s="7" t="s">
        <v>0</v>
      </c>
      <c r="Y30" s="8" t="s">
        <v>0</v>
      </c>
      <c r="Z30" s="8" t="s">
        <v>0</v>
      </c>
      <c r="AA30" s="7" t="s">
        <v>296</v>
      </c>
      <c r="AB30" s="7" t="s">
        <v>1748</v>
      </c>
      <c r="AC30" s="7" t="s">
        <v>79</v>
      </c>
      <c r="AD30" s="7" t="s">
        <v>80</v>
      </c>
      <c r="AE30" s="7" t="s">
        <v>0</v>
      </c>
      <c r="AF30" s="7" t="s">
        <v>0</v>
      </c>
      <c r="AG30" s="7" t="s">
        <v>0</v>
      </c>
      <c r="AH30" s="9" t="s">
        <v>0</v>
      </c>
      <c r="AI30" s="9" t="s">
        <v>0</v>
      </c>
      <c r="AJ30" s="9" t="s">
        <v>0</v>
      </c>
      <c r="AK30" s="7" t="s">
        <v>61</v>
      </c>
      <c r="AL30" s="7" t="s">
        <v>61</v>
      </c>
      <c r="AM30" s="7" t="s">
        <v>0</v>
      </c>
      <c r="AN30" s="7" t="s">
        <v>0</v>
      </c>
      <c r="AO30" s="7" t="s">
        <v>0</v>
      </c>
      <c r="AP30" s="7" t="s">
        <v>0</v>
      </c>
      <c r="AQ30" s="7" t="s">
        <v>61</v>
      </c>
      <c r="AR30" s="7" t="s">
        <v>0</v>
      </c>
      <c r="AS30" s="10" t="str">
        <f>HYPERLINK("https://tessa.gazprom-neft.local/edo/card/3eedd886-92d5-4049-ac43-1d8cdd23c8d5", "https://tessa.gazprom-neft.local/edo/card/3eedd886-92d5-4049-ac43-1d8cdd23c8d5")</f>
        <v>https://tessa.gazprom-neft.local/edo/card/3eedd886-92d5-4049-ac43-1d8cdd23c8d5</v>
      </c>
    </row>
    <row r="31" spans="1:45" hidden="1" x14ac:dyDescent="0.25">
      <c r="A31" s="6" t="s">
        <v>44</v>
      </c>
      <c r="B31" s="7" t="s">
        <v>0</v>
      </c>
      <c r="C31" s="7" t="s">
        <v>218</v>
      </c>
      <c r="D31" s="8" t="s">
        <v>0</v>
      </c>
      <c r="E31" s="8" t="s">
        <v>0</v>
      </c>
      <c r="F31" s="16" t="s">
        <v>4810</v>
      </c>
      <c r="G31" s="7" t="s">
        <v>0</v>
      </c>
      <c r="H31" s="7" t="s">
        <v>0</v>
      </c>
      <c r="I31" s="7" t="s">
        <v>0</v>
      </c>
      <c r="J31" s="7" t="s">
        <v>0</v>
      </c>
      <c r="K31" s="7" t="s">
        <v>85</v>
      </c>
      <c r="L31" s="7" t="s">
        <v>96</v>
      </c>
      <c r="M31" s="7" t="s">
        <v>4807</v>
      </c>
      <c r="N31" s="7" t="s">
        <v>4808</v>
      </c>
      <c r="O31" s="7" t="s">
        <v>0</v>
      </c>
      <c r="P31" s="7" t="s">
        <v>4809</v>
      </c>
      <c r="Q31" s="7" t="s">
        <v>0</v>
      </c>
      <c r="R31" s="7" t="s">
        <v>1057</v>
      </c>
      <c r="S31" s="7" t="s">
        <v>0</v>
      </c>
      <c r="T31" s="7" t="s">
        <v>54</v>
      </c>
      <c r="U31" s="7" t="s">
        <v>188</v>
      </c>
      <c r="V31" s="7" t="s">
        <v>187</v>
      </c>
      <c r="W31" s="7" t="s">
        <v>74</v>
      </c>
      <c r="X31" s="7" t="s">
        <v>103</v>
      </c>
      <c r="Y31" s="8">
        <v>45453</v>
      </c>
      <c r="Z31" s="8">
        <v>45456</v>
      </c>
      <c r="AA31" s="7" t="s">
        <v>224</v>
      </c>
      <c r="AB31" s="7" t="s">
        <v>64</v>
      </c>
      <c r="AC31" s="7" t="s">
        <v>79</v>
      </c>
      <c r="AD31" s="7" t="s">
        <v>514</v>
      </c>
      <c r="AE31" s="7" t="s">
        <v>0</v>
      </c>
      <c r="AF31" s="7" t="s">
        <v>0</v>
      </c>
      <c r="AG31" s="7" t="s">
        <v>0</v>
      </c>
      <c r="AH31" s="9" t="s">
        <v>0</v>
      </c>
      <c r="AI31" s="9" t="s">
        <v>0</v>
      </c>
      <c r="AJ31" s="9" t="s">
        <v>0</v>
      </c>
      <c r="AK31" s="7" t="s">
        <v>61</v>
      </c>
      <c r="AL31" s="7" t="s">
        <v>61</v>
      </c>
      <c r="AM31" s="7" t="s">
        <v>0</v>
      </c>
      <c r="AN31" s="7" t="s">
        <v>0</v>
      </c>
      <c r="AO31" s="7" t="s">
        <v>0</v>
      </c>
      <c r="AP31" s="7" t="s">
        <v>0</v>
      </c>
      <c r="AQ31" s="7" t="s">
        <v>61</v>
      </c>
      <c r="AR31" s="7" t="s">
        <v>0</v>
      </c>
      <c r="AS31" s="10" t="str">
        <f>HYPERLINK("https://tessa.gazprom-neft.local/edo/card/a3e251f7-3ac8-4329-8da4-8c61a49ff281", "https://tessa.gazprom-neft.local/edo/card/a3e251f7-3ac8-4329-8da4-8c61a49ff281")</f>
        <v>https://tessa.gazprom-neft.local/edo/card/a3e251f7-3ac8-4329-8da4-8c61a49ff281</v>
      </c>
    </row>
    <row r="32" spans="1:45" hidden="1" x14ac:dyDescent="0.25">
      <c r="A32" s="6" t="s">
        <v>44</v>
      </c>
      <c r="B32" s="7" t="s">
        <v>0</v>
      </c>
      <c r="C32" s="7" t="s">
        <v>218</v>
      </c>
      <c r="D32" s="8" t="s">
        <v>0</v>
      </c>
      <c r="E32" s="8" t="s">
        <v>0</v>
      </c>
      <c r="F32" s="16" t="s">
        <v>0</v>
      </c>
      <c r="G32" s="7" t="s">
        <v>0</v>
      </c>
      <c r="H32" s="7" t="s">
        <v>0</v>
      </c>
      <c r="I32" s="7" t="s">
        <v>0</v>
      </c>
      <c r="J32" s="7" t="s">
        <v>0</v>
      </c>
      <c r="K32" s="7" t="s">
        <v>85</v>
      </c>
      <c r="L32" s="7" t="s">
        <v>86</v>
      </c>
      <c r="M32" s="7" t="s">
        <v>83</v>
      </c>
      <c r="N32" s="7" t="s">
        <v>4849</v>
      </c>
      <c r="O32" s="7" t="s">
        <v>0</v>
      </c>
      <c r="P32" s="7" t="s">
        <v>83</v>
      </c>
      <c r="Q32" s="7" t="s">
        <v>0</v>
      </c>
      <c r="R32" s="7" t="s">
        <v>4850</v>
      </c>
      <c r="S32" s="7" t="s">
        <v>0</v>
      </c>
      <c r="T32" s="7" t="s">
        <v>54</v>
      </c>
      <c r="U32" s="7" t="s">
        <v>303</v>
      </c>
      <c r="V32" s="7" t="s">
        <v>0</v>
      </c>
      <c r="W32" s="7" t="s">
        <v>0</v>
      </c>
      <c r="X32" s="7" t="s">
        <v>0</v>
      </c>
      <c r="Y32" s="8" t="s">
        <v>0</v>
      </c>
      <c r="Z32" s="8" t="s">
        <v>0</v>
      </c>
      <c r="AA32" s="7" t="s">
        <v>0</v>
      </c>
      <c r="AB32" s="7" t="s">
        <v>94</v>
      </c>
      <c r="AC32" s="7" t="s">
        <v>0</v>
      </c>
      <c r="AD32" s="7" t="s">
        <v>0</v>
      </c>
      <c r="AE32" s="7" t="s">
        <v>0</v>
      </c>
      <c r="AF32" s="7" t="s">
        <v>0</v>
      </c>
      <c r="AG32" s="7" t="s">
        <v>0</v>
      </c>
      <c r="AH32" s="9" t="s">
        <v>0</v>
      </c>
      <c r="AI32" s="9" t="s">
        <v>0</v>
      </c>
      <c r="AJ32" s="9" t="s">
        <v>0</v>
      </c>
      <c r="AK32" s="7" t="s">
        <v>61</v>
      </c>
      <c r="AL32" s="7" t="s">
        <v>61</v>
      </c>
      <c r="AM32" s="7" t="s">
        <v>0</v>
      </c>
      <c r="AN32" s="7" t="s">
        <v>0</v>
      </c>
      <c r="AO32" s="7" t="s">
        <v>0</v>
      </c>
      <c r="AP32" s="7" t="s">
        <v>0</v>
      </c>
      <c r="AQ32" s="7" t="s">
        <v>61</v>
      </c>
      <c r="AR32" s="7" t="s">
        <v>0</v>
      </c>
      <c r="AS32" s="10" t="str">
        <f>HYPERLINK("https://tessa.gazprom-neft.local/edo/card/75f6d862-56a9-445d-8a2a-d5a897fe322f", "https://tessa.gazprom-neft.local/edo/card/75f6d862-56a9-445d-8a2a-d5a897fe322f")</f>
        <v>https://tessa.gazprom-neft.local/edo/card/75f6d862-56a9-445d-8a2a-d5a897fe322f</v>
      </c>
    </row>
    <row r="33" spans="1:45" hidden="1" x14ac:dyDescent="0.25">
      <c r="A33" s="6" t="s">
        <v>44</v>
      </c>
      <c r="B33" s="7" t="s">
        <v>0</v>
      </c>
      <c r="C33" s="7" t="s">
        <v>218</v>
      </c>
      <c r="D33" s="8" t="s">
        <v>0</v>
      </c>
      <c r="E33" s="8" t="s">
        <v>0</v>
      </c>
      <c r="F33" s="16" t="s">
        <v>0</v>
      </c>
      <c r="G33" s="7" t="s">
        <v>0</v>
      </c>
      <c r="H33" s="7" t="s">
        <v>0</v>
      </c>
      <c r="I33" s="7" t="s">
        <v>0</v>
      </c>
      <c r="J33" s="7" t="s">
        <v>0</v>
      </c>
      <c r="K33" s="7" t="s">
        <v>85</v>
      </c>
      <c r="L33" s="7" t="s">
        <v>86</v>
      </c>
      <c r="M33" s="7" t="s">
        <v>83</v>
      </c>
      <c r="N33" s="7" t="s">
        <v>4855</v>
      </c>
      <c r="O33" s="7" t="s">
        <v>0</v>
      </c>
      <c r="P33" s="7" t="s">
        <v>83</v>
      </c>
      <c r="Q33" s="7" t="s">
        <v>0</v>
      </c>
      <c r="R33" s="7" t="s">
        <v>4850</v>
      </c>
      <c r="S33" s="7" t="s">
        <v>0</v>
      </c>
      <c r="T33" s="7" t="s">
        <v>54</v>
      </c>
      <c r="U33" s="7" t="s">
        <v>303</v>
      </c>
      <c r="V33" s="7" t="s">
        <v>0</v>
      </c>
      <c r="W33" s="7" t="s">
        <v>0</v>
      </c>
      <c r="X33" s="7" t="s">
        <v>0</v>
      </c>
      <c r="Y33" s="8" t="s">
        <v>0</v>
      </c>
      <c r="Z33" s="8" t="s">
        <v>0</v>
      </c>
      <c r="AA33" s="7" t="s">
        <v>0</v>
      </c>
      <c r="AB33" s="7" t="s">
        <v>94</v>
      </c>
      <c r="AC33" s="7" t="s">
        <v>0</v>
      </c>
      <c r="AD33" s="7" t="s">
        <v>0</v>
      </c>
      <c r="AE33" s="7" t="s">
        <v>0</v>
      </c>
      <c r="AF33" s="7" t="s">
        <v>0</v>
      </c>
      <c r="AG33" s="7" t="s">
        <v>0</v>
      </c>
      <c r="AH33" s="9" t="s">
        <v>0</v>
      </c>
      <c r="AI33" s="9" t="s">
        <v>0</v>
      </c>
      <c r="AJ33" s="9" t="s">
        <v>0</v>
      </c>
      <c r="AK33" s="7" t="s">
        <v>61</v>
      </c>
      <c r="AL33" s="7" t="s">
        <v>61</v>
      </c>
      <c r="AM33" s="7" t="s">
        <v>0</v>
      </c>
      <c r="AN33" s="7" t="s">
        <v>0</v>
      </c>
      <c r="AO33" s="7" t="s">
        <v>0</v>
      </c>
      <c r="AP33" s="7" t="s">
        <v>0</v>
      </c>
      <c r="AQ33" s="7" t="s">
        <v>61</v>
      </c>
      <c r="AR33" s="7" t="s">
        <v>0</v>
      </c>
      <c r="AS33" s="10" t="str">
        <f>HYPERLINK("https://tessa.gazprom-neft.local/edo/card/bb670ea7-0089-4861-9f1a-9268335a54d5", "https://tessa.gazprom-neft.local/edo/card/bb670ea7-0089-4861-9f1a-9268335a54d5")</f>
        <v>https://tessa.gazprom-neft.local/edo/card/bb670ea7-0089-4861-9f1a-9268335a54d5</v>
      </c>
    </row>
    <row r="34" spans="1:45" hidden="1" x14ac:dyDescent="0.25">
      <c r="A34" s="6" t="s">
        <v>44</v>
      </c>
      <c r="B34" s="7" t="s">
        <v>4864</v>
      </c>
      <c r="C34" s="7" t="s">
        <v>4861</v>
      </c>
      <c r="D34" s="8" t="s">
        <v>0</v>
      </c>
      <c r="E34" s="8" t="s">
        <v>0</v>
      </c>
      <c r="F34" s="16" t="s">
        <v>4865</v>
      </c>
      <c r="G34" s="7" t="s">
        <v>4866</v>
      </c>
      <c r="H34" s="7" t="s">
        <v>0</v>
      </c>
      <c r="I34" s="7" t="s">
        <v>0</v>
      </c>
      <c r="J34" s="7" t="s">
        <v>0</v>
      </c>
      <c r="K34" s="7" t="s">
        <v>85</v>
      </c>
      <c r="L34" s="7" t="s">
        <v>96</v>
      </c>
      <c r="M34" s="7" t="s">
        <v>183</v>
      </c>
      <c r="N34" s="7" t="s">
        <v>4860</v>
      </c>
      <c r="O34" s="7" t="s">
        <v>0</v>
      </c>
      <c r="P34" s="7" t="s">
        <v>183</v>
      </c>
      <c r="Q34" s="7" t="s">
        <v>4862</v>
      </c>
      <c r="R34" s="7" t="s">
        <v>4863</v>
      </c>
      <c r="S34" s="7" t="s">
        <v>0</v>
      </c>
      <c r="T34" s="7" t="s">
        <v>54</v>
      </c>
      <c r="U34" s="7" t="s">
        <v>1012</v>
      </c>
      <c r="V34" s="7" t="s">
        <v>137</v>
      </c>
      <c r="W34" s="7" t="s">
        <v>57</v>
      </c>
      <c r="X34" s="7" t="s">
        <v>103</v>
      </c>
      <c r="Y34" s="8">
        <v>45124</v>
      </c>
      <c r="Z34" s="8">
        <v>45289</v>
      </c>
      <c r="AA34" s="7" t="s">
        <v>0</v>
      </c>
      <c r="AB34" s="7" t="s">
        <v>192</v>
      </c>
      <c r="AC34" s="7" t="s">
        <v>79</v>
      </c>
      <c r="AD34" s="7" t="s">
        <v>80</v>
      </c>
      <c r="AE34" s="7" t="s">
        <v>193</v>
      </c>
      <c r="AF34" s="7" t="s">
        <v>0</v>
      </c>
      <c r="AG34" s="7" t="s">
        <v>0</v>
      </c>
      <c r="AH34" s="9" t="s">
        <v>12255</v>
      </c>
      <c r="AI34" s="9" t="s">
        <v>12256</v>
      </c>
      <c r="AJ34" s="9" t="s">
        <v>12257</v>
      </c>
      <c r="AK34" s="7" t="s">
        <v>61</v>
      </c>
      <c r="AL34" s="7" t="s">
        <v>61</v>
      </c>
      <c r="AM34" s="7" t="s">
        <v>0</v>
      </c>
      <c r="AN34" s="7" t="s">
        <v>0</v>
      </c>
      <c r="AO34" s="7" t="s">
        <v>0</v>
      </c>
      <c r="AP34" s="7" t="s">
        <v>0</v>
      </c>
      <c r="AQ34" s="7" t="s">
        <v>61</v>
      </c>
      <c r="AR34" s="7" t="s">
        <v>0</v>
      </c>
      <c r="AS34" s="10" t="str">
        <f>HYPERLINK("https://tessa.gazprom-neft.local/edo/card/79fe8fad-cf78-45e0-8e14-a44cf63d986d", "https://tessa.gazprom-neft.local/edo/card/79fe8fad-cf78-45e0-8e14-a44cf63d986d")</f>
        <v>https://tessa.gazprom-neft.local/edo/card/79fe8fad-cf78-45e0-8e14-a44cf63d986d</v>
      </c>
    </row>
    <row r="35" spans="1:45" hidden="1" x14ac:dyDescent="0.25">
      <c r="A35" s="6" t="s">
        <v>44</v>
      </c>
      <c r="B35" s="7" t="s">
        <v>4864</v>
      </c>
      <c r="C35" s="7" t="s">
        <v>218</v>
      </c>
      <c r="D35" s="8" t="s">
        <v>0</v>
      </c>
      <c r="E35" s="8" t="s">
        <v>0</v>
      </c>
      <c r="F35" s="16" t="s">
        <v>4865</v>
      </c>
      <c r="G35" s="7" t="s">
        <v>4866</v>
      </c>
      <c r="H35" s="7" t="s">
        <v>0</v>
      </c>
      <c r="I35" s="7" t="s">
        <v>0</v>
      </c>
      <c r="J35" s="7" t="s">
        <v>0</v>
      </c>
      <c r="K35" s="7" t="s">
        <v>85</v>
      </c>
      <c r="L35" s="7" t="s">
        <v>86</v>
      </c>
      <c r="M35" s="7" t="s">
        <v>523</v>
      </c>
      <c r="N35" s="7" t="s">
        <v>4870</v>
      </c>
      <c r="O35" s="7" t="s">
        <v>0</v>
      </c>
      <c r="P35" s="7" t="s">
        <v>523</v>
      </c>
      <c r="Q35" s="7" t="s">
        <v>4871</v>
      </c>
      <c r="R35" s="7" t="s">
        <v>4863</v>
      </c>
      <c r="S35" s="7" t="s">
        <v>4863</v>
      </c>
      <c r="T35" s="7" t="s">
        <v>54</v>
      </c>
      <c r="U35" s="7" t="s">
        <v>1012</v>
      </c>
      <c r="V35" s="7" t="s">
        <v>91</v>
      </c>
      <c r="W35" s="7" t="s">
        <v>57</v>
      </c>
      <c r="X35" s="7" t="s">
        <v>103</v>
      </c>
      <c r="Y35" s="8">
        <v>45124</v>
      </c>
      <c r="Z35" s="8">
        <v>45289</v>
      </c>
      <c r="AA35" s="7" t="s">
        <v>92</v>
      </c>
      <c r="AB35" s="7" t="s">
        <v>0</v>
      </c>
      <c r="AC35" s="7" t="s">
        <v>65</v>
      </c>
      <c r="AD35" s="7" t="s">
        <v>80</v>
      </c>
      <c r="AE35" s="7" t="s">
        <v>0</v>
      </c>
      <c r="AF35" s="7" t="s">
        <v>0</v>
      </c>
      <c r="AG35" s="7" t="s">
        <v>0</v>
      </c>
      <c r="AH35" s="9" t="s">
        <v>0</v>
      </c>
      <c r="AI35" s="9" t="s">
        <v>0</v>
      </c>
      <c r="AJ35" s="9" t="s">
        <v>0</v>
      </c>
      <c r="AK35" s="7" t="s">
        <v>61</v>
      </c>
      <c r="AL35" s="7" t="s">
        <v>61</v>
      </c>
      <c r="AM35" s="7" t="s">
        <v>0</v>
      </c>
      <c r="AN35" s="7" t="s">
        <v>0</v>
      </c>
      <c r="AO35" s="7" t="s">
        <v>0</v>
      </c>
      <c r="AP35" s="7" t="s">
        <v>0</v>
      </c>
      <c r="AQ35" s="7" t="s">
        <v>61</v>
      </c>
      <c r="AR35" s="7" t="s">
        <v>0</v>
      </c>
      <c r="AS35" s="10" t="str">
        <f>HYPERLINK("https://tessa.gazprom-neft.local/edo/card/e5c7a5ca-0913-4910-b9db-1a43b3fbc74b", "https://tessa.gazprom-neft.local/edo/card/e5c7a5ca-0913-4910-b9db-1a43b3fbc74b")</f>
        <v>https://tessa.gazprom-neft.local/edo/card/e5c7a5ca-0913-4910-b9db-1a43b3fbc74b</v>
      </c>
    </row>
    <row r="36" spans="1:45" hidden="1" x14ac:dyDescent="0.25">
      <c r="A36" s="6" t="s">
        <v>44</v>
      </c>
      <c r="B36" s="7" t="s">
        <v>0</v>
      </c>
      <c r="C36" s="7" t="s">
        <v>492</v>
      </c>
      <c r="D36" s="8" t="s">
        <v>0</v>
      </c>
      <c r="E36" s="8" t="s">
        <v>0</v>
      </c>
      <c r="F36" s="16" t="s">
        <v>4881</v>
      </c>
      <c r="G36" s="7" t="s">
        <v>0</v>
      </c>
      <c r="H36" s="7" t="s">
        <v>0</v>
      </c>
      <c r="I36" s="7" t="s">
        <v>0</v>
      </c>
      <c r="J36" s="7" t="s">
        <v>0</v>
      </c>
      <c r="K36" s="7" t="s">
        <v>47</v>
      </c>
      <c r="L36" s="7" t="s">
        <v>96</v>
      </c>
      <c r="M36" s="7" t="s">
        <v>0</v>
      </c>
      <c r="N36" s="7" t="s">
        <v>4878</v>
      </c>
      <c r="O36" s="7" t="s">
        <v>0</v>
      </c>
      <c r="P36" s="7" t="s">
        <v>4879</v>
      </c>
      <c r="Q36" s="7" t="s">
        <v>4880</v>
      </c>
      <c r="R36" s="7" t="s">
        <v>4173</v>
      </c>
      <c r="S36" s="7" t="s">
        <v>0</v>
      </c>
      <c r="T36" s="7" t="s">
        <v>54</v>
      </c>
      <c r="U36" s="7" t="s">
        <v>90</v>
      </c>
      <c r="V36" s="7" t="s">
        <v>102</v>
      </c>
      <c r="W36" s="7" t="s">
        <v>57</v>
      </c>
      <c r="X36" s="7" t="s">
        <v>103</v>
      </c>
      <c r="Y36" s="8">
        <v>45703</v>
      </c>
      <c r="Z36" s="8">
        <v>46873</v>
      </c>
      <c r="AA36" s="7" t="s">
        <v>0</v>
      </c>
      <c r="AB36" s="7" t="s">
        <v>130</v>
      </c>
      <c r="AC36" s="7" t="s">
        <v>278</v>
      </c>
      <c r="AD36" s="7" t="s">
        <v>80</v>
      </c>
      <c r="AE36" s="7" t="s">
        <v>82</v>
      </c>
      <c r="AF36" s="7" t="s">
        <v>0</v>
      </c>
      <c r="AG36" s="7" t="s">
        <v>0</v>
      </c>
      <c r="AH36" s="9">
        <v>0</v>
      </c>
      <c r="AI36" s="9">
        <v>0</v>
      </c>
      <c r="AJ36" s="9">
        <v>0</v>
      </c>
      <c r="AK36" s="7" t="s">
        <v>61</v>
      </c>
      <c r="AL36" s="7" t="s">
        <v>61</v>
      </c>
      <c r="AM36" s="7" t="s">
        <v>0</v>
      </c>
      <c r="AN36" s="7" t="s">
        <v>0</v>
      </c>
      <c r="AO36" s="7" t="s">
        <v>0</v>
      </c>
      <c r="AP36" s="7" t="s">
        <v>0</v>
      </c>
      <c r="AQ36" s="7" t="s">
        <v>61</v>
      </c>
      <c r="AR36" s="7" t="s">
        <v>0</v>
      </c>
      <c r="AS36" s="10" t="str">
        <f>HYPERLINK("https://tessa.gazprom-neft.local/edo/card/27c61a48-8122-4e62-8db9-260028301016", "https://tessa.gazprom-neft.local/edo/card/27c61a48-8122-4e62-8db9-260028301016")</f>
        <v>https://tessa.gazprom-neft.local/edo/card/27c61a48-8122-4e62-8db9-260028301016</v>
      </c>
    </row>
    <row r="37" spans="1:45" x14ac:dyDescent="0.25">
      <c r="A37" s="6" t="s">
        <v>44</v>
      </c>
      <c r="B37" s="7" t="s">
        <v>0</v>
      </c>
      <c r="C37" s="7" t="s">
        <v>218</v>
      </c>
      <c r="D37" s="8" t="s">
        <v>0</v>
      </c>
      <c r="E37" s="8" t="s">
        <v>0</v>
      </c>
      <c r="F37" s="16" t="s">
        <v>4720</v>
      </c>
      <c r="G37" s="7" t="s">
        <v>973</v>
      </c>
      <c r="H37" s="7" t="s">
        <v>0</v>
      </c>
      <c r="I37" s="7" t="s">
        <v>0</v>
      </c>
      <c r="J37" s="7" t="s">
        <v>0</v>
      </c>
      <c r="K37" s="7" t="s">
        <v>85</v>
      </c>
      <c r="L37" s="7" t="s">
        <v>48</v>
      </c>
      <c r="M37" s="7" t="s">
        <v>4716</v>
      </c>
      <c r="N37" s="7" t="s">
        <v>4882</v>
      </c>
      <c r="O37" s="7" t="s">
        <v>0</v>
      </c>
      <c r="P37" s="7" t="s">
        <v>4716</v>
      </c>
      <c r="Q37" s="7" t="s">
        <v>4719</v>
      </c>
      <c r="R37" s="7" t="s">
        <v>513</v>
      </c>
      <c r="S37" s="7" t="s">
        <v>1357</v>
      </c>
      <c r="T37" s="7" t="s">
        <v>54</v>
      </c>
      <c r="U37" s="7" t="s">
        <v>303</v>
      </c>
      <c r="V37" s="7" t="s">
        <v>91</v>
      </c>
      <c r="W37" s="7" t="s">
        <v>57</v>
      </c>
      <c r="X37" s="7" t="s">
        <v>58</v>
      </c>
      <c r="Y37" s="8" t="s">
        <v>0</v>
      </c>
      <c r="Z37" s="8" t="s">
        <v>0</v>
      </c>
      <c r="AA37" s="7" t="s">
        <v>0</v>
      </c>
      <c r="AB37" s="7" t="s">
        <v>0</v>
      </c>
      <c r="AC37" s="7" t="s">
        <v>65</v>
      </c>
      <c r="AD37" s="7" t="s">
        <v>0</v>
      </c>
      <c r="AE37" s="7" t="s">
        <v>0</v>
      </c>
      <c r="AF37" s="7" t="s">
        <v>0</v>
      </c>
      <c r="AG37" s="7" t="s">
        <v>0</v>
      </c>
      <c r="AH37" s="9" t="s">
        <v>0</v>
      </c>
      <c r="AI37" s="9" t="s">
        <v>0</v>
      </c>
      <c r="AJ37" s="9" t="s">
        <v>0</v>
      </c>
      <c r="AK37" s="7" t="s">
        <v>61</v>
      </c>
      <c r="AL37" s="7" t="s">
        <v>61</v>
      </c>
      <c r="AM37" s="7" t="s">
        <v>0</v>
      </c>
      <c r="AN37" s="7" t="s">
        <v>0</v>
      </c>
      <c r="AO37" s="7" t="s">
        <v>0</v>
      </c>
      <c r="AP37" s="7" t="s">
        <v>0</v>
      </c>
      <c r="AQ37" s="7" t="s">
        <v>61</v>
      </c>
      <c r="AR37" s="7" t="s">
        <v>0</v>
      </c>
      <c r="AS37" s="10" t="str">
        <f>HYPERLINK("https://tessa.gazprom-neft.local/edo/card/d3422c43-470c-4fc0-9d80-161ab099d37f", "https://tessa.gazprom-neft.local/edo/card/d3422c43-470c-4fc0-9d80-161ab099d37f")</f>
        <v>https://tessa.gazprom-neft.local/edo/card/d3422c43-470c-4fc0-9d80-161ab099d37f</v>
      </c>
    </row>
    <row r="38" spans="1:45" hidden="1" x14ac:dyDescent="0.25">
      <c r="A38" s="6" t="s">
        <v>44</v>
      </c>
      <c r="B38" s="7" t="s">
        <v>0</v>
      </c>
      <c r="C38" s="7" t="s">
        <v>218</v>
      </c>
      <c r="D38" s="8" t="s">
        <v>0</v>
      </c>
      <c r="E38" s="8" t="s">
        <v>0</v>
      </c>
      <c r="F38" s="16" t="s">
        <v>0</v>
      </c>
      <c r="G38" s="7" t="s">
        <v>0</v>
      </c>
      <c r="H38" s="7" t="s">
        <v>0</v>
      </c>
      <c r="I38" s="7" t="s">
        <v>0</v>
      </c>
      <c r="J38" s="7" t="s">
        <v>0</v>
      </c>
      <c r="K38" s="7" t="s">
        <v>85</v>
      </c>
      <c r="L38" s="7" t="s">
        <v>86</v>
      </c>
      <c r="M38" s="7" t="s">
        <v>0</v>
      </c>
      <c r="N38" s="7" t="s">
        <v>4947</v>
      </c>
      <c r="O38" s="7" t="s">
        <v>0</v>
      </c>
      <c r="P38" s="7" t="s">
        <v>0</v>
      </c>
      <c r="Q38" s="7" t="s">
        <v>0</v>
      </c>
      <c r="R38" s="7" t="s">
        <v>4253</v>
      </c>
      <c r="S38" s="7" t="s">
        <v>0</v>
      </c>
      <c r="T38" s="7" t="s">
        <v>54</v>
      </c>
      <c r="U38" s="7" t="s">
        <v>0</v>
      </c>
      <c r="V38" s="7" t="s">
        <v>0</v>
      </c>
      <c r="W38" s="7" t="s">
        <v>0</v>
      </c>
      <c r="X38" s="7" t="s">
        <v>58</v>
      </c>
      <c r="Y38" s="8" t="s">
        <v>0</v>
      </c>
      <c r="Z38" s="8" t="s">
        <v>0</v>
      </c>
      <c r="AA38" s="7" t="s">
        <v>0</v>
      </c>
      <c r="AB38" s="7" t="s">
        <v>0</v>
      </c>
      <c r="AC38" s="7" t="s">
        <v>0</v>
      </c>
      <c r="AD38" s="7" t="s">
        <v>0</v>
      </c>
      <c r="AE38" s="7" t="s">
        <v>0</v>
      </c>
      <c r="AF38" s="7" t="s">
        <v>0</v>
      </c>
      <c r="AG38" s="7" t="s">
        <v>0</v>
      </c>
      <c r="AH38" s="9" t="s">
        <v>0</v>
      </c>
      <c r="AI38" s="9" t="s">
        <v>0</v>
      </c>
      <c r="AJ38" s="9" t="s">
        <v>0</v>
      </c>
      <c r="AK38" s="7" t="s">
        <v>61</v>
      </c>
      <c r="AL38" s="7" t="s">
        <v>61</v>
      </c>
      <c r="AM38" s="7" t="s">
        <v>0</v>
      </c>
      <c r="AN38" s="7" t="s">
        <v>0</v>
      </c>
      <c r="AO38" s="7" t="s">
        <v>0</v>
      </c>
      <c r="AP38" s="7" t="s">
        <v>0</v>
      </c>
      <c r="AQ38" s="7" t="s">
        <v>61</v>
      </c>
      <c r="AR38" s="7" t="s">
        <v>0</v>
      </c>
      <c r="AS38" s="10" t="str">
        <f>HYPERLINK("https://tessa.gazprom-neft.local/edo/card/96e1eafb-244f-401d-8746-3fc6374da1a9", "https://tessa.gazprom-neft.local/edo/card/96e1eafb-244f-401d-8746-3fc6374da1a9")</f>
        <v>https://tessa.gazprom-neft.local/edo/card/96e1eafb-244f-401d-8746-3fc6374da1a9</v>
      </c>
    </row>
    <row r="39" spans="1:45" hidden="1" x14ac:dyDescent="0.25">
      <c r="A39" s="6" t="s">
        <v>44</v>
      </c>
      <c r="B39" s="7" t="s">
        <v>927</v>
      </c>
      <c r="C39" s="7" t="s">
        <v>218</v>
      </c>
      <c r="D39" s="8" t="s">
        <v>0</v>
      </c>
      <c r="E39" s="8" t="s">
        <v>0</v>
      </c>
      <c r="F39" s="16" t="s">
        <v>928</v>
      </c>
      <c r="G39" s="7" t="s">
        <v>929</v>
      </c>
      <c r="H39" s="7" t="s">
        <v>0</v>
      </c>
      <c r="I39" s="7" t="s">
        <v>0</v>
      </c>
      <c r="J39" s="7" t="s">
        <v>0</v>
      </c>
      <c r="K39" s="7" t="s">
        <v>85</v>
      </c>
      <c r="L39" s="7" t="s">
        <v>86</v>
      </c>
      <c r="M39" s="7" t="s">
        <v>289</v>
      </c>
      <c r="N39" s="7" t="s">
        <v>5112</v>
      </c>
      <c r="O39" s="7" t="s">
        <v>0</v>
      </c>
      <c r="P39" s="7" t="s">
        <v>289</v>
      </c>
      <c r="Q39" s="7" t="s">
        <v>3729</v>
      </c>
      <c r="R39" s="7" t="s">
        <v>198</v>
      </c>
      <c r="S39" s="7" t="s">
        <v>198</v>
      </c>
      <c r="T39" s="7" t="s">
        <v>54</v>
      </c>
      <c r="U39" s="7" t="s">
        <v>199</v>
      </c>
      <c r="V39" s="7" t="s">
        <v>126</v>
      </c>
      <c r="W39" s="7" t="s">
        <v>74</v>
      </c>
      <c r="X39" s="7" t="s">
        <v>58</v>
      </c>
      <c r="Y39" s="8">
        <v>45474</v>
      </c>
      <c r="Z39" s="8" t="s">
        <v>0</v>
      </c>
      <c r="AA39" s="7" t="s">
        <v>200</v>
      </c>
      <c r="AB39" s="7" t="s">
        <v>300</v>
      </c>
      <c r="AC39" s="7" t="s">
        <v>65</v>
      </c>
      <c r="AD39" s="7" t="s">
        <v>0</v>
      </c>
      <c r="AE39" s="7" t="s">
        <v>0</v>
      </c>
      <c r="AF39" s="7" t="s">
        <v>0</v>
      </c>
      <c r="AG39" s="7" t="s">
        <v>0</v>
      </c>
      <c r="AH39" s="9" t="s">
        <v>0</v>
      </c>
      <c r="AI39" s="9" t="s">
        <v>0</v>
      </c>
      <c r="AJ39" s="9" t="s">
        <v>0</v>
      </c>
      <c r="AK39" s="7" t="s">
        <v>61</v>
      </c>
      <c r="AL39" s="7" t="s">
        <v>61</v>
      </c>
      <c r="AM39" s="7" t="s">
        <v>0</v>
      </c>
      <c r="AN39" s="7" t="s">
        <v>0</v>
      </c>
      <c r="AO39" s="7" t="s">
        <v>0</v>
      </c>
      <c r="AP39" s="7" t="s">
        <v>0</v>
      </c>
      <c r="AQ39" s="7" t="s">
        <v>61</v>
      </c>
      <c r="AR39" s="7" t="s">
        <v>0</v>
      </c>
      <c r="AS39" s="10" t="str">
        <f>HYPERLINK("https://tessa.gazprom-neft.local/edo/card/ae53f944-7055-4d12-bf8e-1ed95022f098", "https://tessa.gazprom-neft.local/edo/card/ae53f944-7055-4d12-bf8e-1ed95022f098")</f>
        <v>https://tessa.gazprom-neft.local/edo/card/ae53f944-7055-4d12-bf8e-1ed95022f098</v>
      </c>
    </row>
    <row r="40" spans="1:45" hidden="1" x14ac:dyDescent="0.25">
      <c r="A40" s="6" t="s">
        <v>44</v>
      </c>
      <c r="B40" s="7" t="s">
        <v>1084</v>
      </c>
      <c r="C40" s="7" t="s">
        <v>4861</v>
      </c>
      <c r="D40" s="8" t="s">
        <v>0</v>
      </c>
      <c r="E40" s="8" t="s">
        <v>0</v>
      </c>
      <c r="F40" s="16" t="s">
        <v>1085</v>
      </c>
      <c r="G40" s="7" t="s">
        <v>1086</v>
      </c>
      <c r="H40" s="7" t="s">
        <v>0</v>
      </c>
      <c r="I40" s="7" t="s">
        <v>0</v>
      </c>
      <c r="J40" s="7" t="s">
        <v>0</v>
      </c>
      <c r="K40" s="7" t="s">
        <v>47</v>
      </c>
      <c r="L40" s="7" t="s">
        <v>96</v>
      </c>
      <c r="M40" s="7" t="s">
        <v>0</v>
      </c>
      <c r="N40" s="7" t="s">
        <v>5180</v>
      </c>
      <c r="O40" s="7" t="s">
        <v>0</v>
      </c>
      <c r="P40" s="7" t="s">
        <v>4776</v>
      </c>
      <c r="Q40" s="7" t="s">
        <v>5181</v>
      </c>
      <c r="R40" s="7" t="s">
        <v>1083</v>
      </c>
      <c r="S40" s="7" t="s">
        <v>1638</v>
      </c>
      <c r="T40" s="7" t="s">
        <v>54</v>
      </c>
      <c r="U40" s="7" t="s">
        <v>274</v>
      </c>
      <c r="V40" s="7" t="s">
        <v>137</v>
      </c>
      <c r="W40" s="7" t="s">
        <v>57</v>
      </c>
      <c r="X40" s="7" t="s">
        <v>103</v>
      </c>
      <c r="Y40" s="8">
        <v>44378</v>
      </c>
      <c r="Z40" s="8">
        <v>45138</v>
      </c>
      <c r="AA40" s="7" t="s">
        <v>0</v>
      </c>
      <c r="AB40" s="7" t="s">
        <v>64</v>
      </c>
      <c r="AC40" s="7" t="s">
        <v>278</v>
      </c>
      <c r="AD40" s="7" t="s">
        <v>80</v>
      </c>
      <c r="AE40" s="7" t="s">
        <v>82</v>
      </c>
      <c r="AF40" s="7" t="s">
        <v>0</v>
      </c>
      <c r="AG40" s="7" t="s">
        <v>0</v>
      </c>
      <c r="AH40" s="9" t="s">
        <v>12374</v>
      </c>
      <c r="AI40" s="9" t="s">
        <v>12375</v>
      </c>
      <c r="AJ40" s="9" t="s">
        <v>12376</v>
      </c>
      <c r="AK40" s="7" t="s">
        <v>61</v>
      </c>
      <c r="AL40" s="7" t="s">
        <v>61</v>
      </c>
      <c r="AM40" s="7" t="s">
        <v>0</v>
      </c>
      <c r="AN40" s="7" t="s">
        <v>0</v>
      </c>
      <c r="AO40" s="7" t="s">
        <v>0</v>
      </c>
      <c r="AP40" s="7" t="s">
        <v>0</v>
      </c>
      <c r="AQ40" s="7" t="s">
        <v>61</v>
      </c>
      <c r="AR40" s="7" t="s">
        <v>0</v>
      </c>
      <c r="AS40" s="10" t="str">
        <f>HYPERLINK("https://tessa.gazprom-neft.local/edo/card/5b15154f-0bd7-4a26-a77d-d64b32c68132", "https://tessa.gazprom-neft.local/edo/card/5b15154f-0bd7-4a26-a77d-d64b32c68132")</f>
        <v>https://tessa.gazprom-neft.local/edo/card/5b15154f-0bd7-4a26-a77d-d64b32c68132</v>
      </c>
    </row>
    <row r="41" spans="1:45" x14ac:dyDescent="0.25">
      <c r="A41" s="6" t="s">
        <v>44</v>
      </c>
      <c r="B41" s="7" t="s">
        <v>2132</v>
      </c>
      <c r="C41" s="7" t="s">
        <v>218</v>
      </c>
      <c r="D41" s="8" t="s">
        <v>0</v>
      </c>
      <c r="E41" s="8" t="s">
        <v>0</v>
      </c>
      <c r="F41" s="16" t="s">
        <v>2133</v>
      </c>
      <c r="G41" s="7" t="s">
        <v>739</v>
      </c>
      <c r="H41" s="7" t="s">
        <v>2730</v>
      </c>
      <c r="I41" s="7" t="s">
        <v>0</v>
      </c>
      <c r="J41" s="7" t="s">
        <v>0</v>
      </c>
      <c r="K41" s="7" t="s">
        <v>47</v>
      </c>
      <c r="L41" s="7" t="s">
        <v>48</v>
      </c>
      <c r="M41" s="7" t="s">
        <v>0</v>
      </c>
      <c r="N41" s="7" t="s">
        <v>5316</v>
      </c>
      <c r="O41" s="7" t="s">
        <v>0</v>
      </c>
      <c r="P41" s="7" t="s">
        <v>5317</v>
      </c>
      <c r="Q41" s="7" t="s">
        <v>5318</v>
      </c>
      <c r="R41" s="7" t="s">
        <v>2732</v>
      </c>
      <c r="S41" s="7" t="s">
        <v>898</v>
      </c>
      <c r="T41" s="7" t="s">
        <v>54</v>
      </c>
      <c r="U41" s="7" t="s">
        <v>210</v>
      </c>
      <c r="V41" s="7" t="s">
        <v>211</v>
      </c>
      <c r="W41" s="7" t="s">
        <v>57</v>
      </c>
      <c r="X41" s="7" t="s">
        <v>0</v>
      </c>
      <c r="Y41" s="8" t="s">
        <v>0</v>
      </c>
      <c r="Z41" s="8">
        <v>44561</v>
      </c>
      <c r="AA41" s="7" t="s">
        <v>0</v>
      </c>
      <c r="AB41" s="7" t="s">
        <v>2733</v>
      </c>
      <c r="AC41" s="7" t="s">
        <v>65</v>
      </c>
      <c r="AD41" s="7" t="s">
        <v>0</v>
      </c>
      <c r="AE41" s="7" t="s">
        <v>0</v>
      </c>
      <c r="AF41" s="7" t="s">
        <v>0</v>
      </c>
      <c r="AG41" s="7" t="s">
        <v>0</v>
      </c>
      <c r="AH41" s="9" t="s">
        <v>0</v>
      </c>
      <c r="AI41" s="9" t="s">
        <v>0</v>
      </c>
      <c r="AJ41" s="9" t="s">
        <v>0</v>
      </c>
      <c r="AK41" s="7" t="s">
        <v>61</v>
      </c>
      <c r="AL41" s="7" t="s">
        <v>61</v>
      </c>
      <c r="AM41" s="7" t="s">
        <v>0</v>
      </c>
      <c r="AN41" s="7" t="s">
        <v>0</v>
      </c>
      <c r="AO41" s="7" t="s">
        <v>0</v>
      </c>
      <c r="AP41" s="7" t="s">
        <v>0</v>
      </c>
      <c r="AQ41" s="7" t="s">
        <v>61</v>
      </c>
      <c r="AR41" s="7" t="s">
        <v>0</v>
      </c>
      <c r="AS41" s="10" t="str">
        <f>HYPERLINK("https://tessa.gazprom-neft.local/edo/card/9092091a-ee7e-43de-baee-b41db5d03938", "https://tessa.gazprom-neft.local/edo/card/9092091a-ee7e-43de-baee-b41db5d03938")</f>
        <v>https://tessa.gazprom-neft.local/edo/card/9092091a-ee7e-43de-baee-b41db5d03938</v>
      </c>
    </row>
    <row r="42" spans="1:45" hidden="1" x14ac:dyDescent="0.25">
      <c r="A42" s="6" t="s">
        <v>44</v>
      </c>
      <c r="B42" s="7" t="s">
        <v>0</v>
      </c>
      <c r="C42" s="7" t="s">
        <v>218</v>
      </c>
      <c r="D42" s="8" t="s">
        <v>0</v>
      </c>
      <c r="E42" s="8" t="s">
        <v>0</v>
      </c>
      <c r="F42" s="16" t="s">
        <v>0</v>
      </c>
      <c r="G42" s="7" t="s">
        <v>0</v>
      </c>
      <c r="H42" s="7" t="s">
        <v>0</v>
      </c>
      <c r="I42" s="7" t="s">
        <v>0</v>
      </c>
      <c r="J42" s="7" t="s">
        <v>0</v>
      </c>
      <c r="K42" s="7" t="s">
        <v>85</v>
      </c>
      <c r="L42" s="7" t="s">
        <v>86</v>
      </c>
      <c r="M42" s="7" t="s">
        <v>83</v>
      </c>
      <c r="N42" s="7" t="s">
        <v>5366</v>
      </c>
      <c r="O42" s="7" t="s">
        <v>0</v>
      </c>
      <c r="P42" s="7" t="s">
        <v>83</v>
      </c>
      <c r="Q42" s="7" t="s">
        <v>0</v>
      </c>
      <c r="R42" s="7" t="s">
        <v>2732</v>
      </c>
      <c r="S42" s="7" t="s">
        <v>0</v>
      </c>
      <c r="T42" s="7" t="s">
        <v>54</v>
      </c>
      <c r="U42" s="7" t="s">
        <v>55</v>
      </c>
      <c r="V42" s="7" t="s">
        <v>0</v>
      </c>
      <c r="W42" s="7" t="s">
        <v>0</v>
      </c>
      <c r="X42" s="7" t="s">
        <v>0</v>
      </c>
      <c r="Y42" s="8" t="s">
        <v>0</v>
      </c>
      <c r="Z42" s="8" t="s">
        <v>0</v>
      </c>
      <c r="AA42" s="7" t="s">
        <v>0</v>
      </c>
      <c r="AB42" s="7" t="s">
        <v>0</v>
      </c>
      <c r="AC42" s="7" t="s">
        <v>0</v>
      </c>
      <c r="AD42" s="7" t="s">
        <v>0</v>
      </c>
      <c r="AE42" s="7" t="s">
        <v>0</v>
      </c>
      <c r="AF42" s="7" t="s">
        <v>0</v>
      </c>
      <c r="AG42" s="7" t="s">
        <v>0</v>
      </c>
      <c r="AH42" s="9" t="s">
        <v>0</v>
      </c>
      <c r="AI42" s="9" t="s">
        <v>0</v>
      </c>
      <c r="AJ42" s="9" t="s">
        <v>0</v>
      </c>
      <c r="AK42" s="7" t="s">
        <v>61</v>
      </c>
      <c r="AL42" s="7" t="s">
        <v>61</v>
      </c>
      <c r="AM42" s="7" t="s">
        <v>0</v>
      </c>
      <c r="AN42" s="7" t="s">
        <v>0</v>
      </c>
      <c r="AO42" s="7" t="s">
        <v>0</v>
      </c>
      <c r="AP42" s="7" t="s">
        <v>0</v>
      </c>
      <c r="AQ42" s="7" t="s">
        <v>61</v>
      </c>
      <c r="AR42" s="7" t="s">
        <v>0</v>
      </c>
      <c r="AS42" s="10" t="str">
        <f>HYPERLINK("https://tessa.gazprom-neft.local/edo/card/8b2e055a-0cda-4977-9c34-8ea6aaf31be8", "https://tessa.gazprom-neft.local/edo/card/8b2e055a-0cda-4977-9c34-8ea6aaf31be8")</f>
        <v>https://tessa.gazprom-neft.local/edo/card/8b2e055a-0cda-4977-9c34-8ea6aaf31be8</v>
      </c>
    </row>
    <row r="43" spans="1:45" hidden="1" x14ac:dyDescent="0.25">
      <c r="A43" s="6" t="s">
        <v>44</v>
      </c>
      <c r="B43" s="7" t="s">
        <v>0</v>
      </c>
      <c r="C43" s="7" t="s">
        <v>218</v>
      </c>
      <c r="D43" s="8" t="s">
        <v>0</v>
      </c>
      <c r="E43" s="8" t="s">
        <v>0</v>
      </c>
      <c r="F43" s="16" t="s">
        <v>0</v>
      </c>
      <c r="G43" s="7" t="s">
        <v>0</v>
      </c>
      <c r="H43" s="7" t="s">
        <v>0</v>
      </c>
      <c r="I43" s="7" t="s">
        <v>0</v>
      </c>
      <c r="J43" s="7" t="s">
        <v>0</v>
      </c>
      <c r="K43" s="7" t="s">
        <v>0</v>
      </c>
      <c r="L43" s="7" t="s">
        <v>0</v>
      </c>
      <c r="M43" s="7" t="s">
        <v>0</v>
      </c>
      <c r="N43" s="7" t="s">
        <v>5421</v>
      </c>
      <c r="O43" s="7" t="s">
        <v>0</v>
      </c>
      <c r="P43" s="7" t="s">
        <v>941</v>
      </c>
      <c r="Q43" s="7" t="s">
        <v>5422</v>
      </c>
      <c r="R43" s="7" t="s">
        <v>5423</v>
      </c>
      <c r="S43" s="7" t="s">
        <v>0</v>
      </c>
      <c r="T43" s="7" t="s">
        <v>54</v>
      </c>
      <c r="U43" s="7" t="s">
        <v>199</v>
      </c>
      <c r="V43" s="7" t="s">
        <v>0</v>
      </c>
      <c r="W43" s="7" t="s">
        <v>0</v>
      </c>
      <c r="X43" s="7" t="s">
        <v>223</v>
      </c>
      <c r="Y43" s="8" t="s">
        <v>0</v>
      </c>
      <c r="Z43" s="8" t="s">
        <v>0</v>
      </c>
      <c r="AA43" s="7" t="s">
        <v>0</v>
      </c>
      <c r="AB43" s="7" t="s">
        <v>0</v>
      </c>
      <c r="AC43" s="7" t="s">
        <v>0</v>
      </c>
      <c r="AD43" s="7" t="s">
        <v>0</v>
      </c>
      <c r="AE43" s="7" t="s">
        <v>0</v>
      </c>
      <c r="AF43" s="7" t="s">
        <v>0</v>
      </c>
      <c r="AG43" s="7" t="s">
        <v>0</v>
      </c>
      <c r="AH43" s="9" t="s">
        <v>0</v>
      </c>
      <c r="AI43" s="9" t="s">
        <v>0</v>
      </c>
      <c r="AJ43" s="9" t="s">
        <v>0</v>
      </c>
      <c r="AK43" s="7" t="s">
        <v>61</v>
      </c>
      <c r="AL43" s="7" t="s">
        <v>61</v>
      </c>
      <c r="AM43" s="7" t="s">
        <v>0</v>
      </c>
      <c r="AN43" s="7" t="s">
        <v>0</v>
      </c>
      <c r="AO43" s="7" t="s">
        <v>0</v>
      </c>
      <c r="AP43" s="7" t="s">
        <v>0</v>
      </c>
      <c r="AQ43" s="7" t="s">
        <v>61</v>
      </c>
      <c r="AR43" s="7" t="s">
        <v>0</v>
      </c>
      <c r="AS43" s="10" t="str">
        <f>HYPERLINK("https://tessa.gazprom-neft.local/edo/card/6da53695-96af-4aa9-b221-842e3cd1408d", "https://tessa.gazprom-neft.local/edo/card/6da53695-96af-4aa9-b221-842e3cd1408d")</f>
        <v>https://tessa.gazprom-neft.local/edo/card/6da53695-96af-4aa9-b221-842e3cd1408d</v>
      </c>
    </row>
    <row r="44" spans="1:45" hidden="1" x14ac:dyDescent="0.25">
      <c r="A44" s="6" t="s">
        <v>44</v>
      </c>
      <c r="B44" s="7" t="s">
        <v>0</v>
      </c>
      <c r="C44" s="7" t="s">
        <v>218</v>
      </c>
      <c r="D44" s="8" t="s">
        <v>0</v>
      </c>
      <c r="E44" s="8" t="s">
        <v>0</v>
      </c>
      <c r="F44" s="16" t="s">
        <v>0</v>
      </c>
      <c r="G44" s="7" t="s">
        <v>0</v>
      </c>
      <c r="H44" s="7" t="s">
        <v>0</v>
      </c>
      <c r="I44" s="7" t="s">
        <v>0</v>
      </c>
      <c r="J44" s="7" t="s">
        <v>0</v>
      </c>
      <c r="K44" s="7" t="s">
        <v>85</v>
      </c>
      <c r="L44" s="7" t="s">
        <v>86</v>
      </c>
      <c r="M44" s="7" t="s">
        <v>83</v>
      </c>
      <c r="N44" s="7" t="s">
        <v>5441</v>
      </c>
      <c r="O44" s="7" t="s">
        <v>0</v>
      </c>
      <c r="P44" s="7" t="s">
        <v>83</v>
      </c>
      <c r="Q44" s="7" t="s">
        <v>0</v>
      </c>
      <c r="R44" s="7" t="s">
        <v>89</v>
      </c>
      <c r="S44" s="7" t="s">
        <v>0</v>
      </c>
      <c r="T44" s="7" t="s">
        <v>54</v>
      </c>
      <c r="U44" s="7" t="s">
        <v>90</v>
      </c>
      <c r="V44" s="7" t="s">
        <v>91</v>
      </c>
      <c r="W44" s="7" t="s">
        <v>57</v>
      </c>
      <c r="X44" s="7" t="s">
        <v>223</v>
      </c>
      <c r="Y44" s="8" t="s">
        <v>0</v>
      </c>
      <c r="Z44" s="8" t="s">
        <v>0</v>
      </c>
      <c r="AA44" s="7" t="s">
        <v>92</v>
      </c>
      <c r="AB44" s="7" t="s">
        <v>94</v>
      </c>
      <c r="AC44" s="7" t="s">
        <v>65</v>
      </c>
      <c r="AD44" s="7" t="s">
        <v>0</v>
      </c>
      <c r="AE44" s="7" t="s">
        <v>0</v>
      </c>
      <c r="AF44" s="7" t="s">
        <v>0</v>
      </c>
      <c r="AG44" s="7" t="s">
        <v>0</v>
      </c>
      <c r="AH44" s="9" t="s">
        <v>0</v>
      </c>
      <c r="AI44" s="9" t="s">
        <v>0</v>
      </c>
      <c r="AJ44" s="9" t="s">
        <v>0</v>
      </c>
      <c r="AK44" s="7" t="s">
        <v>61</v>
      </c>
      <c r="AL44" s="7" t="s">
        <v>61</v>
      </c>
      <c r="AM44" s="7" t="s">
        <v>0</v>
      </c>
      <c r="AN44" s="7" t="s">
        <v>0</v>
      </c>
      <c r="AO44" s="7" t="s">
        <v>0</v>
      </c>
      <c r="AP44" s="7" t="s">
        <v>0</v>
      </c>
      <c r="AQ44" s="7" t="s">
        <v>61</v>
      </c>
      <c r="AR44" s="7" t="s">
        <v>0</v>
      </c>
      <c r="AS44" s="10" t="str">
        <f>HYPERLINK("https://tessa.gazprom-neft.local/edo/card/2d4253b0-b424-4e62-8595-6b534cfb73e6", "https://tessa.gazprom-neft.local/edo/card/2d4253b0-b424-4e62-8595-6b534cfb73e6")</f>
        <v>https://tessa.gazprom-neft.local/edo/card/2d4253b0-b424-4e62-8595-6b534cfb73e6</v>
      </c>
    </row>
    <row r="45" spans="1:45" hidden="1" x14ac:dyDescent="0.25">
      <c r="A45" s="6" t="s">
        <v>44</v>
      </c>
      <c r="B45" s="7" t="s">
        <v>0</v>
      </c>
      <c r="C45" s="7" t="s">
        <v>218</v>
      </c>
      <c r="D45" s="8" t="s">
        <v>0</v>
      </c>
      <c r="E45" s="8" t="s">
        <v>0</v>
      </c>
      <c r="F45" s="16" t="s">
        <v>0</v>
      </c>
      <c r="G45" s="7" t="s">
        <v>0</v>
      </c>
      <c r="H45" s="7" t="s">
        <v>0</v>
      </c>
      <c r="I45" s="7" t="s">
        <v>0</v>
      </c>
      <c r="J45" s="7" t="s">
        <v>0</v>
      </c>
      <c r="K45" s="7" t="s">
        <v>0</v>
      </c>
      <c r="L45" s="7" t="s">
        <v>0</v>
      </c>
      <c r="M45" s="7" t="s">
        <v>0</v>
      </c>
      <c r="N45" s="7" t="s">
        <v>5495</v>
      </c>
      <c r="O45" s="7" t="s">
        <v>0</v>
      </c>
      <c r="P45" s="7" t="s">
        <v>0</v>
      </c>
      <c r="Q45" s="7" t="s">
        <v>0</v>
      </c>
      <c r="R45" s="7" t="s">
        <v>1057</v>
      </c>
      <c r="S45" s="7" t="s">
        <v>0</v>
      </c>
      <c r="T45" s="7" t="s">
        <v>54</v>
      </c>
      <c r="U45" s="7" t="s">
        <v>188</v>
      </c>
      <c r="V45" s="7" t="s">
        <v>0</v>
      </c>
      <c r="W45" s="7" t="s">
        <v>0</v>
      </c>
      <c r="X45" s="7" t="s">
        <v>0</v>
      </c>
      <c r="Y45" s="8" t="s">
        <v>0</v>
      </c>
      <c r="Z45" s="8" t="s">
        <v>0</v>
      </c>
      <c r="AA45" s="7" t="s">
        <v>0</v>
      </c>
      <c r="AB45" s="7" t="s">
        <v>0</v>
      </c>
      <c r="AC45" s="7" t="s">
        <v>0</v>
      </c>
      <c r="AD45" s="7" t="s">
        <v>0</v>
      </c>
      <c r="AE45" s="7" t="s">
        <v>0</v>
      </c>
      <c r="AF45" s="7" t="s">
        <v>0</v>
      </c>
      <c r="AG45" s="7" t="s">
        <v>0</v>
      </c>
      <c r="AH45" s="9" t="s">
        <v>0</v>
      </c>
      <c r="AI45" s="9" t="s">
        <v>0</v>
      </c>
      <c r="AJ45" s="9" t="s">
        <v>0</v>
      </c>
      <c r="AK45" s="7" t="s">
        <v>61</v>
      </c>
      <c r="AL45" s="7" t="s">
        <v>61</v>
      </c>
      <c r="AM45" s="7" t="s">
        <v>0</v>
      </c>
      <c r="AN45" s="7" t="s">
        <v>0</v>
      </c>
      <c r="AO45" s="7" t="s">
        <v>0</v>
      </c>
      <c r="AP45" s="7" t="s">
        <v>0</v>
      </c>
      <c r="AQ45" s="7" t="s">
        <v>61</v>
      </c>
      <c r="AR45" s="7" t="s">
        <v>0</v>
      </c>
      <c r="AS45" s="10" t="str">
        <f>HYPERLINK("https://tessa.gazprom-neft.local/edo/card/ba0a4bb5-50f1-4e2b-b8e7-4af9bade28f7", "https://tessa.gazprom-neft.local/edo/card/ba0a4bb5-50f1-4e2b-b8e7-4af9bade28f7")</f>
        <v>https://tessa.gazprom-neft.local/edo/card/ba0a4bb5-50f1-4e2b-b8e7-4af9bade28f7</v>
      </c>
    </row>
    <row r="46" spans="1:45" hidden="1" x14ac:dyDescent="0.25">
      <c r="A46" s="6" t="s">
        <v>44</v>
      </c>
      <c r="B46" s="7" t="s">
        <v>0</v>
      </c>
      <c r="C46" s="7" t="s">
        <v>218</v>
      </c>
      <c r="D46" s="8" t="s">
        <v>0</v>
      </c>
      <c r="E46" s="8" t="s">
        <v>0</v>
      </c>
      <c r="F46" s="16" t="s">
        <v>0</v>
      </c>
      <c r="G46" s="7" t="s">
        <v>0</v>
      </c>
      <c r="H46" s="7" t="s">
        <v>0</v>
      </c>
      <c r="I46" s="7" t="s">
        <v>0</v>
      </c>
      <c r="J46" s="7" t="s">
        <v>0</v>
      </c>
      <c r="K46" s="7" t="s">
        <v>85</v>
      </c>
      <c r="L46" s="7" t="s">
        <v>86</v>
      </c>
      <c r="M46" s="7" t="s">
        <v>289</v>
      </c>
      <c r="N46" s="7" t="s">
        <v>5636</v>
      </c>
      <c r="O46" s="7" t="s">
        <v>0</v>
      </c>
      <c r="P46" s="7" t="s">
        <v>289</v>
      </c>
      <c r="Q46" s="7" t="s">
        <v>0</v>
      </c>
      <c r="R46" s="7" t="s">
        <v>4909</v>
      </c>
      <c r="S46" s="7" t="s">
        <v>0</v>
      </c>
      <c r="T46" s="7" t="s">
        <v>54</v>
      </c>
      <c r="U46" s="7" t="s">
        <v>605</v>
      </c>
      <c r="V46" s="7" t="s">
        <v>0</v>
      </c>
      <c r="W46" s="7" t="s">
        <v>0</v>
      </c>
      <c r="X46" s="7" t="s">
        <v>0</v>
      </c>
      <c r="Y46" s="8" t="s">
        <v>0</v>
      </c>
      <c r="Z46" s="8" t="s">
        <v>0</v>
      </c>
      <c r="AA46" s="7" t="s">
        <v>0</v>
      </c>
      <c r="AB46" s="7" t="s">
        <v>300</v>
      </c>
      <c r="AC46" s="7" t="s">
        <v>0</v>
      </c>
      <c r="AD46" s="7" t="s">
        <v>0</v>
      </c>
      <c r="AE46" s="7" t="s">
        <v>0</v>
      </c>
      <c r="AF46" s="7" t="s">
        <v>0</v>
      </c>
      <c r="AG46" s="7" t="s">
        <v>0</v>
      </c>
      <c r="AH46" s="9" t="s">
        <v>0</v>
      </c>
      <c r="AI46" s="9" t="s">
        <v>0</v>
      </c>
      <c r="AJ46" s="9" t="s">
        <v>0</v>
      </c>
      <c r="AK46" s="7" t="s">
        <v>61</v>
      </c>
      <c r="AL46" s="7" t="s">
        <v>61</v>
      </c>
      <c r="AM46" s="7" t="s">
        <v>0</v>
      </c>
      <c r="AN46" s="7" t="s">
        <v>0</v>
      </c>
      <c r="AO46" s="7" t="s">
        <v>0</v>
      </c>
      <c r="AP46" s="7" t="s">
        <v>0</v>
      </c>
      <c r="AQ46" s="7" t="s">
        <v>61</v>
      </c>
      <c r="AR46" s="7" t="s">
        <v>0</v>
      </c>
      <c r="AS46" s="10" t="str">
        <f>HYPERLINK("https://tessa.gazprom-neft.local/edo/card/652e5157-214e-4702-acee-9e6bded73f93", "https://tessa.gazprom-neft.local/edo/card/652e5157-214e-4702-acee-9e6bded73f93")</f>
        <v>https://tessa.gazprom-neft.local/edo/card/652e5157-214e-4702-acee-9e6bded73f93</v>
      </c>
    </row>
    <row r="47" spans="1:45" hidden="1" x14ac:dyDescent="0.25">
      <c r="A47" s="6" t="s">
        <v>44</v>
      </c>
      <c r="B47" s="7" t="s">
        <v>1640</v>
      </c>
      <c r="C47" s="7" t="s">
        <v>218</v>
      </c>
      <c r="D47" s="8" t="s">
        <v>0</v>
      </c>
      <c r="E47" s="8" t="s">
        <v>0</v>
      </c>
      <c r="F47" s="16" t="s">
        <v>1641</v>
      </c>
      <c r="G47" s="7" t="s">
        <v>1642</v>
      </c>
      <c r="H47" s="7" t="s">
        <v>0</v>
      </c>
      <c r="I47" s="7" t="s">
        <v>0</v>
      </c>
      <c r="J47" s="7" t="s">
        <v>0</v>
      </c>
      <c r="K47" s="7" t="s">
        <v>47</v>
      </c>
      <c r="L47" s="7" t="s">
        <v>96</v>
      </c>
      <c r="M47" s="7" t="s">
        <v>0</v>
      </c>
      <c r="N47" s="7" t="s">
        <v>5743</v>
      </c>
      <c r="O47" s="7" t="s">
        <v>0</v>
      </c>
      <c r="P47" s="7" t="s">
        <v>0</v>
      </c>
      <c r="Q47" s="7" t="s">
        <v>0</v>
      </c>
      <c r="R47" s="7" t="s">
        <v>5744</v>
      </c>
      <c r="S47" s="7" t="s">
        <v>5744</v>
      </c>
      <c r="T47" s="7" t="s">
        <v>54</v>
      </c>
      <c r="U47" s="7" t="s">
        <v>428</v>
      </c>
      <c r="V47" s="7" t="s">
        <v>340</v>
      </c>
      <c r="W47" s="7" t="s">
        <v>57</v>
      </c>
      <c r="X47" s="7" t="s">
        <v>103</v>
      </c>
      <c r="Y47" s="8">
        <v>44397</v>
      </c>
      <c r="Z47" s="8">
        <v>44408</v>
      </c>
      <c r="AA47" s="7" t="s">
        <v>1115</v>
      </c>
      <c r="AB47" s="7" t="s">
        <v>64</v>
      </c>
      <c r="AC47" s="7" t="s">
        <v>79</v>
      </c>
      <c r="AD47" s="7" t="s">
        <v>80</v>
      </c>
      <c r="AE47" s="7" t="s">
        <v>82</v>
      </c>
      <c r="AF47" s="7" t="s">
        <v>0</v>
      </c>
      <c r="AG47" s="7" t="s">
        <v>0</v>
      </c>
      <c r="AH47" s="9" t="s">
        <v>12605</v>
      </c>
      <c r="AI47" s="9" t="s">
        <v>12606</v>
      </c>
      <c r="AJ47" s="9" t="s">
        <v>12607</v>
      </c>
      <c r="AK47" s="7" t="s">
        <v>61</v>
      </c>
      <c r="AL47" s="7" t="s">
        <v>61</v>
      </c>
      <c r="AM47" s="7" t="s">
        <v>0</v>
      </c>
      <c r="AN47" s="7" t="s">
        <v>0</v>
      </c>
      <c r="AO47" s="7" t="s">
        <v>0</v>
      </c>
      <c r="AP47" s="7" t="s">
        <v>0</v>
      </c>
      <c r="AQ47" s="7" t="s">
        <v>61</v>
      </c>
      <c r="AR47" s="7" t="s">
        <v>0</v>
      </c>
      <c r="AS47" s="10" t="str">
        <f>HYPERLINK("https://tessa.gazprom-neft.local/edo/card/f23caf33-b316-4e17-ba72-f578f1adbc37", "https://tessa.gazprom-neft.local/edo/card/f23caf33-b316-4e17-ba72-f578f1adbc37")</f>
        <v>https://tessa.gazprom-neft.local/edo/card/f23caf33-b316-4e17-ba72-f578f1adbc37</v>
      </c>
    </row>
    <row r="48" spans="1:45" hidden="1" x14ac:dyDescent="0.25">
      <c r="A48" s="6" t="s">
        <v>44</v>
      </c>
      <c r="B48" s="7" t="s">
        <v>0</v>
      </c>
      <c r="C48" s="7" t="s">
        <v>218</v>
      </c>
      <c r="D48" s="8" t="s">
        <v>0</v>
      </c>
      <c r="E48" s="8" t="s">
        <v>0</v>
      </c>
      <c r="F48" s="16" t="s">
        <v>0</v>
      </c>
      <c r="G48" s="7" t="s">
        <v>0</v>
      </c>
      <c r="H48" s="7" t="s">
        <v>0</v>
      </c>
      <c r="I48" s="7" t="s">
        <v>0</v>
      </c>
      <c r="J48" s="7" t="s">
        <v>0</v>
      </c>
      <c r="K48" s="7" t="s">
        <v>85</v>
      </c>
      <c r="L48" s="7" t="s">
        <v>86</v>
      </c>
      <c r="M48" s="7" t="s">
        <v>289</v>
      </c>
      <c r="N48" s="7" t="s">
        <v>5759</v>
      </c>
      <c r="O48" s="7" t="s">
        <v>0</v>
      </c>
      <c r="P48" s="7" t="s">
        <v>289</v>
      </c>
      <c r="Q48" s="7" t="s">
        <v>0</v>
      </c>
      <c r="R48" s="7" t="s">
        <v>338</v>
      </c>
      <c r="S48" s="7" t="s">
        <v>0</v>
      </c>
      <c r="T48" s="7" t="s">
        <v>54</v>
      </c>
      <c r="U48" s="7" t="s">
        <v>125</v>
      </c>
      <c r="V48" s="7" t="s">
        <v>0</v>
      </c>
      <c r="W48" s="7" t="s">
        <v>0</v>
      </c>
      <c r="X48" s="7" t="s">
        <v>0</v>
      </c>
      <c r="Y48" s="8" t="s">
        <v>0</v>
      </c>
      <c r="Z48" s="8" t="s">
        <v>0</v>
      </c>
      <c r="AA48" s="7" t="s">
        <v>0</v>
      </c>
      <c r="AB48" s="7" t="s">
        <v>300</v>
      </c>
      <c r="AC48" s="7" t="s">
        <v>0</v>
      </c>
      <c r="AD48" s="7" t="s">
        <v>0</v>
      </c>
      <c r="AE48" s="7" t="s">
        <v>0</v>
      </c>
      <c r="AF48" s="7" t="s">
        <v>0</v>
      </c>
      <c r="AG48" s="7" t="s">
        <v>0</v>
      </c>
      <c r="AH48" s="9" t="s">
        <v>0</v>
      </c>
      <c r="AI48" s="9" t="s">
        <v>0</v>
      </c>
      <c r="AJ48" s="9" t="s">
        <v>0</v>
      </c>
      <c r="AK48" s="7" t="s">
        <v>61</v>
      </c>
      <c r="AL48" s="7" t="s">
        <v>61</v>
      </c>
      <c r="AM48" s="7" t="s">
        <v>0</v>
      </c>
      <c r="AN48" s="7" t="s">
        <v>0</v>
      </c>
      <c r="AO48" s="7" t="s">
        <v>0</v>
      </c>
      <c r="AP48" s="7" t="s">
        <v>0</v>
      </c>
      <c r="AQ48" s="7" t="s">
        <v>61</v>
      </c>
      <c r="AR48" s="7" t="s">
        <v>0</v>
      </c>
      <c r="AS48" s="10" t="str">
        <f>HYPERLINK("https://tessa.gazprom-neft.local/edo/card/e64df12a-2c2f-4669-9347-5dda03412303", "https://tessa.gazprom-neft.local/edo/card/e64df12a-2c2f-4669-9347-5dda03412303")</f>
        <v>https://tessa.gazprom-neft.local/edo/card/e64df12a-2c2f-4669-9347-5dda03412303</v>
      </c>
    </row>
    <row r="49" spans="1:45" hidden="1" x14ac:dyDescent="0.25">
      <c r="A49" s="6" t="s">
        <v>44</v>
      </c>
      <c r="B49" s="7" t="s">
        <v>0</v>
      </c>
      <c r="C49" s="7" t="s">
        <v>218</v>
      </c>
      <c r="D49" s="8" t="s">
        <v>0</v>
      </c>
      <c r="E49" s="8" t="s">
        <v>0</v>
      </c>
      <c r="F49" s="16" t="s">
        <v>0</v>
      </c>
      <c r="G49" s="7" t="s">
        <v>0</v>
      </c>
      <c r="H49" s="7" t="s">
        <v>0</v>
      </c>
      <c r="I49" s="7" t="s">
        <v>0</v>
      </c>
      <c r="J49" s="7" t="s">
        <v>0</v>
      </c>
      <c r="K49" s="7" t="s">
        <v>0</v>
      </c>
      <c r="L49" s="7" t="s">
        <v>0</v>
      </c>
      <c r="M49" s="7" t="s">
        <v>0</v>
      </c>
      <c r="N49" s="7" t="s">
        <v>5824</v>
      </c>
      <c r="O49" s="7" t="s">
        <v>0</v>
      </c>
      <c r="P49" s="7" t="s">
        <v>0</v>
      </c>
      <c r="Q49" s="7" t="s">
        <v>0</v>
      </c>
      <c r="R49" s="7" t="s">
        <v>124</v>
      </c>
      <c r="S49" s="7" t="s">
        <v>0</v>
      </c>
      <c r="T49" s="7" t="s">
        <v>54</v>
      </c>
      <c r="U49" s="7" t="s">
        <v>362</v>
      </c>
      <c r="V49" s="7" t="s">
        <v>0</v>
      </c>
      <c r="W49" s="7" t="s">
        <v>0</v>
      </c>
      <c r="X49" s="7" t="s">
        <v>0</v>
      </c>
      <c r="Y49" s="8" t="s">
        <v>0</v>
      </c>
      <c r="Z49" s="8" t="s">
        <v>0</v>
      </c>
      <c r="AA49" s="7" t="s">
        <v>0</v>
      </c>
      <c r="AB49" s="7" t="s">
        <v>0</v>
      </c>
      <c r="AC49" s="7" t="s">
        <v>0</v>
      </c>
      <c r="AD49" s="7" t="s">
        <v>0</v>
      </c>
      <c r="AE49" s="7" t="s">
        <v>0</v>
      </c>
      <c r="AF49" s="7" t="s">
        <v>0</v>
      </c>
      <c r="AG49" s="7" t="s">
        <v>0</v>
      </c>
      <c r="AH49" s="9" t="s">
        <v>0</v>
      </c>
      <c r="AI49" s="9" t="s">
        <v>0</v>
      </c>
      <c r="AJ49" s="9" t="s">
        <v>0</v>
      </c>
      <c r="AK49" s="7" t="s">
        <v>61</v>
      </c>
      <c r="AL49" s="7" t="s">
        <v>61</v>
      </c>
      <c r="AM49" s="7" t="s">
        <v>0</v>
      </c>
      <c r="AN49" s="7" t="s">
        <v>0</v>
      </c>
      <c r="AO49" s="7" t="s">
        <v>0</v>
      </c>
      <c r="AP49" s="7" t="s">
        <v>0</v>
      </c>
      <c r="AQ49" s="7" t="s">
        <v>61</v>
      </c>
      <c r="AR49" s="7" t="s">
        <v>0</v>
      </c>
      <c r="AS49" s="10" t="str">
        <f>HYPERLINK("https://tessa.gazprom-neft.local/edo/card/4aec9e53-13e3-47e6-abdf-05eca0121779", "https://tessa.gazprom-neft.local/edo/card/4aec9e53-13e3-47e6-abdf-05eca0121779")</f>
        <v>https://tessa.gazprom-neft.local/edo/card/4aec9e53-13e3-47e6-abdf-05eca0121779</v>
      </c>
    </row>
    <row r="50" spans="1:45" hidden="1" x14ac:dyDescent="0.25">
      <c r="A50" s="6" t="s">
        <v>44</v>
      </c>
      <c r="B50" s="7" t="s">
        <v>0</v>
      </c>
      <c r="C50" s="7" t="s">
        <v>218</v>
      </c>
      <c r="D50" s="8" t="s">
        <v>0</v>
      </c>
      <c r="E50" s="8" t="s">
        <v>0</v>
      </c>
      <c r="F50" s="16" t="s">
        <v>0</v>
      </c>
      <c r="G50" s="7" t="s">
        <v>0</v>
      </c>
      <c r="H50" s="7" t="s">
        <v>0</v>
      </c>
      <c r="I50" s="7" t="s">
        <v>0</v>
      </c>
      <c r="J50" s="7" t="s">
        <v>0</v>
      </c>
      <c r="K50" s="7" t="s">
        <v>0</v>
      </c>
      <c r="L50" s="7" t="s">
        <v>0</v>
      </c>
      <c r="M50" s="7" t="s">
        <v>0</v>
      </c>
      <c r="N50" s="7" t="s">
        <v>5849</v>
      </c>
      <c r="O50" s="7" t="s">
        <v>0</v>
      </c>
      <c r="P50" s="7" t="s">
        <v>0</v>
      </c>
      <c r="Q50" s="7" t="s">
        <v>0</v>
      </c>
      <c r="R50" s="7" t="s">
        <v>124</v>
      </c>
      <c r="S50" s="7" t="s">
        <v>0</v>
      </c>
      <c r="T50" s="7" t="s">
        <v>54</v>
      </c>
      <c r="U50" s="7" t="s">
        <v>362</v>
      </c>
      <c r="V50" s="7" t="s">
        <v>0</v>
      </c>
      <c r="W50" s="7" t="s">
        <v>0</v>
      </c>
      <c r="X50" s="7" t="s">
        <v>0</v>
      </c>
      <c r="Y50" s="8" t="s">
        <v>0</v>
      </c>
      <c r="Z50" s="8" t="s">
        <v>0</v>
      </c>
      <c r="AA50" s="7" t="s">
        <v>0</v>
      </c>
      <c r="AB50" s="7" t="s">
        <v>0</v>
      </c>
      <c r="AC50" s="7" t="s">
        <v>0</v>
      </c>
      <c r="AD50" s="7" t="s">
        <v>0</v>
      </c>
      <c r="AE50" s="7" t="s">
        <v>0</v>
      </c>
      <c r="AF50" s="7" t="s">
        <v>0</v>
      </c>
      <c r="AG50" s="7" t="s">
        <v>0</v>
      </c>
      <c r="AH50" s="9" t="s">
        <v>0</v>
      </c>
      <c r="AI50" s="9" t="s">
        <v>0</v>
      </c>
      <c r="AJ50" s="9" t="s">
        <v>0</v>
      </c>
      <c r="AK50" s="7" t="s">
        <v>61</v>
      </c>
      <c r="AL50" s="7" t="s">
        <v>61</v>
      </c>
      <c r="AM50" s="7" t="s">
        <v>0</v>
      </c>
      <c r="AN50" s="7" t="s">
        <v>0</v>
      </c>
      <c r="AO50" s="7" t="s">
        <v>0</v>
      </c>
      <c r="AP50" s="7" t="s">
        <v>0</v>
      </c>
      <c r="AQ50" s="7" t="s">
        <v>61</v>
      </c>
      <c r="AR50" s="7" t="s">
        <v>0</v>
      </c>
      <c r="AS50" s="10" t="str">
        <f>HYPERLINK("https://tessa.gazprom-neft.local/edo/card/aae84451-8663-4260-be4f-ee69c2c3825f", "https://tessa.gazprom-neft.local/edo/card/aae84451-8663-4260-be4f-ee69c2c3825f")</f>
        <v>https://tessa.gazprom-neft.local/edo/card/aae84451-8663-4260-be4f-ee69c2c3825f</v>
      </c>
    </row>
    <row r="51" spans="1:45" hidden="1" x14ac:dyDescent="0.25">
      <c r="A51" s="6" t="s">
        <v>44</v>
      </c>
      <c r="B51" s="7" t="s">
        <v>0</v>
      </c>
      <c r="C51" s="7" t="s">
        <v>218</v>
      </c>
      <c r="D51" s="8" t="s">
        <v>0</v>
      </c>
      <c r="E51" s="8" t="s">
        <v>0</v>
      </c>
      <c r="F51" s="16" t="s">
        <v>0</v>
      </c>
      <c r="G51" s="7" t="s">
        <v>0</v>
      </c>
      <c r="H51" s="7" t="s">
        <v>0</v>
      </c>
      <c r="I51" s="7" t="s">
        <v>0</v>
      </c>
      <c r="J51" s="7" t="s">
        <v>0</v>
      </c>
      <c r="K51" s="7" t="s">
        <v>47</v>
      </c>
      <c r="L51" s="7" t="s">
        <v>96</v>
      </c>
      <c r="M51" s="7" t="s">
        <v>0</v>
      </c>
      <c r="N51" s="7" t="s">
        <v>5964</v>
      </c>
      <c r="O51" s="7" t="s">
        <v>0</v>
      </c>
      <c r="P51" s="7" t="s">
        <v>5965</v>
      </c>
      <c r="Q51" s="7" t="s">
        <v>0</v>
      </c>
      <c r="R51" s="7" t="s">
        <v>5966</v>
      </c>
      <c r="S51" s="7" t="s">
        <v>0</v>
      </c>
      <c r="T51" s="7" t="s">
        <v>54</v>
      </c>
      <c r="U51" s="7" t="s">
        <v>672</v>
      </c>
      <c r="V51" s="7" t="s">
        <v>126</v>
      </c>
      <c r="W51" s="7" t="s">
        <v>74</v>
      </c>
      <c r="X51" s="7" t="s">
        <v>0</v>
      </c>
      <c r="Y51" s="8">
        <v>45519</v>
      </c>
      <c r="Z51" s="8" t="s">
        <v>0</v>
      </c>
      <c r="AA51" s="7" t="s">
        <v>0</v>
      </c>
      <c r="AB51" s="7" t="s">
        <v>1049</v>
      </c>
      <c r="AC51" s="7" t="s">
        <v>79</v>
      </c>
      <c r="AD51" s="7" t="s">
        <v>80</v>
      </c>
      <c r="AE51" s="7" t="s">
        <v>0</v>
      </c>
      <c r="AF51" s="7" t="s">
        <v>0</v>
      </c>
      <c r="AG51" s="7" t="s">
        <v>0</v>
      </c>
      <c r="AH51" s="9" t="s">
        <v>0</v>
      </c>
      <c r="AI51" s="9" t="s">
        <v>0</v>
      </c>
      <c r="AJ51" s="9" t="s">
        <v>0</v>
      </c>
      <c r="AK51" s="7" t="s">
        <v>61</v>
      </c>
      <c r="AL51" s="7" t="s">
        <v>61</v>
      </c>
      <c r="AM51" s="7" t="s">
        <v>0</v>
      </c>
      <c r="AN51" s="7" t="s">
        <v>0</v>
      </c>
      <c r="AO51" s="7" t="s">
        <v>0</v>
      </c>
      <c r="AP51" s="7" t="s">
        <v>0</v>
      </c>
      <c r="AQ51" s="7" t="s">
        <v>61</v>
      </c>
      <c r="AR51" s="7" t="s">
        <v>0</v>
      </c>
      <c r="AS51" s="10" t="str">
        <f>HYPERLINK("https://tessa.gazprom-neft.local/edo/card/7b457430-da18-42e1-a99e-f6fc4123981e", "https://tessa.gazprom-neft.local/edo/card/7b457430-da18-42e1-a99e-f6fc4123981e")</f>
        <v>https://tessa.gazprom-neft.local/edo/card/7b457430-da18-42e1-a99e-f6fc4123981e</v>
      </c>
    </row>
    <row r="52" spans="1:45" hidden="1" x14ac:dyDescent="0.25">
      <c r="A52" s="6" t="s">
        <v>44</v>
      </c>
      <c r="B52" s="7" t="s">
        <v>687</v>
      </c>
      <c r="C52" s="7" t="s">
        <v>218</v>
      </c>
      <c r="D52" s="8" t="s">
        <v>0</v>
      </c>
      <c r="E52" s="8" t="s">
        <v>0</v>
      </c>
      <c r="F52" s="16" t="s">
        <v>688</v>
      </c>
      <c r="G52" s="7" t="s">
        <v>689</v>
      </c>
      <c r="H52" s="7" t="s">
        <v>0</v>
      </c>
      <c r="I52" s="7" t="s">
        <v>0</v>
      </c>
      <c r="J52" s="7" t="s">
        <v>0</v>
      </c>
      <c r="K52" s="7" t="s">
        <v>47</v>
      </c>
      <c r="L52" s="7" t="s">
        <v>96</v>
      </c>
      <c r="M52" s="7" t="s">
        <v>0</v>
      </c>
      <c r="N52" s="7" t="s">
        <v>6016</v>
      </c>
      <c r="O52" s="7" t="s">
        <v>0</v>
      </c>
      <c r="P52" s="7" t="s">
        <v>6017</v>
      </c>
      <c r="Q52" s="7" t="s">
        <v>6017</v>
      </c>
      <c r="R52" s="7" t="s">
        <v>751</v>
      </c>
      <c r="S52" s="7" t="s">
        <v>0</v>
      </c>
      <c r="T52" s="7" t="s">
        <v>54</v>
      </c>
      <c r="U52" s="7" t="s">
        <v>6018</v>
      </c>
      <c r="V52" s="7" t="s">
        <v>126</v>
      </c>
      <c r="W52" s="7" t="s">
        <v>0</v>
      </c>
      <c r="X52" s="7" t="s">
        <v>103</v>
      </c>
      <c r="Y52" s="8">
        <v>45189</v>
      </c>
      <c r="Z52" s="8">
        <v>45291</v>
      </c>
      <c r="AA52" s="7" t="s">
        <v>224</v>
      </c>
      <c r="AB52" s="7" t="s">
        <v>0</v>
      </c>
      <c r="AC52" s="7" t="s">
        <v>0</v>
      </c>
      <c r="AD52" s="7" t="s">
        <v>0</v>
      </c>
      <c r="AE52" s="7" t="s">
        <v>0</v>
      </c>
      <c r="AF52" s="7" t="s">
        <v>0</v>
      </c>
      <c r="AG52" s="7" t="s">
        <v>0</v>
      </c>
      <c r="AH52" s="9" t="s">
        <v>0</v>
      </c>
      <c r="AI52" s="9" t="s">
        <v>0</v>
      </c>
      <c r="AJ52" s="9" t="s">
        <v>0</v>
      </c>
      <c r="AK52" s="7" t="s">
        <v>61</v>
      </c>
      <c r="AL52" s="7" t="s">
        <v>61</v>
      </c>
      <c r="AM52" s="7" t="s">
        <v>0</v>
      </c>
      <c r="AN52" s="7" t="s">
        <v>0</v>
      </c>
      <c r="AO52" s="7" t="s">
        <v>0</v>
      </c>
      <c r="AP52" s="7" t="s">
        <v>0</v>
      </c>
      <c r="AQ52" s="7" t="s">
        <v>61</v>
      </c>
      <c r="AR52" s="7" t="s">
        <v>0</v>
      </c>
      <c r="AS52" s="10" t="str">
        <f>HYPERLINK("https://tessa.gazprom-neft.local/edo/card/6a676106-cdfd-4e90-a55a-ac0970323587", "https://tessa.gazprom-neft.local/edo/card/6a676106-cdfd-4e90-a55a-ac0970323587")</f>
        <v>https://tessa.gazprom-neft.local/edo/card/6a676106-cdfd-4e90-a55a-ac0970323587</v>
      </c>
    </row>
    <row r="53" spans="1:45" hidden="1" x14ac:dyDescent="0.25">
      <c r="A53" s="6" t="s">
        <v>44</v>
      </c>
      <c r="B53" s="7" t="s">
        <v>0</v>
      </c>
      <c r="C53" s="7" t="s">
        <v>218</v>
      </c>
      <c r="D53" s="8" t="s">
        <v>0</v>
      </c>
      <c r="E53" s="8" t="s">
        <v>0</v>
      </c>
      <c r="F53" s="16" t="s">
        <v>0</v>
      </c>
      <c r="G53" s="7" t="s">
        <v>0</v>
      </c>
      <c r="H53" s="7" t="s">
        <v>0</v>
      </c>
      <c r="I53" s="7" t="s">
        <v>0</v>
      </c>
      <c r="J53" s="7" t="s">
        <v>0</v>
      </c>
      <c r="K53" s="7" t="s">
        <v>0</v>
      </c>
      <c r="L53" s="7" t="s">
        <v>0</v>
      </c>
      <c r="M53" s="7" t="s">
        <v>0</v>
      </c>
      <c r="N53" s="7" t="s">
        <v>6154</v>
      </c>
      <c r="O53" s="7" t="s">
        <v>0</v>
      </c>
      <c r="P53" s="7" t="s">
        <v>0</v>
      </c>
      <c r="Q53" s="7" t="s">
        <v>0</v>
      </c>
      <c r="R53" s="7" t="s">
        <v>3298</v>
      </c>
      <c r="S53" s="7" t="s">
        <v>0</v>
      </c>
      <c r="T53" s="7" t="s">
        <v>54</v>
      </c>
      <c r="U53" s="7" t="s">
        <v>303</v>
      </c>
      <c r="V53" s="7" t="s">
        <v>0</v>
      </c>
      <c r="W53" s="7" t="s">
        <v>0</v>
      </c>
      <c r="X53" s="7" t="s">
        <v>0</v>
      </c>
      <c r="Y53" s="8" t="s">
        <v>0</v>
      </c>
      <c r="Z53" s="8" t="s">
        <v>0</v>
      </c>
      <c r="AA53" s="7" t="s">
        <v>0</v>
      </c>
      <c r="AB53" s="7" t="s">
        <v>0</v>
      </c>
      <c r="AC53" s="7" t="s">
        <v>0</v>
      </c>
      <c r="AD53" s="7" t="s">
        <v>0</v>
      </c>
      <c r="AE53" s="7" t="s">
        <v>0</v>
      </c>
      <c r="AF53" s="7" t="s">
        <v>0</v>
      </c>
      <c r="AG53" s="7" t="s">
        <v>0</v>
      </c>
      <c r="AH53" s="9" t="s">
        <v>0</v>
      </c>
      <c r="AI53" s="9" t="s">
        <v>0</v>
      </c>
      <c r="AJ53" s="9" t="s">
        <v>0</v>
      </c>
      <c r="AK53" s="7" t="s">
        <v>61</v>
      </c>
      <c r="AL53" s="7" t="s">
        <v>61</v>
      </c>
      <c r="AM53" s="7" t="s">
        <v>0</v>
      </c>
      <c r="AN53" s="7" t="s">
        <v>0</v>
      </c>
      <c r="AO53" s="7" t="s">
        <v>0</v>
      </c>
      <c r="AP53" s="7" t="s">
        <v>0</v>
      </c>
      <c r="AQ53" s="7" t="s">
        <v>61</v>
      </c>
      <c r="AR53" s="7" t="s">
        <v>0</v>
      </c>
      <c r="AS53" s="10" t="str">
        <f>HYPERLINK("https://tessa.gazprom-neft.local/edo/card/df3ab36d-d1bf-477e-8d37-66a7e1569ac3", "https://tessa.gazprom-neft.local/edo/card/df3ab36d-d1bf-477e-8d37-66a7e1569ac3")</f>
        <v>https://tessa.gazprom-neft.local/edo/card/df3ab36d-d1bf-477e-8d37-66a7e1569ac3</v>
      </c>
    </row>
    <row r="54" spans="1:45" hidden="1" x14ac:dyDescent="0.25">
      <c r="A54" s="6" t="s">
        <v>44</v>
      </c>
      <c r="B54" s="7" t="s">
        <v>0</v>
      </c>
      <c r="C54" s="7" t="s">
        <v>218</v>
      </c>
      <c r="D54" s="8" t="s">
        <v>0</v>
      </c>
      <c r="E54" s="8" t="s">
        <v>0</v>
      </c>
      <c r="F54" s="16" t="s">
        <v>0</v>
      </c>
      <c r="G54" s="7" t="s">
        <v>0</v>
      </c>
      <c r="H54" s="7" t="s">
        <v>0</v>
      </c>
      <c r="I54" s="7" t="s">
        <v>0</v>
      </c>
      <c r="J54" s="7" t="s">
        <v>0</v>
      </c>
      <c r="K54" s="7" t="s">
        <v>0</v>
      </c>
      <c r="L54" s="7" t="s">
        <v>0</v>
      </c>
      <c r="M54" s="7" t="s">
        <v>0</v>
      </c>
      <c r="N54" s="7" t="s">
        <v>6161</v>
      </c>
      <c r="O54" s="7" t="s">
        <v>0</v>
      </c>
      <c r="P54" s="7" t="s">
        <v>0</v>
      </c>
      <c r="Q54" s="7" t="s">
        <v>0</v>
      </c>
      <c r="R54" s="7" t="s">
        <v>3298</v>
      </c>
      <c r="S54" s="7" t="s">
        <v>0</v>
      </c>
      <c r="T54" s="7" t="s">
        <v>54</v>
      </c>
      <c r="U54" s="7" t="s">
        <v>303</v>
      </c>
      <c r="V54" s="7" t="s">
        <v>0</v>
      </c>
      <c r="W54" s="7" t="s">
        <v>0</v>
      </c>
      <c r="X54" s="7" t="s">
        <v>0</v>
      </c>
      <c r="Y54" s="8" t="s">
        <v>0</v>
      </c>
      <c r="Z54" s="8" t="s">
        <v>0</v>
      </c>
      <c r="AA54" s="7" t="s">
        <v>0</v>
      </c>
      <c r="AB54" s="7" t="s">
        <v>0</v>
      </c>
      <c r="AC54" s="7" t="s">
        <v>0</v>
      </c>
      <c r="AD54" s="7" t="s">
        <v>0</v>
      </c>
      <c r="AE54" s="7" t="s">
        <v>0</v>
      </c>
      <c r="AF54" s="7" t="s">
        <v>0</v>
      </c>
      <c r="AG54" s="7" t="s">
        <v>0</v>
      </c>
      <c r="AH54" s="9" t="s">
        <v>0</v>
      </c>
      <c r="AI54" s="9" t="s">
        <v>0</v>
      </c>
      <c r="AJ54" s="9" t="s">
        <v>0</v>
      </c>
      <c r="AK54" s="7" t="s">
        <v>61</v>
      </c>
      <c r="AL54" s="7" t="s">
        <v>61</v>
      </c>
      <c r="AM54" s="7" t="s">
        <v>0</v>
      </c>
      <c r="AN54" s="7" t="s">
        <v>0</v>
      </c>
      <c r="AO54" s="7" t="s">
        <v>0</v>
      </c>
      <c r="AP54" s="7" t="s">
        <v>0</v>
      </c>
      <c r="AQ54" s="7" t="s">
        <v>61</v>
      </c>
      <c r="AR54" s="7" t="s">
        <v>0</v>
      </c>
      <c r="AS54" s="10" t="str">
        <f>HYPERLINK("https://tessa.gazprom-neft.local/edo/card/944ff4b0-ecef-48aa-bc2c-106f5c4bb357", "https://tessa.gazprom-neft.local/edo/card/944ff4b0-ecef-48aa-bc2c-106f5c4bb357")</f>
        <v>https://tessa.gazprom-neft.local/edo/card/944ff4b0-ecef-48aa-bc2c-106f5c4bb357</v>
      </c>
    </row>
    <row r="55" spans="1:45" x14ac:dyDescent="0.25">
      <c r="A55" s="6" t="s">
        <v>44</v>
      </c>
      <c r="B55" s="7" t="s">
        <v>127</v>
      </c>
      <c r="C55" s="7" t="s">
        <v>218</v>
      </c>
      <c r="D55" s="8" t="s">
        <v>0</v>
      </c>
      <c r="E55" s="8" t="s">
        <v>0</v>
      </c>
      <c r="F55" s="16" t="s">
        <v>128</v>
      </c>
      <c r="G55" s="7" t="s">
        <v>129</v>
      </c>
      <c r="H55" s="7" t="s">
        <v>1661</v>
      </c>
      <c r="I55" s="7" t="s">
        <v>0</v>
      </c>
      <c r="J55" s="7" t="s">
        <v>0</v>
      </c>
      <c r="K55" s="7" t="s">
        <v>47</v>
      </c>
      <c r="L55" s="7" t="s">
        <v>48</v>
      </c>
      <c r="M55" s="7" t="s">
        <v>0</v>
      </c>
      <c r="N55" s="7" t="s">
        <v>6233</v>
      </c>
      <c r="O55" s="7" t="s">
        <v>0</v>
      </c>
      <c r="P55" s="7" t="s">
        <v>6234</v>
      </c>
      <c r="Q55" s="7" t="s">
        <v>6235</v>
      </c>
      <c r="R55" s="7" t="s">
        <v>393</v>
      </c>
      <c r="S55" s="7" t="s">
        <v>1094</v>
      </c>
      <c r="T55" s="7" t="s">
        <v>54</v>
      </c>
      <c r="U55" s="7" t="s">
        <v>210</v>
      </c>
      <c r="V55" s="7" t="s">
        <v>126</v>
      </c>
      <c r="W55" s="7" t="s">
        <v>74</v>
      </c>
      <c r="X55" s="7" t="s">
        <v>58</v>
      </c>
      <c r="Y55" s="8">
        <v>45174</v>
      </c>
      <c r="Z55" s="8" t="s">
        <v>0</v>
      </c>
      <c r="AA55" s="7" t="s">
        <v>224</v>
      </c>
      <c r="AB55" s="7" t="s">
        <v>1698</v>
      </c>
      <c r="AC55" s="7" t="s">
        <v>79</v>
      </c>
      <c r="AD55" s="7" t="s">
        <v>514</v>
      </c>
      <c r="AE55" s="7" t="s">
        <v>82</v>
      </c>
      <c r="AF55" s="7" t="s">
        <v>0</v>
      </c>
      <c r="AG55" s="7" t="s">
        <v>6236</v>
      </c>
      <c r="AH55" s="9" t="s">
        <v>11094</v>
      </c>
      <c r="AI55" s="9" t="s">
        <v>11095</v>
      </c>
      <c r="AJ55" s="9" t="s">
        <v>11096</v>
      </c>
      <c r="AK55" s="7" t="s">
        <v>81</v>
      </c>
      <c r="AL55" s="7" t="s">
        <v>61</v>
      </c>
      <c r="AM55" s="7" t="s">
        <v>0</v>
      </c>
      <c r="AN55" s="7" t="s">
        <v>0</v>
      </c>
      <c r="AO55" s="7" t="s">
        <v>0</v>
      </c>
      <c r="AP55" s="7" t="s">
        <v>0</v>
      </c>
      <c r="AQ55" s="7" t="s">
        <v>61</v>
      </c>
      <c r="AR55" s="7" t="s">
        <v>0</v>
      </c>
      <c r="AS55" s="10" t="str">
        <f>HYPERLINK("https://tessa.gazprom-neft.local/edo/card/2425c065-3ad2-48be-be7a-32181f901e91", "https://tessa.gazprom-neft.local/edo/card/2425c065-3ad2-48be-be7a-32181f901e91")</f>
        <v>https://tessa.gazprom-neft.local/edo/card/2425c065-3ad2-48be-be7a-32181f901e91</v>
      </c>
    </row>
    <row r="56" spans="1:45" hidden="1" x14ac:dyDescent="0.25">
      <c r="A56" s="6" t="s">
        <v>44</v>
      </c>
      <c r="B56" s="7" t="s">
        <v>0</v>
      </c>
      <c r="C56" s="7" t="s">
        <v>218</v>
      </c>
      <c r="D56" s="8" t="s">
        <v>0</v>
      </c>
      <c r="E56" s="8" t="s">
        <v>0</v>
      </c>
      <c r="F56" s="16" t="s">
        <v>0</v>
      </c>
      <c r="G56" s="7" t="s">
        <v>0</v>
      </c>
      <c r="H56" s="7" t="s">
        <v>0</v>
      </c>
      <c r="I56" s="7" t="s">
        <v>0</v>
      </c>
      <c r="J56" s="7" t="s">
        <v>0</v>
      </c>
      <c r="K56" s="7" t="s">
        <v>0</v>
      </c>
      <c r="L56" s="7" t="s">
        <v>0</v>
      </c>
      <c r="M56" s="7" t="s">
        <v>0</v>
      </c>
      <c r="N56" s="7" t="s">
        <v>6253</v>
      </c>
      <c r="O56" s="7" t="s">
        <v>0</v>
      </c>
      <c r="P56" s="7" t="s">
        <v>0</v>
      </c>
      <c r="Q56" s="7" t="s">
        <v>0</v>
      </c>
      <c r="R56" s="7" t="s">
        <v>6254</v>
      </c>
      <c r="S56" s="7" t="s">
        <v>0</v>
      </c>
      <c r="T56" s="7" t="s">
        <v>54</v>
      </c>
      <c r="U56" s="7" t="s">
        <v>362</v>
      </c>
      <c r="V56" s="7" t="s">
        <v>0</v>
      </c>
      <c r="W56" s="7" t="s">
        <v>0</v>
      </c>
      <c r="X56" s="7" t="s">
        <v>0</v>
      </c>
      <c r="Y56" s="8" t="s">
        <v>0</v>
      </c>
      <c r="Z56" s="8" t="s">
        <v>0</v>
      </c>
      <c r="AA56" s="7" t="s">
        <v>0</v>
      </c>
      <c r="AB56" s="7" t="s">
        <v>0</v>
      </c>
      <c r="AC56" s="7" t="s">
        <v>0</v>
      </c>
      <c r="AD56" s="7" t="s">
        <v>0</v>
      </c>
      <c r="AE56" s="7" t="s">
        <v>0</v>
      </c>
      <c r="AF56" s="7" t="s">
        <v>0</v>
      </c>
      <c r="AG56" s="7" t="s">
        <v>0</v>
      </c>
      <c r="AH56" s="9" t="s">
        <v>0</v>
      </c>
      <c r="AI56" s="9" t="s">
        <v>0</v>
      </c>
      <c r="AJ56" s="9" t="s">
        <v>0</v>
      </c>
      <c r="AK56" s="7" t="s">
        <v>61</v>
      </c>
      <c r="AL56" s="7" t="s">
        <v>61</v>
      </c>
      <c r="AM56" s="7" t="s">
        <v>0</v>
      </c>
      <c r="AN56" s="7" t="s">
        <v>0</v>
      </c>
      <c r="AO56" s="7" t="s">
        <v>0</v>
      </c>
      <c r="AP56" s="7" t="s">
        <v>0</v>
      </c>
      <c r="AQ56" s="7" t="s">
        <v>61</v>
      </c>
      <c r="AR56" s="7" t="s">
        <v>0</v>
      </c>
      <c r="AS56" s="10" t="str">
        <f>HYPERLINK("https://tessa.gazprom-neft.local/edo/card/d04a6d8f-9cce-4c2d-b794-4c88451c1dae", "https://tessa.gazprom-neft.local/edo/card/d04a6d8f-9cce-4c2d-b794-4c88451c1dae")</f>
        <v>https://tessa.gazprom-neft.local/edo/card/d04a6d8f-9cce-4c2d-b794-4c88451c1dae</v>
      </c>
    </row>
    <row r="57" spans="1:45" hidden="1" x14ac:dyDescent="0.25">
      <c r="A57" s="6" t="s">
        <v>44</v>
      </c>
      <c r="B57" s="7" t="s">
        <v>0</v>
      </c>
      <c r="C57" s="7" t="s">
        <v>218</v>
      </c>
      <c r="D57" s="8" t="s">
        <v>0</v>
      </c>
      <c r="E57" s="8" t="s">
        <v>0</v>
      </c>
      <c r="F57" s="16" t="s">
        <v>0</v>
      </c>
      <c r="G57" s="7" t="s">
        <v>0</v>
      </c>
      <c r="H57" s="7" t="s">
        <v>0</v>
      </c>
      <c r="I57" s="7" t="s">
        <v>0</v>
      </c>
      <c r="J57" s="7" t="s">
        <v>0</v>
      </c>
      <c r="K57" s="7" t="s">
        <v>47</v>
      </c>
      <c r="L57" s="7" t="s">
        <v>0</v>
      </c>
      <c r="M57" s="7" t="s">
        <v>0</v>
      </c>
      <c r="N57" s="7" t="s">
        <v>6473</v>
      </c>
      <c r="O57" s="7" t="s">
        <v>0</v>
      </c>
      <c r="P57" s="7" t="s">
        <v>0</v>
      </c>
      <c r="Q57" s="7" t="s">
        <v>0</v>
      </c>
      <c r="R57" s="7" t="s">
        <v>2336</v>
      </c>
      <c r="S57" s="7" t="s">
        <v>0</v>
      </c>
      <c r="T57" s="7" t="s">
        <v>54</v>
      </c>
      <c r="U57" s="7" t="s">
        <v>307</v>
      </c>
      <c r="V57" s="7" t="s">
        <v>0</v>
      </c>
      <c r="W57" s="7" t="s">
        <v>0</v>
      </c>
      <c r="X57" s="7" t="s">
        <v>0</v>
      </c>
      <c r="Y57" s="8" t="s">
        <v>0</v>
      </c>
      <c r="Z57" s="8" t="s">
        <v>0</v>
      </c>
      <c r="AA57" s="7" t="s">
        <v>0</v>
      </c>
      <c r="AB57" s="7" t="s">
        <v>0</v>
      </c>
      <c r="AC57" s="7" t="s">
        <v>0</v>
      </c>
      <c r="AD57" s="7" t="s">
        <v>0</v>
      </c>
      <c r="AE57" s="7" t="s">
        <v>0</v>
      </c>
      <c r="AF57" s="7" t="s">
        <v>0</v>
      </c>
      <c r="AG57" s="7" t="s">
        <v>0</v>
      </c>
      <c r="AH57" s="9" t="s">
        <v>0</v>
      </c>
      <c r="AI57" s="9" t="s">
        <v>0</v>
      </c>
      <c r="AJ57" s="9" t="s">
        <v>0</v>
      </c>
      <c r="AK57" s="7" t="s">
        <v>61</v>
      </c>
      <c r="AL57" s="7" t="s">
        <v>61</v>
      </c>
      <c r="AM57" s="7" t="s">
        <v>0</v>
      </c>
      <c r="AN57" s="7" t="s">
        <v>0</v>
      </c>
      <c r="AO57" s="7" t="s">
        <v>0</v>
      </c>
      <c r="AP57" s="7" t="s">
        <v>0</v>
      </c>
      <c r="AQ57" s="7" t="s">
        <v>61</v>
      </c>
      <c r="AR57" s="7" t="s">
        <v>0</v>
      </c>
      <c r="AS57" s="10" t="str">
        <f>HYPERLINK("https://tessa.gazprom-neft.local/edo/card/305208bf-6321-4e6a-82c1-3b0e91200103", "https://tessa.gazprom-neft.local/edo/card/305208bf-6321-4e6a-82c1-3b0e91200103")</f>
        <v>https://tessa.gazprom-neft.local/edo/card/305208bf-6321-4e6a-82c1-3b0e91200103</v>
      </c>
    </row>
    <row r="58" spans="1:45" hidden="1" x14ac:dyDescent="0.25">
      <c r="A58" s="6" t="s">
        <v>44</v>
      </c>
      <c r="B58" s="7" t="s">
        <v>0</v>
      </c>
      <c r="C58" s="7" t="s">
        <v>218</v>
      </c>
      <c r="D58" s="8" t="s">
        <v>0</v>
      </c>
      <c r="E58" s="8" t="s">
        <v>0</v>
      </c>
      <c r="F58" s="16" t="s">
        <v>0</v>
      </c>
      <c r="G58" s="7" t="s">
        <v>0</v>
      </c>
      <c r="H58" s="7" t="s">
        <v>0</v>
      </c>
      <c r="I58" s="7" t="s">
        <v>0</v>
      </c>
      <c r="J58" s="7" t="s">
        <v>0</v>
      </c>
      <c r="K58" s="7" t="s">
        <v>47</v>
      </c>
      <c r="L58" s="7" t="s">
        <v>96</v>
      </c>
      <c r="M58" s="7" t="s">
        <v>0</v>
      </c>
      <c r="N58" s="7" t="s">
        <v>6488</v>
      </c>
      <c r="O58" s="7" t="s">
        <v>0</v>
      </c>
      <c r="P58" s="7" t="s">
        <v>6489</v>
      </c>
      <c r="Q58" s="7" t="s">
        <v>6490</v>
      </c>
      <c r="R58" s="7" t="s">
        <v>2336</v>
      </c>
      <c r="S58" s="7" t="s">
        <v>2336</v>
      </c>
      <c r="T58" s="7" t="s">
        <v>54</v>
      </c>
      <c r="U58" s="7" t="s">
        <v>307</v>
      </c>
      <c r="V58" s="7" t="s">
        <v>137</v>
      </c>
      <c r="W58" s="7" t="s">
        <v>57</v>
      </c>
      <c r="X58" s="7" t="s">
        <v>103</v>
      </c>
      <c r="Y58" s="8">
        <v>44621</v>
      </c>
      <c r="Z58" s="8">
        <v>45291</v>
      </c>
      <c r="AA58" s="7" t="s">
        <v>0</v>
      </c>
      <c r="AB58" s="7" t="s">
        <v>64</v>
      </c>
      <c r="AC58" s="7" t="s">
        <v>0</v>
      </c>
      <c r="AD58" s="7" t="s">
        <v>0</v>
      </c>
      <c r="AE58" s="7" t="s">
        <v>82</v>
      </c>
      <c r="AF58" s="7" t="s">
        <v>0</v>
      </c>
      <c r="AG58" s="7" t="s">
        <v>0</v>
      </c>
      <c r="AH58" s="9" t="s">
        <v>0</v>
      </c>
      <c r="AI58" s="9" t="s">
        <v>0</v>
      </c>
      <c r="AJ58" s="9" t="s">
        <v>0</v>
      </c>
      <c r="AK58" s="7" t="s">
        <v>61</v>
      </c>
      <c r="AL58" s="7" t="s">
        <v>61</v>
      </c>
      <c r="AM58" s="7" t="s">
        <v>0</v>
      </c>
      <c r="AN58" s="7" t="s">
        <v>0</v>
      </c>
      <c r="AO58" s="7" t="s">
        <v>0</v>
      </c>
      <c r="AP58" s="7" t="s">
        <v>0</v>
      </c>
      <c r="AQ58" s="7" t="s">
        <v>61</v>
      </c>
      <c r="AR58" s="7" t="s">
        <v>0</v>
      </c>
      <c r="AS58" s="10" t="str">
        <f>HYPERLINK("https://tessa.gazprom-neft.local/edo/card/525e0033-e1ca-413f-86fc-7e465112070d", "https://tessa.gazprom-neft.local/edo/card/525e0033-e1ca-413f-86fc-7e465112070d")</f>
        <v>https://tessa.gazprom-neft.local/edo/card/525e0033-e1ca-413f-86fc-7e465112070d</v>
      </c>
    </row>
    <row r="59" spans="1:45" hidden="1" x14ac:dyDescent="0.25">
      <c r="A59" s="6" t="s">
        <v>44</v>
      </c>
      <c r="B59" s="7" t="s">
        <v>0</v>
      </c>
      <c r="C59" s="7" t="s">
        <v>218</v>
      </c>
      <c r="D59" s="8" t="s">
        <v>0</v>
      </c>
      <c r="E59" s="8" t="s">
        <v>0</v>
      </c>
      <c r="F59" s="16" t="s">
        <v>0</v>
      </c>
      <c r="G59" s="7" t="s">
        <v>0</v>
      </c>
      <c r="H59" s="7" t="s">
        <v>0</v>
      </c>
      <c r="I59" s="7" t="s">
        <v>0</v>
      </c>
      <c r="J59" s="7" t="s">
        <v>0</v>
      </c>
      <c r="K59" s="7" t="s">
        <v>85</v>
      </c>
      <c r="L59" s="7" t="s">
        <v>86</v>
      </c>
      <c r="M59" s="7" t="s">
        <v>0</v>
      </c>
      <c r="N59" s="7" t="s">
        <v>6491</v>
      </c>
      <c r="O59" s="7" t="s">
        <v>0</v>
      </c>
      <c r="P59" s="7" t="s">
        <v>0</v>
      </c>
      <c r="Q59" s="7" t="s">
        <v>0</v>
      </c>
      <c r="R59" s="7" t="s">
        <v>338</v>
      </c>
      <c r="S59" s="7" t="s">
        <v>0</v>
      </c>
      <c r="T59" s="7" t="s">
        <v>54</v>
      </c>
      <c r="U59" s="7" t="s">
        <v>283</v>
      </c>
      <c r="V59" s="7" t="s">
        <v>0</v>
      </c>
      <c r="W59" s="7" t="s">
        <v>0</v>
      </c>
      <c r="X59" s="7" t="s">
        <v>0</v>
      </c>
      <c r="Y59" s="8" t="s">
        <v>0</v>
      </c>
      <c r="Z59" s="8" t="s">
        <v>0</v>
      </c>
      <c r="AA59" s="7" t="s">
        <v>0</v>
      </c>
      <c r="AB59" s="7" t="s">
        <v>0</v>
      </c>
      <c r="AC59" s="7" t="s">
        <v>0</v>
      </c>
      <c r="AD59" s="7" t="s">
        <v>0</v>
      </c>
      <c r="AE59" s="7" t="s">
        <v>0</v>
      </c>
      <c r="AF59" s="7" t="s">
        <v>0</v>
      </c>
      <c r="AG59" s="7" t="s">
        <v>0</v>
      </c>
      <c r="AH59" s="9" t="s">
        <v>0</v>
      </c>
      <c r="AI59" s="9" t="s">
        <v>0</v>
      </c>
      <c r="AJ59" s="9" t="s">
        <v>0</v>
      </c>
      <c r="AK59" s="7" t="s">
        <v>61</v>
      </c>
      <c r="AL59" s="7" t="s">
        <v>61</v>
      </c>
      <c r="AM59" s="7" t="s">
        <v>0</v>
      </c>
      <c r="AN59" s="7" t="s">
        <v>0</v>
      </c>
      <c r="AO59" s="7" t="s">
        <v>0</v>
      </c>
      <c r="AP59" s="7" t="s">
        <v>0</v>
      </c>
      <c r="AQ59" s="7" t="s">
        <v>61</v>
      </c>
      <c r="AR59" s="7" t="s">
        <v>0</v>
      </c>
      <c r="AS59" s="10" t="str">
        <f>HYPERLINK("https://tessa.gazprom-neft.local/edo/card/f2a1f441-e5b8-4953-b8e5-6d87786fe173", "https://tessa.gazprom-neft.local/edo/card/f2a1f441-e5b8-4953-b8e5-6d87786fe173")</f>
        <v>https://tessa.gazprom-neft.local/edo/card/f2a1f441-e5b8-4953-b8e5-6d87786fe173</v>
      </c>
    </row>
    <row r="60" spans="1:45" hidden="1" x14ac:dyDescent="0.25">
      <c r="A60" s="6" t="s">
        <v>44</v>
      </c>
      <c r="B60" s="7" t="s">
        <v>450</v>
      </c>
      <c r="C60" s="7" t="s">
        <v>492</v>
      </c>
      <c r="D60" s="8" t="s">
        <v>0</v>
      </c>
      <c r="E60" s="8" t="s">
        <v>0</v>
      </c>
      <c r="F60" s="16" t="s">
        <v>451</v>
      </c>
      <c r="G60" s="7" t="s">
        <v>452</v>
      </c>
      <c r="H60" s="7" t="s">
        <v>0</v>
      </c>
      <c r="I60" s="7" t="s">
        <v>0</v>
      </c>
      <c r="J60" s="7" t="s">
        <v>0</v>
      </c>
      <c r="K60" s="7" t="s">
        <v>47</v>
      </c>
      <c r="L60" s="7" t="s">
        <v>96</v>
      </c>
      <c r="M60" s="7" t="s">
        <v>0</v>
      </c>
      <c r="N60" s="7" t="s">
        <v>6503</v>
      </c>
      <c r="O60" s="7" t="s">
        <v>0</v>
      </c>
      <c r="P60" s="7" t="s">
        <v>6504</v>
      </c>
      <c r="Q60" s="7" t="s">
        <v>6505</v>
      </c>
      <c r="R60" s="7" t="s">
        <v>6506</v>
      </c>
      <c r="S60" s="7" t="s">
        <v>6506</v>
      </c>
      <c r="T60" s="7" t="s">
        <v>54</v>
      </c>
      <c r="U60" s="7" t="s">
        <v>468</v>
      </c>
      <c r="V60" s="7" t="s">
        <v>137</v>
      </c>
      <c r="W60" s="7" t="s">
        <v>57</v>
      </c>
      <c r="X60" s="7" t="s">
        <v>58</v>
      </c>
      <c r="Y60" s="8">
        <v>44470</v>
      </c>
      <c r="Z60" s="8" t="s">
        <v>0</v>
      </c>
      <c r="AA60" s="7" t="s">
        <v>0</v>
      </c>
      <c r="AB60" s="7" t="s">
        <v>6507</v>
      </c>
      <c r="AC60" s="7" t="s">
        <v>278</v>
      </c>
      <c r="AD60" s="7" t="s">
        <v>144</v>
      </c>
      <c r="AE60" s="7" t="s">
        <v>82</v>
      </c>
      <c r="AF60" s="7" t="s">
        <v>0</v>
      </c>
      <c r="AG60" s="7" t="s">
        <v>0</v>
      </c>
      <c r="AH60" s="9" t="s">
        <v>12867</v>
      </c>
      <c r="AI60" s="9" t="s">
        <v>12868</v>
      </c>
      <c r="AJ60" s="9" t="s">
        <v>12869</v>
      </c>
      <c r="AK60" s="7" t="s">
        <v>61</v>
      </c>
      <c r="AL60" s="7" t="s">
        <v>61</v>
      </c>
      <c r="AM60" s="7" t="s">
        <v>0</v>
      </c>
      <c r="AN60" s="7" t="s">
        <v>0</v>
      </c>
      <c r="AO60" s="7" t="s">
        <v>0</v>
      </c>
      <c r="AP60" s="7" t="s">
        <v>0</v>
      </c>
      <c r="AQ60" s="7" t="s">
        <v>61</v>
      </c>
      <c r="AR60" s="7" t="s">
        <v>0</v>
      </c>
      <c r="AS60" s="10" t="str">
        <f>HYPERLINK("https://tessa.gazprom-neft.local/edo/card/b93ef9d5-6b94-495d-bf32-726174ecb1b3", "https://tessa.gazprom-neft.local/edo/card/b93ef9d5-6b94-495d-bf32-726174ecb1b3")</f>
        <v>https://tessa.gazprom-neft.local/edo/card/b93ef9d5-6b94-495d-bf32-726174ecb1b3</v>
      </c>
    </row>
    <row r="61" spans="1:45" hidden="1" x14ac:dyDescent="0.25">
      <c r="A61" s="6" t="s">
        <v>44</v>
      </c>
      <c r="B61" s="7" t="s">
        <v>737</v>
      </c>
      <c r="C61" s="7" t="s">
        <v>492</v>
      </c>
      <c r="D61" s="8" t="s">
        <v>0</v>
      </c>
      <c r="E61" s="8" t="s">
        <v>0</v>
      </c>
      <c r="F61" s="16" t="s">
        <v>738</v>
      </c>
      <c r="G61" s="7" t="s">
        <v>739</v>
      </c>
      <c r="H61" s="7" t="s">
        <v>0</v>
      </c>
      <c r="I61" s="7" t="s">
        <v>0</v>
      </c>
      <c r="J61" s="7" t="s">
        <v>0</v>
      </c>
      <c r="K61" s="7" t="s">
        <v>47</v>
      </c>
      <c r="L61" s="7" t="s">
        <v>96</v>
      </c>
      <c r="M61" s="7" t="s">
        <v>0</v>
      </c>
      <c r="N61" s="7" t="s">
        <v>6583</v>
      </c>
      <c r="O61" s="7" t="s">
        <v>0</v>
      </c>
      <c r="P61" s="7" t="s">
        <v>6584</v>
      </c>
      <c r="Q61" s="7" t="s">
        <v>6585</v>
      </c>
      <c r="R61" s="7" t="s">
        <v>484</v>
      </c>
      <c r="S61" s="7" t="s">
        <v>484</v>
      </c>
      <c r="T61" s="7" t="s">
        <v>54</v>
      </c>
      <c r="U61" s="7" t="s">
        <v>274</v>
      </c>
      <c r="V61" s="7" t="s">
        <v>56</v>
      </c>
      <c r="W61" s="7" t="s">
        <v>57</v>
      </c>
      <c r="X61" s="7" t="s">
        <v>103</v>
      </c>
      <c r="Y61" s="8">
        <v>45554</v>
      </c>
      <c r="Z61" s="8">
        <v>45656</v>
      </c>
      <c r="AA61" s="7" t="s">
        <v>59</v>
      </c>
      <c r="AB61" s="7" t="s">
        <v>64</v>
      </c>
      <c r="AC61" s="7" t="s">
        <v>278</v>
      </c>
      <c r="AD61" s="7" t="s">
        <v>144</v>
      </c>
      <c r="AE61" s="7" t="s">
        <v>82</v>
      </c>
      <c r="AF61" s="7" t="s">
        <v>0</v>
      </c>
      <c r="AG61" s="7" t="s">
        <v>0</v>
      </c>
      <c r="AH61" s="9" t="s">
        <v>12027</v>
      </c>
      <c r="AI61" s="9" t="s">
        <v>12902</v>
      </c>
      <c r="AJ61" s="9" t="s">
        <v>12807</v>
      </c>
      <c r="AK61" s="7" t="s">
        <v>61</v>
      </c>
      <c r="AL61" s="7" t="s">
        <v>61</v>
      </c>
      <c r="AM61" s="7" t="s">
        <v>0</v>
      </c>
      <c r="AN61" s="7" t="s">
        <v>0</v>
      </c>
      <c r="AO61" s="7" t="s">
        <v>0</v>
      </c>
      <c r="AP61" s="7" t="s">
        <v>0</v>
      </c>
      <c r="AQ61" s="7" t="s">
        <v>61</v>
      </c>
      <c r="AR61" s="7" t="s">
        <v>0</v>
      </c>
      <c r="AS61" s="10" t="str">
        <f>HYPERLINK("https://tessa.gazprom-neft.local/edo/card/03b30bac-660a-4e2e-92fb-48bbe356851e", "https://tessa.gazprom-neft.local/edo/card/03b30bac-660a-4e2e-92fb-48bbe356851e")</f>
        <v>https://tessa.gazprom-neft.local/edo/card/03b30bac-660a-4e2e-92fb-48bbe356851e</v>
      </c>
    </row>
    <row r="62" spans="1:45" hidden="1" x14ac:dyDescent="0.25">
      <c r="A62" s="6" t="s">
        <v>44</v>
      </c>
      <c r="B62" s="7" t="s">
        <v>0</v>
      </c>
      <c r="C62" s="7" t="s">
        <v>492</v>
      </c>
      <c r="D62" s="8" t="s">
        <v>0</v>
      </c>
      <c r="E62" s="8" t="s">
        <v>0</v>
      </c>
      <c r="F62" s="16" t="s">
        <v>6600</v>
      </c>
      <c r="G62" s="7" t="s">
        <v>0</v>
      </c>
      <c r="H62" s="7" t="s">
        <v>0</v>
      </c>
      <c r="I62" s="7" t="s">
        <v>0</v>
      </c>
      <c r="J62" s="7" t="s">
        <v>0</v>
      </c>
      <c r="K62" s="7" t="s">
        <v>47</v>
      </c>
      <c r="L62" s="7" t="s">
        <v>96</v>
      </c>
      <c r="M62" s="7" t="s">
        <v>0</v>
      </c>
      <c r="N62" s="7" t="s">
        <v>6597</v>
      </c>
      <c r="O62" s="7" t="s">
        <v>0</v>
      </c>
      <c r="P62" s="7" t="s">
        <v>6598</v>
      </c>
      <c r="Q62" s="7" t="s">
        <v>6599</v>
      </c>
      <c r="R62" s="7" t="s">
        <v>751</v>
      </c>
      <c r="S62" s="7" t="s">
        <v>751</v>
      </c>
      <c r="T62" s="7" t="s">
        <v>54</v>
      </c>
      <c r="U62" s="7" t="s">
        <v>125</v>
      </c>
      <c r="V62" s="7" t="s">
        <v>126</v>
      </c>
      <c r="W62" s="7" t="s">
        <v>57</v>
      </c>
      <c r="X62" s="7" t="s">
        <v>103</v>
      </c>
      <c r="Y62" s="8">
        <v>45566</v>
      </c>
      <c r="Z62" s="8">
        <v>49309</v>
      </c>
      <c r="AA62" s="7" t="s">
        <v>200</v>
      </c>
      <c r="AB62" s="7" t="s">
        <v>64</v>
      </c>
      <c r="AC62" s="7" t="s">
        <v>65</v>
      </c>
      <c r="AD62" s="7" t="s">
        <v>144</v>
      </c>
      <c r="AE62" s="7" t="s">
        <v>0</v>
      </c>
      <c r="AF62" s="7" t="s">
        <v>0</v>
      </c>
      <c r="AG62" s="7" t="s">
        <v>0</v>
      </c>
      <c r="AH62" s="9" t="s">
        <v>0</v>
      </c>
      <c r="AI62" s="9" t="s">
        <v>0</v>
      </c>
      <c r="AJ62" s="9" t="s">
        <v>0</v>
      </c>
      <c r="AK62" s="7" t="s">
        <v>61</v>
      </c>
      <c r="AL62" s="7" t="s">
        <v>61</v>
      </c>
      <c r="AM62" s="7" t="s">
        <v>0</v>
      </c>
      <c r="AN62" s="7" t="s">
        <v>0</v>
      </c>
      <c r="AO62" s="7" t="s">
        <v>0</v>
      </c>
      <c r="AP62" s="7" t="s">
        <v>0</v>
      </c>
      <c r="AQ62" s="7" t="s">
        <v>61</v>
      </c>
      <c r="AR62" s="7" t="s">
        <v>0</v>
      </c>
      <c r="AS62" s="10" t="str">
        <f>HYPERLINK("https://tessa.gazprom-neft.local/edo/card/894086c0-1fd3-427e-b43c-d31cedc4d72c", "https://tessa.gazprom-neft.local/edo/card/894086c0-1fd3-427e-b43c-d31cedc4d72c")</f>
        <v>https://tessa.gazprom-neft.local/edo/card/894086c0-1fd3-427e-b43c-d31cedc4d72c</v>
      </c>
    </row>
    <row r="63" spans="1:45" x14ac:dyDescent="0.25">
      <c r="A63" s="6" t="s">
        <v>44</v>
      </c>
      <c r="B63" s="7" t="s">
        <v>0</v>
      </c>
      <c r="C63" s="7" t="s">
        <v>492</v>
      </c>
      <c r="D63" s="8" t="s">
        <v>0</v>
      </c>
      <c r="E63" s="8" t="s">
        <v>0</v>
      </c>
      <c r="F63" s="16" t="s">
        <v>6600</v>
      </c>
      <c r="G63" s="7" t="s">
        <v>0</v>
      </c>
      <c r="H63" s="7" t="s">
        <v>0</v>
      </c>
      <c r="I63" s="7" t="s">
        <v>0</v>
      </c>
      <c r="J63" s="7" t="s">
        <v>0</v>
      </c>
      <c r="K63" s="7" t="s">
        <v>47</v>
      </c>
      <c r="L63" s="7" t="s">
        <v>48</v>
      </c>
      <c r="M63" s="7" t="s">
        <v>0</v>
      </c>
      <c r="N63" s="7" t="s">
        <v>6610</v>
      </c>
      <c r="O63" s="7" t="s">
        <v>0</v>
      </c>
      <c r="P63" s="7" t="s">
        <v>6611</v>
      </c>
      <c r="Q63" s="7" t="s">
        <v>6611</v>
      </c>
      <c r="R63" s="7" t="s">
        <v>751</v>
      </c>
      <c r="S63" s="7" t="s">
        <v>751</v>
      </c>
      <c r="T63" s="7" t="s">
        <v>54</v>
      </c>
      <c r="U63" s="7" t="s">
        <v>125</v>
      </c>
      <c r="V63" s="7" t="s">
        <v>126</v>
      </c>
      <c r="W63" s="7" t="s">
        <v>57</v>
      </c>
      <c r="X63" s="7" t="s">
        <v>223</v>
      </c>
      <c r="Y63" s="8">
        <v>45566</v>
      </c>
      <c r="Z63" s="8" t="s">
        <v>0</v>
      </c>
      <c r="AA63" s="7" t="s">
        <v>200</v>
      </c>
      <c r="AB63" s="7" t="s">
        <v>64</v>
      </c>
      <c r="AC63" s="7" t="s">
        <v>65</v>
      </c>
      <c r="AD63" s="7" t="s">
        <v>0</v>
      </c>
      <c r="AE63" s="7" t="s">
        <v>0</v>
      </c>
      <c r="AF63" s="7" t="s">
        <v>0</v>
      </c>
      <c r="AG63" s="7" t="s">
        <v>0</v>
      </c>
      <c r="AH63" s="9" t="s">
        <v>0</v>
      </c>
      <c r="AI63" s="9" t="s">
        <v>0</v>
      </c>
      <c r="AJ63" s="9" t="s">
        <v>0</v>
      </c>
      <c r="AK63" s="7" t="s">
        <v>61</v>
      </c>
      <c r="AL63" s="7" t="s">
        <v>61</v>
      </c>
      <c r="AM63" s="7" t="s">
        <v>0</v>
      </c>
      <c r="AN63" s="7" t="s">
        <v>0</v>
      </c>
      <c r="AO63" s="7" t="s">
        <v>0</v>
      </c>
      <c r="AP63" s="7" t="s">
        <v>0</v>
      </c>
      <c r="AQ63" s="7" t="s">
        <v>61</v>
      </c>
      <c r="AR63" s="7" t="s">
        <v>0</v>
      </c>
      <c r="AS63" s="10" t="str">
        <f>HYPERLINK("https://tessa.gazprom-neft.local/edo/card/fc0c8b06-c554-451c-81c6-c2ffefb4d13e", "https://tessa.gazprom-neft.local/edo/card/fc0c8b06-c554-451c-81c6-c2ffefb4d13e")</f>
        <v>https://tessa.gazprom-neft.local/edo/card/fc0c8b06-c554-451c-81c6-c2ffefb4d13e</v>
      </c>
    </row>
    <row r="64" spans="1:45" hidden="1" x14ac:dyDescent="0.25">
      <c r="A64" s="6" t="s">
        <v>44</v>
      </c>
      <c r="B64" s="7" t="s">
        <v>0</v>
      </c>
      <c r="C64" s="7" t="s">
        <v>492</v>
      </c>
      <c r="D64" s="8" t="s">
        <v>0</v>
      </c>
      <c r="E64" s="8" t="s">
        <v>0</v>
      </c>
      <c r="F64" s="16" t="s">
        <v>6621</v>
      </c>
      <c r="G64" s="7" t="s">
        <v>0</v>
      </c>
      <c r="H64" s="7" t="s">
        <v>0</v>
      </c>
      <c r="I64" s="7" t="s">
        <v>0</v>
      </c>
      <c r="J64" s="7" t="s">
        <v>0</v>
      </c>
      <c r="K64" s="7" t="s">
        <v>47</v>
      </c>
      <c r="L64" s="7" t="s">
        <v>96</v>
      </c>
      <c r="M64" s="7" t="s">
        <v>0</v>
      </c>
      <c r="N64" s="7" t="s">
        <v>6618</v>
      </c>
      <c r="O64" s="7" t="s">
        <v>0</v>
      </c>
      <c r="P64" s="7" t="s">
        <v>6619</v>
      </c>
      <c r="Q64" s="7" t="s">
        <v>6620</v>
      </c>
      <c r="R64" s="7" t="s">
        <v>751</v>
      </c>
      <c r="S64" s="7" t="s">
        <v>751</v>
      </c>
      <c r="T64" s="7" t="s">
        <v>54</v>
      </c>
      <c r="U64" s="7" t="s">
        <v>125</v>
      </c>
      <c r="V64" s="7" t="s">
        <v>126</v>
      </c>
      <c r="W64" s="7" t="s">
        <v>57</v>
      </c>
      <c r="X64" s="7" t="s">
        <v>103</v>
      </c>
      <c r="Y64" s="8">
        <v>45566</v>
      </c>
      <c r="Z64" s="8">
        <v>49309</v>
      </c>
      <c r="AA64" s="7" t="s">
        <v>200</v>
      </c>
      <c r="AB64" s="7" t="s">
        <v>64</v>
      </c>
      <c r="AC64" s="7" t="s">
        <v>65</v>
      </c>
      <c r="AD64" s="7" t="s">
        <v>0</v>
      </c>
      <c r="AE64" s="7" t="s">
        <v>0</v>
      </c>
      <c r="AF64" s="7" t="s">
        <v>0</v>
      </c>
      <c r="AG64" s="7" t="s">
        <v>0</v>
      </c>
      <c r="AH64" s="9" t="s">
        <v>0</v>
      </c>
      <c r="AI64" s="9" t="s">
        <v>0</v>
      </c>
      <c r="AJ64" s="9" t="s">
        <v>0</v>
      </c>
      <c r="AK64" s="7" t="s">
        <v>61</v>
      </c>
      <c r="AL64" s="7" t="s">
        <v>61</v>
      </c>
      <c r="AM64" s="7" t="s">
        <v>0</v>
      </c>
      <c r="AN64" s="7" t="s">
        <v>0</v>
      </c>
      <c r="AO64" s="7" t="s">
        <v>0</v>
      </c>
      <c r="AP64" s="7" t="s">
        <v>0</v>
      </c>
      <c r="AQ64" s="7" t="s">
        <v>61</v>
      </c>
      <c r="AR64" s="7" t="s">
        <v>0</v>
      </c>
      <c r="AS64" s="10" t="str">
        <f>HYPERLINK("https://tessa.gazprom-neft.local/edo/card/11b07bed-8ae1-4993-b806-8fdc35148f98", "https://tessa.gazprom-neft.local/edo/card/11b07bed-8ae1-4993-b806-8fdc35148f98")</f>
        <v>https://tessa.gazprom-neft.local/edo/card/11b07bed-8ae1-4993-b806-8fdc35148f98</v>
      </c>
    </row>
    <row r="65" spans="1:45" x14ac:dyDescent="0.25">
      <c r="A65" s="6" t="s">
        <v>44</v>
      </c>
      <c r="B65" s="7" t="s">
        <v>0</v>
      </c>
      <c r="C65" s="7" t="s">
        <v>492</v>
      </c>
      <c r="D65" s="8" t="s">
        <v>0</v>
      </c>
      <c r="E65" s="8" t="s">
        <v>0</v>
      </c>
      <c r="F65" s="16" t="s">
        <v>6600</v>
      </c>
      <c r="G65" s="7" t="s">
        <v>0</v>
      </c>
      <c r="H65" s="7" t="s">
        <v>0</v>
      </c>
      <c r="I65" s="7" t="s">
        <v>0</v>
      </c>
      <c r="J65" s="7" t="s">
        <v>0</v>
      </c>
      <c r="K65" s="7" t="s">
        <v>47</v>
      </c>
      <c r="L65" s="7" t="s">
        <v>48</v>
      </c>
      <c r="M65" s="7" t="s">
        <v>0</v>
      </c>
      <c r="N65" s="7" t="s">
        <v>6628</v>
      </c>
      <c r="O65" s="7" t="s">
        <v>0</v>
      </c>
      <c r="P65" s="7" t="s">
        <v>6629</v>
      </c>
      <c r="Q65" s="7" t="s">
        <v>6630</v>
      </c>
      <c r="R65" s="7" t="s">
        <v>751</v>
      </c>
      <c r="S65" s="7" t="s">
        <v>751</v>
      </c>
      <c r="T65" s="7" t="s">
        <v>54</v>
      </c>
      <c r="U65" s="7" t="s">
        <v>125</v>
      </c>
      <c r="V65" s="7" t="s">
        <v>126</v>
      </c>
      <c r="W65" s="7" t="s">
        <v>57</v>
      </c>
      <c r="X65" s="7" t="s">
        <v>223</v>
      </c>
      <c r="Y65" s="8">
        <v>45566</v>
      </c>
      <c r="Z65" s="8" t="s">
        <v>0</v>
      </c>
      <c r="AA65" s="7" t="s">
        <v>200</v>
      </c>
      <c r="AB65" s="7" t="s">
        <v>64</v>
      </c>
      <c r="AC65" s="7" t="s">
        <v>65</v>
      </c>
      <c r="AD65" s="7" t="s">
        <v>0</v>
      </c>
      <c r="AE65" s="7" t="s">
        <v>0</v>
      </c>
      <c r="AF65" s="7" t="s">
        <v>0</v>
      </c>
      <c r="AG65" s="7" t="s">
        <v>0</v>
      </c>
      <c r="AH65" s="9" t="s">
        <v>0</v>
      </c>
      <c r="AI65" s="9" t="s">
        <v>0</v>
      </c>
      <c r="AJ65" s="9" t="s">
        <v>0</v>
      </c>
      <c r="AK65" s="7" t="s">
        <v>61</v>
      </c>
      <c r="AL65" s="7" t="s">
        <v>61</v>
      </c>
      <c r="AM65" s="7" t="s">
        <v>0</v>
      </c>
      <c r="AN65" s="7" t="s">
        <v>0</v>
      </c>
      <c r="AO65" s="7" t="s">
        <v>0</v>
      </c>
      <c r="AP65" s="7" t="s">
        <v>0</v>
      </c>
      <c r="AQ65" s="7" t="s">
        <v>61</v>
      </c>
      <c r="AR65" s="7" t="s">
        <v>0</v>
      </c>
      <c r="AS65" s="10" t="str">
        <f>HYPERLINK("https://tessa.gazprom-neft.local/edo/card/f63c1ac2-b4ac-485a-a693-074b36a4bce8", "https://tessa.gazprom-neft.local/edo/card/f63c1ac2-b4ac-485a-a693-074b36a4bce8")</f>
        <v>https://tessa.gazprom-neft.local/edo/card/f63c1ac2-b4ac-485a-a693-074b36a4bce8</v>
      </c>
    </row>
    <row r="66" spans="1:45" hidden="1" x14ac:dyDescent="0.25">
      <c r="A66" s="6" t="s">
        <v>44</v>
      </c>
      <c r="B66" s="7" t="s">
        <v>0</v>
      </c>
      <c r="C66" s="7" t="s">
        <v>492</v>
      </c>
      <c r="D66" s="8" t="s">
        <v>0</v>
      </c>
      <c r="E66" s="8" t="s">
        <v>0</v>
      </c>
      <c r="F66" s="16" t="s">
        <v>6600</v>
      </c>
      <c r="G66" s="7" t="s">
        <v>0</v>
      </c>
      <c r="H66" s="7" t="s">
        <v>0</v>
      </c>
      <c r="I66" s="7" t="s">
        <v>0</v>
      </c>
      <c r="J66" s="7" t="s">
        <v>0</v>
      </c>
      <c r="K66" s="7" t="s">
        <v>47</v>
      </c>
      <c r="L66" s="7" t="s">
        <v>96</v>
      </c>
      <c r="M66" s="7" t="s">
        <v>0</v>
      </c>
      <c r="N66" s="7" t="s">
        <v>6636</v>
      </c>
      <c r="O66" s="7" t="s">
        <v>0</v>
      </c>
      <c r="P66" s="7" t="s">
        <v>6637</v>
      </c>
      <c r="Q66" s="7" t="s">
        <v>6638</v>
      </c>
      <c r="R66" s="7" t="s">
        <v>751</v>
      </c>
      <c r="S66" s="7" t="s">
        <v>751</v>
      </c>
      <c r="T66" s="7" t="s">
        <v>54</v>
      </c>
      <c r="U66" s="7" t="s">
        <v>125</v>
      </c>
      <c r="V66" s="7" t="s">
        <v>126</v>
      </c>
      <c r="W66" s="7" t="s">
        <v>57</v>
      </c>
      <c r="X66" s="7" t="s">
        <v>103</v>
      </c>
      <c r="Y66" s="8">
        <v>45566</v>
      </c>
      <c r="Z66" s="8">
        <v>49309</v>
      </c>
      <c r="AA66" s="7" t="s">
        <v>200</v>
      </c>
      <c r="AB66" s="7" t="s">
        <v>64</v>
      </c>
      <c r="AC66" s="7" t="s">
        <v>65</v>
      </c>
      <c r="AD66" s="7" t="s">
        <v>0</v>
      </c>
      <c r="AE66" s="7" t="s">
        <v>0</v>
      </c>
      <c r="AF66" s="7" t="s">
        <v>0</v>
      </c>
      <c r="AG66" s="7" t="s">
        <v>0</v>
      </c>
      <c r="AH66" s="9" t="s">
        <v>0</v>
      </c>
      <c r="AI66" s="9" t="s">
        <v>0</v>
      </c>
      <c r="AJ66" s="9" t="s">
        <v>0</v>
      </c>
      <c r="AK66" s="7" t="s">
        <v>61</v>
      </c>
      <c r="AL66" s="7" t="s">
        <v>61</v>
      </c>
      <c r="AM66" s="7" t="s">
        <v>0</v>
      </c>
      <c r="AN66" s="7" t="s">
        <v>0</v>
      </c>
      <c r="AO66" s="7" t="s">
        <v>0</v>
      </c>
      <c r="AP66" s="7" t="s">
        <v>0</v>
      </c>
      <c r="AQ66" s="7" t="s">
        <v>61</v>
      </c>
      <c r="AR66" s="7" t="s">
        <v>0</v>
      </c>
      <c r="AS66" s="10" t="str">
        <f>HYPERLINK("https://tessa.gazprom-neft.local/edo/card/c57fa648-87c7-4b53-9288-90c55a3fd0d5", "https://tessa.gazprom-neft.local/edo/card/c57fa648-87c7-4b53-9288-90c55a3fd0d5")</f>
        <v>https://tessa.gazprom-neft.local/edo/card/c57fa648-87c7-4b53-9288-90c55a3fd0d5</v>
      </c>
    </row>
    <row r="67" spans="1:45" x14ac:dyDescent="0.25">
      <c r="A67" s="6" t="s">
        <v>44</v>
      </c>
      <c r="B67" s="7" t="s">
        <v>0</v>
      </c>
      <c r="C67" s="7" t="s">
        <v>492</v>
      </c>
      <c r="D67" s="8" t="s">
        <v>0</v>
      </c>
      <c r="E67" s="8" t="s">
        <v>0</v>
      </c>
      <c r="F67" s="16" t="s">
        <v>6600</v>
      </c>
      <c r="G67" s="7" t="s">
        <v>0</v>
      </c>
      <c r="H67" s="7" t="s">
        <v>0</v>
      </c>
      <c r="I67" s="7" t="s">
        <v>0</v>
      </c>
      <c r="J67" s="7" t="s">
        <v>0</v>
      </c>
      <c r="K67" s="7" t="s">
        <v>47</v>
      </c>
      <c r="L67" s="7" t="s">
        <v>48</v>
      </c>
      <c r="M67" s="7" t="s">
        <v>0</v>
      </c>
      <c r="N67" s="7" t="s">
        <v>6646</v>
      </c>
      <c r="O67" s="7" t="s">
        <v>0</v>
      </c>
      <c r="P67" s="7" t="s">
        <v>6647</v>
      </c>
      <c r="Q67" s="7" t="s">
        <v>6647</v>
      </c>
      <c r="R67" s="7" t="s">
        <v>751</v>
      </c>
      <c r="S67" s="7" t="s">
        <v>751</v>
      </c>
      <c r="T67" s="7" t="s">
        <v>54</v>
      </c>
      <c r="U67" s="7" t="s">
        <v>125</v>
      </c>
      <c r="V67" s="7" t="s">
        <v>126</v>
      </c>
      <c r="W67" s="7" t="s">
        <v>57</v>
      </c>
      <c r="X67" s="7" t="s">
        <v>223</v>
      </c>
      <c r="Y67" s="8">
        <v>45566</v>
      </c>
      <c r="Z67" s="8" t="s">
        <v>0</v>
      </c>
      <c r="AA67" s="7" t="s">
        <v>200</v>
      </c>
      <c r="AB67" s="7" t="s">
        <v>64</v>
      </c>
      <c r="AC67" s="7" t="s">
        <v>65</v>
      </c>
      <c r="AD67" s="7" t="s">
        <v>0</v>
      </c>
      <c r="AE67" s="7" t="s">
        <v>0</v>
      </c>
      <c r="AF67" s="7" t="s">
        <v>0</v>
      </c>
      <c r="AG67" s="7" t="s">
        <v>0</v>
      </c>
      <c r="AH67" s="9" t="s">
        <v>0</v>
      </c>
      <c r="AI67" s="9" t="s">
        <v>0</v>
      </c>
      <c r="AJ67" s="9" t="s">
        <v>0</v>
      </c>
      <c r="AK67" s="7" t="s">
        <v>61</v>
      </c>
      <c r="AL67" s="7" t="s">
        <v>61</v>
      </c>
      <c r="AM67" s="7" t="s">
        <v>0</v>
      </c>
      <c r="AN67" s="7" t="s">
        <v>0</v>
      </c>
      <c r="AO67" s="7" t="s">
        <v>0</v>
      </c>
      <c r="AP67" s="7" t="s">
        <v>0</v>
      </c>
      <c r="AQ67" s="7" t="s">
        <v>61</v>
      </c>
      <c r="AR67" s="7" t="s">
        <v>0</v>
      </c>
      <c r="AS67" s="10" t="str">
        <f>HYPERLINK("https://tessa.gazprom-neft.local/edo/card/c159dc0c-d9d4-44a6-87cb-f4ec289e1e3b", "https://tessa.gazprom-neft.local/edo/card/c159dc0c-d9d4-44a6-87cb-f4ec289e1e3b")</f>
        <v>https://tessa.gazprom-neft.local/edo/card/c159dc0c-d9d4-44a6-87cb-f4ec289e1e3b</v>
      </c>
    </row>
    <row r="68" spans="1:45" hidden="1" x14ac:dyDescent="0.25">
      <c r="A68" s="6" t="s">
        <v>44</v>
      </c>
      <c r="B68" s="7" t="s">
        <v>0</v>
      </c>
      <c r="C68" s="7" t="s">
        <v>492</v>
      </c>
      <c r="D68" s="8" t="s">
        <v>0</v>
      </c>
      <c r="E68" s="8" t="s">
        <v>0</v>
      </c>
      <c r="F68" s="16" t="s">
        <v>6600</v>
      </c>
      <c r="G68" s="7" t="s">
        <v>0</v>
      </c>
      <c r="H68" s="7" t="s">
        <v>0</v>
      </c>
      <c r="I68" s="7" t="s">
        <v>0</v>
      </c>
      <c r="J68" s="7" t="s">
        <v>0</v>
      </c>
      <c r="K68" s="7" t="s">
        <v>47</v>
      </c>
      <c r="L68" s="7" t="s">
        <v>96</v>
      </c>
      <c r="M68" s="7" t="s">
        <v>0</v>
      </c>
      <c r="N68" s="7" t="s">
        <v>6659</v>
      </c>
      <c r="O68" s="7" t="s">
        <v>0</v>
      </c>
      <c r="P68" s="7" t="s">
        <v>6660</v>
      </c>
      <c r="Q68" s="7" t="s">
        <v>6661</v>
      </c>
      <c r="R68" s="7" t="s">
        <v>751</v>
      </c>
      <c r="S68" s="7" t="s">
        <v>751</v>
      </c>
      <c r="T68" s="7" t="s">
        <v>54</v>
      </c>
      <c r="U68" s="7" t="s">
        <v>125</v>
      </c>
      <c r="V68" s="7" t="s">
        <v>126</v>
      </c>
      <c r="W68" s="7" t="s">
        <v>57</v>
      </c>
      <c r="X68" s="7" t="s">
        <v>103</v>
      </c>
      <c r="Y68" s="8">
        <v>45566</v>
      </c>
      <c r="Z68" s="8">
        <v>49309</v>
      </c>
      <c r="AA68" s="7" t="s">
        <v>200</v>
      </c>
      <c r="AB68" s="7" t="s">
        <v>64</v>
      </c>
      <c r="AC68" s="7" t="s">
        <v>65</v>
      </c>
      <c r="AD68" s="7" t="s">
        <v>0</v>
      </c>
      <c r="AE68" s="7" t="s">
        <v>0</v>
      </c>
      <c r="AF68" s="7" t="s">
        <v>0</v>
      </c>
      <c r="AG68" s="7" t="s">
        <v>0</v>
      </c>
      <c r="AH68" s="9" t="s">
        <v>0</v>
      </c>
      <c r="AI68" s="9" t="s">
        <v>0</v>
      </c>
      <c r="AJ68" s="9" t="s">
        <v>0</v>
      </c>
      <c r="AK68" s="7" t="s">
        <v>61</v>
      </c>
      <c r="AL68" s="7" t="s">
        <v>61</v>
      </c>
      <c r="AM68" s="7" t="s">
        <v>0</v>
      </c>
      <c r="AN68" s="7" t="s">
        <v>0</v>
      </c>
      <c r="AO68" s="7" t="s">
        <v>0</v>
      </c>
      <c r="AP68" s="7" t="s">
        <v>0</v>
      </c>
      <c r="AQ68" s="7" t="s">
        <v>61</v>
      </c>
      <c r="AR68" s="7" t="s">
        <v>0</v>
      </c>
      <c r="AS68" s="10" t="str">
        <f>HYPERLINK("https://tessa.gazprom-neft.local/edo/card/0e9db292-8822-46ab-a46f-5aa08b732068", "https://tessa.gazprom-neft.local/edo/card/0e9db292-8822-46ab-a46f-5aa08b732068")</f>
        <v>https://tessa.gazprom-neft.local/edo/card/0e9db292-8822-46ab-a46f-5aa08b732068</v>
      </c>
    </row>
    <row r="69" spans="1:45" x14ac:dyDescent="0.25">
      <c r="A69" s="6" t="s">
        <v>44</v>
      </c>
      <c r="B69" s="7" t="s">
        <v>0</v>
      </c>
      <c r="C69" s="7" t="s">
        <v>492</v>
      </c>
      <c r="D69" s="8" t="s">
        <v>0</v>
      </c>
      <c r="E69" s="8" t="s">
        <v>0</v>
      </c>
      <c r="F69" s="16" t="s">
        <v>6600</v>
      </c>
      <c r="G69" s="7" t="s">
        <v>0</v>
      </c>
      <c r="H69" s="7" t="s">
        <v>0</v>
      </c>
      <c r="I69" s="7" t="s">
        <v>0</v>
      </c>
      <c r="J69" s="7" t="s">
        <v>0</v>
      </c>
      <c r="K69" s="7" t="s">
        <v>47</v>
      </c>
      <c r="L69" s="7" t="s">
        <v>48</v>
      </c>
      <c r="M69" s="7" t="s">
        <v>0</v>
      </c>
      <c r="N69" s="7" t="s">
        <v>6675</v>
      </c>
      <c r="O69" s="7" t="s">
        <v>0</v>
      </c>
      <c r="P69" s="7" t="s">
        <v>6676</v>
      </c>
      <c r="Q69" s="7" t="s">
        <v>6676</v>
      </c>
      <c r="R69" s="7" t="s">
        <v>751</v>
      </c>
      <c r="S69" s="7" t="s">
        <v>0</v>
      </c>
      <c r="T69" s="7" t="s">
        <v>54</v>
      </c>
      <c r="U69" s="7" t="s">
        <v>125</v>
      </c>
      <c r="V69" s="7" t="s">
        <v>126</v>
      </c>
      <c r="W69" s="7" t="s">
        <v>57</v>
      </c>
      <c r="X69" s="7" t="s">
        <v>223</v>
      </c>
      <c r="Y69" s="8">
        <v>45566</v>
      </c>
      <c r="Z69" s="8" t="s">
        <v>0</v>
      </c>
      <c r="AA69" s="7" t="s">
        <v>200</v>
      </c>
      <c r="AB69" s="7" t="s">
        <v>64</v>
      </c>
      <c r="AC69" s="7" t="s">
        <v>65</v>
      </c>
      <c r="AD69" s="7" t="s">
        <v>0</v>
      </c>
      <c r="AE69" s="7" t="s">
        <v>0</v>
      </c>
      <c r="AF69" s="7" t="s">
        <v>0</v>
      </c>
      <c r="AG69" s="7" t="s">
        <v>0</v>
      </c>
      <c r="AH69" s="9" t="s">
        <v>0</v>
      </c>
      <c r="AI69" s="9" t="s">
        <v>0</v>
      </c>
      <c r="AJ69" s="9" t="s">
        <v>0</v>
      </c>
      <c r="AK69" s="7" t="s">
        <v>61</v>
      </c>
      <c r="AL69" s="7" t="s">
        <v>61</v>
      </c>
      <c r="AM69" s="7" t="s">
        <v>0</v>
      </c>
      <c r="AN69" s="7" t="s">
        <v>0</v>
      </c>
      <c r="AO69" s="7" t="s">
        <v>0</v>
      </c>
      <c r="AP69" s="7" t="s">
        <v>0</v>
      </c>
      <c r="AQ69" s="7" t="s">
        <v>61</v>
      </c>
      <c r="AR69" s="7" t="s">
        <v>0</v>
      </c>
      <c r="AS69" s="10" t="str">
        <f>HYPERLINK("https://tessa.gazprom-neft.local/edo/card/7a3192e9-7f47-4d78-8345-e8d27391f942", "https://tessa.gazprom-neft.local/edo/card/7a3192e9-7f47-4d78-8345-e8d27391f942")</f>
        <v>https://tessa.gazprom-neft.local/edo/card/7a3192e9-7f47-4d78-8345-e8d27391f942</v>
      </c>
    </row>
    <row r="70" spans="1:45" hidden="1" x14ac:dyDescent="0.25">
      <c r="A70" s="6" t="s">
        <v>44</v>
      </c>
      <c r="B70" s="7" t="s">
        <v>0</v>
      </c>
      <c r="C70" s="7" t="s">
        <v>492</v>
      </c>
      <c r="D70" s="8" t="s">
        <v>0</v>
      </c>
      <c r="E70" s="8" t="s">
        <v>0</v>
      </c>
      <c r="F70" s="16" t="s">
        <v>6600</v>
      </c>
      <c r="G70" s="7" t="s">
        <v>0</v>
      </c>
      <c r="H70" s="7" t="s">
        <v>0</v>
      </c>
      <c r="I70" s="7" t="s">
        <v>0</v>
      </c>
      <c r="J70" s="7" t="s">
        <v>0</v>
      </c>
      <c r="K70" s="7" t="s">
        <v>47</v>
      </c>
      <c r="L70" s="7" t="s">
        <v>96</v>
      </c>
      <c r="M70" s="7" t="s">
        <v>0</v>
      </c>
      <c r="N70" s="7" t="s">
        <v>6686</v>
      </c>
      <c r="O70" s="7" t="s">
        <v>0</v>
      </c>
      <c r="P70" s="7" t="s">
        <v>6687</v>
      </c>
      <c r="Q70" s="7" t="s">
        <v>6688</v>
      </c>
      <c r="R70" s="7" t="s">
        <v>751</v>
      </c>
      <c r="S70" s="7" t="s">
        <v>751</v>
      </c>
      <c r="T70" s="7" t="s">
        <v>54</v>
      </c>
      <c r="U70" s="7" t="s">
        <v>125</v>
      </c>
      <c r="V70" s="7" t="s">
        <v>126</v>
      </c>
      <c r="W70" s="7" t="s">
        <v>57</v>
      </c>
      <c r="X70" s="7" t="s">
        <v>103</v>
      </c>
      <c r="Y70" s="8">
        <v>45566</v>
      </c>
      <c r="Z70" s="8">
        <v>49309</v>
      </c>
      <c r="AA70" s="7" t="s">
        <v>200</v>
      </c>
      <c r="AB70" s="7" t="s">
        <v>64</v>
      </c>
      <c r="AC70" s="7" t="s">
        <v>65</v>
      </c>
      <c r="AD70" s="7" t="s">
        <v>0</v>
      </c>
      <c r="AE70" s="7" t="s">
        <v>0</v>
      </c>
      <c r="AF70" s="7" t="s">
        <v>0</v>
      </c>
      <c r="AG70" s="7" t="s">
        <v>0</v>
      </c>
      <c r="AH70" s="9" t="s">
        <v>0</v>
      </c>
      <c r="AI70" s="9" t="s">
        <v>0</v>
      </c>
      <c r="AJ70" s="9" t="s">
        <v>0</v>
      </c>
      <c r="AK70" s="7" t="s">
        <v>61</v>
      </c>
      <c r="AL70" s="7" t="s">
        <v>61</v>
      </c>
      <c r="AM70" s="7" t="s">
        <v>0</v>
      </c>
      <c r="AN70" s="7" t="s">
        <v>0</v>
      </c>
      <c r="AO70" s="7" t="s">
        <v>0</v>
      </c>
      <c r="AP70" s="7" t="s">
        <v>0</v>
      </c>
      <c r="AQ70" s="7" t="s">
        <v>61</v>
      </c>
      <c r="AR70" s="7" t="s">
        <v>0</v>
      </c>
      <c r="AS70" s="10" t="str">
        <f>HYPERLINK("https://tessa.gazprom-neft.local/edo/card/9a671291-2d47-423a-ace3-6d379c872591", "https://tessa.gazprom-neft.local/edo/card/9a671291-2d47-423a-ace3-6d379c872591")</f>
        <v>https://tessa.gazprom-neft.local/edo/card/9a671291-2d47-423a-ace3-6d379c872591</v>
      </c>
    </row>
    <row r="71" spans="1:45" x14ac:dyDescent="0.25">
      <c r="A71" s="6" t="s">
        <v>44</v>
      </c>
      <c r="B71" s="7" t="s">
        <v>0</v>
      </c>
      <c r="C71" s="7" t="s">
        <v>4861</v>
      </c>
      <c r="D71" s="8" t="s">
        <v>0</v>
      </c>
      <c r="E71" s="8" t="s">
        <v>0</v>
      </c>
      <c r="F71" s="16" t="s">
        <v>6600</v>
      </c>
      <c r="G71" s="7" t="s">
        <v>0</v>
      </c>
      <c r="H71" s="7" t="s">
        <v>0</v>
      </c>
      <c r="I71" s="7" t="s">
        <v>0</v>
      </c>
      <c r="J71" s="7" t="s">
        <v>0</v>
      </c>
      <c r="K71" s="7" t="s">
        <v>47</v>
      </c>
      <c r="L71" s="7" t="s">
        <v>48</v>
      </c>
      <c r="M71" s="7" t="s">
        <v>0</v>
      </c>
      <c r="N71" s="7" t="s">
        <v>6695</v>
      </c>
      <c r="O71" s="7" t="s">
        <v>0</v>
      </c>
      <c r="P71" s="7" t="s">
        <v>6696</v>
      </c>
      <c r="Q71" s="7" t="s">
        <v>6696</v>
      </c>
      <c r="R71" s="7" t="s">
        <v>751</v>
      </c>
      <c r="S71" s="7" t="s">
        <v>751</v>
      </c>
      <c r="T71" s="7" t="s">
        <v>54</v>
      </c>
      <c r="U71" s="7" t="s">
        <v>125</v>
      </c>
      <c r="V71" s="7" t="s">
        <v>126</v>
      </c>
      <c r="W71" s="7" t="s">
        <v>57</v>
      </c>
      <c r="X71" s="7" t="s">
        <v>223</v>
      </c>
      <c r="Y71" s="8">
        <v>45566</v>
      </c>
      <c r="Z71" s="8" t="s">
        <v>0</v>
      </c>
      <c r="AA71" s="7" t="s">
        <v>200</v>
      </c>
      <c r="AB71" s="7" t="s">
        <v>64</v>
      </c>
      <c r="AC71" s="7" t="s">
        <v>65</v>
      </c>
      <c r="AD71" s="7" t="s">
        <v>0</v>
      </c>
      <c r="AE71" s="7" t="s">
        <v>0</v>
      </c>
      <c r="AF71" s="7" t="s">
        <v>0</v>
      </c>
      <c r="AG71" s="7" t="s">
        <v>0</v>
      </c>
      <c r="AH71" s="9" t="s">
        <v>0</v>
      </c>
      <c r="AI71" s="9" t="s">
        <v>0</v>
      </c>
      <c r="AJ71" s="9" t="s">
        <v>0</v>
      </c>
      <c r="AK71" s="7" t="s">
        <v>61</v>
      </c>
      <c r="AL71" s="7" t="s">
        <v>61</v>
      </c>
      <c r="AM71" s="7" t="s">
        <v>0</v>
      </c>
      <c r="AN71" s="7" t="s">
        <v>0</v>
      </c>
      <c r="AO71" s="7" t="s">
        <v>0</v>
      </c>
      <c r="AP71" s="7" t="s">
        <v>0</v>
      </c>
      <c r="AQ71" s="7" t="s">
        <v>61</v>
      </c>
      <c r="AR71" s="7" t="s">
        <v>0</v>
      </c>
      <c r="AS71" s="10" t="str">
        <f>HYPERLINK("https://tessa.gazprom-neft.local/edo/card/de616329-36c6-48a1-9c5a-974bb27db270", "https://tessa.gazprom-neft.local/edo/card/de616329-36c6-48a1-9c5a-974bb27db270")</f>
        <v>https://tessa.gazprom-neft.local/edo/card/de616329-36c6-48a1-9c5a-974bb27db270</v>
      </c>
    </row>
    <row r="72" spans="1:45" hidden="1" x14ac:dyDescent="0.25">
      <c r="A72" s="6" t="s">
        <v>44</v>
      </c>
      <c r="B72" s="7" t="s">
        <v>0</v>
      </c>
      <c r="C72" s="7" t="s">
        <v>492</v>
      </c>
      <c r="D72" s="8" t="s">
        <v>0</v>
      </c>
      <c r="E72" s="8" t="s">
        <v>0</v>
      </c>
      <c r="F72" s="16" t="s">
        <v>6706</v>
      </c>
      <c r="G72" s="7" t="s">
        <v>0</v>
      </c>
      <c r="H72" s="7" t="s">
        <v>0</v>
      </c>
      <c r="I72" s="7" t="s">
        <v>0</v>
      </c>
      <c r="J72" s="7" t="s">
        <v>0</v>
      </c>
      <c r="K72" s="7" t="s">
        <v>47</v>
      </c>
      <c r="L72" s="7" t="s">
        <v>96</v>
      </c>
      <c r="M72" s="7" t="s">
        <v>0</v>
      </c>
      <c r="N72" s="7" t="s">
        <v>6703</v>
      </c>
      <c r="O72" s="7" t="s">
        <v>0</v>
      </c>
      <c r="P72" s="7" t="s">
        <v>6704</v>
      </c>
      <c r="Q72" s="7" t="s">
        <v>6705</v>
      </c>
      <c r="R72" s="7" t="s">
        <v>751</v>
      </c>
      <c r="S72" s="7" t="s">
        <v>751</v>
      </c>
      <c r="T72" s="7" t="s">
        <v>54</v>
      </c>
      <c r="U72" s="7" t="s">
        <v>125</v>
      </c>
      <c r="V72" s="7" t="s">
        <v>126</v>
      </c>
      <c r="W72" s="7" t="s">
        <v>57</v>
      </c>
      <c r="X72" s="7" t="s">
        <v>103</v>
      </c>
      <c r="Y72" s="8">
        <v>45566</v>
      </c>
      <c r="Z72" s="8">
        <v>49309</v>
      </c>
      <c r="AA72" s="7" t="s">
        <v>200</v>
      </c>
      <c r="AB72" s="7" t="s">
        <v>64</v>
      </c>
      <c r="AC72" s="7" t="s">
        <v>65</v>
      </c>
      <c r="AD72" s="7" t="s">
        <v>0</v>
      </c>
      <c r="AE72" s="7" t="s">
        <v>0</v>
      </c>
      <c r="AF72" s="7" t="s">
        <v>0</v>
      </c>
      <c r="AG72" s="7" t="s">
        <v>0</v>
      </c>
      <c r="AH72" s="9" t="s">
        <v>0</v>
      </c>
      <c r="AI72" s="9" t="s">
        <v>0</v>
      </c>
      <c r="AJ72" s="9" t="s">
        <v>0</v>
      </c>
      <c r="AK72" s="7" t="s">
        <v>61</v>
      </c>
      <c r="AL72" s="7" t="s">
        <v>61</v>
      </c>
      <c r="AM72" s="7" t="s">
        <v>0</v>
      </c>
      <c r="AN72" s="7" t="s">
        <v>0</v>
      </c>
      <c r="AO72" s="7" t="s">
        <v>0</v>
      </c>
      <c r="AP72" s="7" t="s">
        <v>0</v>
      </c>
      <c r="AQ72" s="7" t="s">
        <v>61</v>
      </c>
      <c r="AR72" s="7" t="s">
        <v>0</v>
      </c>
      <c r="AS72" s="10" t="str">
        <f>HYPERLINK("https://tessa.gazprom-neft.local/edo/card/321f8b72-9cd2-4a37-8067-3dadff965f4c", "https://tessa.gazprom-neft.local/edo/card/321f8b72-9cd2-4a37-8067-3dadff965f4c")</f>
        <v>https://tessa.gazprom-neft.local/edo/card/321f8b72-9cd2-4a37-8067-3dadff965f4c</v>
      </c>
    </row>
    <row r="73" spans="1:45" hidden="1" x14ac:dyDescent="0.25">
      <c r="A73" s="6" t="s">
        <v>44</v>
      </c>
      <c r="B73" s="7" t="s">
        <v>0</v>
      </c>
      <c r="C73" s="7" t="s">
        <v>218</v>
      </c>
      <c r="D73" s="8" t="s">
        <v>0</v>
      </c>
      <c r="E73" s="8" t="s">
        <v>0</v>
      </c>
      <c r="F73" s="16" t="s">
        <v>0</v>
      </c>
      <c r="G73" s="7" t="s">
        <v>0</v>
      </c>
      <c r="H73" s="7" t="s">
        <v>0</v>
      </c>
      <c r="I73" s="7" t="s">
        <v>0</v>
      </c>
      <c r="J73" s="7" t="s">
        <v>0</v>
      </c>
      <c r="K73" s="7" t="s">
        <v>0</v>
      </c>
      <c r="L73" s="7" t="s">
        <v>0</v>
      </c>
      <c r="M73" s="7" t="s">
        <v>0</v>
      </c>
      <c r="N73" s="7" t="s">
        <v>6707</v>
      </c>
      <c r="O73" s="7" t="s">
        <v>0</v>
      </c>
      <c r="P73" s="7" t="s">
        <v>0</v>
      </c>
      <c r="Q73" s="7" t="s">
        <v>0</v>
      </c>
      <c r="R73" s="7" t="s">
        <v>324</v>
      </c>
      <c r="S73" s="7" t="s">
        <v>0</v>
      </c>
      <c r="T73" s="7" t="s">
        <v>54</v>
      </c>
      <c r="U73" s="7" t="s">
        <v>188</v>
      </c>
      <c r="V73" s="7" t="s">
        <v>0</v>
      </c>
      <c r="W73" s="7" t="s">
        <v>0</v>
      </c>
      <c r="X73" s="7" t="s">
        <v>0</v>
      </c>
      <c r="Y73" s="8" t="s">
        <v>0</v>
      </c>
      <c r="Z73" s="8" t="s">
        <v>0</v>
      </c>
      <c r="AA73" s="7" t="s">
        <v>0</v>
      </c>
      <c r="AB73" s="7" t="s">
        <v>0</v>
      </c>
      <c r="AC73" s="7" t="s">
        <v>0</v>
      </c>
      <c r="AD73" s="7" t="s">
        <v>0</v>
      </c>
      <c r="AE73" s="7" t="s">
        <v>0</v>
      </c>
      <c r="AF73" s="7" t="s">
        <v>0</v>
      </c>
      <c r="AG73" s="7" t="s">
        <v>0</v>
      </c>
      <c r="AH73" s="9" t="s">
        <v>0</v>
      </c>
      <c r="AI73" s="9" t="s">
        <v>0</v>
      </c>
      <c r="AJ73" s="9" t="s">
        <v>0</v>
      </c>
      <c r="AK73" s="7" t="s">
        <v>61</v>
      </c>
      <c r="AL73" s="7" t="s">
        <v>61</v>
      </c>
      <c r="AM73" s="7" t="s">
        <v>0</v>
      </c>
      <c r="AN73" s="7" t="s">
        <v>0</v>
      </c>
      <c r="AO73" s="7" t="s">
        <v>0</v>
      </c>
      <c r="AP73" s="7" t="s">
        <v>0</v>
      </c>
      <c r="AQ73" s="7" t="s">
        <v>61</v>
      </c>
      <c r="AR73" s="7" t="s">
        <v>0</v>
      </c>
      <c r="AS73" s="10" t="str">
        <f>HYPERLINK("https://tessa.gazprom-neft.local/edo/card/077755bb-c94c-4b46-ad60-21b6cf39f806", "https://tessa.gazprom-neft.local/edo/card/077755bb-c94c-4b46-ad60-21b6cf39f806")</f>
        <v>https://tessa.gazprom-neft.local/edo/card/077755bb-c94c-4b46-ad60-21b6cf39f806</v>
      </c>
    </row>
    <row r="74" spans="1:45" x14ac:dyDescent="0.25">
      <c r="A74" s="6" t="s">
        <v>44</v>
      </c>
      <c r="B74" s="7" t="s">
        <v>0</v>
      </c>
      <c r="C74" s="7" t="s">
        <v>492</v>
      </c>
      <c r="D74" s="8" t="s">
        <v>0</v>
      </c>
      <c r="E74" s="8" t="s">
        <v>0</v>
      </c>
      <c r="F74" s="16" t="s">
        <v>6757</v>
      </c>
      <c r="G74" s="7" t="s">
        <v>0</v>
      </c>
      <c r="H74" s="7" t="s">
        <v>0</v>
      </c>
      <c r="I74" s="7" t="s">
        <v>0</v>
      </c>
      <c r="J74" s="7" t="s">
        <v>0</v>
      </c>
      <c r="K74" s="7" t="s">
        <v>47</v>
      </c>
      <c r="L74" s="7" t="s">
        <v>48</v>
      </c>
      <c r="M74" s="7" t="s">
        <v>0</v>
      </c>
      <c r="N74" s="7" t="s">
        <v>6755</v>
      </c>
      <c r="O74" s="7" t="s">
        <v>0</v>
      </c>
      <c r="P74" s="7" t="s">
        <v>6756</v>
      </c>
      <c r="Q74" s="7" t="s">
        <v>6756</v>
      </c>
      <c r="R74" s="7" t="s">
        <v>751</v>
      </c>
      <c r="S74" s="7" t="s">
        <v>751</v>
      </c>
      <c r="T74" s="7" t="s">
        <v>54</v>
      </c>
      <c r="U74" s="7" t="s">
        <v>125</v>
      </c>
      <c r="V74" s="7" t="s">
        <v>126</v>
      </c>
      <c r="W74" s="7" t="s">
        <v>57</v>
      </c>
      <c r="X74" s="7" t="s">
        <v>223</v>
      </c>
      <c r="Y74" s="8">
        <v>45566</v>
      </c>
      <c r="Z74" s="8" t="s">
        <v>0</v>
      </c>
      <c r="AA74" s="7" t="s">
        <v>200</v>
      </c>
      <c r="AB74" s="7" t="s">
        <v>64</v>
      </c>
      <c r="AC74" s="7" t="s">
        <v>65</v>
      </c>
      <c r="AD74" s="7" t="s">
        <v>0</v>
      </c>
      <c r="AE74" s="7" t="s">
        <v>0</v>
      </c>
      <c r="AF74" s="7" t="s">
        <v>0</v>
      </c>
      <c r="AG74" s="7" t="s">
        <v>0</v>
      </c>
      <c r="AH74" s="9" t="s">
        <v>0</v>
      </c>
      <c r="AI74" s="9" t="s">
        <v>0</v>
      </c>
      <c r="AJ74" s="9" t="s">
        <v>0</v>
      </c>
      <c r="AK74" s="7" t="s">
        <v>61</v>
      </c>
      <c r="AL74" s="7" t="s">
        <v>61</v>
      </c>
      <c r="AM74" s="7" t="s">
        <v>0</v>
      </c>
      <c r="AN74" s="7" t="s">
        <v>0</v>
      </c>
      <c r="AO74" s="7" t="s">
        <v>0</v>
      </c>
      <c r="AP74" s="7" t="s">
        <v>0</v>
      </c>
      <c r="AQ74" s="7" t="s">
        <v>61</v>
      </c>
      <c r="AR74" s="7" t="s">
        <v>0</v>
      </c>
      <c r="AS74" s="10" t="str">
        <f>HYPERLINK("https://tessa.gazprom-neft.local/edo/card/9595a25f-d2bf-4327-b717-2a7442c0e761", "https://tessa.gazprom-neft.local/edo/card/9595a25f-d2bf-4327-b717-2a7442c0e761")</f>
        <v>https://tessa.gazprom-neft.local/edo/card/9595a25f-d2bf-4327-b717-2a7442c0e761</v>
      </c>
    </row>
    <row r="75" spans="1:45" hidden="1" x14ac:dyDescent="0.25">
      <c r="A75" s="6" t="s">
        <v>44</v>
      </c>
      <c r="B75" s="7" t="s">
        <v>0</v>
      </c>
      <c r="C75" s="7" t="s">
        <v>218</v>
      </c>
      <c r="D75" s="8" t="s">
        <v>0</v>
      </c>
      <c r="E75" s="8" t="s">
        <v>0</v>
      </c>
      <c r="F75" s="16" t="s">
        <v>0</v>
      </c>
      <c r="G75" s="7" t="s">
        <v>0</v>
      </c>
      <c r="H75" s="7" t="s">
        <v>0</v>
      </c>
      <c r="I75" s="7" t="s">
        <v>0</v>
      </c>
      <c r="J75" s="7" t="s">
        <v>0</v>
      </c>
      <c r="K75" s="7" t="s">
        <v>0</v>
      </c>
      <c r="L75" s="7" t="s">
        <v>0</v>
      </c>
      <c r="M75" s="7" t="s">
        <v>0</v>
      </c>
      <c r="N75" s="7" t="s">
        <v>6761</v>
      </c>
      <c r="O75" s="7" t="s">
        <v>0</v>
      </c>
      <c r="P75" s="7" t="s">
        <v>0</v>
      </c>
      <c r="Q75" s="7" t="s">
        <v>0</v>
      </c>
      <c r="R75" s="7" t="s">
        <v>244</v>
      </c>
      <c r="S75" s="7" t="s">
        <v>0</v>
      </c>
      <c r="T75" s="7" t="s">
        <v>54</v>
      </c>
      <c r="U75" s="7" t="s">
        <v>0</v>
      </c>
      <c r="V75" s="7" t="s">
        <v>0</v>
      </c>
      <c r="W75" s="7" t="s">
        <v>0</v>
      </c>
      <c r="X75" s="7" t="s">
        <v>0</v>
      </c>
      <c r="Y75" s="8" t="s">
        <v>0</v>
      </c>
      <c r="Z75" s="8" t="s">
        <v>0</v>
      </c>
      <c r="AA75" s="7" t="s">
        <v>0</v>
      </c>
      <c r="AB75" s="7" t="s">
        <v>0</v>
      </c>
      <c r="AC75" s="7" t="s">
        <v>0</v>
      </c>
      <c r="AD75" s="7" t="s">
        <v>0</v>
      </c>
      <c r="AE75" s="7" t="s">
        <v>0</v>
      </c>
      <c r="AF75" s="7" t="s">
        <v>0</v>
      </c>
      <c r="AG75" s="7" t="s">
        <v>0</v>
      </c>
      <c r="AH75" s="9" t="s">
        <v>0</v>
      </c>
      <c r="AI75" s="9" t="s">
        <v>0</v>
      </c>
      <c r="AJ75" s="9" t="s">
        <v>0</v>
      </c>
      <c r="AK75" s="7" t="s">
        <v>61</v>
      </c>
      <c r="AL75" s="7" t="s">
        <v>61</v>
      </c>
      <c r="AM75" s="7" t="s">
        <v>0</v>
      </c>
      <c r="AN75" s="7" t="s">
        <v>0</v>
      </c>
      <c r="AO75" s="7" t="s">
        <v>0</v>
      </c>
      <c r="AP75" s="7" t="s">
        <v>0</v>
      </c>
      <c r="AQ75" s="7" t="s">
        <v>61</v>
      </c>
      <c r="AR75" s="7" t="s">
        <v>0</v>
      </c>
      <c r="AS75" s="10" t="str">
        <f>HYPERLINK("https://tessa.gazprom-neft.local/edo/card/f7cfa985-6d6d-4b1b-8921-02ebd2670627", "https://tessa.gazprom-neft.local/edo/card/f7cfa985-6d6d-4b1b-8921-02ebd2670627")</f>
        <v>https://tessa.gazprom-neft.local/edo/card/f7cfa985-6d6d-4b1b-8921-02ebd2670627</v>
      </c>
    </row>
    <row r="76" spans="1:45" hidden="1" x14ac:dyDescent="0.25">
      <c r="A76" s="6" t="s">
        <v>44</v>
      </c>
      <c r="B76" s="7" t="s">
        <v>0</v>
      </c>
      <c r="C76" s="7" t="s">
        <v>492</v>
      </c>
      <c r="D76" s="8" t="s">
        <v>0</v>
      </c>
      <c r="E76" s="8" t="s">
        <v>0</v>
      </c>
      <c r="F76" s="16" t="s">
        <v>6706</v>
      </c>
      <c r="G76" s="7" t="s">
        <v>0</v>
      </c>
      <c r="H76" s="7" t="s">
        <v>0</v>
      </c>
      <c r="I76" s="7" t="s">
        <v>0</v>
      </c>
      <c r="J76" s="7" t="s">
        <v>0</v>
      </c>
      <c r="K76" s="7" t="s">
        <v>47</v>
      </c>
      <c r="L76" s="7" t="s">
        <v>96</v>
      </c>
      <c r="M76" s="7" t="s">
        <v>0</v>
      </c>
      <c r="N76" s="7" t="s">
        <v>6762</v>
      </c>
      <c r="O76" s="7" t="s">
        <v>0</v>
      </c>
      <c r="P76" s="7" t="s">
        <v>6763</v>
      </c>
      <c r="Q76" s="7" t="s">
        <v>6764</v>
      </c>
      <c r="R76" s="7" t="s">
        <v>751</v>
      </c>
      <c r="S76" s="7" t="s">
        <v>751</v>
      </c>
      <c r="T76" s="7" t="s">
        <v>54</v>
      </c>
      <c r="U76" s="7" t="s">
        <v>125</v>
      </c>
      <c r="V76" s="7" t="s">
        <v>126</v>
      </c>
      <c r="W76" s="7" t="s">
        <v>57</v>
      </c>
      <c r="X76" s="7" t="s">
        <v>103</v>
      </c>
      <c r="Y76" s="8">
        <v>45566</v>
      </c>
      <c r="Z76" s="8">
        <v>49309</v>
      </c>
      <c r="AA76" s="7" t="s">
        <v>200</v>
      </c>
      <c r="AB76" s="7" t="s">
        <v>64</v>
      </c>
      <c r="AC76" s="7" t="s">
        <v>65</v>
      </c>
      <c r="AD76" s="7" t="s">
        <v>0</v>
      </c>
      <c r="AE76" s="7" t="s">
        <v>0</v>
      </c>
      <c r="AF76" s="7" t="s">
        <v>0</v>
      </c>
      <c r="AG76" s="7" t="s">
        <v>0</v>
      </c>
      <c r="AH76" s="9" t="s">
        <v>0</v>
      </c>
      <c r="AI76" s="9" t="s">
        <v>0</v>
      </c>
      <c r="AJ76" s="9" t="s">
        <v>0</v>
      </c>
      <c r="AK76" s="7" t="s">
        <v>61</v>
      </c>
      <c r="AL76" s="7" t="s">
        <v>61</v>
      </c>
      <c r="AM76" s="7" t="s">
        <v>0</v>
      </c>
      <c r="AN76" s="7" t="s">
        <v>0</v>
      </c>
      <c r="AO76" s="7" t="s">
        <v>0</v>
      </c>
      <c r="AP76" s="7" t="s">
        <v>0</v>
      </c>
      <c r="AQ76" s="7" t="s">
        <v>61</v>
      </c>
      <c r="AR76" s="7" t="s">
        <v>0</v>
      </c>
      <c r="AS76" s="10" t="str">
        <f>HYPERLINK("https://tessa.gazprom-neft.local/edo/card/6f5283e5-ca39-4f78-ac56-f4b4caf8d567", "https://tessa.gazprom-neft.local/edo/card/6f5283e5-ca39-4f78-ac56-f4b4caf8d567")</f>
        <v>https://tessa.gazprom-neft.local/edo/card/6f5283e5-ca39-4f78-ac56-f4b4caf8d567</v>
      </c>
    </row>
    <row r="77" spans="1:45" x14ac:dyDescent="0.25">
      <c r="A77" s="6" t="s">
        <v>44</v>
      </c>
      <c r="B77" s="7" t="s">
        <v>0</v>
      </c>
      <c r="C77" s="7" t="s">
        <v>492</v>
      </c>
      <c r="D77" s="8" t="s">
        <v>0</v>
      </c>
      <c r="E77" s="8" t="s">
        <v>0</v>
      </c>
      <c r="F77" s="16" t="s">
        <v>6757</v>
      </c>
      <c r="G77" s="7" t="s">
        <v>0</v>
      </c>
      <c r="H77" s="7" t="s">
        <v>0</v>
      </c>
      <c r="I77" s="7" t="s">
        <v>0</v>
      </c>
      <c r="J77" s="7" t="s">
        <v>0</v>
      </c>
      <c r="K77" s="7" t="s">
        <v>47</v>
      </c>
      <c r="L77" s="7" t="s">
        <v>48</v>
      </c>
      <c r="M77" s="7" t="s">
        <v>0</v>
      </c>
      <c r="N77" s="7" t="s">
        <v>6766</v>
      </c>
      <c r="O77" s="7" t="s">
        <v>0</v>
      </c>
      <c r="P77" s="7" t="s">
        <v>6767</v>
      </c>
      <c r="Q77" s="7" t="s">
        <v>6767</v>
      </c>
      <c r="R77" s="7" t="s">
        <v>751</v>
      </c>
      <c r="S77" s="7" t="s">
        <v>751</v>
      </c>
      <c r="T77" s="7" t="s">
        <v>54</v>
      </c>
      <c r="U77" s="7" t="s">
        <v>125</v>
      </c>
      <c r="V77" s="7" t="s">
        <v>126</v>
      </c>
      <c r="W77" s="7" t="s">
        <v>57</v>
      </c>
      <c r="X77" s="7" t="s">
        <v>223</v>
      </c>
      <c r="Y77" s="8">
        <v>45566</v>
      </c>
      <c r="Z77" s="8" t="s">
        <v>0</v>
      </c>
      <c r="AA77" s="7" t="s">
        <v>200</v>
      </c>
      <c r="AB77" s="7" t="s">
        <v>64</v>
      </c>
      <c r="AC77" s="7" t="s">
        <v>65</v>
      </c>
      <c r="AD77" s="7" t="s">
        <v>0</v>
      </c>
      <c r="AE77" s="7" t="s">
        <v>0</v>
      </c>
      <c r="AF77" s="7" t="s">
        <v>0</v>
      </c>
      <c r="AG77" s="7" t="s">
        <v>0</v>
      </c>
      <c r="AH77" s="9" t="s">
        <v>0</v>
      </c>
      <c r="AI77" s="9" t="s">
        <v>0</v>
      </c>
      <c r="AJ77" s="9" t="s">
        <v>0</v>
      </c>
      <c r="AK77" s="7" t="s">
        <v>61</v>
      </c>
      <c r="AL77" s="7" t="s">
        <v>61</v>
      </c>
      <c r="AM77" s="7" t="s">
        <v>0</v>
      </c>
      <c r="AN77" s="7" t="s">
        <v>0</v>
      </c>
      <c r="AO77" s="7" t="s">
        <v>0</v>
      </c>
      <c r="AP77" s="7" t="s">
        <v>0</v>
      </c>
      <c r="AQ77" s="7" t="s">
        <v>61</v>
      </c>
      <c r="AR77" s="7" t="s">
        <v>0</v>
      </c>
      <c r="AS77" s="10" t="str">
        <f>HYPERLINK("https://tessa.gazprom-neft.local/edo/card/1aaf41be-0cbd-44f2-8cb6-77ac51459de0", "https://tessa.gazprom-neft.local/edo/card/1aaf41be-0cbd-44f2-8cb6-77ac51459de0")</f>
        <v>https://tessa.gazprom-neft.local/edo/card/1aaf41be-0cbd-44f2-8cb6-77ac51459de0</v>
      </c>
    </row>
    <row r="78" spans="1:45" hidden="1" x14ac:dyDescent="0.25">
      <c r="A78" s="6" t="s">
        <v>44</v>
      </c>
      <c r="B78" s="7" t="s">
        <v>0</v>
      </c>
      <c r="C78" s="7" t="s">
        <v>492</v>
      </c>
      <c r="D78" s="8" t="s">
        <v>0</v>
      </c>
      <c r="E78" s="8" t="s">
        <v>0</v>
      </c>
      <c r="F78" s="16" t="s">
        <v>6706</v>
      </c>
      <c r="G78" s="7" t="s">
        <v>0</v>
      </c>
      <c r="H78" s="7" t="s">
        <v>0</v>
      </c>
      <c r="I78" s="7" t="s">
        <v>0</v>
      </c>
      <c r="J78" s="7" t="s">
        <v>0</v>
      </c>
      <c r="K78" s="7" t="s">
        <v>47</v>
      </c>
      <c r="L78" s="7" t="s">
        <v>96</v>
      </c>
      <c r="M78" s="7" t="s">
        <v>0</v>
      </c>
      <c r="N78" s="7" t="s">
        <v>6772</v>
      </c>
      <c r="O78" s="7" t="s">
        <v>0</v>
      </c>
      <c r="P78" s="7" t="s">
        <v>6773</v>
      </c>
      <c r="Q78" s="7" t="s">
        <v>6774</v>
      </c>
      <c r="R78" s="7" t="s">
        <v>751</v>
      </c>
      <c r="S78" s="7" t="s">
        <v>751</v>
      </c>
      <c r="T78" s="7" t="s">
        <v>54</v>
      </c>
      <c r="U78" s="7" t="s">
        <v>125</v>
      </c>
      <c r="V78" s="7" t="s">
        <v>126</v>
      </c>
      <c r="W78" s="7" t="s">
        <v>57</v>
      </c>
      <c r="X78" s="7" t="s">
        <v>103</v>
      </c>
      <c r="Y78" s="8">
        <v>45566</v>
      </c>
      <c r="Z78" s="8">
        <v>49309</v>
      </c>
      <c r="AA78" s="7" t="s">
        <v>200</v>
      </c>
      <c r="AB78" s="7" t="s">
        <v>64</v>
      </c>
      <c r="AC78" s="7" t="s">
        <v>65</v>
      </c>
      <c r="AD78" s="7" t="s">
        <v>0</v>
      </c>
      <c r="AE78" s="7" t="s">
        <v>0</v>
      </c>
      <c r="AF78" s="7" t="s">
        <v>0</v>
      </c>
      <c r="AG78" s="7" t="s">
        <v>0</v>
      </c>
      <c r="AH78" s="9" t="s">
        <v>0</v>
      </c>
      <c r="AI78" s="9" t="s">
        <v>0</v>
      </c>
      <c r="AJ78" s="9" t="s">
        <v>0</v>
      </c>
      <c r="AK78" s="7" t="s">
        <v>61</v>
      </c>
      <c r="AL78" s="7" t="s">
        <v>61</v>
      </c>
      <c r="AM78" s="7" t="s">
        <v>0</v>
      </c>
      <c r="AN78" s="7" t="s">
        <v>0</v>
      </c>
      <c r="AO78" s="7" t="s">
        <v>0</v>
      </c>
      <c r="AP78" s="7" t="s">
        <v>0</v>
      </c>
      <c r="AQ78" s="7" t="s">
        <v>61</v>
      </c>
      <c r="AR78" s="7" t="s">
        <v>0</v>
      </c>
      <c r="AS78" s="10" t="str">
        <f>HYPERLINK("https://tessa.gazprom-neft.local/edo/card/3787dfd0-6cea-4b36-b862-0a06fe71763d", "https://tessa.gazprom-neft.local/edo/card/3787dfd0-6cea-4b36-b862-0a06fe71763d")</f>
        <v>https://tessa.gazprom-neft.local/edo/card/3787dfd0-6cea-4b36-b862-0a06fe71763d</v>
      </c>
    </row>
    <row r="79" spans="1:45" x14ac:dyDescent="0.25">
      <c r="A79" s="6" t="s">
        <v>44</v>
      </c>
      <c r="B79" s="7" t="s">
        <v>0</v>
      </c>
      <c r="C79" s="7" t="s">
        <v>492</v>
      </c>
      <c r="D79" s="8" t="s">
        <v>0</v>
      </c>
      <c r="E79" s="8" t="s">
        <v>0</v>
      </c>
      <c r="F79" s="16" t="s">
        <v>6706</v>
      </c>
      <c r="G79" s="7" t="s">
        <v>0</v>
      </c>
      <c r="H79" s="7" t="s">
        <v>0</v>
      </c>
      <c r="I79" s="7" t="s">
        <v>0</v>
      </c>
      <c r="J79" s="7" t="s">
        <v>0</v>
      </c>
      <c r="K79" s="7" t="s">
        <v>47</v>
      </c>
      <c r="L79" s="7" t="s">
        <v>48</v>
      </c>
      <c r="M79" s="7" t="s">
        <v>0</v>
      </c>
      <c r="N79" s="7" t="s">
        <v>6781</v>
      </c>
      <c r="O79" s="7" t="s">
        <v>0</v>
      </c>
      <c r="P79" s="7" t="s">
        <v>6782</v>
      </c>
      <c r="Q79" s="7" t="s">
        <v>6782</v>
      </c>
      <c r="R79" s="7" t="s">
        <v>751</v>
      </c>
      <c r="S79" s="7" t="s">
        <v>751</v>
      </c>
      <c r="T79" s="7" t="s">
        <v>54</v>
      </c>
      <c r="U79" s="7" t="s">
        <v>125</v>
      </c>
      <c r="V79" s="7" t="s">
        <v>126</v>
      </c>
      <c r="W79" s="7" t="s">
        <v>57</v>
      </c>
      <c r="X79" s="7" t="s">
        <v>223</v>
      </c>
      <c r="Y79" s="8">
        <v>45566</v>
      </c>
      <c r="Z79" s="8" t="s">
        <v>0</v>
      </c>
      <c r="AA79" s="7" t="s">
        <v>200</v>
      </c>
      <c r="AB79" s="7" t="s">
        <v>64</v>
      </c>
      <c r="AC79" s="7" t="s">
        <v>65</v>
      </c>
      <c r="AD79" s="7" t="s">
        <v>0</v>
      </c>
      <c r="AE79" s="7" t="s">
        <v>0</v>
      </c>
      <c r="AF79" s="7" t="s">
        <v>0</v>
      </c>
      <c r="AG79" s="7" t="s">
        <v>0</v>
      </c>
      <c r="AH79" s="9" t="s">
        <v>0</v>
      </c>
      <c r="AI79" s="9" t="s">
        <v>0</v>
      </c>
      <c r="AJ79" s="9" t="s">
        <v>0</v>
      </c>
      <c r="AK79" s="7" t="s">
        <v>61</v>
      </c>
      <c r="AL79" s="7" t="s">
        <v>61</v>
      </c>
      <c r="AM79" s="7" t="s">
        <v>0</v>
      </c>
      <c r="AN79" s="7" t="s">
        <v>0</v>
      </c>
      <c r="AO79" s="7" t="s">
        <v>0</v>
      </c>
      <c r="AP79" s="7" t="s">
        <v>0</v>
      </c>
      <c r="AQ79" s="7" t="s">
        <v>61</v>
      </c>
      <c r="AR79" s="7" t="s">
        <v>0</v>
      </c>
      <c r="AS79" s="10" t="str">
        <f>HYPERLINK("https://tessa.gazprom-neft.local/edo/card/c64a0112-e562-4ed6-919b-2ab49b417f59", "https://tessa.gazprom-neft.local/edo/card/c64a0112-e562-4ed6-919b-2ab49b417f59")</f>
        <v>https://tessa.gazprom-neft.local/edo/card/c64a0112-e562-4ed6-919b-2ab49b417f59</v>
      </c>
    </row>
    <row r="80" spans="1:45" hidden="1" x14ac:dyDescent="0.25">
      <c r="A80" s="6" t="s">
        <v>44</v>
      </c>
      <c r="B80" s="7" t="s">
        <v>0</v>
      </c>
      <c r="C80" s="7" t="s">
        <v>492</v>
      </c>
      <c r="D80" s="8" t="s">
        <v>0</v>
      </c>
      <c r="E80" s="8" t="s">
        <v>0</v>
      </c>
      <c r="F80" s="16" t="s">
        <v>6796</v>
      </c>
      <c r="G80" s="7" t="s">
        <v>0</v>
      </c>
      <c r="H80" s="7" t="s">
        <v>0</v>
      </c>
      <c r="I80" s="7" t="s">
        <v>0</v>
      </c>
      <c r="J80" s="7" t="s">
        <v>0</v>
      </c>
      <c r="K80" s="7" t="s">
        <v>47</v>
      </c>
      <c r="L80" s="7" t="s">
        <v>96</v>
      </c>
      <c r="M80" s="7" t="s">
        <v>0</v>
      </c>
      <c r="N80" s="7" t="s">
        <v>6793</v>
      </c>
      <c r="O80" s="7" t="s">
        <v>0</v>
      </c>
      <c r="P80" s="7" t="s">
        <v>6794</v>
      </c>
      <c r="Q80" s="7" t="s">
        <v>6795</v>
      </c>
      <c r="R80" s="7" t="s">
        <v>751</v>
      </c>
      <c r="S80" s="7" t="s">
        <v>751</v>
      </c>
      <c r="T80" s="7" t="s">
        <v>54</v>
      </c>
      <c r="U80" s="7" t="s">
        <v>125</v>
      </c>
      <c r="V80" s="7" t="s">
        <v>126</v>
      </c>
      <c r="W80" s="7" t="s">
        <v>57</v>
      </c>
      <c r="X80" s="7" t="s">
        <v>103</v>
      </c>
      <c r="Y80" s="8">
        <v>45566</v>
      </c>
      <c r="Z80" s="8">
        <v>49309</v>
      </c>
      <c r="AA80" s="7" t="s">
        <v>200</v>
      </c>
      <c r="AB80" s="7" t="s">
        <v>64</v>
      </c>
      <c r="AC80" s="7" t="s">
        <v>65</v>
      </c>
      <c r="AD80" s="7" t="s">
        <v>0</v>
      </c>
      <c r="AE80" s="7" t="s">
        <v>0</v>
      </c>
      <c r="AF80" s="7" t="s">
        <v>0</v>
      </c>
      <c r="AG80" s="7" t="s">
        <v>0</v>
      </c>
      <c r="AH80" s="9" t="s">
        <v>0</v>
      </c>
      <c r="AI80" s="9" t="s">
        <v>0</v>
      </c>
      <c r="AJ80" s="9" t="s">
        <v>0</v>
      </c>
      <c r="AK80" s="7" t="s">
        <v>61</v>
      </c>
      <c r="AL80" s="7" t="s">
        <v>61</v>
      </c>
      <c r="AM80" s="7" t="s">
        <v>0</v>
      </c>
      <c r="AN80" s="7" t="s">
        <v>0</v>
      </c>
      <c r="AO80" s="7" t="s">
        <v>0</v>
      </c>
      <c r="AP80" s="7" t="s">
        <v>0</v>
      </c>
      <c r="AQ80" s="7" t="s">
        <v>61</v>
      </c>
      <c r="AR80" s="7" t="s">
        <v>0</v>
      </c>
      <c r="AS80" s="10" t="str">
        <f>HYPERLINK("https://tessa.gazprom-neft.local/edo/card/85ddeebb-9cce-4d57-a87e-6f44e70810a0", "https://tessa.gazprom-neft.local/edo/card/85ddeebb-9cce-4d57-a87e-6f44e70810a0")</f>
        <v>https://tessa.gazprom-neft.local/edo/card/85ddeebb-9cce-4d57-a87e-6f44e70810a0</v>
      </c>
    </row>
    <row r="81" spans="1:45" x14ac:dyDescent="0.25">
      <c r="A81" s="6" t="s">
        <v>44</v>
      </c>
      <c r="B81" s="7" t="s">
        <v>0</v>
      </c>
      <c r="C81" s="7" t="s">
        <v>492</v>
      </c>
      <c r="D81" s="8" t="s">
        <v>0</v>
      </c>
      <c r="E81" s="8" t="s">
        <v>0</v>
      </c>
      <c r="F81" s="16" t="s">
        <v>6796</v>
      </c>
      <c r="G81" s="7" t="s">
        <v>0</v>
      </c>
      <c r="H81" s="7" t="s">
        <v>0</v>
      </c>
      <c r="I81" s="7" t="s">
        <v>0</v>
      </c>
      <c r="J81" s="7" t="s">
        <v>0</v>
      </c>
      <c r="K81" s="7" t="s">
        <v>47</v>
      </c>
      <c r="L81" s="7" t="s">
        <v>48</v>
      </c>
      <c r="M81" s="7" t="s">
        <v>0</v>
      </c>
      <c r="N81" s="7" t="s">
        <v>6804</v>
      </c>
      <c r="O81" s="7" t="s">
        <v>0</v>
      </c>
      <c r="P81" s="7" t="s">
        <v>6805</v>
      </c>
      <c r="Q81" s="7" t="s">
        <v>6806</v>
      </c>
      <c r="R81" s="7" t="s">
        <v>751</v>
      </c>
      <c r="S81" s="7" t="s">
        <v>751</v>
      </c>
      <c r="T81" s="7" t="s">
        <v>54</v>
      </c>
      <c r="U81" s="7" t="s">
        <v>125</v>
      </c>
      <c r="V81" s="7" t="s">
        <v>126</v>
      </c>
      <c r="W81" s="7" t="s">
        <v>57</v>
      </c>
      <c r="X81" s="7" t="s">
        <v>223</v>
      </c>
      <c r="Y81" s="8">
        <v>45566</v>
      </c>
      <c r="Z81" s="8" t="s">
        <v>0</v>
      </c>
      <c r="AA81" s="7" t="s">
        <v>200</v>
      </c>
      <c r="AB81" s="7" t="s">
        <v>64</v>
      </c>
      <c r="AC81" s="7" t="s">
        <v>65</v>
      </c>
      <c r="AD81" s="7" t="s">
        <v>0</v>
      </c>
      <c r="AE81" s="7" t="s">
        <v>0</v>
      </c>
      <c r="AF81" s="7" t="s">
        <v>0</v>
      </c>
      <c r="AG81" s="7" t="s">
        <v>0</v>
      </c>
      <c r="AH81" s="9" t="s">
        <v>0</v>
      </c>
      <c r="AI81" s="9" t="s">
        <v>0</v>
      </c>
      <c r="AJ81" s="9" t="s">
        <v>0</v>
      </c>
      <c r="AK81" s="7" t="s">
        <v>61</v>
      </c>
      <c r="AL81" s="7" t="s">
        <v>61</v>
      </c>
      <c r="AM81" s="7" t="s">
        <v>0</v>
      </c>
      <c r="AN81" s="7" t="s">
        <v>0</v>
      </c>
      <c r="AO81" s="7" t="s">
        <v>0</v>
      </c>
      <c r="AP81" s="7" t="s">
        <v>0</v>
      </c>
      <c r="AQ81" s="7" t="s">
        <v>61</v>
      </c>
      <c r="AR81" s="7" t="s">
        <v>0</v>
      </c>
      <c r="AS81" s="10" t="str">
        <f>HYPERLINK("https://tessa.gazprom-neft.local/edo/card/c70491ef-d0f6-47df-aa66-d62f851d016c", "https://tessa.gazprom-neft.local/edo/card/c70491ef-d0f6-47df-aa66-d62f851d016c")</f>
        <v>https://tessa.gazprom-neft.local/edo/card/c70491ef-d0f6-47df-aa66-d62f851d016c</v>
      </c>
    </row>
    <row r="82" spans="1:45" hidden="1" x14ac:dyDescent="0.25">
      <c r="A82" s="6" t="s">
        <v>44</v>
      </c>
      <c r="B82" s="7" t="s">
        <v>0</v>
      </c>
      <c r="C82" s="7" t="s">
        <v>492</v>
      </c>
      <c r="D82" s="8" t="s">
        <v>0</v>
      </c>
      <c r="E82" s="8" t="s">
        <v>0</v>
      </c>
      <c r="F82" s="16" t="s">
        <v>6796</v>
      </c>
      <c r="G82" s="7" t="s">
        <v>0</v>
      </c>
      <c r="H82" s="7" t="s">
        <v>0</v>
      </c>
      <c r="I82" s="7" t="s">
        <v>0</v>
      </c>
      <c r="J82" s="7" t="s">
        <v>0</v>
      </c>
      <c r="K82" s="7" t="s">
        <v>47</v>
      </c>
      <c r="L82" s="7" t="s">
        <v>96</v>
      </c>
      <c r="M82" s="7" t="s">
        <v>0</v>
      </c>
      <c r="N82" s="7" t="s">
        <v>6811</v>
      </c>
      <c r="O82" s="7" t="s">
        <v>0</v>
      </c>
      <c r="P82" s="7" t="s">
        <v>6812</v>
      </c>
      <c r="Q82" s="7" t="s">
        <v>6813</v>
      </c>
      <c r="R82" s="7" t="s">
        <v>751</v>
      </c>
      <c r="S82" s="7" t="s">
        <v>751</v>
      </c>
      <c r="T82" s="7" t="s">
        <v>54</v>
      </c>
      <c r="U82" s="7" t="s">
        <v>125</v>
      </c>
      <c r="V82" s="7" t="s">
        <v>126</v>
      </c>
      <c r="W82" s="7" t="s">
        <v>57</v>
      </c>
      <c r="X82" s="7" t="s">
        <v>103</v>
      </c>
      <c r="Y82" s="8">
        <v>45566</v>
      </c>
      <c r="Z82" s="8">
        <v>49309</v>
      </c>
      <c r="AA82" s="7" t="s">
        <v>200</v>
      </c>
      <c r="AB82" s="7" t="s">
        <v>64</v>
      </c>
      <c r="AC82" s="7" t="s">
        <v>65</v>
      </c>
      <c r="AD82" s="7" t="s">
        <v>0</v>
      </c>
      <c r="AE82" s="7" t="s">
        <v>0</v>
      </c>
      <c r="AF82" s="7" t="s">
        <v>0</v>
      </c>
      <c r="AG82" s="7" t="s">
        <v>0</v>
      </c>
      <c r="AH82" s="9" t="s">
        <v>0</v>
      </c>
      <c r="AI82" s="9" t="s">
        <v>0</v>
      </c>
      <c r="AJ82" s="9" t="s">
        <v>0</v>
      </c>
      <c r="AK82" s="7" t="s">
        <v>61</v>
      </c>
      <c r="AL82" s="7" t="s">
        <v>61</v>
      </c>
      <c r="AM82" s="7" t="s">
        <v>0</v>
      </c>
      <c r="AN82" s="7" t="s">
        <v>0</v>
      </c>
      <c r="AO82" s="7" t="s">
        <v>0</v>
      </c>
      <c r="AP82" s="7" t="s">
        <v>0</v>
      </c>
      <c r="AQ82" s="7" t="s">
        <v>61</v>
      </c>
      <c r="AR82" s="7" t="s">
        <v>0</v>
      </c>
      <c r="AS82" s="10" t="str">
        <f>HYPERLINK("https://tessa.gazprom-neft.local/edo/card/20cd193e-2430-4145-9e76-0f4f736d1ce0", "https://tessa.gazprom-neft.local/edo/card/20cd193e-2430-4145-9e76-0f4f736d1ce0")</f>
        <v>https://tessa.gazprom-neft.local/edo/card/20cd193e-2430-4145-9e76-0f4f736d1ce0</v>
      </c>
    </row>
    <row r="83" spans="1:45" x14ac:dyDescent="0.25">
      <c r="A83" s="6" t="s">
        <v>44</v>
      </c>
      <c r="B83" s="7" t="s">
        <v>0</v>
      </c>
      <c r="C83" s="7" t="s">
        <v>492</v>
      </c>
      <c r="D83" s="8" t="s">
        <v>0</v>
      </c>
      <c r="E83" s="8" t="s">
        <v>0</v>
      </c>
      <c r="F83" s="16" t="s">
        <v>6796</v>
      </c>
      <c r="G83" s="7" t="s">
        <v>0</v>
      </c>
      <c r="H83" s="7" t="s">
        <v>0</v>
      </c>
      <c r="I83" s="7" t="s">
        <v>0</v>
      </c>
      <c r="J83" s="7" t="s">
        <v>0</v>
      </c>
      <c r="K83" s="7" t="s">
        <v>47</v>
      </c>
      <c r="L83" s="7" t="s">
        <v>48</v>
      </c>
      <c r="M83" s="7" t="s">
        <v>0</v>
      </c>
      <c r="N83" s="7" t="s">
        <v>6817</v>
      </c>
      <c r="O83" s="7" t="s">
        <v>0</v>
      </c>
      <c r="P83" s="7" t="s">
        <v>6818</v>
      </c>
      <c r="Q83" s="7" t="s">
        <v>6818</v>
      </c>
      <c r="R83" s="7" t="s">
        <v>751</v>
      </c>
      <c r="S83" s="7" t="s">
        <v>751</v>
      </c>
      <c r="T83" s="7" t="s">
        <v>54</v>
      </c>
      <c r="U83" s="7" t="s">
        <v>125</v>
      </c>
      <c r="V83" s="7" t="s">
        <v>126</v>
      </c>
      <c r="W83" s="7" t="s">
        <v>57</v>
      </c>
      <c r="X83" s="7" t="s">
        <v>223</v>
      </c>
      <c r="Y83" s="8">
        <v>45566</v>
      </c>
      <c r="Z83" s="8" t="s">
        <v>0</v>
      </c>
      <c r="AA83" s="7" t="s">
        <v>200</v>
      </c>
      <c r="AB83" s="7" t="s">
        <v>64</v>
      </c>
      <c r="AC83" s="7" t="s">
        <v>65</v>
      </c>
      <c r="AD83" s="7" t="s">
        <v>0</v>
      </c>
      <c r="AE83" s="7" t="s">
        <v>0</v>
      </c>
      <c r="AF83" s="7" t="s">
        <v>0</v>
      </c>
      <c r="AG83" s="7" t="s">
        <v>0</v>
      </c>
      <c r="AH83" s="9" t="s">
        <v>0</v>
      </c>
      <c r="AI83" s="9" t="s">
        <v>0</v>
      </c>
      <c r="AJ83" s="9" t="s">
        <v>0</v>
      </c>
      <c r="AK83" s="7" t="s">
        <v>61</v>
      </c>
      <c r="AL83" s="7" t="s">
        <v>61</v>
      </c>
      <c r="AM83" s="7" t="s">
        <v>0</v>
      </c>
      <c r="AN83" s="7" t="s">
        <v>0</v>
      </c>
      <c r="AO83" s="7" t="s">
        <v>0</v>
      </c>
      <c r="AP83" s="7" t="s">
        <v>0</v>
      </c>
      <c r="AQ83" s="7" t="s">
        <v>61</v>
      </c>
      <c r="AR83" s="7" t="s">
        <v>0</v>
      </c>
      <c r="AS83" s="10" t="str">
        <f>HYPERLINK("https://tessa.gazprom-neft.local/edo/card/a4c603e0-793a-4288-ac0b-fbdb022f37d9", "https://tessa.gazprom-neft.local/edo/card/a4c603e0-793a-4288-ac0b-fbdb022f37d9")</f>
        <v>https://tessa.gazprom-neft.local/edo/card/a4c603e0-793a-4288-ac0b-fbdb022f37d9</v>
      </c>
    </row>
    <row r="84" spans="1:45" hidden="1" x14ac:dyDescent="0.25">
      <c r="A84" s="6" t="s">
        <v>44</v>
      </c>
      <c r="B84" s="7" t="s">
        <v>0</v>
      </c>
      <c r="C84" s="7" t="s">
        <v>492</v>
      </c>
      <c r="D84" s="8" t="s">
        <v>0</v>
      </c>
      <c r="E84" s="8" t="s">
        <v>0</v>
      </c>
      <c r="F84" s="16" t="s">
        <v>6796</v>
      </c>
      <c r="G84" s="7" t="s">
        <v>0</v>
      </c>
      <c r="H84" s="7" t="s">
        <v>0</v>
      </c>
      <c r="I84" s="7" t="s">
        <v>0</v>
      </c>
      <c r="J84" s="7" t="s">
        <v>0</v>
      </c>
      <c r="K84" s="7" t="s">
        <v>47</v>
      </c>
      <c r="L84" s="7" t="s">
        <v>96</v>
      </c>
      <c r="M84" s="7" t="s">
        <v>0</v>
      </c>
      <c r="N84" s="7" t="s">
        <v>6825</v>
      </c>
      <c r="O84" s="7" t="s">
        <v>0</v>
      </c>
      <c r="P84" s="7" t="s">
        <v>6826</v>
      </c>
      <c r="Q84" s="7" t="s">
        <v>6827</v>
      </c>
      <c r="R84" s="7" t="s">
        <v>751</v>
      </c>
      <c r="S84" s="7" t="s">
        <v>751</v>
      </c>
      <c r="T84" s="7" t="s">
        <v>54</v>
      </c>
      <c r="U84" s="7" t="s">
        <v>125</v>
      </c>
      <c r="V84" s="7" t="s">
        <v>126</v>
      </c>
      <c r="W84" s="7" t="s">
        <v>57</v>
      </c>
      <c r="X84" s="7" t="s">
        <v>103</v>
      </c>
      <c r="Y84" s="8">
        <v>45566</v>
      </c>
      <c r="Z84" s="8">
        <v>49309</v>
      </c>
      <c r="AA84" s="7" t="s">
        <v>200</v>
      </c>
      <c r="AB84" s="7" t="s">
        <v>64</v>
      </c>
      <c r="AC84" s="7" t="s">
        <v>65</v>
      </c>
      <c r="AD84" s="7" t="s">
        <v>0</v>
      </c>
      <c r="AE84" s="7" t="s">
        <v>0</v>
      </c>
      <c r="AF84" s="7" t="s">
        <v>0</v>
      </c>
      <c r="AG84" s="7" t="s">
        <v>0</v>
      </c>
      <c r="AH84" s="9" t="s">
        <v>0</v>
      </c>
      <c r="AI84" s="9" t="s">
        <v>0</v>
      </c>
      <c r="AJ84" s="9" t="s">
        <v>0</v>
      </c>
      <c r="AK84" s="7" t="s">
        <v>61</v>
      </c>
      <c r="AL84" s="7" t="s">
        <v>61</v>
      </c>
      <c r="AM84" s="7" t="s">
        <v>0</v>
      </c>
      <c r="AN84" s="7" t="s">
        <v>0</v>
      </c>
      <c r="AO84" s="7" t="s">
        <v>0</v>
      </c>
      <c r="AP84" s="7" t="s">
        <v>0</v>
      </c>
      <c r="AQ84" s="7" t="s">
        <v>61</v>
      </c>
      <c r="AR84" s="7" t="s">
        <v>0</v>
      </c>
      <c r="AS84" s="10" t="str">
        <f>HYPERLINK("https://tessa.gazprom-neft.local/edo/card/0e0e6913-ca8a-464d-b7c7-e1e467609542", "https://tessa.gazprom-neft.local/edo/card/0e0e6913-ca8a-464d-b7c7-e1e467609542")</f>
        <v>https://tessa.gazprom-neft.local/edo/card/0e0e6913-ca8a-464d-b7c7-e1e467609542</v>
      </c>
    </row>
    <row r="85" spans="1:45" x14ac:dyDescent="0.25">
      <c r="A85" s="6" t="s">
        <v>44</v>
      </c>
      <c r="B85" s="7" t="s">
        <v>0</v>
      </c>
      <c r="C85" s="7" t="s">
        <v>492</v>
      </c>
      <c r="D85" s="8" t="s">
        <v>0</v>
      </c>
      <c r="E85" s="8" t="s">
        <v>0</v>
      </c>
      <c r="F85" s="16" t="s">
        <v>6796</v>
      </c>
      <c r="G85" s="7" t="s">
        <v>0</v>
      </c>
      <c r="H85" s="7" t="s">
        <v>0</v>
      </c>
      <c r="I85" s="7" t="s">
        <v>0</v>
      </c>
      <c r="J85" s="7" t="s">
        <v>0</v>
      </c>
      <c r="K85" s="7" t="s">
        <v>47</v>
      </c>
      <c r="L85" s="7" t="s">
        <v>48</v>
      </c>
      <c r="M85" s="7" t="s">
        <v>0</v>
      </c>
      <c r="N85" s="7" t="s">
        <v>6834</v>
      </c>
      <c r="O85" s="7" t="s">
        <v>0</v>
      </c>
      <c r="P85" s="7" t="s">
        <v>6835</v>
      </c>
      <c r="Q85" s="7" t="s">
        <v>6835</v>
      </c>
      <c r="R85" s="7" t="s">
        <v>751</v>
      </c>
      <c r="S85" s="7" t="s">
        <v>751</v>
      </c>
      <c r="T85" s="7" t="s">
        <v>54</v>
      </c>
      <c r="U85" s="7" t="s">
        <v>125</v>
      </c>
      <c r="V85" s="7" t="s">
        <v>126</v>
      </c>
      <c r="W85" s="7" t="s">
        <v>57</v>
      </c>
      <c r="X85" s="7" t="s">
        <v>223</v>
      </c>
      <c r="Y85" s="8">
        <v>45566</v>
      </c>
      <c r="Z85" s="8" t="s">
        <v>0</v>
      </c>
      <c r="AA85" s="7" t="s">
        <v>200</v>
      </c>
      <c r="AB85" s="7" t="s">
        <v>64</v>
      </c>
      <c r="AC85" s="7" t="s">
        <v>65</v>
      </c>
      <c r="AD85" s="7" t="s">
        <v>0</v>
      </c>
      <c r="AE85" s="7" t="s">
        <v>0</v>
      </c>
      <c r="AF85" s="7" t="s">
        <v>0</v>
      </c>
      <c r="AG85" s="7" t="s">
        <v>0</v>
      </c>
      <c r="AH85" s="9" t="s">
        <v>0</v>
      </c>
      <c r="AI85" s="9" t="s">
        <v>0</v>
      </c>
      <c r="AJ85" s="9" t="s">
        <v>0</v>
      </c>
      <c r="AK85" s="7" t="s">
        <v>61</v>
      </c>
      <c r="AL85" s="7" t="s">
        <v>61</v>
      </c>
      <c r="AM85" s="7" t="s">
        <v>0</v>
      </c>
      <c r="AN85" s="7" t="s">
        <v>0</v>
      </c>
      <c r="AO85" s="7" t="s">
        <v>0</v>
      </c>
      <c r="AP85" s="7" t="s">
        <v>0</v>
      </c>
      <c r="AQ85" s="7" t="s">
        <v>61</v>
      </c>
      <c r="AR85" s="7" t="s">
        <v>0</v>
      </c>
      <c r="AS85" s="10" t="str">
        <f>HYPERLINK("https://tessa.gazprom-neft.local/edo/card/80a475ff-8ea1-4521-9b3c-59e7f3fad34f", "https://tessa.gazprom-neft.local/edo/card/80a475ff-8ea1-4521-9b3c-59e7f3fad34f")</f>
        <v>https://tessa.gazprom-neft.local/edo/card/80a475ff-8ea1-4521-9b3c-59e7f3fad34f</v>
      </c>
    </row>
    <row r="86" spans="1:45" hidden="1" x14ac:dyDescent="0.25">
      <c r="A86" s="6" t="s">
        <v>44</v>
      </c>
      <c r="B86" s="7" t="s">
        <v>0</v>
      </c>
      <c r="C86" s="7" t="s">
        <v>492</v>
      </c>
      <c r="D86" s="8" t="s">
        <v>0</v>
      </c>
      <c r="E86" s="8" t="s">
        <v>0</v>
      </c>
      <c r="F86" s="16" t="s">
        <v>6796</v>
      </c>
      <c r="G86" s="7" t="s">
        <v>0</v>
      </c>
      <c r="H86" s="7" t="s">
        <v>0</v>
      </c>
      <c r="I86" s="7" t="s">
        <v>0</v>
      </c>
      <c r="J86" s="7" t="s">
        <v>0</v>
      </c>
      <c r="K86" s="7" t="s">
        <v>47</v>
      </c>
      <c r="L86" s="7" t="s">
        <v>96</v>
      </c>
      <c r="M86" s="7" t="s">
        <v>0</v>
      </c>
      <c r="N86" s="7" t="s">
        <v>6849</v>
      </c>
      <c r="O86" s="7" t="s">
        <v>0</v>
      </c>
      <c r="P86" s="7" t="s">
        <v>6850</v>
      </c>
      <c r="Q86" s="7" t="s">
        <v>6851</v>
      </c>
      <c r="R86" s="7" t="s">
        <v>751</v>
      </c>
      <c r="S86" s="7" t="s">
        <v>751</v>
      </c>
      <c r="T86" s="7" t="s">
        <v>54</v>
      </c>
      <c r="U86" s="7" t="s">
        <v>125</v>
      </c>
      <c r="V86" s="7" t="s">
        <v>126</v>
      </c>
      <c r="W86" s="7" t="s">
        <v>57</v>
      </c>
      <c r="X86" s="7" t="s">
        <v>103</v>
      </c>
      <c r="Y86" s="8">
        <v>45566</v>
      </c>
      <c r="Z86" s="8">
        <v>49309</v>
      </c>
      <c r="AA86" s="7" t="s">
        <v>200</v>
      </c>
      <c r="AB86" s="7" t="s">
        <v>64</v>
      </c>
      <c r="AC86" s="7" t="s">
        <v>65</v>
      </c>
      <c r="AD86" s="7" t="s">
        <v>0</v>
      </c>
      <c r="AE86" s="7" t="s">
        <v>0</v>
      </c>
      <c r="AF86" s="7" t="s">
        <v>0</v>
      </c>
      <c r="AG86" s="7" t="s">
        <v>0</v>
      </c>
      <c r="AH86" s="9" t="s">
        <v>0</v>
      </c>
      <c r="AI86" s="9" t="s">
        <v>0</v>
      </c>
      <c r="AJ86" s="9" t="s">
        <v>0</v>
      </c>
      <c r="AK86" s="7" t="s">
        <v>61</v>
      </c>
      <c r="AL86" s="7" t="s">
        <v>61</v>
      </c>
      <c r="AM86" s="7" t="s">
        <v>0</v>
      </c>
      <c r="AN86" s="7" t="s">
        <v>0</v>
      </c>
      <c r="AO86" s="7" t="s">
        <v>0</v>
      </c>
      <c r="AP86" s="7" t="s">
        <v>0</v>
      </c>
      <c r="AQ86" s="7" t="s">
        <v>61</v>
      </c>
      <c r="AR86" s="7" t="s">
        <v>0</v>
      </c>
      <c r="AS86" s="10" t="str">
        <f>HYPERLINK("https://tessa.gazprom-neft.local/edo/card/476ebb5a-960a-4547-a9f7-ce2d4b3f17be", "https://tessa.gazprom-neft.local/edo/card/476ebb5a-960a-4547-a9f7-ce2d4b3f17be")</f>
        <v>https://tessa.gazprom-neft.local/edo/card/476ebb5a-960a-4547-a9f7-ce2d4b3f17be</v>
      </c>
    </row>
    <row r="87" spans="1:45" x14ac:dyDescent="0.25">
      <c r="A87" s="6" t="s">
        <v>44</v>
      </c>
      <c r="B87" s="7" t="s">
        <v>0</v>
      </c>
      <c r="C87" s="7" t="s">
        <v>492</v>
      </c>
      <c r="D87" s="8" t="s">
        <v>0</v>
      </c>
      <c r="E87" s="8" t="s">
        <v>0</v>
      </c>
      <c r="F87" s="16" t="s">
        <v>6796</v>
      </c>
      <c r="G87" s="7" t="s">
        <v>0</v>
      </c>
      <c r="H87" s="7" t="s">
        <v>0</v>
      </c>
      <c r="I87" s="7" t="s">
        <v>0</v>
      </c>
      <c r="J87" s="7" t="s">
        <v>0</v>
      </c>
      <c r="K87" s="7" t="s">
        <v>47</v>
      </c>
      <c r="L87" s="7" t="s">
        <v>48</v>
      </c>
      <c r="M87" s="7" t="s">
        <v>0</v>
      </c>
      <c r="N87" s="7" t="s">
        <v>6861</v>
      </c>
      <c r="O87" s="7" t="s">
        <v>0</v>
      </c>
      <c r="P87" s="7" t="s">
        <v>6862</v>
      </c>
      <c r="Q87" s="7" t="s">
        <v>6862</v>
      </c>
      <c r="R87" s="7" t="s">
        <v>751</v>
      </c>
      <c r="S87" s="7" t="s">
        <v>751</v>
      </c>
      <c r="T87" s="7" t="s">
        <v>54</v>
      </c>
      <c r="U87" s="7" t="s">
        <v>125</v>
      </c>
      <c r="V87" s="7" t="s">
        <v>126</v>
      </c>
      <c r="W87" s="7" t="s">
        <v>57</v>
      </c>
      <c r="X87" s="7" t="s">
        <v>223</v>
      </c>
      <c r="Y87" s="8">
        <v>45566</v>
      </c>
      <c r="Z87" s="8" t="s">
        <v>0</v>
      </c>
      <c r="AA87" s="7" t="s">
        <v>200</v>
      </c>
      <c r="AB87" s="7" t="s">
        <v>64</v>
      </c>
      <c r="AC87" s="7" t="s">
        <v>65</v>
      </c>
      <c r="AD87" s="7" t="s">
        <v>0</v>
      </c>
      <c r="AE87" s="7" t="s">
        <v>0</v>
      </c>
      <c r="AF87" s="7" t="s">
        <v>0</v>
      </c>
      <c r="AG87" s="7" t="s">
        <v>0</v>
      </c>
      <c r="AH87" s="9" t="s">
        <v>0</v>
      </c>
      <c r="AI87" s="9" t="s">
        <v>0</v>
      </c>
      <c r="AJ87" s="9" t="s">
        <v>0</v>
      </c>
      <c r="AK87" s="7" t="s">
        <v>61</v>
      </c>
      <c r="AL87" s="7" t="s">
        <v>61</v>
      </c>
      <c r="AM87" s="7" t="s">
        <v>0</v>
      </c>
      <c r="AN87" s="7" t="s">
        <v>0</v>
      </c>
      <c r="AO87" s="7" t="s">
        <v>0</v>
      </c>
      <c r="AP87" s="7" t="s">
        <v>0</v>
      </c>
      <c r="AQ87" s="7" t="s">
        <v>61</v>
      </c>
      <c r="AR87" s="7" t="s">
        <v>0</v>
      </c>
      <c r="AS87" s="10" t="str">
        <f>HYPERLINK("https://tessa.gazprom-neft.local/edo/card/fce09988-df83-4af0-83d9-1555d355be6c", "https://tessa.gazprom-neft.local/edo/card/fce09988-df83-4af0-83d9-1555d355be6c")</f>
        <v>https://tessa.gazprom-neft.local/edo/card/fce09988-df83-4af0-83d9-1555d355be6c</v>
      </c>
    </row>
    <row r="88" spans="1:45" hidden="1" x14ac:dyDescent="0.25">
      <c r="A88" s="6" t="s">
        <v>44</v>
      </c>
      <c r="B88" s="7" t="s">
        <v>0</v>
      </c>
      <c r="C88" s="7" t="s">
        <v>218</v>
      </c>
      <c r="D88" s="8" t="s">
        <v>0</v>
      </c>
      <c r="E88" s="8" t="s">
        <v>0</v>
      </c>
      <c r="F88" s="16" t="s">
        <v>0</v>
      </c>
      <c r="G88" s="7" t="s">
        <v>0</v>
      </c>
      <c r="H88" s="7" t="s">
        <v>0</v>
      </c>
      <c r="I88" s="7" t="s">
        <v>0</v>
      </c>
      <c r="J88" s="7" t="s">
        <v>0</v>
      </c>
      <c r="K88" s="7" t="s">
        <v>0</v>
      </c>
      <c r="L88" s="7" t="s">
        <v>0</v>
      </c>
      <c r="M88" s="7" t="s">
        <v>0</v>
      </c>
      <c r="N88" s="7" t="s">
        <v>6863</v>
      </c>
      <c r="O88" s="7" t="s">
        <v>0</v>
      </c>
      <c r="P88" s="7" t="s">
        <v>0</v>
      </c>
      <c r="Q88" s="7" t="s">
        <v>0</v>
      </c>
      <c r="R88" s="7" t="s">
        <v>6506</v>
      </c>
      <c r="S88" s="7" t="s">
        <v>0</v>
      </c>
      <c r="T88" s="7" t="s">
        <v>54</v>
      </c>
      <c r="U88" s="7" t="s">
        <v>468</v>
      </c>
      <c r="V88" s="7" t="s">
        <v>0</v>
      </c>
      <c r="W88" s="7" t="s">
        <v>0</v>
      </c>
      <c r="X88" s="7" t="s">
        <v>0</v>
      </c>
      <c r="Y88" s="8" t="s">
        <v>0</v>
      </c>
      <c r="Z88" s="8" t="s">
        <v>0</v>
      </c>
      <c r="AA88" s="7" t="s">
        <v>0</v>
      </c>
      <c r="AB88" s="7" t="s">
        <v>0</v>
      </c>
      <c r="AC88" s="7" t="s">
        <v>0</v>
      </c>
      <c r="AD88" s="7" t="s">
        <v>0</v>
      </c>
      <c r="AE88" s="7" t="s">
        <v>0</v>
      </c>
      <c r="AF88" s="7" t="s">
        <v>0</v>
      </c>
      <c r="AG88" s="7" t="s">
        <v>0</v>
      </c>
      <c r="AH88" s="9" t="s">
        <v>0</v>
      </c>
      <c r="AI88" s="9" t="s">
        <v>0</v>
      </c>
      <c r="AJ88" s="9" t="s">
        <v>0</v>
      </c>
      <c r="AK88" s="7" t="s">
        <v>61</v>
      </c>
      <c r="AL88" s="7" t="s">
        <v>61</v>
      </c>
      <c r="AM88" s="7" t="s">
        <v>0</v>
      </c>
      <c r="AN88" s="7" t="s">
        <v>0</v>
      </c>
      <c r="AO88" s="7" t="s">
        <v>0</v>
      </c>
      <c r="AP88" s="7" t="s">
        <v>0</v>
      </c>
      <c r="AQ88" s="7" t="s">
        <v>61</v>
      </c>
      <c r="AR88" s="7" t="s">
        <v>0</v>
      </c>
      <c r="AS88" s="10" t="str">
        <f>HYPERLINK("https://tessa.gazprom-neft.local/edo/card/f3b5728e-74ed-4cb9-9270-b4ed08a4592b", "https://tessa.gazprom-neft.local/edo/card/f3b5728e-74ed-4cb9-9270-b4ed08a4592b")</f>
        <v>https://tessa.gazprom-neft.local/edo/card/f3b5728e-74ed-4cb9-9270-b4ed08a4592b</v>
      </c>
    </row>
    <row r="89" spans="1:45" hidden="1" x14ac:dyDescent="0.25">
      <c r="A89" s="6" t="s">
        <v>44</v>
      </c>
      <c r="B89" s="7" t="s">
        <v>0</v>
      </c>
      <c r="C89" s="7" t="s">
        <v>218</v>
      </c>
      <c r="D89" s="8" t="s">
        <v>0</v>
      </c>
      <c r="E89" s="8" t="s">
        <v>0</v>
      </c>
      <c r="F89" s="16" t="s">
        <v>0</v>
      </c>
      <c r="G89" s="7" t="s">
        <v>0</v>
      </c>
      <c r="H89" s="7" t="s">
        <v>0</v>
      </c>
      <c r="I89" s="7" t="s">
        <v>0</v>
      </c>
      <c r="J89" s="7" t="s">
        <v>0</v>
      </c>
      <c r="K89" s="7" t="s">
        <v>0</v>
      </c>
      <c r="L89" s="7" t="s">
        <v>0</v>
      </c>
      <c r="M89" s="7" t="s">
        <v>0</v>
      </c>
      <c r="N89" s="7" t="s">
        <v>6864</v>
      </c>
      <c r="O89" s="7" t="s">
        <v>0</v>
      </c>
      <c r="P89" s="7" t="s">
        <v>0</v>
      </c>
      <c r="Q89" s="7" t="s">
        <v>0</v>
      </c>
      <c r="R89" s="7" t="s">
        <v>282</v>
      </c>
      <c r="S89" s="7" t="s">
        <v>0</v>
      </c>
      <c r="T89" s="7" t="s">
        <v>54</v>
      </c>
      <c r="U89" s="7" t="s">
        <v>0</v>
      </c>
      <c r="V89" s="7" t="s">
        <v>0</v>
      </c>
      <c r="W89" s="7" t="s">
        <v>0</v>
      </c>
      <c r="X89" s="7" t="s">
        <v>0</v>
      </c>
      <c r="Y89" s="8" t="s">
        <v>0</v>
      </c>
      <c r="Z89" s="8" t="s">
        <v>0</v>
      </c>
      <c r="AA89" s="7" t="s">
        <v>0</v>
      </c>
      <c r="AB89" s="7" t="s">
        <v>0</v>
      </c>
      <c r="AC89" s="7" t="s">
        <v>0</v>
      </c>
      <c r="AD89" s="7" t="s">
        <v>0</v>
      </c>
      <c r="AE89" s="7" t="s">
        <v>0</v>
      </c>
      <c r="AF89" s="7" t="s">
        <v>0</v>
      </c>
      <c r="AG89" s="7" t="s">
        <v>0</v>
      </c>
      <c r="AH89" s="9" t="s">
        <v>0</v>
      </c>
      <c r="AI89" s="9" t="s">
        <v>0</v>
      </c>
      <c r="AJ89" s="9" t="s">
        <v>0</v>
      </c>
      <c r="AK89" s="7" t="s">
        <v>61</v>
      </c>
      <c r="AL89" s="7" t="s">
        <v>61</v>
      </c>
      <c r="AM89" s="7" t="s">
        <v>0</v>
      </c>
      <c r="AN89" s="7" t="s">
        <v>0</v>
      </c>
      <c r="AO89" s="7" t="s">
        <v>0</v>
      </c>
      <c r="AP89" s="7" t="s">
        <v>0</v>
      </c>
      <c r="AQ89" s="7" t="s">
        <v>61</v>
      </c>
      <c r="AR89" s="7" t="s">
        <v>0</v>
      </c>
      <c r="AS89" s="10" t="str">
        <f>HYPERLINK("https://tessa.gazprom-neft.local/edo/card/dfd74902-ab69-437d-bef8-4ca5501a07a0", "https://tessa.gazprom-neft.local/edo/card/dfd74902-ab69-437d-bef8-4ca5501a07a0")</f>
        <v>https://tessa.gazprom-neft.local/edo/card/dfd74902-ab69-437d-bef8-4ca5501a07a0</v>
      </c>
    </row>
    <row r="90" spans="1:45" hidden="1" x14ac:dyDescent="0.25">
      <c r="A90" s="6" t="s">
        <v>44</v>
      </c>
      <c r="B90" s="7" t="s">
        <v>0</v>
      </c>
      <c r="C90" s="7" t="s">
        <v>492</v>
      </c>
      <c r="D90" s="8" t="s">
        <v>0</v>
      </c>
      <c r="E90" s="8" t="s">
        <v>0</v>
      </c>
      <c r="F90" s="16" t="s">
        <v>6796</v>
      </c>
      <c r="G90" s="7" t="s">
        <v>0</v>
      </c>
      <c r="H90" s="7" t="s">
        <v>0</v>
      </c>
      <c r="I90" s="7" t="s">
        <v>0</v>
      </c>
      <c r="J90" s="7" t="s">
        <v>0</v>
      </c>
      <c r="K90" s="7" t="s">
        <v>47</v>
      </c>
      <c r="L90" s="7" t="s">
        <v>96</v>
      </c>
      <c r="M90" s="7" t="s">
        <v>0</v>
      </c>
      <c r="N90" s="7" t="s">
        <v>6865</v>
      </c>
      <c r="O90" s="7" t="s">
        <v>0</v>
      </c>
      <c r="P90" s="7" t="s">
        <v>6866</v>
      </c>
      <c r="Q90" s="7" t="s">
        <v>6867</v>
      </c>
      <c r="R90" s="7" t="s">
        <v>751</v>
      </c>
      <c r="S90" s="7" t="s">
        <v>751</v>
      </c>
      <c r="T90" s="7" t="s">
        <v>54</v>
      </c>
      <c r="U90" s="7" t="s">
        <v>125</v>
      </c>
      <c r="V90" s="7" t="s">
        <v>126</v>
      </c>
      <c r="W90" s="7" t="s">
        <v>57</v>
      </c>
      <c r="X90" s="7" t="s">
        <v>103</v>
      </c>
      <c r="Y90" s="8">
        <v>45566</v>
      </c>
      <c r="Z90" s="8">
        <v>49309</v>
      </c>
      <c r="AA90" s="7" t="s">
        <v>200</v>
      </c>
      <c r="AB90" s="7" t="s">
        <v>64</v>
      </c>
      <c r="AC90" s="7" t="s">
        <v>65</v>
      </c>
      <c r="AD90" s="7" t="s">
        <v>0</v>
      </c>
      <c r="AE90" s="7" t="s">
        <v>0</v>
      </c>
      <c r="AF90" s="7" t="s">
        <v>0</v>
      </c>
      <c r="AG90" s="7" t="s">
        <v>0</v>
      </c>
      <c r="AH90" s="9" t="s">
        <v>0</v>
      </c>
      <c r="AI90" s="9" t="s">
        <v>0</v>
      </c>
      <c r="AJ90" s="9" t="s">
        <v>0</v>
      </c>
      <c r="AK90" s="7" t="s">
        <v>61</v>
      </c>
      <c r="AL90" s="7" t="s">
        <v>61</v>
      </c>
      <c r="AM90" s="7" t="s">
        <v>0</v>
      </c>
      <c r="AN90" s="7" t="s">
        <v>0</v>
      </c>
      <c r="AO90" s="7" t="s">
        <v>0</v>
      </c>
      <c r="AP90" s="7" t="s">
        <v>0</v>
      </c>
      <c r="AQ90" s="7" t="s">
        <v>61</v>
      </c>
      <c r="AR90" s="7" t="s">
        <v>0</v>
      </c>
      <c r="AS90" s="10" t="str">
        <f>HYPERLINK("https://tessa.gazprom-neft.local/edo/card/8a257147-55b2-4e79-91e2-ca9ba9d90280", "https://tessa.gazprom-neft.local/edo/card/8a257147-55b2-4e79-91e2-ca9ba9d90280")</f>
        <v>https://tessa.gazprom-neft.local/edo/card/8a257147-55b2-4e79-91e2-ca9ba9d90280</v>
      </c>
    </row>
    <row r="91" spans="1:45" hidden="1" x14ac:dyDescent="0.25">
      <c r="A91" s="6" t="s">
        <v>44</v>
      </c>
      <c r="B91" s="7" t="s">
        <v>0</v>
      </c>
      <c r="C91" s="7" t="s">
        <v>218</v>
      </c>
      <c r="D91" s="8" t="s">
        <v>0</v>
      </c>
      <c r="E91" s="8" t="s">
        <v>0</v>
      </c>
      <c r="F91" s="16" t="s">
        <v>0</v>
      </c>
      <c r="G91" s="7" t="s">
        <v>0</v>
      </c>
      <c r="H91" s="7" t="s">
        <v>0</v>
      </c>
      <c r="I91" s="7" t="s">
        <v>0</v>
      </c>
      <c r="J91" s="7" t="s">
        <v>0</v>
      </c>
      <c r="K91" s="7" t="s">
        <v>47</v>
      </c>
      <c r="L91" s="7" t="s">
        <v>86</v>
      </c>
      <c r="M91" s="7" t="s">
        <v>0</v>
      </c>
      <c r="N91" s="7" t="s">
        <v>6912</v>
      </c>
      <c r="O91" s="7" t="s">
        <v>0</v>
      </c>
      <c r="P91" s="7" t="s">
        <v>0</v>
      </c>
      <c r="Q91" s="7" t="s">
        <v>0</v>
      </c>
      <c r="R91" s="7" t="s">
        <v>349</v>
      </c>
      <c r="S91" s="7" t="s">
        <v>349</v>
      </c>
      <c r="T91" s="7" t="s">
        <v>54</v>
      </c>
      <c r="U91" s="7" t="s">
        <v>101</v>
      </c>
      <c r="V91" s="7" t="s">
        <v>137</v>
      </c>
      <c r="W91" s="7" t="s">
        <v>0</v>
      </c>
      <c r="X91" s="7" t="s">
        <v>103</v>
      </c>
      <c r="Y91" s="8">
        <v>44431</v>
      </c>
      <c r="Z91" s="8">
        <v>45657</v>
      </c>
      <c r="AA91" s="7" t="s">
        <v>0</v>
      </c>
      <c r="AB91" s="7" t="s">
        <v>0</v>
      </c>
      <c r="AC91" s="7" t="s">
        <v>0</v>
      </c>
      <c r="AD91" s="7" t="s">
        <v>0</v>
      </c>
      <c r="AE91" s="7" t="s">
        <v>0</v>
      </c>
      <c r="AF91" s="7" t="s">
        <v>0</v>
      </c>
      <c r="AG91" s="7" t="s">
        <v>0</v>
      </c>
      <c r="AH91" s="9" t="s">
        <v>0</v>
      </c>
      <c r="AI91" s="9" t="s">
        <v>0</v>
      </c>
      <c r="AJ91" s="9" t="s">
        <v>0</v>
      </c>
      <c r="AK91" s="7" t="s">
        <v>61</v>
      </c>
      <c r="AL91" s="7" t="s">
        <v>61</v>
      </c>
      <c r="AM91" s="7" t="s">
        <v>0</v>
      </c>
      <c r="AN91" s="7" t="s">
        <v>0</v>
      </c>
      <c r="AO91" s="7" t="s">
        <v>0</v>
      </c>
      <c r="AP91" s="7" t="s">
        <v>0</v>
      </c>
      <c r="AQ91" s="7" t="s">
        <v>61</v>
      </c>
      <c r="AR91" s="7" t="s">
        <v>0</v>
      </c>
      <c r="AS91" s="10" t="str">
        <f>HYPERLINK("https://tessa.gazprom-neft.local/edo/card/841acdfa-e19f-4656-8b1f-8a58333f013c", "https://tessa.gazprom-neft.local/edo/card/841acdfa-e19f-4656-8b1f-8a58333f013c")</f>
        <v>https://tessa.gazprom-neft.local/edo/card/841acdfa-e19f-4656-8b1f-8a58333f013c</v>
      </c>
    </row>
    <row r="92" spans="1:45" x14ac:dyDescent="0.25">
      <c r="A92" s="6" t="s">
        <v>44</v>
      </c>
      <c r="B92" s="7" t="s">
        <v>0</v>
      </c>
      <c r="C92" s="7" t="s">
        <v>218</v>
      </c>
      <c r="D92" s="8" t="s">
        <v>0</v>
      </c>
      <c r="E92" s="8" t="s">
        <v>0</v>
      </c>
      <c r="F92" s="16" t="s">
        <v>0</v>
      </c>
      <c r="G92" s="7" t="s">
        <v>0</v>
      </c>
      <c r="H92" s="7" t="s">
        <v>0</v>
      </c>
      <c r="I92" s="7" t="s">
        <v>0</v>
      </c>
      <c r="J92" s="7" t="s">
        <v>0</v>
      </c>
      <c r="K92" s="7" t="s">
        <v>85</v>
      </c>
      <c r="L92" s="7" t="s">
        <v>48</v>
      </c>
      <c r="M92" s="7" t="s">
        <v>1134</v>
      </c>
      <c r="N92" s="7" t="s">
        <v>6926</v>
      </c>
      <c r="O92" s="7" t="s">
        <v>0</v>
      </c>
      <c r="P92" s="7" t="s">
        <v>1134</v>
      </c>
      <c r="Q92" s="7" t="s">
        <v>0</v>
      </c>
      <c r="R92" s="7" t="s">
        <v>282</v>
      </c>
      <c r="S92" s="7" t="s">
        <v>0</v>
      </c>
      <c r="T92" s="7" t="s">
        <v>54</v>
      </c>
      <c r="U92" s="7" t="s">
        <v>136</v>
      </c>
      <c r="V92" s="7" t="s">
        <v>0</v>
      </c>
      <c r="W92" s="7" t="s">
        <v>0</v>
      </c>
      <c r="X92" s="7" t="s">
        <v>0</v>
      </c>
      <c r="Y92" s="8" t="s">
        <v>0</v>
      </c>
      <c r="Z92" s="8" t="s">
        <v>0</v>
      </c>
      <c r="AA92" s="7" t="s">
        <v>0</v>
      </c>
      <c r="AB92" s="7" t="s">
        <v>0</v>
      </c>
      <c r="AC92" s="7" t="s">
        <v>0</v>
      </c>
      <c r="AD92" s="7" t="s">
        <v>0</v>
      </c>
      <c r="AE92" s="7" t="s">
        <v>0</v>
      </c>
      <c r="AF92" s="7" t="s">
        <v>0</v>
      </c>
      <c r="AG92" s="7" t="s">
        <v>0</v>
      </c>
      <c r="AH92" s="9" t="s">
        <v>0</v>
      </c>
      <c r="AI92" s="9" t="s">
        <v>0</v>
      </c>
      <c r="AJ92" s="9" t="s">
        <v>0</v>
      </c>
      <c r="AK92" s="7" t="s">
        <v>61</v>
      </c>
      <c r="AL92" s="7" t="s">
        <v>61</v>
      </c>
      <c r="AM92" s="7" t="s">
        <v>0</v>
      </c>
      <c r="AN92" s="7" t="s">
        <v>0</v>
      </c>
      <c r="AO92" s="7" t="s">
        <v>0</v>
      </c>
      <c r="AP92" s="7" t="s">
        <v>0</v>
      </c>
      <c r="AQ92" s="7" t="s">
        <v>61</v>
      </c>
      <c r="AR92" s="7" t="s">
        <v>0</v>
      </c>
      <c r="AS92" s="10" t="str">
        <f>HYPERLINK("https://tessa.gazprom-neft.local/edo/card/e7f07030-f8fa-4716-bf2b-d9a8738f5f0d", "https://tessa.gazprom-neft.local/edo/card/e7f07030-f8fa-4716-bf2b-d9a8738f5f0d")</f>
        <v>https://tessa.gazprom-neft.local/edo/card/e7f07030-f8fa-4716-bf2b-d9a8738f5f0d</v>
      </c>
    </row>
    <row r="93" spans="1:45" x14ac:dyDescent="0.25">
      <c r="A93" s="6" t="s">
        <v>44</v>
      </c>
      <c r="B93" s="7" t="s">
        <v>0</v>
      </c>
      <c r="C93" s="7" t="s">
        <v>218</v>
      </c>
      <c r="D93" s="8" t="s">
        <v>0</v>
      </c>
      <c r="E93" s="8" t="s">
        <v>0</v>
      </c>
      <c r="F93" s="16" t="s">
        <v>0</v>
      </c>
      <c r="G93" s="7" t="s">
        <v>0</v>
      </c>
      <c r="H93" s="7" t="s">
        <v>0</v>
      </c>
      <c r="I93" s="7" t="s">
        <v>0</v>
      </c>
      <c r="J93" s="7" t="s">
        <v>0</v>
      </c>
      <c r="K93" s="7" t="s">
        <v>85</v>
      </c>
      <c r="L93" s="7" t="s">
        <v>48</v>
      </c>
      <c r="M93" s="7" t="s">
        <v>1134</v>
      </c>
      <c r="N93" s="7" t="s">
        <v>6939</v>
      </c>
      <c r="O93" s="7" t="s">
        <v>0</v>
      </c>
      <c r="P93" s="7" t="s">
        <v>1134</v>
      </c>
      <c r="Q93" s="7" t="s">
        <v>0</v>
      </c>
      <c r="R93" s="7" t="s">
        <v>6940</v>
      </c>
      <c r="S93" s="7" t="s">
        <v>0</v>
      </c>
      <c r="T93" s="7" t="s">
        <v>54</v>
      </c>
      <c r="U93" s="7" t="s">
        <v>136</v>
      </c>
      <c r="V93" s="7" t="s">
        <v>0</v>
      </c>
      <c r="W93" s="7" t="s">
        <v>0</v>
      </c>
      <c r="X93" s="7" t="s">
        <v>0</v>
      </c>
      <c r="Y93" s="8" t="s">
        <v>0</v>
      </c>
      <c r="Z93" s="8" t="s">
        <v>0</v>
      </c>
      <c r="AA93" s="7" t="s">
        <v>0</v>
      </c>
      <c r="AB93" s="7" t="s">
        <v>0</v>
      </c>
      <c r="AC93" s="7" t="s">
        <v>0</v>
      </c>
      <c r="AD93" s="7" t="s">
        <v>0</v>
      </c>
      <c r="AE93" s="7" t="s">
        <v>0</v>
      </c>
      <c r="AF93" s="7" t="s">
        <v>0</v>
      </c>
      <c r="AG93" s="7" t="s">
        <v>0</v>
      </c>
      <c r="AH93" s="9" t="s">
        <v>0</v>
      </c>
      <c r="AI93" s="9" t="s">
        <v>0</v>
      </c>
      <c r="AJ93" s="9" t="s">
        <v>0</v>
      </c>
      <c r="AK93" s="7" t="s">
        <v>61</v>
      </c>
      <c r="AL93" s="7" t="s">
        <v>61</v>
      </c>
      <c r="AM93" s="7" t="s">
        <v>0</v>
      </c>
      <c r="AN93" s="7" t="s">
        <v>0</v>
      </c>
      <c r="AO93" s="7" t="s">
        <v>0</v>
      </c>
      <c r="AP93" s="7" t="s">
        <v>0</v>
      </c>
      <c r="AQ93" s="7" t="s">
        <v>61</v>
      </c>
      <c r="AR93" s="7" t="s">
        <v>0</v>
      </c>
      <c r="AS93" s="10" t="str">
        <f>HYPERLINK("https://tessa.gazprom-neft.local/edo/card/5a47ac88-0878-423b-bd87-6f5e3cbeb8c1", "https://tessa.gazprom-neft.local/edo/card/5a47ac88-0878-423b-bd87-6f5e3cbeb8c1")</f>
        <v>https://tessa.gazprom-neft.local/edo/card/5a47ac88-0878-423b-bd87-6f5e3cbeb8c1</v>
      </c>
    </row>
    <row r="94" spans="1:45" hidden="1" x14ac:dyDescent="0.25">
      <c r="A94" s="6" t="s">
        <v>44</v>
      </c>
      <c r="B94" s="7" t="s">
        <v>6046</v>
      </c>
      <c r="C94" s="7" t="s">
        <v>492</v>
      </c>
      <c r="D94" s="8" t="s">
        <v>0</v>
      </c>
      <c r="E94" s="8" t="s">
        <v>0</v>
      </c>
      <c r="F94" s="16" t="s">
        <v>6047</v>
      </c>
      <c r="G94" s="7" t="s">
        <v>6048</v>
      </c>
      <c r="H94" s="7" t="s">
        <v>0</v>
      </c>
      <c r="I94" s="7" t="s">
        <v>0</v>
      </c>
      <c r="J94" s="7" t="s">
        <v>0</v>
      </c>
      <c r="K94" s="7" t="s">
        <v>47</v>
      </c>
      <c r="L94" s="7" t="s">
        <v>96</v>
      </c>
      <c r="M94" s="7" t="s">
        <v>0</v>
      </c>
      <c r="N94" s="7" t="s">
        <v>6941</v>
      </c>
      <c r="O94" s="7" t="s">
        <v>0</v>
      </c>
      <c r="P94" s="7" t="s">
        <v>6942</v>
      </c>
      <c r="Q94" s="7" t="s">
        <v>6943</v>
      </c>
      <c r="R94" s="7" t="s">
        <v>1139</v>
      </c>
      <c r="S94" s="7" t="s">
        <v>1120</v>
      </c>
      <c r="T94" s="7" t="s">
        <v>54</v>
      </c>
      <c r="U94" s="7" t="s">
        <v>362</v>
      </c>
      <c r="V94" s="7" t="s">
        <v>295</v>
      </c>
      <c r="W94" s="7" t="s">
        <v>74</v>
      </c>
      <c r="X94" s="7" t="s">
        <v>103</v>
      </c>
      <c r="Y94" s="8">
        <v>45565</v>
      </c>
      <c r="Z94" s="8">
        <v>46022</v>
      </c>
      <c r="AA94" s="7" t="s">
        <v>6944</v>
      </c>
      <c r="AB94" s="7" t="s">
        <v>64</v>
      </c>
      <c r="AC94" s="7" t="s">
        <v>79</v>
      </c>
      <c r="AD94" s="7" t="s">
        <v>144</v>
      </c>
      <c r="AE94" s="7" t="s">
        <v>82</v>
      </c>
      <c r="AF94" s="7" t="s">
        <v>0</v>
      </c>
      <c r="AG94" s="7" t="s">
        <v>0</v>
      </c>
      <c r="AH94" s="9" t="s">
        <v>12902</v>
      </c>
      <c r="AI94" s="9" t="s">
        <v>13010</v>
      </c>
      <c r="AJ94" s="9" t="s">
        <v>12808</v>
      </c>
      <c r="AK94" s="7" t="s">
        <v>61</v>
      </c>
      <c r="AL94" s="7" t="s">
        <v>61</v>
      </c>
      <c r="AM94" s="7" t="s">
        <v>0</v>
      </c>
      <c r="AN94" s="7" t="s">
        <v>0</v>
      </c>
      <c r="AO94" s="7" t="s">
        <v>0</v>
      </c>
      <c r="AP94" s="7" t="s">
        <v>0</v>
      </c>
      <c r="AQ94" s="7" t="s">
        <v>61</v>
      </c>
      <c r="AR94" s="7" t="s">
        <v>0</v>
      </c>
      <c r="AS94" s="10" t="str">
        <f>HYPERLINK("https://tessa.gazprom-neft.local/edo/card/22dc6b2a-b0f5-43fc-95c9-4a150af7065a", "https://tessa.gazprom-neft.local/edo/card/22dc6b2a-b0f5-43fc-95c9-4a150af7065a")</f>
        <v>https://tessa.gazprom-neft.local/edo/card/22dc6b2a-b0f5-43fc-95c9-4a150af7065a</v>
      </c>
    </row>
    <row r="95" spans="1:45" hidden="1" x14ac:dyDescent="0.25">
      <c r="A95" s="6" t="s">
        <v>44</v>
      </c>
      <c r="B95" s="7" t="s">
        <v>1084</v>
      </c>
      <c r="C95" s="7" t="s">
        <v>492</v>
      </c>
      <c r="D95" s="8" t="s">
        <v>0</v>
      </c>
      <c r="E95" s="8" t="s">
        <v>0</v>
      </c>
      <c r="F95" s="16" t="s">
        <v>1085</v>
      </c>
      <c r="G95" s="7" t="s">
        <v>1086</v>
      </c>
      <c r="H95" s="7" t="s">
        <v>0</v>
      </c>
      <c r="I95" s="7" t="s">
        <v>0</v>
      </c>
      <c r="J95" s="7" t="s">
        <v>0</v>
      </c>
      <c r="K95" s="7" t="s">
        <v>47</v>
      </c>
      <c r="L95" s="7" t="s">
        <v>86</v>
      </c>
      <c r="M95" s="7" t="s">
        <v>0</v>
      </c>
      <c r="N95" s="7" t="s">
        <v>6995</v>
      </c>
      <c r="O95" s="7" t="s">
        <v>0</v>
      </c>
      <c r="P95" s="7" t="s">
        <v>259</v>
      </c>
      <c r="Q95" s="7" t="s">
        <v>259</v>
      </c>
      <c r="R95" s="7" t="s">
        <v>1083</v>
      </c>
      <c r="S95" s="7" t="s">
        <v>1638</v>
      </c>
      <c r="T95" s="7" t="s">
        <v>54</v>
      </c>
      <c r="U95" s="7" t="s">
        <v>274</v>
      </c>
      <c r="V95" s="7" t="s">
        <v>846</v>
      </c>
      <c r="W95" s="7" t="s">
        <v>57</v>
      </c>
      <c r="X95" s="7" t="s">
        <v>223</v>
      </c>
      <c r="Y95" s="8">
        <v>44398</v>
      </c>
      <c r="Z95" s="8" t="s">
        <v>0</v>
      </c>
      <c r="AA95" s="7" t="s">
        <v>0</v>
      </c>
      <c r="AB95" s="7" t="s">
        <v>139</v>
      </c>
      <c r="AC95" s="7" t="s">
        <v>65</v>
      </c>
      <c r="AD95" s="7" t="s">
        <v>0</v>
      </c>
      <c r="AE95" s="7" t="s">
        <v>0</v>
      </c>
      <c r="AF95" s="7" t="s">
        <v>0</v>
      </c>
      <c r="AG95" s="7" t="s">
        <v>0</v>
      </c>
      <c r="AH95" s="9" t="s">
        <v>0</v>
      </c>
      <c r="AI95" s="9" t="s">
        <v>0</v>
      </c>
      <c r="AJ95" s="9" t="s">
        <v>0</v>
      </c>
      <c r="AK95" s="7" t="s">
        <v>61</v>
      </c>
      <c r="AL95" s="7" t="s">
        <v>61</v>
      </c>
      <c r="AM95" s="7" t="s">
        <v>0</v>
      </c>
      <c r="AN95" s="7" t="s">
        <v>0</v>
      </c>
      <c r="AO95" s="7" t="s">
        <v>0</v>
      </c>
      <c r="AP95" s="7" t="s">
        <v>0</v>
      </c>
      <c r="AQ95" s="7" t="s">
        <v>61</v>
      </c>
      <c r="AR95" s="7" t="s">
        <v>0</v>
      </c>
      <c r="AS95" s="10" t="str">
        <f>HYPERLINK("https://tessa.gazprom-neft.local/edo/card/9e191d15-d4f9-4aa7-a8b6-dc1b226e6862", "https://tessa.gazprom-neft.local/edo/card/9e191d15-d4f9-4aa7-a8b6-dc1b226e6862")</f>
        <v>https://tessa.gazprom-neft.local/edo/card/9e191d15-d4f9-4aa7-a8b6-dc1b226e6862</v>
      </c>
    </row>
    <row r="96" spans="1:45" x14ac:dyDescent="0.25">
      <c r="A96" s="6" t="s">
        <v>44</v>
      </c>
      <c r="B96" s="7" t="s">
        <v>0</v>
      </c>
      <c r="C96" s="7" t="s">
        <v>492</v>
      </c>
      <c r="D96" s="8" t="s">
        <v>0</v>
      </c>
      <c r="E96" s="8" t="s">
        <v>0</v>
      </c>
      <c r="F96" s="16" t="s">
        <v>7001</v>
      </c>
      <c r="G96" s="7" t="s">
        <v>0</v>
      </c>
      <c r="H96" s="7" t="s">
        <v>0</v>
      </c>
      <c r="I96" s="7" t="s">
        <v>0</v>
      </c>
      <c r="J96" s="7" t="s">
        <v>0</v>
      </c>
      <c r="K96" s="7" t="s">
        <v>47</v>
      </c>
      <c r="L96" s="7" t="s">
        <v>48</v>
      </c>
      <c r="M96" s="7" t="s">
        <v>0</v>
      </c>
      <c r="N96" s="7" t="s">
        <v>6999</v>
      </c>
      <c r="O96" s="7" t="s">
        <v>0</v>
      </c>
      <c r="P96" s="7" t="s">
        <v>7000</v>
      </c>
      <c r="Q96" s="7" t="s">
        <v>7000</v>
      </c>
      <c r="R96" s="7" t="s">
        <v>751</v>
      </c>
      <c r="S96" s="7" t="s">
        <v>751</v>
      </c>
      <c r="T96" s="7" t="s">
        <v>54</v>
      </c>
      <c r="U96" s="7" t="s">
        <v>125</v>
      </c>
      <c r="V96" s="7" t="s">
        <v>126</v>
      </c>
      <c r="W96" s="7" t="s">
        <v>57</v>
      </c>
      <c r="X96" s="7" t="s">
        <v>223</v>
      </c>
      <c r="Y96" s="8">
        <v>45566</v>
      </c>
      <c r="Z96" s="8" t="s">
        <v>0</v>
      </c>
      <c r="AA96" s="7" t="s">
        <v>200</v>
      </c>
      <c r="AB96" s="7" t="s">
        <v>64</v>
      </c>
      <c r="AC96" s="7" t="s">
        <v>65</v>
      </c>
      <c r="AD96" s="7" t="s">
        <v>0</v>
      </c>
      <c r="AE96" s="7" t="s">
        <v>0</v>
      </c>
      <c r="AF96" s="7" t="s">
        <v>0</v>
      </c>
      <c r="AG96" s="7" t="s">
        <v>0</v>
      </c>
      <c r="AH96" s="9" t="s">
        <v>0</v>
      </c>
      <c r="AI96" s="9" t="s">
        <v>0</v>
      </c>
      <c r="AJ96" s="9" t="s">
        <v>0</v>
      </c>
      <c r="AK96" s="7" t="s">
        <v>61</v>
      </c>
      <c r="AL96" s="7" t="s">
        <v>61</v>
      </c>
      <c r="AM96" s="7" t="s">
        <v>0</v>
      </c>
      <c r="AN96" s="7" t="s">
        <v>0</v>
      </c>
      <c r="AO96" s="7" t="s">
        <v>0</v>
      </c>
      <c r="AP96" s="7" t="s">
        <v>0</v>
      </c>
      <c r="AQ96" s="7" t="s">
        <v>61</v>
      </c>
      <c r="AR96" s="7" t="s">
        <v>0</v>
      </c>
      <c r="AS96" s="10" t="str">
        <f>HYPERLINK("https://tessa.gazprom-neft.local/edo/card/d01add3e-b199-47ae-b518-b58471a3bc84", "https://tessa.gazprom-neft.local/edo/card/d01add3e-b199-47ae-b518-b58471a3bc84")</f>
        <v>https://tessa.gazprom-neft.local/edo/card/d01add3e-b199-47ae-b518-b58471a3bc84</v>
      </c>
    </row>
    <row r="97" spans="1:45" hidden="1" x14ac:dyDescent="0.25">
      <c r="A97" s="6" t="s">
        <v>44</v>
      </c>
      <c r="B97" s="7" t="s">
        <v>0</v>
      </c>
      <c r="C97" s="7" t="s">
        <v>218</v>
      </c>
      <c r="D97" s="8" t="s">
        <v>0</v>
      </c>
      <c r="E97" s="8" t="s">
        <v>0</v>
      </c>
      <c r="F97" s="16" t="s">
        <v>7004</v>
      </c>
      <c r="G97" s="7" t="s">
        <v>0</v>
      </c>
      <c r="H97" s="7" t="s">
        <v>0</v>
      </c>
      <c r="I97" s="7" t="s">
        <v>0</v>
      </c>
      <c r="J97" s="7" t="s">
        <v>0</v>
      </c>
      <c r="K97" s="7" t="s">
        <v>47</v>
      </c>
      <c r="L97" s="7" t="s">
        <v>96</v>
      </c>
      <c r="M97" s="7" t="s">
        <v>0</v>
      </c>
      <c r="N97" s="7" t="s">
        <v>7002</v>
      </c>
      <c r="O97" s="7" t="s">
        <v>0</v>
      </c>
      <c r="P97" s="7" t="s">
        <v>0</v>
      </c>
      <c r="Q97" s="7" t="s">
        <v>7003</v>
      </c>
      <c r="R97" s="7" t="s">
        <v>590</v>
      </c>
      <c r="S97" s="7" t="s">
        <v>394</v>
      </c>
      <c r="T97" s="7" t="s">
        <v>54</v>
      </c>
      <c r="U97" s="7" t="s">
        <v>591</v>
      </c>
      <c r="V97" s="7" t="s">
        <v>126</v>
      </c>
      <c r="W97" s="7" t="s">
        <v>57</v>
      </c>
      <c r="X97" s="7" t="s">
        <v>58</v>
      </c>
      <c r="Y97" s="8" t="s">
        <v>0</v>
      </c>
      <c r="Z97" s="8" t="s">
        <v>0</v>
      </c>
      <c r="AA97" s="7" t="s">
        <v>224</v>
      </c>
      <c r="AB97" s="7" t="s">
        <v>387</v>
      </c>
      <c r="AC97" s="7" t="s">
        <v>79</v>
      </c>
      <c r="AD97" s="7" t="s">
        <v>144</v>
      </c>
      <c r="AE97" s="7" t="s">
        <v>82</v>
      </c>
      <c r="AF97" s="7" t="s">
        <v>0</v>
      </c>
      <c r="AG97" s="7" t="s">
        <v>0</v>
      </c>
      <c r="AH97" s="9" t="s">
        <v>13031</v>
      </c>
      <c r="AI97" s="9" t="s">
        <v>13032</v>
      </c>
      <c r="AJ97" s="9" t="s">
        <v>13033</v>
      </c>
      <c r="AK97" s="7" t="s">
        <v>61</v>
      </c>
      <c r="AL97" s="7" t="s">
        <v>61</v>
      </c>
      <c r="AM97" s="7" t="s">
        <v>0</v>
      </c>
      <c r="AN97" s="7" t="s">
        <v>0</v>
      </c>
      <c r="AO97" s="7" t="s">
        <v>0</v>
      </c>
      <c r="AP97" s="7" t="s">
        <v>0</v>
      </c>
      <c r="AQ97" s="7" t="s">
        <v>61</v>
      </c>
      <c r="AR97" s="7" t="s">
        <v>0</v>
      </c>
      <c r="AS97" s="10" t="str">
        <f>HYPERLINK("https://tessa.gazprom-neft.local/edo/card/5dba3640-7868-4829-8b05-568c1ccc962c", "https://tessa.gazprom-neft.local/edo/card/5dba3640-7868-4829-8b05-568c1ccc962c")</f>
        <v>https://tessa.gazprom-neft.local/edo/card/5dba3640-7868-4829-8b05-568c1ccc962c</v>
      </c>
    </row>
    <row r="98" spans="1:45" hidden="1" x14ac:dyDescent="0.25">
      <c r="A98" s="6" t="s">
        <v>44</v>
      </c>
      <c r="B98" s="7" t="s">
        <v>0</v>
      </c>
      <c r="C98" s="7" t="s">
        <v>218</v>
      </c>
      <c r="D98" s="8" t="s">
        <v>0</v>
      </c>
      <c r="E98" s="8" t="s">
        <v>0</v>
      </c>
      <c r="F98" s="16" t="s">
        <v>0</v>
      </c>
      <c r="G98" s="7" t="s">
        <v>0</v>
      </c>
      <c r="H98" s="7" t="s">
        <v>0</v>
      </c>
      <c r="I98" s="7" t="s">
        <v>0</v>
      </c>
      <c r="J98" s="7" t="s">
        <v>0</v>
      </c>
      <c r="K98" s="7" t="s">
        <v>0</v>
      </c>
      <c r="L98" s="7" t="s">
        <v>0</v>
      </c>
      <c r="M98" s="7" t="s">
        <v>0</v>
      </c>
      <c r="N98" s="7" t="s">
        <v>7204</v>
      </c>
      <c r="O98" s="7" t="s">
        <v>0</v>
      </c>
      <c r="P98" s="7" t="s">
        <v>0</v>
      </c>
      <c r="Q98" s="7" t="s">
        <v>0</v>
      </c>
      <c r="R98" s="7" t="s">
        <v>381</v>
      </c>
      <c r="S98" s="7" t="s">
        <v>0</v>
      </c>
      <c r="T98" s="7" t="s">
        <v>54</v>
      </c>
      <c r="U98" s="7" t="s">
        <v>222</v>
      </c>
      <c r="V98" s="7" t="s">
        <v>0</v>
      </c>
      <c r="W98" s="7" t="s">
        <v>0</v>
      </c>
      <c r="X98" s="7" t="s">
        <v>0</v>
      </c>
      <c r="Y98" s="8" t="s">
        <v>0</v>
      </c>
      <c r="Z98" s="8" t="s">
        <v>0</v>
      </c>
      <c r="AA98" s="7" t="s">
        <v>0</v>
      </c>
      <c r="AB98" s="7" t="s">
        <v>0</v>
      </c>
      <c r="AC98" s="7" t="s">
        <v>0</v>
      </c>
      <c r="AD98" s="7" t="s">
        <v>0</v>
      </c>
      <c r="AE98" s="7" t="s">
        <v>0</v>
      </c>
      <c r="AF98" s="7" t="s">
        <v>0</v>
      </c>
      <c r="AG98" s="7" t="s">
        <v>0</v>
      </c>
      <c r="AH98" s="9" t="s">
        <v>0</v>
      </c>
      <c r="AI98" s="9" t="s">
        <v>0</v>
      </c>
      <c r="AJ98" s="9" t="s">
        <v>0</v>
      </c>
      <c r="AK98" s="7" t="s">
        <v>61</v>
      </c>
      <c r="AL98" s="7" t="s">
        <v>61</v>
      </c>
      <c r="AM98" s="7" t="s">
        <v>0</v>
      </c>
      <c r="AN98" s="7" t="s">
        <v>0</v>
      </c>
      <c r="AO98" s="7" t="s">
        <v>0</v>
      </c>
      <c r="AP98" s="7" t="s">
        <v>0</v>
      </c>
      <c r="AQ98" s="7" t="s">
        <v>61</v>
      </c>
      <c r="AR98" s="7" t="s">
        <v>0</v>
      </c>
      <c r="AS98" s="10" t="str">
        <f>HYPERLINK("https://tessa.gazprom-neft.local/edo/card/37583fc3-e885-4044-8ece-a3621e280031", "https://tessa.gazprom-neft.local/edo/card/37583fc3-e885-4044-8ece-a3621e280031")</f>
        <v>https://tessa.gazprom-neft.local/edo/card/37583fc3-e885-4044-8ece-a3621e280031</v>
      </c>
    </row>
    <row r="99" spans="1:45" x14ac:dyDescent="0.25">
      <c r="A99" s="6" t="s">
        <v>44</v>
      </c>
      <c r="B99" s="7" t="s">
        <v>1640</v>
      </c>
      <c r="C99" s="7" t="s">
        <v>492</v>
      </c>
      <c r="D99" s="8" t="s">
        <v>0</v>
      </c>
      <c r="E99" s="8" t="s">
        <v>0</v>
      </c>
      <c r="F99" s="16" t="s">
        <v>1641</v>
      </c>
      <c r="G99" s="7" t="s">
        <v>1642</v>
      </c>
      <c r="H99" s="7" t="s">
        <v>7350</v>
      </c>
      <c r="I99" s="7" t="s">
        <v>0</v>
      </c>
      <c r="J99" s="7" t="s">
        <v>0</v>
      </c>
      <c r="K99" s="7" t="s">
        <v>47</v>
      </c>
      <c r="L99" s="7" t="s">
        <v>48</v>
      </c>
      <c r="M99" s="7" t="s">
        <v>0</v>
      </c>
      <c r="N99" s="7" t="s">
        <v>7349</v>
      </c>
      <c r="O99" s="7" t="s">
        <v>0</v>
      </c>
      <c r="P99" s="7" t="s">
        <v>7351</v>
      </c>
      <c r="Q99" s="7" t="s">
        <v>7352</v>
      </c>
      <c r="R99" s="7" t="s">
        <v>1083</v>
      </c>
      <c r="S99" s="7" t="s">
        <v>1638</v>
      </c>
      <c r="T99" s="7" t="s">
        <v>54</v>
      </c>
      <c r="U99" s="7" t="s">
        <v>274</v>
      </c>
      <c r="V99" s="7" t="s">
        <v>846</v>
      </c>
      <c r="W99" s="7" t="s">
        <v>57</v>
      </c>
      <c r="X99" s="7" t="s">
        <v>103</v>
      </c>
      <c r="Y99" s="8">
        <v>44742</v>
      </c>
      <c r="Z99" s="8">
        <v>44926</v>
      </c>
      <c r="AA99" s="7" t="s">
        <v>847</v>
      </c>
      <c r="AB99" s="7" t="s">
        <v>64</v>
      </c>
      <c r="AC99" s="7" t="s">
        <v>65</v>
      </c>
      <c r="AD99" s="7" t="s">
        <v>80</v>
      </c>
      <c r="AE99" s="7" t="s">
        <v>0</v>
      </c>
      <c r="AF99" s="7" t="s">
        <v>0</v>
      </c>
      <c r="AG99" s="7" t="s">
        <v>0</v>
      </c>
      <c r="AH99" s="9" t="s">
        <v>0</v>
      </c>
      <c r="AI99" s="9" t="s">
        <v>0</v>
      </c>
      <c r="AJ99" s="9" t="s">
        <v>0</v>
      </c>
      <c r="AK99" s="7" t="s">
        <v>61</v>
      </c>
      <c r="AL99" s="7" t="s">
        <v>61</v>
      </c>
      <c r="AM99" s="7" t="s">
        <v>0</v>
      </c>
      <c r="AN99" s="7" t="s">
        <v>0</v>
      </c>
      <c r="AO99" s="7" t="s">
        <v>0</v>
      </c>
      <c r="AP99" s="7" t="s">
        <v>0</v>
      </c>
      <c r="AQ99" s="7" t="s">
        <v>61</v>
      </c>
      <c r="AR99" s="7" t="s">
        <v>0</v>
      </c>
      <c r="AS99" s="10" t="str">
        <f>HYPERLINK("https://tessa.gazprom-neft.local/edo/card/952c2c82-4594-4499-93ea-da5d51271d73", "https://tessa.gazprom-neft.local/edo/card/952c2c82-4594-4499-93ea-da5d51271d73")</f>
        <v>https://tessa.gazprom-neft.local/edo/card/952c2c82-4594-4499-93ea-da5d51271d73</v>
      </c>
    </row>
    <row r="100" spans="1:45" hidden="1" x14ac:dyDescent="0.25">
      <c r="A100" s="6" t="s">
        <v>44</v>
      </c>
      <c r="B100" s="7" t="s">
        <v>0</v>
      </c>
      <c r="C100" s="7" t="s">
        <v>218</v>
      </c>
      <c r="D100" s="8" t="s">
        <v>0</v>
      </c>
      <c r="E100" s="8" t="s">
        <v>0</v>
      </c>
      <c r="F100" s="16" t="s">
        <v>0</v>
      </c>
      <c r="G100" s="7" t="s">
        <v>0</v>
      </c>
      <c r="H100" s="7" t="s">
        <v>0</v>
      </c>
      <c r="I100" s="7" t="s">
        <v>0</v>
      </c>
      <c r="J100" s="7" t="s">
        <v>0</v>
      </c>
      <c r="K100" s="7" t="s">
        <v>85</v>
      </c>
      <c r="L100" s="7" t="s">
        <v>86</v>
      </c>
      <c r="M100" s="7" t="s">
        <v>289</v>
      </c>
      <c r="N100" s="7" t="s">
        <v>7355</v>
      </c>
      <c r="O100" s="7" t="s">
        <v>0</v>
      </c>
      <c r="P100" s="7" t="s">
        <v>289</v>
      </c>
      <c r="Q100" s="7" t="s">
        <v>0</v>
      </c>
      <c r="R100" s="7" t="s">
        <v>5423</v>
      </c>
      <c r="S100" s="7" t="s">
        <v>0</v>
      </c>
      <c r="T100" s="7" t="s">
        <v>54</v>
      </c>
      <c r="U100" s="7" t="s">
        <v>199</v>
      </c>
      <c r="V100" s="7" t="s">
        <v>0</v>
      </c>
      <c r="W100" s="7" t="s">
        <v>0</v>
      </c>
      <c r="X100" s="7" t="s">
        <v>0</v>
      </c>
      <c r="Y100" s="8" t="s">
        <v>0</v>
      </c>
      <c r="Z100" s="8" t="s">
        <v>0</v>
      </c>
      <c r="AA100" s="7" t="s">
        <v>0</v>
      </c>
      <c r="AB100" s="7" t="s">
        <v>300</v>
      </c>
      <c r="AC100" s="7" t="s">
        <v>65</v>
      </c>
      <c r="AD100" s="7" t="s">
        <v>0</v>
      </c>
      <c r="AE100" s="7" t="s">
        <v>0</v>
      </c>
      <c r="AF100" s="7" t="s">
        <v>0</v>
      </c>
      <c r="AG100" s="7" t="s">
        <v>0</v>
      </c>
      <c r="AH100" s="9" t="s">
        <v>0</v>
      </c>
      <c r="AI100" s="9" t="s">
        <v>0</v>
      </c>
      <c r="AJ100" s="9" t="s">
        <v>0</v>
      </c>
      <c r="AK100" s="7" t="s">
        <v>61</v>
      </c>
      <c r="AL100" s="7" t="s">
        <v>61</v>
      </c>
      <c r="AM100" s="7" t="s">
        <v>0</v>
      </c>
      <c r="AN100" s="7" t="s">
        <v>0</v>
      </c>
      <c r="AO100" s="7" t="s">
        <v>0</v>
      </c>
      <c r="AP100" s="7" t="s">
        <v>0</v>
      </c>
      <c r="AQ100" s="7" t="s">
        <v>61</v>
      </c>
      <c r="AR100" s="7" t="s">
        <v>0</v>
      </c>
      <c r="AS100" s="10" t="str">
        <f>HYPERLINK("https://tessa.gazprom-neft.local/edo/card/245dc768-b319-44de-8af2-69aa452bae66", "https://tessa.gazprom-neft.local/edo/card/245dc768-b319-44de-8af2-69aa452bae66")</f>
        <v>https://tessa.gazprom-neft.local/edo/card/245dc768-b319-44de-8af2-69aa452bae66</v>
      </c>
    </row>
    <row r="101" spans="1:45" hidden="1" x14ac:dyDescent="0.25">
      <c r="A101" s="6" t="s">
        <v>44</v>
      </c>
      <c r="B101" s="7" t="s">
        <v>170</v>
      </c>
      <c r="C101" s="7" t="s">
        <v>218</v>
      </c>
      <c r="D101" s="8" t="s">
        <v>0</v>
      </c>
      <c r="E101" s="8" t="s">
        <v>0</v>
      </c>
      <c r="F101" s="16" t="s">
        <v>171</v>
      </c>
      <c r="G101" s="7" t="s">
        <v>172</v>
      </c>
      <c r="H101" s="7" t="s">
        <v>0</v>
      </c>
      <c r="I101" s="7" t="s">
        <v>0</v>
      </c>
      <c r="J101" s="7" t="s">
        <v>0</v>
      </c>
      <c r="K101" s="7" t="s">
        <v>85</v>
      </c>
      <c r="L101" s="7" t="s">
        <v>86</v>
      </c>
      <c r="M101" s="7" t="s">
        <v>216</v>
      </c>
      <c r="N101" s="7" t="s">
        <v>7365</v>
      </c>
      <c r="O101" s="7" t="s">
        <v>0</v>
      </c>
      <c r="P101" s="7" t="s">
        <v>216</v>
      </c>
      <c r="Q101" s="7" t="s">
        <v>7366</v>
      </c>
      <c r="R101" s="7" t="s">
        <v>124</v>
      </c>
      <c r="S101" s="7" t="s">
        <v>124</v>
      </c>
      <c r="T101" s="7" t="s">
        <v>54</v>
      </c>
      <c r="U101" s="7" t="s">
        <v>362</v>
      </c>
      <c r="V101" s="7" t="s">
        <v>308</v>
      </c>
      <c r="W101" s="7" t="s">
        <v>74</v>
      </c>
      <c r="X101" s="7" t="s">
        <v>0</v>
      </c>
      <c r="Y101" s="8" t="s">
        <v>0</v>
      </c>
      <c r="Z101" s="8" t="s">
        <v>0</v>
      </c>
      <c r="AA101" s="7" t="s">
        <v>309</v>
      </c>
      <c r="AB101" s="7" t="s">
        <v>228</v>
      </c>
      <c r="AC101" s="7" t="s">
        <v>65</v>
      </c>
      <c r="AD101" s="7" t="s">
        <v>0</v>
      </c>
      <c r="AE101" s="7" t="s">
        <v>0</v>
      </c>
      <c r="AF101" s="7" t="s">
        <v>0</v>
      </c>
      <c r="AG101" s="7" t="s">
        <v>0</v>
      </c>
      <c r="AH101" s="9" t="s">
        <v>0</v>
      </c>
      <c r="AI101" s="9" t="s">
        <v>0</v>
      </c>
      <c r="AJ101" s="9" t="s">
        <v>0</v>
      </c>
      <c r="AK101" s="7" t="s">
        <v>61</v>
      </c>
      <c r="AL101" s="7" t="s">
        <v>61</v>
      </c>
      <c r="AM101" s="7" t="s">
        <v>0</v>
      </c>
      <c r="AN101" s="7" t="s">
        <v>0</v>
      </c>
      <c r="AO101" s="7" t="s">
        <v>0</v>
      </c>
      <c r="AP101" s="7" t="s">
        <v>0</v>
      </c>
      <c r="AQ101" s="7" t="s">
        <v>61</v>
      </c>
      <c r="AR101" s="7" t="s">
        <v>0</v>
      </c>
      <c r="AS101" s="10" t="str">
        <f>HYPERLINK("https://tessa.gazprom-neft.local/edo/card/ded91517-0eed-476a-8f1d-556bc6ac6cef", "https://tessa.gazprom-neft.local/edo/card/ded91517-0eed-476a-8f1d-556bc6ac6cef")</f>
        <v>https://tessa.gazprom-neft.local/edo/card/ded91517-0eed-476a-8f1d-556bc6ac6cef</v>
      </c>
    </row>
    <row r="102" spans="1:45" hidden="1" x14ac:dyDescent="0.25">
      <c r="A102" s="6" t="s">
        <v>44</v>
      </c>
      <c r="B102" s="7" t="s">
        <v>0</v>
      </c>
      <c r="C102" s="7" t="s">
        <v>492</v>
      </c>
      <c r="D102" s="8" t="s">
        <v>0</v>
      </c>
      <c r="E102" s="8" t="s">
        <v>0</v>
      </c>
      <c r="F102" s="16" t="s">
        <v>7370</v>
      </c>
      <c r="G102" s="7" t="s">
        <v>0</v>
      </c>
      <c r="H102" s="7" t="s">
        <v>0</v>
      </c>
      <c r="I102" s="7" t="s">
        <v>0</v>
      </c>
      <c r="J102" s="7" t="s">
        <v>0</v>
      </c>
      <c r="K102" s="7" t="s">
        <v>85</v>
      </c>
      <c r="L102" s="7" t="s">
        <v>96</v>
      </c>
      <c r="M102" s="7" t="s">
        <v>7367</v>
      </c>
      <c r="N102" s="7" t="s">
        <v>7368</v>
      </c>
      <c r="O102" s="7" t="s">
        <v>0</v>
      </c>
      <c r="P102" s="7" t="s">
        <v>7367</v>
      </c>
      <c r="Q102" s="7" t="s">
        <v>7369</v>
      </c>
      <c r="R102" s="7" t="s">
        <v>282</v>
      </c>
      <c r="S102" s="7" t="s">
        <v>0</v>
      </c>
      <c r="T102" s="7" t="s">
        <v>54</v>
      </c>
      <c r="U102" s="7" t="s">
        <v>362</v>
      </c>
      <c r="V102" s="7" t="s">
        <v>137</v>
      </c>
      <c r="W102" s="7" t="s">
        <v>57</v>
      </c>
      <c r="X102" s="7" t="s">
        <v>103</v>
      </c>
      <c r="Y102" s="8">
        <v>45600</v>
      </c>
      <c r="Z102" s="8">
        <v>45747</v>
      </c>
      <c r="AA102" s="7" t="s">
        <v>0</v>
      </c>
      <c r="AB102" s="7" t="s">
        <v>192</v>
      </c>
      <c r="AC102" s="7" t="s">
        <v>79</v>
      </c>
      <c r="AD102" s="7" t="s">
        <v>80</v>
      </c>
      <c r="AE102" s="7" t="s">
        <v>193</v>
      </c>
      <c r="AF102" s="7" t="s">
        <v>0</v>
      </c>
      <c r="AG102" s="7" t="s">
        <v>0</v>
      </c>
      <c r="AH102" s="9" t="s">
        <v>13162</v>
      </c>
      <c r="AI102" s="9" t="s">
        <v>13163</v>
      </c>
      <c r="AJ102" s="9" t="s">
        <v>13164</v>
      </c>
      <c r="AK102" s="7" t="s">
        <v>61</v>
      </c>
      <c r="AL102" s="7" t="s">
        <v>61</v>
      </c>
      <c r="AM102" s="7" t="s">
        <v>0</v>
      </c>
      <c r="AN102" s="7" t="s">
        <v>0</v>
      </c>
      <c r="AO102" s="7" t="s">
        <v>0</v>
      </c>
      <c r="AP102" s="7" t="s">
        <v>0</v>
      </c>
      <c r="AQ102" s="7" t="s">
        <v>61</v>
      </c>
      <c r="AR102" s="7" t="s">
        <v>0</v>
      </c>
      <c r="AS102" s="10" t="str">
        <f>HYPERLINK("https://tessa.gazprom-neft.local/edo/card/261767e5-7230-4910-a158-f27a4a0447fb", "https://tessa.gazprom-neft.local/edo/card/261767e5-7230-4910-a158-f27a4a0447fb")</f>
        <v>https://tessa.gazprom-neft.local/edo/card/261767e5-7230-4910-a158-f27a4a0447fb</v>
      </c>
    </row>
    <row r="103" spans="1:45" x14ac:dyDescent="0.25">
      <c r="A103" s="6" t="s">
        <v>44</v>
      </c>
      <c r="B103" s="7" t="s">
        <v>7208</v>
      </c>
      <c r="C103" s="7" t="s">
        <v>1701</v>
      </c>
      <c r="D103" s="8" t="s">
        <v>0</v>
      </c>
      <c r="E103" s="8" t="s">
        <v>0</v>
      </c>
      <c r="F103" s="16" t="s">
        <v>7209</v>
      </c>
      <c r="G103" s="7" t="s">
        <v>7210</v>
      </c>
      <c r="H103" s="7" t="s">
        <v>7378</v>
      </c>
      <c r="I103" s="7" t="s">
        <v>0</v>
      </c>
      <c r="J103" s="7" t="s">
        <v>51</v>
      </c>
      <c r="K103" s="7" t="s">
        <v>47</v>
      </c>
      <c r="L103" s="7" t="s">
        <v>48</v>
      </c>
      <c r="M103" s="7" t="s">
        <v>0</v>
      </c>
      <c r="N103" s="7" t="s">
        <v>7377</v>
      </c>
      <c r="O103" s="7" t="s">
        <v>0</v>
      </c>
      <c r="P103" s="7" t="s">
        <v>7379</v>
      </c>
      <c r="Q103" s="7" t="s">
        <v>7380</v>
      </c>
      <c r="R103" s="7" t="s">
        <v>1139</v>
      </c>
      <c r="S103" s="7" t="s">
        <v>938</v>
      </c>
      <c r="T103" s="7" t="s">
        <v>54</v>
      </c>
      <c r="U103" s="7" t="s">
        <v>605</v>
      </c>
      <c r="V103" s="7" t="s">
        <v>137</v>
      </c>
      <c r="W103" s="7" t="s">
        <v>57</v>
      </c>
      <c r="X103" s="7" t="s">
        <v>103</v>
      </c>
      <c r="Y103" s="8">
        <v>45594</v>
      </c>
      <c r="Z103" s="8">
        <v>45596</v>
      </c>
      <c r="AA103" s="7" t="s">
        <v>7381</v>
      </c>
      <c r="AB103" s="7" t="s">
        <v>192</v>
      </c>
      <c r="AC103" s="7" t="s">
        <v>65</v>
      </c>
      <c r="AD103" s="7" t="s">
        <v>0</v>
      </c>
      <c r="AE103" s="7" t="s">
        <v>0</v>
      </c>
      <c r="AF103" s="7" t="s">
        <v>0</v>
      </c>
      <c r="AG103" s="7" t="s">
        <v>0</v>
      </c>
      <c r="AH103" s="9" t="s">
        <v>0</v>
      </c>
      <c r="AI103" s="9" t="s">
        <v>0</v>
      </c>
      <c r="AJ103" s="9" t="s">
        <v>0</v>
      </c>
      <c r="AK103" s="7" t="s">
        <v>61</v>
      </c>
      <c r="AL103" s="7" t="s">
        <v>61</v>
      </c>
      <c r="AM103" s="7" t="s">
        <v>0</v>
      </c>
      <c r="AN103" s="7" t="s">
        <v>0</v>
      </c>
      <c r="AO103" s="7" t="s">
        <v>0</v>
      </c>
      <c r="AP103" s="7" t="s">
        <v>0</v>
      </c>
      <c r="AQ103" s="7" t="s">
        <v>61</v>
      </c>
      <c r="AR103" s="7" t="s">
        <v>0</v>
      </c>
      <c r="AS103" s="10" t="str">
        <f>HYPERLINK("https://tessa.gazprom-neft.local/edo/card/befd41cc-8d21-4807-b44b-b8d783562e4a", "https://tessa.gazprom-neft.local/edo/card/befd41cc-8d21-4807-b44b-b8d783562e4a")</f>
        <v>https://tessa.gazprom-neft.local/edo/card/befd41cc-8d21-4807-b44b-b8d783562e4a</v>
      </c>
    </row>
    <row r="104" spans="1:45" hidden="1" x14ac:dyDescent="0.25">
      <c r="A104" s="6" t="s">
        <v>44</v>
      </c>
      <c r="B104" s="7" t="s">
        <v>350</v>
      </c>
      <c r="C104" s="7" t="s">
        <v>218</v>
      </c>
      <c r="D104" s="8" t="s">
        <v>0</v>
      </c>
      <c r="E104" s="8" t="s">
        <v>0</v>
      </c>
      <c r="F104" s="16" t="s">
        <v>1027</v>
      </c>
      <c r="G104" s="7" t="s">
        <v>352</v>
      </c>
      <c r="H104" s="7" t="s">
        <v>0</v>
      </c>
      <c r="I104" s="7" t="s">
        <v>0</v>
      </c>
      <c r="J104" s="7" t="s">
        <v>0</v>
      </c>
      <c r="K104" s="7" t="s">
        <v>85</v>
      </c>
      <c r="L104" s="7" t="s">
        <v>86</v>
      </c>
      <c r="M104" s="7" t="s">
        <v>216</v>
      </c>
      <c r="N104" s="7" t="s">
        <v>7385</v>
      </c>
      <c r="O104" s="7" t="s">
        <v>0</v>
      </c>
      <c r="P104" s="7" t="s">
        <v>216</v>
      </c>
      <c r="Q104" s="7" t="s">
        <v>7366</v>
      </c>
      <c r="R104" s="7" t="s">
        <v>124</v>
      </c>
      <c r="S104" s="7" t="s">
        <v>124</v>
      </c>
      <c r="T104" s="7" t="s">
        <v>54</v>
      </c>
      <c r="U104" s="7" t="s">
        <v>101</v>
      </c>
      <c r="V104" s="7" t="s">
        <v>308</v>
      </c>
      <c r="W104" s="7" t="s">
        <v>74</v>
      </c>
      <c r="X104" s="7" t="s">
        <v>0</v>
      </c>
      <c r="Y104" s="8" t="s">
        <v>0</v>
      </c>
      <c r="Z104" s="8" t="s">
        <v>0</v>
      </c>
      <c r="AA104" s="7" t="s">
        <v>309</v>
      </c>
      <c r="AB104" s="7" t="s">
        <v>228</v>
      </c>
      <c r="AC104" s="7" t="s">
        <v>65</v>
      </c>
      <c r="AD104" s="7" t="s">
        <v>0</v>
      </c>
      <c r="AE104" s="7" t="s">
        <v>0</v>
      </c>
      <c r="AF104" s="7" t="s">
        <v>0</v>
      </c>
      <c r="AG104" s="7" t="s">
        <v>0</v>
      </c>
      <c r="AH104" s="9" t="s">
        <v>0</v>
      </c>
      <c r="AI104" s="9" t="s">
        <v>0</v>
      </c>
      <c r="AJ104" s="9" t="s">
        <v>0</v>
      </c>
      <c r="AK104" s="7" t="s">
        <v>61</v>
      </c>
      <c r="AL104" s="7" t="s">
        <v>61</v>
      </c>
      <c r="AM104" s="7" t="s">
        <v>0</v>
      </c>
      <c r="AN104" s="7" t="s">
        <v>0</v>
      </c>
      <c r="AO104" s="7" t="s">
        <v>0</v>
      </c>
      <c r="AP104" s="7" t="s">
        <v>0</v>
      </c>
      <c r="AQ104" s="7" t="s">
        <v>61</v>
      </c>
      <c r="AR104" s="7" t="s">
        <v>0</v>
      </c>
      <c r="AS104" s="10" t="str">
        <f>HYPERLINK("https://tessa.gazprom-neft.local/edo/card/cbd2d3d0-5ee1-4e9f-8ea4-7919f74b8b5e", "https://tessa.gazprom-neft.local/edo/card/cbd2d3d0-5ee1-4e9f-8ea4-7919f74b8b5e")</f>
        <v>https://tessa.gazprom-neft.local/edo/card/cbd2d3d0-5ee1-4e9f-8ea4-7919f74b8b5e</v>
      </c>
    </row>
    <row r="105" spans="1:45" x14ac:dyDescent="0.25">
      <c r="A105" s="6" t="s">
        <v>44</v>
      </c>
      <c r="B105" s="7" t="s">
        <v>6342</v>
      </c>
      <c r="C105" s="7" t="s">
        <v>7416</v>
      </c>
      <c r="D105" s="8" t="s">
        <v>0</v>
      </c>
      <c r="E105" s="8" t="s">
        <v>0</v>
      </c>
      <c r="F105" s="16" t="s">
        <v>6343</v>
      </c>
      <c r="G105" s="7" t="s">
        <v>6344</v>
      </c>
      <c r="H105" s="7" t="s">
        <v>6339</v>
      </c>
      <c r="I105" s="7" t="s">
        <v>0</v>
      </c>
      <c r="J105" s="7" t="s">
        <v>271</v>
      </c>
      <c r="K105" s="7" t="s">
        <v>47</v>
      </c>
      <c r="L105" s="7" t="s">
        <v>48</v>
      </c>
      <c r="M105" s="7" t="s">
        <v>0</v>
      </c>
      <c r="N105" s="7" t="s">
        <v>7415</v>
      </c>
      <c r="O105" s="7" t="s">
        <v>0</v>
      </c>
      <c r="P105" s="7" t="s">
        <v>7417</v>
      </c>
      <c r="Q105" s="7" t="s">
        <v>7418</v>
      </c>
      <c r="R105" s="7" t="s">
        <v>1139</v>
      </c>
      <c r="S105" s="7" t="s">
        <v>1139</v>
      </c>
      <c r="T105" s="7" t="s">
        <v>54</v>
      </c>
      <c r="U105" s="7" t="s">
        <v>362</v>
      </c>
      <c r="V105" s="7" t="s">
        <v>137</v>
      </c>
      <c r="W105" s="7" t="s">
        <v>57</v>
      </c>
      <c r="X105" s="7" t="s">
        <v>103</v>
      </c>
      <c r="Y105" s="8">
        <v>45597</v>
      </c>
      <c r="Z105" s="8">
        <v>45869</v>
      </c>
      <c r="AA105" s="7" t="s">
        <v>0</v>
      </c>
      <c r="AB105" s="7" t="s">
        <v>192</v>
      </c>
      <c r="AC105" s="7" t="s">
        <v>79</v>
      </c>
      <c r="AD105" s="7" t="s">
        <v>80</v>
      </c>
      <c r="AE105" s="7" t="s">
        <v>193</v>
      </c>
      <c r="AF105" s="7" t="s">
        <v>0</v>
      </c>
      <c r="AG105" s="7" t="s">
        <v>0</v>
      </c>
      <c r="AH105" s="9" t="s">
        <v>13177</v>
      </c>
      <c r="AI105" s="9" t="s">
        <v>13178</v>
      </c>
      <c r="AJ105" s="9" t="s">
        <v>13179</v>
      </c>
      <c r="AK105" s="7" t="s">
        <v>61</v>
      </c>
      <c r="AL105" s="7" t="s">
        <v>61</v>
      </c>
      <c r="AM105" s="7" t="s">
        <v>0</v>
      </c>
      <c r="AN105" s="7" t="s">
        <v>0</v>
      </c>
      <c r="AO105" s="7" t="s">
        <v>0</v>
      </c>
      <c r="AP105" s="7" t="s">
        <v>0</v>
      </c>
      <c r="AQ105" s="7" t="s">
        <v>61</v>
      </c>
      <c r="AR105" s="7" t="s">
        <v>0</v>
      </c>
      <c r="AS105" s="10" t="str">
        <f>HYPERLINK("https://tessa.gazprom-neft.local/edo/card/b1c6a150-3b49-4480-a8f7-8cc6c5340ea0", "https://tessa.gazprom-neft.local/edo/card/b1c6a150-3b49-4480-a8f7-8cc6c5340ea0")</f>
        <v>https://tessa.gazprom-neft.local/edo/card/b1c6a150-3b49-4480-a8f7-8cc6c5340ea0</v>
      </c>
    </row>
    <row r="106" spans="1:45" hidden="1" x14ac:dyDescent="0.25">
      <c r="A106" s="6" t="s">
        <v>44</v>
      </c>
      <c r="B106" s="7" t="s">
        <v>2434</v>
      </c>
      <c r="C106" s="7" t="s">
        <v>7416</v>
      </c>
      <c r="D106" s="8" t="s">
        <v>0</v>
      </c>
      <c r="E106" s="8" t="s">
        <v>0</v>
      </c>
      <c r="F106" s="16" t="s">
        <v>2435</v>
      </c>
      <c r="G106" s="7" t="s">
        <v>2436</v>
      </c>
      <c r="H106" s="7" t="s">
        <v>0</v>
      </c>
      <c r="I106" s="7" t="s">
        <v>0</v>
      </c>
      <c r="J106" s="7" t="s">
        <v>0</v>
      </c>
      <c r="K106" s="7" t="s">
        <v>47</v>
      </c>
      <c r="L106" s="7" t="s">
        <v>86</v>
      </c>
      <c r="M106" s="7" t="s">
        <v>0</v>
      </c>
      <c r="N106" s="7" t="s">
        <v>7421</v>
      </c>
      <c r="O106" s="7" t="s">
        <v>0</v>
      </c>
      <c r="P106" s="7" t="s">
        <v>7422</v>
      </c>
      <c r="Q106" s="7" t="s">
        <v>7423</v>
      </c>
      <c r="R106" s="7" t="s">
        <v>4909</v>
      </c>
      <c r="S106" s="7" t="s">
        <v>4909</v>
      </c>
      <c r="T106" s="7" t="s">
        <v>54</v>
      </c>
      <c r="U106" s="7" t="s">
        <v>605</v>
      </c>
      <c r="V106" s="7" t="s">
        <v>126</v>
      </c>
      <c r="W106" s="7" t="s">
        <v>74</v>
      </c>
      <c r="X106" s="7" t="s">
        <v>103</v>
      </c>
      <c r="Y106" s="8">
        <v>45627</v>
      </c>
      <c r="Z106" s="8">
        <v>45962</v>
      </c>
      <c r="AA106" s="7" t="s">
        <v>5596</v>
      </c>
      <c r="AB106" s="7" t="s">
        <v>3666</v>
      </c>
      <c r="AC106" s="7" t="s">
        <v>79</v>
      </c>
      <c r="AD106" s="7" t="s">
        <v>80</v>
      </c>
      <c r="AE106" s="7" t="s">
        <v>118</v>
      </c>
      <c r="AF106" s="7" t="s">
        <v>0</v>
      </c>
      <c r="AG106" s="7" t="s">
        <v>0</v>
      </c>
      <c r="AH106" s="9" t="s">
        <v>13180</v>
      </c>
      <c r="AI106" s="9" t="s">
        <v>13180</v>
      </c>
      <c r="AJ106" s="9">
        <v>0</v>
      </c>
      <c r="AK106" s="7" t="s">
        <v>61</v>
      </c>
      <c r="AL106" s="7" t="s">
        <v>61</v>
      </c>
      <c r="AM106" s="7" t="s">
        <v>0</v>
      </c>
      <c r="AN106" s="7" t="s">
        <v>0</v>
      </c>
      <c r="AO106" s="7" t="s">
        <v>0</v>
      </c>
      <c r="AP106" s="7" t="s">
        <v>0</v>
      </c>
      <c r="AQ106" s="7" t="s">
        <v>61</v>
      </c>
      <c r="AR106" s="7" t="s">
        <v>0</v>
      </c>
      <c r="AS106" s="10" t="str">
        <f>HYPERLINK("https://tessa.gazprom-neft.local/edo/card/2242720f-ee80-4784-b032-03c843719e7e", "https://tessa.gazprom-neft.local/edo/card/2242720f-ee80-4784-b032-03c843719e7e")</f>
        <v>https://tessa.gazprom-neft.local/edo/card/2242720f-ee80-4784-b032-03c843719e7e</v>
      </c>
    </row>
    <row r="107" spans="1:45" hidden="1" x14ac:dyDescent="0.25">
      <c r="A107" s="6" t="s">
        <v>44</v>
      </c>
      <c r="B107" s="7" t="s">
        <v>0</v>
      </c>
      <c r="C107" s="7" t="s">
        <v>4861</v>
      </c>
      <c r="D107" s="8" t="s">
        <v>0</v>
      </c>
      <c r="E107" s="8" t="s">
        <v>0</v>
      </c>
      <c r="F107" s="16" t="s">
        <v>7370</v>
      </c>
      <c r="G107" s="7" t="s">
        <v>0</v>
      </c>
      <c r="H107" s="7" t="s">
        <v>0</v>
      </c>
      <c r="I107" s="7" t="s">
        <v>0</v>
      </c>
      <c r="J107" s="7" t="s">
        <v>0</v>
      </c>
      <c r="K107" s="7" t="s">
        <v>85</v>
      </c>
      <c r="L107" s="7" t="s">
        <v>86</v>
      </c>
      <c r="M107" s="7" t="s">
        <v>523</v>
      </c>
      <c r="N107" s="7" t="s">
        <v>7432</v>
      </c>
      <c r="O107" s="7" t="s">
        <v>0</v>
      </c>
      <c r="P107" s="7" t="s">
        <v>523</v>
      </c>
      <c r="Q107" s="7" t="s">
        <v>7433</v>
      </c>
      <c r="R107" s="7" t="s">
        <v>282</v>
      </c>
      <c r="S107" s="7" t="s">
        <v>0</v>
      </c>
      <c r="T107" s="7" t="s">
        <v>54</v>
      </c>
      <c r="U107" s="7" t="s">
        <v>362</v>
      </c>
      <c r="V107" s="7" t="s">
        <v>295</v>
      </c>
      <c r="W107" s="7" t="s">
        <v>57</v>
      </c>
      <c r="X107" s="7" t="s">
        <v>103</v>
      </c>
      <c r="Y107" s="8">
        <v>45596</v>
      </c>
      <c r="Z107" s="8">
        <v>46752</v>
      </c>
      <c r="AA107" s="7" t="s">
        <v>296</v>
      </c>
      <c r="AB107" s="7" t="s">
        <v>94</v>
      </c>
      <c r="AC107" s="7" t="s">
        <v>65</v>
      </c>
      <c r="AD107" s="7" t="s">
        <v>0</v>
      </c>
      <c r="AE107" s="7" t="s">
        <v>0</v>
      </c>
      <c r="AF107" s="7" t="s">
        <v>0</v>
      </c>
      <c r="AG107" s="7" t="s">
        <v>0</v>
      </c>
      <c r="AH107" s="9" t="s">
        <v>0</v>
      </c>
      <c r="AI107" s="9" t="s">
        <v>0</v>
      </c>
      <c r="AJ107" s="9" t="s">
        <v>0</v>
      </c>
      <c r="AK107" s="7" t="s">
        <v>61</v>
      </c>
      <c r="AL107" s="7" t="s">
        <v>61</v>
      </c>
      <c r="AM107" s="7" t="s">
        <v>0</v>
      </c>
      <c r="AN107" s="7" t="s">
        <v>0</v>
      </c>
      <c r="AO107" s="7" t="s">
        <v>0</v>
      </c>
      <c r="AP107" s="7" t="s">
        <v>0</v>
      </c>
      <c r="AQ107" s="7" t="s">
        <v>61</v>
      </c>
      <c r="AR107" s="7" t="s">
        <v>0</v>
      </c>
      <c r="AS107" s="10" t="str">
        <f>HYPERLINK("https://tessa.gazprom-neft.local/edo/card/2c666fbb-6d32-445e-94a1-062f58d48cc8", "https://tessa.gazprom-neft.local/edo/card/2c666fbb-6d32-445e-94a1-062f58d48cc8")</f>
        <v>https://tessa.gazprom-neft.local/edo/card/2c666fbb-6d32-445e-94a1-062f58d48cc8</v>
      </c>
    </row>
    <row r="108" spans="1:45" x14ac:dyDescent="0.25">
      <c r="A108" s="6" t="s">
        <v>44</v>
      </c>
      <c r="B108" s="7" t="s">
        <v>715</v>
      </c>
      <c r="C108" s="7" t="s">
        <v>218</v>
      </c>
      <c r="D108" s="8" t="s">
        <v>0</v>
      </c>
      <c r="E108" s="8" t="s">
        <v>0</v>
      </c>
      <c r="F108" s="16" t="s">
        <v>716</v>
      </c>
      <c r="G108" s="7" t="s">
        <v>717</v>
      </c>
      <c r="H108" s="7" t="s">
        <v>710</v>
      </c>
      <c r="I108" s="7" t="s">
        <v>0</v>
      </c>
      <c r="J108" s="7" t="s">
        <v>0</v>
      </c>
      <c r="K108" s="7" t="s">
        <v>47</v>
      </c>
      <c r="L108" s="7" t="s">
        <v>48</v>
      </c>
      <c r="M108" s="7" t="s">
        <v>0</v>
      </c>
      <c r="N108" s="7" t="s">
        <v>7459</v>
      </c>
      <c r="O108" s="7" t="s">
        <v>0</v>
      </c>
      <c r="P108" s="7" t="s">
        <v>7460</v>
      </c>
      <c r="Q108" s="7" t="s">
        <v>7461</v>
      </c>
      <c r="R108" s="7" t="s">
        <v>714</v>
      </c>
      <c r="S108" s="7" t="s">
        <v>714</v>
      </c>
      <c r="T108" s="7" t="s">
        <v>54</v>
      </c>
      <c r="U108" s="7" t="s">
        <v>101</v>
      </c>
      <c r="V108" s="7" t="s">
        <v>308</v>
      </c>
      <c r="W108" s="7" t="s">
        <v>74</v>
      </c>
      <c r="X108" s="7" t="s">
        <v>103</v>
      </c>
      <c r="Y108" s="8">
        <v>45626</v>
      </c>
      <c r="Z108" s="8">
        <v>46752</v>
      </c>
      <c r="AA108" s="7" t="s">
        <v>309</v>
      </c>
      <c r="AB108" s="7" t="s">
        <v>64</v>
      </c>
      <c r="AC108" s="7" t="s">
        <v>65</v>
      </c>
      <c r="AD108" s="7" t="s">
        <v>144</v>
      </c>
      <c r="AE108" s="7" t="s">
        <v>0</v>
      </c>
      <c r="AF108" s="7" t="s">
        <v>0</v>
      </c>
      <c r="AG108" s="7" t="s">
        <v>0</v>
      </c>
      <c r="AH108" s="9" t="s">
        <v>0</v>
      </c>
      <c r="AI108" s="9" t="s">
        <v>0</v>
      </c>
      <c r="AJ108" s="9" t="s">
        <v>0</v>
      </c>
      <c r="AK108" s="7" t="s">
        <v>61</v>
      </c>
      <c r="AL108" s="7" t="s">
        <v>61</v>
      </c>
      <c r="AM108" s="7" t="s">
        <v>0</v>
      </c>
      <c r="AN108" s="7" t="s">
        <v>0</v>
      </c>
      <c r="AO108" s="7" t="s">
        <v>0</v>
      </c>
      <c r="AP108" s="7" t="s">
        <v>0</v>
      </c>
      <c r="AQ108" s="7" t="s">
        <v>61</v>
      </c>
      <c r="AR108" s="7" t="s">
        <v>0</v>
      </c>
      <c r="AS108" s="10" t="str">
        <f>HYPERLINK("https://tessa.gazprom-neft.local/edo/card/7c15734f-7882-42da-b1d7-74abbedcc88a", "https://tessa.gazprom-neft.local/edo/card/7c15734f-7882-42da-b1d7-74abbedcc88a")</f>
        <v>https://tessa.gazprom-neft.local/edo/card/7c15734f-7882-42da-b1d7-74abbedcc88a</v>
      </c>
    </row>
    <row r="109" spans="1:45" x14ac:dyDescent="0.25">
      <c r="A109" s="6" t="s">
        <v>44</v>
      </c>
      <c r="B109" s="7" t="s">
        <v>1495</v>
      </c>
      <c r="C109" s="7" t="s">
        <v>218</v>
      </c>
      <c r="D109" s="8" t="s">
        <v>0</v>
      </c>
      <c r="E109" s="8" t="s">
        <v>0</v>
      </c>
      <c r="F109" s="16" t="s">
        <v>1496</v>
      </c>
      <c r="G109" s="7" t="s">
        <v>1497</v>
      </c>
      <c r="H109" s="7" t="s">
        <v>1492</v>
      </c>
      <c r="I109" s="7" t="s">
        <v>0</v>
      </c>
      <c r="J109" s="7" t="s">
        <v>936</v>
      </c>
      <c r="K109" s="7" t="s">
        <v>85</v>
      </c>
      <c r="L109" s="7" t="s">
        <v>48</v>
      </c>
      <c r="M109" s="7" t="s">
        <v>2128</v>
      </c>
      <c r="N109" s="7" t="s">
        <v>7596</v>
      </c>
      <c r="O109" s="7" t="s">
        <v>0</v>
      </c>
      <c r="P109" s="7" t="s">
        <v>2128</v>
      </c>
      <c r="Q109" s="7" t="s">
        <v>0</v>
      </c>
      <c r="R109" s="7" t="s">
        <v>505</v>
      </c>
      <c r="S109" s="7" t="s">
        <v>3144</v>
      </c>
      <c r="T109" s="7" t="s">
        <v>54</v>
      </c>
      <c r="U109" s="7" t="s">
        <v>210</v>
      </c>
      <c r="V109" s="7" t="s">
        <v>126</v>
      </c>
      <c r="W109" s="7" t="s">
        <v>0</v>
      </c>
      <c r="X109" s="7" t="s">
        <v>58</v>
      </c>
      <c r="Y109" s="8" t="s">
        <v>0</v>
      </c>
      <c r="Z109" s="8" t="s">
        <v>0</v>
      </c>
      <c r="AA109" s="7" t="s">
        <v>224</v>
      </c>
      <c r="AB109" s="7" t="s">
        <v>1498</v>
      </c>
      <c r="AC109" s="7" t="s">
        <v>65</v>
      </c>
      <c r="AD109" s="7" t="s">
        <v>0</v>
      </c>
      <c r="AE109" s="7" t="s">
        <v>0</v>
      </c>
      <c r="AF109" s="7" t="s">
        <v>0</v>
      </c>
      <c r="AG109" s="7" t="s">
        <v>0</v>
      </c>
      <c r="AH109" s="9" t="s">
        <v>0</v>
      </c>
      <c r="AI109" s="9" t="s">
        <v>0</v>
      </c>
      <c r="AJ109" s="9" t="s">
        <v>0</v>
      </c>
      <c r="AK109" s="7" t="s">
        <v>61</v>
      </c>
      <c r="AL109" s="7" t="s">
        <v>61</v>
      </c>
      <c r="AM109" s="7" t="s">
        <v>0</v>
      </c>
      <c r="AN109" s="7" t="s">
        <v>0</v>
      </c>
      <c r="AO109" s="7" t="s">
        <v>0</v>
      </c>
      <c r="AP109" s="7" t="s">
        <v>0</v>
      </c>
      <c r="AQ109" s="7" t="s">
        <v>61</v>
      </c>
      <c r="AR109" s="7" t="s">
        <v>0</v>
      </c>
      <c r="AS109" s="10" t="str">
        <f>HYPERLINK("https://tessa.gazprom-neft.local/edo/card/68eb3d0a-101b-4b35-bf95-55fb04c569bc", "https://tessa.gazprom-neft.local/edo/card/68eb3d0a-101b-4b35-bf95-55fb04c569bc")</f>
        <v>https://tessa.gazprom-neft.local/edo/card/68eb3d0a-101b-4b35-bf95-55fb04c569bc</v>
      </c>
    </row>
    <row r="110" spans="1:45" hidden="1" x14ac:dyDescent="0.25">
      <c r="A110" s="6" t="s">
        <v>44</v>
      </c>
      <c r="B110" s="7" t="s">
        <v>0</v>
      </c>
      <c r="C110" s="7" t="s">
        <v>218</v>
      </c>
      <c r="D110" s="8" t="s">
        <v>0</v>
      </c>
      <c r="E110" s="8" t="s">
        <v>0</v>
      </c>
      <c r="F110" s="16" t="s">
        <v>0</v>
      </c>
      <c r="G110" s="7" t="s">
        <v>0</v>
      </c>
      <c r="H110" s="7" t="s">
        <v>0</v>
      </c>
      <c r="I110" s="7" t="s">
        <v>0</v>
      </c>
      <c r="J110" s="7" t="s">
        <v>0</v>
      </c>
      <c r="K110" s="7" t="s">
        <v>0</v>
      </c>
      <c r="L110" s="7" t="s">
        <v>0</v>
      </c>
      <c r="M110" s="7" t="s">
        <v>0</v>
      </c>
      <c r="N110" s="7" t="s">
        <v>7615</v>
      </c>
      <c r="O110" s="7" t="s">
        <v>0</v>
      </c>
      <c r="P110" s="7" t="s">
        <v>0</v>
      </c>
      <c r="Q110" s="7" t="s">
        <v>0</v>
      </c>
      <c r="R110" s="7" t="s">
        <v>836</v>
      </c>
      <c r="S110" s="7" t="s">
        <v>0</v>
      </c>
      <c r="T110" s="7" t="s">
        <v>54</v>
      </c>
      <c r="U110" s="7" t="s">
        <v>294</v>
      </c>
      <c r="V110" s="7" t="s">
        <v>0</v>
      </c>
      <c r="W110" s="7" t="s">
        <v>0</v>
      </c>
      <c r="X110" s="7" t="s">
        <v>0</v>
      </c>
      <c r="Y110" s="8" t="s">
        <v>0</v>
      </c>
      <c r="Z110" s="8" t="s">
        <v>0</v>
      </c>
      <c r="AA110" s="7" t="s">
        <v>0</v>
      </c>
      <c r="AB110" s="7" t="s">
        <v>0</v>
      </c>
      <c r="AC110" s="7" t="s">
        <v>0</v>
      </c>
      <c r="AD110" s="7" t="s">
        <v>0</v>
      </c>
      <c r="AE110" s="7" t="s">
        <v>0</v>
      </c>
      <c r="AF110" s="7" t="s">
        <v>0</v>
      </c>
      <c r="AG110" s="7" t="s">
        <v>0</v>
      </c>
      <c r="AH110" s="9" t="s">
        <v>0</v>
      </c>
      <c r="AI110" s="9" t="s">
        <v>0</v>
      </c>
      <c r="AJ110" s="9" t="s">
        <v>0</v>
      </c>
      <c r="AK110" s="7" t="s">
        <v>61</v>
      </c>
      <c r="AL110" s="7" t="s">
        <v>61</v>
      </c>
      <c r="AM110" s="7" t="s">
        <v>0</v>
      </c>
      <c r="AN110" s="7" t="s">
        <v>0</v>
      </c>
      <c r="AO110" s="7" t="s">
        <v>0</v>
      </c>
      <c r="AP110" s="7" t="s">
        <v>0</v>
      </c>
      <c r="AQ110" s="7" t="s">
        <v>61</v>
      </c>
      <c r="AR110" s="7" t="s">
        <v>0</v>
      </c>
      <c r="AS110" s="10" t="str">
        <f>HYPERLINK("https://tessa.gazprom-neft.local/edo/card/80aa73a1-1f4c-45d4-b59e-ef43aa6c1aa3", "https://tessa.gazprom-neft.local/edo/card/80aa73a1-1f4c-45d4-b59e-ef43aa6c1aa3")</f>
        <v>https://tessa.gazprom-neft.local/edo/card/80aa73a1-1f4c-45d4-b59e-ef43aa6c1aa3</v>
      </c>
    </row>
    <row r="111" spans="1:45" hidden="1" x14ac:dyDescent="0.25">
      <c r="A111" s="6" t="s">
        <v>44</v>
      </c>
      <c r="B111" s="7" t="s">
        <v>0</v>
      </c>
      <c r="C111" s="7" t="s">
        <v>218</v>
      </c>
      <c r="D111" s="8" t="s">
        <v>0</v>
      </c>
      <c r="E111" s="8" t="s">
        <v>0</v>
      </c>
      <c r="F111" s="16" t="s">
        <v>0</v>
      </c>
      <c r="G111" s="7" t="s">
        <v>0</v>
      </c>
      <c r="H111" s="7" t="s">
        <v>0</v>
      </c>
      <c r="I111" s="7" t="s">
        <v>0</v>
      </c>
      <c r="J111" s="7" t="s">
        <v>0</v>
      </c>
      <c r="K111" s="7" t="s">
        <v>85</v>
      </c>
      <c r="L111" s="7" t="s">
        <v>96</v>
      </c>
      <c r="M111" s="7" t="s">
        <v>7760</v>
      </c>
      <c r="N111" s="7" t="s">
        <v>7761</v>
      </c>
      <c r="O111" s="7" t="s">
        <v>0</v>
      </c>
      <c r="P111" s="7" t="s">
        <v>7760</v>
      </c>
      <c r="Q111" s="7" t="s">
        <v>0</v>
      </c>
      <c r="R111" s="7" t="s">
        <v>6940</v>
      </c>
      <c r="S111" s="7" t="s">
        <v>0</v>
      </c>
      <c r="T111" s="7" t="s">
        <v>54</v>
      </c>
      <c r="U111" s="7" t="s">
        <v>136</v>
      </c>
      <c r="V111" s="7" t="s">
        <v>0</v>
      </c>
      <c r="W111" s="7" t="s">
        <v>0</v>
      </c>
      <c r="X111" s="7" t="s">
        <v>0</v>
      </c>
      <c r="Y111" s="8" t="s">
        <v>0</v>
      </c>
      <c r="Z111" s="8" t="s">
        <v>0</v>
      </c>
      <c r="AA111" s="7" t="s">
        <v>0</v>
      </c>
      <c r="AB111" s="7" t="s">
        <v>2425</v>
      </c>
      <c r="AC111" s="7" t="s">
        <v>0</v>
      </c>
      <c r="AD111" s="7" t="s">
        <v>0</v>
      </c>
      <c r="AE111" s="7" t="s">
        <v>0</v>
      </c>
      <c r="AF111" s="7" t="s">
        <v>0</v>
      </c>
      <c r="AG111" s="7" t="s">
        <v>0</v>
      </c>
      <c r="AH111" s="9" t="s">
        <v>0</v>
      </c>
      <c r="AI111" s="9" t="s">
        <v>0</v>
      </c>
      <c r="AJ111" s="9" t="s">
        <v>0</v>
      </c>
      <c r="AK111" s="7" t="s">
        <v>61</v>
      </c>
      <c r="AL111" s="7" t="s">
        <v>61</v>
      </c>
      <c r="AM111" s="7" t="s">
        <v>0</v>
      </c>
      <c r="AN111" s="7" t="s">
        <v>0</v>
      </c>
      <c r="AO111" s="7" t="s">
        <v>0</v>
      </c>
      <c r="AP111" s="7" t="s">
        <v>0</v>
      </c>
      <c r="AQ111" s="7" t="s">
        <v>61</v>
      </c>
      <c r="AR111" s="7" t="s">
        <v>0</v>
      </c>
      <c r="AS111" s="10" t="str">
        <f>HYPERLINK("https://tessa.gazprom-neft.local/edo/card/7a7039ad-053c-4342-bf63-3185b93627b5", "https://tessa.gazprom-neft.local/edo/card/7a7039ad-053c-4342-bf63-3185b93627b5")</f>
        <v>https://tessa.gazprom-neft.local/edo/card/7a7039ad-053c-4342-bf63-3185b93627b5</v>
      </c>
    </row>
    <row r="112" spans="1:45" hidden="1" x14ac:dyDescent="0.25">
      <c r="A112" s="6" t="s">
        <v>44</v>
      </c>
      <c r="B112" s="7" t="s">
        <v>275</v>
      </c>
      <c r="C112" s="7" t="s">
        <v>218</v>
      </c>
      <c r="D112" s="8" t="s">
        <v>0</v>
      </c>
      <c r="E112" s="8" t="s">
        <v>0</v>
      </c>
      <c r="F112" s="16" t="s">
        <v>276</v>
      </c>
      <c r="G112" s="7" t="s">
        <v>277</v>
      </c>
      <c r="H112" s="7" t="s">
        <v>0</v>
      </c>
      <c r="I112" s="7" t="s">
        <v>0</v>
      </c>
      <c r="J112" s="7" t="s">
        <v>0</v>
      </c>
      <c r="K112" s="7" t="s">
        <v>47</v>
      </c>
      <c r="L112" s="7" t="s">
        <v>86</v>
      </c>
      <c r="M112" s="7" t="s">
        <v>0</v>
      </c>
      <c r="N112" s="7" t="s">
        <v>7993</v>
      </c>
      <c r="O112" s="7" t="s">
        <v>0</v>
      </c>
      <c r="P112" s="7" t="s">
        <v>7994</v>
      </c>
      <c r="Q112" s="7" t="s">
        <v>7995</v>
      </c>
      <c r="R112" s="7" t="s">
        <v>308</v>
      </c>
      <c r="S112" s="7" t="s">
        <v>308</v>
      </c>
      <c r="T112" s="7" t="s">
        <v>54</v>
      </c>
      <c r="U112" s="7" t="s">
        <v>468</v>
      </c>
      <c r="V112" s="7" t="s">
        <v>137</v>
      </c>
      <c r="W112" s="7" t="s">
        <v>57</v>
      </c>
      <c r="X112" s="7" t="s">
        <v>58</v>
      </c>
      <c r="Y112" s="8">
        <v>44481</v>
      </c>
      <c r="Z112" s="8" t="s">
        <v>0</v>
      </c>
      <c r="AA112" s="7" t="s">
        <v>0</v>
      </c>
      <c r="AB112" s="7" t="s">
        <v>0</v>
      </c>
      <c r="AC112" s="7" t="s">
        <v>65</v>
      </c>
      <c r="AD112" s="7" t="s">
        <v>0</v>
      </c>
      <c r="AE112" s="7" t="s">
        <v>0</v>
      </c>
      <c r="AF112" s="7" t="s">
        <v>0</v>
      </c>
      <c r="AG112" s="7" t="s">
        <v>0</v>
      </c>
      <c r="AH112" s="9" t="s">
        <v>0</v>
      </c>
      <c r="AI112" s="9" t="s">
        <v>0</v>
      </c>
      <c r="AJ112" s="9" t="s">
        <v>0</v>
      </c>
      <c r="AK112" s="7" t="s">
        <v>61</v>
      </c>
      <c r="AL112" s="7" t="s">
        <v>61</v>
      </c>
      <c r="AM112" s="7" t="s">
        <v>0</v>
      </c>
      <c r="AN112" s="7" t="s">
        <v>0</v>
      </c>
      <c r="AO112" s="7" t="s">
        <v>0</v>
      </c>
      <c r="AP112" s="7" t="s">
        <v>0</v>
      </c>
      <c r="AQ112" s="7" t="s">
        <v>61</v>
      </c>
      <c r="AR112" s="7" t="s">
        <v>0</v>
      </c>
      <c r="AS112" s="10" t="str">
        <f>HYPERLINK("https://tessa.gazprom-neft.local/edo/card/d491b633-8541-44fb-839b-5a229ca8efe1", "https://tessa.gazprom-neft.local/edo/card/d491b633-8541-44fb-839b-5a229ca8efe1")</f>
        <v>https://tessa.gazprom-neft.local/edo/card/d491b633-8541-44fb-839b-5a229ca8efe1</v>
      </c>
    </row>
    <row r="113" spans="1:45" x14ac:dyDescent="0.25">
      <c r="A113" s="6" t="s">
        <v>44</v>
      </c>
      <c r="B113" s="7" t="s">
        <v>1328</v>
      </c>
      <c r="C113" s="7" t="s">
        <v>218</v>
      </c>
      <c r="D113" s="8" t="s">
        <v>0</v>
      </c>
      <c r="E113" s="8" t="s">
        <v>0</v>
      </c>
      <c r="F113" s="16" t="s">
        <v>1329</v>
      </c>
      <c r="G113" s="7" t="s">
        <v>1330</v>
      </c>
      <c r="H113" s="7" t="s">
        <v>3640</v>
      </c>
      <c r="I113" s="7" t="s">
        <v>0</v>
      </c>
      <c r="J113" s="7" t="s">
        <v>0</v>
      </c>
      <c r="K113" s="7" t="s">
        <v>47</v>
      </c>
      <c r="L113" s="7" t="s">
        <v>48</v>
      </c>
      <c r="M113" s="7" t="s">
        <v>0</v>
      </c>
      <c r="N113" s="7" t="s">
        <v>8026</v>
      </c>
      <c r="O113" s="7" t="s">
        <v>0</v>
      </c>
      <c r="P113" s="7" t="s">
        <v>7845</v>
      </c>
      <c r="Q113" s="7" t="s">
        <v>7846</v>
      </c>
      <c r="R113" s="7" t="s">
        <v>393</v>
      </c>
      <c r="S113" s="7" t="s">
        <v>0</v>
      </c>
      <c r="T113" s="7" t="s">
        <v>54</v>
      </c>
      <c r="U113" s="7" t="s">
        <v>0</v>
      </c>
      <c r="V113" s="7" t="s">
        <v>308</v>
      </c>
      <c r="W113" s="7" t="s">
        <v>74</v>
      </c>
      <c r="X113" s="7" t="s">
        <v>0</v>
      </c>
      <c r="Y113" s="8" t="s">
        <v>0</v>
      </c>
      <c r="Z113" s="8" t="s">
        <v>0</v>
      </c>
      <c r="AA113" s="7" t="s">
        <v>309</v>
      </c>
      <c r="AB113" s="7" t="s">
        <v>130</v>
      </c>
      <c r="AC113" s="7" t="s">
        <v>65</v>
      </c>
      <c r="AD113" s="7" t="s">
        <v>80</v>
      </c>
      <c r="AE113" s="7" t="s">
        <v>0</v>
      </c>
      <c r="AF113" s="7" t="s">
        <v>0</v>
      </c>
      <c r="AG113" s="7" t="s">
        <v>4821</v>
      </c>
      <c r="AH113" s="9" t="s">
        <v>0</v>
      </c>
      <c r="AI113" s="9" t="s">
        <v>0</v>
      </c>
      <c r="AJ113" s="9" t="s">
        <v>0</v>
      </c>
      <c r="AK113" s="7" t="s">
        <v>81</v>
      </c>
      <c r="AL113" s="7" t="s">
        <v>61</v>
      </c>
      <c r="AM113" s="7" t="s">
        <v>0</v>
      </c>
      <c r="AN113" s="7" t="s">
        <v>0</v>
      </c>
      <c r="AO113" s="7" t="s">
        <v>0</v>
      </c>
      <c r="AP113" s="7" t="s">
        <v>0</v>
      </c>
      <c r="AQ113" s="7" t="s">
        <v>61</v>
      </c>
      <c r="AR113" s="7" t="s">
        <v>0</v>
      </c>
      <c r="AS113" s="10" t="str">
        <f>HYPERLINK("https://tessa.gazprom-neft.local/edo/card/2fb04e45-f69e-4c47-b9c0-a0b8d02107ad", "https://tessa.gazprom-neft.local/edo/card/2fb04e45-f69e-4c47-b9c0-a0b8d02107ad")</f>
        <v>https://tessa.gazprom-neft.local/edo/card/2fb04e45-f69e-4c47-b9c0-a0b8d02107ad</v>
      </c>
    </row>
    <row r="114" spans="1:45" x14ac:dyDescent="0.25">
      <c r="A114" s="6" t="s">
        <v>44</v>
      </c>
      <c r="B114" s="7" t="s">
        <v>2823</v>
      </c>
      <c r="C114" s="7" t="s">
        <v>218</v>
      </c>
      <c r="D114" s="8" t="s">
        <v>0</v>
      </c>
      <c r="E114" s="8" t="s">
        <v>0</v>
      </c>
      <c r="F114" s="16" t="s">
        <v>2824</v>
      </c>
      <c r="G114" s="7" t="s">
        <v>944</v>
      </c>
      <c r="H114" s="7" t="s">
        <v>2821</v>
      </c>
      <c r="I114" s="7" t="s">
        <v>0</v>
      </c>
      <c r="J114" s="7" t="s">
        <v>355</v>
      </c>
      <c r="K114" s="7" t="s">
        <v>47</v>
      </c>
      <c r="L114" s="7" t="s">
        <v>48</v>
      </c>
      <c r="M114" s="7" t="s">
        <v>0</v>
      </c>
      <c r="N114" s="7" t="s">
        <v>8116</v>
      </c>
      <c r="O114" s="7" t="s">
        <v>0</v>
      </c>
      <c r="P114" s="7" t="s">
        <v>3833</v>
      </c>
      <c r="Q114" s="7" t="s">
        <v>8117</v>
      </c>
      <c r="R114" s="7" t="s">
        <v>828</v>
      </c>
      <c r="S114" s="7" t="s">
        <v>0</v>
      </c>
      <c r="T114" s="7" t="s">
        <v>54</v>
      </c>
      <c r="U114" s="7" t="s">
        <v>188</v>
      </c>
      <c r="V114" s="7" t="s">
        <v>187</v>
      </c>
      <c r="W114" s="7" t="s">
        <v>0</v>
      </c>
      <c r="X114" s="7" t="s">
        <v>103</v>
      </c>
      <c r="Y114" s="8">
        <v>45292</v>
      </c>
      <c r="Z114" s="8">
        <v>45657</v>
      </c>
      <c r="AA114" s="7" t="s">
        <v>224</v>
      </c>
      <c r="AB114" s="7" t="s">
        <v>64</v>
      </c>
      <c r="AC114" s="7" t="s">
        <v>65</v>
      </c>
      <c r="AD114" s="7" t="s">
        <v>0</v>
      </c>
      <c r="AE114" s="7" t="s">
        <v>0</v>
      </c>
      <c r="AF114" s="7" t="s">
        <v>0</v>
      </c>
      <c r="AG114" s="7" t="s">
        <v>0</v>
      </c>
      <c r="AH114" s="9" t="s">
        <v>0</v>
      </c>
      <c r="AI114" s="9" t="s">
        <v>0</v>
      </c>
      <c r="AJ114" s="9" t="s">
        <v>0</v>
      </c>
      <c r="AK114" s="7" t="s">
        <v>61</v>
      </c>
      <c r="AL114" s="7" t="s">
        <v>61</v>
      </c>
      <c r="AM114" s="7" t="s">
        <v>0</v>
      </c>
      <c r="AN114" s="7" t="s">
        <v>0</v>
      </c>
      <c r="AO114" s="7" t="s">
        <v>0</v>
      </c>
      <c r="AP114" s="7" t="s">
        <v>0</v>
      </c>
      <c r="AQ114" s="7" t="s">
        <v>61</v>
      </c>
      <c r="AR114" s="7" t="s">
        <v>0</v>
      </c>
      <c r="AS114" s="10" t="str">
        <f>HYPERLINK("https://tessa.gazprom-neft.local/edo/card/82482f31-1ad3-4746-9a19-f89cb3da8643", "https://tessa.gazprom-neft.local/edo/card/82482f31-1ad3-4746-9a19-f89cb3da8643")</f>
        <v>https://tessa.gazprom-neft.local/edo/card/82482f31-1ad3-4746-9a19-f89cb3da8643</v>
      </c>
    </row>
    <row r="115" spans="1:45" hidden="1" x14ac:dyDescent="0.25">
      <c r="A115" s="6" t="s">
        <v>44</v>
      </c>
      <c r="B115" s="7" t="s">
        <v>801</v>
      </c>
      <c r="C115" s="7" t="s">
        <v>218</v>
      </c>
      <c r="D115" s="8" t="s">
        <v>0</v>
      </c>
      <c r="E115" s="8" t="s">
        <v>0</v>
      </c>
      <c r="F115" s="16" t="s">
        <v>802</v>
      </c>
      <c r="G115" s="7" t="s">
        <v>803</v>
      </c>
      <c r="H115" s="7" t="s">
        <v>0</v>
      </c>
      <c r="I115" s="7" t="s">
        <v>0</v>
      </c>
      <c r="J115" s="7" t="s">
        <v>0</v>
      </c>
      <c r="K115" s="7" t="s">
        <v>47</v>
      </c>
      <c r="L115" s="7" t="s">
        <v>86</v>
      </c>
      <c r="M115" s="7" t="s">
        <v>0</v>
      </c>
      <c r="N115" s="7" t="s">
        <v>8209</v>
      </c>
      <c r="O115" s="7" t="s">
        <v>0</v>
      </c>
      <c r="P115" s="7" t="s">
        <v>8210</v>
      </c>
      <c r="Q115" s="7" t="s">
        <v>8211</v>
      </c>
      <c r="R115" s="7" t="s">
        <v>1503</v>
      </c>
      <c r="S115" s="7" t="s">
        <v>1503</v>
      </c>
      <c r="T115" s="7" t="s">
        <v>54</v>
      </c>
      <c r="U115" s="7" t="s">
        <v>167</v>
      </c>
      <c r="V115" s="7" t="s">
        <v>340</v>
      </c>
      <c r="W115" s="7" t="s">
        <v>57</v>
      </c>
      <c r="X115" s="7" t="s">
        <v>223</v>
      </c>
      <c r="Y115" s="8">
        <v>44468</v>
      </c>
      <c r="Z115" s="8" t="s">
        <v>0</v>
      </c>
      <c r="AA115" s="7" t="s">
        <v>1115</v>
      </c>
      <c r="AB115" s="7" t="s">
        <v>328</v>
      </c>
      <c r="AC115" s="7" t="s">
        <v>65</v>
      </c>
      <c r="AD115" s="7" t="s">
        <v>0</v>
      </c>
      <c r="AE115" s="7" t="s">
        <v>0</v>
      </c>
      <c r="AF115" s="7" t="s">
        <v>0</v>
      </c>
      <c r="AG115" s="7" t="s">
        <v>0</v>
      </c>
      <c r="AH115" s="9" t="s">
        <v>0</v>
      </c>
      <c r="AI115" s="9" t="s">
        <v>0</v>
      </c>
      <c r="AJ115" s="9" t="s">
        <v>0</v>
      </c>
      <c r="AK115" s="7" t="s">
        <v>61</v>
      </c>
      <c r="AL115" s="7" t="s">
        <v>61</v>
      </c>
      <c r="AM115" s="7" t="s">
        <v>0</v>
      </c>
      <c r="AN115" s="7" t="s">
        <v>0</v>
      </c>
      <c r="AO115" s="7" t="s">
        <v>0</v>
      </c>
      <c r="AP115" s="7" t="s">
        <v>0</v>
      </c>
      <c r="AQ115" s="7" t="s">
        <v>61</v>
      </c>
      <c r="AR115" s="7" t="s">
        <v>0</v>
      </c>
      <c r="AS115" s="10" t="str">
        <f>HYPERLINK("https://tessa.gazprom-neft.local/edo/card/b47465e5-d0d3-405e-a607-40b33890bb1a", "https://tessa.gazprom-neft.local/edo/card/b47465e5-d0d3-405e-a607-40b33890bb1a")</f>
        <v>https://tessa.gazprom-neft.local/edo/card/b47465e5-d0d3-405e-a607-40b33890bb1a</v>
      </c>
    </row>
    <row r="116" spans="1:45" hidden="1" x14ac:dyDescent="0.25">
      <c r="A116" s="6" t="s">
        <v>44</v>
      </c>
      <c r="B116" s="7" t="s">
        <v>0</v>
      </c>
      <c r="C116" s="7" t="s">
        <v>218</v>
      </c>
      <c r="D116" s="8" t="s">
        <v>0</v>
      </c>
      <c r="E116" s="8" t="s">
        <v>0</v>
      </c>
      <c r="F116" s="16" t="s">
        <v>0</v>
      </c>
      <c r="G116" s="7" t="s">
        <v>0</v>
      </c>
      <c r="H116" s="7" t="s">
        <v>0</v>
      </c>
      <c r="I116" s="7" t="s">
        <v>0</v>
      </c>
      <c r="J116" s="7" t="s">
        <v>0</v>
      </c>
      <c r="K116" s="7" t="s">
        <v>47</v>
      </c>
      <c r="L116" s="7" t="s">
        <v>96</v>
      </c>
      <c r="M116" s="7" t="s">
        <v>0</v>
      </c>
      <c r="N116" s="7" t="s">
        <v>8330</v>
      </c>
      <c r="O116" s="7" t="s">
        <v>0</v>
      </c>
      <c r="P116" s="7" t="s">
        <v>0</v>
      </c>
      <c r="Q116" s="7" t="s">
        <v>8331</v>
      </c>
      <c r="R116" s="7" t="s">
        <v>891</v>
      </c>
      <c r="S116" s="7" t="s">
        <v>891</v>
      </c>
      <c r="T116" s="7" t="s">
        <v>54</v>
      </c>
      <c r="U116" s="7" t="s">
        <v>892</v>
      </c>
      <c r="V116" s="7" t="s">
        <v>56</v>
      </c>
      <c r="W116" s="7" t="s">
        <v>0</v>
      </c>
      <c r="X116" s="7" t="s">
        <v>58</v>
      </c>
      <c r="Y116" s="8">
        <v>44774</v>
      </c>
      <c r="Z116" s="8" t="s">
        <v>0</v>
      </c>
      <c r="AA116" s="7" t="s">
        <v>59</v>
      </c>
      <c r="AB116" s="7" t="s">
        <v>8332</v>
      </c>
      <c r="AC116" s="7" t="s">
        <v>79</v>
      </c>
      <c r="AD116" s="7" t="s">
        <v>80</v>
      </c>
      <c r="AE116" s="7" t="s">
        <v>0</v>
      </c>
      <c r="AF116" s="7" t="s">
        <v>0</v>
      </c>
      <c r="AG116" s="7" t="s">
        <v>0</v>
      </c>
      <c r="AH116" s="9" t="s">
        <v>0</v>
      </c>
      <c r="AI116" s="9" t="s">
        <v>0</v>
      </c>
      <c r="AJ116" s="9" t="s">
        <v>0</v>
      </c>
      <c r="AK116" s="7" t="s">
        <v>61</v>
      </c>
      <c r="AL116" s="7" t="s">
        <v>61</v>
      </c>
      <c r="AM116" s="7" t="s">
        <v>0</v>
      </c>
      <c r="AN116" s="7" t="s">
        <v>0</v>
      </c>
      <c r="AO116" s="7" t="s">
        <v>0</v>
      </c>
      <c r="AP116" s="7" t="s">
        <v>0</v>
      </c>
      <c r="AQ116" s="7" t="s">
        <v>61</v>
      </c>
      <c r="AR116" s="7" t="s">
        <v>0</v>
      </c>
      <c r="AS116" s="10" t="str">
        <f>HYPERLINK("https://tessa.gazprom-neft.local/edo/card/dd595d0c-0bc5-42fa-a0ff-36d5716b006f", "https://tessa.gazprom-neft.local/edo/card/dd595d0c-0bc5-42fa-a0ff-36d5716b006f")</f>
        <v>https://tessa.gazprom-neft.local/edo/card/dd595d0c-0bc5-42fa-a0ff-36d5716b006f</v>
      </c>
    </row>
    <row r="117" spans="1:45" hidden="1" x14ac:dyDescent="0.25">
      <c r="A117" s="6" t="s">
        <v>44</v>
      </c>
      <c r="B117" s="7" t="s">
        <v>0</v>
      </c>
      <c r="C117" s="7" t="s">
        <v>218</v>
      </c>
      <c r="D117" s="8" t="s">
        <v>0</v>
      </c>
      <c r="E117" s="8" t="s">
        <v>0</v>
      </c>
      <c r="F117" s="16" t="s">
        <v>0</v>
      </c>
      <c r="G117" s="7" t="s">
        <v>0</v>
      </c>
      <c r="H117" s="7" t="s">
        <v>0</v>
      </c>
      <c r="I117" s="7" t="s">
        <v>0</v>
      </c>
      <c r="J117" s="7" t="s">
        <v>0</v>
      </c>
      <c r="K117" s="7" t="s">
        <v>0</v>
      </c>
      <c r="L117" s="7" t="s">
        <v>0</v>
      </c>
      <c r="M117" s="7" t="s">
        <v>0</v>
      </c>
      <c r="N117" s="7" t="s">
        <v>8640</v>
      </c>
      <c r="O117" s="7" t="s">
        <v>0</v>
      </c>
      <c r="P117" s="7" t="s">
        <v>0</v>
      </c>
      <c r="Q117" s="7" t="s">
        <v>0</v>
      </c>
      <c r="R117" s="7" t="s">
        <v>4863</v>
      </c>
      <c r="S117" s="7" t="s">
        <v>0</v>
      </c>
      <c r="T117" s="7" t="s">
        <v>54</v>
      </c>
      <c r="U117" s="7" t="s">
        <v>1012</v>
      </c>
      <c r="V117" s="7" t="s">
        <v>0</v>
      </c>
      <c r="W117" s="7" t="s">
        <v>0</v>
      </c>
      <c r="X117" s="7" t="s">
        <v>0</v>
      </c>
      <c r="Y117" s="8" t="s">
        <v>0</v>
      </c>
      <c r="Z117" s="8" t="s">
        <v>0</v>
      </c>
      <c r="AA117" s="7" t="s">
        <v>0</v>
      </c>
      <c r="AB117" s="7" t="s">
        <v>0</v>
      </c>
      <c r="AC117" s="7" t="s">
        <v>0</v>
      </c>
      <c r="AD117" s="7" t="s">
        <v>0</v>
      </c>
      <c r="AE117" s="7" t="s">
        <v>0</v>
      </c>
      <c r="AF117" s="7" t="s">
        <v>0</v>
      </c>
      <c r="AG117" s="7" t="s">
        <v>0</v>
      </c>
      <c r="AH117" s="9" t="s">
        <v>0</v>
      </c>
      <c r="AI117" s="9" t="s">
        <v>0</v>
      </c>
      <c r="AJ117" s="9" t="s">
        <v>0</v>
      </c>
      <c r="AK117" s="7" t="s">
        <v>61</v>
      </c>
      <c r="AL117" s="7" t="s">
        <v>61</v>
      </c>
      <c r="AM117" s="7" t="s">
        <v>0</v>
      </c>
      <c r="AN117" s="7" t="s">
        <v>0</v>
      </c>
      <c r="AO117" s="7" t="s">
        <v>0</v>
      </c>
      <c r="AP117" s="7" t="s">
        <v>0</v>
      </c>
      <c r="AQ117" s="7" t="s">
        <v>61</v>
      </c>
      <c r="AR117" s="7" t="s">
        <v>0</v>
      </c>
      <c r="AS117" s="10" t="str">
        <f>HYPERLINK("https://tessa.gazprom-neft.local/edo/card/51943a61-0d65-49ab-8abf-4f510ac12ddf", "https://tessa.gazprom-neft.local/edo/card/51943a61-0d65-49ab-8abf-4f510ac12ddf")</f>
        <v>https://tessa.gazprom-neft.local/edo/card/51943a61-0d65-49ab-8abf-4f510ac12ddf</v>
      </c>
    </row>
    <row r="118" spans="1:45" hidden="1" x14ac:dyDescent="0.25">
      <c r="A118" s="6" t="s">
        <v>44</v>
      </c>
      <c r="B118" s="7" t="s">
        <v>0</v>
      </c>
      <c r="C118" s="7" t="s">
        <v>218</v>
      </c>
      <c r="D118" s="8" t="s">
        <v>0</v>
      </c>
      <c r="E118" s="8" t="s">
        <v>0</v>
      </c>
      <c r="F118" s="16" t="s">
        <v>0</v>
      </c>
      <c r="G118" s="7" t="s">
        <v>0</v>
      </c>
      <c r="H118" s="7" t="s">
        <v>0</v>
      </c>
      <c r="I118" s="7" t="s">
        <v>0</v>
      </c>
      <c r="J118" s="7" t="s">
        <v>0</v>
      </c>
      <c r="K118" s="7" t="s">
        <v>85</v>
      </c>
      <c r="L118" s="7" t="s">
        <v>96</v>
      </c>
      <c r="M118" s="7" t="s">
        <v>8710</v>
      </c>
      <c r="N118" s="7" t="s">
        <v>8711</v>
      </c>
      <c r="O118" s="7" t="s">
        <v>0</v>
      </c>
      <c r="P118" s="7" t="s">
        <v>8710</v>
      </c>
      <c r="Q118" s="7" t="s">
        <v>0</v>
      </c>
      <c r="R118" s="7" t="s">
        <v>282</v>
      </c>
      <c r="S118" s="7" t="s">
        <v>0</v>
      </c>
      <c r="T118" s="7" t="s">
        <v>54</v>
      </c>
      <c r="U118" s="7" t="s">
        <v>55</v>
      </c>
      <c r="V118" s="7" t="s">
        <v>0</v>
      </c>
      <c r="W118" s="7" t="s">
        <v>0</v>
      </c>
      <c r="X118" s="7" t="s">
        <v>0</v>
      </c>
      <c r="Y118" s="8" t="s">
        <v>0</v>
      </c>
      <c r="Z118" s="8" t="s">
        <v>0</v>
      </c>
      <c r="AA118" s="7" t="s">
        <v>0</v>
      </c>
      <c r="AB118" s="7" t="s">
        <v>874</v>
      </c>
      <c r="AC118" s="7" t="s">
        <v>0</v>
      </c>
      <c r="AD118" s="7" t="s">
        <v>0</v>
      </c>
      <c r="AE118" s="7" t="s">
        <v>0</v>
      </c>
      <c r="AF118" s="7" t="s">
        <v>0</v>
      </c>
      <c r="AG118" s="7" t="s">
        <v>0</v>
      </c>
      <c r="AH118" s="9" t="s">
        <v>0</v>
      </c>
      <c r="AI118" s="9" t="s">
        <v>0</v>
      </c>
      <c r="AJ118" s="9" t="s">
        <v>0</v>
      </c>
      <c r="AK118" s="7" t="s">
        <v>61</v>
      </c>
      <c r="AL118" s="7" t="s">
        <v>61</v>
      </c>
      <c r="AM118" s="7" t="s">
        <v>0</v>
      </c>
      <c r="AN118" s="7" t="s">
        <v>0</v>
      </c>
      <c r="AO118" s="7" t="s">
        <v>0</v>
      </c>
      <c r="AP118" s="7" t="s">
        <v>0</v>
      </c>
      <c r="AQ118" s="7" t="s">
        <v>61</v>
      </c>
      <c r="AR118" s="7" t="s">
        <v>0</v>
      </c>
      <c r="AS118" s="10" t="str">
        <f>HYPERLINK("https://tessa.gazprom-neft.local/edo/card/cc737489-993b-4633-9998-7b74c52698a0", "https://tessa.gazprom-neft.local/edo/card/cc737489-993b-4633-9998-7b74c52698a0")</f>
        <v>https://tessa.gazprom-neft.local/edo/card/cc737489-993b-4633-9998-7b74c52698a0</v>
      </c>
    </row>
    <row r="119" spans="1:45" x14ac:dyDescent="0.25">
      <c r="A119" s="6" t="s">
        <v>44</v>
      </c>
      <c r="B119" s="7" t="s">
        <v>0</v>
      </c>
      <c r="C119" s="7" t="s">
        <v>218</v>
      </c>
      <c r="D119" s="8" t="s">
        <v>0</v>
      </c>
      <c r="E119" s="8" t="s">
        <v>0</v>
      </c>
      <c r="F119" s="16" t="s">
        <v>0</v>
      </c>
      <c r="G119" s="7" t="s">
        <v>0</v>
      </c>
      <c r="H119" s="7" t="s">
        <v>0</v>
      </c>
      <c r="I119" s="7" t="s">
        <v>0</v>
      </c>
      <c r="J119" s="7" t="s">
        <v>0</v>
      </c>
      <c r="K119" s="7" t="s">
        <v>85</v>
      </c>
      <c r="L119" s="7" t="s">
        <v>48</v>
      </c>
      <c r="M119" s="7" t="s">
        <v>0</v>
      </c>
      <c r="N119" s="7" t="s">
        <v>9089</v>
      </c>
      <c r="O119" s="7" t="s">
        <v>0</v>
      </c>
      <c r="P119" s="7" t="s">
        <v>0</v>
      </c>
      <c r="Q119" s="7" t="s">
        <v>0</v>
      </c>
      <c r="R119" s="7" t="s">
        <v>506</v>
      </c>
      <c r="S119" s="7" t="s">
        <v>0</v>
      </c>
      <c r="T119" s="7" t="s">
        <v>54</v>
      </c>
      <c r="U119" s="7" t="s">
        <v>541</v>
      </c>
      <c r="V119" s="7" t="s">
        <v>0</v>
      </c>
      <c r="W119" s="7" t="s">
        <v>0</v>
      </c>
      <c r="X119" s="7" t="s">
        <v>0</v>
      </c>
      <c r="Y119" s="8" t="s">
        <v>0</v>
      </c>
      <c r="Z119" s="8" t="s">
        <v>0</v>
      </c>
      <c r="AA119" s="7" t="s">
        <v>0</v>
      </c>
      <c r="AB119" s="7" t="s">
        <v>0</v>
      </c>
      <c r="AC119" s="7" t="s">
        <v>0</v>
      </c>
      <c r="AD119" s="7" t="s">
        <v>0</v>
      </c>
      <c r="AE119" s="7" t="s">
        <v>0</v>
      </c>
      <c r="AF119" s="7" t="s">
        <v>0</v>
      </c>
      <c r="AG119" s="7" t="s">
        <v>0</v>
      </c>
      <c r="AH119" s="9" t="s">
        <v>0</v>
      </c>
      <c r="AI119" s="9" t="s">
        <v>0</v>
      </c>
      <c r="AJ119" s="9" t="s">
        <v>0</v>
      </c>
      <c r="AK119" s="7" t="s">
        <v>61</v>
      </c>
      <c r="AL119" s="7" t="s">
        <v>61</v>
      </c>
      <c r="AM119" s="7" t="s">
        <v>0</v>
      </c>
      <c r="AN119" s="7" t="s">
        <v>0</v>
      </c>
      <c r="AO119" s="7" t="s">
        <v>0</v>
      </c>
      <c r="AP119" s="7" t="s">
        <v>0</v>
      </c>
      <c r="AQ119" s="7" t="s">
        <v>61</v>
      </c>
      <c r="AR119" s="7" t="s">
        <v>0</v>
      </c>
      <c r="AS119" s="10" t="str">
        <f>HYPERLINK("https://tessa.gazprom-neft.local/edo/card/0793a13b-f7c3-4dad-9f35-7755098f1c36", "https://tessa.gazprom-neft.local/edo/card/0793a13b-f7c3-4dad-9f35-7755098f1c36")</f>
        <v>https://tessa.gazprom-neft.local/edo/card/0793a13b-f7c3-4dad-9f35-7755098f1c36</v>
      </c>
    </row>
    <row r="120" spans="1:45" hidden="1" x14ac:dyDescent="0.25">
      <c r="A120" s="6" t="s">
        <v>44</v>
      </c>
      <c r="B120" s="7" t="s">
        <v>0</v>
      </c>
      <c r="C120" s="7" t="s">
        <v>218</v>
      </c>
      <c r="D120" s="8" t="s">
        <v>0</v>
      </c>
      <c r="E120" s="8" t="s">
        <v>0</v>
      </c>
      <c r="F120" s="16" t="s">
        <v>0</v>
      </c>
      <c r="G120" s="7" t="s">
        <v>0</v>
      </c>
      <c r="H120" s="7" t="s">
        <v>0</v>
      </c>
      <c r="I120" s="7" t="s">
        <v>0</v>
      </c>
      <c r="J120" s="7" t="s">
        <v>0</v>
      </c>
      <c r="K120" s="7" t="s">
        <v>0</v>
      </c>
      <c r="L120" s="7" t="s">
        <v>0</v>
      </c>
      <c r="M120" s="7" t="s">
        <v>0</v>
      </c>
      <c r="N120" s="7" t="s">
        <v>9096</v>
      </c>
      <c r="O120" s="7" t="s">
        <v>0</v>
      </c>
      <c r="P120" s="7" t="s">
        <v>0</v>
      </c>
      <c r="Q120" s="7" t="s">
        <v>0</v>
      </c>
      <c r="R120" s="7" t="s">
        <v>506</v>
      </c>
      <c r="S120" s="7" t="s">
        <v>0</v>
      </c>
      <c r="T120" s="7" t="s">
        <v>54</v>
      </c>
      <c r="U120" s="7" t="s">
        <v>541</v>
      </c>
      <c r="V120" s="7" t="s">
        <v>0</v>
      </c>
      <c r="W120" s="7" t="s">
        <v>0</v>
      </c>
      <c r="X120" s="7" t="s">
        <v>0</v>
      </c>
      <c r="Y120" s="8" t="s">
        <v>0</v>
      </c>
      <c r="Z120" s="8" t="s">
        <v>0</v>
      </c>
      <c r="AA120" s="7" t="s">
        <v>0</v>
      </c>
      <c r="AB120" s="7" t="s">
        <v>0</v>
      </c>
      <c r="AC120" s="7" t="s">
        <v>0</v>
      </c>
      <c r="AD120" s="7" t="s">
        <v>0</v>
      </c>
      <c r="AE120" s="7" t="s">
        <v>0</v>
      </c>
      <c r="AF120" s="7" t="s">
        <v>0</v>
      </c>
      <c r="AG120" s="7" t="s">
        <v>0</v>
      </c>
      <c r="AH120" s="9" t="s">
        <v>0</v>
      </c>
      <c r="AI120" s="9" t="s">
        <v>0</v>
      </c>
      <c r="AJ120" s="9" t="s">
        <v>0</v>
      </c>
      <c r="AK120" s="7" t="s">
        <v>61</v>
      </c>
      <c r="AL120" s="7" t="s">
        <v>61</v>
      </c>
      <c r="AM120" s="7" t="s">
        <v>0</v>
      </c>
      <c r="AN120" s="7" t="s">
        <v>0</v>
      </c>
      <c r="AO120" s="7" t="s">
        <v>0</v>
      </c>
      <c r="AP120" s="7" t="s">
        <v>0</v>
      </c>
      <c r="AQ120" s="7" t="s">
        <v>61</v>
      </c>
      <c r="AR120" s="7" t="s">
        <v>0</v>
      </c>
      <c r="AS120" s="10" t="str">
        <f>HYPERLINK("https://tessa.gazprom-neft.local/edo/card/d6a9ee5f-28fd-40f3-b670-cafda4e0329d", "https://tessa.gazprom-neft.local/edo/card/d6a9ee5f-28fd-40f3-b670-cafda4e0329d")</f>
        <v>https://tessa.gazprom-neft.local/edo/card/d6a9ee5f-28fd-40f3-b670-cafda4e0329d</v>
      </c>
    </row>
    <row r="121" spans="1:45" hidden="1" x14ac:dyDescent="0.25">
      <c r="A121" s="6" t="s">
        <v>44</v>
      </c>
      <c r="B121" s="7" t="s">
        <v>0</v>
      </c>
      <c r="C121" s="7" t="s">
        <v>218</v>
      </c>
      <c r="D121" s="8" t="s">
        <v>0</v>
      </c>
      <c r="E121" s="8" t="s">
        <v>0</v>
      </c>
      <c r="F121" s="16" t="s">
        <v>0</v>
      </c>
      <c r="G121" s="7" t="s">
        <v>0</v>
      </c>
      <c r="H121" s="7" t="s">
        <v>0</v>
      </c>
      <c r="I121" s="7" t="s">
        <v>0</v>
      </c>
      <c r="J121" s="7" t="s">
        <v>0</v>
      </c>
      <c r="K121" s="7" t="s">
        <v>85</v>
      </c>
      <c r="L121" s="7" t="s">
        <v>86</v>
      </c>
      <c r="M121" s="7" t="s">
        <v>289</v>
      </c>
      <c r="N121" s="7" t="s">
        <v>9133</v>
      </c>
      <c r="O121" s="7" t="s">
        <v>0</v>
      </c>
      <c r="P121" s="7" t="s">
        <v>289</v>
      </c>
      <c r="Q121" s="7" t="s">
        <v>0</v>
      </c>
      <c r="R121" s="7" t="s">
        <v>513</v>
      </c>
      <c r="S121" s="7" t="s">
        <v>0</v>
      </c>
      <c r="T121" s="7" t="s">
        <v>54</v>
      </c>
      <c r="U121" s="7" t="s">
        <v>303</v>
      </c>
      <c r="V121" s="7" t="s">
        <v>0</v>
      </c>
      <c r="W121" s="7" t="s">
        <v>0</v>
      </c>
      <c r="X121" s="7" t="s">
        <v>0</v>
      </c>
      <c r="Y121" s="8" t="s">
        <v>0</v>
      </c>
      <c r="Z121" s="8" t="s">
        <v>0</v>
      </c>
      <c r="AA121" s="7" t="s">
        <v>0</v>
      </c>
      <c r="AB121" s="7" t="s">
        <v>300</v>
      </c>
      <c r="AC121" s="7" t="s">
        <v>0</v>
      </c>
      <c r="AD121" s="7" t="s">
        <v>0</v>
      </c>
      <c r="AE121" s="7" t="s">
        <v>0</v>
      </c>
      <c r="AF121" s="7" t="s">
        <v>0</v>
      </c>
      <c r="AG121" s="7" t="s">
        <v>0</v>
      </c>
      <c r="AH121" s="9" t="s">
        <v>0</v>
      </c>
      <c r="AI121" s="9" t="s">
        <v>0</v>
      </c>
      <c r="AJ121" s="9" t="s">
        <v>0</v>
      </c>
      <c r="AK121" s="7" t="s">
        <v>61</v>
      </c>
      <c r="AL121" s="7" t="s">
        <v>61</v>
      </c>
      <c r="AM121" s="7" t="s">
        <v>0</v>
      </c>
      <c r="AN121" s="7" t="s">
        <v>0</v>
      </c>
      <c r="AO121" s="7" t="s">
        <v>0</v>
      </c>
      <c r="AP121" s="7" t="s">
        <v>0</v>
      </c>
      <c r="AQ121" s="7" t="s">
        <v>61</v>
      </c>
      <c r="AR121" s="7" t="s">
        <v>0</v>
      </c>
      <c r="AS121" s="10" t="str">
        <f>HYPERLINK("https://tessa.gazprom-neft.local/edo/card/9ff02436-25fe-45dc-baa0-f2eb9cbb79d8", "https://tessa.gazprom-neft.local/edo/card/9ff02436-25fe-45dc-baa0-f2eb9cbb79d8")</f>
        <v>https://tessa.gazprom-neft.local/edo/card/9ff02436-25fe-45dc-baa0-f2eb9cbb79d8</v>
      </c>
    </row>
    <row r="122" spans="1:45" hidden="1" x14ac:dyDescent="0.25">
      <c r="A122" s="6" t="s">
        <v>44</v>
      </c>
      <c r="B122" s="7" t="s">
        <v>0</v>
      </c>
      <c r="C122" s="7" t="s">
        <v>218</v>
      </c>
      <c r="D122" s="8" t="s">
        <v>0</v>
      </c>
      <c r="E122" s="8" t="s">
        <v>0</v>
      </c>
      <c r="F122" s="16" t="s">
        <v>0</v>
      </c>
      <c r="G122" s="7" t="s">
        <v>0</v>
      </c>
      <c r="H122" s="7" t="s">
        <v>0</v>
      </c>
      <c r="I122" s="7" t="s">
        <v>0</v>
      </c>
      <c r="J122" s="7" t="s">
        <v>0</v>
      </c>
      <c r="K122" s="7" t="s">
        <v>85</v>
      </c>
      <c r="L122" s="7" t="s">
        <v>0</v>
      </c>
      <c r="M122" s="7" t="s">
        <v>0</v>
      </c>
      <c r="N122" s="7" t="s">
        <v>9139</v>
      </c>
      <c r="O122" s="7" t="s">
        <v>0</v>
      </c>
      <c r="P122" s="7" t="s">
        <v>0</v>
      </c>
      <c r="Q122" s="7" t="s">
        <v>0</v>
      </c>
      <c r="R122" s="7" t="s">
        <v>6069</v>
      </c>
      <c r="S122" s="7" t="s">
        <v>0</v>
      </c>
      <c r="T122" s="7" t="s">
        <v>54</v>
      </c>
      <c r="U122" s="7" t="s">
        <v>1012</v>
      </c>
      <c r="V122" s="7" t="s">
        <v>0</v>
      </c>
      <c r="W122" s="7" t="s">
        <v>0</v>
      </c>
      <c r="X122" s="7" t="s">
        <v>0</v>
      </c>
      <c r="Y122" s="8" t="s">
        <v>0</v>
      </c>
      <c r="Z122" s="8" t="s">
        <v>0</v>
      </c>
      <c r="AA122" s="7" t="s">
        <v>0</v>
      </c>
      <c r="AB122" s="7" t="s">
        <v>0</v>
      </c>
      <c r="AC122" s="7" t="s">
        <v>0</v>
      </c>
      <c r="AD122" s="7" t="s">
        <v>0</v>
      </c>
      <c r="AE122" s="7" t="s">
        <v>0</v>
      </c>
      <c r="AF122" s="7" t="s">
        <v>0</v>
      </c>
      <c r="AG122" s="7" t="s">
        <v>0</v>
      </c>
      <c r="AH122" s="9" t="s">
        <v>0</v>
      </c>
      <c r="AI122" s="9" t="s">
        <v>0</v>
      </c>
      <c r="AJ122" s="9" t="s">
        <v>0</v>
      </c>
      <c r="AK122" s="7" t="s">
        <v>61</v>
      </c>
      <c r="AL122" s="7" t="s">
        <v>61</v>
      </c>
      <c r="AM122" s="7" t="s">
        <v>0</v>
      </c>
      <c r="AN122" s="7" t="s">
        <v>0</v>
      </c>
      <c r="AO122" s="7" t="s">
        <v>0</v>
      </c>
      <c r="AP122" s="7" t="s">
        <v>0</v>
      </c>
      <c r="AQ122" s="7" t="s">
        <v>61</v>
      </c>
      <c r="AR122" s="7" t="s">
        <v>0</v>
      </c>
      <c r="AS122" s="10" t="str">
        <f>HYPERLINK("https://tessa.gazprom-neft.local/edo/card/cd13ccac-21b0-4b7a-8e73-ea0c57fb0e7c", "https://tessa.gazprom-neft.local/edo/card/cd13ccac-21b0-4b7a-8e73-ea0c57fb0e7c")</f>
        <v>https://tessa.gazprom-neft.local/edo/card/cd13ccac-21b0-4b7a-8e73-ea0c57fb0e7c</v>
      </c>
    </row>
    <row r="123" spans="1:45" hidden="1" x14ac:dyDescent="0.25">
      <c r="A123" s="6" t="s">
        <v>44</v>
      </c>
      <c r="B123" s="7" t="s">
        <v>9260</v>
      </c>
      <c r="C123" s="7" t="s">
        <v>218</v>
      </c>
      <c r="D123" s="8" t="s">
        <v>0</v>
      </c>
      <c r="E123" s="8" t="s">
        <v>0</v>
      </c>
      <c r="F123" s="16" t="s">
        <v>9261</v>
      </c>
      <c r="G123" s="7" t="s">
        <v>9262</v>
      </c>
      <c r="H123" s="7" t="s">
        <v>0</v>
      </c>
      <c r="I123" s="7" t="s">
        <v>0</v>
      </c>
      <c r="J123" s="7" t="s">
        <v>0</v>
      </c>
      <c r="K123" s="7" t="s">
        <v>0</v>
      </c>
      <c r="L123" s="7" t="s">
        <v>0</v>
      </c>
      <c r="M123" s="7" t="s">
        <v>0</v>
      </c>
      <c r="N123" s="7" t="s">
        <v>9259</v>
      </c>
      <c r="O123" s="7" t="s">
        <v>0</v>
      </c>
      <c r="P123" s="7" t="s">
        <v>0</v>
      </c>
      <c r="Q123" s="7" t="s">
        <v>0</v>
      </c>
      <c r="R123" s="7" t="s">
        <v>5744</v>
      </c>
      <c r="S123" s="7" t="s">
        <v>0</v>
      </c>
      <c r="T123" s="7" t="s">
        <v>54</v>
      </c>
      <c r="U123" s="7" t="s">
        <v>428</v>
      </c>
      <c r="V123" s="7" t="s">
        <v>340</v>
      </c>
      <c r="W123" s="7" t="s">
        <v>0</v>
      </c>
      <c r="X123" s="7" t="s">
        <v>0</v>
      </c>
      <c r="Y123" s="8" t="s">
        <v>0</v>
      </c>
      <c r="Z123" s="8" t="s">
        <v>0</v>
      </c>
      <c r="AA123" s="7" t="s">
        <v>1115</v>
      </c>
      <c r="AB123" s="7" t="s">
        <v>1049</v>
      </c>
      <c r="AC123" s="7" t="s">
        <v>79</v>
      </c>
      <c r="AD123" s="7" t="s">
        <v>0</v>
      </c>
      <c r="AE123" s="7" t="s">
        <v>82</v>
      </c>
      <c r="AF123" s="7" t="s">
        <v>0</v>
      </c>
      <c r="AG123" s="7" t="s">
        <v>0</v>
      </c>
      <c r="AH123" s="9" t="s">
        <v>11442</v>
      </c>
      <c r="AI123" s="9" t="s">
        <v>13855</v>
      </c>
      <c r="AJ123" s="9" t="s">
        <v>13856</v>
      </c>
      <c r="AK123" s="7" t="s">
        <v>61</v>
      </c>
      <c r="AL123" s="7" t="s">
        <v>61</v>
      </c>
      <c r="AM123" s="7" t="s">
        <v>0</v>
      </c>
      <c r="AN123" s="7" t="s">
        <v>0</v>
      </c>
      <c r="AO123" s="7" t="s">
        <v>0</v>
      </c>
      <c r="AP123" s="7" t="s">
        <v>0</v>
      </c>
      <c r="AQ123" s="7" t="s">
        <v>61</v>
      </c>
      <c r="AR123" s="7" t="s">
        <v>0</v>
      </c>
      <c r="AS123" s="10" t="str">
        <f>HYPERLINK("https://tessa.gazprom-neft.local/edo/card/be36b63d-4081-425e-8118-067b6e800d9f", "https://tessa.gazprom-neft.local/edo/card/be36b63d-4081-425e-8118-067b6e800d9f")</f>
        <v>https://tessa.gazprom-neft.local/edo/card/be36b63d-4081-425e-8118-067b6e800d9f</v>
      </c>
    </row>
    <row r="124" spans="1:45" x14ac:dyDescent="0.25">
      <c r="A124" s="6" t="s">
        <v>44</v>
      </c>
      <c r="B124" s="7" t="s">
        <v>0</v>
      </c>
      <c r="C124" s="7" t="s">
        <v>218</v>
      </c>
      <c r="D124" s="8" t="s">
        <v>0</v>
      </c>
      <c r="E124" s="8" t="s">
        <v>0</v>
      </c>
      <c r="F124" s="16" t="s">
        <v>0</v>
      </c>
      <c r="G124" s="7" t="s">
        <v>0</v>
      </c>
      <c r="H124" s="7" t="s">
        <v>0</v>
      </c>
      <c r="I124" s="7" t="s">
        <v>0</v>
      </c>
      <c r="J124" s="7" t="s">
        <v>0</v>
      </c>
      <c r="K124" s="7" t="s">
        <v>47</v>
      </c>
      <c r="L124" s="7" t="s">
        <v>48</v>
      </c>
      <c r="M124" s="7" t="s">
        <v>0</v>
      </c>
      <c r="N124" s="7" t="s">
        <v>9277</v>
      </c>
      <c r="O124" s="7" t="s">
        <v>0</v>
      </c>
      <c r="P124" s="7" t="s">
        <v>9278</v>
      </c>
      <c r="Q124" s="7" t="s">
        <v>9279</v>
      </c>
      <c r="R124" s="7" t="s">
        <v>768</v>
      </c>
      <c r="S124" s="7" t="s">
        <v>0</v>
      </c>
      <c r="T124" s="7" t="s">
        <v>54</v>
      </c>
      <c r="U124" s="7" t="s">
        <v>362</v>
      </c>
      <c r="V124" s="7" t="s">
        <v>137</v>
      </c>
      <c r="W124" s="7" t="s">
        <v>74</v>
      </c>
      <c r="X124" s="7" t="s">
        <v>58</v>
      </c>
      <c r="Y124" s="8" t="s">
        <v>0</v>
      </c>
      <c r="Z124" s="8" t="s">
        <v>0</v>
      </c>
      <c r="AA124" s="7" t="s">
        <v>0</v>
      </c>
      <c r="AB124" s="7" t="s">
        <v>0</v>
      </c>
      <c r="AC124" s="7" t="s">
        <v>0</v>
      </c>
      <c r="AD124" s="7" t="s">
        <v>0</v>
      </c>
      <c r="AE124" s="7" t="s">
        <v>0</v>
      </c>
      <c r="AF124" s="7" t="s">
        <v>0</v>
      </c>
      <c r="AG124" s="7" t="s">
        <v>0</v>
      </c>
      <c r="AH124" s="9" t="s">
        <v>0</v>
      </c>
      <c r="AI124" s="9" t="s">
        <v>0</v>
      </c>
      <c r="AJ124" s="9" t="s">
        <v>0</v>
      </c>
      <c r="AK124" s="7" t="s">
        <v>61</v>
      </c>
      <c r="AL124" s="7" t="s">
        <v>61</v>
      </c>
      <c r="AM124" s="7" t="s">
        <v>0</v>
      </c>
      <c r="AN124" s="7" t="s">
        <v>0</v>
      </c>
      <c r="AO124" s="7" t="s">
        <v>0</v>
      </c>
      <c r="AP124" s="7" t="s">
        <v>0</v>
      </c>
      <c r="AQ124" s="7" t="s">
        <v>61</v>
      </c>
      <c r="AR124" s="7" t="s">
        <v>0</v>
      </c>
      <c r="AS124" s="10" t="str">
        <f>HYPERLINK("https://tessa.gazprom-neft.local/edo/card/3918bb5c-d9e4-45ab-98d2-8e607a03a46c", "https://tessa.gazprom-neft.local/edo/card/3918bb5c-d9e4-45ab-98d2-8e607a03a46c")</f>
        <v>https://tessa.gazprom-neft.local/edo/card/3918bb5c-d9e4-45ab-98d2-8e607a03a46c</v>
      </c>
    </row>
    <row r="125" spans="1:45" hidden="1" x14ac:dyDescent="0.25">
      <c r="A125" s="6" t="s">
        <v>44</v>
      </c>
      <c r="B125" s="7" t="s">
        <v>0</v>
      </c>
      <c r="C125" s="7" t="s">
        <v>218</v>
      </c>
      <c r="D125" s="8" t="s">
        <v>0</v>
      </c>
      <c r="E125" s="8" t="s">
        <v>0</v>
      </c>
      <c r="F125" s="16" t="s">
        <v>0</v>
      </c>
      <c r="G125" s="7" t="s">
        <v>0</v>
      </c>
      <c r="H125" s="7" t="s">
        <v>0</v>
      </c>
      <c r="I125" s="7" t="s">
        <v>0</v>
      </c>
      <c r="J125" s="7" t="s">
        <v>0</v>
      </c>
      <c r="K125" s="7" t="s">
        <v>85</v>
      </c>
      <c r="L125" s="7" t="s">
        <v>96</v>
      </c>
      <c r="M125" s="7" t="s">
        <v>9327</v>
      </c>
      <c r="N125" s="7" t="s">
        <v>9328</v>
      </c>
      <c r="O125" s="7" t="s">
        <v>0</v>
      </c>
      <c r="P125" s="7" t="s">
        <v>9327</v>
      </c>
      <c r="Q125" s="7" t="s">
        <v>0</v>
      </c>
      <c r="R125" s="7" t="s">
        <v>7877</v>
      </c>
      <c r="S125" s="7" t="s">
        <v>0</v>
      </c>
      <c r="T125" s="7" t="s">
        <v>54</v>
      </c>
      <c r="U125" s="7" t="s">
        <v>899</v>
      </c>
      <c r="V125" s="7" t="s">
        <v>0</v>
      </c>
      <c r="W125" s="7" t="s">
        <v>0</v>
      </c>
      <c r="X125" s="7" t="s">
        <v>0</v>
      </c>
      <c r="Y125" s="8" t="s">
        <v>0</v>
      </c>
      <c r="Z125" s="8" t="s">
        <v>0</v>
      </c>
      <c r="AA125" s="7" t="s">
        <v>0</v>
      </c>
      <c r="AB125" s="7" t="s">
        <v>0</v>
      </c>
      <c r="AC125" s="7" t="s">
        <v>0</v>
      </c>
      <c r="AD125" s="7" t="s">
        <v>0</v>
      </c>
      <c r="AE125" s="7" t="s">
        <v>0</v>
      </c>
      <c r="AF125" s="7" t="s">
        <v>0</v>
      </c>
      <c r="AG125" s="7" t="s">
        <v>0</v>
      </c>
      <c r="AH125" s="9" t="s">
        <v>0</v>
      </c>
      <c r="AI125" s="9" t="s">
        <v>0</v>
      </c>
      <c r="AJ125" s="9" t="s">
        <v>0</v>
      </c>
      <c r="AK125" s="7" t="s">
        <v>61</v>
      </c>
      <c r="AL125" s="7" t="s">
        <v>61</v>
      </c>
      <c r="AM125" s="7" t="s">
        <v>0</v>
      </c>
      <c r="AN125" s="7" t="s">
        <v>0</v>
      </c>
      <c r="AO125" s="7" t="s">
        <v>0</v>
      </c>
      <c r="AP125" s="7" t="s">
        <v>0</v>
      </c>
      <c r="AQ125" s="7" t="s">
        <v>61</v>
      </c>
      <c r="AR125" s="7" t="s">
        <v>0</v>
      </c>
      <c r="AS125" s="10" t="str">
        <f>HYPERLINK("https://tessa.gazprom-neft.local/edo/card/be84c28e-9ec8-4f35-9982-a95ecfe407d0", "https://tessa.gazprom-neft.local/edo/card/be84c28e-9ec8-4f35-9982-a95ecfe407d0")</f>
        <v>https://tessa.gazprom-neft.local/edo/card/be84c28e-9ec8-4f35-9982-a95ecfe407d0</v>
      </c>
    </row>
    <row r="126" spans="1:45" hidden="1" x14ac:dyDescent="0.25">
      <c r="A126" s="6" t="s">
        <v>44</v>
      </c>
      <c r="B126" s="7" t="s">
        <v>0</v>
      </c>
      <c r="C126" s="7" t="s">
        <v>218</v>
      </c>
      <c r="D126" s="8" t="s">
        <v>0</v>
      </c>
      <c r="E126" s="8" t="s">
        <v>0</v>
      </c>
      <c r="F126" s="16" t="s">
        <v>0</v>
      </c>
      <c r="G126" s="7" t="s">
        <v>0</v>
      </c>
      <c r="H126" s="7" t="s">
        <v>0</v>
      </c>
      <c r="I126" s="7" t="s">
        <v>0</v>
      </c>
      <c r="J126" s="7" t="s">
        <v>0</v>
      </c>
      <c r="K126" s="7" t="s">
        <v>47</v>
      </c>
      <c r="L126" s="7" t="s">
        <v>96</v>
      </c>
      <c r="M126" s="7" t="s">
        <v>0</v>
      </c>
      <c r="N126" s="7" t="s">
        <v>9626</v>
      </c>
      <c r="O126" s="7" t="s">
        <v>0</v>
      </c>
      <c r="P126" s="7" t="s">
        <v>9627</v>
      </c>
      <c r="Q126" s="7" t="s">
        <v>9628</v>
      </c>
      <c r="R126" s="7" t="s">
        <v>2635</v>
      </c>
      <c r="S126" s="7" t="s">
        <v>2635</v>
      </c>
      <c r="T126" s="7" t="s">
        <v>54</v>
      </c>
      <c r="U126" s="7" t="s">
        <v>55</v>
      </c>
      <c r="V126" s="7" t="s">
        <v>137</v>
      </c>
      <c r="W126" s="7" t="s">
        <v>57</v>
      </c>
      <c r="X126" s="7" t="s">
        <v>0</v>
      </c>
      <c r="Y126" s="8" t="s">
        <v>0</v>
      </c>
      <c r="Z126" s="8" t="s">
        <v>0</v>
      </c>
      <c r="AA126" s="7" t="s">
        <v>0</v>
      </c>
      <c r="AB126" s="7" t="s">
        <v>64</v>
      </c>
      <c r="AC126" s="7" t="s">
        <v>79</v>
      </c>
      <c r="AD126" s="7" t="s">
        <v>80</v>
      </c>
      <c r="AE126" s="7" t="s">
        <v>889</v>
      </c>
      <c r="AF126" s="7" t="s">
        <v>0</v>
      </c>
      <c r="AG126" s="7" t="s">
        <v>0</v>
      </c>
      <c r="AH126" s="9" t="s">
        <v>14015</v>
      </c>
      <c r="AI126" s="9" t="s">
        <v>14015</v>
      </c>
      <c r="AJ126" s="9">
        <v>0</v>
      </c>
      <c r="AK126" s="7" t="s">
        <v>61</v>
      </c>
      <c r="AL126" s="7" t="s">
        <v>61</v>
      </c>
      <c r="AM126" s="7" t="s">
        <v>0</v>
      </c>
      <c r="AN126" s="7" t="s">
        <v>0</v>
      </c>
      <c r="AO126" s="7" t="s">
        <v>0</v>
      </c>
      <c r="AP126" s="7" t="s">
        <v>0</v>
      </c>
      <c r="AQ126" s="7" t="s">
        <v>61</v>
      </c>
      <c r="AR126" s="7" t="s">
        <v>0</v>
      </c>
      <c r="AS126" s="10" t="str">
        <f>HYPERLINK("https://tessa.gazprom-neft.local/edo/card/a74d4357-74be-4628-827b-180247adc434", "https://tessa.gazprom-neft.local/edo/card/a74d4357-74be-4628-827b-180247adc434")</f>
        <v>https://tessa.gazprom-neft.local/edo/card/a74d4357-74be-4628-827b-180247adc434</v>
      </c>
    </row>
    <row r="127" spans="1:45" hidden="1" x14ac:dyDescent="0.25">
      <c r="A127" s="6" t="s">
        <v>44</v>
      </c>
      <c r="B127" s="7" t="s">
        <v>715</v>
      </c>
      <c r="C127" s="7" t="s">
        <v>218</v>
      </c>
      <c r="D127" s="8">
        <v>45612</v>
      </c>
      <c r="E127" s="8" t="s">
        <v>0</v>
      </c>
      <c r="F127" s="16" t="s">
        <v>716</v>
      </c>
      <c r="G127" s="7" t="s">
        <v>717</v>
      </c>
      <c r="H127" s="7" t="s">
        <v>710</v>
      </c>
      <c r="I127" s="7" t="s">
        <v>0</v>
      </c>
      <c r="J127" s="7" t="s">
        <v>0</v>
      </c>
      <c r="K127" s="7" t="s">
        <v>47</v>
      </c>
      <c r="L127" s="7" t="s">
        <v>709</v>
      </c>
      <c r="M127" s="7" t="s">
        <v>0</v>
      </c>
      <c r="N127" s="7" t="s">
        <v>7297</v>
      </c>
      <c r="O127" s="7" t="s">
        <v>0</v>
      </c>
      <c r="P127" s="7" t="s">
        <v>7298</v>
      </c>
      <c r="Q127" s="7" t="s">
        <v>7299</v>
      </c>
      <c r="R127" s="7" t="s">
        <v>714</v>
      </c>
      <c r="S127" s="7" t="s">
        <v>714</v>
      </c>
      <c r="T127" s="7" t="s">
        <v>54</v>
      </c>
      <c r="U127" s="7" t="s">
        <v>101</v>
      </c>
      <c r="V127" s="7" t="s">
        <v>308</v>
      </c>
      <c r="W127" s="7" t="s">
        <v>74</v>
      </c>
      <c r="X127" s="7" t="s">
        <v>103</v>
      </c>
      <c r="Y127" s="8">
        <v>45612</v>
      </c>
      <c r="Z127" s="8">
        <v>45759</v>
      </c>
      <c r="AA127" s="7" t="s">
        <v>6222</v>
      </c>
      <c r="AB127" s="7" t="s">
        <v>64</v>
      </c>
      <c r="AC127" s="7" t="s">
        <v>79</v>
      </c>
      <c r="AD127" s="7" t="s">
        <v>144</v>
      </c>
      <c r="AE127" s="7" t="s">
        <v>82</v>
      </c>
      <c r="AF127" s="7" t="s">
        <v>0</v>
      </c>
      <c r="AG127" s="7" t="s">
        <v>0</v>
      </c>
      <c r="AH127" s="9" t="s">
        <v>13135</v>
      </c>
      <c r="AI127" s="9" t="s">
        <v>13136</v>
      </c>
      <c r="AJ127" s="9" t="s">
        <v>13137</v>
      </c>
      <c r="AK127" s="7" t="s">
        <v>61</v>
      </c>
      <c r="AL127" s="7" t="s">
        <v>61</v>
      </c>
      <c r="AM127" s="7" t="s">
        <v>0</v>
      </c>
      <c r="AN127" s="7" t="s">
        <v>0</v>
      </c>
      <c r="AO127" s="7" t="s">
        <v>0</v>
      </c>
      <c r="AP127" s="7" t="s">
        <v>0</v>
      </c>
      <c r="AQ127" s="7" t="s">
        <v>61</v>
      </c>
      <c r="AR127" s="7" t="s">
        <v>0</v>
      </c>
      <c r="AS127" s="10" t="str">
        <f>HYPERLINK("https://tessa.gazprom-neft.local/edo/card/cde700c4-79ba-4c71-b6e2-a2e88e5c9bc8", "https://tessa.gazprom-neft.local/edo/card/cde700c4-79ba-4c71-b6e2-a2e88e5c9bc8")</f>
        <v>https://tessa.gazprom-neft.local/edo/card/cde700c4-79ba-4c71-b6e2-a2e88e5c9bc8</v>
      </c>
    </row>
    <row r="128" spans="1:45" x14ac:dyDescent="0.25">
      <c r="A128" s="6" t="s">
        <v>44</v>
      </c>
      <c r="B128" s="7" t="s">
        <v>1775</v>
      </c>
      <c r="C128" s="7" t="s">
        <v>7476</v>
      </c>
      <c r="D128" s="8">
        <v>45597</v>
      </c>
      <c r="E128" s="8" t="s">
        <v>0</v>
      </c>
      <c r="F128" s="16" t="s">
        <v>1776</v>
      </c>
      <c r="G128" s="7" t="s">
        <v>1777</v>
      </c>
      <c r="H128" s="7" t="s">
        <v>2800</v>
      </c>
      <c r="I128" s="7" t="s">
        <v>0</v>
      </c>
      <c r="J128" s="7" t="s">
        <v>712</v>
      </c>
      <c r="K128" s="7" t="s">
        <v>47</v>
      </c>
      <c r="L128" s="7" t="s">
        <v>48</v>
      </c>
      <c r="M128" s="7" t="s">
        <v>0</v>
      </c>
      <c r="N128" s="7" t="s">
        <v>7475</v>
      </c>
      <c r="O128" s="7" t="s">
        <v>0</v>
      </c>
      <c r="P128" s="7" t="s">
        <v>7477</v>
      </c>
      <c r="Q128" s="7" t="s">
        <v>7478</v>
      </c>
      <c r="R128" s="7" t="s">
        <v>1774</v>
      </c>
      <c r="S128" s="7" t="s">
        <v>1774</v>
      </c>
      <c r="T128" s="7" t="s">
        <v>54</v>
      </c>
      <c r="U128" s="7" t="s">
        <v>307</v>
      </c>
      <c r="V128" s="7" t="s">
        <v>382</v>
      </c>
      <c r="W128" s="7" t="s">
        <v>74</v>
      </c>
      <c r="X128" s="7" t="s">
        <v>103</v>
      </c>
      <c r="Y128" s="8">
        <v>45597</v>
      </c>
      <c r="Z128" s="8">
        <v>46387</v>
      </c>
      <c r="AA128" s="7" t="s">
        <v>7479</v>
      </c>
      <c r="AB128" s="7" t="s">
        <v>130</v>
      </c>
      <c r="AC128" s="7" t="s">
        <v>79</v>
      </c>
      <c r="AD128" s="7" t="s">
        <v>514</v>
      </c>
      <c r="AE128" s="7" t="s">
        <v>82</v>
      </c>
      <c r="AF128" s="7" t="s">
        <v>0</v>
      </c>
      <c r="AG128" s="7" t="s">
        <v>0</v>
      </c>
      <c r="AH128" s="9" t="s">
        <v>13190</v>
      </c>
      <c r="AI128" s="9" t="s">
        <v>13191</v>
      </c>
      <c r="AJ128" s="9" t="s">
        <v>13192</v>
      </c>
      <c r="AK128" s="7" t="s">
        <v>61</v>
      </c>
      <c r="AL128" s="7" t="s">
        <v>61</v>
      </c>
      <c r="AM128" s="7" t="s">
        <v>0</v>
      </c>
      <c r="AN128" s="7" t="s">
        <v>0</v>
      </c>
      <c r="AO128" s="7" t="s">
        <v>0</v>
      </c>
      <c r="AP128" s="7" t="s">
        <v>0</v>
      </c>
      <c r="AQ128" s="7" t="s">
        <v>61</v>
      </c>
      <c r="AR128" s="7" t="s">
        <v>0</v>
      </c>
      <c r="AS128" s="10" t="str">
        <f>HYPERLINK("https://tessa.gazprom-neft.local/edo/card/32b2756a-ed76-466f-a41b-d017069c90c8", "https://tessa.gazprom-neft.local/edo/card/32b2756a-ed76-466f-a41b-d017069c90c8")</f>
        <v>https://tessa.gazprom-neft.local/edo/card/32b2756a-ed76-466f-a41b-d017069c90c8</v>
      </c>
    </row>
    <row r="129" spans="1:45" x14ac:dyDescent="0.25">
      <c r="A129" s="6" t="s">
        <v>44</v>
      </c>
      <c r="B129" s="7" t="s">
        <v>813</v>
      </c>
      <c r="C129" s="7" t="s">
        <v>7291</v>
      </c>
      <c r="D129" s="8">
        <v>45596</v>
      </c>
      <c r="E129" s="8" t="s">
        <v>0</v>
      </c>
      <c r="F129" s="16" t="s">
        <v>814</v>
      </c>
      <c r="G129" s="7" t="s">
        <v>815</v>
      </c>
      <c r="H129" s="7" t="s">
        <v>809</v>
      </c>
      <c r="I129" s="7" t="s">
        <v>0</v>
      </c>
      <c r="J129" s="7" t="s">
        <v>263</v>
      </c>
      <c r="K129" s="7" t="s">
        <v>47</v>
      </c>
      <c r="L129" s="7" t="s">
        <v>48</v>
      </c>
      <c r="M129" s="7" t="s">
        <v>0</v>
      </c>
      <c r="N129" s="7" t="s">
        <v>7396</v>
      </c>
      <c r="O129" s="7" t="s">
        <v>0</v>
      </c>
      <c r="P129" s="7" t="s">
        <v>7397</v>
      </c>
      <c r="Q129" s="7" t="s">
        <v>7398</v>
      </c>
      <c r="R129" s="7" t="s">
        <v>393</v>
      </c>
      <c r="S129" s="7" t="s">
        <v>812</v>
      </c>
      <c r="T129" s="7" t="s">
        <v>54</v>
      </c>
      <c r="U129" s="7" t="s">
        <v>55</v>
      </c>
      <c r="V129" s="7" t="s">
        <v>126</v>
      </c>
      <c r="W129" s="7" t="s">
        <v>74</v>
      </c>
      <c r="X129" s="7" t="s">
        <v>103</v>
      </c>
      <c r="Y129" s="8">
        <v>45589</v>
      </c>
      <c r="Z129" s="8">
        <v>46387</v>
      </c>
      <c r="AA129" s="7" t="s">
        <v>5596</v>
      </c>
      <c r="AB129" s="7" t="s">
        <v>256</v>
      </c>
      <c r="AC129" s="7" t="s">
        <v>65</v>
      </c>
      <c r="AD129" s="7" t="s">
        <v>80</v>
      </c>
      <c r="AE129" s="7" t="s">
        <v>0</v>
      </c>
      <c r="AF129" s="7" t="s">
        <v>0</v>
      </c>
      <c r="AG129" s="7" t="s">
        <v>0</v>
      </c>
      <c r="AH129" s="9" t="s">
        <v>0</v>
      </c>
      <c r="AI129" s="9" t="s">
        <v>0</v>
      </c>
      <c r="AJ129" s="9" t="s">
        <v>0</v>
      </c>
      <c r="AK129" s="7" t="s">
        <v>61</v>
      </c>
      <c r="AL129" s="7" t="s">
        <v>61</v>
      </c>
      <c r="AM129" s="7" t="s">
        <v>0</v>
      </c>
      <c r="AN129" s="7" t="s">
        <v>0</v>
      </c>
      <c r="AO129" s="7" t="s">
        <v>0</v>
      </c>
      <c r="AP129" s="7" t="s">
        <v>0</v>
      </c>
      <c r="AQ129" s="7" t="s">
        <v>61</v>
      </c>
      <c r="AR129" s="7" t="s">
        <v>0</v>
      </c>
      <c r="AS129" s="10" t="str">
        <f>HYPERLINK("https://tessa.gazprom-neft.local/edo/card/ef7400b8-8d3c-4692-a28c-5f0e6e364940", "https://tessa.gazprom-neft.local/edo/card/ef7400b8-8d3c-4692-a28c-5f0e6e364940")</f>
        <v>https://tessa.gazprom-neft.local/edo/card/ef7400b8-8d3c-4692-a28c-5f0e6e364940</v>
      </c>
    </row>
    <row r="130" spans="1:45" x14ac:dyDescent="0.25">
      <c r="A130" s="6" t="s">
        <v>44</v>
      </c>
      <c r="B130" s="7" t="s">
        <v>727</v>
      </c>
      <c r="C130" s="7" t="s">
        <v>67</v>
      </c>
      <c r="D130" s="8">
        <v>45595</v>
      </c>
      <c r="E130" s="8">
        <v>45596</v>
      </c>
      <c r="F130" s="16" t="s">
        <v>728</v>
      </c>
      <c r="G130" s="7" t="s">
        <v>729</v>
      </c>
      <c r="H130" s="7" t="s">
        <v>725</v>
      </c>
      <c r="I130" s="7" t="s">
        <v>0</v>
      </c>
      <c r="J130" s="7" t="s">
        <v>355</v>
      </c>
      <c r="K130" s="7" t="s">
        <v>85</v>
      </c>
      <c r="L130" s="7" t="s">
        <v>48</v>
      </c>
      <c r="M130" s="7" t="s">
        <v>2128</v>
      </c>
      <c r="N130" s="7" t="s">
        <v>7407</v>
      </c>
      <c r="O130" s="7" t="s">
        <v>0</v>
      </c>
      <c r="P130" s="7" t="s">
        <v>2128</v>
      </c>
      <c r="Q130" s="7" t="s">
        <v>7408</v>
      </c>
      <c r="R130" s="7" t="s">
        <v>282</v>
      </c>
      <c r="S130" s="7" t="s">
        <v>0</v>
      </c>
      <c r="T130" s="7" t="s">
        <v>54</v>
      </c>
      <c r="U130" s="7" t="s">
        <v>55</v>
      </c>
      <c r="V130" s="7" t="s">
        <v>126</v>
      </c>
      <c r="W130" s="7" t="s">
        <v>74</v>
      </c>
      <c r="X130" s="7" t="s">
        <v>103</v>
      </c>
      <c r="Y130" s="8">
        <v>45595</v>
      </c>
      <c r="Z130" s="8">
        <v>46387</v>
      </c>
      <c r="AA130" s="7" t="s">
        <v>0</v>
      </c>
      <c r="AB130" s="7" t="s">
        <v>130</v>
      </c>
      <c r="AC130" s="7" t="s">
        <v>65</v>
      </c>
      <c r="AD130" s="7" t="s">
        <v>144</v>
      </c>
      <c r="AE130" s="7" t="s">
        <v>0</v>
      </c>
      <c r="AF130" s="7" t="s">
        <v>0</v>
      </c>
      <c r="AG130" s="7" t="s">
        <v>0</v>
      </c>
      <c r="AH130" s="9" t="s">
        <v>0</v>
      </c>
      <c r="AI130" s="9" t="s">
        <v>0</v>
      </c>
      <c r="AJ130" s="9" t="s">
        <v>0</v>
      </c>
      <c r="AK130" s="7" t="s">
        <v>61</v>
      </c>
      <c r="AL130" s="7" t="s">
        <v>61</v>
      </c>
      <c r="AM130" s="7" t="s">
        <v>0</v>
      </c>
      <c r="AN130" s="7" t="s">
        <v>0</v>
      </c>
      <c r="AO130" s="7" t="s">
        <v>0</v>
      </c>
      <c r="AP130" s="7" t="s">
        <v>0</v>
      </c>
      <c r="AQ130" s="7" t="s">
        <v>61</v>
      </c>
      <c r="AR130" s="7" t="s">
        <v>0</v>
      </c>
      <c r="AS130" s="10" t="str">
        <f>HYPERLINK("https://tessa.gazprom-neft.local/edo/card/ab9d22a7-ec52-423f-be1b-42be7b324787", "https://tessa.gazprom-neft.local/edo/card/ab9d22a7-ec52-423f-be1b-42be7b324787")</f>
        <v>https://tessa.gazprom-neft.local/edo/card/ab9d22a7-ec52-423f-be1b-42be7b324787</v>
      </c>
    </row>
    <row r="131" spans="1:45" hidden="1" x14ac:dyDescent="0.25">
      <c r="A131" s="6" t="s">
        <v>44</v>
      </c>
      <c r="B131" s="7" t="s">
        <v>75</v>
      </c>
      <c r="C131" s="7" t="s">
        <v>2030</v>
      </c>
      <c r="D131" s="8">
        <v>45594</v>
      </c>
      <c r="E131" s="8" t="s">
        <v>0</v>
      </c>
      <c r="F131" s="16" t="s">
        <v>76</v>
      </c>
      <c r="G131" s="7" t="s">
        <v>77</v>
      </c>
      <c r="H131" s="7" t="s">
        <v>0</v>
      </c>
      <c r="I131" s="7" t="s">
        <v>7317</v>
      </c>
      <c r="J131" s="7" t="s">
        <v>7317</v>
      </c>
      <c r="K131" s="7" t="s">
        <v>47</v>
      </c>
      <c r="L131" s="7" t="s">
        <v>96</v>
      </c>
      <c r="M131" s="7" t="s">
        <v>0</v>
      </c>
      <c r="N131" s="7" t="s">
        <v>7316</v>
      </c>
      <c r="O131" s="7" t="s">
        <v>0</v>
      </c>
      <c r="P131" s="7" t="s">
        <v>7318</v>
      </c>
      <c r="Q131" s="7" t="s">
        <v>7319</v>
      </c>
      <c r="R131" s="7" t="s">
        <v>1139</v>
      </c>
      <c r="S131" s="7" t="s">
        <v>72</v>
      </c>
      <c r="T131" s="7" t="s">
        <v>54</v>
      </c>
      <c r="U131" s="7" t="s">
        <v>55</v>
      </c>
      <c r="V131" s="7" t="s">
        <v>126</v>
      </c>
      <c r="W131" s="7" t="s">
        <v>74</v>
      </c>
      <c r="X131" s="7" t="s">
        <v>103</v>
      </c>
      <c r="Y131" s="8">
        <v>45627</v>
      </c>
      <c r="Z131" s="8">
        <v>46752</v>
      </c>
      <c r="AA131" s="7" t="s">
        <v>5596</v>
      </c>
      <c r="AB131" s="7" t="s">
        <v>130</v>
      </c>
      <c r="AC131" s="7" t="s">
        <v>79</v>
      </c>
      <c r="AD131" s="7" t="s">
        <v>80</v>
      </c>
      <c r="AE131" s="7" t="s">
        <v>82</v>
      </c>
      <c r="AF131" s="7" t="s">
        <v>0</v>
      </c>
      <c r="AG131" s="7" t="s">
        <v>7320</v>
      </c>
      <c r="AH131" s="9" t="s">
        <v>13150</v>
      </c>
      <c r="AI131" s="9" t="s">
        <v>13151</v>
      </c>
      <c r="AJ131" s="9" t="s">
        <v>13152</v>
      </c>
      <c r="AK131" s="7" t="s">
        <v>81</v>
      </c>
      <c r="AL131" s="7" t="s">
        <v>61</v>
      </c>
      <c r="AM131" s="7" t="s">
        <v>0</v>
      </c>
      <c r="AN131" s="7" t="s">
        <v>0</v>
      </c>
      <c r="AO131" s="7" t="s">
        <v>0</v>
      </c>
      <c r="AP131" s="7" t="s">
        <v>0</v>
      </c>
      <c r="AQ131" s="7" t="s">
        <v>61</v>
      </c>
      <c r="AR131" s="7" t="s">
        <v>0</v>
      </c>
      <c r="AS131" s="10" t="str">
        <f>HYPERLINK("https://tessa.gazprom-neft.local/edo/card/8e10b20b-f619-4408-8a5f-1d6da5eba0f1", "https://tessa.gazprom-neft.local/edo/card/8e10b20b-f619-4408-8a5f-1d6da5eba0f1")</f>
        <v>https://tessa.gazprom-neft.local/edo/card/8e10b20b-f619-4408-8a5f-1d6da5eba0f1</v>
      </c>
    </row>
    <row r="132" spans="1:45" hidden="1" x14ac:dyDescent="0.25">
      <c r="A132" s="6" t="s">
        <v>44</v>
      </c>
      <c r="B132" s="7" t="s">
        <v>1675</v>
      </c>
      <c r="C132" s="7" t="s">
        <v>7291</v>
      </c>
      <c r="D132" s="8">
        <v>45593</v>
      </c>
      <c r="E132" s="8" t="s">
        <v>0</v>
      </c>
      <c r="F132" s="16" t="s">
        <v>1676</v>
      </c>
      <c r="G132" s="7" t="s">
        <v>1677</v>
      </c>
      <c r="H132" s="7" t="s">
        <v>1672</v>
      </c>
      <c r="I132" s="7" t="s">
        <v>0</v>
      </c>
      <c r="J132" s="7" t="s">
        <v>51</v>
      </c>
      <c r="K132" s="7" t="s">
        <v>47</v>
      </c>
      <c r="L132" s="7" t="s">
        <v>389</v>
      </c>
      <c r="M132" s="7" t="s">
        <v>0</v>
      </c>
      <c r="N132" s="7" t="s">
        <v>7290</v>
      </c>
      <c r="O132" s="7" t="s">
        <v>51</v>
      </c>
      <c r="P132" s="7" t="s">
        <v>7292</v>
      </c>
      <c r="Q132" s="7" t="s">
        <v>7293</v>
      </c>
      <c r="R132" s="7" t="s">
        <v>4942</v>
      </c>
      <c r="S132" s="7" t="s">
        <v>4942</v>
      </c>
      <c r="T132" s="7" t="s">
        <v>54</v>
      </c>
      <c r="U132" s="7" t="s">
        <v>274</v>
      </c>
      <c r="V132" s="7" t="s">
        <v>56</v>
      </c>
      <c r="W132" s="7" t="s">
        <v>74</v>
      </c>
      <c r="X132" s="7" t="s">
        <v>103</v>
      </c>
      <c r="Y132" s="8">
        <v>45593</v>
      </c>
      <c r="Z132" s="8">
        <v>46752</v>
      </c>
      <c r="AA132" s="7" t="s">
        <v>6414</v>
      </c>
      <c r="AB132" s="7" t="s">
        <v>130</v>
      </c>
      <c r="AC132" s="7" t="s">
        <v>278</v>
      </c>
      <c r="AD132" s="7" t="s">
        <v>144</v>
      </c>
      <c r="AE132" s="7" t="s">
        <v>82</v>
      </c>
      <c r="AF132" s="7" t="s">
        <v>0</v>
      </c>
      <c r="AG132" s="7" t="s">
        <v>0</v>
      </c>
      <c r="AH132" s="9" t="s">
        <v>13129</v>
      </c>
      <c r="AI132" s="9" t="s">
        <v>13130</v>
      </c>
      <c r="AJ132" s="9" t="s">
        <v>13131</v>
      </c>
      <c r="AK132" s="7" t="s">
        <v>61</v>
      </c>
      <c r="AL132" s="7" t="s">
        <v>61</v>
      </c>
      <c r="AM132" s="7" t="s">
        <v>0</v>
      </c>
      <c r="AN132" s="7" t="s">
        <v>0</v>
      </c>
      <c r="AO132" s="7" t="s">
        <v>0</v>
      </c>
      <c r="AP132" s="7" t="s">
        <v>0</v>
      </c>
      <c r="AQ132" s="7" t="s">
        <v>61</v>
      </c>
      <c r="AR132" s="7" t="s">
        <v>0</v>
      </c>
      <c r="AS132" s="10" t="str">
        <f>HYPERLINK("https://tessa.gazprom-neft.local/edo/card/cb213791-9e51-4deb-b3a3-144605998dbd", "https://tessa.gazprom-neft.local/edo/card/cb213791-9e51-4deb-b3a3-144605998dbd")</f>
        <v>https://tessa.gazprom-neft.local/edo/card/cb213791-9e51-4deb-b3a3-144605998dbd</v>
      </c>
    </row>
    <row r="133" spans="1:45" x14ac:dyDescent="0.25">
      <c r="A133" s="6" t="s">
        <v>44</v>
      </c>
      <c r="B133" s="7" t="s">
        <v>606</v>
      </c>
      <c r="C133" s="7" t="s">
        <v>67</v>
      </c>
      <c r="D133" s="8">
        <v>45589</v>
      </c>
      <c r="E133" s="8">
        <v>46022</v>
      </c>
      <c r="F133" s="16" t="s">
        <v>607</v>
      </c>
      <c r="G133" s="7" t="s">
        <v>608</v>
      </c>
      <c r="H133" s="7" t="s">
        <v>600</v>
      </c>
      <c r="I133" s="7" t="s">
        <v>0</v>
      </c>
      <c r="J133" s="7" t="s">
        <v>872</v>
      </c>
      <c r="K133" s="7" t="s">
        <v>47</v>
      </c>
      <c r="L133" s="7" t="s">
        <v>48</v>
      </c>
      <c r="M133" s="7" t="s">
        <v>0</v>
      </c>
      <c r="N133" s="7" t="s">
        <v>5771</v>
      </c>
      <c r="O133" s="7" t="s">
        <v>0</v>
      </c>
      <c r="P133" s="7" t="s">
        <v>5772</v>
      </c>
      <c r="Q133" s="7" t="s">
        <v>5773</v>
      </c>
      <c r="R133" s="7" t="s">
        <v>4909</v>
      </c>
      <c r="S133" s="7" t="s">
        <v>4909</v>
      </c>
      <c r="T133" s="7" t="s">
        <v>54</v>
      </c>
      <c r="U133" s="7" t="s">
        <v>605</v>
      </c>
      <c r="V133" s="7" t="s">
        <v>126</v>
      </c>
      <c r="W133" s="7" t="s">
        <v>74</v>
      </c>
      <c r="X133" s="7" t="s">
        <v>103</v>
      </c>
      <c r="Y133" s="8">
        <v>45658</v>
      </c>
      <c r="Z133" s="8">
        <v>46752</v>
      </c>
      <c r="AA133" s="7" t="s">
        <v>5596</v>
      </c>
      <c r="AB133" s="7" t="s">
        <v>130</v>
      </c>
      <c r="AC133" s="7" t="s">
        <v>65</v>
      </c>
      <c r="AD133" s="7" t="s">
        <v>0</v>
      </c>
      <c r="AE133" s="7" t="s">
        <v>0</v>
      </c>
      <c r="AF133" s="7" t="s">
        <v>0</v>
      </c>
      <c r="AG133" s="7" t="s">
        <v>0</v>
      </c>
      <c r="AH133" s="9" t="s">
        <v>0</v>
      </c>
      <c r="AI133" s="9" t="s">
        <v>0</v>
      </c>
      <c r="AJ133" s="9" t="s">
        <v>0</v>
      </c>
      <c r="AK133" s="7" t="s">
        <v>61</v>
      </c>
      <c r="AL133" s="7" t="s">
        <v>61</v>
      </c>
      <c r="AM133" s="7" t="s">
        <v>0</v>
      </c>
      <c r="AN133" s="7" t="s">
        <v>0</v>
      </c>
      <c r="AO133" s="7" t="s">
        <v>0</v>
      </c>
      <c r="AP133" s="7" t="s">
        <v>0</v>
      </c>
      <c r="AQ133" s="7" t="s">
        <v>61</v>
      </c>
      <c r="AR133" s="7" t="s">
        <v>0</v>
      </c>
      <c r="AS133" s="10" t="str">
        <f>HYPERLINK("https://tessa.gazprom-neft.local/edo/card/dd083e69-af38-4638-9d3d-ca6c176f018a", "https://tessa.gazprom-neft.local/edo/card/dd083e69-af38-4638-9d3d-ca6c176f018a")</f>
        <v>https://tessa.gazprom-neft.local/edo/card/dd083e69-af38-4638-9d3d-ca6c176f018a</v>
      </c>
    </row>
    <row r="134" spans="1:45" x14ac:dyDescent="0.25">
      <c r="A134" s="6" t="s">
        <v>44</v>
      </c>
      <c r="B134" s="7" t="s">
        <v>265</v>
      </c>
      <c r="C134" s="7" t="s">
        <v>492</v>
      </c>
      <c r="D134" s="8">
        <v>45589</v>
      </c>
      <c r="E134" s="8" t="s">
        <v>0</v>
      </c>
      <c r="F134" s="16" t="s">
        <v>266</v>
      </c>
      <c r="G134" s="7" t="s">
        <v>267</v>
      </c>
      <c r="H134" s="7" t="s">
        <v>261</v>
      </c>
      <c r="I134" s="7" t="s">
        <v>0</v>
      </c>
      <c r="J134" s="7" t="s">
        <v>1428</v>
      </c>
      <c r="K134" s="7" t="s">
        <v>47</v>
      </c>
      <c r="L134" s="7" t="s">
        <v>48</v>
      </c>
      <c r="M134" s="7" t="s">
        <v>0</v>
      </c>
      <c r="N134" s="7" t="s">
        <v>7386</v>
      </c>
      <c r="O134" s="7" t="s">
        <v>0</v>
      </c>
      <c r="P134" s="7" t="s">
        <v>7387</v>
      </c>
      <c r="Q134" s="7" t="s">
        <v>7388</v>
      </c>
      <c r="R134" s="7" t="s">
        <v>124</v>
      </c>
      <c r="S134" s="7" t="s">
        <v>0</v>
      </c>
      <c r="T134" s="7" t="s">
        <v>54</v>
      </c>
      <c r="U134" s="7" t="s">
        <v>125</v>
      </c>
      <c r="V134" s="7" t="s">
        <v>126</v>
      </c>
      <c r="W134" s="7" t="s">
        <v>74</v>
      </c>
      <c r="X134" s="7" t="s">
        <v>103</v>
      </c>
      <c r="Y134" s="8">
        <v>45589</v>
      </c>
      <c r="Z134" s="8">
        <v>46022</v>
      </c>
      <c r="AA134" s="7" t="s">
        <v>5596</v>
      </c>
      <c r="AB134" s="7" t="s">
        <v>130</v>
      </c>
      <c r="AC134" s="7" t="s">
        <v>65</v>
      </c>
      <c r="AD134" s="7" t="s">
        <v>80</v>
      </c>
      <c r="AE134" s="7" t="s">
        <v>0</v>
      </c>
      <c r="AF134" s="7" t="s">
        <v>0</v>
      </c>
      <c r="AG134" s="7" t="s">
        <v>0</v>
      </c>
      <c r="AH134" s="9" t="s">
        <v>0</v>
      </c>
      <c r="AI134" s="9" t="s">
        <v>0</v>
      </c>
      <c r="AJ134" s="9" t="s">
        <v>0</v>
      </c>
      <c r="AK134" s="7" t="s">
        <v>61</v>
      </c>
      <c r="AL134" s="7" t="s">
        <v>61</v>
      </c>
      <c r="AM134" s="7" t="s">
        <v>0</v>
      </c>
      <c r="AN134" s="7" t="s">
        <v>0</v>
      </c>
      <c r="AO134" s="7" t="s">
        <v>0</v>
      </c>
      <c r="AP134" s="7" t="s">
        <v>0</v>
      </c>
      <c r="AQ134" s="7" t="s">
        <v>61</v>
      </c>
      <c r="AR134" s="7" t="s">
        <v>0</v>
      </c>
      <c r="AS134" s="10" t="str">
        <f>HYPERLINK("https://tessa.gazprom-neft.local/edo/card/2457e833-a13b-4ae9-8274-b1b53b10bf9d", "https://tessa.gazprom-neft.local/edo/card/2457e833-a13b-4ae9-8274-b1b53b10bf9d")</f>
        <v>https://tessa.gazprom-neft.local/edo/card/2457e833-a13b-4ae9-8274-b1b53b10bf9d</v>
      </c>
    </row>
    <row r="135" spans="1:45" hidden="1" x14ac:dyDescent="0.25">
      <c r="A135" s="6" t="s">
        <v>44</v>
      </c>
      <c r="B135" s="7" t="s">
        <v>7335</v>
      </c>
      <c r="C135" s="7" t="s">
        <v>67</v>
      </c>
      <c r="D135" s="8">
        <v>45587</v>
      </c>
      <c r="E135" s="8">
        <v>46022</v>
      </c>
      <c r="F135" s="16" t="s">
        <v>7336</v>
      </c>
      <c r="G135" s="7" t="s">
        <v>7337</v>
      </c>
      <c r="H135" s="7" t="s">
        <v>0</v>
      </c>
      <c r="I135" s="7" t="s">
        <v>7333</v>
      </c>
      <c r="J135" s="7" t="s">
        <v>7333</v>
      </c>
      <c r="K135" s="7" t="s">
        <v>85</v>
      </c>
      <c r="L135" s="7" t="s">
        <v>86</v>
      </c>
      <c r="M135" s="7" t="s">
        <v>83</v>
      </c>
      <c r="N135" s="7" t="s">
        <v>7332</v>
      </c>
      <c r="O135" s="7" t="s">
        <v>0</v>
      </c>
      <c r="P135" s="7" t="s">
        <v>83</v>
      </c>
      <c r="Q135" s="7" t="s">
        <v>7334</v>
      </c>
      <c r="R135" s="7" t="s">
        <v>2261</v>
      </c>
      <c r="S135" s="7" t="s">
        <v>2261</v>
      </c>
      <c r="T135" s="7" t="s">
        <v>54</v>
      </c>
      <c r="U135" s="7" t="s">
        <v>428</v>
      </c>
      <c r="V135" s="7" t="s">
        <v>91</v>
      </c>
      <c r="W135" s="7" t="s">
        <v>74</v>
      </c>
      <c r="X135" s="7" t="s">
        <v>103</v>
      </c>
      <c r="Y135" s="8">
        <v>45593</v>
      </c>
      <c r="Z135" s="8">
        <v>47418</v>
      </c>
      <c r="AA135" s="7" t="s">
        <v>5705</v>
      </c>
      <c r="AB135" s="7" t="s">
        <v>94</v>
      </c>
      <c r="AC135" s="7" t="s">
        <v>65</v>
      </c>
      <c r="AD135" s="7" t="s">
        <v>0</v>
      </c>
      <c r="AE135" s="7" t="s">
        <v>0</v>
      </c>
      <c r="AF135" s="7" t="s">
        <v>0</v>
      </c>
      <c r="AG135" s="7" t="s">
        <v>0</v>
      </c>
      <c r="AH135" s="9" t="s">
        <v>0</v>
      </c>
      <c r="AI135" s="9" t="s">
        <v>0</v>
      </c>
      <c r="AJ135" s="9" t="s">
        <v>0</v>
      </c>
      <c r="AK135" s="7" t="s">
        <v>61</v>
      </c>
      <c r="AL135" s="7" t="s">
        <v>61</v>
      </c>
      <c r="AM135" s="7" t="s">
        <v>0</v>
      </c>
      <c r="AN135" s="7" t="s">
        <v>0</v>
      </c>
      <c r="AO135" s="7" t="s">
        <v>0</v>
      </c>
      <c r="AP135" s="7" t="s">
        <v>0</v>
      </c>
      <c r="AQ135" s="7" t="s">
        <v>61</v>
      </c>
      <c r="AR135" s="7" t="s">
        <v>0</v>
      </c>
      <c r="AS135" s="10" t="str">
        <f>HYPERLINK("https://tessa.gazprom-neft.local/edo/card/d9fed6e4-c9c6-409b-8c65-a800b58a3740", "https://tessa.gazprom-neft.local/edo/card/d9fed6e4-c9c6-409b-8c65-a800b58a3740")</f>
        <v>https://tessa.gazprom-neft.local/edo/card/d9fed6e4-c9c6-409b-8c65-a800b58a3740</v>
      </c>
    </row>
    <row r="136" spans="1:45" hidden="1" x14ac:dyDescent="0.25">
      <c r="A136" s="6" t="s">
        <v>44</v>
      </c>
      <c r="B136" s="7" t="s">
        <v>1351</v>
      </c>
      <c r="C136" s="7" t="s">
        <v>67</v>
      </c>
      <c r="D136" s="8">
        <v>45586</v>
      </c>
      <c r="E136" s="8">
        <v>46022</v>
      </c>
      <c r="F136" s="16" t="s">
        <v>1352</v>
      </c>
      <c r="G136" s="7" t="s">
        <v>1353</v>
      </c>
      <c r="H136" s="7" t="s">
        <v>0</v>
      </c>
      <c r="I136" s="7" t="s">
        <v>6567</v>
      </c>
      <c r="J136" s="7" t="s">
        <v>6567</v>
      </c>
      <c r="K136" s="7" t="s">
        <v>47</v>
      </c>
      <c r="L136" s="7" t="s">
        <v>86</v>
      </c>
      <c r="M136" s="7" t="s">
        <v>0</v>
      </c>
      <c r="N136" s="7" t="s">
        <v>6566</v>
      </c>
      <c r="O136" s="7" t="s">
        <v>0</v>
      </c>
      <c r="P136" s="7" t="s">
        <v>6568</v>
      </c>
      <c r="Q136" s="7" t="s">
        <v>6569</v>
      </c>
      <c r="R136" s="7" t="s">
        <v>505</v>
      </c>
      <c r="S136" s="7" t="s">
        <v>3516</v>
      </c>
      <c r="T136" s="7" t="s">
        <v>54</v>
      </c>
      <c r="U136" s="7" t="s">
        <v>210</v>
      </c>
      <c r="V136" s="7" t="s">
        <v>126</v>
      </c>
      <c r="W136" s="7" t="s">
        <v>74</v>
      </c>
      <c r="X136" s="7" t="s">
        <v>58</v>
      </c>
      <c r="Y136" s="8">
        <v>45586</v>
      </c>
      <c r="Z136" s="8" t="s">
        <v>0</v>
      </c>
      <c r="AA136" s="7" t="s">
        <v>5596</v>
      </c>
      <c r="AB136" s="7" t="s">
        <v>130</v>
      </c>
      <c r="AC136" s="7" t="s">
        <v>65</v>
      </c>
      <c r="AD136" s="7" t="s">
        <v>0</v>
      </c>
      <c r="AE136" s="7" t="s">
        <v>0</v>
      </c>
      <c r="AF136" s="7" t="s">
        <v>0</v>
      </c>
      <c r="AG136" s="7" t="s">
        <v>0</v>
      </c>
      <c r="AH136" s="9" t="s">
        <v>0</v>
      </c>
      <c r="AI136" s="9" t="s">
        <v>0</v>
      </c>
      <c r="AJ136" s="9" t="s">
        <v>0</v>
      </c>
      <c r="AK136" s="7" t="s">
        <v>61</v>
      </c>
      <c r="AL136" s="7" t="s">
        <v>61</v>
      </c>
      <c r="AM136" s="7" t="s">
        <v>0</v>
      </c>
      <c r="AN136" s="7" t="s">
        <v>0</v>
      </c>
      <c r="AO136" s="7" t="s">
        <v>0</v>
      </c>
      <c r="AP136" s="7" t="s">
        <v>0</v>
      </c>
      <c r="AQ136" s="7" t="s">
        <v>61</v>
      </c>
      <c r="AR136" s="7" t="s">
        <v>0</v>
      </c>
      <c r="AS136" s="10" t="str">
        <f>HYPERLINK("https://tessa.gazprom-neft.local/edo/card/adbeb608-3ed9-4c72-bf9c-be35117ae712", "https://tessa.gazprom-neft.local/edo/card/adbeb608-3ed9-4c72-bf9c-be35117ae712")</f>
        <v>https://tessa.gazprom-neft.local/edo/card/adbeb608-3ed9-4c72-bf9c-be35117ae712</v>
      </c>
    </row>
    <row r="137" spans="1:45" hidden="1" x14ac:dyDescent="0.25">
      <c r="A137" s="6" t="s">
        <v>44</v>
      </c>
      <c r="B137" s="7" t="s">
        <v>4393</v>
      </c>
      <c r="C137" s="7" t="s">
        <v>67</v>
      </c>
      <c r="D137" s="8">
        <v>45582</v>
      </c>
      <c r="E137" s="8">
        <v>46022</v>
      </c>
      <c r="F137" s="16" t="s">
        <v>4394</v>
      </c>
      <c r="G137" s="7" t="s">
        <v>4395</v>
      </c>
      <c r="H137" s="7" t="s">
        <v>0</v>
      </c>
      <c r="I137" s="7" t="s">
        <v>7213</v>
      </c>
      <c r="J137" s="7" t="s">
        <v>7213</v>
      </c>
      <c r="K137" s="7" t="s">
        <v>47</v>
      </c>
      <c r="L137" s="7" t="s">
        <v>96</v>
      </c>
      <c r="M137" s="7" t="s">
        <v>0</v>
      </c>
      <c r="N137" s="7" t="s">
        <v>7212</v>
      </c>
      <c r="O137" s="7" t="s">
        <v>0</v>
      </c>
      <c r="P137" s="7" t="s">
        <v>5879</v>
      </c>
      <c r="Q137" s="7" t="s">
        <v>7214</v>
      </c>
      <c r="R137" s="7" t="s">
        <v>2788</v>
      </c>
      <c r="S137" s="7" t="s">
        <v>2788</v>
      </c>
      <c r="T137" s="7" t="s">
        <v>54</v>
      </c>
      <c r="U137" s="7" t="s">
        <v>55</v>
      </c>
      <c r="V137" s="7" t="s">
        <v>126</v>
      </c>
      <c r="W137" s="7" t="s">
        <v>74</v>
      </c>
      <c r="X137" s="7" t="s">
        <v>58</v>
      </c>
      <c r="Y137" s="8">
        <v>45582</v>
      </c>
      <c r="Z137" s="8" t="s">
        <v>0</v>
      </c>
      <c r="AA137" s="7" t="s">
        <v>5596</v>
      </c>
      <c r="AB137" s="7" t="s">
        <v>5881</v>
      </c>
      <c r="AC137" s="7" t="s">
        <v>79</v>
      </c>
      <c r="AD137" s="7" t="s">
        <v>80</v>
      </c>
      <c r="AE137" s="7" t="s">
        <v>118</v>
      </c>
      <c r="AF137" s="7" t="s">
        <v>0</v>
      </c>
      <c r="AG137" s="7" t="s">
        <v>0</v>
      </c>
      <c r="AH137" s="9" t="s">
        <v>13107</v>
      </c>
      <c r="AI137" s="9" t="s">
        <v>13107</v>
      </c>
      <c r="AJ137" s="9">
        <v>0</v>
      </c>
      <c r="AK137" s="7" t="s">
        <v>61</v>
      </c>
      <c r="AL137" s="7" t="s">
        <v>61</v>
      </c>
      <c r="AM137" s="7" t="s">
        <v>0</v>
      </c>
      <c r="AN137" s="7" t="s">
        <v>0</v>
      </c>
      <c r="AO137" s="7" t="s">
        <v>0</v>
      </c>
      <c r="AP137" s="7" t="s">
        <v>0</v>
      </c>
      <c r="AQ137" s="7" t="s">
        <v>61</v>
      </c>
      <c r="AR137" s="7" t="s">
        <v>0</v>
      </c>
      <c r="AS137" s="10" t="str">
        <f>HYPERLINK("https://tessa.gazprom-neft.local/edo/card/034fac6d-a888-4687-900d-94c20417f4af", "https://tessa.gazprom-neft.local/edo/card/034fac6d-a888-4687-900d-94c20417f4af")</f>
        <v>https://tessa.gazprom-neft.local/edo/card/034fac6d-a888-4687-900d-94c20417f4af</v>
      </c>
    </row>
    <row r="138" spans="1:45" x14ac:dyDescent="0.25">
      <c r="A138" s="6" t="s">
        <v>44</v>
      </c>
      <c r="B138" s="7" t="s">
        <v>1623</v>
      </c>
      <c r="C138" s="7" t="s">
        <v>67</v>
      </c>
      <c r="D138" s="8">
        <v>45582</v>
      </c>
      <c r="E138" s="8">
        <v>46022</v>
      </c>
      <c r="F138" s="16" t="s">
        <v>1624</v>
      </c>
      <c r="G138" s="7" t="s">
        <v>1625</v>
      </c>
      <c r="H138" s="7" t="s">
        <v>1621</v>
      </c>
      <c r="I138" s="7" t="s">
        <v>0</v>
      </c>
      <c r="J138" s="7" t="s">
        <v>156</v>
      </c>
      <c r="K138" s="7" t="s">
        <v>47</v>
      </c>
      <c r="L138" s="7" t="s">
        <v>48</v>
      </c>
      <c r="M138" s="7" t="s">
        <v>0</v>
      </c>
      <c r="N138" s="7" t="s">
        <v>7342</v>
      </c>
      <c r="O138" s="7" t="s">
        <v>0</v>
      </c>
      <c r="P138" s="7" t="s">
        <v>7343</v>
      </c>
      <c r="Q138" s="7" t="s">
        <v>7344</v>
      </c>
      <c r="R138" s="7" t="s">
        <v>7203</v>
      </c>
      <c r="S138" s="7" t="s">
        <v>0</v>
      </c>
      <c r="T138" s="7" t="s">
        <v>54</v>
      </c>
      <c r="U138" s="7" t="s">
        <v>55</v>
      </c>
      <c r="V138" s="7" t="s">
        <v>126</v>
      </c>
      <c r="W138" s="7" t="s">
        <v>74</v>
      </c>
      <c r="X138" s="7" t="s">
        <v>103</v>
      </c>
      <c r="Y138" s="8">
        <v>45474</v>
      </c>
      <c r="Z138" s="8">
        <v>45657</v>
      </c>
      <c r="AA138" s="7" t="s">
        <v>5596</v>
      </c>
      <c r="AB138" s="7" t="s">
        <v>256</v>
      </c>
      <c r="AC138" s="7" t="s">
        <v>79</v>
      </c>
      <c r="AD138" s="7" t="s">
        <v>144</v>
      </c>
      <c r="AE138" s="7" t="s">
        <v>82</v>
      </c>
      <c r="AF138" s="7" t="s">
        <v>0</v>
      </c>
      <c r="AG138" s="7" t="s">
        <v>7345</v>
      </c>
      <c r="AH138" s="9" t="s">
        <v>11069</v>
      </c>
      <c r="AI138" s="9" t="s">
        <v>11070</v>
      </c>
      <c r="AJ138" s="9" t="s">
        <v>11071</v>
      </c>
      <c r="AK138" s="7" t="s">
        <v>81</v>
      </c>
      <c r="AL138" s="7" t="s">
        <v>61</v>
      </c>
      <c r="AM138" s="7" t="s">
        <v>0</v>
      </c>
      <c r="AN138" s="7" t="s">
        <v>0</v>
      </c>
      <c r="AO138" s="7" t="s">
        <v>0</v>
      </c>
      <c r="AP138" s="7" t="s">
        <v>0</v>
      </c>
      <c r="AQ138" s="7" t="s">
        <v>61</v>
      </c>
      <c r="AR138" s="7" t="s">
        <v>0</v>
      </c>
      <c r="AS138" s="10" t="str">
        <f>HYPERLINK("https://tessa.gazprom-neft.local/edo/card/99e46fe5-baf7-4eda-a89f-26cbdfe9c421", "https://tessa.gazprom-neft.local/edo/card/99e46fe5-baf7-4eda-a89f-26cbdfe9c421")</f>
        <v>https://tessa.gazprom-neft.local/edo/card/99e46fe5-baf7-4eda-a89f-26cbdfe9c421</v>
      </c>
    </row>
    <row r="139" spans="1:45" hidden="1" x14ac:dyDescent="0.25">
      <c r="A139" s="6" t="s">
        <v>44</v>
      </c>
      <c r="B139" s="7" t="s">
        <v>1240</v>
      </c>
      <c r="C139" s="7" t="s">
        <v>492</v>
      </c>
      <c r="D139" s="8">
        <v>45581</v>
      </c>
      <c r="E139" s="8" t="s">
        <v>0</v>
      </c>
      <c r="F139" s="16" t="s">
        <v>1241</v>
      </c>
      <c r="G139" s="7" t="s">
        <v>1242</v>
      </c>
      <c r="H139" s="7" t="s">
        <v>0</v>
      </c>
      <c r="I139" s="7" t="s">
        <v>7136</v>
      </c>
      <c r="J139" s="7" t="s">
        <v>7136</v>
      </c>
      <c r="K139" s="7" t="s">
        <v>47</v>
      </c>
      <c r="L139" s="7" t="s">
        <v>96</v>
      </c>
      <c r="M139" s="7" t="s">
        <v>0</v>
      </c>
      <c r="N139" s="7" t="s">
        <v>7135</v>
      </c>
      <c r="O139" s="7" t="s">
        <v>0</v>
      </c>
      <c r="P139" s="7" t="s">
        <v>7137</v>
      </c>
      <c r="Q139" s="7" t="s">
        <v>7138</v>
      </c>
      <c r="R139" s="7" t="s">
        <v>1139</v>
      </c>
      <c r="S139" s="7" t="s">
        <v>1261</v>
      </c>
      <c r="T139" s="7" t="s">
        <v>54</v>
      </c>
      <c r="U139" s="7" t="s">
        <v>125</v>
      </c>
      <c r="V139" s="7" t="s">
        <v>126</v>
      </c>
      <c r="W139" s="7" t="s">
        <v>74</v>
      </c>
      <c r="X139" s="7" t="s">
        <v>103</v>
      </c>
      <c r="Y139" s="8">
        <v>45581</v>
      </c>
      <c r="Z139" s="8">
        <v>46752</v>
      </c>
      <c r="AA139" s="7" t="s">
        <v>5596</v>
      </c>
      <c r="AB139" s="7" t="s">
        <v>387</v>
      </c>
      <c r="AC139" s="7" t="s">
        <v>79</v>
      </c>
      <c r="AD139" s="7" t="s">
        <v>80</v>
      </c>
      <c r="AE139" s="7" t="s">
        <v>82</v>
      </c>
      <c r="AF139" s="7" t="s">
        <v>0</v>
      </c>
      <c r="AG139" s="7" t="s">
        <v>7139</v>
      </c>
      <c r="AH139" s="9" t="s">
        <v>13074</v>
      </c>
      <c r="AI139" s="9" t="s">
        <v>13075</v>
      </c>
      <c r="AJ139" s="9" t="s">
        <v>13076</v>
      </c>
      <c r="AK139" s="7" t="s">
        <v>81</v>
      </c>
      <c r="AL139" s="7" t="s">
        <v>61</v>
      </c>
      <c r="AM139" s="7" t="s">
        <v>0</v>
      </c>
      <c r="AN139" s="7" t="s">
        <v>0</v>
      </c>
      <c r="AO139" s="7" t="s">
        <v>0</v>
      </c>
      <c r="AP139" s="7" t="s">
        <v>0</v>
      </c>
      <c r="AQ139" s="7" t="s">
        <v>81</v>
      </c>
      <c r="AR139" s="7" t="s">
        <v>0</v>
      </c>
      <c r="AS139" s="10" t="str">
        <f>HYPERLINK("https://tessa.gazprom-neft.local/edo/card/7e69870a-be20-42cf-99cf-4e9824c9f09d", "https://tessa.gazprom-neft.local/edo/card/7e69870a-be20-42cf-99cf-4e9824c9f09d")</f>
        <v>https://tessa.gazprom-neft.local/edo/card/7e69870a-be20-42cf-99cf-4e9824c9f09d</v>
      </c>
    </row>
    <row r="140" spans="1:45" x14ac:dyDescent="0.25">
      <c r="A140" s="6" t="s">
        <v>44</v>
      </c>
      <c r="B140" s="7" t="s">
        <v>114</v>
      </c>
      <c r="C140" s="7" t="s">
        <v>67</v>
      </c>
      <c r="D140" s="8">
        <v>45581</v>
      </c>
      <c r="E140" s="8" t="s">
        <v>0</v>
      </c>
      <c r="F140" s="16" t="s">
        <v>115</v>
      </c>
      <c r="G140" s="7" t="s">
        <v>116</v>
      </c>
      <c r="H140" s="7" t="s">
        <v>4046</v>
      </c>
      <c r="I140" s="7" t="s">
        <v>0</v>
      </c>
      <c r="J140" s="7" t="s">
        <v>271</v>
      </c>
      <c r="K140" s="7" t="s">
        <v>47</v>
      </c>
      <c r="L140" s="7" t="s">
        <v>48</v>
      </c>
      <c r="M140" s="7" t="s">
        <v>0</v>
      </c>
      <c r="N140" s="7" t="s">
        <v>7145</v>
      </c>
      <c r="O140" s="7" t="s">
        <v>0</v>
      </c>
      <c r="P140" s="7" t="s">
        <v>7146</v>
      </c>
      <c r="Q140" s="7" t="s">
        <v>4048</v>
      </c>
      <c r="R140" s="7" t="s">
        <v>1705</v>
      </c>
      <c r="S140" s="7" t="s">
        <v>1705</v>
      </c>
      <c r="T140" s="7" t="s">
        <v>54</v>
      </c>
      <c r="U140" s="7" t="s">
        <v>111</v>
      </c>
      <c r="V140" s="7" t="s">
        <v>112</v>
      </c>
      <c r="W140" s="7" t="s">
        <v>57</v>
      </c>
      <c r="X140" s="7" t="s">
        <v>103</v>
      </c>
      <c r="Y140" s="8">
        <v>45581</v>
      </c>
      <c r="Z140" s="8">
        <v>45657</v>
      </c>
      <c r="AA140" s="7" t="s">
        <v>113</v>
      </c>
      <c r="AB140" s="7" t="s">
        <v>117</v>
      </c>
      <c r="AC140" s="7" t="s">
        <v>79</v>
      </c>
      <c r="AD140" s="7" t="s">
        <v>367</v>
      </c>
      <c r="AE140" s="7" t="s">
        <v>118</v>
      </c>
      <c r="AF140" s="7" t="s">
        <v>0</v>
      </c>
      <c r="AG140" s="7" t="s">
        <v>0</v>
      </c>
      <c r="AH140" s="9" t="s">
        <v>13080</v>
      </c>
      <c r="AI140" s="9" t="s">
        <v>13080</v>
      </c>
      <c r="AJ140" s="9">
        <v>0</v>
      </c>
      <c r="AK140" s="7" t="s">
        <v>61</v>
      </c>
      <c r="AL140" s="7" t="s">
        <v>61</v>
      </c>
      <c r="AM140" s="7" t="s">
        <v>0</v>
      </c>
      <c r="AN140" s="7" t="s">
        <v>0</v>
      </c>
      <c r="AO140" s="7" t="s">
        <v>0</v>
      </c>
      <c r="AP140" s="7" t="s">
        <v>0</v>
      </c>
      <c r="AQ140" s="7" t="s">
        <v>61</v>
      </c>
      <c r="AR140" s="7" t="s">
        <v>0</v>
      </c>
      <c r="AS140" s="10" t="str">
        <f>HYPERLINK("https://tessa.gazprom-neft.local/edo/card/94e39442-b0fd-419e-88c9-33171b8c8d5a", "https://tessa.gazprom-neft.local/edo/card/94e39442-b0fd-419e-88c9-33171b8c8d5a")</f>
        <v>https://tessa.gazprom-neft.local/edo/card/94e39442-b0fd-419e-88c9-33171b8c8d5a</v>
      </c>
    </row>
    <row r="141" spans="1:45" hidden="1" x14ac:dyDescent="0.25">
      <c r="A141" s="6" t="s">
        <v>44</v>
      </c>
      <c r="B141" s="7" t="s">
        <v>6046</v>
      </c>
      <c r="C141" s="7" t="s">
        <v>2030</v>
      </c>
      <c r="D141" s="8">
        <v>45580</v>
      </c>
      <c r="E141" s="8" t="s">
        <v>0</v>
      </c>
      <c r="F141" s="16" t="s">
        <v>6047</v>
      </c>
      <c r="G141" s="7" t="s">
        <v>6048</v>
      </c>
      <c r="H141" s="7" t="s">
        <v>0</v>
      </c>
      <c r="I141" s="7" t="s">
        <v>7192</v>
      </c>
      <c r="J141" s="7" t="s">
        <v>7192</v>
      </c>
      <c r="K141" s="7" t="s">
        <v>85</v>
      </c>
      <c r="L141" s="7" t="s">
        <v>86</v>
      </c>
      <c r="M141" s="7" t="s">
        <v>289</v>
      </c>
      <c r="N141" s="7" t="s">
        <v>7191</v>
      </c>
      <c r="O141" s="7" t="s">
        <v>0</v>
      </c>
      <c r="P141" s="7" t="s">
        <v>7193</v>
      </c>
      <c r="Q141" s="7" t="s">
        <v>2315</v>
      </c>
      <c r="R141" s="7" t="s">
        <v>1139</v>
      </c>
      <c r="S141" s="7" t="s">
        <v>1120</v>
      </c>
      <c r="T141" s="7" t="s">
        <v>54</v>
      </c>
      <c r="U141" s="7" t="s">
        <v>362</v>
      </c>
      <c r="V141" s="7" t="s">
        <v>340</v>
      </c>
      <c r="W141" s="7" t="s">
        <v>74</v>
      </c>
      <c r="X141" s="7" t="s">
        <v>223</v>
      </c>
      <c r="Y141" s="8">
        <v>45580</v>
      </c>
      <c r="Z141" s="8" t="s">
        <v>0</v>
      </c>
      <c r="AA141" s="7" t="s">
        <v>6545</v>
      </c>
      <c r="AB141" s="7" t="s">
        <v>300</v>
      </c>
      <c r="AC141" s="7" t="s">
        <v>65</v>
      </c>
      <c r="AD141" s="7" t="s">
        <v>0</v>
      </c>
      <c r="AE141" s="7" t="s">
        <v>0</v>
      </c>
      <c r="AF141" s="7" t="s">
        <v>0</v>
      </c>
      <c r="AG141" s="7" t="s">
        <v>0</v>
      </c>
      <c r="AH141" s="9" t="s">
        <v>0</v>
      </c>
      <c r="AI141" s="9" t="s">
        <v>0</v>
      </c>
      <c r="AJ141" s="9" t="s">
        <v>0</v>
      </c>
      <c r="AK141" s="7" t="s">
        <v>61</v>
      </c>
      <c r="AL141" s="7" t="s">
        <v>61</v>
      </c>
      <c r="AM141" s="7" t="s">
        <v>0</v>
      </c>
      <c r="AN141" s="7" t="s">
        <v>0</v>
      </c>
      <c r="AO141" s="7" t="s">
        <v>0</v>
      </c>
      <c r="AP141" s="7" t="s">
        <v>0</v>
      </c>
      <c r="AQ141" s="7" t="s">
        <v>61</v>
      </c>
      <c r="AR141" s="7" t="s">
        <v>0</v>
      </c>
      <c r="AS141" s="10" t="str">
        <f>HYPERLINK("https://tessa.gazprom-neft.local/edo/card/6c8b41eb-9d3a-4d13-b2cc-8dfc82aa1d86", "https://tessa.gazprom-neft.local/edo/card/6c8b41eb-9d3a-4d13-b2cc-8dfc82aa1d86")</f>
        <v>https://tessa.gazprom-neft.local/edo/card/6c8b41eb-9d3a-4d13-b2cc-8dfc82aa1d86</v>
      </c>
    </row>
    <row r="142" spans="1:45" hidden="1" x14ac:dyDescent="0.25">
      <c r="A142" s="6" t="s">
        <v>44</v>
      </c>
      <c r="B142" s="7" t="s">
        <v>592</v>
      </c>
      <c r="C142" s="7" t="s">
        <v>2030</v>
      </c>
      <c r="D142" s="8">
        <v>45580</v>
      </c>
      <c r="E142" s="8" t="s">
        <v>0</v>
      </c>
      <c r="F142" s="16" t="s">
        <v>593</v>
      </c>
      <c r="G142" s="7" t="s">
        <v>594</v>
      </c>
      <c r="H142" s="7" t="s">
        <v>953</v>
      </c>
      <c r="I142" s="7" t="s">
        <v>0</v>
      </c>
      <c r="J142" s="7" t="s">
        <v>51</v>
      </c>
      <c r="K142" s="7" t="s">
        <v>47</v>
      </c>
      <c r="L142" s="7" t="s">
        <v>389</v>
      </c>
      <c r="M142" s="7" t="s">
        <v>0</v>
      </c>
      <c r="N142" s="7" t="s">
        <v>7346</v>
      </c>
      <c r="O142" s="7" t="s">
        <v>7347</v>
      </c>
      <c r="P142" s="7" t="s">
        <v>7348</v>
      </c>
      <c r="Q142" s="7" t="s">
        <v>1799</v>
      </c>
      <c r="R142" s="7" t="s">
        <v>590</v>
      </c>
      <c r="S142" s="7" t="s">
        <v>394</v>
      </c>
      <c r="T142" s="7" t="s">
        <v>54</v>
      </c>
      <c r="U142" s="7" t="s">
        <v>591</v>
      </c>
      <c r="V142" s="7" t="s">
        <v>126</v>
      </c>
      <c r="W142" s="7" t="s">
        <v>74</v>
      </c>
      <c r="X142" s="7" t="s">
        <v>58</v>
      </c>
      <c r="Y142" s="8">
        <v>45580</v>
      </c>
      <c r="Z142" s="8" t="s">
        <v>0</v>
      </c>
      <c r="AA142" s="7" t="s">
        <v>5596</v>
      </c>
      <c r="AB142" s="7" t="s">
        <v>387</v>
      </c>
      <c r="AC142" s="7" t="s">
        <v>79</v>
      </c>
      <c r="AD142" s="7" t="s">
        <v>144</v>
      </c>
      <c r="AE142" s="7" t="s">
        <v>82</v>
      </c>
      <c r="AF142" s="7" t="s">
        <v>0</v>
      </c>
      <c r="AG142" s="7" t="s">
        <v>0</v>
      </c>
      <c r="AH142" s="9" t="s">
        <v>13159</v>
      </c>
      <c r="AI142" s="9" t="s">
        <v>13160</v>
      </c>
      <c r="AJ142" s="9" t="s">
        <v>13161</v>
      </c>
      <c r="AK142" s="7" t="s">
        <v>61</v>
      </c>
      <c r="AL142" s="7" t="s">
        <v>61</v>
      </c>
      <c r="AM142" s="7" t="s">
        <v>0</v>
      </c>
      <c r="AN142" s="7" t="s">
        <v>0</v>
      </c>
      <c r="AO142" s="7" t="s">
        <v>0</v>
      </c>
      <c r="AP142" s="7" t="s">
        <v>0</v>
      </c>
      <c r="AQ142" s="7" t="s">
        <v>61</v>
      </c>
      <c r="AR142" s="7" t="s">
        <v>0</v>
      </c>
      <c r="AS142" s="10" t="str">
        <f>HYPERLINK("https://tessa.gazprom-neft.local/edo/card/edfd1203-a32f-43d3-be16-2d6a4055c576", "https://tessa.gazprom-neft.local/edo/card/edfd1203-a32f-43d3-be16-2d6a4055c576")</f>
        <v>https://tessa.gazprom-neft.local/edo/card/edfd1203-a32f-43d3-be16-2d6a4055c576</v>
      </c>
    </row>
    <row r="143" spans="1:45" hidden="1" x14ac:dyDescent="0.25">
      <c r="A143" s="6" t="s">
        <v>44</v>
      </c>
      <c r="B143" s="7" t="s">
        <v>6930</v>
      </c>
      <c r="C143" s="7" t="s">
        <v>1701</v>
      </c>
      <c r="D143" s="8">
        <v>45579</v>
      </c>
      <c r="E143" s="8" t="s">
        <v>0</v>
      </c>
      <c r="F143" s="16" t="s">
        <v>6931</v>
      </c>
      <c r="G143" s="7" t="s">
        <v>6932</v>
      </c>
      <c r="H143" s="7" t="s">
        <v>0</v>
      </c>
      <c r="I143" s="7" t="s">
        <v>7228</v>
      </c>
      <c r="J143" s="7" t="s">
        <v>7228</v>
      </c>
      <c r="K143" s="7" t="s">
        <v>47</v>
      </c>
      <c r="L143" s="7" t="s">
        <v>86</v>
      </c>
      <c r="M143" s="7" t="s">
        <v>0</v>
      </c>
      <c r="N143" s="7" t="s">
        <v>7227</v>
      </c>
      <c r="O143" s="7" t="s">
        <v>0</v>
      </c>
      <c r="P143" s="7" t="s">
        <v>4220</v>
      </c>
      <c r="Q143" s="7" t="s">
        <v>7229</v>
      </c>
      <c r="R143" s="7" t="s">
        <v>1199</v>
      </c>
      <c r="S143" s="7" t="s">
        <v>1199</v>
      </c>
      <c r="T143" s="7" t="s">
        <v>54</v>
      </c>
      <c r="U143" s="7" t="s">
        <v>605</v>
      </c>
      <c r="V143" s="7" t="s">
        <v>126</v>
      </c>
      <c r="W143" s="7" t="s">
        <v>57</v>
      </c>
      <c r="X143" s="7" t="s">
        <v>58</v>
      </c>
      <c r="Y143" s="8">
        <v>45579</v>
      </c>
      <c r="Z143" s="8" t="s">
        <v>0</v>
      </c>
      <c r="AA143" s="7" t="s">
        <v>200</v>
      </c>
      <c r="AB143" s="7" t="s">
        <v>1203</v>
      </c>
      <c r="AC143" s="7" t="s">
        <v>79</v>
      </c>
      <c r="AD143" s="7" t="s">
        <v>80</v>
      </c>
      <c r="AE143" s="7" t="s">
        <v>118</v>
      </c>
      <c r="AF143" s="7" t="s">
        <v>0</v>
      </c>
      <c r="AG143" s="7" t="s">
        <v>0</v>
      </c>
      <c r="AH143" s="9" t="s">
        <v>13109</v>
      </c>
      <c r="AI143" s="9" t="s">
        <v>13109</v>
      </c>
      <c r="AJ143" s="9">
        <v>0</v>
      </c>
      <c r="AK143" s="7" t="s">
        <v>61</v>
      </c>
      <c r="AL143" s="7" t="s">
        <v>61</v>
      </c>
      <c r="AM143" s="7" t="s">
        <v>0</v>
      </c>
      <c r="AN143" s="7" t="s">
        <v>0</v>
      </c>
      <c r="AO143" s="7" t="s">
        <v>0</v>
      </c>
      <c r="AP143" s="7" t="s">
        <v>0</v>
      </c>
      <c r="AQ143" s="7" t="s">
        <v>61</v>
      </c>
      <c r="AR143" s="7" t="s">
        <v>0</v>
      </c>
      <c r="AS143" s="10" t="str">
        <f>HYPERLINK("https://tessa.gazprom-neft.local/edo/card/46e8a7fb-b4d3-421c-b68d-56049808a49a", "https://tessa.gazprom-neft.local/edo/card/46e8a7fb-b4d3-421c-b68d-56049808a49a")</f>
        <v>https://tessa.gazprom-neft.local/edo/card/46e8a7fb-b4d3-421c-b68d-56049808a49a</v>
      </c>
    </row>
    <row r="144" spans="1:45" hidden="1" x14ac:dyDescent="0.25">
      <c r="A144" s="6" t="s">
        <v>44</v>
      </c>
      <c r="B144" s="7" t="s">
        <v>6930</v>
      </c>
      <c r="C144" s="7" t="s">
        <v>1701</v>
      </c>
      <c r="D144" s="8">
        <v>45579</v>
      </c>
      <c r="E144" s="8" t="s">
        <v>0</v>
      </c>
      <c r="F144" s="16" t="s">
        <v>6931</v>
      </c>
      <c r="G144" s="7" t="s">
        <v>6932</v>
      </c>
      <c r="H144" s="7" t="s">
        <v>0</v>
      </c>
      <c r="I144" s="7" t="s">
        <v>7232</v>
      </c>
      <c r="J144" s="7" t="s">
        <v>7232</v>
      </c>
      <c r="K144" s="7" t="s">
        <v>47</v>
      </c>
      <c r="L144" s="7" t="s">
        <v>86</v>
      </c>
      <c r="M144" s="7" t="s">
        <v>0</v>
      </c>
      <c r="N144" s="7" t="s">
        <v>7231</v>
      </c>
      <c r="O144" s="7" t="s">
        <v>0</v>
      </c>
      <c r="P144" s="7" t="s">
        <v>4220</v>
      </c>
      <c r="Q144" s="7" t="s">
        <v>7233</v>
      </c>
      <c r="R144" s="7" t="s">
        <v>1199</v>
      </c>
      <c r="S144" s="7" t="s">
        <v>126</v>
      </c>
      <c r="T144" s="7" t="s">
        <v>54</v>
      </c>
      <c r="U144" s="7" t="s">
        <v>605</v>
      </c>
      <c r="V144" s="7" t="s">
        <v>126</v>
      </c>
      <c r="W144" s="7" t="s">
        <v>57</v>
      </c>
      <c r="X144" s="7" t="s">
        <v>58</v>
      </c>
      <c r="Y144" s="8">
        <v>45579</v>
      </c>
      <c r="Z144" s="8" t="s">
        <v>0</v>
      </c>
      <c r="AA144" s="7" t="s">
        <v>200</v>
      </c>
      <c r="AB144" s="7" t="s">
        <v>2985</v>
      </c>
      <c r="AC144" s="7" t="s">
        <v>79</v>
      </c>
      <c r="AD144" s="7" t="s">
        <v>80</v>
      </c>
      <c r="AE144" s="7" t="s">
        <v>118</v>
      </c>
      <c r="AF144" s="7" t="s">
        <v>0</v>
      </c>
      <c r="AG144" s="7" t="s">
        <v>0</v>
      </c>
      <c r="AH144" s="9" t="s">
        <v>13113</v>
      </c>
      <c r="AI144" s="9" t="s">
        <v>13113</v>
      </c>
      <c r="AJ144" s="9">
        <v>0</v>
      </c>
      <c r="AK144" s="7" t="s">
        <v>61</v>
      </c>
      <c r="AL144" s="7" t="s">
        <v>61</v>
      </c>
      <c r="AM144" s="7" t="s">
        <v>0</v>
      </c>
      <c r="AN144" s="7" t="s">
        <v>0</v>
      </c>
      <c r="AO144" s="7" t="s">
        <v>0</v>
      </c>
      <c r="AP144" s="7" t="s">
        <v>0</v>
      </c>
      <c r="AQ144" s="7" t="s">
        <v>61</v>
      </c>
      <c r="AR144" s="7" t="s">
        <v>0</v>
      </c>
      <c r="AS144" s="10" t="str">
        <f>HYPERLINK("https://tessa.gazprom-neft.local/edo/card/fe077403-95e0-4374-92a7-7e64120148d3", "https://tessa.gazprom-neft.local/edo/card/fe077403-95e0-4374-92a7-7e64120148d3")</f>
        <v>https://tessa.gazprom-neft.local/edo/card/fe077403-95e0-4374-92a7-7e64120148d3</v>
      </c>
    </row>
    <row r="145" spans="1:45" hidden="1" x14ac:dyDescent="0.25">
      <c r="A145" s="6" t="s">
        <v>44</v>
      </c>
      <c r="B145" s="7" t="s">
        <v>6930</v>
      </c>
      <c r="C145" s="7" t="s">
        <v>1701</v>
      </c>
      <c r="D145" s="8">
        <v>45579</v>
      </c>
      <c r="E145" s="8" t="s">
        <v>0</v>
      </c>
      <c r="F145" s="16" t="s">
        <v>6931</v>
      </c>
      <c r="G145" s="7" t="s">
        <v>6932</v>
      </c>
      <c r="H145" s="7" t="s">
        <v>0</v>
      </c>
      <c r="I145" s="7" t="s">
        <v>7244</v>
      </c>
      <c r="J145" s="7" t="s">
        <v>7244</v>
      </c>
      <c r="K145" s="7" t="s">
        <v>47</v>
      </c>
      <c r="L145" s="7" t="s">
        <v>86</v>
      </c>
      <c r="M145" s="7" t="s">
        <v>0</v>
      </c>
      <c r="N145" s="7" t="s">
        <v>7243</v>
      </c>
      <c r="O145" s="7" t="s">
        <v>0</v>
      </c>
      <c r="P145" s="7" t="s">
        <v>4220</v>
      </c>
      <c r="Q145" s="7" t="s">
        <v>7245</v>
      </c>
      <c r="R145" s="7" t="s">
        <v>1199</v>
      </c>
      <c r="S145" s="7" t="s">
        <v>1199</v>
      </c>
      <c r="T145" s="7" t="s">
        <v>54</v>
      </c>
      <c r="U145" s="7" t="s">
        <v>605</v>
      </c>
      <c r="V145" s="7" t="s">
        <v>126</v>
      </c>
      <c r="W145" s="7" t="s">
        <v>57</v>
      </c>
      <c r="X145" s="7" t="s">
        <v>58</v>
      </c>
      <c r="Y145" s="8">
        <v>45579</v>
      </c>
      <c r="Z145" s="8" t="s">
        <v>0</v>
      </c>
      <c r="AA145" s="7" t="s">
        <v>200</v>
      </c>
      <c r="AB145" s="7" t="s">
        <v>3666</v>
      </c>
      <c r="AC145" s="7" t="s">
        <v>79</v>
      </c>
      <c r="AD145" s="7" t="s">
        <v>80</v>
      </c>
      <c r="AE145" s="7" t="s">
        <v>118</v>
      </c>
      <c r="AF145" s="7" t="s">
        <v>0</v>
      </c>
      <c r="AG145" s="7" t="s">
        <v>0</v>
      </c>
      <c r="AH145" s="9" t="s">
        <v>13117</v>
      </c>
      <c r="AI145" s="9" t="s">
        <v>13117</v>
      </c>
      <c r="AJ145" s="9">
        <v>0</v>
      </c>
      <c r="AK145" s="7" t="s">
        <v>61</v>
      </c>
      <c r="AL145" s="7" t="s">
        <v>61</v>
      </c>
      <c r="AM145" s="7" t="s">
        <v>0</v>
      </c>
      <c r="AN145" s="7" t="s">
        <v>0</v>
      </c>
      <c r="AO145" s="7" t="s">
        <v>0</v>
      </c>
      <c r="AP145" s="7" t="s">
        <v>0</v>
      </c>
      <c r="AQ145" s="7" t="s">
        <v>61</v>
      </c>
      <c r="AR145" s="7" t="s">
        <v>0</v>
      </c>
      <c r="AS145" s="10" t="str">
        <f>HYPERLINK("https://tessa.gazprom-neft.local/edo/card/a2a4ef49-e52d-46ff-bd3c-204208854575", "https://tessa.gazprom-neft.local/edo/card/a2a4ef49-e52d-46ff-bd3c-204208854575")</f>
        <v>https://tessa.gazprom-neft.local/edo/card/a2a4ef49-e52d-46ff-bd3c-204208854575</v>
      </c>
    </row>
    <row r="146" spans="1:45" hidden="1" x14ac:dyDescent="0.25">
      <c r="A146" s="6" t="s">
        <v>44</v>
      </c>
      <c r="B146" s="7" t="s">
        <v>6983</v>
      </c>
      <c r="C146" s="7" t="s">
        <v>1701</v>
      </c>
      <c r="D146" s="8">
        <v>45579</v>
      </c>
      <c r="E146" s="8" t="s">
        <v>0</v>
      </c>
      <c r="F146" s="16" t="s">
        <v>6984</v>
      </c>
      <c r="G146" s="7" t="s">
        <v>6985</v>
      </c>
      <c r="H146" s="7" t="s">
        <v>0</v>
      </c>
      <c r="I146" s="7" t="s">
        <v>7250</v>
      </c>
      <c r="J146" s="7" t="s">
        <v>7250</v>
      </c>
      <c r="K146" s="7" t="s">
        <v>47</v>
      </c>
      <c r="L146" s="7" t="s">
        <v>86</v>
      </c>
      <c r="M146" s="7" t="s">
        <v>0</v>
      </c>
      <c r="N146" s="7" t="s">
        <v>7249</v>
      </c>
      <c r="O146" s="7" t="s">
        <v>0</v>
      </c>
      <c r="P146" s="7" t="s">
        <v>4220</v>
      </c>
      <c r="Q146" s="7" t="s">
        <v>7245</v>
      </c>
      <c r="R146" s="7" t="s">
        <v>1199</v>
      </c>
      <c r="S146" s="7" t="s">
        <v>1199</v>
      </c>
      <c r="T146" s="7" t="s">
        <v>54</v>
      </c>
      <c r="U146" s="7" t="s">
        <v>605</v>
      </c>
      <c r="V146" s="7" t="s">
        <v>126</v>
      </c>
      <c r="W146" s="7" t="s">
        <v>57</v>
      </c>
      <c r="X146" s="7" t="s">
        <v>58</v>
      </c>
      <c r="Y146" s="8">
        <v>45579</v>
      </c>
      <c r="Z146" s="8" t="s">
        <v>0</v>
      </c>
      <c r="AA146" s="7" t="s">
        <v>200</v>
      </c>
      <c r="AB146" s="7" t="s">
        <v>3666</v>
      </c>
      <c r="AC146" s="7" t="s">
        <v>79</v>
      </c>
      <c r="AD146" s="7" t="s">
        <v>80</v>
      </c>
      <c r="AE146" s="7" t="s">
        <v>193</v>
      </c>
      <c r="AF146" s="7" t="s">
        <v>0</v>
      </c>
      <c r="AG146" s="7" t="s">
        <v>0</v>
      </c>
      <c r="AH146" s="9" t="s">
        <v>13118</v>
      </c>
      <c r="AI146" s="9" t="s">
        <v>13119</v>
      </c>
      <c r="AJ146" s="9">
        <v>671</v>
      </c>
      <c r="AK146" s="7" t="s">
        <v>61</v>
      </c>
      <c r="AL146" s="7" t="s">
        <v>61</v>
      </c>
      <c r="AM146" s="7" t="s">
        <v>0</v>
      </c>
      <c r="AN146" s="7" t="s">
        <v>0</v>
      </c>
      <c r="AO146" s="7" t="s">
        <v>0</v>
      </c>
      <c r="AP146" s="7" t="s">
        <v>0</v>
      </c>
      <c r="AQ146" s="7" t="s">
        <v>61</v>
      </c>
      <c r="AR146" s="7" t="s">
        <v>0</v>
      </c>
      <c r="AS146" s="10" t="str">
        <f>HYPERLINK("https://tessa.gazprom-neft.local/edo/card/1a3350e7-41e1-4c30-b54f-67221303086b", "https://tessa.gazprom-neft.local/edo/card/1a3350e7-41e1-4c30-b54f-67221303086b")</f>
        <v>https://tessa.gazprom-neft.local/edo/card/1a3350e7-41e1-4c30-b54f-67221303086b</v>
      </c>
    </row>
    <row r="147" spans="1:45" hidden="1" x14ac:dyDescent="0.25">
      <c r="A147" s="6" t="s">
        <v>44</v>
      </c>
      <c r="B147" s="7" t="s">
        <v>6930</v>
      </c>
      <c r="C147" s="7" t="s">
        <v>1701</v>
      </c>
      <c r="D147" s="8">
        <v>45579</v>
      </c>
      <c r="E147" s="8" t="s">
        <v>0</v>
      </c>
      <c r="F147" s="16" t="s">
        <v>6931</v>
      </c>
      <c r="G147" s="7" t="s">
        <v>6932</v>
      </c>
      <c r="H147" s="7" t="s">
        <v>0</v>
      </c>
      <c r="I147" s="7" t="s">
        <v>7260</v>
      </c>
      <c r="J147" s="7" t="s">
        <v>7260</v>
      </c>
      <c r="K147" s="7" t="s">
        <v>85</v>
      </c>
      <c r="L147" s="7" t="s">
        <v>86</v>
      </c>
      <c r="M147" s="7" t="s">
        <v>289</v>
      </c>
      <c r="N147" s="7" t="s">
        <v>7259</v>
      </c>
      <c r="O147" s="7" t="s">
        <v>0</v>
      </c>
      <c r="P147" s="7" t="s">
        <v>289</v>
      </c>
      <c r="Q147" s="7" t="s">
        <v>4652</v>
      </c>
      <c r="R147" s="7" t="s">
        <v>1199</v>
      </c>
      <c r="S147" s="7" t="s">
        <v>1199</v>
      </c>
      <c r="T147" s="7" t="s">
        <v>54</v>
      </c>
      <c r="U147" s="7" t="s">
        <v>605</v>
      </c>
      <c r="V147" s="7" t="s">
        <v>340</v>
      </c>
      <c r="W147" s="7" t="s">
        <v>57</v>
      </c>
      <c r="X147" s="7" t="s">
        <v>223</v>
      </c>
      <c r="Y147" s="8">
        <v>45579</v>
      </c>
      <c r="Z147" s="8" t="s">
        <v>0</v>
      </c>
      <c r="AA147" s="7" t="s">
        <v>341</v>
      </c>
      <c r="AB147" s="7" t="s">
        <v>300</v>
      </c>
      <c r="AC147" s="7" t="s">
        <v>65</v>
      </c>
      <c r="AD147" s="7" t="s">
        <v>0</v>
      </c>
      <c r="AE147" s="7" t="s">
        <v>0</v>
      </c>
      <c r="AF147" s="7" t="s">
        <v>0</v>
      </c>
      <c r="AG147" s="7" t="s">
        <v>0</v>
      </c>
      <c r="AH147" s="9" t="s">
        <v>0</v>
      </c>
      <c r="AI147" s="9" t="s">
        <v>0</v>
      </c>
      <c r="AJ147" s="9" t="s">
        <v>0</v>
      </c>
      <c r="AK147" s="7" t="s">
        <v>61</v>
      </c>
      <c r="AL147" s="7" t="s">
        <v>61</v>
      </c>
      <c r="AM147" s="7" t="s">
        <v>0</v>
      </c>
      <c r="AN147" s="7" t="s">
        <v>0</v>
      </c>
      <c r="AO147" s="7" t="s">
        <v>0</v>
      </c>
      <c r="AP147" s="7" t="s">
        <v>0</v>
      </c>
      <c r="AQ147" s="7" t="s">
        <v>61</v>
      </c>
      <c r="AR147" s="7" t="s">
        <v>0</v>
      </c>
      <c r="AS147" s="10" t="str">
        <f>HYPERLINK("https://tessa.gazprom-neft.local/edo/card/f56df1dc-10cf-407b-8d12-a62096c4c0a9", "https://tessa.gazprom-neft.local/edo/card/f56df1dc-10cf-407b-8d12-a62096c4c0a9")</f>
        <v>https://tessa.gazprom-neft.local/edo/card/f56df1dc-10cf-407b-8d12-a62096c4c0a9</v>
      </c>
    </row>
    <row r="148" spans="1:45" hidden="1" x14ac:dyDescent="0.25">
      <c r="A148" s="6" t="s">
        <v>44</v>
      </c>
      <c r="B148" s="7" t="s">
        <v>542</v>
      </c>
      <c r="C148" s="7" t="s">
        <v>67</v>
      </c>
      <c r="D148" s="8">
        <v>45575</v>
      </c>
      <c r="E148" s="8">
        <v>46022</v>
      </c>
      <c r="F148" s="16" t="s">
        <v>543</v>
      </c>
      <c r="G148" s="7" t="s">
        <v>544</v>
      </c>
      <c r="H148" s="7" t="s">
        <v>2148</v>
      </c>
      <c r="I148" s="7" t="s">
        <v>0</v>
      </c>
      <c r="J148" s="7" t="s">
        <v>51</v>
      </c>
      <c r="K148" s="7" t="s">
        <v>47</v>
      </c>
      <c r="L148" s="7" t="s">
        <v>389</v>
      </c>
      <c r="M148" s="7" t="s">
        <v>0</v>
      </c>
      <c r="N148" s="7" t="s">
        <v>7005</v>
      </c>
      <c r="O148" s="7" t="s">
        <v>271</v>
      </c>
      <c r="P148" s="7" t="s">
        <v>7006</v>
      </c>
      <c r="Q148" s="7" t="s">
        <v>7007</v>
      </c>
      <c r="R148" s="7" t="s">
        <v>7008</v>
      </c>
      <c r="S148" s="7" t="s">
        <v>7009</v>
      </c>
      <c r="T148" s="7" t="s">
        <v>54</v>
      </c>
      <c r="U148" s="7" t="s">
        <v>7010</v>
      </c>
      <c r="V148" s="7" t="s">
        <v>846</v>
      </c>
      <c r="W148" s="7" t="s">
        <v>74</v>
      </c>
      <c r="X148" s="7" t="s">
        <v>103</v>
      </c>
      <c r="Y148" s="8">
        <v>45408</v>
      </c>
      <c r="Z148" s="8">
        <v>45869</v>
      </c>
      <c r="AA148" s="7" t="s">
        <v>224</v>
      </c>
      <c r="AB148" s="7" t="s">
        <v>130</v>
      </c>
      <c r="AC148" s="7" t="s">
        <v>65</v>
      </c>
      <c r="AD148" s="7" t="s">
        <v>144</v>
      </c>
      <c r="AE148" s="7" t="s">
        <v>0</v>
      </c>
      <c r="AF148" s="7" t="s">
        <v>0</v>
      </c>
      <c r="AG148" s="7" t="s">
        <v>0</v>
      </c>
      <c r="AH148" s="9" t="s">
        <v>0</v>
      </c>
      <c r="AI148" s="9" t="s">
        <v>0</v>
      </c>
      <c r="AJ148" s="9" t="s">
        <v>0</v>
      </c>
      <c r="AK148" s="7" t="s">
        <v>61</v>
      </c>
      <c r="AL148" s="7" t="s">
        <v>61</v>
      </c>
      <c r="AM148" s="7" t="s">
        <v>0</v>
      </c>
      <c r="AN148" s="7" t="s">
        <v>0</v>
      </c>
      <c r="AO148" s="7" t="s">
        <v>0</v>
      </c>
      <c r="AP148" s="7" t="s">
        <v>0</v>
      </c>
      <c r="AQ148" s="7" t="s">
        <v>61</v>
      </c>
      <c r="AR148" s="7" t="s">
        <v>0</v>
      </c>
      <c r="AS148" s="10" t="str">
        <f>HYPERLINK("https://tessa.gazprom-neft.local/edo/card/a83b3aa9-b125-49b9-ab01-8a47986dcce7", "https://tessa.gazprom-neft.local/edo/card/a83b3aa9-b125-49b9-ab01-8a47986dcce7")</f>
        <v>https://tessa.gazprom-neft.local/edo/card/a83b3aa9-b125-49b9-ab01-8a47986dcce7</v>
      </c>
    </row>
    <row r="149" spans="1:45" hidden="1" x14ac:dyDescent="0.25">
      <c r="A149" s="6" t="s">
        <v>44</v>
      </c>
      <c r="B149" s="7" t="s">
        <v>542</v>
      </c>
      <c r="C149" s="7" t="s">
        <v>67</v>
      </c>
      <c r="D149" s="8">
        <v>45575</v>
      </c>
      <c r="E149" s="8">
        <v>46022</v>
      </c>
      <c r="F149" s="16" t="s">
        <v>543</v>
      </c>
      <c r="G149" s="7" t="s">
        <v>544</v>
      </c>
      <c r="H149" s="7" t="s">
        <v>1130</v>
      </c>
      <c r="I149" s="7" t="s">
        <v>0</v>
      </c>
      <c r="J149" s="7" t="s">
        <v>271</v>
      </c>
      <c r="K149" s="7" t="s">
        <v>47</v>
      </c>
      <c r="L149" s="7" t="s">
        <v>389</v>
      </c>
      <c r="M149" s="7" t="s">
        <v>0</v>
      </c>
      <c r="N149" s="7" t="s">
        <v>7073</v>
      </c>
      <c r="O149" s="7" t="s">
        <v>2667</v>
      </c>
      <c r="P149" s="7" t="s">
        <v>7074</v>
      </c>
      <c r="Q149" s="7" t="s">
        <v>7075</v>
      </c>
      <c r="R149" s="7" t="s">
        <v>7008</v>
      </c>
      <c r="S149" s="7" t="s">
        <v>7009</v>
      </c>
      <c r="T149" s="7" t="s">
        <v>54</v>
      </c>
      <c r="U149" s="7" t="s">
        <v>7010</v>
      </c>
      <c r="V149" s="7" t="s">
        <v>846</v>
      </c>
      <c r="W149" s="7" t="s">
        <v>74</v>
      </c>
      <c r="X149" s="7" t="s">
        <v>103</v>
      </c>
      <c r="Y149" s="8">
        <v>41613</v>
      </c>
      <c r="Z149" s="8">
        <v>45626</v>
      </c>
      <c r="AA149" s="7" t="s">
        <v>224</v>
      </c>
      <c r="AB149" s="7" t="s">
        <v>130</v>
      </c>
      <c r="AC149" s="7" t="s">
        <v>65</v>
      </c>
      <c r="AD149" s="7" t="s">
        <v>144</v>
      </c>
      <c r="AE149" s="7" t="s">
        <v>0</v>
      </c>
      <c r="AF149" s="7" t="s">
        <v>0</v>
      </c>
      <c r="AG149" s="7" t="s">
        <v>0</v>
      </c>
      <c r="AH149" s="9" t="s">
        <v>0</v>
      </c>
      <c r="AI149" s="9" t="s">
        <v>0</v>
      </c>
      <c r="AJ149" s="9" t="s">
        <v>0</v>
      </c>
      <c r="AK149" s="7" t="s">
        <v>61</v>
      </c>
      <c r="AL149" s="7" t="s">
        <v>61</v>
      </c>
      <c r="AM149" s="7" t="s">
        <v>0</v>
      </c>
      <c r="AN149" s="7" t="s">
        <v>0</v>
      </c>
      <c r="AO149" s="7" t="s">
        <v>0</v>
      </c>
      <c r="AP149" s="7" t="s">
        <v>0</v>
      </c>
      <c r="AQ149" s="7" t="s">
        <v>61</v>
      </c>
      <c r="AR149" s="7" t="s">
        <v>0</v>
      </c>
      <c r="AS149" s="10" t="str">
        <f>HYPERLINK("https://tessa.gazprom-neft.local/edo/card/5d2ba6e4-35c8-4e68-a909-0d1315bed17c", "https://tessa.gazprom-neft.local/edo/card/5d2ba6e4-35c8-4e68-a909-0d1315bed17c")</f>
        <v>https://tessa.gazprom-neft.local/edo/card/5d2ba6e4-35c8-4e68-a909-0d1315bed17c</v>
      </c>
    </row>
    <row r="150" spans="1:45" hidden="1" x14ac:dyDescent="0.25">
      <c r="A150" s="6" t="s">
        <v>44</v>
      </c>
      <c r="B150" s="7" t="s">
        <v>885</v>
      </c>
      <c r="C150" s="7" t="s">
        <v>67</v>
      </c>
      <c r="D150" s="8">
        <v>45575</v>
      </c>
      <c r="E150" s="8">
        <v>46022</v>
      </c>
      <c r="F150" s="16" t="s">
        <v>886</v>
      </c>
      <c r="G150" s="7" t="s">
        <v>887</v>
      </c>
      <c r="H150" s="7" t="s">
        <v>2084</v>
      </c>
      <c r="I150" s="7" t="s">
        <v>0</v>
      </c>
      <c r="J150" s="7" t="s">
        <v>2508</v>
      </c>
      <c r="K150" s="7" t="s">
        <v>47</v>
      </c>
      <c r="L150" s="7" t="s">
        <v>239</v>
      </c>
      <c r="M150" s="7" t="s">
        <v>0</v>
      </c>
      <c r="N150" s="7" t="s">
        <v>7272</v>
      </c>
      <c r="O150" s="7" t="s">
        <v>0</v>
      </c>
      <c r="P150" s="7" t="s">
        <v>7273</v>
      </c>
      <c r="Q150" s="7" t="s">
        <v>7274</v>
      </c>
      <c r="R150" s="7" t="s">
        <v>4909</v>
      </c>
      <c r="S150" s="7" t="s">
        <v>938</v>
      </c>
      <c r="T150" s="7" t="s">
        <v>54</v>
      </c>
      <c r="U150" s="7" t="s">
        <v>605</v>
      </c>
      <c r="V150" s="7" t="s">
        <v>126</v>
      </c>
      <c r="W150" s="7" t="s">
        <v>74</v>
      </c>
      <c r="X150" s="7" t="s">
        <v>103</v>
      </c>
      <c r="Y150" s="8">
        <v>45579</v>
      </c>
      <c r="Z150" s="8">
        <v>45624</v>
      </c>
      <c r="AA150" s="7" t="s">
        <v>5596</v>
      </c>
      <c r="AB150" s="7" t="s">
        <v>130</v>
      </c>
      <c r="AC150" s="7" t="s">
        <v>79</v>
      </c>
      <c r="AD150" s="7" t="s">
        <v>144</v>
      </c>
      <c r="AE150" s="7" t="s">
        <v>118</v>
      </c>
      <c r="AF150" s="7" t="s">
        <v>0</v>
      </c>
      <c r="AG150" s="7" t="s">
        <v>0</v>
      </c>
      <c r="AH150" s="9" t="s">
        <v>13125</v>
      </c>
      <c r="AI150" s="9" t="s">
        <v>13125</v>
      </c>
      <c r="AJ150" s="9">
        <v>0</v>
      </c>
      <c r="AK150" s="7" t="s">
        <v>61</v>
      </c>
      <c r="AL150" s="7" t="s">
        <v>61</v>
      </c>
      <c r="AM150" s="7" t="s">
        <v>0</v>
      </c>
      <c r="AN150" s="7" t="s">
        <v>0</v>
      </c>
      <c r="AO150" s="7" t="s">
        <v>0</v>
      </c>
      <c r="AP150" s="7" t="s">
        <v>0</v>
      </c>
      <c r="AQ150" s="7" t="s">
        <v>61</v>
      </c>
      <c r="AR150" s="7" t="s">
        <v>0</v>
      </c>
      <c r="AS150" s="10" t="str">
        <f>HYPERLINK("https://tessa.gazprom-neft.local/edo/card/4d0bb821-2e2a-4330-aa11-f802528df3f9", "https://tessa.gazprom-neft.local/edo/card/4d0bb821-2e2a-4330-aa11-f802528df3f9")</f>
        <v>https://tessa.gazprom-neft.local/edo/card/4d0bb821-2e2a-4330-aa11-f802528df3f9</v>
      </c>
    </row>
    <row r="151" spans="1:45" hidden="1" x14ac:dyDescent="0.25">
      <c r="A151" s="6" t="s">
        <v>44</v>
      </c>
      <c r="B151" s="7" t="s">
        <v>7064</v>
      </c>
      <c r="C151" s="7" t="s">
        <v>1701</v>
      </c>
      <c r="D151" s="8">
        <v>45574</v>
      </c>
      <c r="E151" s="8" t="s">
        <v>0</v>
      </c>
      <c r="F151" s="16" t="s">
        <v>7065</v>
      </c>
      <c r="G151" s="7" t="s">
        <v>7066</v>
      </c>
      <c r="H151" s="7" t="s">
        <v>0</v>
      </c>
      <c r="I151" s="7" t="s">
        <v>7061</v>
      </c>
      <c r="J151" s="7" t="s">
        <v>7061</v>
      </c>
      <c r="K151" s="7" t="s">
        <v>47</v>
      </c>
      <c r="L151" s="7" t="s">
        <v>96</v>
      </c>
      <c r="M151" s="7" t="s">
        <v>0</v>
      </c>
      <c r="N151" s="7" t="s">
        <v>7060</v>
      </c>
      <c r="O151" s="7" t="s">
        <v>0</v>
      </c>
      <c r="P151" s="7" t="s">
        <v>7062</v>
      </c>
      <c r="Q151" s="7" t="s">
        <v>7063</v>
      </c>
      <c r="R151" s="7" t="s">
        <v>1139</v>
      </c>
      <c r="S151" s="7" t="s">
        <v>1011</v>
      </c>
      <c r="T151" s="7" t="s">
        <v>54</v>
      </c>
      <c r="U151" s="7" t="s">
        <v>1012</v>
      </c>
      <c r="V151" s="7" t="s">
        <v>340</v>
      </c>
      <c r="W151" s="7" t="s">
        <v>57</v>
      </c>
      <c r="X151" s="7" t="s">
        <v>103</v>
      </c>
      <c r="Y151" s="8">
        <v>45575</v>
      </c>
      <c r="Z151" s="8">
        <v>46387</v>
      </c>
      <c r="AA151" s="7" t="s">
        <v>341</v>
      </c>
      <c r="AB151" s="7" t="s">
        <v>64</v>
      </c>
      <c r="AC151" s="7" t="s">
        <v>79</v>
      </c>
      <c r="AD151" s="7" t="s">
        <v>80</v>
      </c>
      <c r="AE151" s="7" t="s">
        <v>118</v>
      </c>
      <c r="AF151" s="7" t="s">
        <v>0</v>
      </c>
      <c r="AG151" s="7" t="s">
        <v>7067</v>
      </c>
      <c r="AH151" s="9" t="s">
        <v>13049</v>
      </c>
      <c r="AI151" s="9" t="s">
        <v>13049</v>
      </c>
      <c r="AJ151" s="9">
        <v>0</v>
      </c>
      <c r="AK151" s="7" t="s">
        <v>81</v>
      </c>
      <c r="AL151" s="7" t="s">
        <v>61</v>
      </c>
      <c r="AM151" s="7" t="s">
        <v>0</v>
      </c>
      <c r="AN151" s="7" t="s">
        <v>0</v>
      </c>
      <c r="AO151" s="7" t="s">
        <v>0</v>
      </c>
      <c r="AP151" s="7" t="s">
        <v>0</v>
      </c>
      <c r="AQ151" s="7" t="s">
        <v>61</v>
      </c>
      <c r="AR151" s="7" t="s">
        <v>0</v>
      </c>
      <c r="AS151" s="10" t="str">
        <f>HYPERLINK("https://tessa.gazprom-neft.local/edo/card/4aae5b24-0452-4bfb-9d55-1d4d96fd30bc", "https://tessa.gazprom-neft.local/edo/card/4aae5b24-0452-4bfb-9d55-1d4d96fd30bc")</f>
        <v>https://tessa.gazprom-neft.local/edo/card/4aae5b24-0452-4bfb-9d55-1d4d96fd30bc</v>
      </c>
    </row>
    <row r="152" spans="1:45" x14ac:dyDescent="0.25">
      <c r="A152" s="6" t="s">
        <v>44</v>
      </c>
      <c r="B152" s="7" t="s">
        <v>5553</v>
      </c>
      <c r="C152" s="7" t="s">
        <v>67</v>
      </c>
      <c r="D152" s="8">
        <v>45572</v>
      </c>
      <c r="E152" s="8" t="s">
        <v>0</v>
      </c>
      <c r="F152" s="16" t="s">
        <v>5554</v>
      </c>
      <c r="G152" s="7" t="s">
        <v>5555</v>
      </c>
      <c r="H152" s="7" t="s">
        <v>5550</v>
      </c>
      <c r="I152" s="7" t="s">
        <v>0</v>
      </c>
      <c r="J152" s="7" t="s">
        <v>51</v>
      </c>
      <c r="K152" s="7" t="s">
        <v>47</v>
      </c>
      <c r="L152" s="7" t="s">
        <v>48</v>
      </c>
      <c r="M152" s="7" t="s">
        <v>0</v>
      </c>
      <c r="N152" s="7" t="s">
        <v>6726</v>
      </c>
      <c r="O152" s="7" t="s">
        <v>0</v>
      </c>
      <c r="P152" s="7" t="s">
        <v>6727</v>
      </c>
      <c r="Q152" s="7" t="s">
        <v>2963</v>
      </c>
      <c r="R152" s="7" t="s">
        <v>1066</v>
      </c>
      <c r="S152" s="7" t="s">
        <v>0</v>
      </c>
      <c r="T152" s="7" t="s">
        <v>54</v>
      </c>
      <c r="U152" s="7" t="s">
        <v>136</v>
      </c>
      <c r="V152" s="7" t="s">
        <v>168</v>
      </c>
      <c r="W152" s="7" t="s">
        <v>74</v>
      </c>
      <c r="X152" s="7" t="s">
        <v>103</v>
      </c>
      <c r="Y152" s="8">
        <v>45572</v>
      </c>
      <c r="Z152" s="8">
        <v>45657</v>
      </c>
      <c r="AA152" s="7" t="s">
        <v>6728</v>
      </c>
      <c r="AB152" s="7" t="s">
        <v>130</v>
      </c>
      <c r="AC152" s="7" t="s">
        <v>79</v>
      </c>
      <c r="AD152" s="7" t="s">
        <v>80</v>
      </c>
      <c r="AE152" s="7" t="s">
        <v>82</v>
      </c>
      <c r="AF152" s="7" t="s">
        <v>0</v>
      </c>
      <c r="AG152" s="7" t="s">
        <v>0</v>
      </c>
      <c r="AH152" s="9" t="s">
        <v>12528</v>
      </c>
      <c r="AI152" s="9" t="s">
        <v>12529</v>
      </c>
      <c r="AJ152" s="9" t="s">
        <v>12530</v>
      </c>
      <c r="AK152" s="7" t="s">
        <v>61</v>
      </c>
      <c r="AL152" s="7" t="s">
        <v>61</v>
      </c>
      <c r="AM152" s="7" t="s">
        <v>0</v>
      </c>
      <c r="AN152" s="7" t="s">
        <v>0</v>
      </c>
      <c r="AO152" s="7" t="s">
        <v>0</v>
      </c>
      <c r="AP152" s="7" t="s">
        <v>0</v>
      </c>
      <c r="AQ152" s="7" t="s">
        <v>61</v>
      </c>
      <c r="AR152" s="7" t="s">
        <v>0</v>
      </c>
      <c r="AS152" s="10" t="str">
        <f>HYPERLINK("https://tessa.gazprom-neft.local/edo/card/606926af-70f5-4997-a693-a8c56a206a50", "https://tessa.gazprom-neft.local/edo/card/606926af-70f5-4997-a693-a8c56a206a50")</f>
        <v>https://tessa.gazprom-neft.local/edo/card/606926af-70f5-4997-a693-a8c56a206a50</v>
      </c>
    </row>
    <row r="153" spans="1:45" hidden="1" x14ac:dyDescent="0.25">
      <c r="A153" s="6" t="s">
        <v>44</v>
      </c>
      <c r="B153" s="7" t="s">
        <v>1240</v>
      </c>
      <c r="C153" s="7" t="s">
        <v>67</v>
      </c>
      <c r="D153" s="8">
        <v>45572</v>
      </c>
      <c r="E153" s="8" t="s">
        <v>0</v>
      </c>
      <c r="F153" s="16" t="s">
        <v>1241</v>
      </c>
      <c r="G153" s="7" t="s">
        <v>1242</v>
      </c>
      <c r="H153" s="7" t="s">
        <v>1237</v>
      </c>
      <c r="I153" s="7" t="s">
        <v>0</v>
      </c>
      <c r="J153" s="7" t="s">
        <v>70</v>
      </c>
      <c r="K153" s="7" t="s">
        <v>47</v>
      </c>
      <c r="L153" s="7" t="s">
        <v>239</v>
      </c>
      <c r="M153" s="7" t="s">
        <v>0</v>
      </c>
      <c r="N153" s="7" t="s">
        <v>7086</v>
      </c>
      <c r="O153" s="7" t="s">
        <v>0</v>
      </c>
      <c r="P153" s="7" t="s">
        <v>7087</v>
      </c>
      <c r="Q153" s="7" t="s">
        <v>7088</v>
      </c>
      <c r="R153" s="7" t="s">
        <v>393</v>
      </c>
      <c r="S153" s="7" t="s">
        <v>1261</v>
      </c>
      <c r="T153" s="7" t="s">
        <v>54</v>
      </c>
      <c r="U153" s="7" t="s">
        <v>222</v>
      </c>
      <c r="V153" s="7" t="s">
        <v>126</v>
      </c>
      <c r="W153" s="7" t="s">
        <v>74</v>
      </c>
      <c r="X153" s="7" t="s">
        <v>103</v>
      </c>
      <c r="Y153" s="8">
        <v>45575</v>
      </c>
      <c r="Z153" s="8">
        <v>45626</v>
      </c>
      <c r="AA153" s="7" t="s">
        <v>5596</v>
      </c>
      <c r="AB153" s="7" t="s">
        <v>1243</v>
      </c>
      <c r="AC153" s="7" t="s">
        <v>79</v>
      </c>
      <c r="AD153" s="7" t="s">
        <v>144</v>
      </c>
      <c r="AE153" s="7" t="s">
        <v>82</v>
      </c>
      <c r="AF153" s="7" t="s">
        <v>0</v>
      </c>
      <c r="AG153" s="7" t="s">
        <v>0</v>
      </c>
      <c r="AH153" s="9" t="s">
        <v>13056</v>
      </c>
      <c r="AI153" s="9" t="s">
        <v>13057</v>
      </c>
      <c r="AJ153" s="9" t="s">
        <v>13058</v>
      </c>
      <c r="AK153" s="7" t="s">
        <v>61</v>
      </c>
      <c r="AL153" s="7" t="s">
        <v>61</v>
      </c>
      <c r="AM153" s="7" t="s">
        <v>0</v>
      </c>
      <c r="AN153" s="7" t="s">
        <v>0</v>
      </c>
      <c r="AO153" s="7" t="s">
        <v>0</v>
      </c>
      <c r="AP153" s="7" t="s">
        <v>0</v>
      </c>
      <c r="AQ153" s="7" t="s">
        <v>61</v>
      </c>
      <c r="AR153" s="7" t="s">
        <v>0</v>
      </c>
      <c r="AS153" s="10" t="str">
        <f>HYPERLINK("https://tessa.gazprom-neft.local/edo/card/5cb812ef-a282-48ca-8029-f4b07e39263f", "https://tessa.gazprom-neft.local/edo/card/5cb812ef-a282-48ca-8029-f4b07e39263f")</f>
        <v>https://tessa.gazprom-neft.local/edo/card/5cb812ef-a282-48ca-8029-f4b07e39263f</v>
      </c>
    </row>
    <row r="154" spans="1:45" x14ac:dyDescent="0.25">
      <c r="A154" s="6" t="s">
        <v>44</v>
      </c>
      <c r="B154" s="7" t="s">
        <v>582</v>
      </c>
      <c r="C154" s="7" t="s">
        <v>67</v>
      </c>
      <c r="D154" s="8">
        <v>45572</v>
      </c>
      <c r="E154" s="8">
        <v>46022</v>
      </c>
      <c r="F154" s="16" t="s">
        <v>583</v>
      </c>
      <c r="G154" s="7" t="s">
        <v>584</v>
      </c>
      <c r="H154" s="7" t="s">
        <v>2253</v>
      </c>
      <c r="I154" s="7" t="s">
        <v>0</v>
      </c>
      <c r="J154" s="7" t="s">
        <v>51</v>
      </c>
      <c r="K154" s="7" t="s">
        <v>85</v>
      </c>
      <c r="L154" s="7" t="s">
        <v>48</v>
      </c>
      <c r="M154" s="7" t="s">
        <v>2128</v>
      </c>
      <c r="N154" s="7" t="s">
        <v>7202</v>
      </c>
      <c r="O154" s="7" t="s">
        <v>0</v>
      </c>
      <c r="P154" s="7" t="s">
        <v>2128</v>
      </c>
      <c r="Q154" s="7" t="s">
        <v>6133</v>
      </c>
      <c r="R154" s="7" t="s">
        <v>7203</v>
      </c>
      <c r="S154" s="7" t="s">
        <v>7203</v>
      </c>
      <c r="T154" s="7" t="s">
        <v>54</v>
      </c>
      <c r="U154" s="7" t="s">
        <v>362</v>
      </c>
      <c r="V154" s="7" t="s">
        <v>56</v>
      </c>
      <c r="W154" s="7" t="s">
        <v>74</v>
      </c>
      <c r="X154" s="7" t="s">
        <v>58</v>
      </c>
      <c r="Y154" s="8">
        <v>45572</v>
      </c>
      <c r="Z154" s="8" t="s">
        <v>0</v>
      </c>
      <c r="AA154" s="7" t="s">
        <v>6414</v>
      </c>
      <c r="AB154" s="7" t="s">
        <v>585</v>
      </c>
      <c r="AC154" s="7" t="s">
        <v>79</v>
      </c>
      <c r="AD154" s="7" t="s">
        <v>144</v>
      </c>
      <c r="AE154" s="7" t="s">
        <v>82</v>
      </c>
      <c r="AF154" s="7" t="s">
        <v>0</v>
      </c>
      <c r="AG154" s="7" t="s">
        <v>0</v>
      </c>
      <c r="AH154" s="9" t="s">
        <v>11296</v>
      </c>
      <c r="AI154" s="9" t="s">
        <v>11297</v>
      </c>
      <c r="AJ154" s="9" t="s">
        <v>11298</v>
      </c>
      <c r="AK154" s="7" t="s">
        <v>61</v>
      </c>
      <c r="AL154" s="7" t="s">
        <v>61</v>
      </c>
      <c r="AM154" s="7" t="s">
        <v>0</v>
      </c>
      <c r="AN154" s="7" t="s">
        <v>0</v>
      </c>
      <c r="AO154" s="7" t="s">
        <v>0</v>
      </c>
      <c r="AP154" s="7" t="s">
        <v>0</v>
      </c>
      <c r="AQ154" s="7" t="s">
        <v>61</v>
      </c>
      <c r="AR154" s="7" t="s">
        <v>0</v>
      </c>
      <c r="AS154" s="10" t="str">
        <f>HYPERLINK("https://tessa.gazprom-neft.local/edo/card/bab7e6b7-b176-44f6-9efd-16cde825c213", "https://tessa.gazprom-neft.local/edo/card/bab7e6b7-b176-44f6-9efd-16cde825c213")</f>
        <v>https://tessa.gazprom-neft.local/edo/card/bab7e6b7-b176-44f6-9efd-16cde825c213</v>
      </c>
    </row>
    <row r="155" spans="1:45" x14ac:dyDescent="0.25">
      <c r="A155" s="6" t="s">
        <v>44</v>
      </c>
      <c r="B155" s="7" t="s">
        <v>673</v>
      </c>
      <c r="C155" s="7" t="s">
        <v>67</v>
      </c>
      <c r="D155" s="8">
        <v>45569</v>
      </c>
      <c r="E155" s="8" t="s">
        <v>0</v>
      </c>
      <c r="F155" s="16" t="s">
        <v>674</v>
      </c>
      <c r="G155" s="7" t="s">
        <v>675</v>
      </c>
      <c r="H155" s="7" t="s">
        <v>668</v>
      </c>
      <c r="I155" s="7" t="s">
        <v>0</v>
      </c>
      <c r="J155" s="7" t="s">
        <v>1098</v>
      </c>
      <c r="K155" s="7" t="s">
        <v>47</v>
      </c>
      <c r="L155" s="7" t="s">
        <v>48</v>
      </c>
      <c r="M155" s="7" t="s">
        <v>0</v>
      </c>
      <c r="N155" s="7" t="s">
        <v>7023</v>
      </c>
      <c r="O155" s="7" t="s">
        <v>0</v>
      </c>
      <c r="P155" s="7" t="s">
        <v>7024</v>
      </c>
      <c r="Q155" s="7" t="s">
        <v>7025</v>
      </c>
      <c r="R155" s="7" t="s">
        <v>671</v>
      </c>
      <c r="S155" s="7" t="s">
        <v>671</v>
      </c>
      <c r="T155" s="7" t="s">
        <v>54</v>
      </c>
      <c r="U155" s="7" t="s">
        <v>672</v>
      </c>
      <c r="V155" s="7" t="s">
        <v>126</v>
      </c>
      <c r="W155" s="7" t="s">
        <v>74</v>
      </c>
      <c r="X155" s="7" t="s">
        <v>103</v>
      </c>
      <c r="Y155" s="8">
        <v>45569</v>
      </c>
      <c r="Z155" s="8">
        <v>46022</v>
      </c>
      <c r="AA155" s="7" t="s">
        <v>5596</v>
      </c>
      <c r="AB155" s="7" t="s">
        <v>130</v>
      </c>
      <c r="AC155" s="7" t="s">
        <v>79</v>
      </c>
      <c r="AD155" s="7" t="s">
        <v>144</v>
      </c>
      <c r="AE155" s="7" t="s">
        <v>889</v>
      </c>
      <c r="AF155" s="7" t="s">
        <v>0</v>
      </c>
      <c r="AG155" s="7" t="s">
        <v>0</v>
      </c>
      <c r="AH155" s="9">
        <v>0</v>
      </c>
      <c r="AI155" s="9">
        <v>0</v>
      </c>
      <c r="AJ155" s="9">
        <v>0</v>
      </c>
      <c r="AK155" s="7" t="s">
        <v>61</v>
      </c>
      <c r="AL155" s="7" t="s">
        <v>61</v>
      </c>
      <c r="AM155" s="7" t="s">
        <v>0</v>
      </c>
      <c r="AN155" s="7" t="s">
        <v>0</v>
      </c>
      <c r="AO155" s="7" t="s">
        <v>0</v>
      </c>
      <c r="AP155" s="7" t="s">
        <v>0</v>
      </c>
      <c r="AQ155" s="7" t="s">
        <v>61</v>
      </c>
      <c r="AR155" s="7" t="s">
        <v>0</v>
      </c>
      <c r="AS155" s="10" t="str">
        <f>HYPERLINK("https://tessa.gazprom-neft.local/edo/card/59f61870-0c44-4eb0-8dee-b686434aa36a", "https://tessa.gazprom-neft.local/edo/card/59f61870-0c44-4eb0-8dee-b686434aa36a")</f>
        <v>https://tessa.gazprom-neft.local/edo/card/59f61870-0c44-4eb0-8dee-b686434aa36a</v>
      </c>
    </row>
    <row r="156" spans="1:45" hidden="1" x14ac:dyDescent="0.25">
      <c r="A156" s="6" t="s">
        <v>44</v>
      </c>
      <c r="B156" s="7" t="s">
        <v>542</v>
      </c>
      <c r="C156" s="7" t="s">
        <v>67</v>
      </c>
      <c r="D156" s="8">
        <v>45569</v>
      </c>
      <c r="E156" s="8">
        <v>46022</v>
      </c>
      <c r="F156" s="16" t="s">
        <v>543</v>
      </c>
      <c r="G156" s="7" t="s">
        <v>544</v>
      </c>
      <c r="H156" s="7" t="s">
        <v>2148</v>
      </c>
      <c r="I156" s="7" t="s">
        <v>0</v>
      </c>
      <c r="J156" s="7" t="s">
        <v>355</v>
      </c>
      <c r="K156" s="7" t="s">
        <v>47</v>
      </c>
      <c r="L156" s="7" t="s">
        <v>239</v>
      </c>
      <c r="M156" s="7" t="s">
        <v>0</v>
      </c>
      <c r="N156" s="7" t="s">
        <v>7183</v>
      </c>
      <c r="O156" s="7" t="s">
        <v>0</v>
      </c>
      <c r="P156" s="7" t="s">
        <v>7184</v>
      </c>
      <c r="Q156" s="7" t="s">
        <v>1956</v>
      </c>
      <c r="R156" s="7" t="s">
        <v>646</v>
      </c>
      <c r="S156" s="7" t="s">
        <v>1957</v>
      </c>
      <c r="T156" s="7" t="s">
        <v>54</v>
      </c>
      <c r="U156" s="7" t="s">
        <v>55</v>
      </c>
      <c r="V156" s="7" t="s">
        <v>56</v>
      </c>
      <c r="W156" s="7" t="s">
        <v>74</v>
      </c>
      <c r="X156" s="7" t="s">
        <v>58</v>
      </c>
      <c r="Y156" s="8">
        <v>45569</v>
      </c>
      <c r="Z156" s="8" t="s">
        <v>0</v>
      </c>
      <c r="AA156" s="7" t="s">
        <v>6414</v>
      </c>
      <c r="AB156" s="7" t="s">
        <v>130</v>
      </c>
      <c r="AC156" s="7" t="s">
        <v>79</v>
      </c>
      <c r="AD156" s="7" t="s">
        <v>144</v>
      </c>
      <c r="AE156" s="7" t="s">
        <v>82</v>
      </c>
      <c r="AF156" s="7" t="s">
        <v>0</v>
      </c>
      <c r="AG156" s="7" t="s">
        <v>0</v>
      </c>
      <c r="AH156" s="9" t="s">
        <v>13092</v>
      </c>
      <c r="AI156" s="9" t="s">
        <v>13093</v>
      </c>
      <c r="AJ156" s="9" t="s">
        <v>13094</v>
      </c>
      <c r="AK156" s="7" t="s">
        <v>61</v>
      </c>
      <c r="AL156" s="7" t="s">
        <v>61</v>
      </c>
      <c r="AM156" s="7" t="s">
        <v>0</v>
      </c>
      <c r="AN156" s="7" t="s">
        <v>0</v>
      </c>
      <c r="AO156" s="7" t="s">
        <v>0</v>
      </c>
      <c r="AP156" s="7" t="s">
        <v>0</v>
      </c>
      <c r="AQ156" s="7" t="s">
        <v>81</v>
      </c>
      <c r="AR156" s="7" t="s">
        <v>0</v>
      </c>
      <c r="AS156" s="10" t="str">
        <f>HYPERLINK("https://tessa.gazprom-neft.local/edo/card/2902b5f2-c3fb-41f6-be80-0ee3ee1f071e", "https://tessa.gazprom-neft.local/edo/card/2902b5f2-c3fb-41f6-be80-0ee3ee1f071e")</f>
        <v>https://tessa.gazprom-neft.local/edo/card/2902b5f2-c3fb-41f6-be80-0ee3ee1f071e</v>
      </c>
    </row>
    <row r="157" spans="1:45" hidden="1" x14ac:dyDescent="0.25">
      <c r="A157" s="6" t="s">
        <v>44</v>
      </c>
      <c r="B157" s="7" t="s">
        <v>0</v>
      </c>
      <c r="C157" s="7" t="s">
        <v>67</v>
      </c>
      <c r="D157" s="8">
        <v>45568</v>
      </c>
      <c r="E157" s="8" t="s">
        <v>0</v>
      </c>
      <c r="F157" s="16" t="s">
        <v>6890</v>
      </c>
      <c r="G157" s="7" t="s">
        <v>0</v>
      </c>
      <c r="H157" s="7" t="s">
        <v>0</v>
      </c>
      <c r="I157" s="7" t="s">
        <v>6888</v>
      </c>
      <c r="J157" s="7" t="s">
        <v>6888</v>
      </c>
      <c r="K157" s="7" t="s">
        <v>85</v>
      </c>
      <c r="L157" s="7" t="s">
        <v>86</v>
      </c>
      <c r="M157" s="7" t="s">
        <v>440</v>
      </c>
      <c r="N157" s="7" t="s">
        <v>6887</v>
      </c>
      <c r="O157" s="7" t="s">
        <v>0</v>
      </c>
      <c r="P157" s="7" t="s">
        <v>440</v>
      </c>
      <c r="Q157" s="7" t="s">
        <v>6889</v>
      </c>
      <c r="R157" s="7" t="s">
        <v>2768</v>
      </c>
      <c r="S157" s="7" t="s">
        <v>2768</v>
      </c>
      <c r="T157" s="7" t="s">
        <v>54</v>
      </c>
      <c r="U157" s="7" t="s">
        <v>2769</v>
      </c>
      <c r="V157" s="7" t="s">
        <v>56</v>
      </c>
      <c r="W157" s="7" t="s">
        <v>57</v>
      </c>
      <c r="X157" s="7" t="s">
        <v>103</v>
      </c>
      <c r="Y157" s="8">
        <v>45566</v>
      </c>
      <c r="Z157" s="8">
        <v>47483</v>
      </c>
      <c r="AA157" s="7" t="s">
        <v>59</v>
      </c>
      <c r="AB157" s="7" t="s">
        <v>94</v>
      </c>
      <c r="AC157" s="7" t="s">
        <v>65</v>
      </c>
      <c r="AD157" s="7" t="s">
        <v>0</v>
      </c>
      <c r="AE157" s="7" t="s">
        <v>0</v>
      </c>
      <c r="AF157" s="7" t="s">
        <v>0</v>
      </c>
      <c r="AG157" s="7" t="s">
        <v>0</v>
      </c>
      <c r="AH157" s="9" t="s">
        <v>0</v>
      </c>
      <c r="AI157" s="9" t="s">
        <v>0</v>
      </c>
      <c r="AJ157" s="9" t="s">
        <v>0</v>
      </c>
      <c r="AK157" s="7" t="s">
        <v>61</v>
      </c>
      <c r="AL157" s="7" t="s">
        <v>61</v>
      </c>
      <c r="AM157" s="7" t="s">
        <v>0</v>
      </c>
      <c r="AN157" s="7" t="s">
        <v>0</v>
      </c>
      <c r="AO157" s="7" t="s">
        <v>0</v>
      </c>
      <c r="AP157" s="7" t="s">
        <v>0</v>
      </c>
      <c r="AQ157" s="7" t="s">
        <v>61</v>
      </c>
      <c r="AR157" s="7" t="s">
        <v>0</v>
      </c>
      <c r="AS157" s="10" t="str">
        <f>HYPERLINK("https://tessa.gazprom-neft.local/edo/card/453408d8-3139-454a-95ea-bf74035359d9", "https://tessa.gazprom-neft.local/edo/card/453408d8-3139-454a-95ea-bf74035359d9")</f>
        <v>https://tessa.gazprom-neft.local/edo/card/453408d8-3139-454a-95ea-bf74035359d9</v>
      </c>
    </row>
    <row r="158" spans="1:45" hidden="1" x14ac:dyDescent="0.25">
      <c r="A158" s="6" t="s">
        <v>44</v>
      </c>
      <c r="B158" s="7" t="s">
        <v>542</v>
      </c>
      <c r="C158" s="7" t="s">
        <v>67</v>
      </c>
      <c r="D158" s="8">
        <v>45568</v>
      </c>
      <c r="E158" s="8">
        <v>46022</v>
      </c>
      <c r="F158" s="16" t="s">
        <v>543</v>
      </c>
      <c r="G158" s="7" t="s">
        <v>544</v>
      </c>
      <c r="H158" s="7" t="s">
        <v>2148</v>
      </c>
      <c r="I158" s="7" t="s">
        <v>0</v>
      </c>
      <c r="J158" s="7" t="s">
        <v>51</v>
      </c>
      <c r="K158" s="7" t="s">
        <v>47</v>
      </c>
      <c r="L158" s="7" t="s">
        <v>389</v>
      </c>
      <c r="M158" s="7" t="s">
        <v>0</v>
      </c>
      <c r="N158" s="7" t="s">
        <v>7169</v>
      </c>
      <c r="O158" s="7" t="s">
        <v>156</v>
      </c>
      <c r="P158" s="7" t="s">
        <v>7170</v>
      </c>
      <c r="Q158" s="7" t="s">
        <v>7171</v>
      </c>
      <c r="R158" s="7" t="s">
        <v>646</v>
      </c>
      <c r="S158" s="7" t="s">
        <v>7172</v>
      </c>
      <c r="T158" s="7" t="s">
        <v>54</v>
      </c>
      <c r="U158" s="7" t="s">
        <v>55</v>
      </c>
      <c r="V158" s="7" t="s">
        <v>56</v>
      </c>
      <c r="W158" s="7" t="s">
        <v>74</v>
      </c>
      <c r="X158" s="7" t="s">
        <v>58</v>
      </c>
      <c r="Y158" s="8">
        <v>45568</v>
      </c>
      <c r="Z158" s="8" t="s">
        <v>0</v>
      </c>
      <c r="AA158" s="7" t="s">
        <v>6414</v>
      </c>
      <c r="AB158" s="7" t="s">
        <v>130</v>
      </c>
      <c r="AC158" s="7" t="s">
        <v>79</v>
      </c>
      <c r="AD158" s="7" t="s">
        <v>144</v>
      </c>
      <c r="AE158" s="7" t="s">
        <v>82</v>
      </c>
      <c r="AF158" s="7" t="s">
        <v>0</v>
      </c>
      <c r="AG158" s="7" t="s">
        <v>0</v>
      </c>
      <c r="AH158" s="9" t="s">
        <v>13086</v>
      </c>
      <c r="AI158" s="9" t="s">
        <v>13087</v>
      </c>
      <c r="AJ158" s="9" t="s">
        <v>13088</v>
      </c>
      <c r="AK158" s="7" t="s">
        <v>61</v>
      </c>
      <c r="AL158" s="7" t="s">
        <v>61</v>
      </c>
      <c r="AM158" s="7" t="s">
        <v>0</v>
      </c>
      <c r="AN158" s="7" t="s">
        <v>0</v>
      </c>
      <c r="AO158" s="7" t="s">
        <v>0</v>
      </c>
      <c r="AP158" s="7" t="s">
        <v>0</v>
      </c>
      <c r="AQ158" s="7" t="s">
        <v>81</v>
      </c>
      <c r="AR158" s="7" t="s">
        <v>0</v>
      </c>
      <c r="AS158" s="10" t="str">
        <f>HYPERLINK("https://tessa.gazprom-neft.local/edo/card/e3a0be18-0a3f-428c-b204-a1a3b675e73f", "https://tessa.gazprom-neft.local/edo/card/e3a0be18-0a3f-428c-b204-a1a3b675e73f")</f>
        <v>https://tessa.gazprom-neft.local/edo/card/e3a0be18-0a3f-428c-b204-a1a3b675e73f</v>
      </c>
    </row>
    <row r="159" spans="1:45" hidden="1" x14ac:dyDescent="0.25">
      <c r="A159" s="6" t="s">
        <v>44</v>
      </c>
      <c r="B159" s="7" t="s">
        <v>6532</v>
      </c>
      <c r="C159" s="7" t="s">
        <v>67</v>
      </c>
      <c r="D159" s="8">
        <v>45567</v>
      </c>
      <c r="E159" s="8" t="s">
        <v>0</v>
      </c>
      <c r="F159" s="16" t="s">
        <v>6533</v>
      </c>
      <c r="G159" s="7" t="s">
        <v>6534</v>
      </c>
      <c r="H159" s="7" t="s">
        <v>0</v>
      </c>
      <c r="I159" s="7" t="s">
        <v>6529</v>
      </c>
      <c r="J159" s="7" t="s">
        <v>6529</v>
      </c>
      <c r="K159" s="7" t="s">
        <v>47</v>
      </c>
      <c r="L159" s="7" t="s">
        <v>96</v>
      </c>
      <c r="M159" s="7" t="s">
        <v>0</v>
      </c>
      <c r="N159" s="7" t="s">
        <v>6528</v>
      </c>
      <c r="O159" s="7" t="s">
        <v>0</v>
      </c>
      <c r="P159" s="7" t="s">
        <v>6530</v>
      </c>
      <c r="Q159" s="7" t="s">
        <v>6531</v>
      </c>
      <c r="R159" s="7" t="s">
        <v>1139</v>
      </c>
      <c r="S159" s="7" t="s">
        <v>2788</v>
      </c>
      <c r="T159" s="7" t="s">
        <v>54</v>
      </c>
      <c r="U159" s="7" t="s">
        <v>55</v>
      </c>
      <c r="V159" s="7" t="s">
        <v>56</v>
      </c>
      <c r="W159" s="7" t="s">
        <v>57</v>
      </c>
      <c r="X159" s="7" t="s">
        <v>58</v>
      </c>
      <c r="Y159" s="8">
        <v>45567</v>
      </c>
      <c r="Z159" s="8" t="s">
        <v>0</v>
      </c>
      <c r="AA159" s="7" t="s">
        <v>212</v>
      </c>
      <c r="AB159" s="7" t="s">
        <v>5881</v>
      </c>
      <c r="AC159" s="7" t="s">
        <v>79</v>
      </c>
      <c r="AD159" s="7" t="s">
        <v>144</v>
      </c>
      <c r="AE159" s="7" t="s">
        <v>472</v>
      </c>
      <c r="AF159" s="7" t="s">
        <v>0</v>
      </c>
      <c r="AG159" s="7" t="s">
        <v>0</v>
      </c>
      <c r="AH159" s="9" t="s">
        <v>12879</v>
      </c>
      <c r="AI159" s="9" t="s">
        <v>12880</v>
      </c>
      <c r="AJ159" s="9" t="s">
        <v>12531</v>
      </c>
      <c r="AK159" s="7" t="s">
        <v>61</v>
      </c>
      <c r="AL159" s="7" t="s">
        <v>61</v>
      </c>
      <c r="AM159" s="7" t="s">
        <v>0</v>
      </c>
      <c r="AN159" s="7" t="s">
        <v>0</v>
      </c>
      <c r="AO159" s="7" t="s">
        <v>0</v>
      </c>
      <c r="AP159" s="7" t="s">
        <v>0</v>
      </c>
      <c r="AQ159" s="7" t="s">
        <v>61</v>
      </c>
      <c r="AR159" s="7" t="s">
        <v>0</v>
      </c>
      <c r="AS159" s="10" t="str">
        <f>HYPERLINK("https://tessa.gazprom-neft.local/edo/card/31d49894-5626-4d96-ac6a-876f836b186a", "https://tessa.gazprom-neft.local/edo/card/31d49894-5626-4d96-ac6a-876f836b186a")</f>
        <v>https://tessa.gazprom-neft.local/edo/card/31d49894-5626-4d96-ac6a-876f836b186a</v>
      </c>
    </row>
    <row r="160" spans="1:45" hidden="1" x14ac:dyDescent="0.25">
      <c r="A160" s="6" t="s">
        <v>44</v>
      </c>
      <c r="B160" s="7" t="s">
        <v>715</v>
      </c>
      <c r="C160" s="7" t="s">
        <v>67</v>
      </c>
      <c r="D160" s="8">
        <v>45567</v>
      </c>
      <c r="E160" s="8" t="s">
        <v>0</v>
      </c>
      <c r="F160" s="16" t="s">
        <v>716</v>
      </c>
      <c r="G160" s="7" t="s">
        <v>717</v>
      </c>
      <c r="H160" s="7" t="s">
        <v>710</v>
      </c>
      <c r="I160" s="7" t="s">
        <v>0</v>
      </c>
      <c r="J160" s="7" t="s">
        <v>1955</v>
      </c>
      <c r="K160" s="7" t="s">
        <v>47</v>
      </c>
      <c r="L160" s="7" t="s">
        <v>709</v>
      </c>
      <c r="M160" s="7" t="s">
        <v>0</v>
      </c>
      <c r="N160" s="7" t="s">
        <v>6992</v>
      </c>
      <c r="O160" s="7" t="s">
        <v>0</v>
      </c>
      <c r="P160" s="7" t="s">
        <v>6993</v>
      </c>
      <c r="Q160" s="7" t="s">
        <v>6994</v>
      </c>
      <c r="R160" s="7" t="s">
        <v>660</v>
      </c>
      <c r="S160" s="7" t="s">
        <v>660</v>
      </c>
      <c r="T160" s="7" t="s">
        <v>54</v>
      </c>
      <c r="U160" s="7" t="s">
        <v>101</v>
      </c>
      <c r="V160" s="7" t="s">
        <v>168</v>
      </c>
      <c r="W160" s="7" t="s">
        <v>74</v>
      </c>
      <c r="X160" s="7" t="s">
        <v>103</v>
      </c>
      <c r="Y160" s="8">
        <v>45567</v>
      </c>
      <c r="Z160" s="8">
        <v>45616</v>
      </c>
      <c r="AA160" s="7" t="s">
        <v>6728</v>
      </c>
      <c r="AB160" s="7" t="s">
        <v>64</v>
      </c>
      <c r="AC160" s="7" t="s">
        <v>79</v>
      </c>
      <c r="AD160" s="7" t="s">
        <v>144</v>
      </c>
      <c r="AE160" s="7" t="s">
        <v>82</v>
      </c>
      <c r="AF160" s="7" t="s">
        <v>0</v>
      </c>
      <c r="AG160" s="7" t="s">
        <v>0</v>
      </c>
      <c r="AH160" s="9" t="s">
        <v>13028</v>
      </c>
      <c r="AI160" s="9" t="s">
        <v>13029</v>
      </c>
      <c r="AJ160" s="9" t="s">
        <v>13030</v>
      </c>
      <c r="AK160" s="7" t="s">
        <v>61</v>
      </c>
      <c r="AL160" s="7" t="s">
        <v>61</v>
      </c>
      <c r="AM160" s="7" t="s">
        <v>0</v>
      </c>
      <c r="AN160" s="7" t="s">
        <v>0</v>
      </c>
      <c r="AO160" s="7" t="s">
        <v>0</v>
      </c>
      <c r="AP160" s="7" t="s">
        <v>0</v>
      </c>
      <c r="AQ160" s="7" t="s">
        <v>61</v>
      </c>
      <c r="AR160" s="7" t="s">
        <v>0</v>
      </c>
      <c r="AS160" s="10" t="str">
        <f>HYPERLINK("https://tessa.gazprom-neft.local/edo/card/903bb47f-3bf4-4b41-b590-b9f076ddd0e1", "https://tessa.gazprom-neft.local/edo/card/903bb47f-3bf4-4b41-b590-b9f076ddd0e1")</f>
        <v>https://tessa.gazprom-neft.local/edo/card/903bb47f-3bf4-4b41-b590-b9f076ddd0e1</v>
      </c>
    </row>
    <row r="161" spans="1:45" x14ac:dyDescent="0.25">
      <c r="A161" s="6" t="s">
        <v>44</v>
      </c>
      <c r="B161" s="7" t="s">
        <v>3149</v>
      </c>
      <c r="C161" s="7" t="s">
        <v>67</v>
      </c>
      <c r="D161" s="8">
        <v>45567</v>
      </c>
      <c r="E161" s="8" t="s">
        <v>0</v>
      </c>
      <c r="F161" s="16" t="s">
        <v>3150</v>
      </c>
      <c r="G161" s="7" t="s">
        <v>3151</v>
      </c>
      <c r="H161" s="7" t="s">
        <v>6731</v>
      </c>
      <c r="I161" s="7" t="s">
        <v>0</v>
      </c>
      <c r="J161" s="7" t="s">
        <v>51</v>
      </c>
      <c r="K161" s="7" t="s">
        <v>85</v>
      </c>
      <c r="L161" s="7" t="s">
        <v>48</v>
      </c>
      <c r="M161" s="7" t="s">
        <v>2128</v>
      </c>
      <c r="N161" s="7" t="s">
        <v>7123</v>
      </c>
      <c r="O161" s="7" t="s">
        <v>0</v>
      </c>
      <c r="P161" s="7" t="s">
        <v>7124</v>
      </c>
      <c r="Q161" s="7" t="s">
        <v>7125</v>
      </c>
      <c r="R161" s="7" t="s">
        <v>2768</v>
      </c>
      <c r="S161" s="7" t="s">
        <v>2768</v>
      </c>
      <c r="T161" s="7" t="s">
        <v>54</v>
      </c>
      <c r="U161" s="7" t="s">
        <v>2769</v>
      </c>
      <c r="V161" s="7" t="s">
        <v>56</v>
      </c>
      <c r="W161" s="7" t="s">
        <v>74</v>
      </c>
      <c r="X161" s="7" t="s">
        <v>103</v>
      </c>
      <c r="Y161" s="8">
        <v>45567</v>
      </c>
      <c r="Z161" s="8">
        <v>46752</v>
      </c>
      <c r="AA161" s="7" t="s">
        <v>6414</v>
      </c>
      <c r="AB161" s="7" t="s">
        <v>130</v>
      </c>
      <c r="AC161" s="7" t="s">
        <v>65</v>
      </c>
      <c r="AD161" s="7" t="s">
        <v>144</v>
      </c>
      <c r="AE161" s="7" t="s">
        <v>0</v>
      </c>
      <c r="AF161" s="7" t="s">
        <v>0</v>
      </c>
      <c r="AG161" s="7" t="s">
        <v>0</v>
      </c>
      <c r="AH161" s="9" t="s">
        <v>0</v>
      </c>
      <c r="AI161" s="9" t="s">
        <v>0</v>
      </c>
      <c r="AJ161" s="9" t="s">
        <v>0</v>
      </c>
      <c r="AK161" s="7" t="s">
        <v>61</v>
      </c>
      <c r="AL161" s="7" t="s">
        <v>61</v>
      </c>
      <c r="AM161" s="7" t="s">
        <v>0</v>
      </c>
      <c r="AN161" s="7" t="s">
        <v>0</v>
      </c>
      <c r="AO161" s="7" t="s">
        <v>0</v>
      </c>
      <c r="AP161" s="7" t="s">
        <v>0</v>
      </c>
      <c r="AQ161" s="7" t="s">
        <v>61</v>
      </c>
      <c r="AR161" s="7" t="s">
        <v>0</v>
      </c>
      <c r="AS161" s="10" t="str">
        <f>HYPERLINK("https://tessa.gazprom-neft.local/edo/card/21a86afe-b1cf-439e-a4d1-9a051c044c19", "https://tessa.gazprom-neft.local/edo/card/21a86afe-b1cf-439e-a4d1-9a051c044c19")</f>
        <v>https://tessa.gazprom-neft.local/edo/card/21a86afe-b1cf-439e-a4d1-9a051c044c19</v>
      </c>
    </row>
    <row r="162" spans="1:45" hidden="1" x14ac:dyDescent="0.25">
      <c r="A162" s="6" t="s">
        <v>44</v>
      </c>
      <c r="B162" s="7" t="s">
        <v>715</v>
      </c>
      <c r="C162" s="7" t="s">
        <v>67</v>
      </c>
      <c r="D162" s="8">
        <v>45566</v>
      </c>
      <c r="E162" s="8" t="s">
        <v>0</v>
      </c>
      <c r="F162" s="16" t="s">
        <v>716</v>
      </c>
      <c r="G162" s="7" t="s">
        <v>717</v>
      </c>
      <c r="H162" s="7" t="s">
        <v>710</v>
      </c>
      <c r="I162" s="7" t="s">
        <v>0</v>
      </c>
      <c r="J162" s="7" t="s">
        <v>6358</v>
      </c>
      <c r="K162" s="7" t="s">
        <v>47</v>
      </c>
      <c r="L162" s="7" t="s">
        <v>709</v>
      </c>
      <c r="M162" s="7" t="s">
        <v>0</v>
      </c>
      <c r="N162" s="7" t="s">
        <v>6492</v>
      </c>
      <c r="O162" s="7" t="s">
        <v>0</v>
      </c>
      <c r="P162" s="7" t="s">
        <v>6493</v>
      </c>
      <c r="Q162" s="7" t="s">
        <v>5334</v>
      </c>
      <c r="R162" s="7" t="s">
        <v>714</v>
      </c>
      <c r="S162" s="7" t="s">
        <v>0</v>
      </c>
      <c r="T162" s="7" t="s">
        <v>54</v>
      </c>
      <c r="U162" s="7" t="s">
        <v>101</v>
      </c>
      <c r="V162" s="7" t="s">
        <v>308</v>
      </c>
      <c r="W162" s="7" t="s">
        <v>74</v>
      </c>
      <c r="X162" s="7" t="s">
        <v>103</v>
      </c>
      <c r="Y162" s="8">
        <v>45566</v>
      </c>
      <c r="Z162" s="8">
        <v>45654</v>
      </c>
      <c r="AA162" s="7" t="s">
        <v>6222</v>
      </c>
      <c r="AB162" s="7" t="s">
        <v>64</v>
      </c>
      <c r="AC162" s="7" t="s">
        <v>79</v>
      </c>
      <c r="AD162" s="7" t="s">
        <v>144</v>
      </c>
      <c r="AE162" s="7" t="s">
        <v>82</v>
      </c>
      <c r="AF162" s="7" t="s">
        <v>0</v>
      </c>
      <c r="AG162" s="7" t="s">
        <v>0</v>
      </c>
      <c r="AH162" s="9" t="s">
        <v>12858</v>
      </c>
      <c r="AI162" s="9" t="s">
        <v>12859</v>
      </c>
      <c r="AJ162" s="9" t="s">
        <v>12860</v>
      </c>
      <c r="AK162" s="7" t="s">
        <v>61</v>
      </c>
      <c r="AL162" s="7" t="s">
        <v>61</v>
      </c>
      <c r="AM162" s="7" t="s">
        <v>0</v>
      </c>
      <c r="AN162" s="7" t="s">
        <v>0</v>
      </c>
      <c r="AO162" s="7" t="s">
        <v>0</v>
      </c>
      <c r="AP162" s="7" t="s">
        <v>0</v>
      </c>
      <c r="AQ162" s="7" t="s">
        <v>61</v>
      </c>
      <c r="AR162" s="7" t="s">
        <v>0</v>
      </c>
      <c r="AS162" s="10" t="str">
        <f>HYPERLINK("https://tessa.gazprom-neft.local/edo/card/decb072b-e054-4761-af53-6bec96737b5f", "https://tessa.gazprom-neft.local/edo/card/decb072b-e054-4761-af53-6bec96737b5f")</f>
        <v>https://tessa.gazprom-neft.local/edo/card/decb072b-e054-4761-af53-6bec96737b5f</v>
      </c>
    </row>
    <row r="163" spans="1:45" hidden="1" x14ac:dyDescent="0.25">
      <c r="A163" s="6" t="s">
        <v>44</v>
      </c>
      <c r="B163" s="7" t="s">
        <v>715</v>
      </c>
      <c r="C163" s="7" t="s">
        <v>67</v>
      </c>
      <c r="D163" s="8">
        <v>45566</v>
      </c>
      <c r="E163" s="8" t="s">
        <v>0</v>
      </c>
      <c r="F163" s="16" t="s">
        <v>716</v>
      </c>
      <c r="G163" s="7" t="s">
        <v>717</v>
      </c>
      <c r="H163" s="7" t="s">
        <v>710</v>
      </c>
      <c r="I163" s="7" t="s">
        <v>0</v>
      </c>
      <c r="J163" s="7" t="s">
        <v>2667</v>
      </c>
      <c r="K163" s="7" t="s">
        <v>47</v>
      </c>
      <c r="L163" s="7" t="s">
        <v>709</v>
      </c>
      <c r="M163" s="7" t="s">
        <v>0</v>
      </c>
      <c r="N163" s="7" t="s">
        <v>6500</v>
      </c>
      <c r="O163" s="7" t="s">
        <v>0</v>
      </c>
      <c r="P163" s="7" t="s">
        <v>6501</v>
      </c>
      <c r="Q163" s="7" t="s">
        <v>6502</v>
      </c>
      <c r="R163" s="7" t="s">
        <v>714</v>
      </c>
      <c r="S163" s="7" t="s">
        <v>714</v>
      </c>
      <c r="T163" s="7" t="s">
        <v>54</v>
      </c>
      <c r="U163" s="7" t="s">
        <v>101</v>
      </c>
      <c r="V163" s="7" t="s">
        <v>308</v>
      </c>
      <c r="W163" s="7" t="s">
        <v>74</v>
      </c>
      <c r="X163" s="7" t="s">
        <v>103</v>
      </c>
      <c r="Y163" s="8">
        <v>45566</v>
      </c>
      <c r="Z163" s="8">
        <v>45654</v>
      </c>
      <c r="AA163" s="7" t="s">
        <v>6222</v>
      </c>
      <c r="AB163" s="7" t="s">
        <v>64</v>
      </c>
      <c r="AC163" s="7" t="s">
        <v>79</v>
      </c>
      <c r="AD163" s="7" t="s">
        <v>144</v>
      </c>
      <c r="AE163" s="7" t="s">
        <v>82</v>
      </c>
      <c r="AF163" s="7" t="s">
        <v>0</v>
      </c>
      <c r="AG163" s="7" t="s">
        <v>0</v>
      </c>
      <c r="AH163" s="9" t="s">
        <v>12864</v>
      </c>
      <c r="AI163" s="9" t="s">
        <v>12865</v>
      </c>
      <c r="AJ163" s="9" t="s">
        <v>12866</v>
      </c>
      <c r="AK163" s="7" t="s">
        <v>61</v>
      </c>
      <c r="AL163" s="7" t="s">
        <v>61</v>
      </c>
      <c r="AM163" s="7" t="s">
        <v>0</v>
      </c>
      <c r="AN163" s="7" t="s">
        <v>0</v>
      </c>
      <c r="AO163" s="7" t="s">
        <v>0</v>
      </c>
      <c r="AP163" s="7" t="s">
        <v>0</v>
      </c>
      <c r="AQ163" s="7" t="s">
        <v>61</v>
      </c>
      <c r="AR163" s="7" t="s">
        <v>0</v>
      </c>
      <c r="AS163" s="10" t="str">
        <f>HYPERLINK("https://tessa.gazprom-neft.local/edo/card/050d2336-859e-40e4-942b-e078ef432f04", "https://tessa.gazprom-neft.local/edo/card/050d2336-859e-40e4-942b-e078ef432f04")</f>
        <v>https://tessa.gazprom-neft.local/edo/card/050d2336-859e-40e4-942b-e078ef432f04</v>
      </c>
    </row>
    <row r="164" spans="1:45" hidden="1" x14ac:dyDescent="0.25">
      <c r="A164" s="6" t="s">
        <v>44</v>
      </c>
      <c r="B164" s="7" t="s">
        <v>715</v>
      </c>
      <c r="C164" s="7" t="s">
        <v>67</v>
      </c>
      <c r="D164" s="8">
        <v>45566</v>
      </c>
      <c r="E164" s="8" t="s">
        <v>0</v>
      </c>
      <c r="F164" s="16" t="s">
        <v>716</v>
      </c>
      <c r="G164" s="7" t="s">
        <v>717</v>
      </c>
      <c r="H164" s="7" t="s">
        <v>710</v>
      </c>
      <c r="I164" s="7" t="s">
        <v>0</v>
      </c>
      <c r="J164" s="7" t="s">
        <v>51</v>
      </c>
      <c r="K164" s="7" t="s">
        <v>47</v>
      </c>
      <c r="L164" s="7" t="s">
        <v>389</v>
      </c>
      <c r="M164" s="7" t="s">
        <v>0</v>
      </c>
      <c r="N164" s="7" t="s">
        <v>6512</v>
      </c>
      <c r="O164" s="7" t="s">
        <v>1132</v>
      </c>
      <c r="P164" s="7" t="s">
        <v>6513</v>
      </c>
      <c r="Q164" s="7" t="s">
        <v>6127</v>
      </c>
      <c r="R164" s="7" t="s">
        <v>714</v>
      </c>
      <c r="S164" s="7" t="s">
        <v>714</v>
      </c>
      <c r="T164" s="7" t="s">
        <v>54</v>
      </c>
      <c r="U164" s="7" t="s">
        <v>101</v>
      </c>
      <c r="V164" s="7" t="s">
        <v>308</v>
      </c>
      <c r="W164" s="7" t="s">
        <v>74</v>
      </c>
      <c r="X164" s="7" t="s">
        <v>103</v>
      </c>
      <c r="Y164" s="8">
        <v>45536</v>
      </c>
      <c r="Z164" s="8">
        <v>45567</v>
      </c>
      <c r="AA164" s="7" t="s">
        <v>6222</v>
      </c>
      <c r="AB164" s="7" t="s">
        <v>64</v>
      </c>
      <c r="AC164" s="7" t="s">
        <v>79</v>
      </c>
      <c r="AD164" s="7" t="s">
        <v>144</v>
      </c>
      <c r="AE164" s="7" t="s">
        <v>82</v>
      </c>
      <c r="AF164" s="7" t="s">
        <v>0</v>
      </c>
      <c r="AG164" s="7" t="s">
        <v>0</v>
      </c>
      <c r="AH164" s="9" t="s">
        <v>12870</v>
      </c>
      <c r="AI164" s="9" t="s">
        <v>12871</v>
      </c>
      <c r="AJ164" s="9" t="s">
        <v>12872</v>
      </c>
      <c r="AK164" s="7" t="s">
        <v>61</v>
      </c>
      <c r="AL164" s="7" t="s">
        <v>61</v>
      </c>
      <c r="AM164" s="7" t="s">
        <v>0</v>
      </c>
      <c r="AN164" s="7" t="s">
        <v>0</v>
      </c>
      <c r="AO164" s="7" t="s">
        <v>0</v>
      </c>
      <c r="AP164" s="7" t="s">
        <v>0</v>
      </c>
      <c r="AQ164" s="7" t="s">
        <v>61</v>
      </c>
      <c r="AR164" s="7" t="s">
        <v>0</v>
      </c>
      <c r="AS164" s="10" t="str">
        <f>HYPERLINK("https://tessa.gazprom-neft.local/edo/card/aaef30e6-9e35-427b-b6d3-bbc26fab4bee", "https://tessa.gazprom-neft.local/edo/card/aaef30e6-9e35-427b-b6d3-bbc26fab4bee")</f>
        <v>https://tessa.gazprom-neft.local/edo/card/aaef30e6-9e35-427b-b6d3-bbc26fab4bee</v>
      </c>
    </row>
    <row r="165" spans="1:45" hidden="1" x14ac:dyDescent="0.25">
      <c r="A165" s="6" t="s">
        <v>44</v>
      </c>
      <c r="B165" s="7" t="s">
        <v>6930</v>
      </c>
      <c r="C165" s="7" t="s">
        <v>67</v>
      </c>
      <c r="D165" s="8">
        <v>45566</v>
      </c>
      <c r="E165" s="8" t="s">
        <v>0</v>
      </c>
      <c r="F165" s="16" t="s">
        <v>6931</v>
      </c>
      <c r="G165" s="7" t="s">
        <v>6932</v>
      </c>
      <c r="H165" s="7" t="s">
        <v>0</v>
      </c>
      <c r="I165" s="7" t="s">
        <v>6928</v>
      </c>
      <c r="J165" s="7" t="s">
        <v>6928</v>
      </c>
      <c r="K165" s="7" t="s">
        <v>47</v>
      </c>
      <c r="L165" s="7" t="s">
        <v>96</v>
      </c>
      <c r="M165" s="7" t="s">
        <v>0</v>
      </c>
      <c r="N165" s="7" t="s">
        <v>6927</v>
      </c>
      <c r="O165" s="7" t="s">
        <v>0</v>
      </c>
      <c r="P165" s="7" t="s">
        <v>6313</v>
      </c>
      <c r="Q165" s="7" t="s">
        <v>6929</v>
      </c>
      <c r="R165" s="7" t="s">
        <v>1199</v>
      </c>
      <c r="S165" s="7" t="s">
        <v>1199</v>
      </c>
      <c r="T165" s="7" t="s">
        <v>54</v>
      </c>
      <c r="U165" s="7" t="s">
        <v>605</v>
      </c>
      <c r="V165" s="7" t="s">
        <v>126</v>
      </c>
      <c r="W165" s="7" t="s">
        <v>57</v>
      </c>
      <c r="X165" s="7" t="s">
        <v>103</v>
      </c>
      <c r="Y165" s="8">
        <v>45566</v>
      </c>
      <c r="Z165" s="8">
        <v>45901</v>
      </c>
      <c r="AA165" s="7" t="s">
        <v>200</v>
      </c>
      <c r="AB165" s="7" t="s">
        <v>1203</v>
      </c>
      <c r="AC165" s="7" t="s">
        <v>79</v>
      </c>
      <c r="AD165" s="7" t="s">
        <v>80</v>
      </c>
      <c r="AE165" s="7" t="s">
        <v>82</v>
      </c>
      <c r="AF165" s="7" t="s">
        <v>0</v>
      </c>
      <c r="AG165" s="7" t="s">
        <v>0</v>
      </c>
      <c r="AH165" s="9" t="s">
        <v>13007</v>
      </c>
      <c r="AI165" s="9" t="s">
        <v>13008</v>
      </c>
      <c r="AJ165" s="9" t="s">
        <v>13009</v>
      </c>
      <c r="AK165" s="7" t="s">
        <v>61</v>
      </c>
      <c r="AL165" s="7" t="s">
        <v>61</v>
      </c>
      <c r="AM165" s="7" t="s">
        <v>0</v>
      </c>
      <c r="AN165" s="7" t="s">
        <v>0</v>
      </c>
      <c r="AO165" s="7" t="s">
        <v>0</v>
      </c>
      <c r="AP165" s="7" t="s">
        <v>0</v>
      </c>
      <c r="AQ165" s="7" t="s">
        <v>61</v>
      </c>
      <c r="AR165" s="7" t="s">
        <v>0</v>
      </c>
      <c r="AS165" s="10" t="str">
        <f>HYPERLINK("https://tessa.gazprom-neft.local/edo/card/9c13b1ad-8b41-474f-b370-0485599f6b6d", "https://tessa.gazprom-neft.local/edo/card/9c13b1ad-8b41-474f-b370-0485599f6b6d")</f>
        <v>https://tessa.gazprom-neft.local/edo/card/9c13b1ad-8b41-474f-b370-0485599f6b6d</v>
      </c>
    </row>
    <row r="166" spans="1:45" hidden="1" x14ac:dyDescent="0.25">
      <c r="A166" s="6" t="s">
        <v>44</v>
      </c>
      <c r="B166" s="7" t="s">
        <v>6930</v>
      </c>
      <c r="C166" s="7" t="s">
        <v>67</v>
      </c>
      <c r="D166" s="8">
        <v>45566</v>
      </c>
      <c r="E166" s="8" t="s">
        <v>0</v>
      </c>
      <c r="F166" s="16" t="s">
        <v>6931</v>
      </c>
      <c r="G166" s="7" t="s">
        <v>6932</v>
      </c>
      <c r="H166" s="7" t="s">
        <v>0</v>
      </c>
      <c r="I166" s="7" t="s">
        <v>6956</v>
      </c>
      <c r="J166" s="7" t="s">
        <v>6956</v>
      </c>
      <c r="K166" s="7" t="s">
        <v>47</v>
      </c>
      <c r="L166" s="7" t="s">
        <v>96</v>
      </c>
      <c r="M166" s="7" t="s">
        <v>0</v>
      </c>
      <c r="N166" s="7" t="s">
        <v>6955</v>
      </c>
      <c r="O166" s="7" t="s">
        <v>0</v>
      </c>
      <c r="P166" s="7" t="s">
        <v>4723</v>
      </c>
      <c r="Q166" s="7" t="s">
        <v>6929</v>
      </c>
      <c r="R166" s="7" t="s">
        <v>1199</v>
      </c>
      <c r="S166" s="7" t="s">
        <v>1199</v>
      </c>
      <c r="T166" s="7" t="s">
        <v>54</v>
      </c>
      <c r="U166" s="7" t="s">
        <v>605</v>
      </c>
      <c r="V166" s="7" t="s">
        <v>126</v>
      </c>
      <c r="W166" s="7" t="s">
        <v>57</v>
      </c>
      <c r="X166" s="7" t="s">
        <v>103</v>
      </c>
      <c r="Y166" s="8">
        <v>45566</v>
      </c>
      <c r="Z166" s="8">
        <v>45901</v>
      </c>
      <c r="AA166" s="7" t="s">
        <v>200</v>
      </c>
      <c r="AB166" s="7" t="s">
        <v>1203</v>
      </c>
      <c r="AC166" s="7" t="s">
        <v>79</v>
      </c>
      <c r="AD166" s="7" t="s">
        <v>80</v>
      </c>
      <c r="AE166" s="7" t="s">
        <v>82</v>
      </c>
      <c r="AF166" s="7" t="s">
        <v>0</v>
      </c>
      <c r="AG166" s="7" t="s">
        <v>0</v>
      </c>
      <c r="AH166" s="9" t="s">
        <v>13012</v>
      </c>
      <c r="AI166" s="9" t="s">
        <v>13013</v>
      </c>
      <c r="AJ166" s="9" t="s">
        <v>13014</v>
      </c>
      <c r="AK166" s="7" t="s">
        <v>61</v>
      </c>
      <c r="AL166" s="7" t="s">
        <v>61</v>
      </c>
      <c r="AM166" s="7" t="s">
        <v>0</v>
      </c>
      <c r="AN166" s="7" t="s">
        <v>0</v>
      </c>
      <c r="AO166" s="7" t="s">
        <v>0</v>
      </c>
      <c r="AP166" s="7" t="s">
        <v>0</v>
      </c>
      <c r="AQ166" s="7" t="s">
        <v>61</v>
      </c>
      <c r="AR166" s="7" t="s">
        <v>0</v>
      </c>
      <c r="AS166" s="10" t="str">
        <f>HYPERLINK("https://tessa.gazprom-neft.local/edo/card/5461ad99-6fb8-4bcb-a48d-70e39d2c6d34", "https://tessa.gazprom-neft.local/edo/card/5461ad99-6fb8-4bcb-a48d-70e39d2c6d34")</f>
        <v>https://tessa.gazprom-neft.local/edo/card/5461ad99-6fb8-4bcb-a48d-70e39d2c6d34</v>
      </c>
    </row>
    <row r="167" spans="1:45" hidden="1" x14ac:dyDescent="0.25">
      <c r="A167" s="6" t="s">
        <v>44</v>
      </c>
      <c r="B167" s="7" t="s">
        <v>6983</v>
      </c>
      <c r="C167" s="7" t="s">
        <v>67</v>
      </c>
      <c r="D167" s="8">
        <v>45566</v>
      </c>
      <c r="E167" s="8" t="s">
        <v>0</v>
      </c>
      <c r="F167" s="16" t="s">
        <v>6984</v>
      </c>
      <c r="G167" s="7" t="s">
        <v>6985</v>
      </c>
      <c r="H167" s="7" t="s">
        <v>0</v>
      </c>
      <c r="I167" s="7" t="s">
        <v>6981</v>
      </c>
      <c r="J167" s="7" t="s">
        <v>6981</v>
      </c>
      <c r="K167" s="7" t="s">
        <v>47</v>
      </c>
      <c r="L167" s="7" t="s">
        <v>86</v>
      </c>
      <c r="M167" s="7" t="s">
        <v>0</v>
      </c>
      <c r="N167" s="7" t="s">
        <v>6980</v>
      </c>
      <c r="O167" s="7" t="s">
        <v>0</v>
      </c>
      <c r="P167" s="7" t="s">
        <v>3661</v>
      </c>
      <c r="Q167" s="7" t="s">
        <v>6982</v>
      </c>
      <c r="R167" s="7" t="s">
        <v>1199</v>
      </c>
      <c r="S167" s="7" t="s">
        <v>1199</v>
      </c>
      <c r="T167" s="7" t="s">
        <v>54</v>
      </c>
      <c r="U167" s="7" t="s">
        <v>605</v>
      </c>
      <c r="V167" s="7" t="s">
        <v>126</v>
      </c>
      <c r="W167" s="7" t="s">
        <v>57</v>
      </c>
      <c r="X167" s="7" t="s">
        <v>58</v>
      </c>
      <c r="Y167" s="8">
        <v>45559</v>
      </c>
      <c r="Z167" s="8" t="s">
        <v>0</v>
      </c>
      <c r="AA167" s="7" t="s">
        <v>200</v>
      </c>
      <c r="AB167" s="7" t="s">
        <v>3666</v>
      </c>
      <c r="AC167" s="7" t="s">
        <v>79</v>
      </c>
      <c r="AD167" s="7" t="s">
        <v>80</v>
      </c>
      <c r="AE167" s="7" t="s">
        <v>193</v>
      </c>
      <c r="AF167" s="7" t="s">
        <v>0</v>
      </c>
      <c r="AG167" s="7" t="s">
        <v>0</v>
      </c>
      <c r="AH167" s="9" t="s">
        <v>13022</v>
      </c>
      <c r="AI167" s="9" t="s">
        <v>13023</v>
      </c>
      <c r="AJ167" s="9" t="s">
        <v>13024</v>
      </c>
      <c r="AK167" s="7" t="s">
        <v>61</v>
      </c>
      <c r="AL167" s="7" t="s">
        <v>61</v>
      </c>
      <c r="AM167" s="7" t="s">
        <v>0</v>
      </c>
      <c r="AN167" s="7" t="s">
        <v>0</v>
      </c>
      <c r="AO167" s="7" t="s">
        <v>0</v>
      </c>
      <c r="AP167" s="7" t="s">
        <v>0</v>
      </c>
      <c r="AQ167" s="7" t="s">
        <v>61</v>
      </c>
      <c r="AR167" s="7" t="s">
        <v>0</v>
      </c>
      <c r="AS167" s="10" t="str">
        <f>HYPERLINK("https://tessa.gazprom-neft.local/edo/card/17be13be-4332-4f78-ae82-2e5f810e329f", "https://tessa.gazprom-neft.local/edo/card/17be13be-4332-4f78-ae82-2e5f810e329f")</f>
        <v>https://tessa.gazprom-neft.local/edo/card/17be13be-4332-4f78-ae82-2e5f810e329f</v>
      </c>
    </row>
    <row r="168" spans="1:45" hidden="1" x14ac:dyDescent="0.25">
      <c r="A168" s="6" t="s">
        <v>44</v>
      </c>
      <c r="B168" s="7" t="s">
        <v>6930</v>
      </c>
      <c r="C168" s="7" t="s">
        <v>67</v>
      </c>
      <c r="D168" s="8">
        <v>45566</v>
      </c>
      <c r="E168" s="8" t="s">
        <v>0</v>
      </c>
      <c r="F168" s="16" t="s">
        <v>6931</v>
      </c>
      <c r="G168" s="7" t="s">
        <v>6932</v>
      </c>
      <c r="H168" s="7" t="s">
        <v>0</v>
      </c>
      <c r="I168" s="7" t="s">
        <v>7031</v>
      </c>
      <c r="J168" s="7" t="s">
        <v>7031</v>
      </c>
      <c r="K168" s="7" t="s">
        <v>47</v>
      </c>
      <c r="L168" s="7" t="s">
        <v>86</v>
      </c>
      <c r="M168" s="7" t="s">
        <v>0</v>
      </c>
      <c r="N168" s="7" t="s">
        <v>7030</v>
      </c>
      <c r="O168" s="7" t="s">
        <v>0</v>
      </c>
      <c r="P168" s="7" t="s">
        <v>3661</v>
      </c>
      <c r="Q168" s="7" t="s">
        <v>7032</v>
      </c>
      <c r="R168" s="7" t="s">
        <v>1199</v>
      </c>
      <c r="S168" s="7" t="s">
        <v>1199</v>
      </c>
      <c r="T168" s="7" t="s">
        <v>54</v>
      </c>
      <c r="U168" s="7" t="s">
        <v>605</v>
      </c>
      <c r="V168" s="7" t="s">
        <v>126</v>
      </c>
      <c r="W168" s="7" t="s">
        <v>57</v>
      </c>
      <c r="X168" s="7" t="s">
        <v>58</v>
      </c>
      <c r="Y168" s="8">
        <v>45562</v>
      </c>
      <c r="Z168" s="8" t="s">
        <v>0</v>
      </c>
      <c r="AA168" s="7" t="s">
        <v>200</v>
      </c>
      <c r="AB168" s="7" t="s">
        <v>3666</v>
      </c>
      <c r="AC168" s="7" t="s">
        <v>79</v>
      </c>
      <c r="AD168" s="7" t="s">
        <v>80</v>
      </c>
      <c r="AE168" s="7" t="s">
        <v>82</v>
      </c>
      <c r="AF168" s="7" t="s">
        <v>0</v>
      </c>
      <c r="AG168" s="7" t="s">
        <v>0</v>
      </c>
      <c r="AH168" s="9" t="s">
        <v>13040</v>
      </c>
      <c r="AI168" s="9" t="s">
        <v>13041</v>
      </c>
      <c r="AJ168" s="9" t="s">
        <v>13042</v>
      </c>
      <c r="AK168" s="7" t="s">
        <v>61</v>
      </c>
      <c r="AL168" s="7" t="s">
        <v>61</v>
      </c>
      <c r="AM168" s="7" t="s">
        <v>0</v>
      </c>
      <c r="AN168" s="7" t="s">
        <v>0</v>
      </c>
      <c r="AO168" s="7" t="s">
        <v>0</v>
      </c>
      <c r="AP168" s="7" t="s">
        <v>0</v>
      </c>
      <c r="AQ168" s="7" t="s">
        <v>61</v>
      </c>
      <c r="AR168" s="7" t="s">
        <v>0</v>
      </c>
      <c r="AS168" s="10" t="str">
        <f>HYPERLINK("https://tessa.gazprom-neft.local/edo/card/67e08163-c530-47d2-853c-9d2420edacd5", "https://tessa.gazprom-neft.local/edo/card/67e08163-c530-47d2-853c-9d2420edacd5")</f>
        <v>https://tessa.gazprom-neft.local/edo/card/67e08163-c530-47d2-853c-9d2420edacd5</v>
      </c>
    </row>
    <row r="169" spans="1:45" x14ac:dyDescent="0.25">
      <c r="A169" s="6" t="s">
        <v>44</v>
      </c>
      <c r="B169" s="7" t="s">
        <v>927</v>
      </c>
      <c r="C169" s="7" t="s">
        <v>67</v>
      </c>
      <c r="D169" s="8">
        <v>45566</v>
      </c>
      <c r="E169" s="8">
        <v>46022</v>
      </c>
      <c r="F169" s="16" t="s">
        <v>928</v>
      </c>
      <c r="G169" s="7" t="s">
        <v>929</v>
      </c>
      <c r="H169" s="7" t="s">
        <v>924</v>
      </c>
      <c r="I169" s="7" t="s">
        <v>0</v>
      </c>
      <c r="J169" s="7" t="s">
        <v>156</v>
      </c>
      <c r="K169" s="7" t="s">
        <v>47</v>
      </c>
      <c r="L169" s="7" t="s">
        <v>48</v>
      </c>
      <c r="M169" s="7" t="s">
        <v>0</v>
      </c>
      <c r="N169" s="7" t="s">
        <v>7097</v>
      </c>
      <c r="O169" s="7" t="s">
        <v>0</v>
      </c>
      <c r="P169" s="7" t="s">
        <v>7098</v>
      </c>
      <c r="Q169" s="7" t="s">
        <v>7099</v>
      </c>
      <c r="R169" s="7" t="s">
        <v>393</v>
      </c>
      <c r="S169" s="7" t="s">
        <v>209</v>
      </c>
      <c r="T169" s="7" t="s">
        <v>54</v>
      </c>
      <c r="U169" s="7" t="s">
        <v>210</v>
      </c>
      <c r="V169" s="7" t="s">
        <v>126</v>
      </c>
      <c r="W169" s="7" t="s">
        <v>74</v>
      </c>
      <c r="X169" s="7" t="s">
        <v>103</v>
      </c>
      <c r="Y169" s="8">
        <v>45566</v>
      </c>
      <c r="Z169" s="8">
        <v>46022</v>
      </c>
      <c r="AA169" s="7" t="s">
        <v>5596</v>
      </c>
      <c r="AB169" s="7" t="s">
        <v>130</v>
      </c>
      <c r="AC169" s="7" t="s">
        <v>65</v>
      </c>
      <c r="AD169" s="7" t="s">
        <v>0</v>
      </c>
      <c r="AE169" s="7" t="s">
        <v>0</v>
      </c>
      <c r="AF169" s="7" t="s">
        <v>0</v>
      </c>
      <c r="AG169" s="7" t="s">
        <v>0</v>
      </c>
      <c r="AH169" s="9" t="s">
        <v>0</v>
      </c>
      <c r="AI169" s="9" t="s">
        <v>0</v>
      </c>
      <c r="AJ169" s="9" t="s">
        <v>0</v>
      </c>
      <c r="AK169" s="7" t="s">
        <v>61</v>
      </c>
      <c r="AL169" s="7" t="s">
        <v>61</v>
      </c>
      <c r="AM169" s="7" t="s">
        <v>0</v>
      </c>
      <c r="AN169" s="7" t="s">
        <v>0</v>
      </c>
      <c r="AO169" s="7" t="s">
        <v>0</v>
      </c>
      <c r="AP169" s="7" t="s">
        <v>0</v>
      </c>
      <c r="AQ169" s="7" t="s">
        <v>61</v>
      </c>
      <c r="AR169" s="7" t="s">
        <v>0</v>
      </c>
      <c r="AS169" s="10" t="str">
        <f>HYPERLINK("https://tessa.gazprom-neft.local/edo/card/ddac12f2-d8b5-4539-8ba2-d7d22b749d16", "https://tessa.gazprom-neft.local/edo/card/ddac12f2-d8b5-4539-8ba2-d7d22b749d16")</f>
        <v>https://tessa.gazprom-neft.local/edo/card/ddac12f2-d8b5-4539-8ba2-d7d22b749d16</v>
      </c>
    </row>
    <row r="170" spans="1:45" x14ac:dyDescent="0.25">
      <c r="A170" s="6" t="s">
        <v>44</v>
      </c>
      <c r="B170" s="7" t="s">
        <v>830</v>
      </c>
      <c r="C170" s="7" t="s">
        <v>67</v>
      </c>
      <c r="D170" s="8">
        <v>45566</v>
      </c>
      <c r="E170" s="8" t="s">
        <v>0</v>
      </c>
      <c r="F170" s="16" t="s">
        <v>831</v>
      </c>
      <c r="G170" s="7" t="s">
        <v>832</v>
      </c>
      <c r="H170" s="7" t="s">
        <v>825</v>
      </c>
      <c r="I170" s="7" t="s">
        <v>0</v>
      </c>
      <c r="J170" s="7" t="s">
        <v>156</v>
      </c>
      <c r="K170" s="7" t="s">
        <v>47</v>
      </c>
      <c r="L170" s="7" t="s">
        <v>48</v>
      </c>
      <c r="M170" s="7" t="s">
        <v>0</v>
      </c>
      <c r="N170" s="7" t="s">
        <v>7109</v>
      </c>
      <c r="O170" s="7" t="s">
        <v>0</v>
      </c>
      <c r="P170" s="7" t="s">
        <v>7110</v>
      </c>
      <c r="Q170" s="7" t="s">
        <v>7111</v>
      </c>
      <c r="R170" s="7" t="s">
        <v>828</v>
      </c>
      <c r="S170" s="7" t="s">
        <v>828</v>
      </c>
      <c r="T170" s="7" t="s">
        <v>54</v>
      </c>
      <c r="U170" s="7" t="s">
        <v>188</v>
      </c>
      <c r="V170" s="7" t="s">
        <v>187</v>
      </c>
      <c r="W170" s="7" t="s">
        <v>57</v>
      </c>
      <c r="X170" s="7" t="s">
        <v>103</v>
      </c>
      <c r="Y170" s="8">
        <v>45566</v>
      </c>
      <c r="Z170" s="8">
        <v>46022</v>
      </c>
      <c r="AA170" s="7" t="s">
        <v>224</v>
      </c>
      <c r="AB170" s="7" t="s">
        <v>64</v>
      </c>
      <c r="AC170" s="7" t="s">
        <v>79</v>
      </c>
      <c r="AD170" s="7" t="s">
        <v>80</v>
      </c>
      <c r="AE170" s="7" t="s">
        <v>82</v>
      </c>
      <c r="AF170" s="7" t="s">
        <v>0</v>
      </c>
      <c r="AG170" s="7" t="s">
        <v>0</v>
      </c>
      <c r="AH170" s="9" t="s">
        <v>13068</v>
      </c>
      <c r="AI170" s="9" t="s">
        <v>13069</v>
      </c>
      <c r="AJ170" s="9" t="s">
        <v>13070</v>
      </c>
      <c r="AK170" s="7" t="s">
        <v>61</v>
      </c>
      <c r="AL170" s="7" t="s">
        <v>81</v>
      </c>
      <c r="AM170" s="7" t="s">
        <v>872</v>
      </c>
      <c r="AN170" s="7" t="s">
        <v>7112</v>
      </c>
      <c r="AO170" s="7" t="s">
        <v>0</v>
      </c>
      <c r="AP170" s="7" t="s">
        <v>0</v>
      </c>
      <c r="AQ170" s="7" t="s">
        <v>61</v>
      </c>
      <c r="AR170" s="7" t="s">
        <v>0</v>
      </c>
      <c r="AS170" s="10" t="str">
        <f>HYPERLINK("https://tessa.gazprom-neft.local/edo/card/0b21c737-6181-4a4f-be2c-6bd1ce5e80f6", "https://tessa.gazprom-neft.local/edo/card/0b21c737-6181-4a4f-be2c-6bd1ce5e80f6")</f>
        <v>https://tessa.gazprom-neft.local/edo/card/0b21c737-6181-4a4f-be2c-6bd1ce5e80f6</v>
      </c>
    </row>
    <row r="171" spans="1:45" x14ac:dyDescent="0.25">
      <c r="A171" s="6" t="s">
        <v>44</v>
      </c>
      <c r="B171" s="7" t="s">
        <v>852</v>
      </c>
      <c r="C171" s="7" t="s">
        <v>67</v>
      </c>
      <c r="D171" s="8">
        <v>45566</v>
      </c>
      <c r="E171" s="8" t="s">
        <v>0</v>
      </c>
      <c r="F171" s="16" t="s">
        <v>853</v>
      </c>
      <c r="G171" s="7" t="s">
        <v>854</v>
      </c>
      <c r="H171" s="7" t="s">
        <v>1002</v>
      </c>
      <c r="I171" s="7" t="s">
        <v>0</v>
      </c>
      <c r="J171" s="7" t="s">
        <v>156</v>
      </c>
      <c r="K171" s="7" t="s">
        <v>47</v>
      </c>
      <c r="L171" s="7" t="s">
        <v>48</v>
      </c>
      <c r="M171" s="7" t="s">
        <v>0</v>
      </c>
      <c r="N171" s="7" t="s">
        <v>7129</v>
      </c>
      <c r="O171" s="7" t="s">
        <v>0</v>
      </c>
      <c r="P171" s="7" t="s">
        <v>7130</v>
      </c>
      <c r="Q171" s="7" t="s">
        <v>7131</v>
      </c>
      <c r="R171" s="7" t="s">
        <v>1610</v>
      </c>
      <c r="S171" s="7" t="s">
        <v>308</v>
      </c>
      <c r="T171" s="7" t="s">
        <v>54</v>
      </c>
      <c r="U171" s="7" t="s">
        <v>101</v>
      </c>
      <c r="V171" s="7" t="s">
        <v>168</v>
      </c>
      <c r="W171" s="7" t="s">
        <v>74</v>
      </c>
      <c r="X171" s="7" t="s">
        <v>103</v>
      </c>
      <c r="Y171" s="8">
        <v>45566</v>
      </c>
      <c r="Z171" s="8">
        <v>46387</v>
      </c>
      <c r="AA171" s="7" t="s">
        <v>6728</v>
      </c>
      <c r="AB171" s="7" t="s">
        <v>161</v>
      </c>
      <c r="AC171" s="7" t="s">
        <v>79</v>
      </c>
      <c r="AD171" s="7" t="s">
        <v>80</v>
      </c>
      <c r="AE171" s="7" t="s">
        <v>118</v>
      </c>
      <c r="AF171" s="7" t="s">
        <v>0</v>
      </c>
      <c r="AG171" s="7" t="s">
        <v>0</v>
      </c>
      <c r="AH171" s="9">
        <v>0</v>
      </c>
      <c r="AI171" s="9">
        <v>0</v>
      </c>
      <c r="AJ171" s="9">
        <v>0</v>
      </c>
      <c r="AK171" s="7" t="s">
        <v>61</v>
      </c>
      <c r="AL171" s="7" t="s">
        <v>61</v>
      </c>
      <c r="AM171" s="7" t="s">
        <v>0</v>
      </c>
      <c r="AN171" s="7" t="s">
        <v>0</v>
      </c>
      <c r="AO171" s="7" t="s">
        <v>0</v>
      </c>
      <c r="AP171" s="7" t="s">
        <v>0</v>
      </c>
      <c r="AQ171" s="7" t="s">
        <v>61</v>
      </c>
      <c r="AR171" s="7" t="s">
        <v>0</v>
      </c>
      <c r="AS171" s="10" t="str">
        <f>HYPERLINK("https://tessa.gazprom-neft.local/edo/card/d8e0fe10-a891-4f6a-8e73-d8bc436a4da3", "https://tessa.gazprom-neft.local/edo/card/d8e0fe10-a891-4f6a-8e73-d8bc436a4da3")</f>
        <v>https://tessa.gazprom-neft.local/edo/card/d8e0fe10-a891-4f6a-8e73-d8bc436a4da3</v>
      </c>
    </row>
    <row r="172" spans="1:45" x14ac:dyDescent="0.25">
      <c r="A172" s="6" t="s">
        <v>44</v>
      </c>
      <c r="B172" s="7" t="s">
        <v>265</v>
      </c>
      <c r="C172" s="7" t="s">
        <v>67</v>
      </c>
      <c r="D172" s="8">
        <v>45566</v>
      </c>
      <c r="E172" s="8">
        <v>46022</v>
      </c>
      <c r="F172" s="16" t="s">
        <v>266</v>
      </c>
      <c r="G172" s="7" t="s">
        <v>267</v>
      </c>
      <c r="H172" s="7" t="s">
        <v>261</v>
      </c>
      <c r="I172" s="7" t="s">
        <v>0</v>
      </c>
      <c r="J172" s="7" t="s">
        <v>1428</v>
      </c>
      <c r="K172" s="7" t="s">
        <v>85</v>
      </c>
      <c r="L172" s="7" t="s">
        <v>48</v>
      </c>
      <c r="M172" s="7" t="s">
        <v>5649</v>
      </c>
      <c r="N172" s="7" t="s">
        <v>7358</v>
      </c>
      <c r="O172" s="7" t="s">
        <v>0</v>
      </c>
      <c r="P172" s="7" t="s">
        <v>5649</v>
      </c>
      <c r="Q172" s="7" t="s">
        <v>6716</v>
      </c>
      <c r="R172" s="7" t="s">
        <v>5423</v>
      </c>
      <c r="S172" s="7" t="s">
        <v>5423</v>
      </c>
      <c r="T172" s="7" t="s">
        <v>54</v>
      </c>
      <c r="U172" s="7" t="s">
        <v>199</v>
      </c>
      <c r="V172" s="7" t="s">
        <v>126</v>
      </c>
      <c r="W172" s="7" t="s">
        <v>74</v>
      </c>
      <c r="X172" s="7" t="s">
        <v>58</v>
      </c>
      <c r="Y172" s="8">
        <v>45566</v>
      </c>
      <c r="Z172" s="8" t="s">
        <v>0</v>
      </c>
      <c r="AA172" s="7" t="s">
        <v>5596</v>
      </c>
      <c r="AB172" s="7" t="s">
        <v>2014</v>
      </c>
      <c r="AC172" s="7" t="s">
        <v>79</v>
      </c>
      <c r="AD172" s="7" t="s">
        <v>80</v>
      </c>
      <c r="AE172" s="7" t="s">
        <v>82</v>
      </c>
      <c r="AF172" s="7" t="s">
        <v>0</v>
      </c>
      <c r="AG172" s="7" t="s">
        <v>0</v>
      </c>
      <c r="AH172" s="9">
        <v>0</v>
      </c>
      <c r="AI172" s="9">
        <v>0</v>
      </c>
      <c r="AJ172" s="9">
        <v>0</v>
      </c>
      <c r="AK172" s="7" t="s">
        <v>61</v>
      </c>
      <c r="AL172" s="7" t="s">
        <v>61</v>
      </c>
      <c r="AM172" s="7" t="s">
        <v>0</v>
      </c>
      <c r="AN172" s="7" t="s">
        <v>0</v>
      </c>
      <c r="AO172" s="7" t="s">
        <v>0</v>
      </c>
      <c r="AP172" s="7" t="s">
        <v>0</v>
      </c>
      <c r="AQ172" s="7" t="s">
        <v>61</v>
      </c>
      <c r="AR172" s="7" t="s">
        <v>0</v>
      </c>
      <c r="AS172" s="10" t="str">
        <f>HYPERLINK("https://tessa.gazprom-neft.local/edo/card/f0c0e462-5874-4b15-8443-6bb01cdb4491", "https://tessa.gazprom-neft.local/edo/card/f0c0e462-5874-4b15-8443-6bb01cdb4491")</f>
        <v>https://tessa.gazprom-neft.local/edo/card/f0c0e462-5874-4b15-8443-6bb01cdb4491</v>
      </c>
    </row>
    <row r="173" spans="1:45" x14ac:dyDescent="0.25">
      <c r="A173" s="6" t="s">
        <v>44</v>
      </c>
      <c r="B173" s="7" t="s">
        <v>2724</v>
      </c>
      <c r="C173" s="7" t="s">
        <v>67</v>
      </c>
      <c r="D173" s="8">
        <v>45565</v>
      </c>
      <c r="E173" s="8" t="s">
        <v>0</v>
      </c>
      <c r="F173" s="16" t="s">
        <v>2671</v>
      </c>
      <c r="G173" s="7" t="s">
        <v>2725</v>
      </c>
      <c r="H173" s="7" t="s">
        <v>2672</v>
      </c>
      <c r="I173" s="7" t="s">
        <v>0</v>
      </c>
      <c r="J173" s="7" t="s">
        <v>51</v>
      </c>
      <c r="K173" s="7" t="s">
        <v>47</v>
      </c>
      <c r="L173" s="7" t="s">
        <v>48</v>
      </c>
      <c r="M173" s="7" t="s">
        <v>0</v>
      </c>
      <c r="N173" s="7" t="s">
        <v>6019</v>
      </c>
      <c r="O173" s="7" t="s">
        <v>0</v>
      </c>
      <c r="P173" s="7" t="s">
        <v>6020</v>
      </c>
      <c r="Q173" s="7" t="s">
        <v>6021</v>
      </c>
      <c r="R173" s="7" t="s">
        <v>484</v>
      </c>
      <c r="S173" s="7" t="s">
        <v>484</v>
      </c>
      <c r="T173" s="7" t="s">
        <v>54</v>
      </c>
      <c r="U173" s="7" t="s">
        <v>274</v>
      </c>
      <c r="V173" s="7" t="s">
        <v>846</v>
      </c>
      <c r="W173" s="7" t="s">
        <v>57</v>
      </c>
      <c r="X173" s="7" t="s">
        <v>103</v>
      </c>
      <c r="Y173" s="8">
        <v>45565</v>
      </c>
      <c r="Z173" s="8">
        <v>46022</v>
      </c>
      <c r="AA173" s="7" t="s">
        <v>847</v>
      </c>
      <c r="AB173" s="7" t="s">
        <v>64</v>
      </c>
      <c r="AC173" s="7" t="s">
        <v>65</v>
      </c>
      <c r="AD173" s="7" t="s">
        <v>144</v>
      </c>
      <c r="AE173" s="7" t="s">
        <v>0</v>
      </c>
      <c r="AF173" s="7" t="s">
        <v>0</v>
      </c>
      <c r="AG173" s="7" t="s">
        <v>0</v>
      </c>
      <c r="AH173" s="9" t="s">
        <v>0</v>
      </c>
      <c r="AI173" s="9" t="s">
        <v>0</v>
      </c>
      <c r="AJ173" s="9" t="s">
        <v>0</v>
      </c>
      <c r="AK173" s="7" t="s">
        <v>61</v>
      </c>
      <c r="AL173" s="7" t="s">
        <v>61</v>
      </c>
      <c r="AM173" s="7" t="s">
        <v>0</v>
      </c>
      <c r="AN173" s="7" t="s">
        <v>0</v>
      </c>
      <c r="AO173" s="7" t="s">
        <v>0</v>
      </c>
      <c r="AP173" s="7" t="s">
        <v>0</v>
      </c>
      <c r="AQ173" s="7" t="s">
        <v>61</v>
      </c>
      <c r="AR173" s="7" t="s">
        <v>0</v>
      </c>
      <c r="AS173" s="10" t="str">
        <f>HYPERLINK("https://tessa.gazprom-neft.local/edo/card/13df7e5d-e237-4af3-9697-47795f1dbed9", "https://tessa.gazprom-neft.local/edo/card/13df7e5d-e237-4af3-9697-47795f1dbed9")</f>
        <v>https://tessa.gazprom-neft.local/edo/card/13df7e5d-e237-4af3-9697-47795f1dbed9</v>
      </c>
    </row>
    <row r="174" spans="1:45" hidden="1" x14ac:dyDescent="0.25">
      <c r="A174" s="6" t="s">
        <v>44</v>
      </c>
      <c r="B174" s="7" t="s">
        <v>2001</v>
      </c>
      <c r="C174" s="7" t="s">
        <v>67</v>
      </c>
      <c r="D174" s="8">
        <v>45565</v>
      </c>
      <c r="E174" s="8" t="s">
        <v>0</v>
      </c>
      <c r="F174" s="16" t="s">
        <v>2002</v>
      </c>
      <c r="G174" s="7" t="s">
        <v>2003</v>
      </c>
      <c r="H174" s="7" t="s">
        <v>1998</v>
      </c>
      <c r="I174" s="7" t="s">
        <v>0</v>
      </c>
      <c r="J174" s="7" t="s">
        <v>122</v>
      </c>
      <c r="K174" s="7" t="s">
        <v>47</v>
      </c>
      <c r="L174" s="7" t="s">
        <v>239</v>
      </c>
      <c r="M174" s="7" t="s">
        <v>0</v>
      </c>
      <c r="N174" s="7" t="s">
        <v>7016</v>
      </c>
      <c r="O174" s="7" t="s">
        <v>0</v>
      </c>
      <c r="P174" s="7" t="s">
        <v>7017</v>
      </c>
      <c r="Q174" s="7" t="s">
        <v>7018</v>
      </c>
      <c r="R174" s="7" t="s">
        <v>393</v>
      </c>
      <c r="S174" s="7" t="s">
        <v>1503</v>
      </c>
      <c r="T174" s="7" t="s">
        <v>54</v>
      </c>
      <c r="U174" s="7" t="s">
        <v>283</v>
      </c>
      <c r="V174" s="7" t="s">
        <v>308</v>
      </c>
      <c r="W174" s="7" t="s">
        <v>74</v>
      </c>
      <c r="X174" s="7" t="s">
        <v>103</v>
      </c>
      <c r="Y174" s="8">
        <v>45566</v>
      </c>
      <c r="Z174" s="8">
        <v>45657</v>
      </c>
      <c r="AA174" s="7" t="s">
        <v>6222</v>
      </c>
      <c r="AB174" s="7" t="s">
        <v>130</v>
      </c>
      <c r="AC174" s="7" t="s">
        <v>79</v>
      </c>
      <c r="AD174" s="7" t="s">
        <v>144</v>
      </c>
      <c r="AE174" s="7" t="s">
        <v>82</v>
      </c>
      <c r="AF174" s="7" t="s">
        <v>0</v>
      </c>
      <c r="AG174" s="7" t="s">
        <v>0</v>
      </c>
      <c r="AH174" s="9" t="s">
        <v>13034</v>
      </c>
      <c r="AI174" s="9" t="s">
        <v>13035</v>
      </c>
      <c r="AJ174" s="9" t="s">
        <v>13036</v>
      </c>
      <c r="AK174" s="7" t="s">
        <v>61</v>
      </c>
      <c r="AL174" s="7" t="s">
        <v>61</v>
      </c>
      <c r="AM174" s="7" t="s">
        <v>0</v>
      </c>
      <c r="AN174" s="7" t="s">
        <v>0</v>
      </c>
      <c r="AO174" s="7" t="s">
        <v>0</v>
      </c>
      <c r="AP174" s="7" t="s">
        <v>0</v>
      </c>
      <c r="AQ174" s="7" t="s">
        <v>61</v>
      </c>
      <c r="AR174" s="7" t="s">
        <v>0</v>
      </c>
      <c r="AS174" s="10" t="str">
        <f>HYPERLINK("https://tessa.gazprom-neft.local/edo/card/eff7ab2c-3132-48e9-993a-54649c9a4cc5", "https://tessa.gazprom-neft.local/edo/card/eff7ab2c-3132-48e9-993a-54649c9a4cc5")</f>
        <v>https://tessa.gazprom-neft.local/edo/card/eff7ab2c-3132-48e9-993a-54649c9a4cc5</v>
      </c>
    </row>
    <row r="175" spans="1:45" hidden="1" x14ac:dyDescent="0.25">
      <c r="A175" s="6" t="s">
        <v>44</v>
      </c>
      <c r="B175" s="7" t="s">
        <v>170</v>
      </c>
      <c r="C175" s="7" t="s">
        <v>67</v>
      </c>
      <c r="D175" s="8">
        <v>45565</v>
      </c>
      <c r="E175" s="8" t="s">
        <v>0</v>
      </c>
      <c r="F175" s="16" t="s">
        <v>171</v>
      </c>
      <c r="G175" s="7" t="s">
        <v>172</v>
      </c>
      <c r="H175" s="7" t="s">
        <v>1109</v>
      </c>
      <c r="I175" s="7" t="s">
        <v>0</v>
      </c>
      <c r="J175" s="7" t="s">
        <v>1098</v>
      </c>
      <c r="K175" s="7" t="s">
        <v>47</v>
      </c>
      <c r="L175" s="7" t="s">
        <v>239</v>
      </c>
      <c r="M175" s="7" t="s">
        <v>0</v>
      </c>
      <c r="N175" s="7" t="s">
        <v>7034</v>
      </c>
      <c r="O175" s="7" t="s">
        <v>0</v>
      </c>
      <c r="P175" s="7" t="s">
        <v>7035</v>
      </c>
      <c r="Q175" s="7" t="s">
        <v>7036</v>
      </c>
      <c r="R175" s="7" t="s">
        <v>124</v>
      </c>
      <c r="S175" s="7" t="s">
        <v>166</v>
      </c>
      <c r="T175" s="7" t="s">
        <v>54</v>
      </c>
      <c r="U175" s="7" t="s">
        <v>101</v>
      </c>
      <c r="V175" s="7" t="s">
        <v>168</v>
      </c>
      <c r="W175" s="7" t="s">
        <v>74</v>
      </c>
      <c r="X175" s="7" t="s">
        <v>103</v>
      </c>
      <c r="Y175" s="8">
        <v>45565</v>
      </c>
      <c r="Z175" s="8">
        <v>45657</v>
      </c>
      <c r="AA175" s="7" t="s">
        <v>6728</v>
      </c>
      <c r="AB175" s="7" t="s">
        <v>64</v>
      </c>
      <c r="AC175" s="7" t="s">
        <v>79</v>
      </c>
      <c r="AD175" s="7" t="s">
        <v>80</v>
      </c>
      <c r="AE175" s="7" t="s">
        <v>82</v>
      </c>
      <c r="AF175" s="7" t="s">
        <v>0</v>
      </c>
      <c r="AG175" s="7" t="s">
        <v>0</v>
      </c>
      <c r="AH175" s="9" t="s">
        <v>13043</v>
      </c>
      <c r="AI175" s="9" t="s">
        <v>13044</v>
      </c>
      <c r="AJ175" s="9" t="s">
        <v>13045</v>
      </c>
      <c r="AK175" s="7" t="s">
        <v>61</v>
      </c>
      <c r="AL175" s="7" t="s">
        <v>61</v>
      </c>
      <c r="AM175" s="7" t="s">
        <v>0</v>
      </c>
      <c r="AN175" s="7" t="s">
        <v>0</v>
      </c>
      <c r="AO175" s="7" t="s">
        <v>0</v>
      </c>
      <c r="AP175" s="7" t="s">
        <v>0</v>
      </c>
      <c r="AQ175" s="7" t="s">
        <v>61</v>
      </c>
      <c r="AR175" s="7" t="s">
        <v>0</v>
      </c>
      <c r="AS175" s="10" t="str">
        <f>HYPERLINK("https://tessa.gazprom-neft.local/edo/card/5e8f6aad-944e-4430-86cc-2f41eb78047b", "https://tessa.gazprom-neft.local/edo/card/5e8f6aad-944e-4430-86cc-2f41eb78047b")</f>
        <v>https://tessa.gazprom-neft.local/edo/card/5e8f6aad-944e-4430-86cc-2f41eb78047b</v>
      </c>
    </row>
    <row r="176" spans="1:45" x14ac:dyDescent="0.25">
      <c r="A176" s="6" t="s">
        <v>44</v>
      </c>
      <c r="B176" s="7" t="s">
        <v>1067</v>
      </c>
      <c r="C176" s="7" t="s">
        <v>67</v>
      </c>
      <c r="D176" s="8">
        <v>45562</v>
      </c>
      <c r="E176" s="8" t="s">
        <v>0</v>
      </c>
      <c r="F176" s="16" t="s">
        <v>1068</v>
      </c>
      <c r="G176" s="7" t="s">
        <v>1069</v>
      </c>
      <c r="H176" s="7" t="s">
        <v>4323</v>
      </c>
      <c r="I176" s="7" t="s">
        <v>0</v>
      </c>
      <c r="J176" s="7" t="s">
        <v>872</v>
      </c>
      <c r="K176" s="7" t="s">
        <v>47</v>
      </c>
      <c r="L176" s="7" t="s">
        <v>48</v>
      </c>
      <c r="M176" s="7" t="s">
        <v>0</v>
      </c>
      <c r="N176" s="7" t="s">
        <v>6734</v>
      </c>
      <c r="O176" s="7" t="s">
        <v>0</v>
      </c>
      <c r="P176" s="7" t="s">
        <v>6735</v>
      </c>
      <c r="Q176" s="7" t="s">
        <v>2963</v>
      </c>
      <c r="R176" s="7" t="s">
        <v>1066</v>
      </c>
      <c r="S176" s="7" t="s">
        <v>0</v>
      </c>
      <c r="T176" s="7" t="s">
        <v>54</v>
      </c>
      <c r="U176" s="7" t="s">
        <v>136</v>
      </c>
      <c r="V176" s="7" t="s">
        <v>308</v>
      </c>
      <c r="W176" s="7" t="s">
        <v>74</v>
      </c>
      <c r="X176" s="7" t="s">
        <v>58</v>
      </c>
      <c r="Y176" s="8">
        <v>45562</v>
      </c>
      <c r="Z176" s="8" t="s">
        <v>0</v>
      </c>
      <c r="AA176" s="7" t="s">
        <v>6222</v>
      </c>
      <c r="AB176" s="7" t="s">
        <v>2425</v>
      </c>
      <c r="AC176" s="7" t="s">
        <v>79</v>
      </c>
      <c r="AD176" s="7" t="s">
        <v>144</v>
      </c>
      <c r="AE176" s="7" t="s">
        <v>82</v>
      </c>
      <c r="AF176" s="7" t="s">
        <v>0</v>
      </c>
      <c r="AG176" s="7" t="s">
        <v>0</v>
      </c>
      <c r="AH176" s="9" t="s">
        <v>12017</v>
      </c>
      <c r="AI176" s="9" t="s">
        <v>12018</v>
      </c>
      <c r="AJ176" s="9" t="s">
        <v>12019</v>
      </c>
      <c r="AK176" s="7" t="s">
        <v>61</v>
      </c>
      <c r="AL176" s="7" t="s">
        <v>61</v>
      </c>
      <c r="AM176" s="7" t="s">
        <v>0</v>
      </c>
      <c r="AN176" s="7" t="s">
        <v>0</v>
      </c>
      <c r="AO176" s="7" t="s">
        <v>0</v>
      </c>
      <c r="AP176" s="7" t="s">
        <v>0</v>
      </c>
      <c r="AQ176" s="7" t="s">
        <v>61</v>
      </c>
      <c r="AR176" s="7" t="s">
        <v>0</v>
      </c>
      <c r="AS176" s="10" t="str">
        <f>HYPERLINK("https://tessa.gazprom-neft.local/edo/card/4b6c0a41-f5c9-45ee-97cb-da460cddedd3", "https://tessa.gazprom-neft.local/edo/card/4b6c0a41-f5c9-45ee-97cb-da460cddedd3")</f>
        <v>https://tessa.gazprom-neft.local/edo/card/4b6c0a41-f5c9-45ee-97cb-da460cddedd3</v>
      </c>
    </row>
    <row r="177" spans="1:45" hidden="1" x14ac:dyDescent="0.25">
      <c r="A177" s="6" t="s">
        <v>44</v>
      </c>
      <c r="B177" s="7" t="s">
        <v>1328</v>
      </c>
      <c r="C177" s="7" t="s">
        <v>67</v>
      </c>
      <c r="D177" s="8">
        <v>45562</v>
      </c>
      <c r="E177" s="8">
        <v>46022</v>
      </c>
      <c r="F177" s="16" t="s">
        <v>1329</v>
      </c>
      <c r="G177" s="7" t="s">
        <v>1330</v>
      </c>
      <c r="H177" s="7" t="s">
        <v>3640</v>
      </c>
      <c r="I177" s="7" t="s">
        <v>0</v>
      </c>
      <c r="J177" s="7" t="s">
        <v>156</v>
      </c>
      <c r="K177" s="7" t="s">
        <v>47</v>
      </c>
      <c r="L177" s="7" t="s">
        <v>239</v>
      </c>
      <c r="M177" s="7" t="s">
        <v>0</v>
      </c>
      <c r="N177" s="7" t="s">
        <v>6747</v>
      </c>
      <c r="O177" s="7" t="s">
        <v>0</v>
      </c>
      <c r="P177" s="7" t="s">
        <v>6748</v>
      </c>
      <c r="Q177" s="7" t="s">
        <v>6749</v>
      </c>
      <c r="R177" s="7" t="s">
        <v>393</v>
      </c>
      <c r="S177" s="7" t="s">
        <v>166</v>
      </c>
      <c r="T177" s="7" t="s">
        <v>54</v>
      </c>
      <c r="U177" s="7" t="s">
        <v>283</v>
      </c>
      <c r="V177" s="7" t="s">
        <v>308</v>
      </c>
      <c r="W177" s="7" t="s">
        <v>74</v>
      </c>
      <c r="X177" s="7" t="s">
        <v>103</v>
      </c>
      <c r="Y177" s="8">
        <v>45566</v>
      </c>
      <c r="Z177" s="8">
        <v>45657</v>
      </c>
      <c r="AA177" s="7" t="s">
        <v>6222</v>
      </c>
      <c r="AB177" s="7" t="s">
        <v>130</v>
      </c>
      <c r="AC177" s="7" t="s">
        <v>79</v>
      </c>
      <c r="AD177" s="7" t="s">
        <v>80</v>
      </c>
      <c r="AE177" s="7" t="s">
        <v>82</v>
      </c>
      <c r="AF177" s="7" t="s">
        <v>0</v>
      </c>
      <c r="AG177" s="7" t="s">
        <v>0</v>
      </c>
      <c r="AH177" s="9" t="s">
        <v>12939</v>
      </c>
      <c r="AI177" s="9" t="s">
        <v>12940</v>
      </c>
      <c r="AJ177" s="9" t="s">
        <v>12941</v>
      </c>
      <c r="AK177" s="7" t="s">
        <v>61</v>
      </c>
      <c r="AL177" s="7" t="s">
        <v>61</v>
      </c>
      <c r="AM177" s="7" t="s">
        <v>0</v>
      </c>
      <c r="AN177" s="7" t="s">
        <v>0</v>
      </c>
      <c r="AO177" s="7" t="s">
        <v>0</v>
      </c>
      <c r="AP177" s="7" t="s">
        <v>0</v>
      </c>
      <c r="AQ177" s="7" t="s">
        <v>61</v>
      </c>
      <c r="AR177" s="7" t="s">
        <v>0</v>
      </c>
      <c r="AS177" s="10" t="str">
        <f>HYPERLINK("https://tessa.gazprom-neft.local/edo/card/15bf419c-9a3f-4f6c-83fb-3c2459703aed", "https://tessa.gazprom-neft.local/edo/card/15bf419c-9a3f-4f6c-83fb-3c2459703aed")</f>
        <v>https://tessa.gazprom-neft.local/edo/card/15bf419c-9a3f-4f6c-83fb-3c2459703aed</v>
      </c>
    </row>
    <row r="178" spans="1:45" hidden="1" x14ac:dyDescent="0.25">
      <c r="A178" s="6" t="s">
        <v>44</v>
      </c>
      <c r="B178" s="7" t="s">
        <v>6878</v>
      </c>
      <c r="C178" s="7" t="s">
        <v>67</v>
      </c>
      <c r="D178" s="8">
        <v>45562</v>
      </c>
      <c r="E178" s="8" t="s">
        <v>0</v>
      </c>
      <c r="F178" s="16" t="s">
        <v>6879</v>
      </c>
      <c r="G178" s="7" t="s">
        <v>6880</v>
      </c>
      <c r="H178" s="7" t="s">
        <v>0</v>
      </c>
      <c r="I178" s="7" t="s">
        <v>6876</v>
      </c>
      <c r="J178" s="7" t="s">
        <v>6876</v>
      </c>
      <c r="K178" s="7" t="s">
        <v>85</v>
      </c>
      <c r="L178" s="7" t="s">
        <v>86</v>
      </c>
      <c r="M178" s="7" t="s">
        <v>289</v>
      </c>
      <c r="N178" s="7" t="s">
        <v>6875</v>
      </c>
      <c r="O178" s="7" t="s">
        <v>0</v>
      </c>
      <c r="P178" s="7" t="s">
        <v>289</v>
      </c>
      <c r="Q178" s="7" t="s">
        <v>6877</v>
      </c>
      <c r="R178" s="7" t="s">
        <v>4156</v>
      </c>
      <c r="S178" s="7" t="s">
        <v>4156</v>
      </c>
      <c r="T178" s="7" t="s">
        <v>54</v>
      </c>
      <c r="U178" s="7" t="s">
        <v>294</v>
      </c>
      <c r="V178" s="7" t="s">
        <v>126</v>
      </c>
      <c r="W178" s="7" t="s">
        <v>74</v>
      </c>
      <c r="X178" s="7" t="s">
        <v>58</v>
      </c>
      <c r="Y178" s="8">
        <v>45562</v>
      </c>
      <c r="Z178" s="8" t="s">
        <v>0</v>
      </c>
      <c r="AA178" s="7" t="s">
        <v>5596</v>
      </c>
      <c r="AB178" s="7" t="s">
        <v>300</v>
      </c>
      <c r="AC178" s="7" t="s">
        <v>65</v>
      </c>
      <c r="AD178" s="7" t="s">
        <v>0</v>
      </c>
      <c r="AE178" s="7" t="s">
        <v>0</v>
      </c>
      <c r="AF178" s="7" t="s">
        <v>0</v>
      </c>
      <c r="AG178" s="7" t="s">
        <v>0</v>
      </c>
      <c r="AH178" s="9" t="s">
        <v>0</v>
      </c>
      <c r="AI178" s="9" t="s">
        <v>0</v>
      </c>
      <c r="AJ178" s="9" t="s">
        <v>0</v>
      </c>
      <c r="AK178" s="7" t="s">
        <v>61</v>
      </c>
      <c r="AL178" s="7" t="s">
        <v>61</v>
      </c>
      <c r="AM178" s="7" t="s">
        <v>0</v>
      </c>
      <c r="AN178" s="7" t="s">
        <v>0</v>
      </c>
      <c r="AO178" s="7" t="s">
        <v>0</v>
      </c>
      <c r="AP178" s="7" t="s">
        <v>0</v>
      </c>
      <c r="AQ178" s="7" t="s">
        <v>61</v>
      </c>
      <c r="AR178" s="7" t="s">
        <v>0</v>
      </c>
      <c r="AS178" s="10" t="str">
        <f>HYPERLINK("https://tessa.gazprom-neft.local/edo/card/aceba20d-bd6c-4333-b5fd-a7b11f6cb02b", "https://tessa.gazprom-neft.local/edo/card/aceba20d-bd6c-4333-b5fd-a7b11f6cb02b")</f>
        <v>https://tessa.gazprom-neft.local/edo/card/aceba20d-bd6c-4333-b5fd-a7b11f6cb02b</v>
      </c>
    </row>
    <row r="179" spans="1:45" x14ac:dyDescent="0.25">
      <c r="A179" s="6" t="s">
        <v>44</v>
      </c>
      <c r="B179" s="7" t="s">
        <v>4657</v>
      </c>
      <c r="C179" s="7" t="s">
        <v>67</v>
      </c>
      <c r="D179" s="8">
        <v>45561</v>
      </c>
      <c r="E179" s="8" t="s">
        <v>0</v>
      </c>
      <c r="F179" s="16" t="s">
        <v>4658</v>
      </c>
      <c r="G179" s="7" t="s">
        <v>4659</v>
      </c>
      <c r="H179" s="7" t="s">
        <v>4654</v>
      </c>
      <c r="I179" s="7" t="s">
        <v>0</v>
      </c>
      <c r="J179" s="7" t="s">
        <v>51</v>
      </c>
      <c r="K179" s="7" t="s">
        <v>47</v>
      </c>
      <c r="L179" s="7" t="s">
        <v>48</v>
      </c>
      <c r="M179" s="7" t="s">
        <v>0</v>
      </c>
      <c r="N179" s="7" t="s">
        <v>7044</v>
      </c>
      <c r="O179" s="7" t="s">
        <v>0</v>
      </c>
      <c r="P179" s="7" t="s">
        <v>7045</v>
      </c>
      <c r="Q179" s="7" t="s">
        <v>7046</v>
      </c>
      <c r="R179" s="7" t="s">
        <v>427</v>
      </c>
      <c r="S179" s="7" t="s">
        <v>427</v>
      </c>
      <c r="T179" s="7" t="s">
        <v>54</v>
      </c>
      <c r="U179" s="7" t="s">
        <v>428</v>
      </c>
      <c r="V179" s="7" t="s">
        <v>340</v>
      </c>
      <c r="W179" s="7" t="s">
        <v>74</v>
      </c>
      <c r="X179" s="7" t="s">
        <v>103</v>
      </c>
      <c r="Y179" s="8">
        <v>45561</v>
      </c>
      <c r="Z179" s="8">
        <v>46444</v>
      </c>
      <c r="AA179" s="7" t="s">
        <v>6545</v>
      </c>
      <c r="AB179" s="7" t="s">
        <v>64</v>
      </c>
      <c r="AC179" s="7" t="s">
        <v>65</v>
      </c>
      <c r="AD179" s="7" t="s">
        <v>0</v>
      </c>
      <c r="AE179" s="7" t="s">
        <v>0</v>
      </c>
      <c r="AF179" s="7" t="s">
        <v>0</v>
      </c>
      <c r="AG179" s="7" t="s">
        <v>0</v>
      </c>
      <c r="AH179" s="9" t="s">
        <v>0</v>
      </c>
      <c r="AI179" s="9" t="s">
        <v>0</v>
      </c>
      <c r="AJ179" s="9" t="s">
        <v>0</v>
      </c>
      <c r="AK179" s="7" t="s">
        <v>61</v>
      </c>
      <c r="AL179" s="7" t="s">
        <v>61</v>
      </c>
      <c r="AM179" s="7" t="s">
        <v>0</v>
      </c>
      <c r="AN179" s="7" t="s">
        <v>0</v>
      </c>
      <c r="AO179" s="7" t="s">
        <v>0</v>
      </c>
      <c r="AP179" s="7" t="s">
        <v>0</v>
      </c>
      <c r="AQ179" s="7" t="s">
        <v>61</v>
      </c>
      <c r="AR179" s="7" t="s">
        <v>0</v>
      </c>
      <c r="AS179" s="10" t="str">
        <f>HYPERLINK("https://tessa.gazprom-neft.local/edo/card/e59ac2d5-c37c-4bdf-8663-0f692f0dc0e2", "https://tessa.gazprom-neft.local/edo/card/e59ac2d5-c37c-4bdf-8663-0f692f0dc0e2")</f>
        <v>https://tessa.gazprom-neft.local/edo/card/e59ac2d5-c37c-4bdf-8663-0f692f0dc0e2</v>
      </c>
    </row>
    <row r="180" spans="1:45" hidden="1" x14ac:dyDescent="0.25">
      <c r="A180" s="6" t="s">
        <v>44</v>
      </c>
      <c r="B180" s="7" t="s">
        <v>592</v>
      </c>
      <c r="C180" s="7" t="s">
        <v>67</v>
      </c>
      <c r="D180" s="8">
        <v>45555</v>
      </c>
      <c r="E180" s="8" t="s">
        <v>0</v>
      </c>
      <c r="F180" s="16" t="s">
        <v>593</v>
      </c>
      <c r="G180" s="7" t="s">
        <v>594</v>
      </c>
      <c r="H180" s="7" t="s">
        <v>953</v>
      </c>
      <c r="I180" s="7" t="s">
        <v>0</v>
      </c>
      <c r="J180" s="7" t="s">
        <v>712</v>
      </c>
      <c r="K180" s="7" t="s">
        <v>47</v>
      </c>
      <c r="L180" s="7" t="s">
        <v>239</v>
      </c>
      <c r="M180" s="7" t="s">
        <v>0</v>
      </c>
      <c r="N180" s="7" t="s">
        <v>6967</v>
      </c>
      <c r="O180" s="7" t="s">
        <v>0</v>
      </c>
      <c r="P180" s="7" t="s">
        <v>6968</v>
      </c>
      <c r="Q180" s="7" t="s">
        <v>589</v>
      </c>
      <c r="R180" s="7" t="s">
        <v>590</v>
      </c>
      <c r="S180" s="7" t="s">
        <v>0</v>
      </c>
      <c r="T180" s="7" t="s">
        <v>54</v>
      </c>
      <c r="U180" s="7" t="s">
        <v>591</v>
      </c>
      <c r="V180" s="7" t="s">
        <v>126</v>
      </c>
      <c r="W180" s="7" t="s">
        <v>74</v>
      </c>
      <c r="X180" s="7" t="s">
        <v>103</v>
      </c>
      <c r="Y180" s="8">
        <v>45555</v>
      </c>
      <c r="Z180" s="8">
        <v>45930</v>
      </c>
      <c r="AA180" s="7" t="s">
        <v>5596</v>
      </c>
      <c r="AB180" s="7" t="s">
        <v>387</v>
      </c>
      <c r="AC180" s="7" t="s">
        <v>79</v>
      </c>
      <c r="AD180" s="7" t="s">
        <v>144</v>
      </c>
      <c r="AE180" s="7" t="s">
        <v>82</v>
      </c>
      <c r="AF180" s="7" t="s">
        <v>0</v>
      </c>
      <c r="AG180" s="7" t="s">
        <v>0</v>
      </c>
      <c r="AH180" s="9" t="s">
        <v>13015</v>
      </c>
      <c r="AI180" s="9" t="s">
        <v>13016</v>
      </c>
      <c r="AJ180" s="9" t="s">
        <v>13017</v>
      </c>
      <c r="AK180" s="7" t="s">
        <v>61</v>
      </c>
      <c r="AL180" s="7" t="s">
        <v>61</v>
      </c>
      <c r="AM180" s="7" t="s">
        <v>0</v>
      </c>
      <c r="AN180" s="7" t="s">
        <v>0</v>
      </c>
      <c r="AO180" s="7" t="s">
        <v>0</v>
      </c>
      <c r="AP180" s="7" t="s">
        <v>0</v>
      </c>
      <c r="AQ180" s="7" t="s">
        <v>61</v>
      </c>
      <c r="AR180" s="7" t="s">
        <v>0</v>
      </c>
      <c r="AS180" s="10" t="str">
        <f>HYPERLINK("https://tessa.gazprom-neft.local/edo/card/659ce71b-cc67-4377-a3e4-514be356d4f2", "https://tessa.gazprom-neft.local/edo/card/659ce71b-cc67-4377-a3e4-514be356d4f2")</f>
        <v>https://tessa.gazprom-neft.local/edo/card/659ce71b-cc67-4377-a3e4-514be356d4f2</v>
      </c>
    </row>
    <row r="181" spans="1:45" hidden="1" x14ac:dyDescent="0.25">
      <c r="A181" s="6" t="s">
        <v>44</v>
      </c>
      <c r="B181" s="7" t="s">
        <v>6532</v>
      </c>
      <c r="C181" s="7" t="s">
        <v>67</v>
      </c>
      <c r="D181" s="8">
        <v>45554</v>
      </c>
      <c r="E181" s="8" t="s">
        <v>0</v>
      </c>
      <c r="F181" s="16" t="s">
        <v>6533</v>
      </c>
      <c r="G181" s="7" t="s">
        <v>6534</v>
      </c>
      <c r="H181" s="7" t="s">
        <v>0</v>
      </c>
      <c r="I181" s="7" t="s">
        <v>6543</v>
      </c>
      <c r="J181" s="7" t="s">
        <v>6543</v>
      </c>
      <c r="K181" s="7" t="s">
        <v>85</v>
      </c>
      <c r="L181" s="7" t="s">
        <v>86</v>
      </c>
      <c r="M181" s="7" t="s">
        <v>289</v>
      </c>
      <c r="N181" s="7" t="s">
        <v>6542</v>
      </c>
      <c r="O181" s="7" t="s">
        <v>0</v>
      </c>
      <c r="P181" s="7" t="s">
        <v>6544</v>
      </c>
      <c r="Q181" s="7" t="s">
        <v>2315</v>
      </c>
      <c r="R181" s="7" t="s">
        <v>1139</v>
      </c>
      <c r="S181" s="7" t="s">
        <v>2788</v>
      </c>
      <c r="T181" s="7" t="s">
        <v>54</v>
      </c>
      <c r="U181" s="7" t="s">
        <v>55</v>
      </c>
      <c r="V181" s="7" t="s">
        <v>340</v>
      </c>
      <c r="W181" s="7" t="s">
        <v>74</v>
      </c>
      <c r="X181" s="7" t="s">
        <v>58</v>
      </c>
      <c r="Y181" s="8">
        <v>45555</v>
      </c>
      <c r="Z181" s="8" t="s">
        <v>0</v>
      </c>
      <c r="AA181" s="7" t="s">
        <v>6545</v>
      </c>
      <c r="AB181" s="7" t="s">
        <v>300</v>
      </c>
      <c r="AC181" s="7" t="s">
        <v>65</v>
      </c>
      <c r="AD181" s="7" t="s">
        <v>0</v>
      </c>
      <c r="AE181" s="7" t="s">
        <v>0</v>
      </c>
      <c r="AF181" s="7" t="s">
        <v>0</v>
      </c>
      <c r="AG181" s="7" t="s">
        <v>0</v>
      </c>
      <c r="AH181" s="9" t="s">
        <v>0</v>
      </c>
      <c r="AI181" s="9" t="s">
        <v>0</v>
      </c>
      <c r="AJ181" s="9" t="s">
        <v>0</v>
      </c>
      <c r="AK181" s="7" t="s">
        <v>61</v>
      </c>
      <c r="AL181" s="7" t="s">
        <v>61</v>
      </c>
      <c r="AM181" s="7" t="s">
        <v>0</v>
      </c>
      <c r="AN181" s="7" t="s">
        <v>0</v>
      </c>
      <c r="AO181" s="7" t="s">
        <v>0</v>
      </c>
      <c r="AP181" s="7" t="s">
        <v>0</v>
      </c>
      <c r="AQ181" s="7" t="s">
        <v>61</v>
      </c>
      <c r="AR181" s="7" t="s">
        <v>0</v>
      </c>
      <c r="AS181" s="10" t="str">
        <f>HYPERLINK("https://tessa.gazprom-neft.local/edo/card/1a62de01-fbeb-4131-a97f-5ebe65c667a7", "https://tessa.gazprom-neft.local/edo/card/1a62de01-fbeb-4131-a97f-5ebe65c667a7")</f>
        <v>https://tessa.gazprom-neft.local/edo/card/1a62de01-fbeb-4131-a97f-5ebe65c667a7</v>
      </c>
    </row>
    <row r="182" spans="1:45" hidden="1" x14ac:dyDescent="0.25">
      <c r="A182" s="6" t="s">
        <v>44</v>
      </c>
      <c r="B182" s="7" t="s">
        <v>395</v>
      </c>
      <c r="C182" s="7" t="s">
        <v>67</v>
      </c>
      <c r="D182" s="8">
        <v>45553</v>
      </c>
      <c r="E182" s="8" t="s">
        <v>0</v>
      </c>
      <c r="F182" s="16" t="s">
        <v>396</v>
      </c>
      <c r="G182" s="7" t="s">
        <v>397</v>
      </c>
      <c r="H182" s="7" t="s">
        <v>390</v>
      </c>
      <c r="I182" s="7" t="s">
        <v>0</v>
      </c>
      <c r="J182" s="7" t="s">
        <v>955</v>
      </c>
      <c r="K182" s="7" t="s">
        <v>47</v>
      </c>
      <c r="L182" s="7" t="s">
        <v>239</v>
      </c>
      <c r="M182" s="7" t="s">
        <v>0</v>
      </c>
      <c r="N182" s="7" t="s">
        <v>6556</v>
      </c>
      <c r="O182" s="7" t="s">
        <v>0</v>
      </c>
      <c r="P182" s="7" t="s">
        <v>6557</v>
      </c>
      <c r="Q182" s="7" t="s">
        <v>6558</v>
      </c>
      <c r="R182" s="7" t="s">
        <v>393</v>
      </c>
      <c r="S182" s="7" t="s">
        <v>0</v>
      </c>
      <c r="T182" s="7" t="s">
        <v>54</v>
      </c>
      <c r="U182" s="7" t="s">
        <v>222</v>
      </c>
      <c r="V182" s="7" t="s">
        <v>126</v>
      </c>
      <c r="W182" s="7" t="s">
        <v>74</v>
      </c>
      <c r="X182" s="7" t="s">
        <v>103</v>
      </c>
      <c r="Y182" s="8">
        <v>45553</v>
      </c>
      <c r="Z182" s="8">
        <v>45654</v>
      </c>
      <c r="AA182" s="7" t="s">
        <v>5596</v>
      </c>
      <c r="AB182" s="7" t="s">
        <v>387</v>
      </c>
      <c r="AC182" s="7" t="s">
        <v>79</v>
      </c>
      <c r="AD182" s="7" t="s">
        <v>80</v>
      </c>
      <c r="AE182" s="7" t="s">
        <v>82</v>
      </c>
      <c r="AF182" s="7" t="s">
        <v>0</v>
      </c>
      <c r="AG182" s="7" t="s">
        <v>0</v>
      </c>
      <c r="AH182" s="9" t="s">
        <v>12887</v>
      </c>
      <c r="AI182" s="9" t="s">
        <v>12888</v>
      </c>
      <c r="AJ182" s="9" t="s">
        <v>12889</v>
      </c>
      <c r="AK182" s="7" t="s">
        <v>61</v>
      </c>
      <c r="AL182" s="7" t="s">
        <v>61</v>
      </c>
      <c r="AM182" s="7" t="s">
        <v>0</v>
      </c>
      <c r="AN182" s="7" t="s">
        <v>0</v>
      </c>
      <c r="AO182" s="7" t="s">
        <v>0</v>
      </c>
      <c r="AP182" s="7" t="s">
        <v>0</v>
      </c>
      <c r="AQ182" s="7" t="s">
        <v>61</v>
      </c>
      <c r="AR182" s="7" t="s">
        <v>0</v>
      </c>
      <c r="AS182" s="10" t="str">
        <f>HYPERLINK("https://tessa.gazprom-neft.local/edo/card/eda4530b-4541-4781-8e80-ccbbb2dc8df6", "https://tessa.gazprom-neft.local/edo/card/eda4530b-4541-4781-8e80-ccbbb2dc8df6")</f>
        <v>https://tessa.gazprom-neft.local/edo/card/eda4530b-4541-4781-8e80-ccbbb2dc8df6</v>
      </c>
    </row>
    <row r="183" spans="1:45" hidden="1" x14ac:dyDescent="0.25">
      <c r="A183" s="6" t="s">
        <v>44</v>
      </c>
      <c r="B183" s="7" t="s">
        <v>715</v>
      </c>
      <c r="C183" s="7" t="s">
        <v>67</v>
      </c>
      <c r="D183" s="8">
        <v>45551</v>
      </c>
      <c r="E183" s="8" t="s">
        <v>0</v>
      </c>
      <c r="F183" s="16" t="s">
        <v>716</v>
      </c>
      <c r="G183" s="7" t="s">
        <v>717</v>
      </c>
      <c r="H183" s="7" t="s">
        <v>710</v>
      </c>
      <c r="I183" s="7" t="s">
        <v>0</v>
      </c>
      <c r="J183" s="7" t="s">
        <v>6486</v>
      </c>
      <c r="K183" s="7" t="s">
        <v>47</v>
      </c>
      <c r="L183" s="7" t="s">
        <v>709</v>
      </c>
      <c r="M183" s="7" t="s">
        <v>0</v>
      </c>
      <c r="N183" s="7" t="s">
        <v>6484</v>
      </c>
      <c r="O183" s="7" t="s">
        <v>0</v>
      </c>
      <c r="P183" s="7" t="s">
        <v>6485</v>
      </c>
      <c r="Q183" s="7" t="s">
        <v>6487</v>
      </c>
      <c r="R183" s="7" t="s">
        <v>714</v>
      </c>
      <c r="S183" s="7" t="s">
        <v>714</v>
      </c>
      <c r="T183" s="7" t="s">
        <v>54</v>
      </c>
      <c r="U183" s="7" t="s">
        <v>101</v>
      </c>
      <c r="V183" s="7" t="s">
        <v>308</v>
      </c>
      <c r="W183" s="7" t="s">
        <v>57</v>
      </c>
      <c r="X183" s="7" t="s">
        <v>103</v>
      </c>
      <c r="Y183" s="8">
        <v>45551</v>
      </c>
      <c r="Z183" s="8">
        <v>45595</v>
      </c>
      <c r="AA183" s="7" t="s">
        <v>309</v>
      </c>
      <c r="AB183" s="7" t="s">
        <v>64</v>
      </c>
      <c r="AC183" s="7" t="s">
        <v>79</v>
      </c>
      <c r="AD183" s="7" t="s">
        <v>144</v>
      </c>
      <c r="AE183" s="7" t="s">
        <v>82</v>
      </c>
      <c r="AF183" s="7" t="s">
        <v>0</v>
      </c>
      <c r="AG183" s="7" t="s">
        <v>0</v>
      </c>
      <c r="AH183" s="9" t="s">
        <v>12855</v>
      </c>
      <c r="AI183" s="9" t="s">
        <v>12856</v>
      </c>
      <c r="AJ183" s="9" t="s">
        <v>12857</v>
      </c>
      <c r="AK183" s="7" t="s">
        <v>61</v>
      </c>
      <c r="AL183" s="7" t="s">
        <v>61</v>
      </c>
      <c r="AM183" s="7" t="s">
        <v>0</v>
      </c>
      <c r="AN183" s="7" t="s">
        <v>0</v>
      </c>
      <c r="AO183" s="7" t="s">
        <v>0</v>
      </c>
      <c r="AP183" s="7" t="s">
        <v>0</v>
      </c>
      <c r="AQ183" s="7" t="s">
        <v>61</v>
      </c>
      <c r="AR183" s="7" t="s">
        <v>0</v>
      </c>
      <c r="AS183" s="10" t="str">
        <f>HYPERLINK("https://tessa.gazprom-neft.local/edo/card/facf6ea3-1e2f-4930-ae06-82ce7d7dcff7", "https://tessa.gazprom-neft.local/edo/card/facf6ea3-1e2f-4930-ae06-82ce7d7dcff7")</f>
        <v>https://tessa.gazprom-neft.local/edo/card/facf6ea3-1e2f-4930-ae06-82ce7d7dcff7</v>
      </c>
    </row>
    <row r="184" spans="1:45" hidden="1" x14ac:dyDescent="0.25">
      <c r="A184" s="6" t="s">
        <v>44</v>
      </c>
      <c r="B184" s="7" t="s">
        <v>1101</v>
      </c>
      <c r="C184" s="7" t="s">
        <v>67</v>
      </c>
      <c r="D184" s="8">
        <v>45550</v>
      </c>
      <c r="E184" s="8" t="s">
        <v>0</v>
      </c>
      <c r="F184" s="16" t="s">
        <v>1102</v>
      </c>
      <c r="G184" s="7" t="s">
        <v>1103</v>
      </c>
      <c r="H184" s="7" t="s">
        <v>2522</v>
      </c>
      <c r="I184" s="7" t="s">
        <v>0</v>
      </c>
      <c r="J184" s="7" t="s">
        <v>936</v>
      </c>
      <c r="K184" s="7" t="s">
        <v>47</v>
      </c>
      <c r="L184" s="7" t="s">
        <v>239</v>
      </c>
      <c r="M184" s="7" t="s">
        <v>0</v>
      </c>
      <c r="N184" s="7" t="s">
        <v>6454</v>
      </c>
      <c r="O184" s="7" t="s">
        <v>0</v>
      </c>
      <c r="P184" s="7" t="s">
        <v>6455</v>
      </c>
      <c r="Q184" s="7" t="s">
        <v>6456</v>
      </c>
      <c r="R184" s="7" t="s">
        <v>339</v>
      </c>
      <c r="S184" s="7" t="s">
        <v>339</v>
      </c>
      <c r="T184" s="7" t="s">
        <v>54</v>
      </c>
      <c r="U184" s="7" t="s">
        <v>303</v>
      </c>
      <c r="V184" s="7" t="s">
        <v>126</v>
      </c>
      <c r="W184" s="7" t="s">
        <v>57</v>
      </c>
      <c r="X184" s="7" t="s">
        <v>103</v>
      </c>
      <c r="Y184" s="8">
        <v>45550</v>
      </c>
      <c r="Z184" s="8">
        <v>45826</v>
      </c>
      <c r="AA184" s="7" t="s">
        <v>200</v>
      </c>
      <c r="AB184" s="7" t="s">
        <v>64</v>
      </c>
      <c r="AC184" s="7" t="s">
        <v>79</v>
      </c>
      <c r="AD184" s="7" t="s">
        <v>144</v>
      </c>
      <c r="AE184" s="7" t="s">
        <v>118</v>
      </c>
      <c r="AF184" s="7" t="s">
        <v>0</v>
      </c>
      <c r="AG184" s="7" t="s">
        <v>0</v>
      </c>
      <c r="AH184" s="9" t="s">
        <v>12848</v>
      </c>
      <c r="AI184" s="9" t="s">
        <v>12848</v>
      </c>
      <c r="AJ184" s="9">
        <v>0</v>
      </c>
      <c r="AK184" s="7" t="s">
        <v>61</v>
      </c>
      <c r="AL184" s="7" t="s">
        <v>61</v>
      </c>
      <c r="AM184" s="7" t="s">
        <v>0</v>
      </c>
      <c r="AN184" s="7" t="s">
        <v>0</v>
      </c>
      <c r="AO184" s="7" t="s">
        <v>0</v>
      </c>
      <c r="AP184" s="7" t="s">
        <v>0</v>
      </c>
      <c r="AQ184" s="7" t="s">
        <v>61</v>
      </c>
      <c r="AR184" s="7" t="s">
        <v>0</v>
      </c>
      <c r="AS184" s="10" t="str">
        <f>HYPERLINK("https://tessa.gazprom-neft.local/edo/card/fbb62500-4da2-4657-9ca2-d1ec67f3917a", "https://tessa.gazprom-neft.local/edo/card/fbb62500-4da2-4657-9ca2-d1ec67f3917a")</f>
        <v>https://tessa.gazprom-neft.local/edo/card/fbb62500-4da2-4657-9ca2-d1ec67f3917a</v>
      </c>
    </row>
    <row r="185" spans="1:45" hidden="1" x14ac:dyDescent="0.25">
      <c r="A185" s="6" t="s">
        <v>44</v>
      </c>
      <c r="B185" s="7" t="s">
        <v>885</v>
      </c>
      <c r="C185" s="7" t="s">
        <v>67</v>
      </c>
      <c r="D185" s="8">
        <v>45549</v>
      </c>
      <c r="E185" s="8" t="s">
        <v>0</v>
      </c>
      <c r="F185" s="16" t="s">
        <v>886</v>
      </c>
      <c r="G185" s="7" t="s">
        <v>887</v>
      </c>
      <c r="H185" s="7" t="s">
        <v>2084</v>
      </c>
      <c r="I185" s="7" t="s">
        <v>0</v>
      </c>
      <c r="J185" s="7" t="s">
        <v>1428</v>
      </c>
      <c r="K185" s="7" t="s">
        <v>47</v>
      </c>
      <c r="L185" s="7" t="s">
        <v>239</v>
      </c>
      <c r="M185" s="7" t="s">
        <v>0</v>
      </c>
      <c r="N185" s="7" t="s">
        <v>6201</v>
      </c>
      <c r="O185" s="7" t="s">
        <v>0</v>
      </c>
      <c r="P185" s="7" t="s">
        <v>6202</v>
      </c>
      <c r="Q185" s="7" t="s">
        <v>6203</v>
      </c>
      <c r="R185" s="7" t="s">
        <v>4909</v>
      </c>
      <c r="S185" s="7" t="s">
        <v>938</v>
      </c>
      <c r="T185" s="7" t="s">
        <v>54</v>
      </c>
      <c r="U185" s="7" t="s">
        <v>605</v>
      </c>
      <c r="V185" s="7" t="s">
        <v>126</v>
      </c>
      <c r="W185" s="7" t="s">
        <v>74</v>
      </c>
      <c r="X185" s="7" t="s">
        <v>103</v>
      </c>
      <c r="Y185" s="8">
        <v>45549</v>
      </c>
      <c r="Z185" s="8">
        <v>45828</v>
      </c>
      <c r="AA185" s="7" t="s">
        <v>200</v>
      </c>
      <c r="AB185" s="7" t="s">
        <v>130</v>
      </c>
      <c r="AC185" s="7" t="s">
        <v>79</v>
      </c>
      <c r="AD185" s="7" t="s">
        <v>144</v>
      </c>
      <c r="AE185" s="7" t="s">
        <v>118</v>
      </c>
      <c r="AF185" s="7" t="s">
        <v>0</v>
      </c>
      <c r="AG185" s="7" t="s">
        <v>0</v>
      </c>
      <c r="AH185" s="9" t="s">
        <v>12750</v>
      </c>
      <c r="AI185" s="9" t="s">
        <v>12750</v>
      </c>
      <c r="AJ185" s="9">
        <v>0</v>
      </c>
      <c r="AK185" s="7" t="s">
        <v>61</v>
      </c>
      <c r="AL185" s="7" t="s">
        <v>61</v>
      </c>
      <c r="AM185" s="7" t="s">
        <v>0</v>
      </c>
      <c r="AN185" s="7" t="s">
        <v>0</v>
      </c>
      <c r="AO185" s="7" t="s">
        <v>0</v>
      </c>
      <c r="AP185" s="7" t="s">
        <v>0</v>
      </c>
      <c r="AQ185" s="7" t="s">
        <v>61</v>
      </c>
      <c r="AR185" s="7" t="s">
        <v>0</v>
      </c>
      <c r="AS185" s="10" t="str">
        <f>HYPERLINK("https://tessa.gazprom-neft.local/edo/card/83c9d884-25cb-49a7-af49-0fea95e7a7d0", "https://tessa.gazprom-neft.local/edo/card/83c9d884-25cb-49a7-af49-0fea95e7a7d0")</f>
        <v>https://tessa.gazprom-neft.local/edo/card/83c9d884-25cb-49a7-af49-0fea95e7a7d0</v>
      </c>
    </row>
    <row r="186" spans="1:45" x14ac:dyDescent="0.25">
      <c r="A186" s="6" t="s">
        <v>44</v>
      </c>
      <c r="B186" s="7" t="s">
        <v>488</v>
      </c>
      <c r="C186" s="7" t="s">
        <v>67</v>
      </c>
      <c r="D186" s="8">
        <v>45546</v>
      </c>
      <c r="E186" s="8" t="s">
        <v>0</v>
      </c>
      <c r="F186" s="16" t="s">
        <v>489</v>
      </c>
      <c r="G186" s="7" t="s">
        <v>490</v>
      </c>
      <c r="H186" s="7" t="s">
        <v>2173</v>
      </c>
      <c r="I186" s="7" t="s">
        <v>0</v>
      </c>
      <c r="J186" s="7" t="s">
        <v>316</v>
      </c>
      <c r="K186" s="7" t="s">
        <v>47</v>
      </c>
      <c r="L186" s="7" t="s">
        <v>48</v>
      </c>
      <c r="M186" s="7" t="s">
        <v>0</v>
      </c>
      <c r="N186" s="7" t="s">
        <v>6422</v>
      </c>
      <c r="O186" s="7" t="s">
        <v>0</v>
      </c>
      <c r="P186" s="7" t="s">
        <v>6423</v>
      </c>
      <c r="Q186" s="7" t="s">
        <v>6424</v>
      </c>
      <c r="R186" s="7" t="s">
        <v>282</v>
      </c>
      <c r="S186" s="7" t="s">
        <v>0</v>
      </c>
      <c r="T186" s="7" t="s">
        <v>54</v>
      </c>
      <c r="U186" s="7" t="s">
        <v>55</v>
      </c>
      <c r="V186" s="7" t="s">
        <v>56</v>
      </c>
      <c r="W186" s="7" t="s">
        <v>74</v>
      </c>
      <c r="X186" s="7" t="s">
        <v>103</v>
      </c>
      <c r="Y186" s="8">
        <v>45546</v>
      </c>
      <c r="Z186" s="8">
        <v>46022</v>
      </c>
      <c r="AA186" s="7" t="s">
        <v>6414</v>
      </c>
      <c r="AB186" s="7" t="s">
        <v>874</v>
      </c>
      <c r="AC186" s="7" t="s">
        <v>79</v>
      </c>
      <c r="AD186" s="7" t="s">
        <v>144</v>
      </c>
      <c r="AE186" s="7" t="s">
        <v>82</v>
      </c>
      <c r="AF186" s="7" t="s">
        <v>0</v>
      </c>
      <c r="AG186" s="7" t="s">
        <v>0</v>
      </c>
      <c r="AH186" s="9" t="s">
        <v>12838</v>
      </c>
      <c r="AI186" s="9" t="s">
        <v>12839</v>
      </c>
      <c r="AJ186" s="9" t="s">
        <v>12840</v>
      </c>
      <c r="AK186" s="7" t="s">
        <v>61</v>
      </c>
      <c r="AL186" s="7" t="s">
        <v>61</v>
      </c>
      <c r="AM186" s="7" t="s">
        <v>0</v>
      </c>
      <c r="AN186" s="7" t="s">
        <v>0</v>
      </c>
      <c r="AO186" s="7" t="s">
        <v>0</v>
      </c>
      <c r="AP186" s="7" t="s">
        <v>0</v>
      </c>
      <c r="AQ186" s="7" t="s">
        <v>61</v>
      </c>
      <c r="AR186" s="7" t="s">
        <v>0</v>
      </c>
      <c r="AS186" s="10" t="str">
        <f>HYPERLINK("https://tessa.gazprom-neft.local/edo/card/a9aa8a4c-bb76-4ec0-a135-bb60fa0273ac", "https://tessa.gazprom-neft.local/edo/card/a9aa8a4c-bb76-4ec0-a135-bb60fa0273ac")</f>
        <v>https://tessa.gazprom-neft.local/edo/card/a9aa8a4c-bb76-4ec0-a135-bb60fa0273ac</v>
      </c>
    </row>
    <row r="187" spans="1:45" x14ac:dyDescent="0.25">
      <c r="A187" s="6" t="s">
        <v>44</v>
      </c>
      <c r="B187" s="7" t="s">
        <v>1101</v>
      </c>
      <c r="C187" s="7" t="s">
        <v>67</v>
      </c>
      <c r="D187" s="8">
        <v>45544</v>
      </c>
      <c r="E187" s="8" t="s">
        <v>0</v>
      </c>
      <c r="F187" s="16" t="s">
        <v>1102</v>
      </c>
      <c r="G187" s="7" t="s">
        <v>1103</v>
      </c>
      <c r="H187" s="7" t="s">
        <v>2522</v>
      </c>
      <c r="I187" s="7" t="s">
        <v>0</v>
      </c>
      <c r="J187" s="7" t="s">
        <v>331</v>
      </c>
      <c r="K187" s="7" t="s">
        <v>47</v>
      </c>
      <c r="L187" s="7" t="s">
        <v>48</v>
      </c>
      <c r="M187" s="7" t="s">
        <v>0</v>
      </c>
      <c r="N187" s="7" t="s">
        <v>6432</v>
      </c>
      <c r="O187" s="7" t="s">
        <v>0</v>
      </c>
      <c r="P187" s="7" t="s">
        <v>6433</v>
      </c>
      <c r="Q187" s="7" t="s">
        <v>6434</v>
      </c>
      <c r="R187" s="7" t="s">
        <v>339</v>
      </c>
      <c r="S187" s="7" t="s">
        <v>339</v>
      </c>
      <c r="T187" s="7" t="s">
        <v>54</v>
      </c>
      <c r="U187" s="7" t="s">
        <v>303</v>
      </c>
      <c r="V187" s="7" t="s">
        <v>126</v>
      </c>
      <c r="W187" s="7" t="s">
        <v>74</v>
      </c>
      <c r="X187" s="7" t="s">
        <v>103</v>
      </c>
      <c r="Y187" s="8">
        <v>45658</v>
      </c>
      <c r="Z187" s="8">
        <v>45829</v>
      </c>
      <c r="AA187" s="7" t="s">
        <v>5596</v>
      </c>
      <c r="AB187" s="7" t="s">
        <v>64</v>
      </c>
      <c r="AC187" s="7" t="s">
        <v>79</v>
      </c>
      <c r="AD187" s="7" t="s">
        <v>144</v>
      </c>
      <c r="AE187" s="7" t="s">
        <v>118</v>
      </c>
      <c r="AF187" s="7" t="s">
        <v>0</v>
      </c>
      <c r="AG187" s="7" t="s">
        <v>0</v>
      </c>
      <c r="AH187" s="9" t="s">
        <v>12844</v>
      </c>
      <c r="AI187" s="9" t="s">
        <v>12844</v>
      </c>
      <c r="AJ187" s="9">
        <v>0</v>
      </c>
      <c r="AK187" s="7" t="s">
        <v>61</v>
      </c>
      <c r="AL187" s="7" t="s">
        <v>61</v>
      </c>
      <c r="AM187" s="7" t="s">
        <v>0</v>
      </c>
      <c r="AN187" s="7" t="s">
        <v>0</v>
      </c>
      <c r="AO187" s="7" t="s">
        <v>0</v>
      </c>
      <c r="AP187" s="7" t="s">
        <v>0</v>
      </c>
      <c r="AQ187" s="7" t="s">
        <v>61</v>
      </c>
      <c r="AR187" s="7" t="s">
        <v>0</v>
      </c>
      <c r="AS187" s="10" t="str">
        <f>HYPERLINK("https://tessa.gazprom-neft.local/edo/card/aaf69527-5812-42b7-a4f0-8d33f17134d3", "https://tessa.gazprom-neft.local/edo/card/aaf69527-5812-42b7-a4f0-8d33f17134d3")</f>
        <v>https://tessa.gazprom-neft.local/edo/card/aaf69527-5812-42b7-a4f0-8d33f17134d3</v>
      </c>
    </row>
    <row r="188" spans="1:45" hidden="1" x14ac:dyDescent="0.25">
      <c r="A188" s="6" t="s">
        <v>44</v>
      </c>
      <c r="B188" s="7" t="s">
        <v>715</v>
      </c>
      <c r="C188" s="7" t="s">
        <v>67</v>
      </c>
      <c r="D188" s="8">
        <v>45540</v>
      </c>
      <c r="E188" s="8" t="s">
        <v>0</v>
      </c>
      <c r="F188" s="16" t="s">
        <v>716</v>
      </c>
      <c r="G188" s="7" t="s">
        <v>717</v>
      </c>
      <c r="H188" s="7" t="s">
        <v>710</v>
      </c>
      <c r="I188" s="7" t="s">
        <v>0</v>
      </c>
      <c r="J188" s="7" t="s">
        <v>5867</v>
      </c>
      <c r="K188" s="7" t="s">
        <v>47</v>
      </c>
      <c r="L188" s="7" t="s">
        <v>239</v>
      </c>
      <c r="M188" s="7" t="s">
        <v>0</v>
      </c>
      <c r="N188" s="7" t="s">
        <v>6315</v>
      </c>
      <c r="O188" s="7" t="s">
        <v>0</v>
      </c>
      <c r="P188" s="7" t="s">
        <v>6316</v>
      </c>
      <c r="Q188" s="7" t="s">
        <v>6317</v>
      </c>
      <c r="R188" s="7" t="s">
        <v>714</v>
      </c>
      <c r="S188" s="7" t="s">
        <v>714</v>
      </c>
      <c r="T188" s="7" t="s">
        <v>54</v>
      </c>
      <c r="U188" s="7" t="s">
        <v>101</v>
      </c>
      <c r="V188" s="7" t="s">
        <v>308</v>
      </c>
      <c r="W188" s="7" t="s">
        <v>57</v>
      </c>
      <c r="X188" s="7" t="s">
        <v>103</v>
      </c>
      <c r="Y188" s="8">
        <v>45540</v>
      </c>
      <c r="Z188" s="8">
        <v>45657</v>
      </c>
      <c r="AA188" s="7" t="s">
        <v>309</v>
      </c>
      <c r="AB188" s="7" t="s">
        <v>64</v>
      </c>
      <c r="AC188" s="7" t="s">
        <v>79</v>
      </c>
      <c r="AD188" s="7" t="s">
        <v>144</v>
      </c>
      <c r="AE188" s="7" t="s">
        <v>82</v>
      </c>
      <c r="AF188" s="7" t="s">
        <v>0</v>
      </c>
      <c r="AG188" s="7" t="s">
        <v>0</v>
      </c>
      <c r="AH188" s="9" t="s">
        <v>12803</v>
      </c>
      <c r="AI188" s="9" t="s">
        <v>12804</v>
      </c>
      <c r="AJ188" s="9" t="s">
        <v>12805</v>
      </c>
      <c r="AK188" s="7" t="s">
        <v>61</v>
      </c>
      <c r="AL188" s="7" t="s">
        <v>61</v>
      </c>
      <c r="AM188" s="7" t="s">
        <v>0</v>
      </c>
      <c r="AN188" s="7" t="s">
        <v>0</v>
      </c>
      <c r="AO188" s="7" t="s">
        <v>0</v>
      </c>
      <c r="AP188" s="7" t="s">
        <v>0</v>
      </c>
      <c r="AQ188" s="7" t="s">
        <v>61</v>
      </c>
      <c r="AR188" s="7" t="s">
        <v>0</v>
      </c>
      <c r="AS188" s="10" t="str">
        <f>HYPERLINK("https://tessa.gazprom-neft.local/edo/card/c430cc6c-ed4e-448d-8e78-e320cc4c054b", "https://tessa.gazprom-neft.local/edo/card/c430cc6c-ed4e-448d-8e78-e320cc4c054b")</f>
        <v>https://tessa.gazprom-neft.local/edo/card/c430cc6c-ed4e-448d-8e78-e320cc4c054b</v>
      </c>
    </row>
    <row r="189" spans="1:45" hidden="1" x14ac:dyDescent="0.25">
      <c r="A189" s="6" t="s">
        <v>44</v>
      </c>
      <c r="B189" s="7" t="s">
        <v>715</v>
      </c>
      <c r="C189" s="7" t="s">
        <v>67</v>
      </c>
      <c r="D189" s="8">
        <v>45540</v>
      </c>
      <c r="E189" s="8" t="s">
        <v>0</v>
      </c>
      <c r="F189" s="16" t="s">
        <v>716</v>
      </c>
      <c r="G189" s="7" t="s">
        <v>717</v>
      </c>
      <c r="H189" s="7" t="s">
        <v>710</v>
      </c>
      <c r="I189" s="7" t="s">
        <v>0</v>
      </c>
      <c r="J189" s="7" t="s">
        <v>5856</v>
      </c>
      <c r="K189" s="7" t="s">
        <v>47</v>
      </c>
      <c r="L189" s="7" t="s">
        <v>239</v>
      </c>
      <c r="M189" s="7" t="s">
        <v>0</v>
      </c>
      <c r="N189" s="7" t="s">
        <v>6333</v>
      </c>
      <c r="O189" s="7" t="s">
        <v>0</v>
      </c>
      <c r="P189" s="7" t="s">
        <v>6334</v>
      </c>
      <c r="Q189" s="7" t="s">
        <v>6335</v>
      </c>
      <c r="R189" s="7" t="s">
        <v>714</v>
      </c>
      <c r="S189" s="7" t="s">
        <v>714</v>
      </c>
      <c r="T189" s="7" t="s">
        <v>54</v>
      </c>
      <c r="U189" s="7" t="s">
        <v>101</v>
      </c>
      <c r="V189" s="7" t="s">
        <v>308</v>
      </c>
      <c r="W189" s="7" t="s">
        <v>57</v>
      </c>
      <c r="X189" s="7" t="s">
        <v>103</v>
      </c>
      <c r="Y189" s="8">
        <v>45540</v>
      </c>
      <c r="Z189" s="8">
        <v>45657</v>
      </c>
      <c r="AA189" s="7" t="s">
        <v>309</v>
      </c>
      <c r="AB189" s="7" t="s">
        <v>64</v>
      </c>
      <c r="AC189" s="7" t="s">
        <v>79</v>
      </c>
      <c r="AD189" s="7" t="s">
        <v>144</v>
      </c>
      <c r="AE189" s="7" t="s">
        <v>82</v>
      </c>
      <c r="AF189" s="7" t="s">
        <v>0</v>
      </c>
      <c r="AG189" s="7" t="s">
        <v>0</v>
      </c>
      <c r="AH189" s="9" t="s">
        <v>12813</v>
      </c>
      <c r="AI189" s="9" t="s">
        <v>12814</v>
      </c>
      <c r="AJ189" s="9" t="s">
        <v>12815</v>
      </c>
      <c r="AK189" s="7" t="s">
        <v>61</v>
      </c>
      <c r="AL189" s="7" t="s">
        <v>61</v>
      </c>
      <c r="AM189" s="7" t="s">
        <v>0</v>
      </c>
      <c r="AN189" s="7" t="s">
        <v>0</v>
      </c>
      <c r="AO189" s="7" t="s">
        <v>0</v>
      </c>
      <c r="AP189" s="7" t="s">
        <v>0</v>
      </c>
      <c r="AQ189" s="7" t="s">
        <v>61</v>
      </c>
      <c r="AR189" s="7" t="s">
        <v>0</v>
      </c>
      <c r="AS189" s="10" t="str">
        <f>HYPERLINK("https://tessa.gazprom-neft.local/edo/card/299fa341-6293-403b-b68e-bf1a324dbdd8", "https://tessa.gazprom-neft.local/edo/card/299fa341-6293-403b-b68e-bf1a324dbdd8")</f>
        <v>https://tessa.gazprom-neft.local/edo/card/299fa341-6293-403b-b68e-bf1a324dbdd8</v>
      </c>
    </row>
    <row r="190" spans="1:45" x14ac:dyDescent="0.25">
      <c r="A190" s="6" t="s">
        <v>44</v>
      </c>
      <c r="B190" s="7" t="s">
        <v>265</v>
      </c>
      <c r="C190" s="7" t="s">
        <v>67</v>
      </c>
      <c r="D190" s="8">
        <v>45540</v>
      </c>
      <c r="E190" s="8" t="s">
        <v>0</v>
      </c>
      <c r="F190" s="16" t="s">
        <v>266</v>
      </c>
      <c r="G190" s="7" t="s">
        <v>267</v>
      </c>
      <c r="H190" s="7" t="s">
        <v>261</v>
      </c>
      <c r="I190" s="7" t="s">
        <v>0</v>
      </c>
      <c r="J190" s="7" t="s">
        <v>657</v>
      </c>
      <c r="K190" s="7" t="s">
        <v>47</v>
      </c>
      <c r="L190" s="7" t="s">
        <v>48</v>
      </c>
      <c r="M190" s="7" t="s">
        <v>0</v>
      </c>
      <c r="N190" s="7" t="s">
        <v>6442</v>
      </c>
      <c r="O190" s="7" t="s">
        <v>0</v>
      </c>
      <c r="P190" s="7" t="s">
        <v>6443</v>
      </c>
      <c r="Q190" s="7" t="s">
        <v>6444</v>
      </c>
      <c r="R190" s="7" t="s">
        <v>124</v>
      </c>
      <c r="S190" s="7" t="s">
        <v>0</v>
      </c>
      <c r="T190" s="7" t="s">
        <v>54</v>
      </c>
      <c r="U190" s="7" t="s">
        <v>125</v>
      </c>
      <c r="V190" s="7" t="s">
        <v>126</v>
      </c>
      <c r="W190" s="7" t="s">
        <v>74</v>
      </c>
      <c r="X190" s="7" t="s">
        <v>103</v>
      </c>
      <c r="Y190" s="8">
        <v>45540</v>
      </c>
      <c r="Z190" s="8">
        <v>46022</v>
      </c>
      <c r="AA190" s="7" t="s">
        <v>5596</v>
      </c>
      <c r="AB190" s="7" t="s">
        <v>130</v>
      </c>
      <c r="AC190" s="7" t="s">
        <v>65</v>
      </c>
      <c r="AD190" s="7" t="s">
        <v>80</v>
      </c>
      <c r="AE190" s="7" t="s">
        <v>0</v>
      </c>
      <c r="AF190" s="7" t="s">
        <v>0</v>
      </c>
      <c r="AG190" s="7" t="s">
        <v>0</v>
      </c>
      <c r="AH190" s="9" t="s">
        <v>0</v>
      </c>
      <c r="AI190" s="9" t="s">
        <v>0</v>
      </c>
      <c r="AJ190" s="9" t="s">
        <v>0</v>
      </c>
      <c r="AK190" s="7" t="s">
        <v>61</v>
      </c>
      <c r="AL190" s="7" t="s">
        <v>61</v>
      </c>
      <c r="AM190" s="7" t="s">
        <v>0</v>
      </c>
      <c r="AN190" s="7" t="s">
        <v>0</v>
      </c>
      <c r="AO190" s="7" t="s">
        <v>0</v>
      </c>
      <c r="AP190" s="7" t="s">
        <v>0</v>
      </c>
      <c r="AQ190" s="7" t="s">
        <v>61</v>
      </c>
      <c r="AR190" s="7" t="s">
        <v>0</v>
      </c>
      <c r="AS190" s="10" t="str">
        <f>HYPERLINK("https://tessa.gazprom-neft.local/edo/card/257df4c5-153e-4bf9-88fc-435addfd0fb6", "https://tessa.gazprom-neft.local/edo/card/257df4c5-153e-4bf9-88fc-435addfd0fb6")</f>
        <v>https://tessa.gazprom-neft.local/edo/card/257df4c5-153e-4bf9-88fc-435addfd0fb6</v>
      </c>
    </row>
    <row r="191" spans="1:45" hidden="1" x14ac:dyDescent="0.25">
      <c r="A191" s="6" t="s">
        <v>44</v>
      </c>
      <c r="B191" s="7" t="s">
        <v>715</v>
      </c>
      <c r="C191" s="7" t="s">
        <v>67</v>
      </c>
      <c r="D191" s="8">
        <v>45536</v>
      </c>
      <c r="E191" s="8" t="s">
        <v>0</v>
      </c>
      <c r="F191" s="16" t="s">
        <v>716</v>
      </c>
      <c r="G191" s="7" t="s">
        <v>717</v>
      </c>
      <c r="H191" s="7" t="s">
        <v>710</v>
      </c>
      <c r="I191" s="7" t="s">
        <v>0</v>
      </c>
      <c r="J191" s="7" t="s">
        <v>6114</v>
      </c>
      <c r="K191" s="7" t="s">
        <v>47</v>
      </c>
      <c r="L191" s="7" t="s">
        <v>239</v>
      </c>
      <c r="M191" s="7" t="s">
        <v>0</v>
      </c>
      <c r="N191" s="7" t="s">
        <v>6112</v>
      </c>
      <c r="O191" s="7" t="s">
        <v>0</v>
      </c>
      <c r="P191" s="7" t="s">
        <v>6113</v>
      </c>
      <c r="Q191" s="7" t="s">
        <v>4349</v>
      </c>
      <c r="R191" s="7" t="s">
        <v>714</v>
      </c>
      <c r="S191" s="7" t="s">
        <v>714</v>
      </c>
      <c r="T191" s="7" t="s">
        <v>54</v>
      </c>
      <c r="U191" s="7" t="s">
        <v>101</v>
      </c>
      <c r="V191" s="7" t="s">
        <v>308</v>
      </c>
      <c r="W191" s="7" t="s">
        <v>74</v>
      </c>
      <c r="X191" s="7" t="s">
        <v>103</v>
      </c>
      <c r="Y191" s="8">
        <v>45536</v>
      </c>
      <c r="Z191" s="8">
        <v>45565</v>
      </c>
      <c r="AA191" s="7" t="s">
        <v>309</v>
      </c>
      <c r="AB191" s="7" t="s">
        <v>64</v>
      </c>
      <c r="AC191" s="7" t="s">
        <v>79</v>
      </c>
      <c r="AD191" s="7" t="s">
        <v>144</v>
      </c>
      <c r="AE191" s="7" t="s">
        <v>82</v>
      </c>
      <c r="AF191" s="7" t="s">
        <v>0</v>
      </c>
      <c r="AG191" s="7" t="s">
        <v>0</v>
      </c>
      <c r="AH191" s="9" t="s">
        <v>12724</v>
      </c>
      <c r="AI191" s="9" t="s">
        <v>12725</v>
      </c>
      <c r="AJ191" s="9" t="s">
        <v>12726</v>
      </c>
      <c r="AK191" s="7" t="s">
        <v>61</v>
      </c>
      <c r="AL191" s="7" t="s">
        <v>61</v>
      </c>
      <c r="AM191" s="7" t="s">
        <v>0</v>
      </c>
      <c r="AN191" s="7" t="s">
        <v>0</v>
      </c>
      <c r="AO191" s="7" t="s">
        <v>0</v>
      </c>
      <c r="AP191" s="7" t="s">
        <v>0</v>
      </c>
      <c r="AQ191" s="7" t="s">
        <v>61</v>
      </c>
      <c r="AR191" s="7" t="s">
        <v>0</v>
      </c>
      <c r="AS191" s="10" t="str">
        <f>HYPERLINK("https://tessa.gazprom-neft.local/edo/card/e80af568-4ee7-457a-b124-b335ffb9dbd1", "https://tessa.gazprom-neft.local/edo/card/e80af568-4ee7-457a-b124-b335ffb9dbd1")</f>
        <v>https://tessa.gazprom-neft.local/edo/card/e80af568-4ee7-457a-b124-b335ffb9dbd1</v>
      </c>
    </row>
    <row r="192" spans="1:45" hidden="1" x14ac:dyDescent="0.25">
      <c r="A192" s="6" t="s">
        <v>44</v>
      </c>
      <c r="B192" s="7" t="s">
        <v>715</v>
      </c>
      <c r="C192" s="7" t="s">
        <v>67</v>
      </c>
      <c r="D192" s="8">
        <v>45536</v>
      </c>
      <c r="E192" s="8" t="s">
        <v>0</v>
      </c>
      <c r="F192" s="16" t="s">
        <v>716</v>
      </c>
      <c r="G192" s="7" t="s">
        <v>717</v>
      </c>
      <c r="H192" s="7" t="s">
        <v>710</v>
      </c>
      <c r="I192" s="7" t="s">
        <v>0</v>
      </c>
      <c r="J192" s="7" t="s">
        <v>1132</v>
      </c>
      <c r="K192" s="7" t="s">
        <v>47</v>
      </c>
      <c r="L192" s="7" t="s">
        <v>239</v>
      </c>
      <c r="M192" s="7" t="s">
        <v>0</v>
      </c>
      <c r="N192" s="7" t="s">
        <v>6125</v>
      </c>
      <c r="O192" s="7" t="s">
        <v>0</v>
      </c>
      <c r="P192" s="7" t="s">
        <v>6126</v>
      </c>
      <c r="Q192" s="7" t="s">
        <v>6127</v>
      </c>
      <c r="R192" s="7" t="s">
        <v>714</v>
      </c>
      <c r="S192" s="7" t="s">
        <v>0</v>
      </c>
      <c r="T192" s="7" t="s">
        <v>54</v>
      </c>
      <c r="U192" s="7" t="s">
        <v>101</v>
      </c>
      <c r="V192" s="7" t="s">
        <v>308</v>
      </c>
      <c r="W192" s="7" t="s">
        <v>74</v>
      </c>
      <c r="X192" s="7" t="s">
        <v>103</v>
      </c>
      <c r="Y192" s="8">
        <v>45536</v>
      </c>
      <c r="Z192" s="8">
        <v>45565</v>
      </c>
      <c r="AA192" s="7" t="s">
        <v>309</v>
      </c>
      <c r="AB192" s="7" t="s">
        <v>64</v>
      </c>
      <c r="AC192" s="7" t="s">
        <v>79</v>
      </c>
      <c r="AD192" s="7" t="s">
        <v>144</v>
      </c>
      <c r="AE192" s="7" t="s">
        <v>82</v>
      </c>
      <c r="AF192" s="7" t="s">
        <v>0</v>
      </c>
      <c r="AG192" s="7" t="s">
        <v>0</v>
      </c>
      <c r="AH192" s="9" t="s">
        <v>12724</v>
      </c>
      <c r="AI192" s="9" t="s">
        <v>12725</v>
      </c>
      <c r="AJ192" s="9" t="s">
        <v>12726</v>
      </c>
      <c r="AK192" s="7" t="s">
        <v>61</v>
      </c>
      <c r="AL192" s="7" t="s">
        <v>61</v>
      </c>
      <c r="AM192" s="7" t="s">
        <v>0</v>
      </c>
      <c r="AN192" s="7" t="s">
        <v>0</v>
      </c>
      <c r="AO192" s="7" t="s">
        <v>0</v>
      </c>
      <c r="AP192" s="7" t="s">
        <v>0</v>
      </c>
      <c r="AQ192" s="7" t="s">
        <v>61</v>
      </c>
      <c r="AR192" s="7" t="s">
        <v>0</v>
      </c>
      <c r="AS192" s="10" t="str">
        <f>HYPERLINK("https://tessa.gazprom-neft.local/edo/card/4fb48a28-1bae-4c98-9ec0-21d718c8c42b", "https://tessa.gazprom-neft.local/edo/card/4fb48a28-1bae-4c98-9ec0-21d718c8c42b")</f>
        <v>https://tessa.gazprom-neft.local/edo/card/4fb48a28-1bae-4c98-9ec0-21d718c8c42b</v>
      </c>
    </row>
    <row r="193" spans="1:45" hidden="1" x14ac:dyDescent="0.25">
      <c r="A193" s="6" t="s">
        <v>44</v>
      </c>
      <c r="B193" s="7" t="s">
        <v>6301</v>
      </c>
      <c r="C193" s="7" t="s">
        <v>67</v>
      </c>
      <c r="D193" s="8">
        <v>45536</v>
      </c>
      <c r="E193" s="8" t="s">
        <v>0</v>
      </c>
      <c r="F193" s="16" t="s">
        <v>6302</v>
      </c>
      <c r="G193" s="7" t="s">
        <v>6303</v>
      </c>
      <c r="H193" s="7" t="s">
        <v>0</v>
      </c>
      <c r="I193" s="7" t="s">
        <v>6413</v>
      </c>
      <c r="J193" s="7" t="s">
        <v>6413</v>
      </c>
      <c r="K193" s="7" t="s">
        <v>47</v>
      </c>
      <c r="L193" s="7" t="s">
        <v>96</v>
      </c>
      <c r="M193" s="7" t="s">
        <v>0</v>
      </c>
      <c r="N193" s="7" t="s">
        <v>6412</v>
      </c>
      <c r="O193" s="7" t="s">
        <v>0</v>
      </c>
      <c r="P193" s="7" t="s">
        <v>6299</v>
      </c>
      <c r="Q193" s="7" t="s">
        <v>6300</v>
      </c>
      <c r="R193" s="7" t="s">
        <v>2079</v>
      </c>
      <c r="S193" s="7" t="s">
        <v>2079</v>
      </c>
      <c r="T193" s="7" t="s">
        <v>54</v>
      </c>
      <c r="U193" s="7" t="s">
        <v>55</v>
      </c>
      <c r="V193" s="7" t="s">
        <v>56</v>
      </c>
      <c r="W193" s="7" t="s">
        <v>74</v>
      </c>
      <c r="X193" s="7" t="s">
        <v>103</v>
      </c>
      <c r="Y193" s="8">
        <v>45536</v>
      </c>
      <c r="Z193" s="8">
        <v>46265</v>
      </c>
      <c r="AA193" s="7" t="s">
        <v>6414</v>
      </c>
      <c r="AB193" s="7" t="s">
        <v>64</v>
      </c>
      <c r="AC193" s="7" t="s">
        <v>79</v>
      </c>
      <c r="AD193" s="7" t="s">
        <v>514</v>
      </c>
      <c r="AE193" s="7" t="s">
        <v>82</v>
      </c>
      <c r="AF193" s="7" t="s">
        <v>0</v>
      </c>
      <c r="AG193" s="7" t="s">
        <v>0</v>
      </c>
      <c r="AH193" s="9" t="s">
        <v>12832</v>
      </c>
      <c r="AI193" s="9" t="s">
        <v>12833</v>
      </c>
      <c r="AJ193" s="9" t="s">
        <v>12834</v>
      </c>
      <c r="AK193" s="7" t="s">
        <v>61</v>
      </c>
      <c r="AL193" s="7" t="s">
        <v>61</v>
      </c>
      <c r="AM193" s="7" t="s">
        <v>0</v>
      </c>
      <c r="AN193" s="7" t="s">
        <v>0</v>
      </c>
      <c r="AO193" s="7" t="s">
        <v>0</v>
      </c>
      <c r="AP193" s="7" t="s">
        <v>0</v>
      </c>
      <c r="AQ193" s="7" t="s">
        <v>61</v>
      </c>
      <c r="AR193" s="7" t="s">
        <v>0</v>
      </c>
      <c r="AS193" s="10" t="str">
        <f>HYPERLINK("https://tessa.gazprom-neft.local/edo/card/47b6d783-611e-4e55-8d35-56d4d33988a6", "https://tessa.gazprom-neft.local/edo/card/47b6d783-611e-4e55-8d35-56d4d33988a6")</f>
        <v>https://tessa.gazprom-neft.local/edo/card/47b6d783-611e-4e55-8d35-56d4d33988a6</v>
      </c>
    </row>
    <row r="194" spans="1:45" x14ac:dyDescent="0.25">
      <c r="A194" s="6" t="s">
        <v>44</v>
      </c>
      <c r="B194" s="7" t="s">
        <v>927</v>
      </c>
      <c r="C194" s="7" t="s">
        <v>67</v>
      </c>
      <c r="D194" s="8">
        <v>45535</v>
      </c>
      <c r="E194" s="8">
        <v>46022</v>
      </c>
      <c r="F194" s="16" t="s">
        <v>928</v>
      </c>
      <c r="G194" s="7" t="s">
        <v>929</v>
      </c>
      <c r="H194" s="7" t="s">
        <v>6471</v>
      </c>
      <c r="I194" s="7" t="s">
        <v>0</v>
      </c>
      <c r="J194" s="7" t="s">
        <v>936</v>
      </c>
      <c r="K194" s="7" t="s">
        <v>85</v>
      </c>
      <c r="L194" s="7" t="s">
        <v>48</v>
      </c>
      <c r="M194" s="7" t="s">
        <v>5649</v>
      </c>
      <c r="N194" s="7" t="s">
        <v>6470</v>
      </c>
      <c r="O194" s="7" t="s">
        <v>0</v>
      </c>
      <c r="P194" s="7" t="s">
        <v>5649</v>
      </c>
      <c r="Q194" s="7" t="s">
        <v>6472</v>
      </c>
      <c r="R194" s="7" t="s">
        <v>5423</v>
      </c>
      <c r="S194" s="7" t="s">
        <v>0</v>
      </c>
      <c r="T194" s="7" t="s">
        <v>54</v>
      </c>
      <c r="U194" s="7" t="s">
        <v>199</v>
      </c>
      <c r="V194" s="7" t="s">
        <v>126</v>
      </c>
      <c r="W194" s="7" t="s">
        <v>74</v>
      </c>
      <c r="X194" s="7" t="s">
        <v>58</v>
      </c>
      <c r="Y194" s="8">
        <v>45535</v>
      </c>
      <c r="Z194" s="8" t="s">
        <v>0</v>
      </c>
      <c r="AA194" s="7" t="s">
        <v>5596</v>
      </c>
      <c r="AB194" s="7" t="s">
        <v>130</v>
      </c>
      <c r="AC194" s="7" t="s">
        <v>79</v>
      </c>
      <c r="AD194" s="7" t="s">
        <v>80</v>
      </c>
      <c r="AE194" s="7" t="s">
        <v>82</v>
      </c>
      <c r="AF194" s="7" t="s">
        <v>0</v>
      </c>
      <c r="AG194" s="7" t="s">
        <v>0</v>
      </c>
      <c r="AH194" s="9">
        <v>0</v>
      </c>
      <c r="AI194" s="9">
        <v>0</v>
      </c>
      <c r="AJ194" s="9">
        <v>0</v>
      </c>
      <c r="AK194" s="7" t="s">
        <v>61</v>
      </c>
      <c r="AL194" s="7" t="s">
        <v>61</v>
      </c>
      <c r="AM194" s="7" t="s">
        <v>0</v>
      </c>
      <c r="AN194" s="7" t="s">
        <v>0</v>
      </c>
      <c r="AO194" s="7" t="s">
        <v>0</v>
      </c>
      <c r="AP194" s="7" t="s">
        <v>0</v>
      </c>
      <c r="AQ194" s="7" t="s">
        <v>61</v>
      </c>
      <c r="AR194" s="7" t="s">
        <v>0</v>
      </c>
      <c r="AS194" s="10" t="str">
        <f>HYPERLINK("https://tessa.gazprom-neft.local/edo/card/ddac9354-ca0a-4c1a-9a50-4dbbf965456e", "https://tessa.gazprom-neft.local/edo/card/ddac9354-ca0a-4c1a-9a50-4dbbf965456e")</f>
        <v>https://tessa.gazprom-neft.local/edo/card/ddac9354-ca0a-4c1a-9a50-4dbbf965456e</v>
      </c>
    </row>
    <row r="195" spans="1:45" x14ac:dyDescent="0.25">
      <c r="A195" s="6" t="s">
        <v>44</v>
      </c>
      <c r="B195" s="7" t="s">
        <v>213</v>
      </c>
      <c r="C195" s="7" t="s">
        <v>67</v>
      </c>
      <c r="D195" s="8">
        <v>45535</v>
      </c>
      <c r="E195" s="8">
        <v>46022</v>
      </c>
      <c r="F195" s="16" t="s">
        <v>214</v>
      </c>
      <c r="G195" s="7" t="s">
        <v>215</v>
      </c>
      <c r="H195" s="7" t="s">
        <v>207</v>
      </c>
      <c r="I195" s="7" t="s">
        <v>0</v>
      </c>
      <c r="J195" s="7" t="s">
        <v>936</v>
      </c>
      <c r="K195" s="7" t="s">
        <v>85</v>
      </c>
      <c r="L195" s="7" t="s">
        <v>48</v>
      </c>
      <c r="M195" s="7" t="s">
        <v>5649</v>
      </c>
      <c r="N195" s="7" t="s">
        <v>6715</v>
      </c>
      <c r="O195" s="7" t="s">
        <v>0</v>
      </c>
      <c r="P195" s="7" t="s">
        <v>5649</v>
      </c>
      <c r="Q195" s="7" t="s">
        <v>6716</v>
      </c>
      <c r="R195" s="7" t="s">
        <v>5423</v>
      </c>
      <c r="S195" s="7" t="s">
        <v>5423</v>
      </c>
      <c r="T195" s="7" t="s">
        <v>54</v>
      </c>
      <c r="U195" s="7" t="s">
        <v>199</v>
      </c>
      <c r="V195" s="7" t="s">
        <v>126</v>
      </c>
      <c r="W195" s="7" t="s">
        <v>74</v>
      </c>
      <c r="X195" s="7" t="s">
        <v>58</v>
      </c>
      <c r="Y195" s="8">
        <v>45535</v>
      </c>
      <c r="Z195" s="8" t="s">
        <v>0</v>
      </c>
      <c r="AA195" s="7" t="s">
        <v>5596</v>
      </c>
      <c r="AB195" s="7" t="s">
        <v>64</v>
      </c>
      <c r="AC195" s="7" t="s">
        <v>79</v>
      </c>
      <c r="AD195" s="7" t="s">
        <v>80</v>
      </c>
      <c r="AE195" s="7" t="s">
        <v>82</v>
      </c>
      <c r="AF195" s="7" t="s">
        <v>0</v>
      </c>
      <c r="AG195" s="7" t="s">
        <v>0</v>
      </c>
      <c r="AH195" s="9">
        <v>0</v>
      </c>
      <c r="AI195" s="9">
        <v>0</v>
      </c>
      <c r="AJ195" s="9">
        <v>0</v>
      </c>
      <c r="AK195" s="7" t="s">
        <v>61</v>
      </c>
      <c r="AL195" s="7" t="s">
        <v>61</v>
      </c>
      <c r="AM195" s="7" t="s">
        <v>0</v>
      </c>
      <c r="AN195" s="7" t="s">
        <v>0</v>
      </c>
      <c r="AO195" s="7" t="s">
        <v>0</v>
      </c>
      <c r="AP195" s="7" t="s">
        <v>0</v>
      </c>
      <c r="AQ195" s="7" t="s">
        <v>61</v>
      </c>
      <c r="AR195" s="7" t="s">
        <v>0</v>
      </c>
      <c r="AS195" s="10" t="str">
        <f>HYPERLINK("https://tessa.gazprom-neft.local/edo/card/a9fb459c-d0b4-4981-bdd8-dbce4682f89b", "https://tessa.gazprom-neft.local/edo/card/a9fb459c-d0b4-4981-bdd8-dbce4682f89b")</f>
        <v>https://tessa.gazprom-neft.local/edo/card/a9fb459c-d0b4-4981-bdd8-dbce4682f89b</v>
      </c>
    </row>
    <row r="196" spans="1:45" hidden="1" x14ac:dyDescent="0.25">
      <c r="A196" s="6" t="s">
        <v>44</v>
      </c>
      <c r="B196" s="7" t="s">
        <v>687</v>
      </c>
      <c r="C196" s="7" t="s">
        <v>67</v>
      </c>
      <c r="D196" s="8">
        <v>45534</v>
      </c>
      <c r="E196" s="8" t="s">
        <v>0</v>
      </c>
      <c r="F196" s="16" t="s">
        <v>688</v>
      </c>
      <c r="G196" s="7" t="s">
        <v>689</v>
      </c>
      <c r="H196" s="7" t="s">
        <v>0</v>
      </c>
      <c r="I196" s="7" t="s">
        <v>6156</v>
      </c>
      <c r="J196" s="7" t="s">
        <v>6156</v>
      </c>
      <c r="K196" s="7" t="s">
        <v>47</v>
      </c>
      <c r="L196" s="7" t="s">
        <v>86</v>
      </c>
      <c r="M196" s="7" t="s">
        <v>0</v>
      </c>
      <c r="N196" s="7" t="s">
        <v>6155</v>
      </c>
      <c r="O196" s="7" t="s">
        <v>0</v>
      </c>
      <c r="P196" s="7" t="s">
        <v>6157</v>
      </c>
      <c r="Q196" s="7" t="s">
        <v>6158</v>
      </c>
      <c r="R196" s="7" t="s">
        <v>1139</v>
      </c>
      <c r="S196" s="7" t="s">
        <v>3798</v>
      </c>
      <c r="T196" s="7" t="s">
        <v>54</v>
      </c>
      <c r="U196" s="7" t="s">
        <v>125</v>
      </c>
      <c r="V196" s="7" t="s">
        <v>91</v>
      </c>
      <c r="W196" s="7" t="s">
        <v>74</v>
      </c>
      <c r="X196" s="7" t="s">
        <v>103</v>
      </c>
      <c r="Y196" s="8">
        <v>45534</v>
      </c>
      <c r="Z196" s="8">
        <v>47483</v>
      </c>
      <c r="AA196" s="7" t="s">
        <v>92</v>
      </c>
      <c r="AB196" s="7" t="s">
        <v>237</v>
      </c>
      <c r="AC196" s="7" t="s">
        <v>65</v>
      </c>
      <c r="AD196" s="7" t="s">
        <v>0</v>
      </c>
      <c r="AE196" s="7" t="s">
        <v>0</v>
      </c>
      <c r="AF196" s="7" t="s">
        <v>0</v>
      </c>
      <c r="AG196" s="7" t="s">
        <v>0</v>
      </c>
      <c r="AH196" s="9" t="s">
        <v>0</v>
      </c>
      <c r="AI196" s="9" t="s">
        <v>0</v>
      </c>
      <c r="AJ196" s="9" t="s">
        <v>0</v>
      </c>
      <c r="AK196" s="7" t="s">
        <v>61</v>
      </c>
      <c r="AL196" s="7" t="s">
        <v>61</v>
      </c>
      <c r="AM196" s="7" t="s">
        <v>0</v>
      </c>
      <c r="AN196" s="7" t="s">
        <v>0</v>
      </c>
      <c r="AO196" s="7" t="s">
        <v>0</v>
      </c>
      <c r="AP196" s="7" t="s">
        <v>0</v>
      </c>
      <c r="AQ196" s="7" t="s">
        <v>61</v>
      </c>
      <c r="AR196" s="7" t="s">
        <v>0</v>
      </c>
      <c r="AS196" s="10" t="str">
        <f>HYPERLINK("https://tessa.gazprom-neft.local/edo/card/842015b7-cfbb-4a1b-941f-5e78a1cfd3e5", "https://tessa.gazprom-neft.local/edo/card/842015b7-cfbb-4a1b-941f-5e78a1cfd3e5")</f>
        <v>https://tessa.gazprom-neft.local/edo/card/842015b7-cfbb-4a1b-941f-5e78a1cfd3e5</v>
      </c>
    </row>
    <row r="197" spans="1:45" x14ac:dyDescent="0.25">
      <c r="A197" s="6" t="s">
        <v>44</v>
      </c>
      <c r="B197" s="7" t="s">
        <v>673</v>
      </c>
      <c r="C197" s="7" t="s">
        <v>67</v>
      </c>
      <c r="D197" s="8">
        <v>45534</v>
      </c>
      <c r="E197" s="8" t="s">
        <v>0</v>
      </c>
      <c r="F197" s="16" t="s">
        <v>674</v>
      </c>
      <c r="G197" s="7" t="s">
        <v>675</v>
      </c>
      <c r="H197" s="7" t="s">
        <v>668</v>
      </c>
      <c r="I197" s="7" t="s">
        <v>0</v>
      </c>
      <c r="J197" s="7" t="s">
        <v>955</v>
      </c>
      <c r="K197" s="7" t="s">
        <v>47</v>
      </c>
      <c r="L197" s="7" t="s">
        <v>48</v>
      </c>
      <c r="M197" s="7" t="s">
        <v>0</v>
      </c>
      <c r="N197" s="7" t="s">
        <v>6268</v>
      </c>
      <c r="O197" s="7" t="s">
        <v>0</v>
      </c>
      <c r="P197" s="7" t="s">
        <v>6269</v>
      </c>
      <c r="Q197" s="7" t="s">
        <v>6270</v>
      </c>
      <c r="R197" s="7" t="s">
        <v>671</v>
      </c>
      <c r="S197" s="7" t="s">
        <v>0</v>
      </c>
      <c r="T197" s="7" t="s">
        <v>54</v>
      </c>
      <c r="U197" s="7" t="s">
        <v>672</v>
      </c>
      <c r="V197" s="7" t="s">
        <v>126</v>
      </c>
      <c r="W197" s="7" t="s">
        <v>57</v>
      </c>
      <c r="X197" s="7" t="s">
        <v>103</v>
      </c>
      <c r="Y197" s="8">
        <v>45536</v>
      </c>
      <c r="Z197" s="8">
        <v>46022</v>
      </c>
      <c r="AA197" s="7" t="s">
        <v>200</v>
      </c>
      <c r="AB197" s="7" t="s">
        <v>130</v>
      </c>
      <c r="AC197" s="7" t="s">
        <v>79</v>
      </c>
      <c r="AD197" s="7" t="s">
        <v>144</v>
      </c>
      <c r="AE197" s="7" t="s">
        <v>82</v>
      </c>
      <c r="AF197" s="7" t="s">
        <v>0</v>
      </c>
      <c r="AG197" s="7" t="s">
        <v>3645</v>
      </c>
      <c r="AH197" s="9" t="s">
        <v>12777</v>
      </c>
      <c r="AI197" s="9" t="s">
        <v>12778</v>
      </c>
      <c r="AJ197" s="9" t="s">
        <v>12779</v>
      </c>
      <c r="AK197" s="7" t="s">
        <v>81</v>
      </c>
      <c r="AL197" s="7" t="s">
        <v>61</v>
      </c>
      <c r="AM197" s="7" t="s">
        <v>0</v>
      </c>
      <c r="AN197" s="7" t="s">
        <v>0</v>
      </c>
      <c r="AO197" s="7" t="s">
        <v>0</v>
      </c>
      <c r="AP197" s="7" t="s">
        <v>0</v>
      </c>
      <c r="AQ197" s="7" t="s">
        <v>61</v>
      </c>
      <c r="AR197" s="7" t="s">
        <v>0</v>
      </c>
      <c r="AS197" s="10" t="str">
        <f>HYPERLINK("https://tessa.gazprom-neft.local/edo/card/cc1b72f1-3645-49d4-9798-7067b5121d35", "https://tessa.gazprom-neft.local/edo/card/cc1b72f1-3645-49d4-9798-7067b5121d35")</f>
        <v>https://tessa.gazprom-neft.local/edo/card/cc1b72f1-3645-49d4-9798-7067b5121d35</v>
      </c>
    </row>
    <row r="198" spans="1:45" x14ac:dyDescent="0.25">
      <c r="A198" s="6" t="s">
        <v>44</v>
      </c>
      <c r="B198" s="7" t="s">
        <v>5658</v>
      </c>
      <c r="C198" s="7" t="s">
        <v>67</v>
      </c>
      <c r="D198" s="8">
        <v>45533</v>
      </c>
      <c r="E198" s="8" t="s">
        <v>0</v>
      </c>
      <c r="F198" s="16" t="s">
        <v>5659</v>
      </c>
      <c r="G198" s="7" t="s">
        <v>5660</v>
      </c>
      <c r="H198" s="7" t="s">
        <v>5655</v>
      </c>
      <c r="I198" s="7" t="s">
        <v>0</v>
      </c>
      <c r="J198" s="7" t="s">
        <v>51</v>
      </c>
      <c r="K198" s="7" t="s">
        <v>47</v>
      </c>
      <c r="L198" s="7" t="s">
        <v>48</v>
      </c>
      <c r="M198" s="7" t="s">
        <v>0</v>
      </c>
      <c r="N198" s="7" t="s">
        <v>5654</v>
      </c>
      <c r="O198" s="7" t="s">
        <v>0</v>
      </c>
      <c r="P198" s="7" t="s">
        <v>5656</v>
      </c>
      <c r="Q198" s="7" t="s">
        <v>5657</v>
      </c>
      <c r="R198" s="7" t="s">
        <v>187</v>
      </c>
      <c r="S198" s="7" t="s">
        <v>187</v>
      </c>
      <c r="T198" s="7" t="s">
        <v>54</v>
      </c>
      <c r="U198" s="7" t="s">
        <v>188</v>
      </c>
      <c r="V198" s="7" t="s">
        <v>187</v>
      </c>
      <c r="W198" s="7" t="s">
        <v>57</v>
      </c>
      <c r="X198" s="7" t="s">
        <v>103</v>
      </c>
      <c r="Y198" s="8">
        <v>45505</v>
      </c>
      <c r="Z198" s="8">
        <v>45657</v>
      </c>
      <c r="AA198" s="7" t="s">
        <v>224</v>
      </c>
      <c r="AB198" s="7" t="s">
        <v>2985</v>
      </c>
      <c r="AC198" s="7" t="s">
        <v>79</v>
      </c>
      <c r="AD198" s="7" t="s">
        <v>80</v>
      </c>
      <c r="AE198" s="7" t="s">
        <v>82</v>
      </c>
      <c r="AF198" s="7" t="s">
        <v>0</v>
      </c>
      <c r="AG198" s="7" t="s">
        <v>0</v>
      </c>
      <c r="AH198" s="9" t="s">
        <v>12569</v>
      </c>
      <c r="AI198" s="9" t="s">
        <v>12570</v>
      </c>
      <c r="AJ198" s="9" t="s">
        <v>12571</v>
      </c>
      <c r="AK198" s="7" t="s">
        <v>61</v>
      </c>
      <c r="AL198" s="7" t="s">
        <v>61</v>
      </c>
      <c r="AM198" s="7" t="s">
        <v>0</v>
      </c>
      <c r="AN198" s="7" t="s">
        <v>0</v>
      </c>
      <c r="AO198" s="7" t="s">
        <v>0</v>
      </c>
      <c r="AP198" s="7" t="s">
        <v>0</v>
      </c>
      <c r="AQ198" s="7" t="s">
        <v>61</v>
      </c>
      <c r="AR198" s="7" t="s">
        <v>0</v>
      </c>
      <c r="AS198" s="10" t="str">
        <f>HYPERLINK("https://tessa.gazprom-neft.local/edo/card/b08dcdd3-5dc8-41c0-84f0-91c4a29012e7", "https://tessa.gazprom-neft.local/edo/card/b08dcdd3-5dc8-41c0-84f0-91c4a29012e7")</f>
        <v>https://tessa.gazprom-neft.local/edo/card/b08dcdd3-5dc8-41c0-84f0-91c4a29012e7</v>
      </c>
    </row>
    <row r="199" spans="1:45" hidden="1" x14ac:dyDescent="0.25">
      <c r="A199" s="6" t="s">
        <v>44</v>
      </c>
      <c r="B199" s="7" t="s">
        <v>363</v>
      </c>
      <c r="C199" s="7" t="s">
        <v>67</v>
      </c>
      <c r="D199" s="8">
        <v>45533</v>
      </c>
      <c r="E199" s="8" t="s">
        <v>0</v>
      </c>
      <c r="F199" s="16" t="s">
        <v>364</v>
      </c>
      <c r="G199" s="7" t="s">
        <v>365</v>
      </c>
      <c r="H199" s="7" t="s">
        <v>0</v>
      </c>
      <c r="I199" s="7" t="s">
        <v>6168</v>
      </c>
      <c r="J199" s="7" t="s">
        <v>6168</v>
      </c>
      <c r="K199" s="7" t="s">
        <v>85</v>
      </c>
      <c r="L199" s="7" t="s">
        <v>86</v>
      </c>
      <c r="M199" s="7" t="s">
        <v>83</v>
      </c>
      <c r="N199" s="7" t="s">
        <v>6167</v>
      </c>
      <c r="O199" s="7" t="s">
        <v>0</v>
      </c>
      <c r="P199" s="7" t="s">
        <v>6169</v>
      </c>
      <c r="Q199" s="7" t="s">
        <v>5785</v>
      </c>
      <c r="R199" s="7" t="s">
        <v>891</v>
      </c>
      <c r="S199" s="7" t="s">
        <v>891</v>
      </c>
      <c r="T199" s="7" t="s">
        <v>54</v>
      </c>
      <c r="U199" s="7" t="s">
        <v>892</v>
      </c>
      <c r="V199" s="7" t="s">
        <v>56</v>
      </c>
      <c r="W199" s="7" t="s">
        <v>74</v>
      </c>
      <c r="X199" s="7" t="s">
        <v>223</v>
      </c>
      <c r="Y199" s="8">
        <v>45533</v>
      </c>
      <c r="Z199" s="8" t="s">
        <v>0</v>
      </c>
      <c r="AA199" s="7" t="s">
        <v>59</v>
      </c>
      <c r="AB199" s="7" t="s">
        <v>94</v>
      </c>
      <c r="AC199" s="7" t="s">
        <v>65</v>
      </c>
      <c r="AD199" s="7" t="s">
        <v>0</v>
      </c>
      <c r="AE199" s="7" t="s">
        <v>0</v>
      </c>
      <c r="AF199" s="7" t="s">
        <v>0</v>
      </c>
      <c r="AG199" s="7" t="s">
        <v>0</v>
      </c>
      <c r="AH199" s="9" t="s">
        <v>0</v>
      </c>
      <c r="AI199" s="9" t="s">
        <v>0</v>
      </c>
      <c r="AJ199" s="9" t="s">
        <v>0</v>
      </c>
      <c r="AK199" s="7" t="s">
        <v>61</v>
      </c>
      <c r="AL199" s="7" t="s">
        <v>61</v>
      </c>
      <c r="AM199" s="7" t="s">
        <v>0</v>
      </c>
      <c r="AN199" s="7" t="s">
        <v>0</v>
      </c>
      <c r="AO199" s="7" t="s">
        <v>0</v>
      </c>
      <c r="AP199" s="7" t="s">
        <v>0</v>
      </c>
      <c r="AQ199" s="7" t="s">
        <v>61</v>
      </c>
      <c r="AR199" s="7" t="s">
        <v>0</v>
      </c>
      <c r="AS199" s="10" t="str">
        <f>HYPERLINK("https://tessa.gazprom-neft.local/edo/card/34e0d1e7-4ba7-46e0-8520-0c706300fcdd", "https://tessa.gazprom-neft.local/edo/card/34e0d1e7-4ba7-46e0-8520-0c706300fcdd")</f>
        <v>https://tessa.gazprom-neft.local/edo/card/34e0d1e7-4ba7-46e0-8520-0c706300fcdd</v>
      </c>
    </row>
    <row r="200" spans="1:45" x14ac:dyDescent="0.25">
      <c r="A200" s="6" t="s">
        <v>44</v>
      </c>
      <c r="B200" s="7" t="s">
        <v>213</v>
      </c>
      <c r="C200" s="7" t="s">
        <v>2030</v>
      </c>
      <c r="D200" s="8">
        <v>45533</v>
      </c>
      <c r="E200" s="8" t="s">
        <v>0</v>
      </c>
      <c r="F200" s="16" t="s">
        <v>214</v>
      </c>
      <c r="G200" s="7" t="s">
        <v>215</v>
      </c>
      <c r="H200" s="7" t="s">
        <v>207</v>
      </c>
      <c r="I200" s="7" t="s">
        <v>0</v>
      </c>
      <c r="J200" s="7" t="s">
        <v>1098</v>
      </c>
      <c r="K200" s="7" t="s">
        <v>47</v>
      </c>
      <c r="L200" s="7" t="s">
        <v>48</v>
      </c>
      <c r="M200" s="7" t="s">
        <v>0</v>
      </c>
      <c r="N200" s="7" t="s">
        <v>6237</v>
      </c>
      <c r="O200" s="7" t="s">
        <v>0</v>
      </c>
      <c r="P200" s="7" t="s">
        <v>6238</v>
      </c>
      <c r="Q200" s="7" t="s">
        <v>6239</v>
      </c>
      <c r="R200" s="7" t="s">
        <v>124</v>
      </c>
      <c r="S200" s="7" t="s">
        <v>0</v>
      </c>
      <c r="T200" s="7" t="s">
        <v>54</v>
      </c>
      <c r="U200" s="7" t="s">
        <v>125</v>
      </c>
      <c r="V200" s="7" t="s">
        <v>126</v>
      </c>
      <c r="W200" s="7" t="s">
        <v>74</v>
      </c>
      <c r="X200" s="7" t="s">
        <v>103</v>
      </c>
      <c r="Y200" s="8">
        <v>45533</v>
      </c>
      <c r="Z200" s="8">
        <v>46022</v>
      </c>
      <c r="AA200" s="7" t="s">
        <v>0</v>
      </c>
      <c r="AB200" s="7" t="s">
        <v>64</v>
      </c>
      <c r="AC200" s="7" t="s">
        <v>65</v>
      </c>
      <c r="AD200" s="7" t="s">
        <v>0</v>
      </c>
      <c r="AE200" s="7" t="s">
        <v>0</v>
      </c>
      <c r="AF200" s="7" t="s">
        <v>0</v>
      </c>
      <c r="AG200" s="7" t="s">
        <v>0</v>
      </c>
      <c r="AH200" s="9" t="s">
        <v>0</v>
      </c>
      <c r="AI200" s="9" t="s">
        <v>0</v>
      </c>
      <c r="AJ200" s="9" t="s">
        <v>0</v>
      </c>
      <c r="AK200" s="7" t="s">
        <v>61</v>
      </c>
      <c r="AL200" s="7" t="s">
        <v>61</v>
      </c>
      <c r="AM200" s="7" t="s">
        <v>0</v>
      </c>
      <c r="AN200" s="7" t="s">
        <v>0</v>
      </c>
      <c r="AO200" s="7" t="s">
        <v>0</v>
      </c>
      <c r="AP200" s="7" t="s">
        <v>0</v>
      </c>
      <c r="AQ200" s="7" t="s">
        <v>61</v>
      </c>
      <c r="AR200" s="7" t="s">
        <v>0</v>
      </c>
      <c r="AS200" s="10" t="str">
        <f>HYPERLINK("https://tessa.gazprom-neft.local/edo/card/95d0465a-19fe-493c-a9f5-69124daac68f", "https://tessa.gazprom-neft.local/edo/card/95d0465a-19fe-493c-a9f5-69124daac68f")</f>
        <v>https://tessa.gazprom-neft.local/edo/card/95d0465a-19fe-493c-a9f5-69124daac68f</v>
      </c>
    </row>
    <row r="201" spans="1:45" hidden="1" x14ac:dyDescent="0.25">
      <c r="A201" s="6" t="s">
        <v>44</v>
      </c>
      <c r="B201" s="7" t="s">
        <v>687</v>
      </c>
      <c r="C201" s="7" t="s">
        <v>67</v>
      </c>
      <c r="D201" s="8">
        <v>45532</v>
      </c>
      <c r="E201" s="8" t="s">
        <v>0</v>
      </c>
      <c r="F201" s="16" t="s">
        <v>688</v>
      </c>
      <c r="G201" s="7" t="s">
        <v>689</v>
      </c>
      <c r="H201" s="7" t="s">
        <v>0</v>
      </c>
      <c r="I201" s="7" t="s">
        <v>6027</v>
      </c>
      <c r="J201" s="7" t="s">
        <v>6027</v>
      </c>
      <c r="K201" s="7" t="s">
        <v>47</v>
      </c>
      <c r="L201" s="7" t="s">
        <v>96</v>
      </c>
      <c r="M201" s="7" t="s">
        <v>0</v>
      </c>
      <c r="N201" s="7" t="s">
        <v>6026</v>
      </c>
      <c r="O201" s="7" t="s">
        <v>0</v>
      </c>
      <c r="P201" s="7" t="s">
        <v>6028</v>
      </c>
      <c r="Q201" s="7" t="s">
        <v>6029</v>
      </c>
      <c r="R201" s="7" t="s">
        <v>1139</v>
      </c>
      <c r="S201" s="7" t="s">
        <v>3798</v>
      </c>
      <c r="T201" s="7" t="s">
        <v>54</v>
      </c>
      <c r="U201" s="7" t="s">
        <v>125</v>
      </c>
      <c r="V201" s="7" t="s">
        <v>126</v>
      </c>
      <c r="W201" s="7" t="s">
        <v>57</v>
      </c>
      <c r="X201" s="7" t="s">
        <v>103</v>
      </c>
      <c r="Y201" s="8">
        <v>45532</v>
      </c>
      <c r="Z201" s="8">
        <v>47483</v>
      </c>
      <c r="AA201" s="7" t="s">
        <v>200</v>
      </c>
      <c r="AB201" s="7" t="s">
        <v>130</v>
      </c>
      <c r="AC201" s="7" t="s">
        <v>79</v>
      </c>
      <c r="AD201" s="7" t="s">
        <v>80</v>
      </c>
      <c r="AE201" s="7" t="s">
        <v>82</v>
      </c>
      <c r="AF201" s="7" t="s">
        <v>0</v>
      </c>
      <c r="AG201" s="7" t="s">
        <v>6030</v>
      </c>
      <c r="AH201" s="9" t="s">
        <v>12699</v>
      </c>
      <c r="AI201" s="9" t="s">
        <v>12700</v>
      </c>
      <c r="AJ201" s="9" t="s">
        <v>12701</v>
      </c>
      <c r="AK201" s="7" t="s">
        <v>81</v>
      </c>
      <c r="AL201" s="7" t="s">
        <v>61</v>
      </c>
      <c r="AM201" s="7" t="s">
        <v>0</v>
      </c>
      <c r="AN201" s="7" t="s">
        <v>0</v>
      </c>
      <c r="AO201" s="7" t="s">
        <v>0</v>
      </c>
      <c r="AP201" s="7" t="s">
        <v>0</v>
      </c>
      <c r="AQ201" s="7" t="s">
        <v>81</v>
      </c>
      <c r="AR201" s="7" t="s">
        <v>0</v>
      </c>
      <c r="AS201" s="10" t="str">
        <f>HYPERLINK("https://tessa.gazprom-neft.local/edo/card/58317c42-7988-487d-ba5a-31035af3fcec", "https://tessa.gazprom-neft.local/edo/card/58317c42-7988-487d-ba5a-31035af3fcec")</f>
        <v>https://tessa.gazprom-neft.local/edo/card/58317c42-7988-487d-ba5a-31035af3fcec</v>
      </c>
    </row>
    <row r="202" spans="1:45" hidden="1" x14ac:dyDescent="0.25">
      <c r="A202" s="6" t="s">
        <v>44</v>
      </c>
      <c r="B202" s="7" t="s">
        <v>6137</v>
      </c>
      <c r="C202" s="7" t="s">
        <v>67</v>
      </c>
      <c r="D202" s="8">
        <v>45532</v>
      </c>
      <c r="E202" s="8" t="s">
        <v>0</v>
      </c>
      <c r="F202" s="16" t="s">
        <v>6138</v>
      </c>
      <c r="G202" s="7" t="s">
        <v>6139</v>
      </c>
      <c r="H202" s="7" t="s">
        <v>0</v>
      </c>
      <c r="I202" s="7" t="s">
        <v>6135</v>
      </c>
      <c r="J202" s="7" t="s">
        <v>6135</v>
      </c>
      <c r="K202" s="7" t="s">
        <v>85</v>
      </c>
      <c r="L202" s="7" t="s">
        <v>86</v>
      </c>
      <c r="M202" s="7" t="s">
        <v>83</v>
      </c>
      <c r="N202" s="7" t="s">
        <v>6134</v>
      </c>
      <c r="O202" s="7" t="s">
        <v>0</v>
      </c>
      <c r="P202" s="7" t="s">
        <v>6136</v>
      </c>
      <c r="Q202" s="7" t="s">
        <v>5785</v>
      </c>
      <c r="R202" s="7" t="s">
        <v>891</v>
      </c>
      <c r="S202" s="7" t="s">
        <v>891</v>
      </c>
      <c r="T202" s="7" t="s">
        <v>54</v>
      </c>
      <c r="U202" s="7" t="s">
        <v>892</v>
      </c>
      <c r="V202" s="7" t="s">
        <v>56</v>
      </c>
      <c r="W202" s="7" t="s">
        <v>74</v>
      </c>
      <c r="X202" s="7" t="s">
        <v>223</v>
      </c>
      <c r="Y202" s="8">
        <v>45533</v>
      </c>
      <c r="Z202" s="8" t="s">
        <v>0</v>
      </c>
      <c r="AA202" s="7" t="s">
        <v>59</v>
      </c>
      <c r="AB202" s="7" t="s">
        <v>94</v>
      </c>
      <c r="AC202" s="7" t="s">
        <v>65</v>
      </c>
      <c r="AD202" s="7" t="s">
        <v>0</v>
      </c>
      <c r="AE202" s="7" t="s">
        <v>0</v>
      </c>
      <c r="AF202" s="7" t="s">
        <v>0</v>
      </c>
      <c r="AG202" s="7" t="s">
        <v>0</v>
      </c>
      <c r="AH202" s="9" t="s">
        <v>0</v>
      </c>
      <c r="AI202" s="9" t="s">
        <v>0</v>
      </c>
      <c r="AJ202" s="9" t="s">
        <v>0</v>
      </c>
      <c r="AK202" s="7" t="s">
        <v>61</v>
      </c>
      <c r="AL202" s="7" t="s">
        <v>61</v>
      </c>
      <c r="AM202" s="7" t="s">
        <v>0</v>
      </c>
      <c r="AN202" s="7" t="s">
        <v>0</v>
      </c>
      <c r="AO202" s="7" t="s">
        <v>0</v>
      </c>
      <c r="AP202" s="7" t="s">
        <v>0</v>
      </c>
      <c r="AQ202" s="7" t="s">
        <v>61</v>
      </c>
      <c r="AR202" s="7" t="s">
        <v>0</v>
      </c>
      <c r="AS202" s="10" t="str">
        <f>HYPERLINK("https://tessa.gazprom-neft.local/edo/card/e3de02d8-8a4d-455d-8222-2145eca93e4d", "https://tessa.gazprom-neft.local/edo/card/e3de02d8-8a4d-455d-8222-2145eca93e4d")</f>
        <v>https://tessa.gazprom-neft.local/edo/card/e3de02d8-8a4d-455d-8222-2145eca93e4d</v>
      </c>
    </row>
    <row r="203" spans="1:45" hidden="1" x14ac:dyDescent="0.25">
      <c r="A203" s="6" t="s">
        <v>44</v>
      </c>
      <c r="B203" s="7" t="s">
        <v>4535</v>
      </c>
      <c r="C203" s="7" t="s">
        <v>67</v>
      </c>
      <c r="D203" s="8">
        <v>45531</v>
      </c>
      <c r="E203" s="8" t="s">
        <v>0</v>
      </c>
      <c r="F203" s="16" t="s">
        <v>4536</v>
      </c>
      <c r="G203" s="7" t="s">
        <v>4537</v>
      </c>
      <c r="H203" s="7" t="s">
        <v>0</v>
      </c>
      <c r="I203" s="7" t="s">
        <v>4569</v>
      </c>
      <c r="J203" s="7" t="s">
        <v>4569</v>
      </c>
      <c r="K203" s="7" t="s">
        <v>85</v>
      </c>
      <c r="L203" s="7" t="s">
        <v>86</v>
      </c>
      <c r="M203" s="7" t="s">
        <v>289</v>
      </c>
      <c r="N203" s="7" t="s">
        <v>4568</v>
      </c>
      <c r="O203" s="7" t="s">
        <v>0</v>
      </c>
      <c r="P203" s="7" t="s">
        <v>4570</v>
      </c>
      <c r="Q203" s="7" t="s">
        <v>2315</v>
      </c>
      <c r="R203" s="7" t="s">
        <v>1139</v>
      </c>
      <c r="S203" s="7" t="s">
        <v>1586</v>
      </c>
      <c r="T203" s="7" t="s">
        <v>54</v>
      </c>
      <c r="U203" s="7" t="s">
        <v>1587</v>
      </c>
      <c r="V203" s="7" t="s">
        <v>126</v>
      </c>
      <c r="W203" s="7" t="s">
        <v>74</v>
      </c>
      <c r="X203" s="7" t="s">
        <v>223</v>
      </c>
      <c r="Y203" s="8">
        <v>45531</v>
      </c>
      <c r="Z203" s="8" t="s">
        <v>0</v>
      </c>
      <c r="AA203" s="7" t="s">
        <v>200</v>
      </c>
      <c r="AB203" s="7" t="s">
        <v>300</v>
      </c>
      <c r="AC203" s="7" t="s">
        <v>65</v>
      </c>
      <c r="AD203" s="7" t="s">
        <v>0</v>
      </c>
      <c r="AE203" s="7" t="s">
        <v>0</v>
      </c>
      <c r="AF203" s="7" t="s">
        <v>0</v>
      </c>
      <c r="AG203" s="7" t="s">
        <v>0</v>
      </c>
      <c r="AH203" s="9" t="s">
        <v>0</v>
      </c>
      <c r="AI203" s="9" t="s">
        <v>0</v>
      </c>
      <c r="AJ203" s="9" t="s">
        <v>0</v>
      </c>
      <c r="AK203" s="7" t="s">
        <v>61</v>
      </c>
      <c r="AL203" s="7" t="s">
        <v>61</v>
      </c>
      <c r="AM203" s="7" t="s">
        <v>0</v>
      </c>
      <c r="AN203" s="7" t="s">
        <v>0</v>
      </c>
      <c r="AO203" s="7" t="s">
        <v>0</v>
      </c>
      <c r="AP203" s="7" t="s">
        <v>0</v>
      </c>
      <c r="AQ203" s="7" t="s">
        <v>61</v>
      </c>
      <c r="AR203" s="7" t="s">
        <v>0</v>
      </c>
      <c r="AS203" s="10" t="str">
        <f>HYPERLINK("https://tessa.gazprom-neft.local/edo/card/5bcd3d8f-ba9f-4d47-92bd-8cad210db539", "https://tessa.gazprom-neft.local/edo/card/5bcd3d8f-ba9f-4d47-92bd-8cad210db539")</f>
        <v>https://tessa.gazprom-neft.local/edo/card/5bcd3d8f-ba9f-4d47-92bd-8cad210db539</v>
      </c>
    </row>
    <row r="204" spans="1:45" hidden="1" x14ac:dyDescent="0.25">
      <c r="A204" s="6" t="s">
        <v>44</v>
      </c>
      <c r="B204" s="7" t="s">
        <v>3461</v>
      </c>
      <c r="C204" s="7" t="s">
        <v>2030</v>
      </c>
      <c r="D204" s="8">
        <v>45530</v>
      </c>
      <c r="E204" s="8" t="s">
        <v>0</v>
      </c>
      <c r="F204" s="16" t="s">
        <v>3462</v>
      </c>
      <c r="G204" s="7" t="s">
        <v>3463</v>
      </c>
      <c r="H204" s="7" t="s">
        <v>0</v>
      </c>
      <c r="I204" s="7" t="s">
        <v>3459</v>
      </c>
      <c r="J204" s="7" t="s">
        <v>3459</v>
      </c>
      <c r="K204" s="7" t="s">
        <v>47</v>
      </c>
      <c r="L204" s="7" t="s">
        <v>96</v>
      </c>
      <c r="M204" s="7" t="s">
        <v>0</v>
      </c>
      <c r="N204" s="7" t="s">
        <v>3458</v>
      </c>
      <c r="O204" s="7" t="s">
        <v>0</v>
      </c>
      <c r="P204" s="7" t="s">
        <v>3460</v>
      </c>
      <c r="Q204" s="7" t="s">
        <v>1585</v>
      </c>
      <c r="R204" s="7" t="s">
        <v>1139</v>
      </c>
      <c r="S204" s="7" t="s">
        <v>1586</v>
      </c>
      <c r="T204" s="7" t="s">
        <v>54</v>
      </c>
      <c r="U204" s="7" t="s">
        <v>1587</v>
      </c>
      <c r="V204" s="7" t="s">
        <v>340</v>
      </c>
      <c r="W204" s="7" t="s">
        <v>74</v>
      </c>
      <c r="X204" s="7" t="s">
        <v>58</v>
      </c>
      <c r="Y204" s="8">
        <v>45530</v>
      </c>
      <c r="Z204" s="8" t="s">
        <v>0</v>
      </c>
      <c r="AA204" s="7" t="s">
        <v>341</v>
      </c>
      <c r="AB204" s="7" t="s">
        <v>366</v>
      </c>
      <c r="AC204" s="7" t="s">
        <v>79</v>
      </c>
      <c r="AD204" s="7" t="s">
        <v>367</v>
      </c>
      <c r="AE204" s="7" t="s">
        <v>82</v>
      </c>
      <c r="AF204" s="7" t="s">
        <v>0</v>
      </c>
      <c r="AG204" s="7" t="s">
        <v>0</v>
      </c>
      <c r="AH204" s="9">
        <v>0</v>
      </c>
      <c r="AI204" s="9">
        <v>0</v>
      </c>
      <c r="AJ204" s="9">
        <v>0</v>
      </c>
      <c r="AK204" s="7" t="s">
        <v>61</v>
      </c>
      <c r="AL204" s="7" t="s">
        <v>61</v>
      </c>
      <c r="AM204" s="7" t="s">
        <v>0</v>
      </c>
      <c r="AN204" s="7" t="s">
        <v>0</v>
      </c>
      <c r="AO204" s="7" t="s">
        <v>0</v>
      </c>
      <c r="AP204" s="7" t="s">
        <v>0</v>
      </c>
      <c r="AQ204" s="7" t="s">
        <v>61</v>
      </c>
      <c r="AR204" s="7" t="s">
        <v>0</v>
      </c>
      <c r="AS204" s="10" t="str">
        <f>HYPERLINK("https://tessa.gazprom-neft.local/edo/card/04414eeb-b55e-439e-a785-cfd25dcf7936", "https://tessa.gazprom-neft.local/edo/card/04414eeb-b55e-439e-a785-cfd25dcf7936")</f>
        <v>https://tessa.gazprom-neft.local/edo/card/04414eeb-b55e-439e-a785-cfd25dcf7936</v>
      </c>
    </row>
    <row r="205" spans="1:45" hidden="1" x14ac:dyDescent="0.25">
      <c r="A205" s="6" t="s">
        <v>44</v>
      </c>
      <c r="B205" s="7" t="s">
        <v>3149</v>
      </c>
      <c r="C205" s="7" t="s">
        <v>67</v>
      </c>
      <c r="D205" s="8">
        <v>45530</v>
      </c>
      <c r="E205" s="8" t="s">
        <v>0</v>
      </c>
      <c r="F205" s="16" t="s">
        <v>3150</v>
      </c>
      <c r="G205" s="7" t="s">
        <v>3151</v>
      </c>
      <c r="H205" s="7" t="s">
        <v>3166</v>
      </c>
      <c r="I205" s="7" t="s">
        <v>0</v>
      </c>
      <c r="J205" s="7" t="s">
        <v>936</v>
      </c>
      <c r="K205" s="7" t="s">
        <v>47</v>
      </c>
      <c r="L205" s="7" t="s">
        <v>709</v>
      </c>
      <c r="M205" s="7" t="s">
        <v>0</v>
      </c>
      <c r="N205" s="7" t="s">
        <v>6211</v>
      </c>
      <c r="O205" s="7" t="s">
        <v>0</v>
      </c>
      <c r="P205" s="7" t="s">
        <v>6212</v>
      </c>
      <c r="Q205" s="7" t="s">
        <v>3148</v>
      </c>
      <c r="R205" s="7" t="s">
        <v>2768</v>
      </c>
      <c r="S205" s="7" t="s">
        <v>2768</v>
      </c>
      <c r="T205" s="7" t="s">
        <v>54</v>
      </c>
      <c r="U205" s="7" t="s">
        <v>2769</v>
      </c>
      <c r="V205" s="7" t="s">
        <v>56</v>
      </c>
      <c r="W205" s="7" t="s">
        <v>74</v>
      </c>
      <c r="X205" s="7" t="s">
        <v>103</v>
      </c>
      <c r="Y205" s="8">
        <v>45530</v>
      </c>
      <c r="Z205" s="8">
        <v>45560</v>
      </c>
      <c r="AA205" s="7" t="s">
        <v>59</v>
      </c>
      <c r="AB205" s="7" t="s">
        <v>130</v>
      </c>
      <c r="AC205" s="7" t="s">
        <v>79</v>
      </c>
      <c r="AD205" s="7" t="s">
        <v>144</v>
      </c>
      <c r="AE205" s="7" t="s">
        <v>82</v>
      </c>
      <c r="AF205" s="7" t="s">
        <v>0</v>
      </c>
      <c r="AG205" s="7" t="s">
        <v>0</v>
      </c>
      <c r="AH205" s="9" t="s">
        <v>12754</v>
      </c>
      <c r="AI205" s="9" t="s">
        <v>12755</v>
      </c>
      <c r="AJ205" s="9" t="s">
        <v>12756</v>
      </c>
      <c r="AK205" s="7" t="s">
        <v>61</v>
      </c>
      <c r="AL205" s="7" t="s">
        <v>61</v>
      </c>
      <c r="AM205" s="7" t="s">
        <v>0</v>
      </c>
      <c r="AN205" s="7" t="s">
        <v>0</v>
      </c>
      <c r="AO205" s="7" t="s">
        <v>0</v>
      </c>
      <c r="AP205" s="7" t="s">
        <v>0</v>
      </c>
      <c r="AQ205" s="7" t="s">
        <v>61</v>
      </c>
      <c r="AR205" s="7" t="s">
        <v>0</v>
      </c>
      <c r="AS205" s="10" t="str">
        <f>HYPERLINK("https://tessa.gazprom-neft.local/edo/card/565202b6-7159-4422-a114-e7c04b0a24de", "https://tessa.gazprom-neft.local/edo/card/565202b6-7159-4422-a114-e7c04b0a24de")</f>
        <v>https://tessa.gazprom-neft.local/edo/card/565202b6-7159-4422-a114-e7c04b0a24de</v>
      </c>
    </row>
    <row r="206" spans="1:45" hidden="1" x14ac:dyDescent="0.25">
      <c r="A206" s="6" t="s">
        <v>44</v>
      </c>
      <c r="B206" s="7" t="s">
        <v>3149</v>
      </c>
      <c r="C206" s="7" t="s">
        <v>67</v>
      </c>
      <c r="D206" s="8">
        <v>45530</v>
      </c>
      <c r="E206" s="8" t="s">
        <v>0</v>
      </c>
      <c r="F206" s="16" t="s">
        <v>3150</v>
      </c>
      <c r="G206" s="7" t="s">
        <v>3151</v>
      </c>
      <c r="H206" s="7" t="s">
        <v>3166</v>
      </c>
      <c r="I206" s="7" t="s">
        <v>0</v>
      </c>
      <c r="J206" s="7" t="s">
        <v>712</v>
      </c>
      <c r="K206" s="7" t="s">
        <v>47</v>
      </c>
      <c r="L206" s="7" t="s">
        <v>709</v>
      </c>
      <c r="M206" s="7" t="s">
        <v>0</v>
      </c>
      <c r="N206" s="7" t="s">
        <v>6223</v>
      </c>
      <c r="O206" s="7" t="s">
        <v>0</v>
      </c>
      <c r="P206" s="7" t="s">
        <v>6224</v>
      </c>
      <c r="Q206" s="7" t="s">
        <v>3148</v>
      </c>
      <c r="R206" s="7" t="s">
        <v>2768</v>
      </c>
      <c r="S206" s="7" t="s">
        <v>2768</v>
      </c>
      <c r="T206" s="7" t="s">
        <v>54</v>
      </c>
      <c r="U206" s="7" t="s">
        <v>2769</v>
      </c>
      <c r="V206" s="7" t="s">
        <v>56</v>
      </c>
      <c r="W206" s="7" t="s">
        <v>74</v>
      </c>
      <c r="X206" s="7" t="s">
        <v>103</v>
      </c>
      <c r="Y206" s="8">
        <v>45530</v>
      </c>
      <c r="Z206" s="8">
        <v>45560</v>
      </c>
      <c r="AA206" s="7" t="s">
        <v>59</v>
      </c>
      <c r="AB206" s="7" t="s">
        <v>130</v>
      </c>
      <c r="AC206" s="7" t="s">
        <v>79</v>
      </c>
      <c r="AD206" s="7" t="s">
        <v>144</v>
      </c>
      <c r="AE206" s="7" t="s">
        <v>82</v>
      </c>
      <c r="AF206" s="7" t="s">
        <v>0</v>
      </c>
      <c r="AG206" s="7" t="s">
        <v>0</v>
      </c>
      <c r="AH206" s="9" t="s">
        <v>11552</v>
      </c>
      <c r="AI206" s="9" t="s">
        <v>11553</v>
      </c>
      <c r="AJ206" s="9" t="s">
        <v>11554</v>
      </c>
      <c r="AK206" s="7" t="s">
        <v>61</v>
      </c>
      <c r="AL206" s="7" t="s">
        <v>61</v>
      </c>
      <c r="AM206" s="7" t="s">
        <v>0</v>
      </c>
      <c r="AN206" s="7" t="s">
        <v>0</v>
      </c>
      <c r="AO206" s="7" t="s">
        <v>0</v>
      </c>
      <c r="AP206" s="7" t="s">
        <v>0</v>
      </c>
      <c r="AQ206" s="7" t="s">
        <v>61</v>
      </c>
      <c r="AR206" s="7" t="s">
        <v>0</v>
      </c>
      <c r="AS206" s="10" t="str">
        <f>HYPERLINK("https://tessa.gazprom-neft.local/edo/card/9451820b-00a5-414a-b271-766925aa6316", "https://tessa.gazprom-neft.local/edo/card/9451820b-00a5-414a-b271-766925aa6316")</f>
        <v>https://tessa.gazprom-neft.local/edo/card/9451820b-00a5-414a-b271-766925aa6316</v>
      </c>
    </row>
    <row r="207" spans="1:45" hidden="1" x14ac:dyDescent="0.25">
      <c r="A207" s="6" t="s">
        <v>44</v>
      </c>
      <c r="B207" s="7" t="s">
        <v>284</v>
      </c>
      <c r="C207" s="7" t="s">
        <v>67</v>
      </c>
      <c r="D207" s="8">
        <v>45527</v>
      </c>
      <c r="E207" s="8" t="s">
        <v>0</v>
      </c>
      <c r="F207" s="16" t="s">
        <v>285</v>
      </c>
      <c r="G207" s="7" t="s">
        <v>286</v>
      </c>
      <c r="H207" s="7" t="s">
        <v>419</v>
      </c>
      <c r="I207" s="7" t="s">
        <v>0</v>
      </c>
      <c r="J207" s="7" t="s">
        <v>51</v>
      </c>
      <c r="K207" s="7" t="s">
        <v>47</v>
      </c>
      <c r="L207" s="7" t="s">
        <v>389</v>
      </c>
      <c r="M207" s="7" t="s">
        <v>0</v>
      </c>
      <c r="N207" s="7" t="s">
        <v>6062</v>
      </c>
      <c r="O207" s="7" t="s">
        <v>271</v>
      </c>
      <c r="P207" s="7" t="s">
        <v>6063</v>
      </c>
      <c r="Q207" s="7" t="s">
        <v>6064</v>
      </c>
      <c r="R207" s="7" t="s">
        <v>282</v>
      </c>
      <c r="S207" s="7" t="s">
        <v>0</v>
      </c>
      <c r="T207" s="7" t="s">
        <v>54</v>
      </c>
      <c r="U207" s="7" t="s">
        <v>55</v>
      </c>
      <c r="V207" s="7" t="s">
        <v>56</v>
      </c>
      <c r="W207" s="7" t="s">
        <v>74</v>
      </c>
      <c r="X207" s="7" t="s">
        <v>103</v>
      </c>
      <c r="Y207" s="8">
        <v>45527</v>
      </c>
      <c r="Z207" s="8">
        <v>45657</v>
      </c>
      <c r="AA207" s="7" t="s">
        <v>0</v>
      </c>
      <c r="AB207" s="7" t="s">
        <v>423</v>
      </c>
      <c r="AC207" s="7" t="s">
        <v>79</v>
      </c>
      <c r="AD207" s="7" t="s">
        <v>144</v>
      </c>
      <c r="AE207" s="7" t="s">
        <v>82</v>
      </c>
      <c r="AF207" s="7" t="s">
        <v>0</v>
      </c>
      <c r="AG207" s="7" t="s">
        <v>0</v>
      </c>
      <c r="AH207" s="9" t="s">
        <v>12709</v>
      </c>
      <c r="AI207" s="9" t="s">
        <v>12710</v>
      </c>
      <c r="AJ207" s="9" t="s">
        <v>12711</v>
      </c>
      <c r="AK207" s="7" t="s">
        <v>61</v>
      </c>
      <c r="AL207" s="7" t="s">
        <v>61</v>
      </c>
      <c r="AM207" s="7" t="s">
        <v>0</v>
      </c>
      <c r="AN207" s="7" t="s">
        <v>0</v>
      </c>
      <c r="AO207" s="7" t="s">
        <v>0</v>
      </c>
      <c r="AP207" s="7" t="s">
        <v>0</v>
      </c>
      <c r="AQ207" s="7" t="s">
        <v>61</v>
      </c>
      <c r="AR207" s="7" t="s">
        <v>0</v>
      </c>
      <c r="AS207" s="10" t="str">
        <f>HYPERLINK("https://tessa.gazprom-neft.local/edo/card/8cf58e80-d5d9-4b51-b6e9-03a6e227ad5d", "https://tessa.gazprom-neft.local/edo/card/8cf58e80-d5d9-4b51-b6e9-03a6e227ad5d")</f>
        <v>https://tessa.gazprom-neft.local/edo/card/8cf58e80-d5d9-4b51-b6e9-03a6e227ad5d</v>
      </c>
    </row>
    <row r="208" spans="1:45" x14ac:dyDescent="0.25">
      <c r="A208" s="6" t="s">
        <v>44</v>
      </c>
      <c r="B208" s="7" t="s">
        <v>350</v>
      </c>
      <c r="C208" s="7" t="s">
        <v>218</v>
      </c>
      <c r="D208" s="8">
        <v>45527</v>
      </c>
      <c r="E208" s="8" t="s">
        <v>0</v>
      </c>
      <c r="F208" s="16" t="s">
        <v>1027</v>
      </c>
      <c r="G208" s="7" t="s">
        <v>352</v>
      </c>
      <c r="H208" s="7" t="s">
        <v>6261</v>
      </c>
      <c r="I208" s="7" t="s">
        <v>0</v>
      </c>
      <c r="J208" s="7" t="s">
        <v>712</v>
      </c>
      <c r="K208" s="7" t="s">
        <v>47</v>
      </c>
      <c r="L208" s="7" t="s">
        <v>48</v>
      </c>
      <c r="M208" s="7" t="s">
        <v>0</v>
      </c>
      <c r="N208" s="7" t="s">
        <v>6260</v>
      </c>
      <c r="O208" s="7" t="s">
        <v>0</v>
      </c>
      <c r="P208" s="7" t="s">
        <v>6262</v>
      </c>
      <c r="Q208" s="7" t="s">
        <v>6263</v>
      </c>
      <c r="R208" s="7" t="s">
        <v>124</v>
      </c>
      <c r="S208" s="7" t="s">
        <v>124</v>
      </c>
      <c r="T208" s="7" t="s">
        <v>54</v>
      </c>
      <c r="U208" s="7" t="s">
        <v>101</v>
      </c>
      <c r="V208" s="7" t="s">
        <v>308</v>
      </c>
      <c r="W208" s="7" t="s">
        <v>74</v>
      </c>
      <c r="X208" s="7" t="s">
        <v>103</v>
      </c>
      <c r="Y208" s="8">
        <v>45527</v>
      </c>
      <c r="Z208" s="8">
        <v>47118</v>
      </c>
      <c r="AA208" s="7" t="s">
        <v>0</v>
      </c>
      <c r="AB208" s="7" t="s">
        <v>64</v>
      </c>
      <c r="AC208" s="7" t="s">
        <v>79</v>
      </c>
      <c r="AD208" s="7" t="s">
        <v>80</v>
      </c>
      <c r="AE208" s="7" t="s">
        <v>82</v>
      </c>
      <c r="AF208" s="7" t="s">
        <v>0</v>
      </c>
      <c r="AG208" s="7" t="s">
        <v>0</v>
      </c>
      <c r="AH208" s="9" t="s">
        <v>12774</v>
      </c>
      <c r="AI208" s="9" t="s">
        <v>12775</v>
      </c>
      <c r="AJ208" s="9" t="s">
        <v>12776</v>
      </c>
      <c r="AK208" s="7" t="s">
        <v>61</v>
      </c>
      <c r="AL208" s="7" t="s">
        <v>61</v>
      </c>
      <c r="AM208" s="7" t="s">
        <v>0</v>
      </c>
      <c r="AN208" s="7" t="s">
        <v>0</v>
      </c>
      <c r="AO208" s="7" t="s">
        <v>0</v>
      </c>
      <c r="AP208" s="7" t="s">
        <v>0</v>
      </c>
      <c r="AQ208" s="7" t="s">
        <v>61</v>
      </c>
      <c r="AR208" s="7" t="s">
        <v>0</v>
      </c>
      <c r="AS208" s="10" t="str">
        <f>HYPERLINK("https://tessa.gazprom-neft.local/edo/card/e5faca95-786f-4d2d-9c1b-fe5917ac241b", "https://tessa.gazprom-neft.local/edo/card/e5faca95-786f-4d2d-9c1b-fe5917ac241b")</f>
        <v>https://tessa.gazprom-neft.local/edo/card/e5faca95-786f-4d2d-9c1b-fe5917ac241b</v>
      </c>
    </row>
    <row r="209" spans="1:45" hidden="1" x14ac:dyDescent="0.25">
      <c r="A209" s="6" t="s">
        <v>44</v>
      </c>
      <c r="B209" s="7" t="s">
        <v>687</v>
      </c>
      <c r="C209" s="7" t="s">
        <v>67</v>
      </c>
      <c r="D209" s="8">
        <v>45526</v>
      </c>
      <c r="E209" s="8" t="s">
        <v>0</v>
      </c>
      <c r="F209" s="16" t="s">
        <v>688</v>
      </c>
      <c r="G209" s="7" t="s">
        <v>689</v>
      </c>
      <c r="H209" s="7" t="s">
        <v>0</v>
      </c>
      <c r="I209" s="7" t="s">
        <v>6143</v>
      </c>
      <c r="J209" s="7" t="s">
        <v>6143</v>
      </c>
      <c r="K209" s="7" t="s">
        <v>85</v>
      </c>
      <c r="L209" s="7" t="s">
        <v>86</v>
      </c>
      <c r="M209" s="7" t="s">
        <v>216</v>
      </c>
      <c r="N209" s="7" t="s">
        <v>6142</v>
      </c>
      <c r="O209" s="7" t="s">
        <v>0</v>
      </c>
      <c r="P209" s="7" t="s">
        <v>6144</v>
      </c>
      <c r="Q209" s="7" t="s">
        <v>3602</v>
      </c>
      <c r="R209" s="7" t="s">
        <v>1139</v>
      </c>
      <c r="S209" s="7" t="s">
        <v>3798</v>
      </c>
      <c r="T209" s="7" t="s">
        <v>54</v>
      </c>
      <c r="U209" s="7" t="s">
        <v>125</v>
      </c>
      <c r="V209" s="7" t="s">
        <v>308</v>
      </c>
      <c r="W209" s="7" t="s">
        <v>74</v>
      </c>
      <c r="X209" s="7" t="s">
        <v>223</v>
      </c>
      <c r="Y209" s="8">
        <v>45526</v>
      </c>
      <c r="Z209" s="8" t="s">
        <v>0</v>
      </c>
      <c r="AA209" s="7" t="s">
        <v>309</v>
      </c>
      <c r="AB209" s="7" t="s">
        <v>228</v>
      </c>
      <c r="AC209" s="7" t="s">
        <v>65</v>
      </c>
      <c r="AD209" s="7" t="s">
        <v>0</v>
      </c>
      <c r="AE209" s="7" t="s">
        <v>0</v>
      </c>
      <c r="AF209" s="7" t="s">
        <v>0</v>
      </c>
      <c r="AG209" s="7" t="s">
        <v>0</v>
      </c>
      <c r="AH209" s="9" t="s">
        <v>0</v>
      </c>
      <c r="AI209" s="9" t="s">
        <v>0</v>
      </c>
      <c r="AJ209" s="9" t="s">
        <v>0</v>
      </c>
      <c r="AK209" s="7" t="s">
        <v>61</v>
      </c>
      <c r="AL209" s="7" t="s">
        <v>61</v>
      </c>
      <c r="AM209" s="7" t="s">
        <v>0</v>
      </c>
      <c r="AN209" s="7" t="s">
        <v>0</v>
      </c>
      <c r="AO209" s="7" t="s">
        <v>0</v>
      </c>
      <c r="AP209" s="7" t="s">
        <v>0</v>
      </c>
      <c r="AQ209" s="7" t="s">
        <v>61</v>
      </c>
      <c r="AR209" s="7" t="s">
        <v>0</v>
      </c>
      <c r="AS209" s="10" t="str">
        <f>HYPERLINK("https://tessa.gazprom-neft.local/edo/card/56919f45-0170-420f-99ee-c40be0c6a505", "https://tessa.gazprom-neft.local/edo/card/56919f45-0170-420f-99ee-c40be0c6a505")</f>
        <v>https://tessa.gazprom-neft.local/edo/card/56919f45-0170-420f-99ee-c40be0c6a505</v>
      </c>
    </row>
    <row r="210" spans="1:45" hidden="1" x14ac:dyDescent="0.25">
      <c r="A210" s="6" t="s">
        <v>44</v>
      </c>
      <c r="B210" s="7" t="s">
        <v>673</v>
      </c>
      <c r="C210" s="7" t="s">
        <v>67</v>
      </c>
      <c r="D210" s="8">
        <v>45525</v>
      </c>
      <c r="E210" s="8" t="s">
        <v>0</v>
      </c>
      <c r="F210" s="16" t="s">
        <v>674</v>
      </c>
      <c r="G210" s="7" t="s">
        <v>675</v>
      </c>
      <c r="H210" s="7" t="s">
        <v>0</v>
      </c>
      <c r="I210" s="7" t="s">
        <v>6087</v>
      </c>
      <c r="J210" s="7" t="s">
        <v>6087</v>
      </c>
      <c r="K210" s="7" t="s">
        <v>85</v>
      </c>
      <c r="L210" s="7" t="s">
        <v>86</v>
      </c>
      <c r="M210" s="7" t="s">
        <v>289</v>
      </c>
      <c r="N210" s="7" t="s">
        <v>6086</v>
      </c>
      <c r="O210" s="7" t="s">
        <v>0</v>
      </c>
      <c r="P210" s="7" t="s">
        <v>289</v>
      </c>
      <c r="Q210" s="7" t="s">
        <v>426</v>
      </c>
      <c r="R210" s="7" t="s">
        <v>2594</v>
      </c>
      <c r="S210" s="7" t="s">
        <v>2594</v>
      </c>
      <c r="T210" s="7" t="s">
        <v>54</v>
      </c>
      <c r="U210" s="7" t="s">
        <v>199</v>
      </c>
      <c r="V210" s="7" t="s">
        <v>126</v>
      </c>
      <c r="W210" s="7" t="s">
        <v>74</v>
      </c>
      <c r="X210" s="7" t="s">
        <v>58</v>
      </c>
      <c r="Y210" s="8">
        <v>45525</v>
      </c>
      <c r="Z210" s="8" t="s">
        <v>0</v>
      </c>
      <c r="AA210" s="7" t="s">
        <v>200</v>
      </c>
      <c r="AB210" s="7" t="s">
        <v>300</v>
      </c>
      <c r="AC210" s="7" t="s">
        <v>65</v>
      </c>
      <c r="AD210" s="7" t="s">
        <v>0</v>
      </c>
      <c r="AE210" s="7" t="s">
        <v>0</v>
      </c>
      <c r="AF210" s="7" t="s">
        <v>0</v>
      </c>
      <c r="AG210" s="7" t="s">
        <v>0</v>
      </c>
      <c r="AH210" s="9" t="s">
        <v>0</v>
      </c>
      <c r="AI210" s="9" t="s">
        <v>0</v>
      </c>
      <c r="AJ210" s="9" t="s">
        <v>0</v>
      </c>
      <c r="AK210" s="7" t="s">
        <v>61</v>
      </c>
      <c r="AL210" s="7" t="s">
        <v>61</v>
      </c>
      <c r="AM210" s="7" t="s">
        <v>0</v>
      </c>
      <c r="AN210" s="7" t="s">
        <v>0</v>
      </c>
      <c r="AO210" s="7" t="s">
        <v>0</v>
      </c>
      <c r="AP210" s="7" t="s">
        <v>0</v>
      </c>
      <c r="AQ210" s="7" t="s">
        <v>61</v>
      </c>
      <c r="AR210" s="7" t="s">
        <v>0</v>
      </c>
      <c r="AS210" s="10" t="str">
        <f>HYPERLINK("https://tessa.gazprom-neft.local/edo/card/689267e3-ac86-43c2-aa1e-61e5e92d0f09", "https://tessa.gazprom-neft.local/edo/card/689267e3-ac86-43c2-aa1e-61e5e92d0f09")</f>
        <v>https://tessa.gazprom-neft.local/edo/card/689267e3-ac86-43c2-aa1e-61e5e92d0f09</v>
      </c>
    </row>
    <row r="211" spans="1:45" hidden="1" x14ac:dyDescent="0.25">
      <c r="A211" s="6" t="s">
        <v>44</v>
      </c>
      <c r="B211" s="7" t="s">
        <v>592</v>
      </c>
      <c r="C211" s="7" t="s">
        <v>67</v>
      </c>
      <c r="D211" s="8">
        <v>45525</v>
      </c>
      <c r="E211" s="8" t="s">
        <v>0</v>
      </c>
      <c r="F211" s="16" t="s">
        <v>593</v>
      </c>
      <c r="G211" s="7" t="s">
        <v>594</v>
      </c>
      <c r="H211" s="7" t="s">
        <v>953</v>
      </c>
      <c r="I211" s="7" t="s">
        <v>0</v>
      </c>
      <c r="J211" s="7" t="s">
        <v>156</v>
      </c>
      <c r="K211" s="7" t="s">
        <v>47</v>
      </c>
      <c r="L211" s="7" t="s">
        <v>389</v>
      </c>
      <c r="M211" s="7" t="s">
        <v>0</v>
      </c>
      <c r="N211" s="7" t="s">
        <v>6278</v>
      </c>
      <c r="O211" s="7" t="s">
        <v>51</v>
      </c>
      <c r="P211" s="7" t="s">
        <v>6279</v>
      </c>
      <c r="Q211" s="7" t="s">
        <v>1799</v>
      </c>
      <c r="R211" s="7" t="s">
        <v>590</v>
      </c>
      <c r="S211" s="7" t="s">
        <v>394</v>
      </c>
      <c r="T211" s="7" t="s">
        <v>54</v>
      </c>
      <c r="U211" s="7" t="s">
        <v>591</v>
      </c>
      <c r="V211" s="7" t="s">
        <v>126</v>
      </c>
      <c r="W211" s="7" t="s">
        <v>74</v>
      </c>
      <c r="X211" s="7" t="s">
        <v>58</v>
      </c>
      <c r="Y211" s="8">
        <v>45525</v>
      </c>
      <c r="Z211" s="8" t="s">
        <v>0</v>
      </c>
      <c r="AA211" s="7" t="s">
        <v>200</v>
      </c>
      <c r="AB211" s="7" t="s">
        <v>387</v>
      </c>
      <c r="AC211" s="7" t="s">
        <v>79</v>
      </c>
      <c r="AD211" s="7" t="s">
        <v>144</v>
      </c>
      <c r="AE211" s="7" t="s">
        <v>82</v>
      </c>
      <c r="AF211" s="7" t="s">
        <v>0</v>
      </c>
      <c r="AG211" s="7" t="s">
        <v>0</v>
      </c>
      <c r="AH211" s="9" t="s">
        <v>12783</v>
      </c>
      <c r="AI211" s="9" t="s">
        <v>12784</v>
      </c>
      <c r="AJ211" s="9" t="s">
        <v>12785</v>
      </c>
      <c r="AK211" s="7" t="s">
        <v>61</v>
      </c>
      <c r="AL211" s="7" t="s">
        <v>61</v>
      </c>
      <c r="AM211" s="7" t="s">
        <v>0</v>
      </c>
      <c r="AN211" s="7" t="s">
        <v>0</v>
      </c>
      <c r="AO211" s="7" t="s">
        <v>0</v>
      </c>
      <c r="AP211" s="7" t="s">
        <v>0</v>
      </c>
      <c r="AQ211" s="7" t="s">
        <v>61</v>
      </c>
      <c r="AR211" s="7" t="s">
        <v>0</v>
      </c>
      <c r="AS211" s="10" t="str">
        <f>HYPERLINK("https://tessa.gazprom-neft.local/edo/card/3284d7e3-9e0a-4cbd-9dbb-886c3043eb07", "https://tessa.gazprom-neft.local/edo/card/3284d7e3-9e0a-4cbd-9dbb-886c3043eb07")</f>
        <v>https://tessa.gazprom-neft.local/edo/card/3284d7e3-9e0a-4cbd-9dbb-886c3043eb07</v>
      </c>
    </row>
    <row r="212" spans="1:45" hidden="1" x14ac:dyDescent="0.25">
      <c r="A212" s="6" t="s">
        <v>44</v>
      </c>
      <c r="B212" s="7" t="s">
        <v>4425</v>
      </c>
      <c r="C212" s="7" t="s">
        <v>492</v>
      </c>
      <c r="D212" s="8">
        <v>45524</v>
      </c>
      <c r="E212" s="8" t="s">
        <v>0</v>
      </c>
      <c r="F212" s="16" t="s">
        <v>4426</v>
      </c>
      <c r="G212" s="7" t="s">
        <v>4427</v>
      </c>
      <c r="H212" s="7" t="s">
        <v>0</v>
      </c>
      <c r="I212" s="7" t="s">
        <v>5526</v>
      </c>
      <c r="J212" s="7" t="s">
        <v>5526</v>
      </c>
      <c r="K212" s="7" t="s">
        <v>47</v>
      </c>
      <c r="L212" s="7" t="s">
        <v>96</v>
      </c>
      <c r="M212" s="7" t="s">
        <v>0</v>
      </c>
      <c r="N212" s="7" t="s">
        <v>5525</v>
      </c>
      <c r="O212" s="7" t="s">
        <v>0</v>
      </c>
      <c r="P212" s="7" t="s">
        <v>5527</v>
      </c>
      <c r="Q212" s="7" t="s">
        <v>1585</v>
      </c>
      <c r="R212" s="7" t="s">
        <v>1139</v>
      </c>
      <c r="S212" s="7" t="s">
        <v>2261</v>
      </c>
      <c r="T212" s="7" t="s">
        <v>54</v>
      </c>
      <c r="U212" s="7" t="s">
        <v>1587</v>
      </c>
      <c r="V212" s="7" t="s">
        <v>126</v>
      </c>
      <c r="W212" s="7" t="s">
        <v>74</v>
      </c>
      <c r="X212" s="7" t="s">
        <v>223</v>
      </c>
      <c r="Y212" s="8">
        <v>45499</v>
      </c>
      <c r="Z212" s="8" t="s">
        <v>0</v>
      </c>
      <c r="AA212" s="7" t="s">
        <v>200</v>
      </c>
      <c r="AB212" s="7" t="s">
        <v>366</v>
      </c>
      <c r="AC212" s="7" t="s">
        <v>79</v>
      </c>
      <c r="AD212" s="7" t="s">
        <v>367</v>
      </c>
      <c r="AE212" s="7" t="s">
        <v>82</v>
      </c>
      <c r="AF212" s="7" t="s">
        <v>0</v>
      </c>
      <c r="AG212" s="7" t="s">
        <v>0</v>
      </c>
      <c r="AH212" s="9">
        <v>0</v>
      </c>
      <c r="AI212" s="9">
        <v>0</v>
      </c>
      <c r="AJ212" s="9">
        <v>0</v>
      </c>
      <c r="AK212" s="7" t="s">
        <v>61</v>
      </c>
      <c r="AL212" s="7" t="s">
        <v>61</v>
      </c>
      <c r="AM212" s="7" t="s">
        <v>0</v>
      </c>
      <c r="AN212" s="7" t="s">
        <v>0</v>
      </c>
      <c r="AO212" s="7" t="s">
        <v>0</v>
      </c>
      <c r="AP212" s="7" t="s">
        <v>0</v>
      </c>
      <c r="AQ212" s="7" t="s">
        <v>61</v>
      </c>
      <c r="AR212" s="7" t="s">
        <v>0</v>
      </c>
      <c r="AS212" s="10" t="str">
        <f>HYPERLINK("https://tessa.gazprom-neft.local/edo/card/f7723da9-e5e5-41dc-8f51-8bd274185cde", "https://tessa.gazprom-neft.local/edo/card/f7723da9-e5e5-41dc-8f51-8bd274185cde")</f>
        <v>https://tessa.gazprom-neft.local/edo/card/f7723da9-e5e5-41dc-8f51-8bd274185cde</v>
      </c>
    </row>
    <row r="213" spans="1:45" hidden="1" x14ac:dyDescent="0.25">
      <c r="A213" s="6" t="s">
        <v>44</v>
      </c>
      <c r="B213" s="7" t="s">
        <v>4393</v>
      </c>
      <c r="C213" s="7" t="s">
        <v>67</v>
      </c>
      <c r="D213" s="8">
        <v>45524</v>
      </c>
      <c r="E213" s="8" t="s">
        <v>0</v>
      </c>
      <c r="F213" s="16" t="s">
        <v>4394</v>
      </c>
      <c r="G213" s="7" t="s">
        <v>4395</v>
      </c>
      <c r="H213" s="7" t="s">
        <v>0</v>
      </c>
      <c r="I213" s="7" t="s">
        <v>5878</v>
      </c>
      <c r="J213" s="7" t="s">
        <v>5878</v>
      </c>
      <c r="K213" s="7" t="s">
        <v>47</v>
      </c>
      <c r="L213" s="7" t="s">
        <v>96</v>
      </c>
      <c r="M213" s="7" t="s">
        <v>0</v>
      </c>
      <c r="N213" s="7" t="s">
        <v>5877</v>
      </c>
      <c r="O213" s="7" t="s">
        <v>0</v>
      </c>
      <c r="P213" s="7" t="s">
        <v>5879</v>
      </c>
      <c r="Q213" s="7" t="s">
        <v>5880</v>
      </c>
      <c r="R213" s="7" t="s">
        <v>2788</v>
      </c>
      <c r="S213" s="7" t="s">
        <v>2788</v>
      </c>
      <c r="T213" s="7" t="s">
        <v>54</v>
      </c>
      <c r="U213" s="7" t="s">
        <v>55</v>
      </c>
      <c r="V213" s="7" t="s">
        <v>56</v>
      </c>
      <c r="W213" s="7" t="s">
        <v>74</v>
      </c>
      <c r="X213" s="7" t="s">
        <v>58</v>
      </c>
      <c r="Y213" s="8">
        <v>45524</v>
      </c>
      <c r="Z213" s="8" t="s">
        <v>0</v>
      </c>
      <c r="AA213" s="7" t="s">
        <v>59</v>
      </c>
      <c r="AB213" s="7" t="s">
        <v>5881</v>
      </c>
      <c r="AC213" s="7" t="s">
        <v>79</v>
      </c>
      <c r="AD213" s="7" t="s">
        <v>80</v>
      </c>
      <c r="AE213" s="7" t="s">
        <v>118</v>
      </c>
      <c r="AF213" s="7" t="s">
        <v>0</v>
      </c>
      <c r="AG213" s="7" t="s">
        <v>0</v>
      </c>
      <c r="AH213" s="9" t="s">
        <v>12667</v>
      </c>
      <c r="AI213" s="9" t="s">
        <v>12667</v>
      </c>
      <c r="AJ213" s="9">
        <v>0</v>
      </c>
      <c r="AK213" s="7" t="s">
        <v>61</v>
      </c>
      <c r="AL213" s="7" t="s">
        <v>61</v>
      </c>
      <c r="AM213" s="7" t="s">
        <v>0</v>
      </c>
      <c r="AN213" s="7" t="s">
        <v>0</v>
      </c>
      <c r="AO213" s="7" t="s">
        <v>0</v>
      </c>
      <c r="AP213" s="7" t="s">
        <v>0</v>
      </c>
      <c r="AQ213" s="7" t="s">
        <v>61</v>
      </c>
      <c r="AR213" s="7" t="s">
        <v>0</v>
      </c>
      <c r="AS213" s="10" t="str">
        <f>HYPERLINK("https://tessa.gazprom-neft.local/edo/card/a8c6c0ba-5d27-40da-b36e-06609adf55e5", "https://tessa.gazprom-neft.local/edo/card/a8c6c0ba-5d27-40da-b36e-06609adf55e5")</f>
        <v>https://tessa.gazprom-neft.local/edo/card/a8c6c0ba-5d27-40da-b36e-06609adf55e5</v>
      </c>
    </row>
    <row r="214" spans="1:45" hidden="1" x14ac:dyDescent="0.25">
      <c r="A214" s="6" t="s">
        <v>44</v>
      </c>
      <c r="B214" s="7" t="s">
        <v>1240</v>
      </c>
      <c r="C214" s="7" t="s">
        <v>67</v>
      </c>
      <c r="D214" s="8">
        <v>45524</v>
      </c>
      <c r="E214" s="8" t="s">
        <v>0</v>
      </c>
      <c r="F214" s="16" t="s">
        <v>1241</v>
      </c>
      <c r="G214" s="7" t="s">
        <v>1242</v>
      </c>
      <c r="H214" s="7" t="s">
        <v>1237</v>
      </c>
      <c r="I214" s="7" t="s">
        <v>0</v>
      </c>
      <c r="J214" s="7" t="s">
        <v>872</v>
      </c>
      <c r="K214" s="7" t="s">
        <v>47</v>
      </c>
      <c r="L214" s="7" t="s">
        <v>389</v>
      </c>
      <c r="M214" s="7" t="s">
        <v>0</v>
      </c>
      <c r="N214" s="7" t="s">
        <v>6148</v>
      </c>
      <c r="O214" s="7" t="s">
        <v>271</v>
      </c>
      <c r="P214" s="7" t="s">
        <v>6149</v>
      </c>
      <c r="Q214" s="7" t="s">
        <v>6149</v>
      </c>
      <c r="R214" s="7" t="s">
        <v>393</v>
      </c>
      <c r="S214" s="7" t="s">
        <v>1261</v>
      </c>
      <c r="T214" s="7" t="s">
        <v>54</v>
      </c>
      <c r="U214" s="7" t="s">
        <v>222</v>
      </c>
      <c r="V214" s="7" t="s">
        <v>126</v>
      </c>
      <c r="W214" s="7" t="s">
        <v>74</v>
      </c>
      <c r="X214" s="7" t="s">
        <v>58</v>
      </c>
      <c r="Y214" s="8">
        <v>45524</v>
      </c>
      <c r="Z214" s="8" t="s">
        <v>0</v>
      </c>
      <c r="AA214" s="7" t="s">
        <v>200</v>
      </c>
      <c r="AB214" s="7" t="s">
        <v>1243</v>
      </c>
      <c r="AC214" s="7" t="s">
        <v>79</v>
      </c>
      <c r="AD214" s="7" t="s">
        <v>144</v>
      </c>
      <c r="AE214" s="7" t="s">
        <v>82</v>
      </c>
      <c r="AF214" s="7" t="s">
        <v>0</v>
      </c>
      <c r="AG214" s="7" t="s">
        <v>0</v>
      </c>
      <c r="AH214" s="9" t="s">
        <v>12734</v>
      </c>
      <c r="AI214" s="9" t="s">
        <v>12735</v>
      </c>
      <c r="AJ214" s="9" t="s">
        <v>12736</v>
      </c>
      <c r="AK214" s="7" t="s">
        <v>61</v>
      </c>
      <c r="AL214" s="7" t="s">
        <v>61</v>
      </c>
      <c r="AM214" s="7" t="s">
        <v>0</v>
      </c>
      <c r="AN214" s="7" t="s">
        <v>0</v>
      </c>
      <c r="AO214" s="7" t="s">
        <v>0</v>
      </c>
      <c r="AP214" s="7" t="s">
        <v>0</v>
      </c>
      <c r="AQ214" s="7" t="s">
        <v>61</v>
      </c>
      <c r="AR214" s="7" t="s">
        <v>0</v>
      </c>
      <c r="AS214" s="10" t="str">
        <f>HYPERLINK("https://tessa.gazprom-neft.local/edo/card/2282252e-54ab-485f-916a-a36091f4d0d4", "https://tessa.gazprom-neft.local/edo/card/2282252e-54ab-485f-916a-a36091f4d0d4")</f>
        <v>https://tessa.gazprom-neft.local/edo/card/2282252e-54ab-485f-916a-a36091f4d0d4</v>
      </c>
    </row>
    <row r="215" spans="1:45" x14ac:dyDescent="0.25">
      <c r="A215" s="6" t="s">
        <v>44</v>
      </c>
      <c r="B215" s="7" t="s">
        <v>2350</v>
      </c>
      <c r="C215" s="7" t="s">
        <v>67</v>
      </c>
      <c r="D215" s="8">
        <v>45524</v>
      </c>
      <c r="E215" s="8" t="s">
        <v>0</v>
      </c>
      <c r="F215" s="16" t="s">
        <v>2351</v>
      </c>
      <c r="G215" s="7" t="s">
        <v>2352</v>
      </c>
      <c r="H215" s="7" t="s">
        <v>2370</v>
      </c>
      <c r="I215" s="7" t="s">
        <v>0</v>
      </c>
      <c r="J215" s="7" t="s">
        <v>1098</v>
      </c>
      <c r="K215" s="7" t="s">
        <v>47</v>
      </c>
      <c r="L215" s="7" t="s">
        <v>48</v>
      </c>
      <c r="M215" s="7" t="s">
        <v>0</v>
      </c>
      <c r="N215" s="7" t="s">
        <v>6162</v>
      </c>
      <c r="O215" s="7" t="s">
        <v>0</v>
      </c>
      <c r="P215" s="7" t="s">
        <v>6163</v>
      </c>
      <c r="Q215" s="7" t="s">
        <v>6164</v>
      </c>
      <c r="R215" s="7" t="s">
        <v>505</v>
      </c>
      <c r="S215" s="7" t="s">
        <v>2349</v>
      </c>
      <c r="T215" s="7" t="s">
        <v>54</v>
      </c>
      <c r="U215" s="7" t="s">
        <v>362</v>
      </c>
      <c r="V215" s="7" t="s">
        <v>295</v>
      </c>
      <c r="W215" s="7" t="s">
        <v>74</v>
      </c>
      <c r="X215" s="7" t="s">
        <v>58</v>
      </c>
      <c r="Y215" s="8">
        <v>45524</v>
      </c>
      <c r="Z215" s="8" t="s">
        <v>0</v>
      </c>
      <c r="AA215" s="7" t="s">
        <v>296</v>
      </c>
      <c r="AB215" s="7" t="s">
        <v>1748</v>
      </c>
      <c r="AC215" s="7" t="s">
        <v>79</v>
      </c>
      <c r="AD215" s="7" t="s">
        <v>144</v>
      </c>
      <c r="AE215" s="7" t="s">
        <v>82</v>
      </c>
      <c r="AF215" s="7" t="s">
        <v>0</v>
      </c>
      <c r="AG215" s="7" t="s">
        <v>0</v>
      </c>
      <c r="AH215" s="9">
        <v>0</v>
      </c>
      <c r="AI215" s="9">
        <v>0</v>
      </c>
      <c r="AJ215" s="9">
        <v>0</v>
      </c>
      <c r="AK215" s="7" t="s">
        <v>61</v>
      </c>
      <c r="AL215" s="7" t="s">
        <v>61</v>
      </c>
      <c r="AM215" s="7" t="s">
        <v>0</v>
      </c>
      <c r="AN215" s="7" t="s">
        <v>0</v>
      </c>
      <c r="AO215" s="7" t="s">
        <v>0</v>
      </c>
      <c r="AP215" s="7" t="s">
        <v>0</v>
      </c>
      <c r="AQ215" s="7" t="s">
        <v>61</v>
      </c>
      <c r="AR215" s="7" t="s">
        <v>0</v>
      </c>
      <c r="AS215" s="10" t="str">
        <f>HYPERLINK("https://tessa.gazprom-neft.local/edo/card/05c2855a-a602-4e1a-8d88-1544943d8b14", "https://tessa.gazprom-neft.local/edo/card/05c2855a-a602-4e1a-8d88-1544943d8b14")</f>
        <v>https://tessa.gazprom-neft.local/edo/card/05c2855a-a602-4e1a-8d88-1544943d8b14</v>
      </c>
    </row>
    <row r="216" spans="1:45" x14ac:dyDescent="0.25">
      <c r="A216" s="6" t="s">
        <v>44</v>
      </c>
      <c r="B216" s="7" t="s">
        <v>2132</v>
      </c>
      <c r="C216" s="7" t="s">
        <v>67</v>
      </c>
      <c r="D216" s="8">
        <v>45524</v>
      </c>
      <c r="E216" s="8" t="s">
        <v>0</v>
      </c>
      <c r="F216" s="16" t="s">
        <v>2133</v>
      </c>
      <c r="G216" s="7" t="s">
        <v>739</v>
      </c>
      <c r="H216" s="7" t="s">
        <v>2130</v>
      </c>
      <c r="I216" s="7" t="s">
        <v>0</v>
      </c>
      <c r="J216" s="7" t="s">
        <v>955</v>
      </c>
      <c r="K216" s="7" t="s">
        <v>47</v>
      </c>
      <c r="L216" s="7" t="s">
        <v>48</v>
      </c>
      <c r="M216" s="7" t="s">
        <v>0</v>
      </c>
      <c r="N216" s="7" t="s">
        <v>6245</v>
      </c>
      <c r="O216" s="7" t="s">
        <v>0</v>
      </c>
      <c r="P216" s="7" t="s">
        <v>6246</v>
      </c>
      <c r="Q216" s="7" t="s">
        <v>6247</v>
      </c>
      <c r="R216" s="7" t="s">
        <v>1774</v>
      </c>
      <c r="S216" s="7" t="s">
        <v>1774</v>
      </c>
      <c r="T216" s="7" t="s">
        <v>54</v>
      </c>
      <c r="U216" s="7" t="s">
        <v>307</v>
      </c>
      <c r="V216" s="7" t="s">
        <v>126</v>
      </c>
      <c r="W216" s="7" t="s">
        <v>57</v>
      </c>
      <c r="X216" s="7" t="s">
        <v>103</v>
      </c>
      <c r="Y216" s="8">
        <v>45524</v>
      </c>
      <c r="Z216" s="8">
        <v>45657</v>
      </c>
      <c r="AA216" s="7" t="s">
        <v>200</v>
      </c>
      <c r="AB216" s="7" t="s">
        <v>130</v>
      </c>
      <c r="AC216" s="7" t="s">
        <v>79</v>
      </c>
      <c r="AD216" s="7" t="s">
        <v>514</v>
      </c>
      <c r="AE216" s="7" t="s">
        <v>82</v>
      </c>
      <c r="AF216" s="7" t="s">
        <v>0</v>
      </c>
      <c r="AG216" s="7" t="s">
        <v>0</v>
      </c>
      <c r="AH216" s="9" t="s">
        <v>12762</v>
      </c>
      <c r="AI216" s="9" t="s">
        <v>12763</v>
      </c>
      <c r="AJ216" s="9" t="s">
        <v>12764</v>
      </c>
      <c r="AK216" s="7" t="s">
        <v>61</v>
      </c>
      <c r="AL216" s="7" t="s">
        <v>61</v>
      </c>
      <c r="AM216" s="7" t="s">
        <v>0</v>
      </c>
      <c r="AN216" s="7" t="s">
        <v>0</v>
      </c>
      <c r="AO216" s="7" t="s">
        <v>0</v>
      </c>
      <c r="AP216" s="7" t="s">
        <v>0</v>
      </c>
      <c r="AQ216" s="7" t="s">
        <v>61</v>
      </c>
      <c r="AR216" s="7" t="s">
        <v>0</v>
      </c>
      <c r="AS216" s="10" t="str">
        <f>HYPERLINK("https://tessa.gazprom-neft.local/edo/card/5a647dec-7a96-447f-b582-6731cfbfdeb4", "https://tessa.gazprom-neft.local/edo/card/5a647dec-7a96-447f-b582-6731cfbfdeb4")</f>
        <v>https://tessa.gazprom-neft.local/edo/card/5a647dec-7a96-447f-b582-6731cfbfdeb4</v>
      </c>
    </row>
    <row r="217" spans="1:45" x14ac:dyDescent="0.25">
      <c r="A217" s="6" t="s">
        <v>44</v>
      </c>
      <c r="B217" s="7" t="s">
        <v>592</v>
      </c>
      <c r="C217" s="7" t="s">
        <v>67</v>
      </c>
      <c r="D217" s="8">
        <v>45524</v>
      </c>
      <c r="E217" s="8" t="s">
        <v>0</v>
      </c>
      <c r="F217" s="16" t="s">
        <v>593</v>
      </c>
      <c r="G217" s="7" t="s">
        <v>594</v>
      </c>
      <c r="H217" s="7" t="s">
        <v>953</v>
      </c>
      <c r="I217" s="7" t="s">
        <v>0</v>
      </c>
      <c r="J217" s="7" t="s">
        <v>872</v>
      </c>
      <c r="K217" s="7" t="s">
        <v>47</v>
      </c>
      <c r="L217" s="7" t="s">
        <v>48</v>
      </c>
      <c r="M217" s="7" t="s">
        <v>0</v>
      </c>
      <c r="N217" s="7" t="s">
        <v>6289</v>
      </c>
      <c r="O217" s="7" t="s">
        <v>0</v>
      </c>
      <c r="P217" s="7" t="s">
        <v>6290</v>
      </c>
      <c r="Q217" s="7" t="s">
        <v>6291</v>
      </c>
      <c r="R217" s="7" t="s">
        <v>590</v>
      </c>
      <c r="S217" s="7" t="s">
        <v>394</v>
      </c>
      <c r="T217" s="7" t="s">
        <v>54</v>
      </c>
      <c r="U217" s="7" t="s">
        <v>591</v>
      </c>
      <c r="V217" s="7" t="s">
        <v>126</v>
      </c>
      <c r="W217" s="7" t="s">
        <v>74</v>
      </c>
      <c r="X217" s="7" t="s">
        <v>103</v>
      </c>
      <c r="Y217" s="8">
        <v>45524</v>
      </c>
      <c r="Z217" s="8">
        <v>46111</v>
      </c>
      <c r="AA217" s="7" t="s">
        <v>200</v>
      </c>
      <c r="AB217" s="7" t="s">
        <v>387</v>
      </c>
      <c r="AC217" s="7" t="s">
        <v>65</v>
      </c>
      <c r="AD217" s="7" t="s">
        <v>0</v>
      </c>
      <c r="AE217" s="7" t="s">
        <v>0</v>
      </c>
      <c r="AF217" s="7" t="s">
        <v>0</v>
      </c>
      <c r="AG217" s="7" t="s">
        <v>0</v>
      </c>
      <c r="AH217" s="9" t="s">
        <v>0</v>
      </c>
      <c r="AI217" s="9" t="s">
        <v>0</v>
      </c>
      <c r="AJ217" s="9" t="s">
        <v>0</v>
      </c>
      <c r="AK217" s="7" t="s">
        <v>61</v>
      </c>
      <c r="AL217" s="7" t="s">
        <v>61</v>
      </c>
      <c r="AM217" s="7" t="s">
        <v>0</v>
      </c>
      <c r="AN217" s="7" t="s">
        <v>0</v>
      </c>
      <c r="AO217" s="7" t="s">
        <v>0</v>
      </c>
      <c r="AP217" s="7" t="s">
        <v>0</v>
      </c>
      <c r="AQ217" s="7" t="s">
        <v>61</v>
      </c>
      <c r="AR217" s="7" t="s">
        <v>0</v>
      </c>
      <c r="AS217" s="10" t="str">
        <f>HYPERLINK("https://tessa.gazprom-neft.local/edo/card/55b19d6d-b158-4f51-b2e0-5aedc0b02094", "https://tessa.gazprom-neft.local/edo/card/55b19d6d-b158-4f51-b2e0-5aedc0b02094")</f>
        <v>https://tessa.gazprom-neft.local/edo/card/55b19d6d-b158-4f51-b2e0-5aedc0b02094</v>
      </c>
    </row>
    <row r="218" spans="1:45" x14ac:dyDescent="0.25">
      <c r="A218" s="6" t="s">
        <v>44</v>
      </c>
      <c r="B218" s="7" t="s">
        <v>5437</v>
      </c>
      <c r="C218" s="7" t="s">
        <v>67</v>
      </c>
      <c r="D218" s="8">
        <v>45523</v>
      </c>
      <c r="E218" s="8" t="s">
        <v>0</v>
      </c>
      <c r="F218" s="16" t="s">
        <v>5438</v>
      </c>
      <c r="G218" s="7" t="s">
        <v>5439</v>
      </c>
      <c r="H218" s="7" t="s">
        <v>5433</v>
      </c>
      <c r="I218" s="7" t="s">
        <v>0</v>
      </c>
      <c r="J218" s="7" t="s">
        <v>51</v>
      </c>
      <c r="K218" s="7" t="s">
        <v>47</v>
      </c>
      <c r="L218" s="7" t="s">
        <v>48</v>
      </c>
      <c r="M218" s="7" t="s">
        <v>0</v>
      </c>
      <c r="N218" s="7" t="s">
        <v>5934</v>
      </c>
      <c r="O218" s="7" t="s">
        <v>0</v>
      </c>
      <c r="P218" s="7" t="s">
        <v>5935</v>
      </c>
      <c r="Q218" s="7" t="s">
        <v>5936</v>
      </c>
      <c r="R218" s="7" t="s">
        <v>1139</v>
      </c>
      <c r="S218" s="7" t="s">
        <v>5436</v>
      </c>
      <c r="T218" s="7" t="s">
        <v>54</v>
      </c>
      <c r="U218" s="7" t="s">
        <v>125</v>
      </c>
      <c r="V218" s="7" t="s">
        <v>126</v>
      </c>
      <c r="W218" s="7" t="s">
        <v>74</v>
      </c>
      <c r="X218" s="7" t="s">
        <v>103</v>
      </c>
      <c r="Y218" s="8">
        <v>45523</v>
      </c>
      <c r="Z218" s="8">
        <v>46387</v>
      </c>
      <c r="AA218" s="7" t="s">
        <v>200</v>
      </c>
      <c r="AB218" s="7" t="s">
        <v>130</v>
      </c>
      <c r="AC218" s="7" t="s">
        <v>65</v>
      </c>
      <c r="AD218" s="7" t="s">
        <v>0</v>
      </c>
      <c r="AE218" s="7" t="s">
        <v>0</v>
      </c>
      <c r="AF218" s="7" t="s">
        <v>0</v>
      </c>
      <c r="AG218" s="7" t="s">
        <v>0</v>
      </c>
      <c r="AH218" s="9" t="s">
        <v>0</v>
      </c>
      <c r="AI218" s="9" t="s">
        <v>0</v>
      </c>
      <c r="AJ218" s="9" t="s">
        <v>0</v>
      </c>
      <c r="AK218" s="7" t="s">
        <v>61</v>
      </c>
      <c r="AL218" s="7" t="s">
        <v>61</v>
      </c>
      <c r="AM218" s="7" t="s">
        <v>0</v>
      </c>
      <c r="AN218" s="7" t="s">
        <v>0</v>
      </c>
      <c r="AO218" s="7" t="s">
        <v>0</v>
      </c>
      <c r="AP218" s="7" t="s">
        <v>0</v>
      </c>
      <c r="AQ218" s="7" t="s">
        <v>61</v>
      </c>
      <c r="AR218" s="7" t="s">
        <v>0</v>
      </c>
      <c r="AS218" s="10" t="str">
        <f>HYPERLINK("https://tessa.gazprom-neft.local/edo/card/2cdb55c6-6868-40b0-b79d-35279c3fd419", "https://tessa.gazprom-neft.local/edo/card/2cdb55c6-6868-40b0-b79d-35279c3fd419")</f>
        <v>https://tessa.gazprom-neft.local/edo/card/2cdb55c6-6868-40b0-b79d-35279c3fd419</v>
      </c>
    </row>
    <row r="219" spans="1:45" x14ac:dyDescent="0.25">
      <c r="A219" s="6" t="s">
        <v>44</v>
      </c>
      <c r="B219" s="7" t="s">
        <v>1843</v>
      </c>
      <c r="C219" s="7" t="s">
        <v>67</v>
      </c>
      <c r="D219" s="8">
        <v>45523</v>
      </c>
      <c r="E219" s="8" t="s">
        <v>0</v>
      </c>
      <c r="F219" s="16" t="s">
        <v>1844</v>
      </c>
      <c r="G219" s="7" t="s">
        <v>1845</v>
      </c>
      <c r="H219" s="7" t="s">
        <v>3215</v>
      </c>
      <c r="I219" s="7" t="s">
        <v>0</v>
      </c>
      <c r="J219" s="7" t="s">
        <v>872</v>
      </c>
      <c r="K219" s="7" t="s">
        <v>47</v>
      </c>
      <c r="L219" s="7" t="s">
        <v>48</v>
      </c>
      <c r="M219" s="7" t="s">
        <v>0</v>
      </c>
      <c r="N219" s="7" t="s">
        <v>5990</v>
      </c>
      <c r="O219" s="7" t="s">
        <v>0</v>
      </c>
      <c r="P219" s="7" t="s">
        <v>5991</v>
      </c>
      <c r="Q219" s="7" t="s">
        <v>5992</v>
      </c>
      <c r="R219" s="7" t="s">
        <v>1066</v>
      </c>
      <c r="S219" s="7" t="s">
        <v>1066</v>
      </c>
      <c r="T219" s="7" t="s">
        <v>54</v>
      </c>
      <c r="U219" s="7" t="s">
        <v>136</v>
      </c>
      <c r="V219" s="7" t="s">
        <v>308</v>
      </c>
      <c r="W219" s="7" t="s">
        <v>74</v>
      </c>
      <c r="X219" s="7" t="s">
        <v>103</v>
      </c>
      <c r="Y219" s="8">
        <v>45523</v>
      </c>
      <c r="Z219" s="8">
        <v>45596</v>
      </c>
      <c r="AA219" s="7" t="s">
        <v>309</v>
      </c>
      <c r="AB219" s="7" t="s">
        <v>1143</v>
      </c>
      <c r="AC219" s="7" t="s">
        <v>79</v>
      </c>
      <c r="AD219" s="7" t="s">
        <v>80</v>
      </c>
      <c r="AE219" s="7" t="s">
        <v>82</v>
      </c>
      <c r="AF219" s="7" t="s">
        <v>0</v>
      </c>
      <c r="AG219" s="7" t="s">
        <v>0</v>
      </c>
      <c r="AH219" s="9" t="s">
        <v>11585</v>
      </c>
      <c r="AI219" s="9" t="s">
        <v>11586</v>
      </c>
      <c r="AJ219" s="9" t="s">
        <v>11587</v>
      </c>
      <c r="AK219" s="7" t="s">
        <v>61</v>
      </c>
      <c r="AL219" s="7" t="s">
        <v>61</v>
      </c>
      <c r="AM219" s="7" t="s">
        <v>0</v>
      </c>
      <c r="AN219" s="7" t="s">
        <v>0</v>
      </c>
      <c r="AO219" s="7" t="s">
        <v>0</v>
      </c>
      <c r="AP219" s="7" t="s">
        <v>0</v>
      </c>
      <c r="AQ219" s="7" t="s">
        <v>61</v>
      </c>
      <c r="AR219" s="7" t="s">
        <v>0</v>
      </c>
      <c r="AS219" s="10" t="str">
        <f>HYPERLINK("https://tessa.gazprom-neft.local/edo/card/dd9e3fb9-cedc-462a-97d6-63b24b7ab753", "https://tessa.gazprom-neft.local/edo/card/dd9e3fb9-cedc-462a-97d6-63b24b7ab753")</f>
        <v>https://tessa.gazprom-neft.local/edo/card/dd9e3fb9-cedc-462a-97d6-63b24b7ab753</v>
      </c>
    </row>
    <row r="220" spans="1:45" x14ac:dyDescent="0.25">
      <c r="A220" s="6" t="s">
        <v>44</v>
      </c>
      <c r="B220" s="7" t="s">
        <v>852</v>
      </c>
      <c r="C220" s="7" t="s">
        <v>67</v>
      </c>
      <c r="D220" s="8">
        <v>45523</v>
      </c>
      <c r="E220" s="8" t="s">
        <v>0</v>
      </c>
      <c r="F220" s="16" t="s">
        <v>853</v>
      </c>
      <c r="G220" s="7" t="s">
        <v>854</v>
      </c>
      <c r="H220" s="7" t="s">
        <v>1002</v>
      </c>
      <c r="I220" s="7" t="s">
        <v>0</v>
      </c>
      <c r="J220" s="7" t="s">
        <v>271</v>
      </c>
      <c r="K220" s="7" t="s">
        <v>47</v>
      </c>
      <c r="L220" s="7" t="s">
        <v>48</v>
      </c>
      <c r="M220" s="7" t="s">
        <v>0</v>
      </c>
      <c r="N220" s="7" t="s">
        <v>6098</v>
      </c>
      <c r="O220" s="7" t="s">
        <v>0</v>
      </c>
      <c r="P220" s="7" t="s">
        <v>6099</v>
      </c>
      <c r="Q220" s="7" t="s">
        <v>6100</v>
      </c>
      <c r="R220" s="7" t="s">
        <v>1705</v>
      </c>
      <c r="S220" s="7" t="s">
        <v>1705</v>
      </c>
      <c r="T220" s="7" t="s">
        <v>54</v>
      </c>
      <c r="U220" s="7" t="s">
        <v>111</v>
      </c>
      <c r="V220" s="7" t="s">
        <v>126</v>
      </c>
      <c r="W220" s="7" t="s">
        <v>57</v>
      </c>
      <c r="X220" s="7" t="s">
        <v>103</v>
      </c>
      <c r="Y220" s="8">
        <v>45523</v>
      </c>
      <c r="Z220" s="8">
        <v>46387</v>
      </c>
      <c r="AA220" s="7" t="s">
        <v>200</v>
      </c>
      <c r="AB220" s="7" t="s">
        <v>161</v>
      </c>
      <c r="AC220" s="7" t="s">
        <v>79</v>
      </c>
      <c r="AD220" s="7" t="s">
        <v>80</v>
      </c>
      <c r="AE220" s="7" t="s">
        <v>82</v>
      </c>
      <c r="AF220" s="7" t="s">
        <v>0</v>
      </c>
      <c r="AG220" s="7" t="s">
        <v>0</v>
      </c>
      <c r="AH220" s="9" t="s">
        <v>10889</v>
      </c>
      <c r="AI220" s="9" t="s">
        <v>10890</v>
      </c>
      <c r="AJ220" s="9" t="s">
        <v>10891</v>
      </c>
      <c r="AK220" s="7" t="s">
        <v>61</v>
      </c>
      <c r="AL220" s="7" t="s">
        <v>61</v>
      </c>
      <c r="AM220" s="7" t="s">
        <v>0</v>
      </c>
      <c r="AN220" s="7" t="s">
        <v>0</v>
      </c>
      <c r="AO220" s="7" t="s">
        <v>0</v>
      </c>
      <c r="AP220" s="7" t="s">
        <v>0</v>
      </c>
      <c r="AQ220" s="7" t="s">
        <v>61</v>
      </c>
      <c r="AR220" s="7" t="s">
        <v>0</v>
      </c>
      <c r="AS220" s="10" t="str">
        <f>HYPERLINK("https://tessa.gazprom-neft.local/edo/card/3fd70480-3ac7-4703-bd68-dd03b3577f11", "https://tessa.gazprom-neft.local/edo/card/3fd70480-3ac7-4703-bd68-dd03b3577f11")</f>
        <v>https://tessa.gazprom-neft.local/edo/card/3fd70480-3ac7-4703-bd68-dd03b3577f11</v>
      </c>
    </row>
    <row r="221" spans="1:45" hidden="1" x14ac:dyDescent="0.25">
      <c r="A221" s="6" t="s">
        <v>44</v>
      </c>
      <c r="B221" s="7" t="s">
        <v>6002</v>
      </c>
      <c r="C221" s="7" t="s">
        <v>67</v>
      </c>
      <c r="D221" s="8">
        <v>45520</v>
      </c>
      <c r="E221" s="8" t="s">
        <v>0</v>
      </c>
      <c r="F221" s="16" t="s">
        <v>6003</v>
      </c>
      <c r="G221" s="7" t="s">
        <v>6004</v>
      </c>
      <c r="H221" s="7" t="s">
        <v>0</v>
      </c>
      <c r="I221" s="7" t="s">
        <v>6001</v>
      </c>
      <c r="J221" s="7" t="s">
        <v>6001</v>
      </c>
      <c r="K221" s="7" t="s">
        <v>85</v>
      </c>
      <c r="L221" s="7" t="s">
        <v>86</v>
      </c>
      <c r="M221" s="7" t="s">
        <v>83</v>
      </c>
      <c r="N221" s="7" t="s">
        <v>6000</v>
      </c>
      <c r="O221" s="7" t="s">
        <v>0</v>
      </c>
      <c r="P221" s="7" t="s">
        <v>83</v>
      </c>
      <c r="Q221" s="7" t="s">
        <v>5785</v>
      </c>
      <c r="R221" s="7" t="s">
        <v>891</v>
      </c>
      <c r="S221" s="7" t="s">
        <v>891</v>
      </c>
      <c r="T221" s="7" t="s">
        <v>54</v>
      </c>
      <c r="U221" s="7" t="s">
        <v>892</v>
      </c>
      <c r="V221" s="7" t="s">
        <v>126</v>
      </c>
      <c r="W221" s="7" t="s">
        <v>74</v>
      </c>
      <c r="X221" s="7" t="s">
        <v>223</v>
      </c>
      <c r="Y221" s="8">
        <v>45520</v>
      </c>
      <c r="Z221" s="8" t="s">
        <v>0</v>
      </c>
      <c r="AA221" s="7" t="s">
        <v>5596</v>
      </c>
      <c r="AB221" s="7" t="s">
        <v>94</v>
      </c>
      <c r="AC221" s="7" t="s">
        <v>65</v>
      </c>
      <c r="AD221" s="7" t="s">
        <v>0</v>
      </c>
      <c r="AE221" s="7" t="s">
        <v>0</v>
      </c>
      <c r="AF221" s="7" t="s">
        <v>0</v>
      </c>
      <c r="AG221" s="7" t="s">
        <v>0</v>
      </c>
      <c r="AH221" s="9" t="s">
        <v>0</v>
      </c>
      <c r="AI221" s="9" t="s">
        <v>0</v>
      </c>
      <c r="AJ221" s="9" t="s">
        <v>0</v>
      </c>
      <c r="AK221" s="7" t="s">
        <v>61</v>
      </c>
      <c r="AL221" s="7" t="s">
        <v>61</v>
      </c>
      <c r="AM221" s="7" t="s">
        <v>0</v>
      </c>
      <c r="AN221" s="7" t="s">
        <v>0</v>
      </c>
      <c r="AO221" s="7" t="s">
        <v>0</v>
      </c>
      <c r="AP221" s="7" t="s">
        <v>0</v>
      </c>
      <c r="AQ221" s="7" t="s">
        <v>61</v>
      </c>
      <c r="AR221" s="7" t="s">
        <v>0</v>
      </c>
      <c r="AS221" s="10" t="str">
        <f>HYPERLINK("https://tessa.gazprom-neft.local/edo/card/5effdf77-198b-4683-ba8a-2204d9ff9082", "https://tessa.gazprom-neft.local/edo/card/5effdf77-198b-4683-ba8a-2204d9ff9082")</f>
        <v>https://tessa.gazprom-neft.local/edo/card/5effdf77-198b-4683-ba8a-2204d9ff9082</v>
      </c>
    </row>
    <row r="222" spans="1:45" hidden="1" x14ac:dyDescent="0.25">
      <c r="A222" s="6" t="s">
        <v>44</v>
      </c>
      <c r="B222" s="7" t="s">
        <v>6046</v>
      </c>
      <c r="C222" s="7" t="s">
        <v>67</v>
      </c>
      <c r="D222" s="8">
        <v>45520</v>
      </c>
      <c r="E222" s="8" t="s">
        <v>0</v>
      </c>
      <c r="F222" s="16" t="s">
        <v>6047</v>
      </c>
      <c r="G222" s="7" t="s">
        <v>6048</v>
      </c>
      <c r="H222" s="7" t="s">
        <v>0</v>
      </c>
      <c r="I222" s="7" t="s">
        <v>6045</v>
      </c>
      <c r="J222" s="7" t="s">
        <v>6045</v>
      </c>
      <c r="K222" s="7" t="s">
        <v>85</v>
      </c>
      <c r="L222" s="7" t="s">
        <v>86</v>
      </c>
      <c r="M222" s="7" t="s">
        <v>83</v>
      </c>
      <c r="N222" s="7" t="s">
        <v>6044</v>
      </c>
      <c r="O222" s="7" t="s">
        <v>0</v>
      </c>
      <c r="P222" s="7" t="s">
        <v>83</v>
      </c>
      <c r="Q222" s="7" t="s">
        <v>5785</v>
      </c>
      <c r="R222" s="7" t="s">
        <v>891</v>
      </c>
      <c r="S222" s="7" t="s">
        <v>891</v>
      </c>
      <c r="T222" s="7" t="s">
        <v>54</v>
      </c>
      <c r="U222" s="7" t="s">
        <v>892</v>
      </c>
      <c r="V222" s="7" t="s">
        <v>126</v>
      </c>
      <c r="W222" s="7" t="s">
        <v>74</v>
      </c>
      <c r="X222" s="7" t="s">
        <v>223</v>
      </c>
      <c r="Y222" s="8">
        <v>45520</v>
      </c>
      <c r="Z222" s="8" t="s">
        <v>0</v>
      </c>
      <c r="AA222" s="7" t="s">
        <v>5596</v>
      </c>
      <c r="AB222" s="7" t="s">
        <v>94</v>
      </c>
      <c r="AC222" s="7" t="s">
        <v>65</v>
      </c>
      <c r="AD222" s="7" t="s">
        <v>144</v>
      </c>
      <c r="AE222" s="7" t="s">
        <v>0</v>
      </c>
      <c r="AF222" s="7" t="s">
        <v>0</v>
      </c>
      <c r="AG222" s="7" t="s">
        <v>0</v>
      </c>
      <c r="AH222" s="9" t="s">
        <v>0</v>
      </c>
      <c r="AI222" s="9" t="s">
        <v>0</v>
      </c>
      <c r="AJ222" s="9" t="s">
        <v>0</v>
      </c>
      <c r="AK222" s="7" t="s">
        <v>61</v>
      </c>
      <c r="AL222" s="7" t="s">
        <v>61</v>
      </c>
      <c r="AM222" s="7" t="s">
        <v>0</v>
      </c>
      <c r="AN222" s="7" t="s">
        <v>0</v>
      </c>
      <c r="AO222" s="7" t="s">
        <v>0</v>
      </c>
      <c r="AP222" s="7" t="s">
        <v>0</v>
      </c>
      <c r="AQ222" s="7" t="s">
        <v>61</v>
      </c>
      <c r="AR222" s="7" t="s">
        <v>0</v>
      </c>
      <c r="AS222" s="10" t="str">
        <f>HYPERLINK("https://tessa.gazprom-neft.local/edo/card/e05957e3-d42e-407a-949a-4d1496bcb9c8", "https://tessa.gazprom-neft.local/edo/card/e05957e3-d42e-407a-949a-4d1496bcb9c8")</f>
        <v>https://tessa.gazprom-neft.local/edo/card/e05957e3-d42e-407a-949a-4d1496bcb9c8</v>
      </c>
    </row>
    <row r="223" spans="1:45" x14ac:dyDescent="0.25">
      <c r="A223" s="6" t="s">
        <v>44</v>
      </c>
      <c r="B223" s="7" t="s">
        <v>2350</v>
      </c>
      <c r="C223" s="7" t="s">
        <v>67</v>
      </c>
      <c r="D223" s="8">
        <v>45520</v>
      </c>
      <c r="E223" s="8" t="s">
        <v>0</v>
      </c>
      <c r="F223" s="16" t="s">
        <v>2351</v>
      </c>
      <c r="G223" s="7" t="s">
        <v>2352</v>
      </c>
      <c r="H223" s="7" t="s">
        <v>3557</v>
      </c>
      <c r="I223" s="7" t="s">
        <v>0</v>
      </c>
      <c r="J223" s="7" t="s">
        <v>955</v>
      </c>
      <c r="K223" s="7" t="s">
        <v>47</v>
      </c>
      <c r="L223" s="7" t="s">
        <v>48</v>
      </c>
      <c r="M223" s="7" t="s">
        <v>0</v>
      </c>
      <c r="N223" s="7" t="s">
        <v>6186</v>
      </c>
      <c r="O223" s="7" t="s">
        <v>0</v>
      </c>
      <c r="P223" s="7" t="s">
        <v>6187</v>
      </c>
      <c r="Q223" s="7" t="s">
        <v>6188</v>
      </c>
      <c r="R223" s="7" t="s">
        <v>505</v>
      </c>
      <c r="S223" s="7" t="s">
        <v>2349</v>
      </c>
      <c r="T223" s="7" t="s">
        <v>54</v>
      </c>
      <c r="U223" s="7" t="s">
        <v>362</v>
      </c>
      <c r="V223" s="7" t="s">
        <v>295</v>
      </c>
      <c r="W223" s="7" t="s">
        <v>74</v>
      </c>
      <c r="X223" s="7" t="s">
        <v>58</v>
      </c>
      <c r="Y223" s="8">
        <v>45520</v>
      </c>
      <c r="Z223" s="8" t="s">
        <v>0</v>
      </c>
      <c r="AA223" s="7" t="s">
        <v>296</v>
      </c>
      <c r="AB223" s="7" t="s">
        <v>804</v>
      </c>
      <c r="AC223" s="7" t="s">
        <v>79</v>
      </c>
      <c r="AD223" s="7" t="s">
        <v>514</v>
      </c>
      <c r="AE223" s="7" t="s">
        <v>82</v>
      </c>
      <c r="AF223" s="7" t="s">
        <v>0</v>
      </c>
      <c r="AG223" s="7" t="s">
        <v>0</v>
      </c>
      <c r="AH223" s="9">
        <v>0</v>
      </c>
      <c r="AI223" s="9">
        <v>0</v>
      </c>
      <c r="AJ223" s="9">
        <v>0</v>
      </c>
      <c r="AK223" s="7" t="s">
        <v>61</v>
      </c>
      <c r="AL223" s="7" t="s">
        <v>61</v>
      </c>
      <c r="AM223" s="7" t="s">
        <v>0</v>
      </c>
      <c r="AN223" s="7" t="s">
        <v>0</v>
      </c>
      <c r="AO223" s="7" t="s">
        <v>0</v>
      </c>
      <c r="AP223" s="7" t="s">
        <v>0</v>
      </c>
      <c r="AQ223" s="7" t="s">
        <v>61</v>
      </c>
      <c r="AR223" s="7" t="s">
        <v>0</v>
      </c>
      <c r="AS223" s="10" t="str">
        <f>HYPERLINK("https://tessa.gazprom-neft.local/edo/card/d20f44fa-caf9-414b-ab3a-a5e8840d125e", "https://tessa.gazprom-neft.local/edo/card/d20f44fa-caf9-414b-ab3a-a5e8840d125e")</f>
        <v>https://tessa.gazprom-neft.local/edo/card/d20f44fa-caf9-414b-ab3a-a5e8840d125e</v>
      </c>
    </row>
    <row r="224" spans="1:45" x14ac:dyDescent="0.25">
      <c r="A224" s="6" t="s">
        <v>44</v>
      </c>
      <c r="B224" s="7" t="s">
        <v>350</v>
      </c>
      <c r="C224" s="7" t="s">
        <v>67</v>
      </c>
      <c r="D224" s="8">
        <v>45519</v>
      </c>
      <c r="E224" s="8" t="s">
        <v>0</v>
      </c>
      <c r="F224" s="16" t="s">
        <v>1027</v>
      </c>
      <c r="G224" s="7" t="s">
        <v>352</v>
      </c>
      <c r="H224" s="7" t="s">
        <v>1024</v>
      </c>
      <c r="I224" s="7" t="s">
        <v>0</v>
      </c>
      <c r="J224" s="7" t="s">
        <v>712</v>
      </c>
      <c r="K224" s="7" t="s">
        <v>47</v>
      </c>
      <c r="L224" s="7" t="s">
        <v>48</v>
      </c>
      <c r="M224" s="7" t="s">
        <v>0</v>
      </c>
      <c r="N224" s="7" t="s">
        <v>6255</v>
      </c>
      <c r="O224" s="7" t="s">
        <v>0</v>
      </c>
      <c r="P224" s="7" t="s">
        <v>6256</v>
      </c>
      <c r="Q224" s="7" t="s">
        <v>6257</v>
      </c>
      <c r="R224" s="7" t="s">
        <v>124</v>
      </c>
      <c r="S224" s="7" t="s">
        <v>349</v>
      </c>
      <c r="T224" s="7" t="s">
        <v>54</v>
      </c>
      <c r="U224" s="7" t="s">
        <v>101</v>
      </c>
      <c r="V224" s="7" t="s">
        <v>168</v>
      </c>
      <c r="W224" s="7" t="s">
        <v>57</v>
      </c>
      <c r="X224" s="7" t="s">
        <v>103</v>
      </c>
      <c r="Y224" s="8">
        <v>45519</v>
      </c>
      <c r="Z224" s="8">
        <v>47118</v>
      </c>
      <c r="AA224" s="7" t="s">
        <v>169</v>
      </c>
      <c r="AB224" s="7" t="s">
        <v>64</v>
      </c>
      <c r="AC224" s="7" t="s">
        <v>79</v>
      </c>
      <c r="AD224" s="7" t="s">
        <v>80</v>
      </c>
      <c r="AE224" s="7" t="s">
        <v>82</v>
      </c>
      <c r="AF224" s="7" t="s">
        <v>0</v>
      </c>
      <c r="AG224" s="7" t="s">
        <v>0</v>
      </c>
      <c r="AH224" s="9" t="s">
        <v>12768</v>
      </c>
      <c r="AI224" s="9" t="s">
        <v>12769</v>
      </c>
      <c r="AJ224" s="9" t="s">
        <v>12770</v>
      </c>
      <c r="AK224" s="7" t="s">
        <v>61</v>
      </c>
      <c r="AL224" s="7" t="s">
        <v>61</v>
      </c>
      <c r="AM224" s="7" t="s">
        <v>0</v>
      </c>
      <c r="AN224" s="7" t="s">
        <v>0</v>
      </c>
      <c r="AO224" s="7" t="s">
        <v>0</v>
      </c>
      <c r="AP224" s="7" t="s">
        <v>0</v>
      </c>
      <c r="AQ224" s="7" t="s">
        <v>61</v>
      </c>
      <c r="AR224" s="7" t="s">
        <v>0</v>
      </c>
      <c r="AS224" s="10" t="str">
        <f>HYPERLINK("https://tessa.gazprom-neft.local/edo/card/738a2f20-1a17-413a-b1d1-0e6115ff56ec", "https://tessa.gazprom-neft.local/edo/card/738a2f20-1a17-413a-b1d1-0e6115ff56ec")</f>
        <v>https://tessa.gazprom-neft.local/edo/card/738a2f20-1a17-413a-b1d1-0e6115ff56ec</v>
      </c>
    </row>
    <row r="225" spans="1:45" hidden="1" x14ac:dyDescent="0.25">
      <c r="A225" s="6" t="s">
        <v>44</v>
      </c>
      <c r="B225" s="7" t="s">
        <v>5437</v>
      </c>
      <c r="C225" s="7" t="s">
        <v>67</v>
      </c>
      <c r="D225" s="8">
        <v>45518</v>
      </c>
      <c r="E225" s="8" t="s">
        <v>0</v>
      </c>
      <c r="F225" s="16" t="s">
        <v>5438</v>
      </c>
      <c r="G225" s="7" t="s">
        <v>5439</v>
      </c>
      <c r="H225" s="7" t="s">
        <v>0</v>
      </c>
      <c r="I225" s="7" t="s">
        <v>5917</v>
      </c>
      <c r="J225" s="7" t="s">
        <v>5917</v>
      </c>
      <c r="K225" s="7" t="s">
        <v>85</v>
      </c>
      <c r="L225" s="7" t="s">
        <v>86</v>
      </c>
      <c r="M225" s="7" t="s">
        <v>289</v>
      </c>
      <c r="N225" s="7" t="s">
        <v>5916</v>
      </c>
      <c r="O225" s="7" t="s">
        <v>0</v>
      </c>
      <c r="P225" s="7" t="s">
        <v>5918</v>
      </c>
      <c r="Q225" s="7" t="s">
        <v>2315</v>
      </c>
      <c r="R225" s="7" t="s">
        <v>1139</v>
      </c>
      <c r="S225" s="7" t="s">
        <v>5436</v>
      </c>
      <c r="T225" s="7" t="s">
        <v>54</v>
      </c>
      <c r="U225" s="7" t="s">
        <v>125</v>
      </c>
      <c r="V225" s="7" t="s">
        <v>126</v>
      </c>
      <c r="W225" s="7" t="s">
        <v>74</v>
      </c>
      <c r="X225" s="7" t="s">
        <v>223</v>
      </c>
      <c r="Y225" s="8">
        <v>45518</v>
      </c>
      <c r="Z225" s="8" t="s">
        <v>0</v>
      </c>
      <c r="AA225" s="7" t="s">
        <v>200</v>
      </c>
      <c r="AB225" s="7" t="s">
        <v>300</v>
      </c>
      <c r="AC225" s="7" t="s">
        <v>65</v>
      </c>
      <c r="AD225" s="7" t="s">
        <v>0</v>
      </c>
      <c r="AE225" s="7" t="s">
        <v>0</v>
      </c>
      <c r="AF225" s="7" t="s">
        <v>0</v>
      </c>
      <c r="AG225" s="7" t="s">
        <v>0</v>
      </c>
      <c r="AH225" s="9" t="s">
        <v>0</v>
      </c>
      <c r="AI225" s="9" t="s">
        <v>0</v>
      </c>
      <c r="AJ225" s="9" t="s">
        <v>0</v>
      </c>
      <c r="AK225" s="7" t="s">
        <v>61</v>
      </c>
      <c r="AL225" s="7" t="s">
        <v>61</v>
      </c>
      <c r="AM225" s="7" t="s">
        <v>0</v>
      </c>
      <c r="AN225" s="7" t="s">
        <v>0</v>
      </c>
      <c r="AO225" s="7" t="s">
        <v>0</v>
      </c>
      <c r="AP225" s="7" t="s">
        <v>0</v>
      </c>
      <c r="AQ225" s="7" t="s">
        <v>61</v>
      </c>
      <c r="AR225" s="7" t="s">
        <v>0</v>
      </c>
      <c r="AS225" s="10" t="str">
        <f>HYPERLINK("https://tessa.gazprom-neft.local/edo/card/3ad1ae63-354c-4640-b3e6-c7ac02177890", "https://tessa.gazprom-neft.local/edo/card/3ad1ae63-354c-4640-b3e6-c7ac02177890")</f>
        <v>https://tessa.gazprom-neft.local/edo/card/3ad1ae63-354c-4640-b3e6-c7ac02177890</v>
      </c>
    </row>
    <row r="226" spans="1:45" hidden="1" x14ac:dyDescent="0.25">
      <c r="A226" s="6" t="s">
        <v>44</v>
      </c>
      <c r="B226" s="7" t="s">
        <v>5437</v>
      </c>
      <c r="C226" s="7" t="s">
        <v>67</v>
      </c>
      <c r="D226" s="8">
        <v>45518</v>
      </c>
      <c r="E226" s="8" t="s">
        <v>0</v>
      </c>
      <c r="F226" s="16" t="s">
        <v>5438</v>
      </c>
      <c r="G226" s="7" t="s">
        <v>5439</v>
      </c>
      <c r="H226" s="7" t="s">
        <v>0</v>
      </c>
      <c r="I226" s="7" t="s">
        <v>5951</v>
      </c>
      <c r="J226" s="7" t="s">
        <v>5951</v>
      </c>
      <c r="K226" s="7" t="s">
        <v>85</v>
      </c>
      <c r="L226" s="7" t="s">
        <v>86</v>
      </c>
      <c r="M226" s="7" t="s">
        <v>216</v>
      </c>
      <c r="N226" s="7" t="s">
        <v>5950</v>
      </c>
      <c r="O226" s="7" t="s">
        <v>0</v>
      </c>
      <c r="P226" s="7" t="s">
        <v>5952</v>
      </c>
      <c r="Q226" s="7" t="s">
        <v>3602</v>
      </c>
      <c r="R226" s="7" t="s">
        <v>1139</v>
      </c>
      <c r="S226" s="7" t="s">
        <v>5436</v>
      </c>
      <c r="T226" s="7" t="s">
        <v>54</v>
      </c>
      <c r="U226" s="7" t="s">
        <v>125</v>
      </c>
      <c r="V226" s="7" t="s">
        <v>308</v>
      </c>
      <c r="W226" s="7" t="s">
        <v>74</v>
      </c>
      <c r="X226" s="7" t="s">
        <v>223</v>
      </c>
      <c r="Y226" s="8">
        <v>45519</v>
      </c>
      <c r="Z226" s="8" t="s">
        <v>0</v>
      </c>
      <c r="AA226" s="7" t="s">
        <v>309</v>
      </c>
      <c r="AB226" s="7" t="s">
        <v>228</v>
      </c>
      <c r="AC226" s="7" t="s">
        <v>65</v>
      </c>
      <c r="AD226" s="7" t="s">
        <v>0</v>
      </c>
      <c r="AE226" s="7" t="s">
        <v>0</v>
      </c>
      <c r="AF226" s="7" t="s">
        <v>0</v>
      </c>
      <c r="AG226" s="7" t="s">
        <v>0</v>
      </c>
      <c r="AH226" s="9" t="s">
        <v>0</v>
      </c>
      <c r="AI226" s="9" t="s">
        <v>0</v>
      </c>
      <c r="AJ226" s="9" t="s">
        <v>0</v>
      </c>
      <c r="AK226" s="7" t="s">
        <v>61</v>
      </c>
      <c r="AL226" s="7" t="s">
        <v>61</v>
      </c>
      <c r="AM226" s="7" t="s">
        <v>0</v>
      </c>
      <c r="AN226" s="7" t="s">
        <v>0</v>
      </c>
      <c r="AO226" s="7" t="s">
        <v>0</v>
      </c>
      <c r="AP226" s="7" t="s">
        <v>0</v>
      </c>
      <c r="AQ226" s="7" t="s">
        <v>61</v>
      </c>
      <c r="AR226" s="7" t="s">
        <v>0</v>
      </c>
      <c r="AS226" s="10" t="str">
        <f>HYPERLINK("https://tessa.gazprom-neft.local/edo/card/75e53833-ac38-41d1-8163-6bc922591bf7", "https://tessa.gazprom-neft.local/edo/card/75e53833-ac38-41d1-8163-6bc922591bf7")</f>
        <v>https://tessa.gazprom-neft.local/edo/card/75e53833-ac38-41d1-8163-6bc922591bf7</v>
      </c>
    </row>
    <row r="227" spans="1:45" x14ac:dyDescent="0.25">
      <c r="A227" s="6" t="s">
        <v>44</v>
      </c>
      <c r="B227" s="7" t="s">
        <v>927</v>
      </c>
      <c r="C227" s="7" t="s">
        <v>67</v>
      </c>
      <c r="D227" s="8">
        <v>45518</v>
      </c>
      <c r="E227" s="8" t="s">
        <v>0</v>
      </c>
      <c r="F227" s="16" t="s">
        <v>928</v>
      </c>
      <c r="G227" s="7" t="s">
        <v>929</v>
      </c>
      <c r="H227" s="7" t="s">
        <v>3224</v>
      </c>
      <c r="I227" s="7" t="s">
        <v>0</v>
      </c>
      <c r="J227" s="7" t="s">
        <v>1098</v>
      </c>
      <c r="K227" s="7" t="s">
        <v>47</v>
      </c>
      <c r="L227" s="7" t="s">
        <v>48</v>
      </c>
      <c r="M227" s="7" t="s">
        <v>0</v>
      </c>
      <c r="N227" s="7" t="s">
        <v>6056</v>
      </c>
      <c r="O227" s="7" t="s">
        <v>0</v>
      </c>
      <c r="P227" s="7" t="s">
        <v>6057</v>
      </c>
      <c r="Q227" s="7" t="s">
        <v>6058</v>
      </c>
      <c r="R227" s="7" t="s">
        <v>124</v>
      </c>
      <c r="S227" s="7" t="s">
        <v>0</v>
      </c>
      <c r="T227" s="7" t="s">
        <v>54</v>
      </c>
      <c r="U227" s="7" t="s">
        <v>125</v>
      </c>
      <c r="V227" s="7" t="s">
        <v>126</v>
      </c>
      <c r="W227" s="7" t="s">
        <v>74</v>
      </c>
      <c r="X227" s="7" t="s">
        <v>103</v>
      </c>
      <c r="Y227" s="8">
        <v>45518</v>
      </c>
      <c r="Z227" s="8">
        <v>46022</v>
      </c>
      <c r="AA227" s="7" t="s">
        <v>0</v>
      </c>
      <c r="AB227" s="7" t="s">
        <v>3227</v>
      </c>
      <c r="AC227" s="7" t="s">
        <v>65</v>
      </c>
      <c r="AD227" s="7" t="s">
        <v>0</v>
      </c>
      <c r="AE227" s="7" t="s">
        <v>0</v>
      </c>
      <c r="AF227" s="7" t="s">
        <v>0</v>
      </c>
      <c r="AG227" s="7" t="s">
        <v>0</v>
      </c>
      <c r="AH227" s="9" t="s">
        <v>0</v>
      </c>
      <c r="AI227" s="9" t="s">
        <v>0</v>
      </c>
      <c r="AJ227" s="9" t="s">
        <v>0</v>
      </c>
      <c r="AK227" s="7" t="s">
        <v>61</v>
      </c>
      <c r="AL227" s="7" t="s">
        <v>61</v>
      </c>
      <c r="AM227" s="7" t="s">
        <v>0</v>
      </c>
      <c r="AN227" s="7" t="s">
        <v>0</v>
      </c>
      <c r="AO227" s="7" t="s">
        <v>0</v>
      </c>
      <c r="AP227" s="7" t="s">
        <v>0</v>
      </c>
      <c r="AQ227" s="7" t="s">
        <v>61</v>
      </c>
      <c r="AR227" s="7" t="s">
        <v>0</v>
      </c>
      <c r="AS227" s="10" t="str">
        <f>HYPERLINK("https://tessa.gazprom-neft.local/edo/card/de4c278b-5488-44ea-a2c6-0fb16567872b", "https://tessa.gazprom-neft.local/edo/card/de4c278b-5488-44ea-a2c6-0fb16567872b")</f>
        <v>https://tessa.gazprom-neft.local/edo/card/de4c278b-5488-44ea-a2c6-0fb16567872b</v>
      </c>
    </row>
    <row r="228" spans="1:45" x14ac:dyDescent="0.25">
      <c r="A228" s="6" t="s">
        <v>44</v>
      </c>
      <c r="B228" s="7" t="s">
        <v>687</v>
      </c>
      <c r="C228" s="7" t="s">
        <v>67</v>
      </c>
      <c r="D228" s="8">
        <v>45518</v>
      </c>
      <c r="E228" s="8" t="s">
        <v>0</v>
      </c>
      <c r="F228" s="16" t="s">
        <v>688</v>
      </c>
      <c r="G228" s="7" t="s">
        <v>689</v>
      </c>
      <c r="H228" s="7" t="s">
        <v>684</v>
      </c>
      <c r="I228" s="7" t="s">
        <v>0</v>
      </c>
      <c r="J228" s="7" t="s">
        <v>70</v>
      </c>
      <c r="K228" s="7" t="s">
        <v>47</v>
      </c>
      <c r="L228" s="7" t="s">
        <v>48</v>
      </c>
      <c r="M228" s="7" t="s">
        <v>0</v>
      </c>
      <c r="N228" s="7" t="s">
        <v>6076</v>
      </c>
      <c r="O228" s="7" t="s">
        <v>0</v>
      </c>
      <c r="P228" s="7" t="s">
        <v>6077</v>
      </c>
      <c r="Q228" s="7" t="s">
        <v>6078</v>
      </c>
      <c r="R228" s="7" t="s">
        <v>124</v>
      </c>
      <c r="S228" s="7" t="s">
        <v>0</v>
      </c>
      <c r="T228" s="7" t="s">
        <v>54</v>
      </c>
      <c r="U228" s="7" t="s">
        <v>125</v>
      </c>
      <c r="V228" s="7" t="s">
        <v>126</v>
      </c>
      <c r="W228" s="7" t="s">
        <v>74</v>
      </c>
      <c r="X228" s="7" t="s">
        <v>103</v>
      </c>
      <c r="Y228" s="8">
        <v>45518</v>
      </c>
      <c r="Z228" s="8">
        <v>46022</v>
      </c>
      <c r="AA228" s="7" t="s">
        <v>0</v>
      </c>
      <c r="AB228" s="7" t="s">
        <v>690</v>
      </c>
      <c r="AC228" s="7" t="s">
        <v>65</v>
      </c>
      <c r="AD228" s="7" t="s">
        <v>0</v>
      </c>
      <c r="AE228" s="7" t="s">
        <v>0</v>
      </c>
      <c r="AF228" s="7" t="s">
        <v>0</v>
      </c>
      <c r="AG228" s="7" t="s">
        <v>0</v>
      </c>
      <c r="AH228" s="9" t="s">
        <v>0</v>
      </c>
      <c r="AI228" s="9" t="s">
        <v>0</v>
      </c>
      <c r="AJ228" s="9" t="s">
        <v>0</v>
      </c>
      <c r="AK228" s="7" t="s">
        <v>61</v>
      </c>
      <c r="AL228" s="7" t="s">
        <v>61</v>
      </c>
      <c r="AM228" s="7" t="s">
        <v>0</v>
      </c>
      <c r="AN228" s="7" t="s">
        <v>0</v>
      </c>
      <c r="AO228" s="7" t="s">
        <v>0</v>
      </c>
      <c r="AP228" s="7" t="s">
        <v>0</v>
      </c>
      <c r="AQ228" s="7" t="s">
        <v>61</v>
      </c>
      <c r="AR228" s="7" t="s">
        <v>0</v>
      </c>
      <c r="AS228" s="10" t="str">
        <f>HYPERLINK("https://tessa.gazprom-neft.local/edo/card/cf68cb81-a892-4aaf-9937-c76f921bb11a", "https://tessa.gazprom-neft.local/edo/card/cf68cb81-a892-4aaf-9937-c76f921bb11a")</f>
        <v>https://tessa.gazprom-neft.local/edo/card/cf68cb81-a892-4aaf-9937-c76f921bb11a</v>
      </c>
    </row>
    <row r="229" spans="1:45" hidden="1" x14ac:dyDescent="0.25">
      <c r="A229" s="6" t="s">
        <v>44</v>
      </c>
      <c r="B229" s="7" t="s">
        <v>3240</v>
      </c>
      <c r="C229" s="7" t="s">
        <v>67</v>
      </c>
      <c r="D229" s="8">
        <v>45517</v>
      </c>
      <c r="E229" s="8" t="s">
        <v>0</v>
      </c>
      <c r="F229" s="16" t="s">
        <v>3241</v>
      </c>
      <c r="G229" s="7" t="s">
        <v>3242</v>
      </c>
      <c r="H229" s="7" t="s">
        <v>0</v>
      </c>
      <c r="I229" s="7" t="s">
        <v>5239</v>
      </c>
      <c r="J229" s="7" t="s">
        <v>5239</v>
      </c>
      <c r="K229" s="7" t="s">
        <v>47</v>
      </c>
      <c r="L229" s="7" t="s">
        <v>96</v>
      </c>
      <c r="M229" s="7" t="s">
        <v>0</v>
      </c>
      <c r="N229" s="7" t="s">
        <v>5238</v>
      </c>
      <c r="O229" s="7" t="s">
        <v>0</v>
      </c>
      <c r="P229" s="7" t="s">
        <v>5240</v>
      </c>
      <c r="Q229" s="7" t="s">
        <v>5241</v>
      </c>
      <c r="R229" s="7" t="s">
        <v>2079</v>
      </c>
      <c r="S229" s="7" t="s">
        <v>2079</v>
      </c>
      <c r="T229" s="7" t="s">
        <v>54</v>
      </c>
      <c r="U229" s="7" t="s">
        <v>55</v>
      </c>
      <c r="V229" s="7" t="s">
        <v>56</v>
      </c>
      <c r="W229" s="7" t="s">
        <v>57</v>
      </c>
      <c r="X229" s="7" t="s">
        <v>58</v>
      </c>
      <c r="Y229" s="8">
        <v>45517</v>
      </c>
      <c r="Z229" s="8" t="s">
        <v>0</v>
      </c>
      <c r="AA229" s="7" t="s">
        <v>59</v>
      </c>
      <c r="AB229" s="7" t="s">
        <v>5242</v>
      </c>
      <c r="AC229" s="7" t="s">
        <v>79</v>
      </c>
      <c r="AD229" s="7" t="s">
        <v>80</v>
      </c>
      <c r="AE229" s="7" t="s">
        <v>472</v>
      </c>
      <c r="AF229" s="7" t="s">
        <v>0</v>
      </c>
      <c r="AG229" s="7" t="s">
        <v>0</v>
      </c>
      <c r="AH229" s="9" t="s">
        <v>12406</v>
      </c>
      <c r="AI229" s="9" t="s">
        <v>12407</v>
      </c>
      <c r="AJ229" s="9" t="s">
        <v>12408</v>
      </c>
      <c r="AK229" s="7" t="s">
        <v>61</v>
      </c>
      <c r="AL229" s="7" t="s">
        <v>61</v>
      </c>
      <c r="AM229" s="7" t="s">
        <v>0</v>
      </c>
      <c r="AN229" s="7" t="s">
        <v>0</v>
      </c>
      <c r="AO229" s="7" t="s">
        <v>0</v>
      </c>
      <c r="AP229" s="7" t="s">
        <v>0</v>
      </c>
      <c r="AQ229" s="7" t="s">
        <v>61</v>
      </c>
      <c r="AR229" s="7" t="s">
        <v>0</v>
      </c>
      <c r="AS229" s="10" t="str">
        <f>HYPERLINK("https://tessa.gazprom-neft.local/edo/card/722e9151-9064-4c47-8983-4245ab61a385", "https://tessa.gazprom-neft.local/edo/card/722e9151-9064-4c47-8983-4245ab61a385")</f>
        <v>https://tessa.gazprom-neft.local/edo/card/722e9151-9064-4c47-8983-4245ab61a385</v>
      </c>
    </row>
    <row r="230" spans="1:45" hidden="1" x14ac:dyDescent="0.25">
      <c r="A230" s="6" t="s">
        <v>44</v>
      </c>
      <c r="B230" s="7" t="s">
        <v>5740</v>
      </c>
      <c r="C230" s="7" t="s">
        <v>67</v>
      </c>
      <c r="D230" s="8">
        <v>45517</v>
      </c>
      <c r="E230" s="8" t="s">
        <v>0</v>
      </c>
      <c r="F230" s="16" t="s">
        <v>5741</v>
      </c>
      <c r="G230" s="7" t="s">
        <v>5742</v>
      </c>
      <c r="H230" s="7" t="s">
        <v>0</v>
      </c>
      <c r="I230" s="7" t="s">
        <v>5737</v>
      </c>
      <c r="J230" s="7" t="s">
        <v>5737</v>
      </c>
      <c r="K230" s="7" t="s">
        <v>47</v>
      </c>
      <c r="L230" s="7" t="s">
        <v>96</v>
      </c>
      <c r="M230" s="7" t="s">
        <v>0</v>
      </c>
      <c r="N230" s="7" t="s">
        <v>5736</v>
      </c>
      <c r="O230" s="7" t="s">
        <v>0</v>
      </c>
      <c r="P230" s="7" t="s">
        <v>5738</v>
      </c>
      <c r="Q230" s="7" t="s">
        <v>5739</v>
      </c>
      <c r="R230" s="7" t="s">
        <v>1139</v>
      </c>
      <c r="S230" s="7" t="s">
        <v>1011</v>
      </c>
      <c r="T230" s="7" t="s">
        <v>54</v>
      </c>
      <c r="U230" s="7" t="s">
        <v>1012</v>
      </c>
      <c r="V230" s="7" t="s">
        <v>126</v>
      </c>
      <c r="W230" s="7" t="s">
        <v>74</v>
      </c>
      <c r="X230" s="7" t="s">
        <v>103</v>
      </c>
      <c r="Y230" s="8">
        <v>45517</v>
      </c>
      <c r="Z230" s="8">
        <v>46387</v>
      </c>
      <c r="AA230" s="7" t="s">
        <v>200</v>
      </c>
      <c r="AB230" s="7" t="s">
        <v>64</v>
      </c>
      <c r="AC230" s="7" t="s">
        <v>79</v>
      </c>
      <c r="AD230" s="7" t="s">
        <v>80</v>
      </c>
      <c r="AE230" s="7" t="s">
        <v>118</v>
      </c>
      <c r="AF230" s="7" t="s">
        <v>0</v>
      </c>
      <c r="AG230" s="7" t="s">
        <v>0</v>
      </c>
      <c r="AH230" s="9" t="s">
        <v>12604</v>
      </c>
      <c r="AI230" s="9" t="s">
        <v>12604</v>
      </c>
      <c r="AJ230" s="9">
        <v>0</v>
      </c>
      <c r="AK230" s="7" t="s">
        <v>61</v>
      </c>
      <c r="AL230" s="7" t="s">
        <v>61</v>
      </c>
      <c r="AM230" s="7" t="s">
        <v>0</v>
      </c>
      <c r="AN230" s="7" t="s">
        <v>0</v>
      </c>
      <c r="AO230" s="7" t="s">
        <v>0</v>
      </c>
      <c r="AP230" s="7" t="s">
        <v>0</v>
      </c>
      <c r="AQ230" s="7" t="s">
        <v>61</v>
      </c>
      <c r="AR230" s="7" t="s">
        <v>0</v>
      </c>
      <c r="AS230" s="10" t="str">
        <f>HYPERLINK("https://tessa.gazprom-neft.local/edo/card/848619fc-39dd-4734-8db4-77341b937cf6", "https://tessa.gazprom-neft.local/edo/card/848619fc-39dd-4734-8db4-77341b937cf6")</f>
        <v>https://tessa.gazprom-neft.local/edo/card/848619fc-39dd-4734-8db4-77341b937cf6</v>
      </c>
    </row>
    <row r="231" spans="1:45" hidden="1" x14ac:dyDescent="0.25">
      <c r="A231" s="6" t="s">
        <v>44</v>
      </c>
      <c r="B231" s="7" t="s">
        <v>5786</v>
      </c>
      <c r="C231" s="7" t="s">
        <v>67</v>
      </c>
      <c r="D231" s="8">
        <v>45516</v>
      </c>
      <c r="E231" s="8" t="s">
        <v>0</v>
      </c>
      <c r="F231" s="16" t="s">
        <v>5787</v>
      </c>
      <c r="G231" s="7" t="s">
        <v>5788</v>
      </c>
      <c r="H231" s="7" t="s">
        <v>0</v>
      </c>
      <c r="I231" s="7" t="s">
        <v>5783</v>
      </c>
      <c r="J231" s="7" t="s">
        <v>5783</v>
      </c>
      <c r="K231" s="7" t="s">
        <v>47</v>
      </c>
      <c r="L231" s="7" t="s">
        <v>86</v>
      </c>
      <c r="M231" s="7" t="s">
        <v>0</v>
      </c>
      <c r="N231" s="7" t="s">
        <v>5782</v>
      </c>
      <c r="O231" s="7" t="s">
        <v>0</v>
      </c>
      <c r="P231" s="7" t="s">
        <v>5784</v>
      </c>
      <c r="Q231" s="7" t="s">
        <v>5785</v>
      </c>
      <c r="R231" s="7" t="s">
        <v>891</v>
      </c>
      <c r="S231" s="7" t="s">
        <v>891</v>
      </c>
      <c r="T231" s="7" t="s">
        <v>54</v>
      </c>
      <c r="U231" s="7" t="s">
        <v>892</v>
      </c>
      <c r="V231" s="7" t="s">
        <v>126</v>
      </c>
      <c r="W231" s="7" t="s">
        <v>74</v>
      </c>
      <c r="X231" s="7" t="s">
        <v>223</v>
      </c>
      <c r="Y231" s="8">
        <v>45519</v>
      </c>
      <c r="Z231" s="8" t="s">
        <v>0</v>
      </c>
      <c r="AA231" s="7" t="s">
        <v>5596</v>
      </c>
      <c r="AB231" s="7" t="s">
        <v>94</v>
      </c>
      <c r="AC231" s="7" t="s">
        <v>65</v>
      </c>
      <c r="AD231" s="7" t="s">
        <v>0</v>
      </c>
      <c r="AE231" s="7" t="s">
        <v>0</v>
      </c>
      <c r="AF231" s="7" t="s">
        <v>0</v>
      </c>
      <c r="AG231" s="7" t="s">
        <v>0</v>
      </c>
      <c r="AH231" s="9" t="s">
        <v>0</v>
      </c>
      <c r="AI231" s="9" t="s">
        <v>0</v>
      </c>
      <c r="AJ231" s="9" t="s">
        <v>0</v>
      </c>
      <c r="AK231" s="7" t="s">
        <v>61</v>
      </c>
      <c r="AL231" s="7" t="s">
        <v>61</v>
      </c>
      <c r="AM231" s="7" t="s">
        <v>0</v>
      </c>
      <c r="AN231" s="7" t="s">
        <v>0</v>
      </c>
      <c r="AO231" s="7" t="s">
        <v>0</v>
      </c>
      <c r="AP231" s="7" t="s">
        <v>0</v>
      </c>
      <c r="AQ231" s="7" t="s">
        <v>61</v>
      </c>
      <c r="AR231" s="7" t="s">
        <v>0</v>
      </c>
      <c r="AS231" s="10" t="str">
        <f>HYPERLINK("https://tessa.gazprom-neft.local/edo/card/41b8e3bb-53b1-40a4-9e76-4b26aba154d0", "https://tessa.gazprom-neft.local/edo/card/41b8e3bb-53b1-40a4-9e76-4b26aba154d0")</f>
        <v>https://tessa.gazprom-neft.local/edo/card/41b8e3bb-53b1-40a4-9e76-4b26aba154d0</v>
      </c>
    </row>
    <row r="232" spans="1:45" hidden="1" x14ac:dyDescent="0.25">
      <c r="A232" s="6" t="s">
        <v>44</v>
      </c>
      <c r="B232" s="7" t="s">
        <v>395</v>
      </c>
      <c r="C232" s="7" t="s">
        <v>67</v>
      </c>
      <c r="D232" s="8">
        <v>45513</v>
      </c>
      <c r="E232" s="8" t="s">
        <v>0</v>
      </c>
      <c r="F232" s="16" t="s">
        <v>396</v>
      </c>
      <c r="G232" s="7" t="s">
        <v>397</v>
      </c>
      <c r="H232" s="7" t="s">
        <v>390</v>
      </c>
      <c r="I232" s="7" t="s">
        <v>0</v>
      </c>
      <c r="J232" s="7" t="s">
        <v>70</v>
      </c>
      <c r="K232" s="7" t="s">
        <v>47</v>
      </c>
      <c r="L232" s="7" t="s">
        <v>239</v>
      </c>
      <c r="M232" s="7" t="s">
        <v>0</v>
      </c>
      <c r="N232" s="7" t="s">
        <v>6178</v>
      </c>
      <c r="O232" s="7" t="s">
        <v>0</v>
      </c>
      <c r="P232" s="7" t="s">
        <v>6179</v>
      </c>
      <c r="Q232" s="7" t="s">
        <v>6180</v>
      </c>
      <c r="R232" s="7" t="s">
        <v>393</v>
      </c>
      <c r="S232" s="7" t="s">
        <v>394</v>
      </c>
      <c r="T232" s="7" t="s">
        <v>54</v>
      </c>
      <c r="U232" s="7" t="s">
        <v>222</v>
      </c>
      <c r="V232" s="7" t="s">
        <v>126</v>
      </c>
      <c r="W232" s="7" t="s">
        <v>74</v>
      </c>
      <c r="X232" s="7" t="s">
        <v>103</v>
      </c>
      <c r="Y232" s="8">
        <v>45513</v>
      </c>
      <c r="Z232" s="8">
        <v>45534</v>
      </c>
      <c r="AA232" s="7" t="s">
        <v>5596</v>
      </c>
      <c r="AB232" s="7" t="s">
        <v>387</v>
      </c>
      <c r="AC232" s="7" t="s">
        <v>79</v>
      </c>
      <c r="AD232" s="7" t="s">
        <v>80</v>
      </c>
      <c r="AE232" s="7" t="s">
        <v>82</v>
      </c>
      <c r="AF232" s="7" t="s">
        <v>0</v>
      </c>
      <c r="AG232" s="7" t="s">
        <v>4684</v>
      </c>
      <c r="AH232" s="9" t="s">
        <v>12741</v>
      </c>
      <c r="AI232" s="9" t="s">
        <v>12742</v>
      </c>
      <c r="AJ232" s="9" t="s">
        <v>12743</v>
      </c>
      <c r="AK232" s="7" t="s">
        <v>81</v>
      </c>
      <c r="AL232" s="7" t="s">
        <v>61</v>
      </c>
      <c r="AM232" s="7" t="s">
        <v>0</v>
      </c>
      <c r="AN232" s="7" t="s">
        <v>0</v>
      </c>
      <c r="AO232" s="7" t="s">
        <v>0</v>
      </c>
      <c r="AP232" s="7" t="s">
        <v>0</v>
      </c>
      <c r="AQ232" s="7" t="s">
        <v>61</v>
      </c>
      <c r="AR232" s="7" t="s">
        <v>0</v>
      </c>
      <c r="AS232" s="10" t="str">
        <f>HYPERLINK("https://tessa.gazprom-neft.local/edo/card/f270775b-b7cd-473a-8075-98972595a1e2", "https://tessa.gazprom-neft.local/edo/card/f270775b-b7cd-473a-8075-98972595a1e2")</f>
        <v>https://tessa.gazprom-neft.local/edo/card/f270775b-b7cd-473a-8075-98972595a1e2</v>
      </c>
    </row>
    <row r="233" spans="1:45" hidden="1" x14ac:dyDescent="0.25">
      <c r="A233" s="6" t="s">
        <v>44</v>
      </c>
      <c r="B233" s="7" t="s">
        <v>5553</v>
      </c>
      <c r="C233" s="7" t="s">
        <v>67</v>
      </c>
      <c r="D233" s="8">
        <v>45511</v>
      </c>
      <c r="E233" s="8" t="s">
        <v>0</v>
      </c>
      <c r="F233" s="16" t="s">
        <v>5554</v>
      </c>
      <c r="G233" s="7" t="s">
        <v>5555</v>
      </c>
      <c r="H233" s="7" t="s">
        <v>0</v>
      </c>
      <c r="I233" s="7" t="s">
        <v>5904</v>
      </c>
      <c r="J233" s="7" t="s">
        <v>5904</v>
      </c>
      <c r="K233" s="7" t="s">
        <v>85</v>
      </c>
      <c r="L233" s="7" t="s">
        <v>86</v>
      </c>
      <c r="M233" s="7" t="s">
        <v>289</v>
      </c>
      <c r="N233" s="7" t="s">
        <v>5903</v>
      </c>
      <c r="O233" s="7" t="s">
        <v>0</v>
      </c>
      <c r="P233" s="7" t="s">
        <v>5905</v>
      </c>
      <c r="Q233" s="7" t="s">
        <v>2315</v>
      </c>
      <c r="R233" s="7" t="s">
        <v>1139</v>
      </c>
      <c r="S233" s="7" t="s">
        <v>1066</v>
      </c>
      <c r="T233" s="7" t="s">
        <v>54</v>
      </c>
      <c r="U233" s="7" t="s">
        <v>283</v>
      </c>
      <c r="V233" s="7" t="s">
        <v>340</v>
      </c>
      <c r="W233" s="7" t="s">
        <v>74</v>
      </c>
      <c r="X233" s="7" t="s">
        <v>223</v>
      </c>
      <c r="Y233" s="8">
        <v>45513</v>
      </c>
      <c r="Z233" s="8" t="s">
        <v>0</v>
      </c>
      <c r="AA233" s="7" t="s">
        <v>341</v>
      </c>
      <c r="AB233" s="7" t="s">
        <v>300</v>
      </c>
      <c r="AC233" s="7" t="s">
        <v>65</v>
      </c>
      <c r="AD233" s="7" t="s">
        <v>0</v>
      </c>
      <c r="AE233" s="7" t="s">
        <v>0</v>
      </c>
      <c r="AF233" s="7" t="s">
        <v>0</v>
      </c>
      <c r="AG233" s="7" t="s">
        <v>0</v>
      </c>
      <c r="AH233" s="9" t="s">
        <v>0</v>
      </c>
      <c r="AI233" s="9" t="s">
        <v>0</v>
      </c>
      <c r="AJ233" s="9" t="s">
        <v>0</v>
      </c>
      <c r="AK233" s="7" t="s">
        <v>61</v>
      </c>
      <c r="AL233" s="7" t="s">
        <v>61</v>
      </c>
      <c r="AM233" s="7" t="s">
        <v>0</v>
      </c>
      <c r="AN233" s="7" t="s">
        <v>0</v>
      </c>
      <c r="AO233" s="7" t="s">
        <v>0</v>
      </c>
      <c r="AP233" s="7" t="s">
        <v>0</v>
      </c>
      <c r="AQ233" s="7" t="s">
        <v>61</v>
      </c>
      <c r="AR233" s="7" t="s">
        <v>0</v>
      </c>
      <c r="AS233" s="10" t="str">
        <f>HYPERLINK("https://tessa.gazprom-neft.local/edo/card/30a66a97-d00b-4440-882f-15a9c1dba505", "https://tessa.gazprom-neft.local/edo/card/30a66a97-d00b-4440-882f-15a9c1dba505")</f>
        <v>https://tessa.gazprom-neft.local/edo/card/30a66a97-d00b-4440-882f-15a9c1dba505</v>
      </c>
    </row>
    <row r="234" spans="1:45" hidden="1" x14ac:dyDescent="0.25">
      <c r="A234" s="6" t="s">
        <v>44</v>
      </c>
      <c r="B234" s="7" t="s">
        <v>127</v>
      </c>
      <c r="C234" s="7" t="s">
        <v>67</v>
      </c>
      <c r="D234" s="8">
        <v>45510</v>
      </c>
      <c r="E234" s="8" t="s">
        <v>0</v>
      </c>
      <c r="F234" s="16" t="s">
        <v>128</v>
      </c>
      <c r="G234" s="7" t="s">
        <v>129</v>
      </c>
      <c r="H234" s="7" t="s">
        <v>0</v>
      </c>
      <c r="I234" s="7" t="s">
        <v>5364</v>
      </c>
      <c r="J234" s="7" t="s">
        <v>5364</v>
      </c>
      <c r="K234" s="7" t="s">
        <v>85</v>
      </c>
      <c r="L234" s="7" t="s">
        <v>86</v>
      </c>
      <c r="M234" s="7" t="s">
        <v>289</v>
      </c>
      <c r="N234" s="7" t="s">
        <v>5363</v>
      </c>
      <c r="O234" s="7" t="s">
        <v>0</v>
      </c>
      <c r="P234" s="7" t="s">
        <v>289</v>
      </c>
      <c r="Q234" s="7" t="s">
        <v>5365</v>
      </c>
      <c r="R234" s="7" t="s">
        <v>1139</v>
      </c>
      <c r="S234" s="7" t="s">
        <v>1094</v>
      </c>
      <c r="T234" s="7" t="s">
        <v>54</v>
      </c>
      <c r="U234" s="7" t="s">
        <v>125</v>
      </c>
      <c r="V234" s="7" t="s">
        <v>126</v>
      </c>
      <c r="W234" s="7" t="s">
        <v>74</v>
      </c>
      <c r="X234" s="7" t="s">
        <v>223</v>
      </c>
      <c r="Y234" s="8">
        <v>45516</v>
      </c>
      <c r="Z234" s="8" t="s">
        <v>0</v>
      </c>
      <c r="AA234" s="7" t="s">
        <v>200</v>
      </c>
      <c r="AB234" s="7" t="s">
        <v>300</v>
      </c>
      <c r="AC234" s="7" t="s">
        <v>65</v>
      </c>
      <c r="AD234" s="7" t="s">
        <v>0</v>
      </c>
      <c r="AE234" s="7" t="s">
        <v>0</v>
      </c>
      <c r="AF234" s="7" t="s">
        <v>0</v>
      </c>
      <c r="AG234" s="7" t="s">
        <v>0</v>
      </c>
      <c r="AH234" s="9" t="s">
        <v>0</v>
      </c>
      <c r="AI234" s="9" t="s">
        <v>0</v>
      </c>
      <c r="AJ234" s="9" t="s">
        <v>0</v>
      </c>
      <c r="AK234" s="7" t="s">
        <v>61</v>
      </c>
      <c r="AL234" s="7" t="s">
        <v>61</v>
      </c>
      <c r="AM234" s="7" t="s">
        <v>0</v>
      </c>
      <c r="AN234" s="7" t="s">
        <v>0</v>
      </c>
      <c r="AO234" s="7" t="s">
        <v>0</v>
      </c>
      <c r="AP234" s="7" t="s">
        <v>0</v>
      </c>
      <c r="AQ234" s="7" t="s">
        <v>61</v>
      </c>
      <c r="AR234" s="7" t="s">
        <v>0</v>
      </c>
      <c r="AS234" s="10" t="str">
        <f>HYPERLINK("https://tessa.gazprom-neft.local/edo/card/d2688dd3-5bbf-4609-9173-b461821cf79f", "https://tessa.gazprom-neft.local/edo/card/d2688dd3-5bbf-4609-9173-b461821cf79f")</f>
        <v>https://tessa.gazprom-neft.local/edo/card/d2688dd3-5bbf-4609-9173-b461821cf79f</v>
      </c>
    </row>
    <row r="235" spans="1:45" hidden="1" x14ac:dyDescent="0.25">
      <c r="A235" s="6" t="s">
        <v>44</v>
      </c>
      <c r="B235" s="7" t="s">
        <v>5553</v>
      </c>
      <c r="C235" s="7" t="s">
        <v>67</v>
      </c>
      <c r="D235" s="8">
        <v>45510</v>
      </c>
      <c r="E235" s="8" t="s">
        <v>0</v>
      </c>
      <c r="F235" s="16" t="s">
        <v>5554</v>
      </c>
      <c r="G235" s="7" t="s">
        <v>5555</v>
      </c>
      <c r="H235" s="7" t="s">
        <v>0</v>
      </c>
      <c r="I235" s="7" t="s">
        <v>5550</v>
      </c>
      <c r="J235" s="7" t="s">
        <v>5550</v>
      </c>
      <c r="K235" s="7" t="s">
        <v>47</v>
      </c>
      <c r="L235" s="7" t="s">
        <v>96</v>
      </c>
      <c r="M235" s="7" t="s">
        <v>0</v>
      </c>
      <c r="N235" s="7" t="s">
        <v>5549</v>
      </c>
      <c r="O235" s="7" t="s">
        <v>0</v>
      </c>
      <c r="P235" s="7" t="s">
        <v>5551</v>
      </c>
      <c r="Q235" s="7" t="s">
        <v>5552</v>
      </c>
      <c r="R235" s="7" t="s">
        <v>1139</v>
      </c>
      <c r="S235" s="7" t="s">
        <v>1066</v>
      </c>
      <c r="T235" s="7" t="s">
        <v>54</v>
      </c>
      <c r="U235" s="7" t="s">
        <v>283</v>
      </c>
      <c r="V235" s="7" t="s">
        <v>308</v>
      </c>
      <c r="W235" s="7" t="s">
        <v>74</v>
      </c>
      <c r="X235" s="7" t="s">
        <v>103</v>
      </c>
      <c r="Y235" s="8">
        <v>45510</v>
      </c>
      <c r="Z235" s="8">
        <v>45657</v>
      </c>
      <c r="AA235" s="7" t="s">
        <v>309</v>
      </c>
      <c r="AB235" s="7" t="s">
        <v>130</v>
      </c>
      <c r="AC235" s="7" t="s">
        <v>79</v>
      </c>
      <c r="AD235" s="7" t="s">
        <v>80</v>
      </c>
      <c r="AE235" s="7" t="s">
        <v>82</v>
      </c>
      <c r="AF235" s="7" t="s">
        <v>0</v>
      </c>
      <c r="AG235" s="7" t="s">
        <v>5556</v>
      </c>
      <c r="AH235" s="9" t="s">
        <v>12528</v>
      </c>
      <c r="AI235" s="9" t="s">
        <v>12529</v>
      </c>
      <c r="AJ235" s="9" t="s">
        <v>12530</v>
      </c>
      <c r="AK235" s="7" t="s">
        <v>81</v>
      </c>
      <c r="AL235" s="7" t="s">
        <v>61</v>
      </c>
      <c r="AM235" s="7" t="s">
        <v>0</v>
      </c>
      <c r="AN235" s="7" t="s">
        <v>0</v>
      </c>
      <c r="AO235" s="7" t="s">
        <v>0</v>
      </c>
      <c r="AP235" s="7" t="s">
        <v>0</v>
      </c>
      <c r="AQ235" s="7" t="s">
        <v>61</v>
      </c>
      <c r="AR235" s="7" t="s">
        <v>0</v>
      </c>
      <c r="AS235" s="10" t="str">
        <f>HYPERLINK("https://tessa.gazprom-neft.local/edo/card/c3e7741f-4271-4ef8-8139-4078232b1259", "https://tessa.gazprom-neft.local/edo/card/c3e7741f-4271-4ef8-8139-4078232b1259")</f>
        <v>https://tessa.gazprom-neft.local/edo/card/c3e7741f-4271-4ef8-8139-4078232b1259</v>
      </c>
    </row>
    <row r="236" spans="1:45" hidden="1" x14ac:dyDescent="0.25">
      <c r="A236" s="6" t="s">
        <v>44</v>
      </c>
      <c r="B236" s="7" t="s">
        <v>5553</v>
      </c>
      <c r="C236" s="7" t="s">
        <v>67</v>
      </c>
      <c r="D236" s="8">
        <v>45510</v>
      </c>
      <c r="E236" s="8" t="s">
        <v>0</v>
      </c>
      <c r="F236" s="16" t="s">
        <v>5554</v>
      </c>
      <c r="G236" s="7" t="s">
        <v>5555</v>
      </c>
      <c r="H236" s="7" t="s">
        <v>0</v>
      </c>
      <c r="I236" s="7" t="s">
        <v>5893</v>
      </c>
      <c r="J236" s="7" t="s">
        <v>5893</v>
      </c>
      <c r="K236" s="7" t="s">
        <v>85</v>
      </c>
      <c r="L236" s="7" t="s">
        <v>86</v>
      </c>
      <c r="M236" s="7" t="s">
        <v>216</v>
      </c>
      <c r="N236" s="7" t="s">
        <v>5892</v>
      </c>
      <c r="O236" s="7" t="s">
        <v>0</v>
      </c>
      <c r="P236" s="7" t="s">
        <v>5894</v>
      </c>
      <c r="Q236" s="7" t="s">
        <v>3602</v>
      </c>
      <c r="R236" s="7" t="s">
        <v>1139</v>
      </c>
      <c r="S236" s="7" t="s">
        <v>1066</v>
      </c>
      <c r="T236" s="7" t="s">
        <v>54</v>
      </c>
      <c r="U236" s="7" t="s">
        <v>283</v>
      </c>
      <c r="V236" s="7" t="s">
        <v>308</v>
      </c>
      <c r="W236" s="7" t="s">
        <v>74</v>
      </c>
      <c r="X236" s="7" t="s">
        <v>223</v>
      </c>
      <c r="Y236" s="8">
        <v>45510</v>
      </c>
      <c r="Z236" s="8" t="s">
        <v>0</v>
      </c>
      <c r="AA236" s="7" t="s">
        <v>309</v>
      </c>
      <c r="AB236" s="7" t="s">
        <v>228</v>
      </c>
      <c r="AC236" s="7" t="s">
        <v>65</v>
      </c>
      <c r="AD236" s="7" t="s">
        <v>0</v>
      </c>
      <c r="AE236" s="7" t="s">
        <v>0</v>
      </c>
      <c r="AF236" s="7" t="s">
        <v>0</v>
      </c>
      <c r="AG236" s="7" t="s">
        <v>0</v>
      </c>
      <c r="AH236" s="9" t="s">
        <v>0</v>
      </c>
      <c r="AI236" s="9" t="s">
        <v>0</v>
      </c>
      <c r="AJ236" s="9" t="s">
        <v>0</v>
      </c>
      <c r="AK236" s="7" t="s">
        <v>61</v>
      </c>
      <c r="AL236" s="7" t="s">
        <v>61</v>
      </c>
      <c r="AM236" s="7" t="s">
        <v>0</v>
      </c>
      <c r="AN236" s="7" t="s">
        <v>0</v>
      </c>
      <c r="AO236" s="7" t="s">
        <v>0</v>
      </c>
      <c r="AP236" s="7" t="s">
        <v>0</v>
      </c>
      <c r="AQ236" s="7" t="s">
        <v>61</v>
      </c>
      <c r="AR236" s="7" t="s">
        <v>0</v>
      </c>
      <c r="AS236" s="10" t="str">
        <f>HYPERLINK("https://tessa.gazprom-neft.local/edo/card/ba4a2ac5-5576-4b66-af4a-c8db578b51d5", "https://tessa.gazprom-neft.local/edo/card/ba4a2ac5-5576-4b66-af4a-c8db578b51d5")</f>
        <v>https://tessa.gazprom-neft.local/edo/card/ba4a2ac5-5576-4b66-af4a-c8db578b51d5</v>
      </c>
    </row>
    <row r="237" spans="1:45" hidden="1" x14ac:dyDescent="0.25">
      <c r="A237" s="6" t="s">
        <v>44</v>
      </c>
      <c r="B237" s="7" t="s">
        <v>5740</v>
      </c>
      <c r="C237" s="7" t="s">
        <v>67</v>
      </c>
      <c r="D237" s="8">
        <v>45509</v>
      </c>
      <c r="E237" s="8" t="s">
        <v>0</v>
      </c>
      <c r="F237" s="16" t="s">
        <v>5741</v>
      </c>
      <c r="G237" s="7" t="s">
        <v>5742</v>
      </c>
      <c r="H237" s="7" t="s">
        <v>0</v>
      </c>
      <c r="I237" s="7" t="s">
        <v>5956</v>
      </c>
      <c r="J237" s="7" t="s">
        <v>5956</v>
      </c>
      <c r="K237" s="7" t="s">
        <v>85</v>
      </c>
      <c r="L237" s="7" t="s">
        <v>86</v>
      </c>
      <c r="M237" s="7" t="s">
        <v>289</v>
      </c>
      <c r="N237" s="7" t="s">
        <v>5955</v>
      </c>
      <c r="O237" s="7" t="s">
        <v>0</v>
      </c>
      <c r="P237" s="7" t="s">
        <v>5957</v>
      </c>
      <c r="Q237" s="7" t="s">
        <v>2315</v>
      </c>
      <c r="R237" s="7" t="s">
        <v>1139</v>
      </c>
      <c r="S237" s="7" t="s">
        <v>1011</v>
      </c>
      <c r="T237" s="7" t="s">
        <v>54</v>
      </c>
      <c r="U237" s="7" t="s">
        <v>1012</v>
      </c>
      <c r="V237" s="7" t="s">
        <v>340</v>
      </c>
      <c r="W237" s="7" t="s">
        <v>74</v>
      </c>
      <c r="X237" s="7" t="s">
        <v>223</v>
      </c>
      <c r="Y237" s="8">
        <v>45509</v>
      </c>
      <c r="Z237" s="8" t="s">
        <v>0</v>
      </c>
      <c r="AA237" s="7" t="s">
        <v>341</v>
      </c>
      <c r="AB237" s="7" t="s">
        <v>300</v>
      </c>
      <c r="AC237" s="7" t="s">
        <v>65</v>
      </c>
      <c r="AD237" s="7" t="s">
        <v>0</v>
      </c>
      <c r="AE237" s="7" t="s">
        <v>0</v>
      </c>
      <c r="AF237" s="7" t="s">
        <v>0</v>
      </c>
      <c r="AG237" s="7" t="s">
        <v>0</v>
      </c>
      <c r="AH237" s="9" t="s">
        <v>0</v>
      </c>
      <c r="AI237" s="9" t="s">
        <v>0</v>
      </c>
      <c r="AJ237" s="9" t="s">
        <v>0</v>
      </c>
      <c r="AK237" s="7" t="s">
        <v>61</v>
      </c>
      <c r="AL237" s="7" t="s">
        <v>61</v>
      </c>
      <c r="AM237" s="7" t="s">
        <v>0</v>
      </c>
      <c r="AN237" s="7" t="s">
        <v>0</v>
      </c>
      <c r="AO237" s="7" t="s">
        <v>0</v>
      </c>
      <c r="AP237" s="7" t="s">
        <v>0</v>
      </c>
      <c r="AQ237" s="7" t="s">
        <v>61</v>
      </c>
      <c r="AR237" s="7" t="s">
        <v>0</v>
      </c>
      <c r="AS237" s="10" t="str">
        <f>HYPERLINK("https://tessa.gazprom-neft.local/edo/card/a305a375-5184-42a6-8c83-8bb693dc377e", "https://tessa.gazprom-neft.local/edo/card/a305a375-5184-42a6-8c83-8bb693dc377e")</f>
        <v>https://tessa.gazprom-neft.local/edo/card/a305a375-5184-42a6-8c83-8bb693dc377e</v>
      </c>
    </row>
    <row r="238" spans="1:45" hidden="1" x14ac:dyDescent="0.25">
      <c r="A238" s="6" t="s">
        <v>44</v>
      </c>
      <c r="B238" s="7" t="s">
        <v>127</v>
      </c>
      <c r="C238" s="7" t="s">
        <v>67</v>
      </c>
      <c r="D238" s="8">
        <v>45505</v>
      </c>
      <c r="E238" s="8" t="s">
        <v>0</v>
      </c>
      <c r="F238" s="16" t="s">
        <v>128</v>
      </c>
      <c r="G238" s="7" t="s">
        <v>129</v>
      </c>
      <c r="H238" s="7" t="s">
        <v>0</v>
      </c>
      <c r="I238" s="7" t="s">
        <v>5346</v>
      </c>
      <c r="J238" s="7" t="s">
        <v>5346</v>
      </c>
      <c r="K238" s="7" t="s">
        <v>85</v>
      </c>
      <c r="L238" s="7" t="s">
        <v>86</v>
      </c>
      <c r="M238" s="7" t="s">
        <v>2736</v>
      </c>
      <c r="N238" s="7" t="s">
        <v>5345</v>
      </c>
      <c r="O238" s="7" t="s">
        <v>0</v>
      </c>
      <c r="P238" s="7" t="s">
        <v>5347</v>
      </c>
      <c r="Q238" s="7" t="s">
        <v>5348</v>
      </c>
      <c r="R238" s="7" t="s">
        <v>1139</v>
      </c>
      <c r="S238" s="7" t="s">
        <v>1094</v>
      </c>
      <c r="T238" s="7" t="s">
        <v>54</v>
      </c>
      <c r="U238" s="7" t="s">
        <v>125</v>
      </c>
      <c r="V238" s="7" t="s">
        <v>126</v>
      </c>
      <c r="W238" s="7" t="s">
        <v>74</v>
      </c>
      <c r="X238" s="7" t="s">
        <v>223</v>
      </c>
      <c r="Y238" s="8">
        <v>45505</v>
      </c>
      <c r="Z238" s="8" t="s">
        <v>0</v>
      </c>
      <c r="AA238" s="7" t="s">
        <v>200</v>
      </c>
      <c r="AB238" s="7" t="s">
        <v>300</v>
      </c>
      <c r="AC238" s="7" t="s">
        <v>65</v>
      </c>
      <c r="AD238" s="7" t="s">
        <v>0</v>
      </c>
      <c r="AE238" s="7" t="s">
        <v>0</v>
      </c>
      <c r="AF238" s="7" t="s">
        <v>0</v>
      </c>
      <c r="AG238" s="7" t="s">
        <v>0</v>
      </c>
      <c r="AH238" s="9" t="s">
        <v>0</v>
      </c>
      <c r="AI238" s="9" t="s">
        <v>0</v>
      </c>
      <c r="AJ238" s="9" t="s">
        <v>0</v>
      </c>
      <c r="AK238" s="7" t="s">
        <v>61</v>
      </c>
      <c r="AL238" s="7" t="s">
        <v>61</v>
      </c>
      <c r="AM238" s="7" t="s">
        <v>0</v>
      </c>
      <c r="AN238" s="7" t="s">
        <v>0</v>
      </c>
      <c r="AO238" s="7" t="s">
        <v>0</v>
      </c>
      <c r="AP238" s="7" t="s">
        <v>0</v>
      </c>
      <c r="AQ238" s="7" t="s">
        <v>61</v>
      </c>
      <c r="AR238" s="7" t="s">
        <v>0</v>
      </c>
      <c r="AS238" s="10" t="str">
        <f>HYPERLINK("https://tessa.gazprom-neft.local/edo/card/cecd0403-5ba8-4798-8f3f-3f3b73073189", "https://tessa.gazprom-neft.local/edo/card/cecd0403-5ba8-4798-8f3f-3f3b73073189")</f>
        <v>https://tessa.gazprom-neft.local/edo/card/cecd0403-5ba8-4798-8f3f-3f3b73073189</v>
      </c>
    </row>
    <row r="239" spans="1:45" hidden="1" x14ac:dyDescent="0.25">
      <c r="A239" s="6" t="s">
        <v>44</v>
      </c>
      <c r="B239" s="7" t="s">
        <v>715</v>
      </c>
      <c r="C239" s="7" t="s">
        <v>67</v>
      </c>
      <c r="D239" s="8">
        <v>45505</v>
      </c>
      <c r="E239" s="8" t="s">
        <v>0</v>
      </c>
      <c r="F239" s="16" t="s">
        <v>716</v>
      </c>
      <c r="G239" s="7" t="s">
        <v>717</v>
      </c>
      <c r="H239" s="7" t="s">
        <v>710</v>
      </c>
      <c r="I239" s="7" t="s">
        <v>0</v>
      </c>
      <c r="J239" s="7" t="s">
        <v>51</v>
      </c>
      <c r="K239" s="7" t="s">
        <v>47</v>
      </c>
      <c r="L239" s="7" t="s">
        <v>389</v>
      </c>
      <c r="M239" s="7" t="s">
        <v>0</v>
      </c>
      <c r="N239" s="7" t="s">
        <v>5474</v>
      </c>
      <c r="O239" s="7" t="s">
        <v>4356</v>
      </c>
      <c r="P239" s="7" t="s">
        <v>5475</v>
      </c>
      <c r="Q239" s="7" t="s">
        <v>5476</v>
      </c>
      <c r="R239" s="7" t="s">
        <v>714</v>
      </c>
      <c r="S239" s="7" t="s">
        <v>0</v>
      </c>
      <c r="T239" s="7" t="s">
        <v>54</v>
      </c>
      <c r="U239" s="7" t="s">
        <v>101</v>
      </c>
      <c r="V239" s="7" t="s">
        <v>308</v>
      </c>
      <c r="W239" s="7" t="s">
        <v>74</v>
      </c>
      <c r="X239" s="7" t="s">
        <v>103</v>
      </c>
      <c r="Y239" s="8">
        <v>45474</v>
      </c>
      <c r="Z239" s="8">
        <v>45535</v>
      </c>
      <c r="AA239" s="7" t="s">
        <v>309</v>
      </c>
      <c r="AB239" s="7" t="s">
        <v>64</v>
      </c>
      <c r="AC239" s="7" t="s">
        <v>65</v>
      </c>
      <c r="AD239" s="7" t="s">
        <v>144</v>
      </c>
      <c r="AE239" s="7" t="s">
        <v>0</v>
      </c>
      <c r="AF239" s="7" t="s">
        <v>0</v>
      </c>
      <c r="AG239" s="7" t="s">
        <v>0</v>
      </c>
      <c r="AH239" s="9" t="s">
        <v>0</v>
      </c>
      <c r="AI239" s="9" t="s">
        <v>0</v>
      </c>
      <c r="AJ239" s="9" t="s">
        <v>0</v>
      </c>
      <c r="AK239" s="7" t="s">
        <v>61</v>
      </c>
      <c r="AL239" s="7" t="s">
        <v>61</v>
      </c>
      <c r="AM239" s="7" t="s">
        <v>0</v>
      </c>
      <c r="AN239" s="7" t="s">
        <v>0</v>
      </c>
      <c r="AO239" s="7" t="s">
        <v>0</v>
      </c>
      <c r="AP239" s="7" t="s">
        <v>0</v>
      </c>
      <c r="AQ239" s="7" t="s">
        <v>61</v>
      </c>
      <c r="AR239" s="7" t="s">
        <v>0</v>
      </c>
      <c r="AS239" s="10" t="str">
        <f>HYPERLINK("https://tessa.gazprom-neft.local/edo/card/7fba1135-baa0-4fef-9744-a2e287f9b249", "https://tessa.gazprom-neft.local/edo/card/7fba1135-baa0-4fef-9744-a2e287f9b249")</f>
        <v>https://tessa.gazprom-neft.local/edo/card/7fba1135-baa0-4fef-9744-a2e287f9b249</v>
      </c>
    </row>
    <row r="240" spans="1:45" hidden="1" x14ac:dyDescent="0.25">
      <c r="A240" s="6" t="s">
        <v>44</v>
      </c>
      <c r="B240" s="7" t="s">
        <v>1101</v>
      </c>
      <c r="C240" s="7" t="s">
        <v>67</v>
      </c>
      <c r="D240" s="8">
        <v>45505</v>
      </c>
      <c r="E240" s="8">
        <v>45506</v>
      </c>
      <c r="F240" s="16" t="s">
        <v>1102</v>
      </c>
      <c r="G240" s="7" t="s">
        <v>1103</v>
      </c>
      <c r="H240" s="7" t="s">
        <v>2522</v>
      </c>
      <c r="I240" s="7" t="s">
        <v>0</v>
      </c>
      <c r="J240" s="7" t="s">
        <v>1098</v>
      </c>
      <c r="K240" s="7" t="s">
        <v>47</v>
      </c>
      <c r="L240" s="7" t="s">
        <v>239</v>
      </c>
      <c r="M240" s="7" t="s">
        <v>0</v>
      </c>
      <c r="N240" s="7" t="s">
        <v>5702</v>
      </c>
      <c r="O240" s="7" t="s">
        <v>0</v>
      </c>
      <c r="P240" s="7" t="s">
        <v>5703</v>
      </c>
      <c r="Q240" s="7" t="s">
        <v>5704</v>
      </c>
      <c r="R240" s="7" t="s">
        <v>5410</v>
      </c>
      <c r="S240" s="7" t="s">
        <v>0</v>
      </c>
      <c r="T240" s="7" t="s">
        <v>54</v>
      </c>
      <c r="U240" s="7" t="s">
        <v>1100</v>
      </c>
      <c r="V240" s="7" t="s">
        <v>91</v>
      </c>
      <c r="W240" s="7" t="s">
        <v>74</v>
      </c>
      <c r="X240" s="7" t="s">
        <v>103</v>
      </c>
      <c r="Y240" s="8">
        <v>45505</v>
      </c>
      <c r="Z240" s="8">
        <v>45657</v>
      </c>
      <c r="AA240" s="7" t="s">
        <v>5705</v>
      </c>
      <c r="AB240" s="7" t="s">
        <v>64</v>
      </c>
      <c r="AC240" s="7" t="s">
        <v>79</v>
      </c>
      <c r="AD240" s="7" t="s">
        <v>144</v>
      </c>
      <c r="AE240" s="7" t="s">
        <v>118</v>
      </c>
      <c r="AF240" s="7" t="s">
        <v>0</v>
      </c>
      <c r="AG240" s="7" t="s">
        <v>0</v>
      </c>
      <c r="AH240" s="9" t="s">
        <v>12585</v>
      </c>
      <c r="AI240" s="9" t="s">
        <v>12585</v>
      </c>
      <c r="AJ240" s="9">
        <v>0</v>
      </c>
      <c r="AK240" s="7" t="s">
        <v>61</v>
      </c>
      <c r="AL240" s="7" t="s">
        <v>61</v>
      </c>
      <c r="AM240" s="7" t="s">
        <v>0</v>
      </c>
      <c r="AN240" s="7" t="s">
        <v>0</v>
      </c>
      <c r="AO240" s="7" t="s">
        <v>0</v>
      </c>
      <c r="AP240" s="7" t="s">
        <v>0</v>
      </c>
      <c r="AQ240" s="7" t="s">
        <v>61</v>
      </c>
      <c r="AR240" s="7" t="s">
        <v>0</v>
      </c>
      <c r="AS240" s="10" t="str">
        <f>HYPERLINK("https://tessa.gazprom-neft.local/edo/card/0b7026a1-8344-4f3c-9e76-d8a9512152a4", "https://tessa.gazprom-neft.local/edo/card/0b7026a1-8344-4f3c-9e76-d8a9512152a4")</f>
        <v>https://tessa.gazprom-neft.local/edo/card/0b7026a1-8344-4f3c-9e76-d8a9512152a4</v>
      </c>
    </row>
    <row r="241" spans="1:45" x14ac:dyDescent="0.25">
      <c r="A241" s="6" t="s">
        <v>44</v>
      </c>
      <c r="B241" s="7" t="s">
        <v>6342</v>
      </c>
      <c r="C241" s="7" t="s">
        <v>67</v>
      </c>
      <c r="D241" s="8">
        <v>45505</v>
      </c>
      <c r="E241" s="8" t="s">
        <v>0</v>
      </c>
      <c r="F241" s="16" t="s">
        <v>6343</v>
      </c>
      <c r="G241" s="7" t="s">
        <v>6344</v>
      </c>
      <c r="H241" s="7" t="s">
        <v>6339</v>
      </c>
      <c r="I241" s="7" t="s">
        <v>0</v>
      </c>
      <c r="J241" s="7" t="s">
        <v>51</v>
      </c>
      <c r="K241" s="7" t="s">
        <v>47</v>
      </c>
      <c r="L241" s="7" t="s">
        <v>48</v>
      </c>
      <c r="M241" s="7" t="s">
        <v>0</v>
      </c>
      <c r="N241" s="7" t="s">
        <v>6338</v>
      </c>
      <c r="O241" s="7" t="s">
        <v>0</v>
      </c>
      <c r="P241" s="7" t="s">
        <v>6340</v>
      </c>
      <c r="Q241" s="7" t="s">
        <v>6341</v>
      </c>
      <c r="R241" s="7" t="s">
        <v>1139</v>
      </c>
      <c r="S241" s="7" t="s">
        <v>1139</v>
      </c>
      <c r="T241" s="7" t="s">
        <v>54</v>
      </c>
      <c r="U241" s="7" t="s">
        <v>362</v>
      </c>
      <c r="V241" s="7" t="s">
        <v>137</v>
      </c>
      <c r="W241" s="7" t="s">
        <v>57</v>
      </c>
      <c r="X241" s="7" t="s">
        <v>103</v>
      </c>
      <c r="Y241" s="8">
        <v>45505</v>
      </c>
      <c r="Z241" s="8">
        <v>45653</v>
      </c>
      <c r="AA241" s="7" t="s">
        <v>0</v>
      </c>
      <c r="AB241" s="7" t="s">
        <v>192</v>
      </c>
      <c r="AC241" s="7" t="s">
        <v>65</v>
      </c>
      <c r="AD241" s="7" t="s">
        <v>0</v>
      </c>
      <c r="AE241" s="7" t="s">
        <v>0</v>
      </c>
      <c r="AF241" s="7" t="s">
        <v>0</v>
      </c>
      <c r="AG241" s="7" t="s">
        <v>0</v>
      </c>
      <c r="AH241" s="9" t="s">
        <v>0</v>
      </c>
      <c r="AI241" s="9" t="s">
        <v>0</v>
      </c>
      <c r="AJ241" s="9" t="s">
        <v>0</v>
      </c>
      <c r="AK241" s="7" t="s">
        <v>61</v>
      </c>
      <c r="AL241" s="7" t="s">
        <v>61</v>
      </c>
      <c r="AM241" s="7" t="s">
        <v>0</v>
      </c>
      <c r="AN241" s="7" t="s">
        <v>0</v>
      </c>
      <c r="AO241" s="7" t="s">
        <v>0</v>
      </c>
      <c r="AP241" s="7" t="s">
        <v>0</v>
      </c>
      <c r="AQ241" s="7" t="s">
        <v>61</v>
      </c>
      <c r="AR241" s="7" t="s">
        <v>0</v>
      </c>
      <c r="AS241" s="10" t="str">
        <f>HYPERLINK("https://tessa.gazprom-neft.local/edo/card/24c29722-d7fc-45a3-af10-a6fbe2e55812", "https://tessa.gazprom-neft.local/edo/card/24c29722-d7fc-45a3-af10-a6fbe2e55812")</f>
        <v>https://tessa.gazprom-neft.local/edo/card/24c29722-d7fc-45a3-af10-a6fbe2e55812</v>
      </c>
    </row>
    <row r="242" spans="1:45" x14ac:dyDescent="0.25">
      <c r="A242" s="6" t="s">
        <v>44</v>
      </c>
      <c r="B242" s="7" t="s">
        <v>1377</v>
      </c>
      <c r="C242" s="7" t="s">
        <v>67</v>
      </c>
      <c r="D242" s="8">
        <v>45505</v>
      </c>
      <c r="E242" s="8" t="s">
        <v>0</v>
      </c>
      <c r="F242" s="16" t="s">
        <v>1378</v>
      </c>
      <c r="G242" s="7" t="s">
        <v>1379</v>
      </c>
      <c r="H242" s="7" t="s">
        <v>1374</v>
      </c>
      <c r="I242" s="7" t="s">
        <v>0</v>
      </c>
      <c r="J242" s="7" t="s">
        <v>51</v>
      </c>
      <c r="K242" s="7" t="s">
        <v>47</v>
      </c>
      <c r="L242" s="7" t="s">
        <v>48</v>
      </c>
      <c r="M242" s="7" t="s">
        <v>0</v>
      </c>
      <c r="N242" s="7" t="s">
        <v>6354</v>
      </c>
      <c r="O242" s="7" t="s">
        <v>0</v>
      </c>
      <c r="P242" s="7" t="s">
        <v>6355</v>
      </c>
      <c r="Q242" s="7" t="s">
        <v>6341</v>
      </c>
      <c r="R242" s="7" t="s">
        <v>1139</v>
      </c>
      <c r="S242" s="7" t="s">
        <v>1139</v>
      </c>
      <c r="T242" s="7" t="s">
        <v>54</v>
      </c>
      <c r="U242" s="7" t="s">
        <v>1587</v>
      </c>
      <c r="V242" s="7" t="s">
        <v>137</v>
      </c>
      <c r="W242" s="7" t="s">
        <v>57</v>
      </c>
      <c r="X242" s="7" t="s">
        <v>103</v>
      </c>
      <c r="Y242" s="8">
        <v>45505</v>
      </c>
      <c r="Z242" s="8">
        <v>45653</v>
      </c>
      <c r="AA242" s="7" t="s">
        <v>0</v>
      </c>
      <c r="AB242" s="7" t="s">
        <v>192</v>
      </c>
      <c r="AC242" s="7" t="s">
        <v>65</v>
      </c>
      <c r="AD242" s="7" t="s">
        <v>0</v>
      </c>
      <c r="AE242" s="7" t="s">
        <v>0</v>
      </c>
      <c r="AF242" s="7" t="s">
        <v>0</v>
      </c>
      <c r="AG242" s="7" t="s">
        <v>0</v>
      </c>
      <c r="AH242" s="9" t="s">
        <v>0</v>
      </c>
      <c r="AI242" s="9" t="s">
        <v>0</v>
      </c>
      <c r="AJ242" s="9" t="s">
        <v>0</v>
      </c>
      <c r="AK242" s="7" t="s">
        <v>61</v>
      </c>
      <c r="AL242" s="7" t="s">
        <v>61</v>
      </c>
      <c r="AM242" s="7" t="s">
        <v>0</v>
      </c>
      <c r="AN242" s="7" t="s">
        <v>0</v>
      </c>
      <c r="AO242" s="7" t="s">
        <v>0</v>
      </c>
      <c r="AP242" s="7" t="s">
        <v>0</v>
      </c>
      <c r="AQ242" s="7" t="s">
        <v>61</v>
      </c>
      <c r="AR242" s="7" t="s">
        <v>0</v>
      </c>
      <c r="AS242" s="10" t="str">
        <f>HYPERLINK("https://tessa.gazprom-neft.local/edo/card/18ceb115-fe6f-46a5-a8f6-e465639dbcec", "https://tessa.gazprom-neft.local/edo/card/18ceb115-fe6f-46a5-a8f6-e465639dbcec")</f>
        <v>https://tessa.gazprom-neft.local/edo/card/18ceb115-fe6f-46a5-a8f6-e465639dbcec</v>
      </c>
    </row>
    <row r="243" spans="1:45" x14ac:dyDescent="0.25">
      <c r="A243" s="6" t="s">
        <v>44</v>
      </c>
      <c r="B243" s="7" t="s">
        <v>3616</v>
      </c>
      <c r="C243" s="7" t="s">
        <v>67</v>
      </c>
      <c r="D243" s="8">
        <v>45505</v>
      </c>
      <c r="E243" s="8" t="s">
        <v>0</v>
      </c>
      <c r="F243" s="16" t="s">
        <v>3617</v>
      </c>
      <c r="G243" s="7" t="s">
        <v>3618</v>
      </c>
      <c r="H243" s="7" t="s">
        <v>3613</v>
      </c>
      <c r="I243" s="7" t="s">
        <v>0</v>
      </c>
      <c r="J243" s="7" t="s">
        <v>51</v>
      </c>
      <c r="K243" s="7" t="s">
        <v>47</v>
      </c>
      <c r="L243" s="7" t="s">
        <v>48</v>
      </c>
      <c r="M243" s="7" t="s">
        <v>0</v>
      </c>
      <c r="N243" s="7" t="s">
        <v>6368</v>
      </c>
      <c r="O243" s="7" t="s">
        <v>0</v>
      </c>
      <c r="P243" s="7" t="s">
        <v>6369</v>
      </c>
      <c r="Q243" s="7" t="s">
        <v>6341</v>
      </c>
      <c r="R243" s="7" t="s">
        <v>1139</v>
      </c>
      <c r="S243" s="7" t="s">
        <v>1139</v>
      </c>
      <c r="T243" s="7" t="s">
        <v>54</v>
      </c>
      <c r="U243" s="7" t="s">
        <v>1587</v>
      </c>
      <c r="V243" s="7" t="s">
        <v>137</v>
      </c>
      <c r="W243" s="7" t="s">
        <v>57</v>
      </c>
      <c r="X243" s="7" t="s">
        <v>103</v>
      </c>
      <c r="Y243" s="8">
        <v>45505</v>
      </c>
      <c r="Z243" s="8">
        <v>45653</v>
      </c>
      <c r="AA243" s="7" t="s">
        <v>0</v>
      </c>
      <c r="AB243" s="7" t="s">
        <v>192</v>
      </c>
      <c r="AC243" s="7" t="s">
        <v>65</v>
      </c>
      <c r="AD243" s="7" t="s">
        <v>0</v>
      </c>
      <c r="AE243" s="7" t="s">
        <v>0</v>
      </c>
      <c r="AF243" s="7" t="s">
        <v>0</v>
      </c>
      <c r="AG243" s="7" t="s">
        <v>0</v>
      </c>
      <c r="AH243" s="9" t="s">
        <v>0</v>
      </c>
      <c r="AI243" s="9" t="s">
        <v>0</v>
      </c>
      <c r="AJ243" s="9" t="s">
        <v>0</v>
      </c>
      <c r="AK243" s="7" t="s">
        <v>61</v>
      </c>
      <c r="AL243" s="7" t="s">
        <v>61</v>
      </c>
      <c r="AM243" s="7" t="s">
        <v>0</v>
      </c>
      <c r="AN243" s="7" t="s">
        <v>0</v>
      </c>
      <c r="AO243" s="7" t="s">
        <v>0</v>
      </c>
      <c r="AP243" s="7" t="s">
        <v>0</v>
      </c>
      <c r="AQ243" s="7" t="s">
        <v>61</v>
      </c>
      <c r="AR243" s="7" t="s">
        <v>0</v>
      </c>
      <c r="AS243" s="10" t="str">
        <f>HYPERLINK("https://tessa.gazprom-neft.local/edo/card/cdd3dbc2-cd38-4b41-b80d-ef9ca0017eb7", "https://tessa.gazprom-neft.local/edo/card/cdd3dbc2-cd38-4b41-b80d-ef9ca0017eb7")</f>
        <v>https://tessa.gazprom-neft.local/edo/card/cdd3dbc2-cd38-4b41-b80d-ef9ca0017eb7</v>
      </c>
    </row>
    <row r="244" spans="1:45" x14ac:dyDescent="0.25">
      <c r="A244" s="6" t="s">
        <v>44</v>
      </c>
      <c r="B244" s="7" t="s">
        <v>1075</v>
      </c>
      <c r="C244" s="7" t="s">
        <v>67</v>
      </c>
      <c r="D244" s="8">
        <v>45505</v>
      </c>
      <c r="E244" s="8" t="s">
        <v>0</v>
      </c>
      <c r="F244" s="16" t="s">
        <v>1076</v>
      </c>
      <c r="G244" s="7" t="s">
        <v>1077</v>
      </c>
      <c r="H244" s="7" t="s">
        <v>1071</v>
      </c>
      <c r="I244" s="7" t="s">
        <v>0</v>
      </c>
      <c r="J244" s="7" t="s">
        <v>51</v>
      </c>
      <c r="K244" s="7" t="s">
        <v>47</v>
      </c>
      <c r="L244" s="7" t="s">
        <v>48</v>
      </c>
      <c r="M244" s="7" t="s">
        <v>0</v>
      </c>
      <c r="N244" s="7" t="s">
        <v>6382</v>
      </c>
      <c r="O244" s="7" t="s">
        <v>0</v>
      </c>
      <c r="P244" s="7" t="s">
        <v>6383</v>
      </c>
      <c r="Q244" s="7" t="s">
        <v>6341</v>
      </c>
      <c r="R244" s="7" t="s">
        <v>1139</v>
      </c>
      <c r="S244" s="7" t="s">
        <v>1139</v>
      </c>
      <c r="T244" s="7" t="s">
        <v>54</v>
      </c>
      <c r="U244" s="7" t="s">
        <v>3903</v>
      </c>
      <c r="V244" s="7" t="s">
        <v>137</v>
      </c>
      <c r="W244" s="7" t="s">
        <v>57</v>
      </c>
      <c r="X244" s="7" t="s">
        <v>103</v>
      </c>
      <c r="Y244" s="8">
        <v>45505</v>
      </c>
      <c r="Z244" s="8">
        <v>45654</v>
      </c>
      <c r="AA244" s="7" t="s">
        <v>0</v>
      </c>
      <c r="AB244" s="7" t="s">
        <v>192</v>
      </c>
      <c r="AC244" s="7" t="s">
        <v>65</v>
      </c>
      <c r="AD244" s="7" t="s">
        <v>0</v>
      </c>
      <c r="AE244" s="7" t="s">
        <v>0</v>
      </c>
      <c r="AF244" s="7" t="s">
        <v>0</v>
      </c>
      <c r="AG244" s="7" t="s">
        <v>0</v>
      </c>
      <c r="AH244" s="9" t="s">
        <v>0</v>
      </c>
      <c r="AI244" s="9" t="s">
        <v>0</v>
      </c>
      <c r="AJ244" s="9" t="s">
        <v>0</v>
      </c>
      <c r="AK244" s="7" t="s">
        <v>61</v>
      </c>
      <c r="AL244" s="7" t="s">
        <v>61</v>
      </c>
      <c r="AM244" s="7" t="s">
        <v>0</v>
      </c>
      <c r="AN244" s="7" t="s">
        <v>0</v>
      </c>
      <c r="AO244" s="7" t="s">
        <v>0</v>
      </c>
      <c r="AP244" s="7" t="s">
        <v>0</v>
      </c>
      <c r="AQ244" s="7" t="s">
        <v>61</v>
      </c>
      <c r="AR244" s="7" t="s">
        <v>0</v>
      </c>
      <c r="AS244" s="10" t="str">
        <f>HYPERLINK("https://tessa.gazprom-neft.local/edo/card/a1ef9804-4424-4d7e-8d1c-06d3a7ab73da", "https://tessa.gazprom-neft.local/edo/card/a1ef9804-4424-4d7e-8d1c-06d3a7ab73da")</f>
        <v>https://tessa.gazprom-neft.local/edo/card/a1ef9804-4424-4d7e-8d1c-06d3a7ab73da</v>
      </c>
    </row>
    <row r="245" spans="1:45" x14ac:dyDescent="0.25">
      <c r="A245" s="6" t="s">
        <v>44</v>
      </c>
      <c r="B245" s="7" t="s">
        <v>6400</v>
      </c>
      <c r="C245" s="7" t="s">
        <v>67</v>
      </c>
      <c r="D245" s="8">
        <v>45505</v>
      </c>
      <c r="E245" s="8" t="s">
        <v>0</v>
      </c>
      <c r="F245" s="16" t="s">
        <v>6401</v>
      </c>
      <c r="G245" s="7" t="s">
        <v>6402</v>
      </c>
      <c r="H245" s="7" t="s">
        <v>6398</v>
      </c>
      <c r="I245" s="7" t="s">
        <v>0</v>
      </c>
      <c r="J245" s="7" t="s">
        <v>51</v>
      </c>
      <c r="K245" s="7" t="s">
        <v>47</v>
      </c>
      <c r="L245" s="7" t="s">
        <v>48</v>
      </c>
      <c r="M245" s="7" t="s">
        <v>0</v>
      </c>
      <c r="N245" s="7" t="s">
        <v>6397</v>
      </c>
      <c r="O245" s="7" t="s">
        <v>0</v>
      </c>
      <c r="P245" s="7" t="s">
        <v>6399</v>
      </c>
      <c r="Q245" s="7" t="s">
        <v>6341</v>
      </c>
      <c r="R245" s="7" t="s">
        <v>1139</v>
      </c>
      <c r="S245" s="7" t="s">
        <v>679</v>
      </c>
      <c r="T245" s="7" t="s">
        <v>54</v>
      </c>
      <c r="U245" s="7" t="s">
        <v>362</v>
      </c>
      <c r="V245" s="7" t="s">
        <v>137</v>
      </c>
      <c r="W245" s="7" t="s">
        <v>57</v>
      </c>
      <c r="X245" s="7" t="s">
        <v>103</v>
      </c>
      <c r="Y245" s="8">
        <v>45505</v>
      </c>
      <c r="Z245" s="8">
        <v>45657</v>
      </c>
      <c r="AA245" s="7" t="s">
        <v>0</v>
      </c>
      <c r="AB245" s="7" t="s">
        <v>192</v>
      </c>
      <c r="AC245" s="7" t="s">
        <v>65</v>
      </c>
      <c r="AD245" s="7" t="s">
        <v>514</v>
      </c>
      <c r="AE245" s="7" t="s">
        <v>0</v>
      </c>
      <c r="AF245" s="7" t="s">
        <v>0</v>
      </c>
      <c r="AG245" s="7" t="s">
        <v>0</v>
      </c>
      <c r="AH245" s="9" t="s">
        <v>0</v>
      </c>
      <c r="AI245" s="9" t="s">
        <v>0</v>
      </c>
      <c r="AJ245" s="9" t="s">
        <v>0</v>
      </c>
      <c r="AK245" s="7" t="s">
        <v>61</v>
      </c>
      <c r="AL245" s="7" t="s">
        <v>61</v>
      </c>
      <c r="AM245" s="7" t="s">
        <v>0</v>
      </c>
      <c r="AN245" s="7" t="s">
        <v>0</v>
      </c>
      <c r="AO245" s="7" t="s">
        <v>0</v>
      </c>
      <c r="AP245" s="7" t="s">
        <v>0</v>
      </c>
      <c r="AQ245" s="7" t="s">
        <v>61</v>
      </c>
      <c r="AR245" s="7" t="s">
        <v>0</v>
      </c>
      <c r="AS245" s="10" t="str">
        <f>HYPERLINK("https://tessa.gazprom-neft.local/edo/card/a1d9828e-5f87-49ff-b826-5e2f6a96bf37", "https://tessa.gazprom-neft.local/edo/card/a1d9828e-5f87-49ff-b826-5e2f6a96bf37")</f>
        <v>https://tessa.gazprom-neft.local/edo/card/a1d9828e-5f87-49ff-b826-5e2f6a96bf37</v>
      </c>
    </row>
    <row r="246" spans="1:45" hidden="1" x14ac:dyDescent="0.25">
      <c r="A246" s="6" t="s">
        <v>44</v>
      </c>
      <c r="B246" s="7" t="s">
        <v>5437</v>
      </c>
      <c r="C246" s="7" t="s">
        <v>67</v>
      </c>
      <c r="D246" s="8">
        <v>45503</v>
      </c>
      <c r="E246" s="8" t="s">
        <v>0</v>
      </c>
      <c r="F246" s="16" t="s">
        <v>5438</v>
      </c>
      <c r="G246" s="7" t="s">
        <v>5439</v>
      </c>
      <c r="H246" s="7" t="s">
        <v>0</v>
      </c>
      <c r="I246" s="7" t="s">
        <v>5433</v>
      </c>
      <c r="J246" s="7" t="s">
        <v>5433</v>
      </c>
      <c r="K246" s="7" t="s">
        <v>47</v>
      </c>
      <c r="L246" s="7" t="s">
        <v>96</v>
      </c>
      <c r="M246" s="7" t="s">
        <v>0</v>
      </c>
      <c r="N246" s="7" t="s">
        <v>5432</v>
      </c>
      <c r="O246" s="7" t="s">
        <v>0</v>
      </c>
      <c r="P246" s="7" t="s">
        <v>5434</v>
      </c>
      <c r="Q246" s="7" t="s">
        <v>5435</v>
      </c>
      <c r="R246" s="7" t="s">
        <v>1139</v>
      </c>
      <c r="S246" s="7" t="s">
        <v>5436</v>
      </c>
      <c r="T246" s="7" t="s">
        <v>54</v>
      </c>
      <c r="U246" s="7" t="s">
        <v>125</v>
      </c>
      <c r="V246" s="7" t="s">
        <v>126</v>
      </c>
      <c r="W246" s="7" t="s">
        <v>57</v>
      </c>
      <c r="X246" s="7" t="s">
        <v>103</v>
      </c>
      <c r="Y246" s="8">
        <v>45503</v>
      </c>
      <c r="Z246" s="8">
        <v>46387</v>
      </c>
      <c r="AA246" s="7" t="s">
        <v>200</v>
      </c>
      <c r="AB246" s="7" t="s">
        <v>130</v>
      </c>
      <c r="AC246" s="7" t="s">
        <v>79</v>
      </c>
      <c r="AD246" s="7" t="s">
        <v>80</v>
      </c>
      <c r="AE246" s="7" t="s">
        <v>82</v>
      </c>
      <c r="AF246" s="7" t="s">
        <v>0</v>
      </c>
      <c r="AG246" s="7" t="s">
        <v>5440</v>
      </c>
      <c r="AH246" s="9" t="s">
        <v>12485</v>
      </c>
      <c r="AI246" s="9" t="s">
        <v>12486</v>
      </c>
      <c r="AJ246" s="9" t="s">
        <v>12487</v>
      </c>
      <c r="AK246" s="7" t="s">
        <v>81</v>
      </c>
      <c r="AL246" s="7" t="s">
        <v>61</v>
      </c>
      <c r="AM246" s="7" t="s">
        <v>0</v>
      </c>
      <c r="AN246" s="7" t="s">
        <v>0</v>
      </c>
      <c r="AO246" s="7" t="s">
        <v>0</v>
      </c>
      <c r="AP246" s="7" t="s">
        <v>0</v>
      </c>
      <c r="AQ246" s="7" t="s">
        <v>81</v>
      </c>
      <c r="AR246" s="7" t="s">
        <v>0</v>
      </c>
      <c r="AS246" s="10" t="str">
        <f>HYPERLINK("https://tessa.gazprom-neft.local/edo/card/09cc2638-9ef1-4eb0-a859-cc646c0ea024", "https://tessa.gazprom-neft.local/edo/card/09cc2638-9ef1-4eb0-a859-cc646c0ea024")</f>
        <v>https://tessa.gazprom-neft.local/edo/card/09cc2638-9ef1-4eb0-a859-cc646c0ea024</v>
      </c>
    </row>
    <row r="247" spans="1:45" hidden="1" x14ac:dyDescent="0.25">
      <c r="A247" s="6" t="s">
        <v>44</v>
      </c>
      <c r="B247" s="7" t="s">
        <v>715</v>
      </c>
      <c r="C247" s="7" t="s">
        <v>67</v>
      </c>
      <c r="D247" s="8">
        <v>45503</v>
      </c>
      <c r="E247" s="8">
        <v>45505</v>
      </c>
      <c r="F247" s="16" t="s">
        <v>716</v>
      </c>
      <c r="G247" s="7" t="s">
        <v>717</v>
      </c>
      <c r="H247" s="7" t="s">
        <v>710</v>
      </c>
      <c r="I247" s="7" t="s">
        <v>0</v>
      </c>
      <c r="J247" s="7" t="s">
        <v>156</v>
      </c>
      <c r="K247" s="7" t="s">
        <v>47</v>
      </c>
      <c r="L247" s="7" t="s">
        <v>389</v>
      </c>
      <c r="M247" s="7" t="s">
        <v>0</v>
      </c>
      <c r="N247" s="7" t="s">
        <v>5467</v>
      </c>
      <c r="O247" s="7" t="s">
        <v>712</v>
      </c>
      <c r="P247" s="7" t="s">
        <v>5468</v>
      </c>
      <c r="Q247" s="7" t="s">
        <v>5469</v>
      </c>
      <c r="R247" s="7" t="s">
        <v>714</v>
      </c>
      <c r="S247" s="7" t="s">
        <v>0</v>
      </c>
      <c r="T247" s="7" t="s">
        <v>54</v>
      </c>
      <c r="U247" s="7" t="s">
        <v>101</v>
      </c>
      <c r="V247" s="7" t="s">
        <v>308</v>
      </c>
      <c r="W247" s="7" t="s">
        <v>74</v>
      </c>
      <c r="X247" s="7" t="s">
        <v>103</v>
      </c>
      <c r="Y247" s="8">
        <v>45503</v>
      </c>
      <c r="Z247" s="8">
        <v>45565</v>
      </c>
      <c r="AA247" s="7" t="s">
        <v>309</v>
      </c>
      <c r="AB247" s="7" t="s">
        <v>64</v>
      </c>
      <c r="AC247" s="7" t="s">
        <v>65</v>
      </c>
      <c r="AD247" s="7" t="s">
        <v>144</v>
      </c>
      <c r="AE247" s="7" t="s">
        <v>0</v>
      </c>
      <c r="AF247" s="7" t="s">
        <v>0</v>
      </c>
      <c r="AG247" s="7" t="s">
        <v>0</v>
      </c>
      <c r="AH247" s="9" t="s">
        <v>0</v>
      </c>
      <c r="AI247" s="9" t="s">
        <v>0</v>
      </c>
      <c r="AJ247" s="9" t="s">
        <v>0</v>
      </c>
      <c r="AK247" s="7" t="s">
        <v>61</v>
      </c>
      <c r="AL247" s="7" t="s">
        <v>61</v>
      </c>
      <c r="AM247" s="7" t="s">
        <v>0</v>
      </c>
      <c r="AN247" s="7" t="s">
        <v>0</v>
      </c>
      <c r="AO247" s="7" t="s">
        <v>0</v>
      </c>
      <c r="AP247" s="7" t="s">
        <v>0</v>
      </c>
      <c r="AQ247" s="7" t="s">
        <v>61</v>
      </c>
      <c r="AR247" s="7" t="s">
        <v>0</v>
      </c>
      <c r="AS247" s="10" t="str">
        <f>HYPERLINK("https://tessa.gazprom-neft.local/edo/card/de68774a-b62f-496e-a39e-81494a8720d5", "https://tessa.gazprom-neft.local/edo/card/de68774a-b62f-496e-a39e-81494a8720d5")</f>
        <v>https://tessa.gazprom-neft.local/edo/card/de68774a-b62f-496e-a39e-81494a8720d5</v>
      </c>
    </row>
    <row r="248" spans="1:45" hidden="1" x14ac:dyDescent="0.25">
      <c r="A248" s="6" t="s">
        <v>44</v>
      </c>
      <c r="B248" s="7" t="s">
        <v>179</v>
      </c>
      <c r="C248" s="7" t="s">
        <v>67</v>
      </c>
      <c r="D248" s="8">
        <v>45503</v>
      </c>
      <c r="E248" s="8" t="s">
        <v>0</v>
      </c>
      <c r="F248" s="16" t="s">
        <v>180</v>
      </c>
      <c r="G248" s="7" t="s">
        <v>181</v>
      </c>
      <c r="H248" s="7" t="s">
        <v>0</v>
      </c>
      <c r="I248" s="7" t="s">
        <v>5515</v>
      </c>
      <c r="J248" s="7" t="s">
        <v>5515</v>
      </c>
      <c r="K248" s="7" t="s">
        <v>47</v>
      </c>
      <c r="L248" s="7" t="s">
        <v>86</v>
      </c>
      <c r="M248" s="7" t="s">
        <v>0</v>
      </c>
      <c r="N248" s="7" t="s">
        <v>5514</v>
      </c>
      <c r="O248" s="7" t="s">
        <v>0</v>
      </c>
      <c r="P248" s="7" t="s">
        <v>5516</v>
      </c>
      <c r="Q248" s="7" t="s">
        <v>5517</v>
      </c>
      <c r="R248" s="7" t="s">
        <v>393</v>
      </c>
      <c r="S248" s="7" t="s">
        <v>178</v>
      </c>
      <c r="T248" s="7" t="s">
        <v>54</v>
      </c>
      <c r="U248" s="7" t="s">
        <v>303</v>
      </c>
      <c r="V248" s="7" t="s">
        <v>91</v>
      </c>
      <c r="W248" s="7" t="s">
        <v>74</v>
      </c>
      <c r="X248" s="7" t="s">
        <v>103</v>
      </c>
      <c r="Y248" s="8">
        <v>45503</v>
      </c>
      <c r="Z248" s="8">
        <v>46387</v>
      </c>
      <c r="AA248" s="7" t="s">
        <v>92</v>
      </c>
      <c r="AB248" s="7" t="s">
        <v>237</v>
      </c>
      <c r="AC248" s="7" t="s">
        <v>65</v>
      </c>
      <c r="AD248" s="7" t="s">
        <v>0</v>
      </c>
      <c r="AE248" s="7" t="s">
        <v>0</v>
      </c>
      <c r="AF248" s="7" t="s">
        <v>0</v>
      </c>
      <c r="AG248" s="7" t="s">
        <v>0</v>
      </c>
      <c r="AH248" s="9" t="s">
        <v>0</v>
      </c>
      <c r="AI248" s="9" t="s">
        <v>0</v>
      </c>
      <c r="AJ248" s="9" t="s">
        <v>0</v>
      </c>
      <c r="AK248" s="7" t="s">
        <v>61</v>
      </c>
      <c r="AL248" s="7" t="s">
        <v>61</v>
      </c>
      <c r="AM248" s="7" t="s">
        <v>0</v>
      </c>
      <c r="AN248" s="7" t="s">
        <v>0</v>
      </c>
      <c r="AO248" s="7" t="s">
        <v>0</v>
      </c>
      <c r="AP248" s="7" t="s">
        <v>0</v>
      </c>
      <c r="AQ248" s="7" t="s">
        <v>61</v>
      </c>
      <c r="AR248" s="7" t="s">
        <v>0</v>
      </c>
      <c r="AS248" s="10" t="str">
        <f>HYPERLINK("https://tessa.gazprom-neft.local/edo/card/09dfb4be-140f-4a62-bce3-574e1a685004", "https://tessa.gazprom-neft.local/edo/card/09dfb4be-140f-4a62-bce3-574e1a685004")</f>
        <v>https://tessa.gazprom-neft.local/edo/card/09dfb4be-140f-4a62-bce3-574e1a685004</v>
      </c>
    </row>
    <row r="249" spans="1:45" x14ac:dyDescent="0.25">
      <c r="A249" s="6" t="s">
        <v>44</v>
      </c>
      <c r="B249" s="7" t="s">
        <v>395</v>
      </c>
      <c r="C249" s="7" t="s">
        <v>67</v>
      </c>
      <c r="D249" s="8">
        <v>45503</v>
      </c>
      <c r="E249" s="8" t="s">
        <v>0</v>
      </c>
      <c r="F249" s="16" t="s">
        <v>396</v>
      </c>
      <c r="G249" s="7" t="s">
        <v>397</v>
      </c>
      <c r="H249" s="7" t="s">
        <v>390</v>
      </c>
      <c r="I249" s="7" t="s">
        <v>0</v>
      </c>
      <c r="J249" s="7" t="s">
        <v>872</v>
      </c>
      <c r="K249" s="7" t="s">
        <v>47</v>
      </c>
      <c r="L249" s="7" t="s">
        <v>48</v>
      </c>
      <c r="M249" s="7" t="s">
        <v>0</v>
      </c>
      <c r="N249" s="7" t="s">
        <v>5594</v>
      </c>
      <c r="O249" s="7" t="s">
        <v>0</v>
      </c>
      <c r="P249" s="7" t="s">
        <v>5595</v>
      </c>
      <c r="Q249" s="7" t="s">
        <v>5595</v>
      </c>
      <c r="R249" s="7" t="s">
        <v>393</v>
      </c>
      <c r="S249" s="7" t="s">
        <v>590</v>
      </c>
      <c r="T249" s="7" t="s">
        <v>54</v>
      </c>
      <c r="U249" s="7" t="s">
        <v>222</v>
      </c>
      <c r="V249" s="7" t="s">
        <v>126</v>
      </c>
      <c r="W249" s="7" t="s">
        <v>74</v>
      </c>
      <c r="X249" s="7" t="s">
        <v>103</v>
      </c>
      <c r="Y249" s="8">
        <v>45503</v>
      </c>
      <c r="Z249" s="8">
        <v>46022</v>
      </c>
      <c r="AA249" s="7" t="s">
        <v>5596</v>
      </c>
      <c r="AB249" s="7" t="s">
        <v>387</v>
      </c>
      <c r="AC249" s="7" t="s">
        <v>65</v>
      </c>
      <c r="AD249" s="7" t="s">
        <v>80</v>
      </c>
      <c r="AE249" s="7" t="s">
        <v>0</v>
      </c>
      <c r="AF249" s="7" t="s">
        <v>0</v>
      </c>
      <c r="AG249" s="7" t="s">
        <v>0</v>
      </c>
      <c r="AH249" s="9" t="s">
        <v>0</v>
      </c>
      <c r="AI249" s="9" t="s">
        <v>0</v>
      </c>
      <c r="AJ249" s="9" t="s">
        <v>0</v>
      </c>
      <c r="AK249" s="7" t="s">
        <v>61</v>
      </c>
      <c r="AL249" s="7" t="s">
        <v>61</v>
      </c>
      <c r="AM249" s="7" t="s">
        <v>0</v>
      </c>
      <c r="AN249" s="7" t="s">
        <v>0</v>
      </c>
      <c r="AO249" s="7" t="s">
        <v>0</v>
      </c>
      <c r="AP249" s="7" t="s">
        <v>0</v>
      </c>
      <c r="AQ249" s="7" t="s">
        <v>61</v>
      </c>
      <c r="AR249" s="7" t="s">
        <v>0</v>
      </c>
      <c r="AS249" s="10" t="str">
        <f>HYPERLINK("https://tessa.gazprom-neft.local/edo/card/11920ddd-ff13-4390-8192-d388880c5ec8", "https://tessa.gazprom-neft.local/edo/card/11920ddd-ff13-4390-8192-d388880c5ec8")</f>
        <v>https://tessa.gazprom-neft.local/edo/card/11920ddd-ff13-4390-8192-d388880c5ec8</v>
      </c>
    </row>
    <row r="250" spans="1:45" hidden="1" x14ac:dyDescent="0.25">
      <c r="A250" s="6" t="s">
        <v>44</v>
      </c>
      <c r="B250" s="7" t="s">
        <v>2001</v>
      </c>
      <c r="C250" s="7" t="s">
        <v>67</v>
      </c>
      <c r="D250" s="8">
        <v>45503</v>
      </c>
      <c r="E250" s="8" t="s">
        <v>0</v>
      </c>
      <c r="F250" s="16" t="s">
        <v>2002</v>
      </c>
      <c r="G250" s="7" t="s">
        <v>2003</v>
      </c>
      <c r="H250" s="7" t="s">
        <v>1998</v>
      </c>
      <c r="I250" s="7" t="s">
        <v>0</v>
      </c>
      <c r="J250" s="7" t="s">
        <v>51</v>
      </c>
      <c r="K250" s="7" t="s">
        <v>47</v>
      </c>
      <c r="L250" s="7" t="s">
        <v>389</v>
      </c>
      <c r="M250" s="7" t="s">
        <v>0</v>
      </c>
      <c r="N250" s="7" t="s">
        <v>5666</v>
      </c>
      <c r="O250" s="7" t="s">
        <v>263</v>
      </c>
      <c r="P250" s="7" t="s">
        <v>5667</v>
      </c>
      <c r="Q250" s="7" t="s">
        <v>5668</v>
      </c>
      <c r="R250" s="7" t="s">
        <v>393</v>
      </c>
      <c r="S250" s="7" t="s">
        <v>1503</v>
      </c>
      <c r="T250" s="7" t="s">
        <v>54</v>
      </c>
      <c r="U250" s="7" t="s">
        <v>283</v>
      </c>
      <c r="V250" s="7" t="s">
        <v>308</v>
      </c>
      <c r="W250" s="7" t="s">
        <v>74</v>
      </c>
      <c r="X250" s="7" t="s">
        <v>103</v>
      </c>
      <c r="Y250" s="8">
        <v>45503</v>
      </c>
      <c r="Z250" s="8">
        <v>46022</v>
      </c>
      <c r="AA250" s="7" t="s">
        <v>309</v>
      </c>
      <c r="AB250" s="7" t="s">
        <v>130</v>
      </c>
      <c r="AC250" s="7" t="s">
        <v>65</v>
      </c>
      <c r="AD250" s="7" t="s">
        <v>144</v>
      </c>
      <c r="AE250" s="7" t="s">
        <v>0</v>
      </c>
      <c r="AF250" s="7" t="s">
        <v>0</v>
      </c>
      <c r="AG250" s="7" t="s">
        <v>0</v>
      </c>
      <c r="AH250" s="9" t="s">
        <v>0</v>
      </c>
      <c r="AI250" s="9" t="s">
        <v>0</v>
      </c>
      <c r="AJ250" s="9" t="s">
        <v>0</v>
      </c>
      <c r="AK250" s="7" t="s">
        <v>61</v>
      </c>
      <c r="AL250" s="7" t="s">
        <v>61</v>
      </c>
      <c r="AM250" s="7" t="s">
        <v>0</v>
      </c>
      <c r="AN250" s="7" t="s">
        <v>0</v>
      </c>
      <c r="AO250" s="7" t="s">
        <v>0</v>
      </c>
      <c r="AP250" s="7" t="s">
        <v>0</v>
      </c>
      <c r="AQ250" s="7" t="s">
        <v>61</v>
      </c>
      <c r="AR250" s="7" t="s">
        <v>0</v>
      </c>
      <c r="AS250" s="10" t="str">
        <f>HYPERLINK("https://tessa.gazprom-neft.local/edo/card/e9869276-e3d9-423f-9162-8bf7d4278cc8", "https://tessa.gazprom-neft.local/edo/card/e9869276-e3d9-423f-9162-8bf7d4278cc8")</f>
        <v>https://tessa.gazprom-neft.local/edo/card/e9869276-e3d9-423f-9162-8bf7d4278cc8</v>
      </c>
    </row>
    <row r="251" spans="1:45" hidden="1" x14ac:dyDescent="0.25">
      <c r="A251" s="6" t="s">
        <v>44</v>
      </c>
      <c r="B251" s="7" t="s">
        <v>2001</v>
      </c>
      <c r="C251" s="7" t="s">
        <v>67</v>
      </c>
      <c r="D251" s="8">
        <v>45503</v>
      </c>
      <c r="E251" s="8" t="s">
        <v>0</v>
      </c>
      <c r="F251" s="16" t="s">
        <v>2002</v>
      </c>
      <c r="G251" s="7" t="s">
        <v>2003</v>
      </c>
      <c r="H251" s="7" t="s">
        <v>1998</v>
      </c>
      <c r="I251" s="7" t="s">
        <v>0</v>
      </c>
      <c r="J251" s="7" t="s">
        <v>51</v>
      </c>
      <c r="K251" s="7" t="s">
        <v>47</v>
      </c>
      <c r="L251" s="7" t="s">
        <v>389</v>
      </c>
      <c r="M251" s="7" t="s">
        <v>0</v>
      </c>
      <c r="N251" s="7" t="s">
        <v>5679</v>
      </c>
      <c r="O251" s="7" t="s">
        <v>712</v>
      </c>
      <c r="P251" s="7" t="s">
        <v>5680</v>
      </c>
      <c r="Q251" s="7" t="s">
        <v>5681</v>
      </c>
      <c r="R251" s="7" t="s">
        <v>393</v>
      </c>
      <c r="S251" s="7" t="s">
        <v>0</v>
      </c>
      <c r="T251" s="7" t="s">
        <v>54</v>
      </c>
      <c r="U251" s="7" t="s">
        <v>283</v>
      </c>
      <c r="V251" s="7" t="s">
        <v>308</v>
      </c>
      <c r="W251" s="7" t="s">
        <v>74</v>
      </c>
      <c r="X251" s="7" t="s">
        <v>103</v>
      </c>
      <c r="Y251" s="8">
        <v>45503</v>
      </c>
      <c r="Z251" s="8">
        <v>46022</v>
      </c>
      <c r="AA251" s="7" t="s">
        <v>309</v>
      </c>
      <c r="AB251" s="7" t="s">
        <v>130</v>
      </c>
      <c r="AC251" s="7" t="s">
        <v>65</v>
      </c>
      <c r="AD251" s="7" t="s">
        <v>144</v>
      </c>
      <c r="AE251" s="7" t="s">
        <v>0</v>
      </c>
      <c r="AF251" s="7" t="s">
        <v>0</v>
      </c>
      <c r="AG251" s="7" t="s">
        <v>0</v>
      </c>
      <c r="AH251" s="9" t="s">
        <v>0</v>
      </c>
      <c r="AI251" s="9" t="s">
        <v>0</v>
      </c>
      <c r="AJ251" s="9" t="s">
        <v>0</v>
      </c>
      <c r="AK251" s="7" t="s">
        <v>61</v>
      </c>
      <c r="AL251" s="7" t="s">
        <v>61</v>
      </c>
      <c r="AM251" s="7" t="s">
        <v>0</v>
      </c>
      <c r="AN251" s="7" t="s">
        <v>0</v>
      </c>
      <c r="AO251" s="7" t="s">
        <v>0</v>
      </c>
      <c r="AP251" s="7" t="s">
        <v>0</v>
      </c>
      <c r="AQ251" s="7" t="s">
        <v>61</v>
      </c>
      <c r="AR251" s="7" t="s">
        <v>0</v>
      </c>
      <c r="AS251" s="10" t="str">
        <f>HYPERLINK("https://tessa.gazprom-neft.local/edo/card/0d89d2e7-1b91-482a-ad6c-eaf067ec5c86", "https://tessa.gazprom-neft.local/edo/card/0d89d2e7-1b91-482a-ad6c-eaf067ec5c86")</f>
        <v>https://tessa.gazprom-neft.local/edo/card/0d89d2e7-1b91-482a-ad6c-eaf067ec5c86</v>
      </c>
    </row>
    <row r="252" spans="1:45" hidden="1" x14ac:dyDescent="0.25">
      <c r="A252" s="6" t="s">
        <v>44</v>
      </c>
      <c r="B252" s="7" t="s">
        <v>1328</v>
      </c>
      <c r="C252" s="7" t="s">
        <v>67</v>
      </c>
      <c r="D252" s="8">
        <v>45503</v>
      </c>
      <c r="E252" s="8" t="s">
        <v>0</v>
      </c>
      <c r="F252" s="16" t="s">
        <v>1329</v>
      </c>
      <c r="G252" s="7" t="s">
        <v>1330</v>
      </c>
      <c r="H252" s="7" t="s">
        <v>0</v>
      </c>
      <c r="I252" s="7" t="s">
        <v>6219</v>
      </c>
      <c r="J252" s="7" t="s">
        <v>6219</v>
      </c>
      <c r="K252" s="7" t="s">
        <v>85</v>
      </c>
      <c r="L252" s="7" t="s">
        <v>86</v>
      </c>
      <c r="M252" s="7" t="s">
        <v>289</v>
      </c>
      <c r="N252" s="7" t="s">
        <v>6218</v>
      </c>
      <c r="O252" s="7" t="s">
        <v>0</v>
      </c>
      <c r="P252" s="7" t="s">
        <v>6220</v>
      </c>
      <c r="Q252" s="7" t="s">
        <v>6221</v>
      </c>
      <c r="R252" s="7" t="s">
        <v>393</v>
      </c>
      <c r="S252" s="7" t="s">
        <v>166</v>
      </c>
      <c r="T252" s="7" t="s">
        <v>54</v>
      </c>
      <c r="U252" s="7" t="s">
        <v>283</v>
      </c>
      <c r="V252" s="7" t="s">
        <v>308</v>
      </c>
      <c r="W252" s="7" t="s">
        <v>74</v>
      </c>
      <c r="X252" s="7" t="s">
        <v>58</v>
      </c>
      <c r="Y252" s="8">
        <v>45503</v>
      </c>
      <c r="Z252" s="8" t="s">
        <v>0</v>
      </c>
      <c r="AA252" s="7" t="s">
        <v>6222</v>
      </c>
      <c r="AB252" s="7" t="s">
        <v>300</v>
      </c>
      <c r="AC252" s="7" t="s">
        <v>65</v>
      </c>
      <c r="AD252" s="7" t="s">
        <v>0</v>
      </c>
      <c r="AE252" s="7" t="s">
        <v>0</v>
      </c>
      <c r="AF252" s="7" t="s">
        <v>0</v>
      </c>
      <c r="AG252" s="7" t="s">
        <v>0</v>
      </c>
      <c r="AH252" s="9" t="s">
        <v>0</v>
      </c>
      <c r="AI252" s="9" t="s">
        <v>0</v>
      </c>
      <c r="AJ252" s="9" t="s">
        <v>0</v>
      </c>
      <c r="AK252" s="7" t="s">
        <v>61</v>
      </c>
      <c r="AL252" s="7" t="s">
        <v>61</v>
      </c>
      <c r="AM252" s="7" t="s">
        <v>0</v>
      </c>
      <c r="AN252" s="7" t="s">
        <v>0</v>
      </c>
      <c r="AO252" s="7" t="s">
        <v>0</v>
      </c>
      <c r="AP252" s="7" t="s">
        <v>0</v>
      </c>
      <c r="AQ252" s="7" t="s">
        <v>61</v>
      </c>
      <c r="AR252" s="7" t="s">
        <v>0</v>
      </c>
      <c r="AS252" s="10" t="str">
        <f>HYPERLINK("https://tessa.gazprom-neft.local/edo/card/bd104dc8-b8f3-4bc5-a2f6-fb270c423eea", "https://tessa.gazprom-neft.local/edo/card/bd104dc8-b8f3-4bc5-a2f6-fb270c423eea")</f>
        <v>https://tessa.gazprom-neft.local/edo/card/bd104dc8-b8f3-4bc5-a2f6-fb270c423eea</v>
      </c>
    </row>
    <row r="253" spans="1:45" hidden="1" x14ac:dyDescent="0.25">
      <c r="A253" s="6" t="s">
        <v>44</v>
      </c>
      <c r="B253" s="7" t="s">
        <v>170</v>
      </c>
      <c r="C253" s="7" t="s">
        <v>67</v>
      </c>
      <c r="D253" s="8">
        <v>45502</v>
      </c>
      <c r="E253" s="8" t="s">
        <v>0</v>
      </c>
      <c r="F253" s="16" t="s">
        <v>171</v>
      </c>
      <c r="G253" s="7" t="s">
        <v>172</v>
      </c>
      <c r="H253" s="7" t="s">
        <v>1109</v>
      </c>
      <c r="I253" s="7" t="s">
        <v>0</v>
      </c>
      <c r="J253" s="7" t="s">
        <v>5762</v>
      </c>
      <c r="K253" s="7" t="s">
        <v>47</v>
      </c>
      <c r="L253" s="7" t="s">
        <v>389</v>
      </c>
      <c r="M253" s="7" t="s">
        <v>0</v>
      </c>
      <c r="N253" s="7" t="s">
        <v>5760</v>
      </c>
      <c r="O253" s="7" t="s">
        <v>70</v>
      </c>
      <c r="P253" s="7" t="s">
        <v>5761</v>
      </c>
      <c r="Q253" s="7" t="s">
        <v>5268</v>
      </c>
      <c r="R253" s="7" t="s">
        <v>124</v>
      </c>
      <c r="S253" s="7" t="s">
        <v>166</v>
      </c>
      <c r="T253" s="7" t="s">
        <v>54</v>
      </c>
      <c r="U253" s="7" t="s">
        <v>101</v>
      </c>
      <c r="V253" s="7" t="s">
        <v>168</v>
      </c>
      <c r="W253" s="7" t="s">
        <v>74</v>
      </c>
      <c r="X253" s="7" t="s">
        <v>103</v>
      </c>
      <c r="Y253" s="8">
        <v>45502</v>
      </c>
      <c r="Z253" s="8">
        <v>46022</v>
      </c>
      <c r="AA253" s="7" t="s">
        <v>169</v>
      </c>
      <c r="AB253" s="7" t="s">
        <v>64</v>
      </c>
      <c r="AC253" s="7" t="s">
        <v>79</v>
      </c>
      <c r="AD253" s="7" t="s">
        <v>80</v>
      </c>
      <c r="AE253" s="7" t="s">
        <v>82</v>
      </c>
      <c r="AF253" s="7" t="s">
        <v>0</v>
      </c>
      <c r="AG253" s="7" t="s">
        <v>0</v>
      </c>
      <c r="AH253" s="9" t="s">
        <v>12611</v>
      </c>
      <c r="AI253" s="9" t="s">
        <v>12612</v>
      </c>
      <c r="AJ253" s="9" t="s">
        <v>12613</v>
      </c>
      <c r="AK253" s="7" t="s">
        <v>61</v>
      </c>
      <c r="AL253" s="7" t="s">
        <v>61</v>
      </c>
      <c r="AM253" s="7" t="s">
        <v>0</v>
      </c>
      <c r="AN253" s="7" t="s">
        <v>0</v>
      </c>
      <c r="AO253" s="7" t="s">
        <v>0</v>
      </c>
      <c r="AP253" s="7" t="s">
        <v>0</v>
      </c>
      <c r="AQ253" s="7" t="s">
        <v>61</v>
      </c>
      <c r="AR253" s="7" t="s">
        <v>0</v>
      </c>
      <c r="AS253" s="10" t="str">
        <f>HYPERLINK("https://tessa.gazprom-neft.local/edo/card/d8a40687-10fd-45b2-a1d4-f6111e91dbd4", "https://tessa.gazprom-neft.local/edo/card/d8a40687-10fd-45b2-a1d4-f6111e91dbd4")</f>
        <v>https://tessa.gazprom-neft.local/edo/card/d8a40687-10fd-45b2-a1d4-f6111e91dbd4</v>
      </c>
    </row>
    <row r="254" spans="1:45" hidden="1" x14ac:dyDescent="0.25">
      <c r="A254" s="6" t="s">
        <v>44</v>
      </c>
      <c r="B254" s="7" t="s">
        <v>715</v>
      </c>
      <c r="C254" s="7" t="s">
        <v>67</v>
      </c>
      <c r="D254" s="8">
        <v>45500</v>
      </c>
      <c r="E254" s="8">
        <v>45495</v>
      </c>
      <c r="F254" s="16" t="s">
        <v>716</v>
      </c>
      <c r="G254" s="7" t="s">
        <v>717</v>
      </c>
      <c r="H254" s="7" t="s">
        <v>710</v>
      </c>
      <c r="I254" s="7" t="s">
        <v>0</v>
      </c>
      <c r="J254" s="7" t="s">
        <v>355</v>
      </c>
      <c r="K254" s="7" t="s">
        <v>47</v>
      </c>
      <c r="L254" s="7" t="s">
        <v>389</v>
      </c>
      <c r="M254" s="7" t="s">
        <v>0</v>
      </c>
      <c r="N254" s="7" t="s">
        <v>5388</v>
      </c>
      <c r="O254" s="7" t="s">
        <v>872</v>
      </c>
      <c r="P254" s="7" t="s">
        <v>5389</v>
      </c>
      <c r="Q254" s="7" t="s">
        <v>5390</v>
      </c>
      <c r="R254" s="7" t="s">
        <v>714</v>
      </c>
      <c r="S254" s="7" t="s">
        <v>714</v>
      </c>
      <c r="T254" s="7" t="s">
        <v>54</v>
      </c>
      <c r="U254" s="7" t="s">
        <v>101</v>
      </c>
      <c r="V254" s="7" t="s">
        <v>308</v>
      </c>
      <c r="W254" s="7" t="s">
        <v>74</v>
      </c>
      <c r="X254" s="7" t="s">
        <v>103</v>
      </c>
      <c r="Y254" s="8">
        <v>45229</v>
      </c>
      <c r="Z254" s="8">
        <v>45535</v>
      </c>
      <c r="AA254" s="7" t="s">
        <v>309</v>
      </c>
      <c r="AB254" s="7" t="s">
        <v>64</v>
      </c>
      <c r="AC254" s="7" t="s">
        <v>79</v>
      </c>
      <c r="AD254" s="7" t="s">
        <v>144</v>
      </c>
      <c r="AE254" s="7" t="s">
        <v>82</v>
      </c>
      <c r="AF254" s="7" t="s">
        <v>0</v>
      </c>
      <c r="AG254" s="7" t="s">
        <v>0</v>
      </c>
      <c r="AH254" s="9" t="s">
        <v>12469</v>
      </c>
      <c r="AI254" s="9" t="s">
        <v>12470</v>
      </c>
      <c r="AJ254" s="9" t="s">
        <v>12471</v>
      </c>
      <c r="AK254" s="7" t="s">
        <v>61</v>
      </c>
      <c r="AL254" s="7" t="s">
        <v>61</v>
      </c>
      <c r="AM254" s="7" t="s">
        <v>0</v>
      </c>
      <c r="AN254" s="7" t="s">
        <v>0</v>
      </c>
      <c r="AO254" s="7" t="s">
        <v>0</v>
      </c>
      <c r="AP254" s="7" t="s">
        <v>0</v>
      </c>
      <c r="AQ254" s="7" t="s">
        <v>61</v>
      </c>
      <c r="AR254" s="7" t="s">
        <v>0</v>
      </c>
      <c r="AS254" s="10" t="str">
        <f>HYPERLINK("https://tessa.gazprom-neft.local/edo/card/65c6e143-abec-4aa6-be90-68eef2e59afd", "https://tessa.gazprom-neft.local/edo/card/65c6e143-abec-4aa6-be90-68eef2e59afd")</f>
        <v>https://tessa.gazprom-neft.local/edo/card/65c6e143-abec-4aa6-be90-68eef2e59afd</v>
      </c>
    </row>
    <row r="255" spans="1:45" hidden="1" x14ac:dyDescent="0.25">
      <c r="A255" s="6" t="s">
        <v>44</v>
      </c>
      <c r="B255" s="7" t="s">
        <v>3461</v>
      </c>
      <c r="C255" s="7" t="s">
        <v>67</v>
      </c>
      <c r="D255" s="8">
        <v>45499</v>
      </c>
      <c r="E255" s="8" t="s">
        <v>0</v>
      </c>
      <c r="F255" s="16" t="s">
        <v>3462</v>
      </c>
      <c r="G255" s="7" t="s">
        <v>3463</v>
      </c>
      <c r="H255" s="7" t="s">
        <v>0</v>
      </c>
      <c r="I255" s="7" t="s">
        <v>5581</v>
      </c>
      <c r="J255" s="7" t="s">
        <v>5581</v>
      </c>
      <c r="K255" s="7" t="s">
        <v>85</v>
      </c>
      <c r="L255" s="7" t="s">
        <v>86</v>
      </c>
      <c r="M255" s="7" t="s">
        <v>83</v>
      </c>
      <c r="N255" s="7" t="s">
        <v>5580</v>
      </c>
      <c r="O255" s="7" t="s">
        <v>0</v>
      </c>
      <c r="P255" s="7" t="s">
        <v>83</v>
      </c>
      <c r="Q255" s="7" t="s">
        <v>2260</v>
      </c>
      <c r="R255" s="7" t="s">
        <v>4424</v>
      </c>
      <c r="S255" s="7" t="s">
        <v>4424</v>
      </c>
      <c r="T255" s="7" t="s">
        <v>54</v>
      </c>
      <c r="U255" s="7" t="s">
        <v>428</v>
      </c>
      <c r="V255" s="7" t="s">
        <v>91</v>
      </c>
      <c r="W255" s="7" t="s">
        <v>74</v>
      </c>
      <c r="X255" s="7" t="s">
        <v>103</v>
      </c>
      <c r="Y255" s="8">
        <v>45499</v>
      </c>
      <c r="Z255" s="8">
        <v>47322</v>
      </c>
      <c r="AA255" s="7" t="s">
        <v>92</v>
      </c>
      <c r="AB255" s="7" t="s">
        <v>94</v>
      </c>
      <c r="AC255" s="7" t="s">
        <v>65</v>
      </c>
      <c r="AD255" s="7" t="s">
        <v>0</v>
      </c>
      <c r="AE255" s="7" t="s">
        <v>0</v>
      </c>
      <c r="AF255" s="7" t="s">
        <v>0</v>
      </c>
      <c r="AG255" s="7" t="s">
        <v>0</v>
      </c>
      <c r="AH255" s="9" t="s">
        <v>0</v>
      </c>
      <c r="AI255" s="9" t="s">
        <v>0</v>
      </c>
      <c r="AJ255" s="9" t="s">
        <v>0</v>
      </c>
      <c r="AK255" s="7" t="s">
        <v>61</v>
      </c>
      <c r="AL255" s="7" t="s">
        <v>61</v>
      </c>
      <c r="AM255" s="7" t="s">
        <v>0</v>
      </c>
      <c r="AN255" s="7" t="s">
        <v>0</v>
      </c>
      <c r="AO255" s="7" t="s">
        <v>0</v>
      </c>
      <c r="AP255" s="7" t="s">
        <v>0</v>
      </c>
      <c r="AQ255" s="7" t="s">
        <v>61</v>
      </c>
      <c r="AR255" s="7" t="s">
        <v>0</v>
      </c>
      <c r="AS255" s="10" t="str">
        <f>HYPERLINK("https://tessa.gazprom-neft.local/edo/card/a29548da-de8b-4a89-8221-f170ff302cea", "https://tessa.gazprom-neft.local/edo/card/a29548da-de8b-4a89-8221-f170ff302cea")</f>
        <v>https://tessa.gazprom-neft.local/edo/card/a29548da-de8b-4a89-8221-f170ff302cea</v>
      </c>
    </row>
    <row r="256" spans="1:45" hidden="1" x14ac:dyDescent="0.25">
      <c r="A256" s="6" t="s">
        <v>44</v>
      </c>
      <c r="B256" s="7" t="s">
        <v>4377</v>
      </c>
      <c r="C256" s="7" t="s">
        <v>67</v>
      </c>
      <c r="D256" s="8">
        <v>45498</v>
      </c>
      <c r="E256" s="8">
        <v>45502</v>
      </c>
      <c r="F256" s="16" t="s">
        <v>4378</v>
      </c>
      <c r="G256" s="7" t="s">
        <v>4379</v>
      </c>
      <c r="H256" s="7" t="s">
        <v>4374</v>
      </c>
      <c r="I256" s="7" t="s">
        <v>0</v>
      </c>
      <c r="J256" s="7" t="s">
        <v>51</v>
      </c>
      <c r="K256" s="7" t="s">
        <v>47</v>
      </c>
      <c r="L256" s="7" t="s">
        <v>239</v>
      </c>
      <c r="M256" s="7" t="s">
        <v>0</v>
      </c>
      <c r="N256" s="7" t="s">
        <v>5644</v>
      </c>
      <c r="O256" s="7" t="s">
        <v>0</v>
      </c>
      <c r="P256" s="7" t="s">
        <v>5645</v>
      </c>
      <c r="Q256" s="7" t="s">
        <v>5646</v>
      </c>
      <c r="R256" s="7" t="s">
        <v>646</v>
      </c>
      <c r="S256" s="7" t="s">
        <v>2768</v>
      </c>
      <c r="T256" s="7" t="s">
        <v>54</v>
      </c>
      <c r="U256" s="7" t="s">
        <v>55</v>
      </c>
      <c r="V256" s="7" t="s">
        <v>340</v>
      </c>
      <c r="W256" s="7" t="s">
        <v>74</v>
      </c>
      <c r="X256" s="7" t="s">
        <v>58</v>
      </c>
      <c r="Y256" s="8">
        <v>45498</v>
      </c>
      <c r="Z256" s="8" t="s">
        <v>0</v>
      </c>
      <c r="AA256" s="7" t="s">
        <v>341</v>
      </c>
      <c r="AB256" s="7" t="s">
        <v>256</v>
      </c>
      <c r="AC256" s="7" t="s">
        <v>79</v>
      </c>
      <c r="AD256" s="7" t="s">
        <v>144</v>
      </c>
      <c r="AE256" s="7" t="s">
        <v>82</v>
      </c>
      <c r="AF256" s="7" t="s">
        <v>0</v>
      </c>
      <c r="AG256" s="7" t="s">
        <v>0</v>
      </c>
      <c r="AH256" s="9" t="s">
        <v>12563</v>
      </c>
      <c r="AI256" s="9" t="s">
        <v>12564</v>
      </c>
      <c r="AJ256" s="9" t="s">
        <v>12565</v>
      </c>
      <c r="AK256" s="7" t="s">
        <v>61</v>
      </c>
      <c r="AL256" s="7" t="s">
        <v>61</v>
      </c>
      <c r="AM256" s="7" t="s">
        <v>0</v>
      </c>
      <c r="AN256" s="7" t="s">
        <v>0</v>
      </c>
      <c r="AO256" s="7" t="s">
        <v>0</v>
      </c>
      <c r="AP256" s="7" t="s">
        <v>0</v>
      </c>
      <c r="AQ256" s="7" t="s">
        <v>61</v>
      </c>
      <c r="AR256" s="7" t="s">
        <v>0</v>
      </c>
      <c r="AS256" s="10" t="str">
        <f>HYPERLINK("https://tessa.gazprom-neft.local/edo/card/25b14200-e184-47da-828b-0bbb680fbc11", "https://tessa.gazprom-neft.local/edo/card/25b14200-e184-47da-828b-0bbb680fbc11")</f>
        <v>https://tessa.gazprom-neft.local/edo/card/25b14200-e184-47da-828b-0bbb680fbc11</v>
      </c>
    </row>
    <row r="257" spans="1:45" hidden="1" x14ac:dyDescent="0.25">
      <c r="A257" s="6" t="s">
        <v>44</v>
      </c>
      <c r="B257" s="7" t="s">
        <v>2297</v>
      </c>
      <c r="C257" s="7" t="s">
        <v>67</v>
      </c>
      <c r="D257" s="8">
        <v>45497</v>
      </c>
      <c r="E257" s="8" t="s">
        <v>0</v>
      </c>
      <c r="F257" s="16" t="s">
        <v>2298</v>
      </c>
      <c r="G257" s="7" t="s">
        <v>2299</v>
      </c>
      <c r="H257" s="7" t="s">
        <v>0</v>
      </c>
      <c r="I257" s="7" t="s">
        <v>5443</v>
      </c>
      <c r="J257" s="7" t="s">
        <v>5443</v>
      </c>
      <c r="K257" s="7" t="s">
        <v>47</v>
      </c>
      <c r="L257" s="7" t="s">
        <v>86</v>
      </c>
      <c r="M257" s="7" t="s">
        <v>0</v>
      </c>
      <c r="N257" s="7" t="s">
        <v>5442</v>
      </c>
      <c r="O257" s="7" t="s">
        <v>0</v>
      </c>
      <c r="P257" s="7" t="s">
        <v>4220</v>
      </c>
      <c r="Q257" s="7" t="s">
        <v>5444</v>
      </c>
      <c r="R257" s="7" t="s">
        <v>1199</v>
      </c>
      <c r="S257" s="7" t="s">
        <v>1199</v>
      </c>
      <c r="T257" s="7" t="s">
        <v>54</v>
      </c>
      <c r="U257" s="7" t="s">
        <v>605</v>
      </c>
      <c r="V257" s="7" t="s">
        <v>126</v>
      </c>
      <c r="W257" s="7" t="s">
        <v>57</v>
      </c>
      <c r="X257" s="7" t="s">
        <v>58</v>
      </c>
      <c r="Y257" s="8">
        <v>45490</v>
      </c>
      <c r="Z257" s="8" t="s">
        <v>0</v>
      </c>
      <c r="AA257" s="7" t="s">
        <v>200</v>
      </c>
      <c r="AB257" s="7" t="s">
        <v>1203</v>
      </c>
      <c r="AC257" s="7" t="s">
        <v>79</v>
      </c>
      <c r="AD257" s="7" t="s">
        <v>80</v>
      </c>
      <c r="AE257" s="7" t="s">
        <v>193</v>
      </c>
      <c r="AF257" s="7" t="s">
        <v>0</v>
      </c>
      <c r="AG257" s="7" t="s">
        <v>0</v>
      </c>
      <c r="AH257" s="9" t="s">
        <v>12488</v>
      </c>
      <c r="AI257" s="9" t="s">
        <v>12489</v>
      </c>
      <c r="AJ257" s="9" t="s">
        <v>12490</v>
      </c>
      <c r="AK257" s="7" t="s">
        <v>61</v>
      </c>
      <c r="AL257" s="7" t="s">
        <v>61</v>
      </c>
      <c r="AM257" s="7" t="s">
        <v>0</v>
      </c>
      <c r="AN257" s="7" t="s">
        <v>0</v>
      </c>
      <c r="AO257" s="7" t="s">
        <v>0</v>
      </c>
      <c r="AP257" s="7" t="s">
        <v>0</v>
      </c>
      <c r="AQ257" s="7" t="s">
        <v>61</v>
      </c>
      <c r="AR257" s="7" t="s">
        <v>0</v>
      </c>
      <c r="AS257" s="10" t="str">
        <f>HYPERLINK("https://tessa.gazprom-neft.local/edo/card/154d9a3d-3322-4f91-aa4e-0e297b74db04", "https://tessa.gazprom-neft.local/edo/card/154d9a3d-3322-4f91-aa4e-0e297b74db04")</f>
        <v>https://tessa.gazprom-neft.local/edo/card/154d9a3d-3322-4f91-aa4e-0e297b74db04</v>
      </c>
    </row>
    <row r="258" spans="1:45" x14ac:dyDescent="0.25">
      <c r="A258" s="6" t="s">
        <v>44</v>
      </c>
      <c r="B258" s="7" t="s">
        <v>4951</v>
      </c>
      <c r="C258" s="7" t="s">
        <v>67</v>
      </c>
      <c r="D258" s="8">
        <v>45497</v>
      </c>
      <c r="E258" s="8" t="s">
        <v>0</v>
      </c>
      <c r="F258" s="16" t="s">
        <v>4952</v>
      </c>
      <c r="G258" s="7" t="s">
        <v>2497</v>
      </c>
      <c r="H258" s="7" t="s">
        <v>3129</v>
      </c>
      <c r="I258" s="7" t="s">
        <v>0</v>
      </c>
      <c r="J258" s="7" t="s">
        <v>70</v>
      </c>
      <c r="K258" s="7" t="s">
        <v>85</v>
      </c>
      <c r="L258" s="7" t="s">
        <v>48</v>
      </c>
      <c r="M258" s="7" t="s">
        <v>2373</v>
      </c>
      <c r="N258" s="7" t="s">
        <v>5569</v>
      </c>
      <c r="O258" s="7" t="s">
        <v>0</v>
      </c>
      <c r="P258" s="7" t="s">
        <v>5570</v>
      </c>
      <c r="Q258" s="7" t="s">
        <v>3820</v>
      </c>
      <c r="R258" s="7" t="s">
        <v>393</v>
      </c>
      <c r="S258" s="7" t="s">
        <v>2859</v>
      </c>
      <c r="T258" s="7" t="s">
        <v>54</v>
      </c>
      <c r="U258" s="7" t="s">
        <v>210</v>
      </c>
      <c r="V258" s="7" t="s">
        <v>126</v>
      </c>
      <c r="W258" s="7" t="s">
        <v>57</v>
      </c>
      <c r="X258" s="7" t="s">
        <v>103</v>
      </c>
      <c r="Y258" s="8">
        <v>45497</v>
      </c>
      <c r="Z258" s="8">
        <v>45657</v>
      </c>
      <c r="AA258" s="7" t="s">
        <v>200</v>
      </c>
      <c r="AB258" s="7" t="s">
        <v>130</v>
      </c>
      <c r="AC258" s="7" t="s">
        <v>65</v>
      </c>
      <c r="AD258" s="7" t="s">
        <v>0</v>
      </c>
      <c r="AE258" s="7" t="s">
        <v>0</v>
      </c>
      <c r="AF258" s="7" t="s">
        <v>0</v>
      </c>
      <c r="AG258" s="7" t="s">
        <v>0</v>
      </c>
      <c r="AH258" s="9" t="s">
        <v>0</v>
      </c>
      <c r="AI258" s="9" t="s">
        <v>0</v>
      </c>
      <c r="AJ258" s="9" t="s">
        <v>0</v>
      </c>
      <c r="AK258" s="7" t="s">
        <v>61</v>
      </c>
      <c r="AL258" s="7" t="s">
        <v>61</v>
      </c>
      <c r="AM258" s="7" t="s">
        <v>0</v>
      </c>
      <c r="AN258" s="7" t="s">
        <v>0</v>
      </c>
      <c r="AO258" s="7" t="s">
        <v>0</v>
      </c>
      <c r="AP258" s="7" t="s">
        <v>0</v>
      </c>
      <c r="AQ258" s="7" t="s">
        <v>61</v>
      </c>
      <c r="AR258" s="7" t="s">
        <v>0</v>
      </c>
      <c r="AS258" s="10" t="str">
        <f>HYPERLINK("https://tessa.gazprom-neft.local/edo/card/931d3b22-9845-40b3-a066-433859c3f94d", "https://tessa.gazprom-neft.local/edo/card/931d3b22-9845-40b3-a066-433859c3f94d")</f>
        <v>https://tessa.gazprom-neft.local/edo/card/931d3b22-9845-40b3-a066-433859c3f94d</v>
      </c>
    </row>
    <row r="259" spans="1:45" hidden="1" x14ac:dyDescent="0.25">
      <c r="A259" s="6" t="s">
        <v>44</v>
      </c>
      <c r="B259" s="7" t="s">
        <v>1950</v>
      </c>
      <c r="C259" s="7" t="s">
        <v>67</v>
      </c>
      <c r="D259" s="8">
        <v>45497</v>
      </c>
      <c r="E259" s="8">
        <v>45502</v>
      </c>
      <c r="F259" s="16" t="s">
        <v>1951</v>
      </c>
      <c r="G259" s="7" t="s">
        <v>1952</v>
      </c>
      <c r="H259" s="7" t="s">
        <v>1947</v>
      </c>
      <c r="I259" s="7" t="s">
        <v>0</v>
      </c>
      <c r="J259" s="7" t="s">
        <v>712</v>
      </c>
      <c r="K259" s="7" t="s">
        <v>47</v>
      </c>
      <c r="L259" s="7" t="s">
        <v>239</v>
      </c>
      <c r="M259" s="7" t="s">
        <v>0</v>
      </c>
      <c r="N259" s="7" t="s">
        <v>5622</v>
      </c>
      <c r="O259" s="7" t="s">
        <v>0</v>
      </c>
      <c r="P259" s="7" t="s">
        <v>5623</v>
      </c>
      <c r="Q259" s="7" t="s">
        <v>5624</v>
      </c>
      <c r="R259" s="7" t="s">
        <v>1711</v>
      </c>
      <c r="S259" s="7" t="s">
        <v>1711</v>
      </c>
      <c r="T259" s="7" t="s">
        <v>54</v>
      </c>
      <c r="U259" s="7" t="s">
        <v>605</v>
      </c>
      <c r="V259" s="7" t="s">
        <v>126</v>
      </c>
      <c r="W259" s="7" t="s">
        <v>74</v>
      </c>
      <c r="X259" s="7" t="s">
        <v>103</v>
      </c>
      <c r="Y259" s="8">
        <v>45497</v>
      </c>
      <c r="Z259" s="8">
        <v>45592</v>
      </c>
      <c r="AA259" s="7" t="s">
        <v>200</v>
      </c>
      <c r="AB259" s="7" t="s">
        <v>1893</v>
      </c>
      <c r="AC259" s="7" t="s">
        <v>278</v>
      </c>
      <c r="AD259" s="7" t="s">
        <v>144</v>
      </c>
      <c r="AE259" s="7" t="s">
        <v>118</v>
      </c>
      <c r="AF259" s="7" t="s">
        <v>0</v>
      </c>
      <c r="AG259" s="7" t="s">
        <v>0</v>
      </c>
      <c r="AH259" s="9" t="s">
        <v>12553</v>
      </c>
      <c r="AI259" s="9" t="s">
        <v>12553</v>
      </c>
      <c r="AJ259" s="9">
        <v>0</v>
      </c>
      <c r="AK259" s="7" t="s">
        <v>61</v>
      </c>
      <c r="AL259" s="7" t="s">
        <v>61</v>
      </c>
      <c r="AM259" s="7" t="s">
        <v>0</v>
      </c>
      <c r="AN259" s="7" t="s">
        <v>0</v>
      </c>
      <c r="AO259" s="7" t="s">
        <v>0</v>
      </c>
      <c r="AP259" s="7" t="s">
        <v>0</v>
      </c>
      <c r="AQ259" s="7" t="s">
        <v>61</v>
      </c>
      <c r="AR259" s="7" t="s">
        <v>0</v>
      </c>
      <c r="AS259" s="10" t="str">
        <f>HYPERLINK("https://tessa.gazprom-neft.local/edo/card/f6829e41-d503-4b63-b539-8135bbe99c80", "https://tessa.gazprom-neft.local/edo/card/f6829e41-d503-4b63-b539-8135bbe99c80")</f>
        <v>https://tessa.gazprom-neft.local/edo/card/f6829e41-d503-4b63-b539-8135bbe99c80</v>
      </c>
    </row>
    <row r="260" spans="1:45" hidden="1" x14ac:dyDescent="0.25">
      <c r="A260" s="6" t="s">
        <v>44</v>
      </c>
      <c r="B260" s="7" t="s">
        <v>715</v>
      </c>
      <c r="C260" s="7" t="s">
        <v>67</v>
      </c>
      <c r="D260" s="8">
        <v>45495</v>
      </c>
      <c r="E260" s="8">
        <v>45495</v>
      </c>
      <c r="F260" s="16" t="s">
        <v>716</v>
      </c>
      <c r="G260" s="7" t="s">
        <v>717</v>
      </c>
      <c r="H260" s="7" t="s">
        <v>710</v>
      </c>
      <c r="I260" s="7" t="s">
        <v>0</v>
      </c>
      <c r="J260" s="7" t="s">
        <v>271</v>
      </c>
      <c r="K260" s="7" t="s">
        <v>47</v>
      </c>
      <c r="L260" s="7" t="s">
        <v>389</v>
      </c>
      <c r="M260" s="7" t="s">
        <v>0</v>
      </c>
      <c r="N260" s="7" t="s">
        <v>5332</v>
      </c>
      <c r="O260" s="7" t="s">
        <v>955</v>
      </c>
      <c r="P260" s="7" t="s">
        <v>5333</v>
      </c>
      <c r="Q260" s="7" t="s">
        <v>5334</v>
      </c>
      <c r="R260" s="7" t="s">
        <v>714</v>
      </c>
      <c r="S260" s="7" t="s">
        <v>714</v>
      </c>
      <c r="T260" s="7" t="s">
        <v>54</v>
      </c>
      <c r="U260" s="7" t="s">
        <v>101</v>
      </c>
      <c r="V260" s="7" t="s">
        <v>308</v>
      </c>
      <c r="W260" s="7" t="s">
        <v>74</v>
      </c>
      <c r="X260" s="7" t="s">
        <v>103</v>
      </c>
      <c r="Y260" s="8">
        <v>45300</v>
      </c>
      <c r="Z260" s="8">
        <v>45565</v>
      </c>
      <c r="AA260" s="7" t="s">
        <v>309</v>
      </c>
      <c r="AB260" s="7" t="s">
        <v>64</v>
      </c>
      <c r="AC260" s="7" t="s">
        <v>79</v>
      </c>
      <c r="AD260" s="7" t="s">
        <v>144</v>
      </c>
      <c r="AE260" s="7" t="s">
        <v>82</v>
      </c>
      <c r="AF260" s="7" t="s">
        <v>0</v>
      </c>
      <c r="AG260" s="7" t="s">
        <v>0</v>
      </c>
      <c r="AH260" s="9" t="s">
        <v>12451</v>
      </c>
      <c r="AI260" s="9" t="s">
        <v>12452</v>
      </c>
      <c r="AJ260" s="9" t="s">
        <v>12453</v>
      </c>
      <c r="AK260" s="7" t="s">
        <v>61</v>
      </c>
      <c r="AL260" s="7" t="s">
        <v>61</v>
      </c>
      <c r="AM260" s="7" t="s">
        <v>0</v>
      </c>
      <c r="AN260" s="7" t="s">
        <v>0</v>
      </c>
      <c r="AO260" s="7" t="s">
        <v>0</v>
      </c>
      <c r="AP260" s="7" t="s">
        <v>0</v>
      </c>
      <c r="AQ260" s="7" t="s">
        <v>61</v>
      </c>
      <c r="AR260" s="7" t="s">
        <v>0</v>
      </c>
      <c r="AS260" s="10" t="str">
        <f>HYPERLINK("https://tessa.gazprom-neft.local/edo/card/b0624be7-46bb-42a2-bf5c-2ab8d1b39c17", "https://tessa.gazprom-neft.local/edo/card/b0624be7-46bb-42a2-bf5c-2ab8d1b39c17")</f>
        <v>https://tessa.gazprom-neft.local/edo/card/b0624be7-46bb-42a2-bf5c-2ab8d1b39c17</v>
      </c>
    </row>
    <row r="261" spans="1:45" x14ac:dyDescent="0.25">
      <c r="A261" s="6" t="s">
        <v>44</v>
      </c>
      <c r="B261" s="7" t="s">
        <v>4951</v>
      </c>
      <c r="C261" s="7" t="s">
        <v>67</v>
      </c>
      <c r="D261" s="8">
        <v>45493</v>
      </c>
      <c r="E261" s="8" t="s">
        <v>0</v>
      </c>
      <c r="F261" s="16" t="s">
        <v>4952</v>
      </c>
      <c r="G261" s="7" t="s">
        <v>2497</v>
      </c>
      <c r="H261" s="7" t="s">
        <v>2856</v>
      </c>
      <c r="I261" s="7" t="s">
        <v>0</v>
      </c>
      <c r="J261" s="7" t="s">
        <v>955</v>
      </c>
      <c r="K261" s="7" t="s">
        <v>85</v>
      </c>
      <c r="L261" s="7" t="s">
        <v>48</v>
      </c>
      <c r="M261" s="7" t="s">
        <v>2373</v>
      </c>
      <c r="N261" s="7" t="s">
        <v>5505</v>
      </c>
      <c r="O261" s="7" t="s">
        <v>0</v>
      </c>
      <c r="P261" s="7" t="s">
        <v>5506</v>
      </c>
      <c r="Q261" s="7" t="s">
        <v>3820</v>
      </c>
      <c r="R261" s="7" t="s">
        <v>393</v>
      </c>
      <c r="S261" s="7" t="s">
        <v>2859</v>
      </c>
      <c r="T261" s="7" t="s">
        <v>54</v>
      </c>
      <c r="U261" s="7" t="s">
        <v>210</v>
      </c>
      <c r="V261" s="7" t="s">
        <v>126</v>
      </c>
      <c r="W261" s="7" t="s">
        <v>57</v>
      </c>
      <c r="X261" s="7" t="s">
        <v>103</v>
      </c>
      <c r="Y261" s="8">
        <v>45493</v>
      </c>
      <c r="Z261" s="8">
        <v>46022</v>
      </c>
      <c r="AA261" s="7" t="s">
        <v>200</v>
      </c>
      <c r="AB261" s="7" t="s">
        <v>130</v>
      </c>
      <c r="AC261" s="7" t="s">
        <v>65</v>
      </c>
      <c r="AD261" s="7" t="s">
        <v>0</v>
      </c>
      <c r="AE261" s="7" t="s">
        <v>0</v>
      </c>
      <c r="AF261" s="7" t="s">
        <v>0</v>
      </c>
      <c r="AG261" s="7" t="s">
        <v>0</v>
      </c>
      <c r="AH261" s="9" t="s">
        <v>0</v>
      </c>
      <c r="AI261" s="9" t="s">
        <v>0</v>
      </c>
      <c r="AJ261" s="9" t="s">
        <v>0</v>
      </c>
      <c r="AK261" s="7" t="s">
        <v>61</v>
      </c>
      <c r="AL261" s="7" t="s">
        <v>61</v>
      </c>
      <c r="AM261" s="7" t="s">
        <v>0</v>
      </c>
      <c r="AN261" s="7" t="s">
        <v>0</v>
      </c>
      <c r="AO261" s="7" t="s">
        <v>0</v>
      </c>
      <c r="AP261" s="7" t="s">
        <v>0</v>
      </c>
      <c r="AQ261" s="7" t="s">
        <v>61</v>
      </c>
      <c r="AR261" s="7" t="s">
        <v>0</v>
      </c>
      <c r="AS261" s="10" t="str">
        <f>HYPERLINK("https://tessa.gazprom-neft.local/edo/card/77a29fa0-9801-4c40-9c4b-acf5cdf01d5e", "https://tessa.gazprom-neft.local/edo/card/77a29fa0-9801-4c40-9c4b-acf5cdf01d5e")</f>
        <v>https://tessa.gazprom-neft.local/edo/card/77a29fa0-9801-4c40-9c4b-acf5cdf01d5e</v>
      </c>
    </row>
    <row r="262" spans="1:45" hidden="1" x14ac:dyDescent="0.25">
      <c r="A262" s="6" t="s">
        <v>44</v>
      </c>
      <c r="B262" s="7" t="s">
        <v>127</v>
      </c>
      <c r="C262" s="7" t="s">
        <v>67</v>
      </c>
      <c r="D262" s="8">
        <v>45492</v>
      </c>
      <c r="E262" s="8" t="s">
        <v>0</v>
      </c>
      <c r="F262" s="16" t="s">
        <v>128</v>
      </c>
      <c r="G262" s="7" t="s">
        <v>129</v>
      </c>
      <c r="H262" s="7" t="s">
        <v>0</v>
      </c>
      <c r="I262" s="7" t="s">
        <v>5273</v>
      </c>
      <c r="J262" s="7" t="s">
        <v>5273</v>
      </c>
      <c r="K262" s="7" t="s">
        <v>47</v>
      </c>
      <c r="L262" s="7" t="s">
        <v>96</v>
      </c>
      <c r="M262" s="7" t="s">
        <v>0</v>
      </c>
      <c r="N262" s="7" t="s">
        <v>5272</v>
      </c>
      <c r="O262" s="7" t="s">
        <v>0</v>
      </c>
      <c r="P262" s="7" t="s">
        <v>5274</v>
      </c>
      <c r="Q262" s="7" t="s">
        <v>5275</v>
      </c>
      <c r="R262" s="7" t="s">
        <v>1139</v>
      </c>
      <c r="S262" s="7" t="s">
        <v>1094</v>
      </c>
      <c r="T262" s="7" t="s">
        <v>54</v>
      </c>
      <c r="U262" s="7" t="s">
        <v>125</v>
      </c>
      <c r="V262" s="7" t="s">
        <v>126</v>
      </c>
      <c r="W262" s="7" t="s">
        <v>57</v>
      </c>
      <c r="X262" s="7" t="s">
        <v>103</v>
      </c>
      <c r="Y262" s="8">
        <v>45495</v>
      </c>
      <c r="Z262" s="8">
        <v>47118</v>
      </c>
      <c r="AA262" s="7" t="s">
        <v>200</v>
      </c>
      <c r="AB262" s="7" t="s">
        <v>130</v>
      </c>
      <c r="AC262" s="7" t="s">
        <v>79</v>
      </c>
      <c r="AD262" s="7" t="s">
        <v>144</v>
      </c>
      <c r="AE262" s="7" t="s">
        <v>82</v>
      </c>
      <c r="AF262" s="7" t="s">
        <v>0</v>
      </c>
      <c r="AG262" s="7" t="s">
        <v>5276</v>
      </c>
      <c r="AH262" s="9" t="s">
        <v>12421</v>
      </c>
      <c r="AI262" s="9" t="s">
        <v>12422</v>
      </c>
      <c r="AJ262" s="9" t="s">
        <v>12423</v>
      </c>
      <c r="AK262" s="7" t="s">
        <v>81</v>
      </c>
      <c r="AL262" s="7" t="s">
        <v>61</v>
      </c>
      <c r="AM262" s="7" t="s">
        <v>0</v>
      </c>
      <c r="AN262" s="7" t="s">
        <v>0</v>
      </c>
      <c r="AO262" s="7" t="s">
        <v>0</v>
      </c>
      <c r="AP262" s="7" t="s">
        <v>0</v>
      </c>
      <c r="AQ262" s="7" t="s">
        <v>81</v>
      </c>
      <c r="AR262" s="7" t="s">
        <v>0</v>
      </c>
      <c r="AS262" s="10" t="str">
        <f>HYPERLINK("https://tessa.gazprom-neft.local/edo/card/f84bc422-8454-49fb-a262-28effdb4b30f", "https://tessa.gazprom-neft.local/edo/card/f84bc422-8454-49fb-a262-28effdb4b30f")</f>
        <v>https://tessa.gazprom-neft.local/edo/card/f84bc422-8454-49fb-a262-28effdb4b30f</v>
      </c>
    </row>
    <row r="263" spans="1:45" hidden="1" x14ac:dyDescent="0.25">
      <c r="A263" s="6" t="s">
        <v>44</v>
      </c>
      <c r="B263" s="7" t="s">
        <v>127</v>
      </c>
      <c r="C263" s="7" t="s">
        <v>67</v>
      </c>
      <c r="D263" s="8">
        <v>45492</v>
      </c>
      <c r="E263" s="8" t="s">
        <v>0</v>
      </c>
      <c r="F263" s="16" t="s">
        <v>128</v>
      </c>
      <c r="G263" s="7" t="s">
        <v>129</v>
      </c>
      <c r="H263" s="7" t="s">
        <v>0</v>
      </c>
      <c r="I263" s="7" t="s">
        <v>5372</v>
      </c>
      <c r="J263" s="7" t="s">
        <v>5372</v>
      </c>
      <c r="K263" s="7" t="s">
        <v>85</v>
      </c>
      <c r="L263" s="7" t="s">
        <v>86</v>
      </c>
      <c r="M263" s="7" t="s">
        <v>216</v>
      </c>
      <c r="N263" s="7" t="s">
        <v>5371</v>
      </c>
      <c r="O263" s="7" t="s">
        <v>0</v>
      </c>
      <c r="P263" s="7" t="s">
        <v>5373</v>
      </c>
      <c r="Q263" s="7" t="s">
        <v>3602</v>
      </c>
      <c r="R263" s="7" t="s">
        <v>1139</v>
      </c>
      <c r="S263" s="7" t="s">
        <v>1094</v>
      </c>
      <c r="T263" s="7" t="s">
        <v>54</v>
      </c>
      <c r="U263" s="7" t="s">
        <v>125</v>
      </c>
      <c r="V263" s="7" t="s">
        <v>308</v>
      </c>
      <c r="W263" s="7" t="s">
        <v>74</v>
      </c>
      <c r="X263" s="7" t="s">
        <v>103</v>
      </c>
      <c r="Y263" s="8">
        <v>45492</v>
      </c>
      <c r="Z263" s="8">
        <v>47118</v>
      </c>
      <c r="AA263" s="7" t="s">
        <v>309</v>
      </c>
      <c r="AB263" s="7" t="s">
        <v>228</v>
      </c>
      <c r="AC263" s="7" t="s">
        <v>65</v>
      </c>
      <c r="AD263" s="7" t="s">
        <v>0</v>
      </c>
      <c r="AE263" s="7" t="s">
        <v>0</v>
      </c>
      <c r="AF263" s="7" t="s">
        <v>0</v>
      </c>
      <c r="AG263" s="7" t="s">
        <v>0</v>
      </c>
      <c r="AH263" s="9" t="s">
        <v>0</v>
      </c>
      <c r="AI263" s="9" t="s">
        <v>0</v>
      </c>
      <c r="AJ263" s="9" t="s">
        <v>0</v>
      </c>
      <c r="AK263" s="7" t="s">
        <v>61</v>
      </c>
      <c r="AL263" s="7" t="s">
        <v>61</v>
      </c>
      <c r="AM263" s="7" t="s">
        <v>0</v>
      </c>
      <c r="AN263" s="7" t="s">
        <v>0</v>
      </c>
      <c r="AO263" s="7" t="s">
        <v>0</v>
      </c>
      <c r="AP263" s="7" t="s">
        <v>0</v>
      </c>
      <c r="AQ263" s="7" t="s">
        <v>61</v>
      </c>
      <c r="AR263" s="7" t="s">
        <v>0</v>
      </c>
      <c r="AS263" s="10" t="str">
        <f>HYPERLINK("https://tessa.gazprom-neft.local/edo/card/fd55a5bc-a31a-4378-8cdf-8867b4f9801f", "https://tessa.gazprom-neft.local/edo/card/fd55a5bc-a31a-4378-8cdf-8867b4f9801f")</f>
        <v>https://tessa.gazprom-neft.local/edo/card/fd55a5bc-a31a-4378-8cdf-8867b4f9801f</v>
      </c>
    </row>
    <row r="264" spans="1:45" x14ac:dyDescent="0.25">
      <c r="A264" s="6" t="s">
        <v>44</v>
      </c>
      <c r="B264" s="7" t="s">
        <v>2495</v>
      </c>
      <c r="C264" s="7" t="s">
        <v>67</v>
      </c>
      <c r="D264" s="8">
        <v>45492</v>
      </c>
      <c r="E264" s="8" t="s">
        <v>0</v>
      </c>
      <c r="F264" s="16" t="s">
        <v>2496</v>
      </c>
      <c r="G264" s="7" t="s">
        <v>2497</v>
      </c>
      <c r="H264" s="7" t="s">
        <v>2856</v>
      </c>
      <c r="I264" s="7" t="s">
        <v>0</v>
      </c>
      <c r="J264" s="7" t="s">
        <v>70</v>
      </c>
      <c r="K264" s="7" t="s">
        <v>47</v>
      </c>
      <c r="L264" s="7" t="s">
        <v>48</v>
      </c>
      <c r="M264" s="7" t="s">
        <v>0</v>
      </c>
      <c r="N264" s="7" t="s">
        <v>5718</v>
      </c>
      <c r="O264" s="7" t="s">
        <v>0</v>
      </c>
      <c r="P264" s="7" t="s">
        <v>5719</v>
      </c>
      <c r="Q264" s="7" t="s">
        <v>5720</v>
      </c>
      <c r="R264" s="7" t="s">
        <v>393</v>
      </c>
      <c r="S264" s="7" t="s">
        <v>2859</v>
      </c>
      <c r="T264" s="7" t="s">
        <v>54</v>
      </c>
      <c r="U264" s="7" t="s">
        <v>210</v>
      </c>
      <c r="V264" s="7" t="s">
        <v>126</v>
      </c>
      <c r="W264" s="7" t="s">
        <v>57</v>
      </c>
      <c r="X264" s="7" t="s">
        <v>103</v>
      </c>
      <c r="Y264" s="8">
        <v>45493</v>
      </c>
      <c r="Z264" s="8">
        <v>45657</v>
      </c>
      <c r="AA264" s="7" t="s">
        <v>200</v>
      </c>
      <c r="AB264" s="7" t="s">
        <v>130</v>
      </c>
      <c r="AC264" s="7" t="s">
        <v>65</v>
      </c>
      <c r="AD264" s="7" t="s">
        <v>0</v>
      </c>
      <c r="AE264" s="7" t="s">
        <v>0</v>
      </c>
      <c r="AF264" s="7" t="s">
        <v>0</v>
      </c>
      <c r="AG264" s="7" t="s">
        <v>0</v>
      </c>
      <c r="AH264" s="9" t="s">
        <v>0</v>
      </c>
      <c r="AI264" s="9" t="s">
        <v>0</v>
      </c>
      <c r="AJ264" s="9" t="s">
        <v>0</v>
      </c>
      <c r="AK264" s="7" t="s">
        <v>61</v>
      </c>
      <c r="AL264" s="7" t="s">
        <v>61</v>
      </c>
      <c r="AM264" s="7" t="s">
        <v>0</v>
      </c>
      <c r="AN264" s="7" t="s">
        <v>0</v>
      </c>
      <c r="AO264" s="7" t="s">
        <v>0</v>
      </c>
      <c r="AP264" s="7" t="s">
        <v>0</v>
      </c>
      <c r="AQ264" s="7" t="s">
        <v>61</v>
      </c>
      <c r="AR264" s="7" t="s">
        <v>0</v>
      </c>
      <c r="AS264" s="10" t="str">
        <f>HYPERLINK("https://tessa.gazprom-neft.local/edo/card/457b3092-7a8b-4eb7-8c53-788112a58647", "https://tessa.gazprom-neft.local/edo/card/457b3092-7a8b-4eb7-8c53-788112a58647")</f>
        <v>https://tessa.gazprom-neft.local/edo/card/457b3092-7a8b-4eb7-8c53-788112a58647</v>
      </c>
    </row>
    <row r="265" spans="1:45" hidden="1" x14ac:dyDescent="0.25">
      <c r="A265" s="6" t="s">
        <v>44</v>
      </c>
      <c r="B265" s="7" t="s">
        <v>275</v>
      </c>
      <c r="C265" s="7" t="s">
        <v>67</v>
      </c>
      <c r="D265" s="8">
        <v>45491</v>
      </c>
      <c r="E265" s="8">
        <v>45498</v>
      </c>
      <c r="F265" s="16" t="s">
        <v>276</v>
      </c>
      <c r="G265" s="7" t="s">
        <v>277</v>
      </c>
      <c r="H265" s="7" t="s">
        <v>4153</v>
      </c>
      <c r="I265" s="7" t="s">
        <v>0</v>
      </c>
      <c r="J265" s="7" t="s">
        <v>355</v>
      </c>
      <c r="K265" s="7" t="s">
        <v>47</v>
      </c>
      <c r="L265" s="7" t="s">
        <v>493</v>
      </c>
      <c r="M265" s="7" t="s">
        <v>0</v>
      </c>
      <c r="N265" s="7" t="s">
        <v>5484</v>
      </c>
      <c r="O265" s="7" t="s">
        <v>0</v>
      </c>
      <c r="P265" s="7" t="s">
        <v>5485</v>
      </c>
      <c r="Q265" s="7" t="s">
        <v>5486</v>
      </c>
      <c r="R265" s="7" t="s">
        <v>4156</v>
      </c>
      <c r="S265" s="7" t="s">
        <v>4156</v>
      </c>
      <c r="T265" s="7" t="s">
        <v>54</v>
      </c>
      <c r="U265" s="7" t="s">
        <v>294</v>
      </c>
      <c r="V265" s="7" t="s">
        <v>295</v>
      </c>
      <c r="W265" s="7" t="s">
        <v>74</v>
      </c>
      <c r="X265" s="7" t="s">
        <v>103</v>
      </c>
      <c r="Y265" s="8">
        <v>45491</v>
      </c>
      <c r="Z265" s="8">
        <v>45535</v>
      </c>
      <c r="AA265" s="7" t="s">
        <v>296</v>
      </c>
      <c r="AB265" s="7" t="s">
        <v>500</v>
      </c>
      <c r="AC265" s="7" t="s">
        <v>79</v>
      </c>
      <c r="AD265" s="7" t="s">
        <v>80</v>
      </c>
      <c r="AE265" s="7" t="s">
        <v>82</v>
      </c>
      <c r="AF265" s="7" t="s">
        <v>0</v>
      </c>
      <c r="AG265" s="7" t="s">
        <v>0</v>
      </c>
      <c r="AH265" s="9" t="s">
        <v>12506</v>
      </c>
      <c r="AI265" s="9" t="s">
        <v>12507</v>
      </c>
      <c r="AJ265" s="9" t="s">
        <v>12508</v>
      </c>
      <c r="AK265" s="7" t="s">
        <v>61</v>
      </c>
      <c r="AL265" s="7" t="s">
        <v>61</v>
      </c>
      <c r="AM265" s="7" t="s">
        <v>0</v>
      </c>
      <c r="AN265" s="7" t="s">
        <v>0</v>
      </c>
      <c r="AO265" s="7" t="s">
        <v>0</v>
      </c>
      <c r="AP265" s="7" t="s">
        <v>0</v>
      </c>
      <c r="AQ265" s="7" t="s">
        <v>61</v>
      </c>
      <c r="AR265" s="7" t="s">
        <v>0</v>
      </c>
      <c r="AS265" s="10" t="str">
        <f>HYPERLINK("https://tessa.gazprom-neft.local/edo/card/24957004-8ccb-44e4-bfae-bdaf9b1d7a1f", "https://tessa.gazprom-neft.local/edo/card/24957004-8ccb-44e4-bfae-bdaf9b1d7a1f")</f>
        <v>https://tessa.gazprom-neft.local/edo/card/24957004-8ccb-44e4-bfae-bdaf9b1d7a1f</v>
      </c>
    </row>
    <row r="266" spans="1:45" hidden="1" x14ac:dyDescent="0.25">
      <c r="A266" s="6" t="s">
        <v>44</v>
      </c>
      <c r="B266" s="7" t="s">
        <v>4911</v>
      </c>
      <c r="C266" s="7" t="s">
        <v>67</v>
      </c>
      <c r="D266" s="8">
        <v>45489</v>
      </c>
      <c r="E266" s="8" t="s">
        <v>0</v>
      </c>
      <c r="F266" s="16" t="s">
        <v>4912</v>
      </c>
      <c r="G266" s="7" t="s">
        <v>4913</v>
      </c>
      <c r="H266" s="7" t="s">
        <v>0</v>
      </c>
      <c r="I266" s="7" t="s">
        <v>4906</v>
      </c>
      <c r="J266" s="7" t="s">
        <v>4906</v>
      </c>
      <c r="K266" s="7" t="s">
        <v>47</v>
      </c>
      <c r="L266" s="7" t="s">
        <v>86</v>
      </c>
      <c r="M266" s="7" t="s">
        <v>0</v>
      </c>
      <c r="N266" s="7" t="s">
        <v>4905</v>
      </c>
      <c r="O266" s="7" t="s">
        <v>0</v>
      </c>
      <c r="P266" s="7" t="s">
        <v>4907</v>
      </c>
      <c r="Q266" s="7" t="s">
        <v>4908</v>
      </c>
      <c r="R266" s="7" t="s">
        <v>4909</v>
      </c>
      <c r="S266" s="7" t="s">
        <v>4910</v>
      </c>
      <c r="T266" s="7" t="s">
        <v>54</v>
      </c>
      <c r="U266" s="7" t="s">
        <v>605</v>
      </c>
      <c r="V266" s="7" t="s">
        <v>340</v>
      </c>
      <c r="W266" s="7" t="s">
        <v>57</v>
      </c>
      <c r="X266" s="7" t="s">
        <v>103</v>
      </c>
      <c r="Y266" s="8">
        <v>45474</v>
      </c>
      <c r="Z266" s="8">
        <v>45657</v>
      </c>
      <c r="AA266" s="7" t="s">
        <v>341</v>
      </c>
      <c r="AB266" s="7" t="s">
        <v>1694</v>
      </c>
      <c r="AC266" s="7" t="s">
        <v>79</v>
      </c>
      <c r="AD266" s="7" t="s">
        <v>80</v>
      </c>
      <c r="AE266" s="7" t="s">
        <v>118</v>
      </c>
      <c r="AF266" s="7" t="s">
        <v>0</v>
      </c>
      <c r="AG266" s="7" t="s">
        <v>0</v>
      </c>
      <c r="AH266" s="9" t="s">
        <v>12261</v>
      </c>
      <c r="AI266" s="9" t="s">
        <v>12261</v>
      </c>
      <c r="AJ266" s="9">
        <v>0</v>
      </c>
      <c r="AK266" s="7" t="s">
        <v>61</v>
      </c>
      <c r="AL266" s="7" t="s">
        <v>61</v>
      </c>
      <c r="AM266" s="7" t="s">
        <v>0</v>
      </c>
      <c r="AN266" s="7" t="s">
        <v>0</v>
      </c>
      <c r="AO266" s="7" t="s">
        <v>0</v>
      </c>
      <c r="AP266" s="7" t="s">
        <v>0</v>
      </c>
      <c r="AQ266" s="7" t="s">
        <v>61</v>
      </c>
      <c r="AR266" s="7" t="s">
        <v>0</v>
      </c>
      <c r="AS266" s="10" t="str">
        <f>HYPERLINK("https://tessa.gazprom-neft.local/edo/card/efe44e70-1be2-44db-94e8-13447ce470a4", "https://tessa.gazprom-neft.local/edo/card/efe44e70-1be2-44db-94e8-13447ce470a4")</f>
        <v>https://tessa.gazprom-neft.local/edo/card/efe44e70-1be2-44db-94e8-13447ce470a4</v>
      </c>
    </row>
    <row r="267" spans="1:45" x14ac:dyDescent="0.25">
      <c r="A267" s="6" t="s">
        <v>44</v>
      </c>
      <c r="B267" s="7" t="s">
        <v>265</v>
      </c>
      <c r="C267" s="7" t="s">
        <v>67</v>
      </c>
      <c r="D267" s="8">
        <v>45489</v>
      </c>
      <c r="E267" s="8">
        <v>45496</v>
      </c>
      <c r="F267" s="16" t="s">
        <v>266</v>
      </c>
      <c r="G267" s="7" t="s">
        <v>267</v>
      </c>
      <c r="H267" s="7" t="s">
        <v>261</v>
      </c>
      <c r="I267" s="7" t="s">
        <v>0</v>
      </c>
      <c r="J267" s="7" t="s">
        <v>538</v>
      </c>
      <c r="K267" s="7" t="s">
        <v>47</v>
      </c>
      <c r="L267" s="7" t="s">
        <v>48</v>
      </c>
      <c r="M267" s="7" t="s">
        <v>0</v>
      </c>
      <c r="N267" s="7" t="s">
        <v>4981</v>
      </c>
      <c r="O267" s="7" t="s">
        <v>0</v>
      </c>
      <c r="P267" s="7" t="s">
        <v>4982</v>
      </c>
      <c r="Q267" s="7" t="s">
        <v>4983</v>
      </c>
      <c r="R267" s="7" t="s">
        <v>124</v>
      </c>
      <c r="S267" s="7" t="s">
        <v>0</v>
      </c>
      <c r="T267" s="7" t="s">
        <v>54</v>
      </c>
      <c r="U267" s="7" t="s">
        <v>125</v>
      </c>
      <c r="V267" s="7" t="s">
        <v>56</v>
      </c>
      <c r="W267" s="7" t="s">
        <v>74</v>
      </c>
      <c r="X267" s="7" t="s">
        <v>103</v>
      </c>
      <c r="Y267" s="8">
        <v>45489</v>
      </c>
      <c r="Z267" s="8">
        <v>46022</v>
      </c>
      <c r="AA267" s="7" t="s">
        <v>59</v>
      </c>
      <c r="AB267" s="7" t="s">
        <v>130</v>
      </c>
      <c r="AC267" s="7" t="s">
        <v>65</v>
      </c>
      <c r="AD267" s="7" t="s">
        <v>80</v>
      </c>
      <c r="AE267" s="7" t="s">
        <v>0</v>
      </c>
      <c r="AF267" s="7" t="s">
        <v>0</v>
      </c>
      <c r="AG267" s="7" t="s">
        <v>0</v>
      </c>
      <c r="AH267" s="9" t="s">
        <v>0</v>
      </c>
      <c r="AI267" s="9" t="s">
        <v>0</v>
      </c>
      <c r="AJ267" s="9" t="s">
        <v>0</v>
      </c>
      <c r="AK267" s="7" t="s">
        <v>61</v>
      </c>
      <c r="AL267" s="7" t="s">
        <v>61</v>
      </c>
      <c r="AM267" s="7" t="s">
        <v>0</v>
      </c>
      <c r="AN267" s="7" t="s">
        <v>0</v>
      </c>
      <c r="AO267" s="7" t="s">
        <v>0</v>
      </c>
      <c r="AP267" s="7" t="s">
        <v>0</v>
      </c>
      <c r="AQ267" s="7" t="s">
        <v>61</v>
      </c>
      <c r="AR267" s="7" t="s">
        <v>0</v>
      </c>
      <c r="AS267" s="10" t="str">
        <f>HYPERLINK("https://tessa.gazprom-neft.local/edo/card/3053682d-d875-4501-a7fd-7c82c29e6fb4", "https://tessa.gazprom-neft.local/edo/card/3053682d-d875-4501-a7fd-7c82c29e6fb4")</f>
        <v>https://tessa.gazprom-neft.local/edo/card/3053682d-d875-4501-a7fd-7c82c29e6fb4</v>
      </c>
    </row>
    <row r="268" spans="1:45" x14ac:dyDescent="0.25">
      <c r="A268" s="6" t="s">
        <v>44</v>
      </c>
      <c r="B268" s="7" t="s">
        <v>705</v>
      </c>
      <c r="C268" s="7" t="s">
        <v>67</v>
      </c>
      <c r="D268" s="8">
        <v>45489</v>
      </c>
      <c r="E268" s="8" t="s">
        <v>0</v>
      </c>
      <c r="F268" s="16" t="s">
        <v>2466</v>
      </c>
      <c r="G268" s="7" t="s">
        <v>707</v>
      </c>
      <c r="H268" s="7" t="s">
        <v>703</v>
      </c>
      <c r="I268" s="7" t="s">
        <v>0</v>
      </c>
      <c r="J268" s="7" t="s">
        <v>156</v>
      </c>
      <c r="K268" s="7" t="s">
        <v>47</v>
      </c>
      <c r="L268" s="7" t="s">
        <v>48</v>
      </c>
      <c r="M268" s="7" t="s">
        <v>0</v>
      </c>
      <c r="N268" s="7" t="s">
        <v>5396</v>
      </c>
      <c r="O268" s="7" t="s">
        <v>0</v>
      </c>
      <c r="P268" s="7" t="s">
        <v>5397</v>
      </c>
      <c r="Q268" s="7" t="s">
        <v>5398</v>
      </c>
      <c r="R268" s="7" t="s">
        <v>282</v>
      </c>
      <c r="S268" s="7" t="s">
        <v>0</v>
      </c>
      <c r="T268" s="7" t="s">
        <v>54</v>
      </c>
      <c r="U268" s="7" t="s">
        <v>55</v>
      </c>
      <c r="V268" s="7" t="s">
        <v>56</v>
      </c>
      <c r="W268" s="7" t="s">
        <v>74</v>
      </c>
      <c r="X268" s="7" t="s">
        <v>103</v>
      </c>
      <c r="Y268" s="8">
        <v>45489</v>
      </c>
      <c r="Z268" s="8">
        <v>46387</v>
      </c>
      <c r="AA268" s="7" t="s">
        <v>0</v>
      </c>
      <c r="AB268" s="7" t="s">
        <v>130</v>
      </c>
      <c r="AC268" s="7" t="s">
        <v>65</v>
      </c>
      <c r="AD268" s="7" t="s">
        <v>144</v>
      </c>
      <c r="AE268" s="7" t="s">
        <v>0</v>
      </c>
      <c r="AF268" s="7" t="s">
        <v>0</v>
      </c>
      <c r="AG268" s="7" t="s">
        <v>0</v>
      </c>
      <c r="AH268" s="9" t="s">
        <v>0</v>
      </c>
      <c r="AI268" s="9" t="s">
        <v>0</v>
      </c>
      <c r="AJ268" s="9" t="s">
        <v>0</v>
      </c>
      <c r="AK268" s="7" t="s">
        <v>61</v>
      </c>
      <c r="AL268" s="7" t="s">
        <v>61</v>
      </c>
      <c r="AM268" s="7" t="s">
        <v>0</v>
      </c>
      <c r="AN268" s="7" t="s">
        <v>0</v>
      </c>
      <c r="AO268" s="7" t="s">
        <v>0</v>
      </c>
      <c r="AP268" s="7" t="s">
        <v>0</v>
      </c>
      <c r="AQ268" s="7" t="s">
        <v>61</v>
      </c>
      <c r="AR268" s="7" t="s">
        <v>0</v>
      </c>
      <c r="AS268" s="10" t="str">
        <f>HYPERLINK("https://tessa.gazprom-neft.local/edo/card/7c49c8b8-e865-4f9c-9921-21968479852a", "https://tessa.gazprom-neft.local/edo/card/7c49c8b8-e865-4f9c-9921-21968479852a")</f>
        <v>https://tessa.gazprom-neft.local/edo/card/7c49c8b8-e865-4f9c-9921-21968479852a</v>
      </c>
    </row>
    <row r="269" spans="1:45" x14ac:dyDescent="0.25">
      <c r="A269" s="6" t="s">
        <v>44</v>
      </c>
      <c r="B269" s="7" t="s">
        <v>885</v>
      </c>
      <c r="C269" s="7" t="s">
        <v>67</v>
      </c>
      <c r="D269" s="8">
        <v>45488</v>
      </c>
      <c r="E269" s="8">
        <v>45488</v>
      </c>
      <c r="F269" s="16" t="s">
        <v>886</v>
      </c>
      <c r="G269" s="7" t="s">
        <v>887</v>
      </c>
      <c r="H269" s="7" t="s">
        <v>2084</v>
      </c>
      <c r="I269" s="7" t="s">
        <v>0</v>
      </c>
      <c r="J269" s="7" t="s">
        <v>955</v>
      </c>
      <c r="K269" s="7" t="s">
        <v>47</v>
      </c>
      <c r="L269" s="7" t="s">
        <v>48</v>
      </c>
      <c r="M269" s="7" t="s">
        <v>0</v>
      </c>
      <c r="N269" s="7" t="s">
        <v>5283</v>
      </c>
      <c r="O269" s="7" t="s">
        <v>0</v>
      </c>
      <c r="P269" s="7" t="s">
        <v>5284</v>
      </c>
      <c r="Q269" s="7" t="s">
        <v>5285</v>
      </c>
      <c r="R269" s="7" t="s">
        <v>938</v>
      </c>
      <c r="S269" s="7" t="s">
        <v>938</v>
      </c>
      <c r="T269" s="7" t="s">
        <v>54</v>
      </c>
      <c r="U269" s="7" t="s">
        <v>605</v>
      </c>
      <c r="V269" s="7" t="s">
        <v>126</v>
      </c>
      <c r="W269" s="7" t="s">
        <v>74</v>
      </c>
      <c r="X269" s="7" t="s">
        <v>103</v>
      </c>
      <c r="Y269" s="8">
        <v>45474</v>
      </c>
      <c r="Z269" s="8">
        <v>46752</v>
      </c>
      <c r="AA269" s="7" t="s">
        <v>200</v>
      </c>
      <c r="AB269" s="7" t="s">
        <v>130</v>
      </c>
      <c r="AC269" s="7" t="s">
        <v>65</v>
      </c>
      <c r="AD269" s="7" t="s">
        <v>0</v>
      </c>
      <c r="AE269" s="7" t="s">
        <v>0</v>
      </c>
      <c r="AF269" s="7" t="s">
        <v>0</v>
      </c>
      <c r="AG269" s="7" t="s">
        <v>0</v>
      </c>
      <c r="AH269" s="9" t="s">
        <v>0</v>
      </c>
      <c r="AI269" s="9" t="s">
        <v>0</v>
      </c>
      <c r="AJ269" s="9" t="s">
        <v>0</v>
      </c>
      <c r="AK269" s="7" t="s">
        <v>61</v>
      </c>
      <c r="AL269" s="7" t="s">
        <v>61</v>
      </c>
      <c r="AM269" s="7" t="s">
        <v>0</v>
      </c>
      <c r="AN269" s="7" t="s">
        <v>0</v>
      </c>
      <c r="AO269" s="7" t="s">
        <v>0</v>
      </c>
      <c r="AP269" s="7" t="s">
        <v>0</v>
      </c>
      <c r="AQ269" s="7" t="s">
        <v>61</v>
      </c>
      <c r="AR269" s="7" t="s">
        <v>0</v>
      </c>
      <c r="AS269" s="10" t="str">
        <f>HYPERLINK("https://tessa.gazprom-neft.local/edo/card/71e9cc65-3a1c-4ed3-9c2a-2f85523aae6c", "https://tessa.gazprom-neft.local/edo/card/71e9cc65-3a1c-4ed3-9c2a-2f85523aae6c")</f>
        <v>https://tessa.gazprom-neft.local/edo/card/71e9cc65-3a1c-4ed3-9c2a-2f85523aae6c</v>
      </c>
    </row>
    <row r="270" spans="1:45" x14ac:dyDescent="0.25">
      <c r="A270" s="6" t="s">
        <v>44</v>
      </c>
      <c r="B270" s="7" t="s">
        <v>715</v>
      </c>
      <c r="C270" s="7" t="s">
        <v>67</v>
      </c>
      <c r="D270" s="8">
        <v>45488</v>
      </c>
      <c r="E270" s="8">
        <v>45495</v>
      </c>
      <c r="F270" s="16" t="s">
        <v>716</v>
      </c>
      <c r="G270" s="7" t="s">
        <v>717</v>
      </c>
      <c r="H270" s="7" t="s">
        <v>710</v>
      </c>
      <c r="I270" s="7" t="s">
        <v>0</v>
      </c>
      <c r="J270" s="7" t="s">
        <v>156</v>
      </c>
      <c r="K270" s="7" t="s">
        <v>47</v>
      </c>
      <c r="L270" s="7" t="s">
        <v>48</v>
      </c>
      <c r="M270" s="7" t="s">
        <v>0</v>
      </c>
      <c r="N270" s="7" t="s">
        <v>5322</v>
      </c>
      <c r="O270" s="7" t="s">
        <v>0</v>
      </c>
      <c r="P270" s="7" t="s">
        <v>5323</v>
      </c>
      <c r="Q270" s="7" t="s">
        <v>5324</v>
      </c>
      <c r="R270" s="7" t="s">
        <v>714</v>
      </c>
      <c r="S270" s="7" t="s">
        <v>714</v>
      </c>
      <c r="T270" s="7" t="s">
        <v>54</v>
      </c>
      <c r="U270" s="7" t="s">
        <v>101</v>
      </c>
      <c r="V270" s="7" t="s">
        <v>308</v>
      </c>
      <c r="W270" s="7" t="s">
        <v>74</v>
      </c>
      <c r="X270" s="7" t="s">
        <v>103</v>
      </c>
      <c r="Y270" s="8">
        <v>45488</v>
      </c>
      <c r="Z270" s="8">
        <v>45657</v>
      </c>
      <c r="AA270" s="7" t="s">
        <v>309</v>
      </c>
      <c r="AB270" s="7" t="s">
        <v>64</v>
      </c>
      <c r="AC270" s="7" t="s">
        <v>65</v>
      </c>
      <c r="AD270" s="7" t="s">
        <v>144</v>
      </c>
      <c r="AE270" s="7" t="s">
        <v>0</v>
      </c>
      <c r="AF270" s="7" t="s">
        <v>0</v>
      </c>
      <c r="AG270" s="7" t="s">
        <v>0</v>
      </c>
      <c r="AH270" s="9" t="s">
        <v>0</v>
      </c>
      <c r="AI270" s="9" t="s">
        <v>0</v>
      </c>
      <c r="AJ270" s="9" t="s">
        <v>0</v>
      </c>
      <c r="AK270" s="7" t="s">
        <v>61</v>
      </c>
      <c r="AL270" s="7" t="s">
        <v>61</v>
      </c>
      <c r="AM270" s="7" t="s">
        <v>0</v>
      </c>
      <c r="AN270" s="7" t="s">
        <v>0</v>
      </c>
      <c r="AO270" s="7" t="s">
        <v>0</v>
      </c>
      <c r="AP270" s="7" t="s">
        <v>0</v>
      </c>
      <c r="AQ270" s="7" t="s">
        <v>61</v>
      </c>
      <c r="AR270" s="7" t="s">
        <v>0</v>
      </c>
      <c r="AS270" s="10" t="str">
        <f>HYPERLINK("https://tessa.gazprom-neft.local/edo/card/4d09e6ac-a527-47c4-aa9c-31f93470ad10", "https://tessa.gazprom-neft.local/edo/card/4d09e6ac-a527-47c4-aa9c-31f93470ad10")</f>
        <v>https://tessa.gazprom-neft.local/edo/card/4d09e6ac-a527-47c4-aa9c-31f93470ad10</v>
      </c>
    </row>
    <row r="271" spans="1:45" x14ac:dyDescent="0.25">
      <c r="A271" s="6" t="s">
        <v>44</v>
      </c>
      <c r="B271" s="7" t="s">
        <v>1101</v>
      </c>
      <c r="C271" s="7" t="s">
        <v>67</v>
      </c>
      <c r="D271" s="8">
        <v>45488</v>
      </c>
      <c r="E271" s="8">
        <v>45498</v>
      </c>
      <c r="F271" s="16" t="s">
        <v>1102</v>
      </c>
      <c r="G271" s="7" t="s">
        <v>1103</v>
      </c>
      <c r="H271" s="7" t="s">
        <v>2522</v>
      </c>
      <c r="I271" s="7" t="s">
        <v>0</v>
      </c>
      <c r="J271" s="7" t="s">
        <v>316</v>
      </c>
      <c r="K271" s="7" t="s">
        <v>47</v>
      </c>
      <c r="L271" s="7" t="s">
        <v>48</v>
      </c>
      <c r="M271" s="7" t="s">
        <v>0</v>
      </c>
      <c r="N271" s="7" t="s">
        <v>5407</v>
      </c>
      <c r="O271" s="7" t="s">
        <v>0</v>
      </c>
      <c r="P271" s="7" t="s">
        <v>5408</v>
      </c>
      <c r="Q271" s="7" t="s">
        <v>5409</v>
      </c>
      <c r="R271" s="7" t="s">
        <v>5410</v>
      </c>
      <c r="S271" s="7" t="s">
        <v>5410</v>
      </c>
      <c r="T271" s="7" t="s">
        <v>54</v>
      </c>
      <c r="U271" s="7" t="s">
        <v>1100</v>
      </c>
      <c r="V271" s="7" t="s">
        <v>91</v>
      </c>
      <c r="W271" s="7" t="s">
        <v>74</v>
      </c>
      <c r="X271" s="7" t="s">
        <v>103</v>
      </c>
      <c r="Y271" s="8">
        <v>45488</v>
      </c>
      <c r="Z271" s="8">
        <v>45657</v>
      </c>
      <c r="AA271" s="7" t="s">
        <v>92</v>
      </c>
      <c r="AB271" s="7" t="s">
        <v>64</v>
      </c>
      <c r="AC271" s="7" t="s">
        <v>79</v>
      </c>
      <c r="AD271" s="7" t="s">
        <v>144</v>
      </c>
      <c r="AE271" s="7" t="s">
        <v>118</v>
      </c>
      <c r="AF271" s="7" t="s">
        <v>0</v>
      </c>
      <c r="AG271" s="7" t="s">
        <v>0</v>
      </c>
      <c r="AH271" s="9" t="s">
        <v>12478</v>
      </c>
      <c r="AI271" s="9" t="s">
        <v>12478</v>
      </c>
      <c r="AJ271" s="9">
        <v>0</v>
      </c>
      <c r="AK271" s="7" t="s">
        <v>61</v>
      </c>
      <c r="AL271" s="7" t="s">
        <v>61</v>
      </c>
      <c r="AM271" s="7" t="s">
        <v>0</v>
      </c>
      <c r="AN271" s="7" t="s">
        <v>0</v>
      </c>
      <c r="AO271" s="7" t="s">
        <v>0</v>
      </c>
      <c r="AP271" s="7" t="s">
        <v>0</v>
      </c>
      <c r="AQ271" s="7" t="s">
        <v>61</v>
      </c>
      <c r="AR271" s="7" t="s">
        <v>0</v>
      </c>
      <c r="AS271" s="10" t="str">
        <f>HYPERLINK("https://tessa.gazprom-neft.local/edo/card/41e4bc13-6eb0-468d-88dd-c40ff5631695", "https://tessa.gazprom-neft.local/edo/card/41e4bc13-6eb0-468d-88dd-c40ff5631695")</f>
        <v>https://tessa.gazprom-neft.local/edo/card/41e4bc13-6eb0-468d-88dd-c40ff5631695</v>
      </c>
    </row>
    <row r="272" spans="1:45" hidden="1" x14ac:dyDescent="0.25">
      <c r="A272" s="6" t="s">
        <v>44</v>
      </c>
      <c r="B272" s="7" t="s">
        <v>5695</v>
      </c>
      <c r="C272" s="7" t="s">
        <v>67</v>
      </c>
      <c r="D272" s="8">
        <v>45488</v>
      </c>
      <c r="E272" s="8" t="s">
        <v>0</v>
      </c>
      <c r="F272" s="16" t="s">
        <v>5696</v>
      </c>
      <c r="G272" s="7" t="s">
        <v>5697</v>
      </c>
      <c r="H272" s="7" t="s">
        <v>0</v>
      </c>
      <c r="I272" s="7" t="s">
        <v>5693</v>
      </c>
      <c r="J272" s="7" t="s">
        <v>5693</v>
      </c>
      <c r="K272" s="7" t="s">
        <v>47</v>
      </c>
      <c r="L272" s="7" t="s">
        <v>86</v>
      </c>
      <c r="M272" s="7" t="s">
        <v>0</v>
      </c>
      <c r="N272" s="7" t="s">
        <v>5692</v>
      </c>
      <c r="O272" s="7" t="s">
        <v>0</v>
      </c>
      <c r="P272" s="7" t="s">
        <v>5153</v>
      </c>
      <c r="Q272" s="7" t="s">
        <v>5694</v>
      </c>
      <c r="R272" s="7" t="s">
        <v>1199</v>
      </c>
      <c r="S272" s="7" t="s">
        <v>1199</v>
      </c>
      <c r="T272" s="7" t="s">
        <v>54</v>
      </c>
      <c r="U272" s="7" t="s">
        <v>605</v>
      </c>
      <c r="V272" s="7" t="s">
        <v>126</v>
      </c>
      <c r="W272" s="7" t="s">
        <v>57</v>
      </c>
      <c r="X272" s="7" t="s">
        <v>103</v>
      </c>
      <c r="Y272" s="8">
        <v>45488</v>
      </c>
      <c r="Z272" s="8">
        <v>46552</v>
      </c>
      <c r="AA272" s="7" t="s">
        <v>0</v>
      </c>
      <c r="AB272" s="7" t="s">
        <v>1203</v>
      </c>
      <c r="AC272" s="7" t="s">
        <v>79</v>
      </c>
      <c r="AD272" s="7" t="s">
        <v>80</v>
      </c>
      <c r="AE272" s="7" t="s">
        <v>82</v>
      </c>
      <c r="AF272" s="7" t="s">
        <v>0</v>
      </c>
      <c r="AG272" s="7" t="s">
        <v>0</v>
      </c>
      <c r="AH272" s="9">
        <v>1.22</v>
      </c>
      <c r="AI272" s="9">
        <v>1.02</v>
      </c>
      <c r="AJ272" s="9">
        <v>0.2</v>
      </c>
      <c r="AK272" s="7" t="s">
        <v>61</v>
      </c>
      <c r="AL272" s="7" t="s">
        <v>61</v>
      </c>
      <c r="AM272" s="7" t="s">
        <v>0</v>
      </c>
      <c r="AN272" s="7" t="s">
        <v>0</v>
      </c>
      <c r="AO272" s="7" t="s">
        <v>0</v>
      </c>
      <c r="AP272" s="7" t="s">
        <v>0</v>
      </c>
      <c r="AQ272" s="7" t="s">
        <v>61</v>
      </c>
      <c r="AR272" s="7" t="s">
        <v>0</v>
      </c>
      <c r="AS272" s="10" t="str">
        <f>HYPERLINK("https://tessa.gazprom-neft.local/edo/card/f808db36-ee67-4b2f-b615-6142711b7705", "https://tessa.gazprom-neft.local/edo/card/f808db36-ee67-4b2f-b615-6142711b7705")</f>
        <v>https://tessa.gazprom-neft.local/edo/card/f808db36-ee67-4b2f-b615-6142711b7705</v>
      </c>
    </row>
    <row r="273" spans="1:45" hidden="1" x14ac:dyDescent="0.25">
      <c r="A273" s="6" t="s">
        <v>44</v>
      </c>
      <c r="B273" s="7" t="s">
        <v>114</v>
      </c>
      <c r="C273" s="7" t="s">
        <v>67</v>
      </c>
      <c r="D273" s="8">
        <v>45484</v>
      </c>
      <c r="E273" s="8" t="s">
        <v>0</v>
      </c>
      <c r="F273" s="16" t="s">
        <v>115</v>
      </c>
      <c r="G273" s="7" t="s">
        <v>116</v>
      </c>
      <c r="H273" s="7" t="s">
        <v>0</v>
      </c>
      <c r="I273" s="7" t="s">
        <v>4927</v>
      </c>
      <c r="J273" s="7" t="s">
        <v>4927</v>
      </c>
      <c r="K273" s="7" t="s">
        <v>47</v>
      </c>
      <c r="L273" s="7" t="s">
        <v>96</v>
      </c>
      <c r="M273" s="7" t="s">
        <v>0</v>
      </c>
      <c r="N273" s="7" t="s">
        <v>4926</v>
      </c>
      <c r="O273" s="7" t="s">
        <v>0</v>
      </c>
      <c r="P273" s="7" t="s">
        <v>117</v>
      </c>
      <c r="Q273" s="7" t="s">
        <v>4449</v>
      </c>
      <c r="R273" s="7" t="s">
        <v>1575</v>
      </c>
      <c r="S273" s="7" t="s">
        <v>1575</v>
      </c>
      <c r="T273" s="7" t="s">
        <v>54</v>
      </c>
      <c r="U273" s="7" t="s">
        <v>222</v>
      </c>
      <c r="V273" s="7" t="s">
        <v>126</v>
      </c>
      <c r="W273" s="7" t="s">
        <v>57</v>
      </c>
      <c r="X273" s="7" t="s">
        <v>103</v>
      </c>
      <c r="Y273" s="8">
        <v>45502</v>
      </c>
      <c r="Z273" s="8">
        <v>45866</v>
      </c>
      <c r="AA273" s="7" t="s">
        <v>200</v>
      </c>
      <c r="AB273" s="7" t="s">
        <v>117</v>
      </c>
      <c r="AC273" s="7" t="s">
        <v>79</v>
      </c>
      <c r="AD273" s="7" t="s">
        <v>80</v>
      </c>
      <c r="AE273" s="7" t="s">
        <v>118</v>
      </c>
      <c r="AF273" s="7" t="s">
        <v>0</v>
      </c>
      <c r="AG273" s="7" t="s">
        <v>0</v>
      </c>
      <c r="AH273" s="9" t="s">
        <v>12067</v>
      </c>
      <c r="AI273" s="9" t="s">
        <v>12067</v>
      </c>
      <c r="AJ273" s="9">
        <v>0</v>
      </c>
      <c r="AK273" s="7" t="s">
        <v>61</v>
      </c>
      <c r="AL273" s="7" t="s">
        <v>61</v>
      </c>
      <c r="AM273" s="7" t="s">
        <v>0</v>
      </c>
      <c r="AN273" s="7" t="s">
        <v>0</v>
      </c>
      <c r="AO273" s="7" t="s">
        <v>0</v>
      </c>
      <c r="AP273" s="7" t="s">
        <v>0</v>
      </c>
      <c r="AQ273" s="7" t="s">
        <v>61</v>
      </c>
      <c r="AR273" s="7" t="s">
        <v>0</v>
      </c>
      <c r="AS273" s="10" t="str">
        <f>HYPERLINK("https://tessa.gazprom-neft.local/edo/card/751a1337-1255-4f4c-b65b-e1017a1555b5", "https://tessa.gazprom-neft.local/edo/card/751a1337-1255-4f4c-b65b-e1017a1555b5")</f>
        <v>https://tessa.gazprom-neft.local/edo/card/751a1337-1255-4f4c-b65b-e1017a1555b5</v>
      </c>
    </row>
    <row r="274" spans="1:45" x14ac:dyDescent="0.25">
      <c r="A274" s="6" t="s">
        <v>44</v>
      </c>
      <c r="B274" s="7" t="s">
        <v>2350</v>
      </c>
      <c r="C274" s="7" t="s">
        <v>67</v>
      </c>
      <c r="D274" s="8">
        <v>45483</v>
      </c>
      <c r="E274" s="8">
        <v>45483</v>
      </c>
      <c r="F274" s="16" t="s">
        <v>2351</v>
      </c>
      <c r="G274" s="7" t="s">
        <v>2352</v>
      </c>
      <c r="H274" s="7" t="s">
        <v>2347</v>
      </c>
      <c r="I274" s="7" t="s">
        <v>0</v>
      </c>
      <c r="J274" s="7" t="s">
        <v>872</v>
      </c>
      <c r="K274" s="7" t="s">
        <v>47</v>
      </c>
      <c r="L274" s="7" t="s">
        <v>48</v>
      </c>
      <c r="M274" s="7" t="s">
        <v>0</v>
      </c>
      <c r="N274" s="7" t="s">
        <v>5300</v>
      </c>
      <c r="O274" s="7" t="s">
        <v>0</v>
      </c>
      <c r="P274" s="7" t="s">
        <v>5301</v>
      </c>
      <c r="Q274" s="7" t="s">
        <v>5302</v>
      </c>
      <c r="R274" s="7" t="s">
        <v>505</v>
      </c>
      <c r="S274" s="7" t="s">
        <v>2349</v>
      </c>
      <c r="T274" s="7" t="s">
        <v>54</v>
      </c>
      <c r="U274" s="7" t="s">
        <v>362</v>
      </c>
      <c r="V274" s="7" t="s">
        <v>295</v>
      </c>
      <c r="W274" s="7" t="s">
        <v>74</v>
      </c>
      <c r="X274" s="7" t="s">
        <v>103</v>
      </c>
      <c r="Y274" s="8">
        <v>45483</v>
      </c>
      <c r="Z274" s="8">
        <v>45657</v>
      </c>
      <c r="AA274" s="7" t="s">
        <v>296</v>
      </c>
      <c r="AB274" s="7" t="s">
        <v>1748</v>
      </c>
      <c r="AC274" s="7" t="s">
        <v>79</v>
      </c>
      <c r="AD274" s="7" t="s">
        <v>514</v>
      </c>
      <c r="AE274" s="7" t="s">
        <v>82</v>
      </c>
      <c r="AF274" s="7" t="s">
        <v>0</v>
      </c>
      <c r="AG274" s="7" t="s">
        <v>0</v>
      </c>
      <c r="AH274" s="9" t="s">
        <v>12442</v>
      </c>
      <c r="AI274" s="9" t="s">
        <v>12443</v>
      </c>
      <c r="AJ274" s="9" t="s">
        <v>12444</v>
      </c>
      <c r="AK274" s="7" t="s">
        <v>61</v>
      </c>
      <c r="AL274" s="7" t="s">
        <v>61</v>
      </c>
      <c r="AM274" s="7" t="s">
        <v>0</v>
      </c>
      <c r="AN274" s="7" t="s">
        <v>0</v>
      </c>
      <c r="AO274" s="7" t="s">
        <v>0</v>
      </c>
      <c r="AP274" s="7" t="s">
        <v>0</v>
      </c>
      <c r="AQ274" s="7" t="s">
        <v>61</v>
      </c>
      <c r="AR274" s="7" t="s">
        <v>0</v>
      </c>
      <c r="AS274" s="10" t="str">
        <f>HYPERLINK("https://tessa.gazprom-neft.local/edo/card/fb98384c-108a-42bb-8363-cf131609b41b", "https://tessa.gazprom-neft.local/edo/card/fb98384c-108a-42bb-8363-cf131609b41b")</f>
        <v>https://tessa.gazprom-neft.local/edo/card/fb98384c-108a-42bb-8363-cf131609b41b</v>
      </c>
    </row>
    <row r="275" spans="1:45" x14ac:dyDescent="0.25">
      <c r="A275" s="6" t="s">
        <v>44</v>
      </c>
      <c r="B275" s="7" t="s">
        <v>234</v>
      </c>
      <c r="C275" s="7" t="s">
        <v>67</v>
      </c>
      <c r="D275" s="8">
        <v>45482</v>
      </c>
      <c r="E275" s="8">
        <v>45492</v>
      </c>
      <c r="F275" s="16" t="s">
        <v>235</v>
      </c>
      <c r="G275" s="7" t="s">
        <v>236</v>
      </c>
      <c r="H275" s="7" t="s">
        <v>2119</v>
      </c>
      <c r="I275" s="7" t="s">
        <v>0</v>
      </c>
      <c r="J275" s="7" t="s">
        <v>355</v>
      </c>
      <c r="K275" s="7" t="s">
        <v>47</v>
      </c>
      <c r="L275" s="7" t="s">
        <v>48</v>
      </c>
      <c r="M275" s="7" t="s">
        <v>0</v>
      </c>
      <c r="N275" s="7" t="s">
        <v>5313</v>
      </c>
      <c r="O275" s="7" t="s">
        <v>0</v>
      </c>
      <c r="P275" s="7" t="s">
        <v>5314</v>
      </c>
      <c r="Q275" s="7" t="s">
        <v>5315</v>
      </c>
      <c r="R275" s="7" t="s">
        <v>233</v>
      </c>
      <c r="S275" s="7" t="s">
        <v>233</v>
      </c>
      <c r="T275" s="7" t="s">
        <v>54</v>
      </c>
      <c r="U275" s="7" t="s">
        <v>55</v>
      </c>
      <c r="V275" s="7" t="s">
        <v>56</v>
      </c>
      <c r="W275" s="7" t="s">
        <v>74</v>
      </c>
      <c r="X275" s="7" t="s">
        <v>103</v>
      </c>
      <c r="Y275" s="8">
        <v>45482</v>
      </c>
      <c r="Z275" s="8">
        <v>45504</v>
      </c>
      <c r="AA275" s="7" t="s">
        <v>59</v>
      </c>
      <c r="AB275" s="7" t="s">
        <v>130</v>
      </c>
      <c r="AC275" s="7" t="s">
        <v>79</v>
      </c>
      <c r="AD275" s="7" t="s">
        <v>80</v>
      </c>
      <c r="AE275" s="7" t="s">
        <v>82</v>
      </c>
      <c r="AF275" s="7" t="s">
        <v>0</v>
      </c>
      <c r="AG275" s="7" t="s">
        <v>0</v>
      </c>
      <c r="AH275" s="9" t="s">
        <v>12448</v>
      </c>
      <c r="AI275" s="9" t="s">
        <v>12449</v>
      </c>
      <c r="AJ275" s="9" t="s">
        <v>12450</v>
      </c>
      <c r="AK275" s="7" t="s">
        <v>61</v>
      </c>
      <c r="AL275" s="7" t="s">
        <v>61</v>
      </c>
      <c r="AM275" s="7" t="s">
        <v>0</v>
      </c>
      <c r="AN275" s="7" t="s">
        <v>0</v>
      </c>
      <c r="AO275" s="7" t="s">
        <v>0</v>
      </c>
      <c r="AP275" s="7" t="s">
        <v>0</v>
      </c>
      <c r="AQ275" s="7" t="s">
        <v>61</v>
      </c>
      <c r="AR275" s="7" t="s">
        <v>0</v>
      </c>
      <c r="AS275" s="10" t="str">
        <f>HYPERLINK("https://tessa.gazprom-neft.local/edo/card/24b274aa-0057-4b45-bc19-a0f9ddc5bfce", "https://tessa.gazprom-neft.local/edo/card/24b274aa-0057-4b45-bc19-a0f9ddc5bfce")</f>
        <v>https://tessa.gazprom-neft.local/edo/card/24b274aa-0057-4b45-bc19-a0f9ddc5bfce</v>
      </c>
    </row>
    <row r="276" spans="1:45" hidden="1" x14ac:dyDescent="0.25">
      <c r="A276" s="6" t="s">
        <v>44</v>
      </c>
      <c r="B276" s="7" t="s">
        <v>2179</v>
      </c>
      <c r="C276" s="7" t="s">
        <v>67</v>
      </c>
      <c r="D276" s="8">
        <v>45481</v>
      </c>
      <c r="E276" s="8" t="s">
        <v>0</v>
      </c>
      <c r="F276" s="16" t="s">
        <v>2180</v>
      </c>
      <c r="G276" s="7" t="s">
        <v>2181</v>
      </c>
      <c r="H276" s="7" t="s">
        <v>2176</v>
      </c>
      <c r="I276" s="7" t="s">
        <v>0</v>
      </c>
      <c r="J276" s="7" t="s">
        <v>156</v>
      </c>
      <c r="K276" s="7" t="s">
        <v>47</v>
      </c>
      <c r="L276" s="7" t="s">
        <v>239</v>
      </c>
      <c r="M276" s="7" t="s">
        <v>0</v>
      </c>
      <c r="N276" s="7" t="s">
        <v>5228</v>
      </c>
      <c r="O276" s="7" t="s">
        <v>0</v>
      </c>
      <c r="P276" s="7" t="s">
        <v>5229</v>
      </c>
      <c r="Q276" s="7" t="s">
        <v>5230</v>
      </c>
      <c r="R276" s="7" t="s">
        <v>2178</v>
      </c>
      <c r="S276" s="7" t="s">
        <v>0</v>
      </c>
      <c r="T276" s="7" t="s">
        <v>54</v>
      </c>
      <c r="U276" s="7" t="s">
        <v>605</v>
      </c>
      <c r="V276" s="7" t="s">
        <v>382</v>
      </c>
      <c r="W276" s="7" t="s">
        <v>57</v>
      </c>
      <c r="X276" s="7" t="s">
        <v>103</v>
      </c>
      <c r="Y276" s="8">
        <v>45481</v>
      </c>
      <c r="Z276" s="8">
        <v>46022</v>
      </c>
      <c r="AA276" s="7" t="s">
        <v>383</v>
      </c>
      <c r="AB276" s="7" t="s">
        <v>130</v>
      </c>
      <c r="AC276" s="7" t="s">
        <v>79</v>
      </c>
      <c r="AD276" s="7" t="s">
        <v>144</v>
      </c>
      <c r="AE276" s="7" t="s">
        <v>82</v>
      </c>
      <c r="AF276" s="7" t="s">
        <v>0</v>
      </c>
      <c r="AG276" s="7" t="s">
        <v>0</v>
      </c>
      <c r="AH276" s="9" t="s">
        <v>12402</v>
      </c>
      <c r="AI276" s="9" t="s">
        <v>12403</v>
      </c>
      <c r="AJ276" s="9" t="s">
        <v>12404</v>
      </c>
      <c r="AK276" s="7" t="s">
        <v>61</v>
      </c>
      <c r="AL276" s="7" t="s">
        <v>61</v>
      </c>
      <c r="AM276" s="7" t="s">
        <v>0</v>
      </c>
      <c r="AN276" s="7" t="s">
        <v>0</v>
      </c>
      <c r="AO276" s="7" t="s">
        <v>0</v>
      </c>
      <c r="AP276" s="7" t="s">
        <v>0</v>
      </c>
      <c r="AQ276" s="7" t="s">
        <v>61</v>
      </c>
      <c r="AR276" s="7" t="s">
        <v>0</v>
      </c>
      <c r="AS276" s="10" t="str">
        <f>HYPERLINK("https://tessa.gazprom-neft.local/edo/card/d07dc310-bba7-49ca-af84-065443bbf6bd", "https://tessa.gazprom-neft.local/edo/card/d07dc310-bba7-49ca-af84-065443bbf6bd")</f>
        <v>https://tessa.gazprom-neft.local/edo/card/d07dc310-bba7-49ca-af84-065443bbf6bd</v>
      </c>
    </row>
    <row r="277" spans="1:45" hidden="1" x14ac:dyDescent="0.25">
      <c r="A277" s="6" t="s">
        <v>44</v>
      </c>
      <c r="B277" s="7" t="s">
        <v>170</v>
      </c>
      <c r="C277" s="7" t="s">
        <v>67</v>
      </c>
      <c r="D277" s="8">
        <v>45481</v>
      </c>
      <c r="E277" s="8">
        <v>45488</v>
      </c>
      <c r="F277" s="16" t="s">
        <v>171</v>
      </c>
      <c r="G277" s="7" t="s">
        <v>172</v>
      </c>
      <c r="H277" s="7" t="s">
        <v>1109</v>
      </c>
      <c r="I277" s="7" t="s">
        <v>0</v>
      </c>
      <c r="J277" s="7" t="s">
        <v>955</v>
      </c>
      <c r="K277" s="7" t="s">
        <v>47</v>
      </c>
      <c r="L277" s="7" t="s">
        <v>239</v>
      </c>
      <c r="M277" s="7" t="s">
        <v>0</v>
      </c>
      <c r="N277" s="7" t="s">
        <v>5266</v>
      </c>
      <c r="O277" s="7" t="s">
        <v>0</v>
      </c>
      <c r="P277" s="7" t="s">
        <v>5267</v>
      </c>
      <c r="Q277" s="7" t="s">
        <v>5268</v>
      </c>
      <c r="R277" s="7" t="s">
        <v>124</v>
      </c>
      <c r="S277" s="7" t="s">
        <v>0</v>
      </c>
      <c r="T277" s="7" t="s">
        <v>54</v>
      </c>
      <c r="U277" s="7" t="s">
        <v>101</v>
      </c>
      <c r="V277" s="7" t="s">
        <v>168</v>
      </c>
      <c r="W277" s="7" t="s">
        <v>74</v>
      </c>
      <c r="X277" s="7" t="s">
        <v>103</v>
      </c>
      <c r="Y277" s="8">
        <v>45481</v>
      </c>
      <c r="Z277" s="8">
        <v>45575</v>
      </c>
      <c r="AA277" s="7" t="s">
        <v>169</v>
      </c>
      <c r="AB277" s="7" t="s">
        <v>64</v>
      </c>
      <c r="AC277" s="7" t="s">
        <v>79</v>
      </c>
      <c r="AD277" s="7" t="s">
        <v>80</v>
      </c>
      <c r="AE277" s="7" t="s">
        <v>82</v>
      </c>
      <c r="AF277" s="7" t="s">
        <v>0</v>
      </c>
      <c r="AG277" s="7" t="s">
        <v>0</v>
      </c>
      <c r="AH277" s="9" t="s">
        <v>12415</v>
      </c>
      <c r="AI277" s="9" t="s">
        <v>12416</v>
      </c>
      <c r="AJ277" s="9" t="s">
        <v>12417</v>
      </c>
      <c r="AK277" s="7" t="s">
        <v>61</v>
      </c>
      <c r="AL277" s="7" t="s">
        <v>61</v>
      </c>
      <c r="AM277" s="7" t="s">
        <v>0</v>
      </c>
      <c r="AN277" s="7" t="s">
        <v>0</v>
      </c>
      <c r="AO277" s="7" t="s">
        <v>0</v>
      </c>
      <c r="AP277" s="7" t="s">
        <v>0</v>
      </c>
      <c r="AQ277" s="7" t="s">
        <v>61</v>
      </c>
      <c r="AR277" s="7" t="s">
        <v>0</v>
      </c>
      <c r="AS277" s="10" t="str">
        <f>HYPERLINK("https://tessa.gazprom-neft.local/edo/card/e6846580-e7a5-4e82-83b9-416b26f14b9b", "https://tessa.gazprom-neft.local/edo/card/e6846580-e7a5-4e82-83b9-416b26f14b9b")</f>
        <v>https://tessa.gazprom-neft.local/edo/card/e6846580-e7a5-4e82-83b9-416b26f14b9b</v>
      </c>
    </row>
    <row r="278" spans="1:45" hidden="1" x14ac:dyDescent="0.25">
      <c r="A278" s="6" t="s">
        <v>44</v>
      </c>
      <c r="B278" s="7" t="s">
        <v>715</v>
      </c>
      <c r="C278" s="7" t="s">
        <v>67</v>
      </c>
      <c r="D278" s="8">
        <v>45480</v>
      </c>
      <c r="E278" s="8">
        <v>45476</v>
      </c>
      <c r="F278" s="16" t="s">
        <v>716</v>
      </c>
      <c r="G278" s="7" t="s">
        <v>717</v>
      </c>
      <c r="H278" s="7" t="s">
        <v>710</v>
      </c>
      <c r="I278" s="7" t="s">
        <v>0</v>
      </c>
      <c r="J278" s="7" t="s">
        <v>271</v>
      </c>
      <c r="K278" s="7" t="s">
        <v>47</v>
      </c>
      <c r="L278" s="7" t="s">
        <v>389</v>
      </c>
      <c r="M278" s="7" t="s">
        <v>0</v>
      </c>
      <c r="N278" s="7" t="s">
        <v>5019</v>
      </c>
      <c r="O278" s="7" t="s">
        <v>712</v>
      </c>
      <c r="P278" s="7" t="s">
        <v>5020</v>
      </c>
      <c r="Q278" s="7" t="s">
        <v>5021</v>
      </c>
      <c r="R278" s="7" t="s">
        <v>714</v>
      </c>
      <c r="S278" s="7" t="s">
        <v>0</v>
      </c>
      <c r="T278" s="7" t="s">
        <v>54</v>
      </c>
      <c r="U278" s="7" t="s">
        <v>101</v>
      </c>
      <c r="V278" s="7" t="s">
        <v>308</v>
      </c>
      <c r="W278" s="7" t="s">
        <v>74</v>
      </c>
      <c r="X278" s="7" t="s">
        <v>103</v>
      </c>
      <c r="Y278" s="8">
        <v>45320</v>
      </c>
      <c r="Z278" s="8">
        <v>45565</v>
      </c>
      <c r="AA278" s="7" t="s">
        <v>309</v>
      </c>
      <c r="AB278" s="7" t="s">
        <v>64</v>
      </c>
      <c r="AC278" s="7" t="s">
        <v>65</v>
      </c>
      <c r="AD278" s="7" t="s">
        <v>144</v>
      </c>
      <c r="AE278" s="7" t="s">
        <v>0</v>
      </c>
      <c r="AF278" s="7" t="s">
        <v>0</v>
      </c>
      <c r="AG278" s="7" t="s">
        <v>0</v>
      </c>
      <c r="AH278" s="9" t="s">
        <v>0</v>
      </c>
      <c r="AI278" s="9" t="s">
        <v>0</v>
      </c>
      <c r="AJ278" s="9" t="s">
        <v>0</v>
      </c>
      <c r="AK278" s="7" t="s">
        <v>61</v>
      </c>
      <c r="AL278" s="7" t="s">
        <v>61</v>
      </c>
      <c r="AM278" s="7" t="s">
        <v>0</v>
      </c>
      <c r="AN278" s="7" t="s">
        <v>0</v>
      </c>
      <c r="AO278" s="7" t="s">
        <v>0</v>
      </c>
      <c r="AP278" s="7" t="s">
        <v>0</v>
      </c>
      <c r="AQ278" s="7" t="s">
        <v>61</v>
      </c>
      <c r="AR278" s="7" t="s">
        <v>0</v>
      </c>
      <c r="AS278" s="10" t="str">
        <f>HYPERLINK("https://tessa.gazprom-neft.local/edo/card/20d27dbb-a280-46a1-8bee-e44441ff49fe", "https://tessa.gazprom-neft.local/edo/card/20d27dbb-a280-46a1-8bee-e44441ff49fe")</f>
        <v>https://tessa.gazprom-neft.local/edo/card/20d27dbb-a280-46a1-8bee-e44441ff49fe</v>
      </c>
    </row>
    <row r="279" spans="1:45" x14ac:dyDescent="0.25">
      <c r="A279" s="6" t="s">
        <v>44</v>
      </c>
      <c r="B279" s="7" t="s">
        <v>1328</v>
      </c>
      <c r="C279" s="7" t="s">
        <v>67</v>
      </c>
      <c r="D279" s="8">
        <v>45478</v>
      </c>
      <c r="E279" s="8" t="s">
        <v>0</v>
      </c>
      <c r="F279" s="16" t="s">
        <v>1329</v>
      </c>
      <c r="G279" s="7" t="s">
        <v>1330</v>
      </c>
      <c r="H279" s="7" t="s">
        <v>3640</v>
      </c>
      <c r="I279" s="7" t="s">
        <v>0</v>
      </c>
      <c r="J279" s="7" t="s">
        <v>156</v>
      </c>
      <c r="K279" s="7" t="s">
        <v>47</v>
      </c>
      <c r="L279" s="7" t="s">
        <v>48</v>
      </c>
      <c r="M279" s="7" t="s">
        <v>0</v>
      </c>
      <c r="N279" s="7" t="s">
        <v>5253</v>
      </c>
      <c r="O279" s="7" t="s">
        <v>0</v>
      </c>
      <c r="P279" s="7" t="s">
        <v>5254</v>
      </c>
      <c r="Q279" s="7" t="s">
        <v>5255</v>
      </c>
      <c r="R279" s="7" t="s">
        <v>393</v>
      </c>
      <c r="S279" s="7" t="s">
        <v>166</v>
      </c>
      <c r="T279" s="7" t="s">
        <v>54</v>
      </c>
      <c r="U279" s="7" t="s">
        <v>283</v>
      </c>
      <c r="V279" s="7" t="s">
        <v>308</v>
      </c>
      <c r="W279" s="7" t="s">
        <v>74</v>
      </c>
      <c r="X279" s="7" t="s">
        <v>103</v>
      </c>
      <c r="Y279" s="8">
        <v>45478</v>
      </c>
      <c r="Z279" s="8">
        <v>46387</v>
      </c>
      <c r="AA279" s="7" t="s">
        <v>309</v>
      </c>
      <c r="AB279" s="7" t="s">
        <v>130</v>
      </c>
      <c r="AC279" s="7" t="s">
        <v>65</v>
      </c>
      <c r="AD279" s="7" t="s">
        <v>80</v>
      </c>
      <c r="AE279" s="7" t="s">
        <v>0</v>
      </c>
      <c r="AF279" s="7" t="s">
        <v>0</v>
      </c>
      <c r="AG279" s="7" t="s">
        <v>4821</v>
      </c>
      <c r="AH279" s="9" t="s">
        <v>0</v>
      </c>
      <c r="AI279" s="9" t="s">
        <v>0</v>
      </c>
      <c r="AJ279" s="9" t="s">
        <v>0</v>
      </c>
      <c r="AK279" s="7" t="s">
        <v>81</v>
      </c>
      <c r="AL279" s="7" t="s">
        <v>61</v>
      </c>
      <c r="AM279" s="7" t="s">
        <v>0</v>
      </c>
      <c r="AN279" s="7" t="s">
        <v>0</v>
      </c>
      <c r="AO279" s="7" t="s">
        <v>0</v>
      </c>
      <c r="AP279" s="7" t="s">
        <v>0</v>
      </c>
      <c r="AQ279" s="7" t="s">
        <v>61</v>
      </c>
      <c r="AR279" s="7" t="s">
        <v>0</v>
      </c>
      <c r="AS279" s="10" t="str">
        <f>HYPERLINK("https://tessa.gazprom-neft.local/edo/card/e065aaf0-3ec1-4d8e-9727-73e55a1510de", "https://tessa.gazprom-neft.local/edo/card/e065aaf0-3ec1-4d8e-9727-73e55a1510de")</f>
        <v>https://tessa.gazprom-neft.local/edo/card/e065aaf0-3ec1-4d8e-9727-73e55a1510de</v>
      </c>
    </row>
    <row r="280" spans="1:45" x14ac:dyDescent="0.25">
      <c r="A280" s="6" t="s">
        <v>44</v>
      </c>
      <c r="B280" s="7" t="s">
        <v>1140</v>
      </c>
      <c r="C280" s="7" t="s">
        <v>67</v>
      </c>
      <c r="D280" s="8">
        <v>45477</v>
      </c>
      <c r="E280" s="8" t="s">
        <v>0</v>
      </c>
      <c r="F280" s="16" t="s">
        <v>1141</v>
      </c>
      <c r="G280" s="7" t="s">
        <v>1142</v>
      </c>
      <c r="H280" s="7" t="s">
        <v>5147</v>
      </c>
      <c r="I280" s="7" t="s">
        <v>0</v>
      </c>
      <c r="J280" s="7" t="s">
        <v>51</v>
      </c>
      <c r="K280" s="7" t="s">
        <v>85</v>
      </c>
      <c r="L280" s="7" t="s">
        <v>48</v>
      </c>
      <c r="M280" s="7" t="s">
        <v>1183</v>
      </c>
      <c r="N280" s="7" t="s">
        <v>5146</v>
      </c>
      <c r="O280" s="7" t="s">
        <v>0</v>
      </c>
      <c r="P280" s="7" t="s">
        <v>1183</v>
      </c>
      <c r="Q280" s="7" t="s">
        <v>1944</v>
      </c>
      <c r="R280" s="7" t="s">
        <v>124</v>
      </c>
      <c r="S280" s="7" t="s">
        <v>0</v>
      </c>
      <c r="T280" s="7" t="s">
        <v>54</v>
      </c>
      <c r="U280" s="7" t="s">
        <v>101</v>
      </c>
      <c r="V280" s="7" t="s">
        <v>168</v>
      </c>
      <c r="W280" s="7" t="s">
        <v>74</v>
      </c>
      <c r="X280" s="7" t="s">
        <v>58</v>
      </c>
      <c r="Y280" s="8">
        <v>45477</v>
      </c>
      <c r="Z280" s="8" t="s">
        <v>0</v>
      </c>
      <c r="AA280" s="7" t="s">
        <v>169</v>
      </c>
      <c r="AB280" s="7" t="s">
        <v>228</v>
      </c>
      <c r="AC280" s="7" t="s">
        <v>65</v>
      </c>
      <c r="AD280" s="7" t="s">
        <v>0</v>
      </c>
      <c r="AE280" s="7" t="s">
        <v>0</v>
      </c>
      <c r="AF280" s="7" t="s">
        <v>0</v>
      </c>
      <c r="AG280" s="7" t="s">
        <v>0</v>
      </c>
      <c r="AH280" s="9" t="s">
        <v>0</v>
      </c>
      <c r="AI280" s="9" t="s">
        <v>0</v>
      </c>
      <c r="AJ280" s="9" t="s">
        <v>0</v>
      </c>
      <c r="AK280" s="7" t="s">
        <v>61</v>
      </c>
      <c r="AL280" s="7" t="s">
        <v>61</v>
      </c>
      <c r="AM280" s="7" t="s">
        <v>0</v>
      </c>
      <c r="AN280" s="7" t="s">
        <v>0</v>
      </c>
      <c r="AO280" s="7" t="s">
        <v>0</v>
      </c>
      <c r="AP280" s="7" t="s">
        <v>0</v>
      </c>
      <c r="AQ280" s="7" t="s">
        <v>61</v>
      </c>
      <c r="AR280" s="7" t="s">
        <v>0</v>
      </c>
      <c r="AS280" s="10" t="str">
        <f>HYPERLINK("https://tessa.gazprom-neft.local/edo/card/dec34dad-a7c8-44b1-89b9-757cd5841964", "https://tessa.gazprom-neft.local/edo/card/dec34dad-a7c8-44b1-89b9-757cd5841964")</f>
        <v>https://tessa.gazprom-neft.local/edo/card/dec34dad-a7c8-44b1-89b9-757cd5841964</v>
      </c>
    </row>
    <row r="281" spans="1:45" hidden="1" x14ac:dyDescent="0.25">
      <c r="A281" s="6" t="s">
        <v>44</v>
      </c>
      <c r="B281" s="7" t="s">
        <v>1240</v>
      </c>
      <c r="C281" s="7" t="s">
        <v>67</v>
      </c>
      <c r="D281" s="8">
        <v>45477</v>
      </c>
      <c r="E281" s="8">
        <v>45489</v>
      </c>
      <c r="F281" s="16" t="s">
        <v>1241</v>
      </c>
      <c r="G281" s="7" t="s">
        <v>1242</v>
      </c>
      <c r="H281" s="7" t="s">
        <v>1237</v>
      </c>
      <c r="I281" s="7" t="s">
        <v>0</v>
      </c>
      <c r="J281" s="7" t="s">
        <v>355</v>
      </c>
      <c r="K281" s="7" t="s">
        <v>47</v>
      </c>
      <c r="L281" s="7" t="s">
        <v>389</v>
      </c>
      <c r="M281" s="7" t="s">
        <v>0</v>
      </c>
      <c r="N281" s="7" t="s">
        <v>5209</v>
      </c>
      <c r="O281" s="7" t="s">
        <v>271</v>
      </c>
      <c r="P281" s="7" t="s">
        <v>5210</v>
      </c>
      <c r="Q281" s="7" t="s">
        <v>5210</v>
      </c>
      <c r="R281" s="7" t="s">
        <v>393</v>
      </c>
      <c r="S281" s="7" t="s">
        <v>1261</v>
      </c>
      <c r="T281" s="7" t="s">
        <v>54</v>
      </c>
      <c r="U281" s="7" t="s">
        <v>222</v>
      </c>
      <c r="V281" s="7" t="s">
        <v>126</v>
      </c>
      <c r="W281" s="7" t="s">
        <v>74</v>
      </c>
      <c r="X281" s="7" t="s">
        <v>103</v>
      </c>
      <c r="Y281" s="8">
        <v>44917</v>
      </c>
      <c r="Z281" s="8">
        <v>45504</v>
      </c>
      <c r="AA281" s="7" t="s">
        <v>200</v>
      </c>
      <c r="AB281" s="7" t="s">
        <v>1243</v>
      </c>
      <c r="AC281" s="7" t="s">
        <v>79</v>
      </c>
      <c r="AD281" s="7" t="s">
        <v>144</v>
      </c>
      <c r="AE281" s="7" t="s">
        <v>82</v>
      </c>
      <c r="AF281" s="7" t="s">
        <v>0</v>
      </c>
      <c r="AG281" s="7" t="s">
        <v>0</v>
      </c>
      <c r="AH281" s="9" t="s">
        <v>12387</v>
      </c>
      <c r="AI281" s="9" t="s">
        <v>12388</v>
      </c>
      <c r="AJ281" s="9" t="s">
        <v>12389</v>
      </c>
      <c r="AK281" s="7" t="s">
        <v>61</v>
      </c>
      <c r="AL281" s="7" t="s">
        <v>61</v>
      </c>
      <c r="AM281" s="7" t="s">
        <v>0</v>
      </c>
      <c r="AN281" s="7" t="s">
        <v>0</v>
      </c>
      <c r="AO281" s="7" t="s">
        <v>0</v>
      </c>
      <c r="AP281" s="7" t="s">
        <v>0</v>
      </c>
      <c r="AQ281" s="7" t="s">
        <v>61</v>
      </c>
      <c r="AR281" s="7" t="s">
        <v>0</v>
      </c>
      <c r="AS281" s="10" t="str">
        <f>HYPERLINK("https://tessa.gazprom-neft.local/edo/card/a9b2a858-fcc4-4591-9624-91b22a1151ff", "https://tessa.gazprom-neft.local/edo/card/a9b2a858-fcc4-4591-9624-91b22a1151ff")</f>
        <v>https://tessa.gazprom-neft.local/edo/card/a9b2a858-fcc4-4591-9624-91b22a1151ff</v>
      </c>
    </row>
    <row r="282" spans="1:45" hidden="1" x14ac:dyDescent="0.25">
      <c r="A282" s="6" t="s">
        <v>44</v>
      </c>
      <c r="B282" s="7" t="s">
        <v>1240</v>
      </c>
      <c r="C282" s="7" t="s">
        <v>67</v>
      </c>
      <c r="D282" s="8">
        <v>45477</v>
      </c>
      <c r="E282" s="8">
        <v>45489</v>
      </c>
      <c r="F282" s="16" t="s">
        <v>1241</v>
      </c>
      <c r="G282" s="7" t="s">
        <v>1242</v>
      </c>
      <c r="H282" s="7" t="s">
        <v>1237</v>
      </c>
      <c r="I282" s="7" t="s">
        <v>0</v>
      </c>
      <c r="J282" s="7" t="s">
        <v>156</v>
      </c>
      <c r="K282" s="7" t="s">
        <v>47</v>
      </c>
      <c r="L282" s="7" t="s">
        <v>389</v>
      </c>
      <c r="M282" s="7" t="s">
        <v>0</v>
      </c>
      <c r="N282" s="7" t="s">
        <v>5220</v>
      </c>
      <c r="O282" s="7" t="s">
        <v>872</v>
      </c>
      <c r="P282" s="7" t="s">
        <v>5221</v>
      </c>
      <c r="Q282" s="7" t="s">
        <v>5221</v>
      </c>
      <c r="R282" s="7" t="s">
        <v>393</v>
      </c>
      <c r="S282" s="7" t="s">
        <v>1261</v>
      </c>
      <c r="T282" s="7" t="s">
        <v>54</v>
      </c>
      <c r="U282" s="7" t="s">
        <v>222</v>
      </c>
      <c r="V282" s="7" t="s">
        <v>126</v>
      </c>
      <c r="W282" s="7" t="s">
        <v>74</v>
      </c>
      <c r="X282" s="7" t="s">
        <v>103</v>
      </c>
      <c r="Y282" s="8">
        <v>45231</v>
      </c>
      <c r="Z282" s="8">
        <v>45504</v>
      </c>
      <c r="AA282" s="7" t="s">
        <v>200</v>
      </c>
      <c r="AB282" s="7" t="s">
        <v>1243</v>
      </c>
      <c r="AC282" s="7" t="s">
        <v>79</v>
      </c>
      <c r="AD282" s="7" t="s">
        <v>144</v>
      </c>
      <c r="AE282" s="7" t="s">
        <v>82</v>
      </c>
      <c r="AF282" s="7" t="s">
        <v>0</v>
      </c>
      <c r="AG282" s="7" t="s">
        <v>0</v>
      </c>
      <c r="AH282" s="9" t="s">
        <v>12396</v>
      </c>
      <c r="AI282" s="9" t="s">
        <v>12397</v>
      </c>
      <c r="AJ282" s="9" t="s">
        <v>12398</v>
      </c>
      <c r="AK282" s="7" t="s">
        <v>61</v>
      </c>
      <c r="AL282" s="7" t="s">
        <v>61</v>
      </c>
      <c r="AM282" s="7" t="s">
        <v>0</v>
      </c>
      <c r="AN282" s="7" t="s">
        <v>0</v>
      </c>
      <c r="AO282" s="7" t="s">
        <v>0</v>
      </c>
      <c r="AP282" s="7" t="s">
        <v>0</v>
      </c>
      <c r="AQ282" s="7" t="s">
        <v>61</v>
      </c>
      <c r="AR282" s="7" t="s">
        <v>0</v>
      </c>
      <c r="AS282" s="10" t="str">
        <f>HYPERLINK("https://tessa.gazprom-neft.local/edo/card/8e51faea-4dc9-47fe-b49b-78f6b954cb86", "https://tessa.gazprom-neft.local/edo/card/8e51faea-4dc9-47fe-b49b-78f6b954cb86")</f>
        <v>https://tessa.gazprom-neft.local/edo/card/8e51faea-4dc9-47fe-b49b-78f6b954cb86</v>
      </c>
    </row>
    <row r="283" spans="1:45" hidden="1" x14ac:dyDescent="0.25">
      <c r="A283" s="6" t="s">
        <v>44</v>
      </c>
      <c r="B283" s="7" t="s">
        <v>1240</v>
      </c>
      <c r="C283" s="7" t="s">
        <v>67</v>
      </c>
      <c r="D283" s="8">
        <v>45476</v>
      </c>
      <c r="E283" s="8">
        <v>45489</v>
      </c>
      <c r="F283" s="16" t="s">
        <v>1241</v>
      </c>
      <c r="G283" s="7" t="s">
        <v>1242</v>
      </c>
      <c r="H283" s="7" t="s">
        <v>3083</v>
      </c>
      <c r="I283" s="7" t="s">
        <v>0</v>
      </c>
      <c r="J283" s="7" t="s">
        <v>872</v>
      </c>
      <c r="K283" s="7" t="s">
        <v>47</v>
      </c>
      <c r="L283" s="7" t="s">
        <v>389</v>
      </c>
      <c r="M283" s="7" t="s">
        <v>0</v>
      </c>
      <c r="N283" s="7" t="s">
        <v>5125</v>
      </c>
      <c r="O283" s="7" t="s">
        <v>51</v>
      </c>
      <c r="P283" s="7" t="s">
        <v>5126</v>
      </c>
      <c r="Q283" s="7" t="s">
        <v>5126</v>
      </c>
      <c r="R283" s="7" t="s">
        <v>393</v>
      </c>
      <c r="S283" s="7" t="s">
        <v>1261</v>
      </c>
      <c r="T283" s="7" t="s">
        <v>54</v>
      </c>
      <c r="U283" s="7" t="s">
        <v>222</v>
      </c>
      <c r="V283" s="7" t="s">
        <v>126</v>
      </c>
      <c r="W283" s="7" t="s">
        <v>74</v>
      </c>
      <c r="X283" s="7" t="s">
        <v>103</v>
      </c>
      <c r="Y283" s="8">
        <v>44708</v>
      </c>
      <c r="Z283" s="8">
        <v>45657</v>
      </c>
      <c r="AA283" s="7" t="s">
        <v>200</v>
      </c>
      <c r="AB283" s="7" t="s">
        <v>1243</v>
      </c>
      <c r="AC283" s="7" t="s">
        <v>79</v>
      </c>
      <c r="AD283" s="7" t="s">
        <v>144</v>
      </c>
      <c r="AE283" s="7" t="s">
        <v>82</v>
      </c>
      <c r="AF283" s="7" t="s">
        <v>0</v>
      </c>
      <c r="AG283" s="7" t="s">
        <v>0</v>
      </c>
      <c r="AH283" s="9" t="s">
        <v>12346</v>
      </c>
      <c r="AI283" s="9" t="s">
        <v>12347</v>
      </c>
      <c r="AJ283" s="9" t="s">
        <v>12348</v>
      </c>
      <c r="AK283" s="7" t="s">
        <v>61</v>
      </c>
      <c r="AL283" s="7" t="s">
        <v>61</v>
      </c>
      <c r="AM283" s="7" t="s">
        <v>0</v>
      </c>
      <c r="AN283" s="7" t="s">
        <v>0</v>
      </c>
      <c r="AO283" s="7" t="s">
        <v>0</v>
      </c>
      <c r="AP283" s="7" t="s">
        <v>0</v>
      </c>
      <c r="AQ283" s="7" t="s">
        <v>61</v>
      </c>
      <c r="AR283" s="7" t="s">
        <v>0</v>
      </c>
      <c r="AS283" s="10" t="str">
        <f>HYPERLINK("https://tessa.gazprom-neft.local/edo/card/aa430c69-4f76-4e4e-b406-24ed18f6ffb4", "https://tessa.gazprom-neft.local/edo/card/aa430c69-4f76-4e4e-b406-24ed18f6ffb4")</f>
        <v>https://tessa.gazprom-neft.local/edo/card/aa430c69-4f76-4e4e-b406-24ed18f6ffb4</v>
      </c>
    </row>
    <row r="284" spans="1:45" hidden="1" x14ac:dyDescent="0.25">
      <c r="A284" s="6" t="s">
        <v>44</v>
      </c>
      <c r="B284" s="7" t="s">
        <v>1240</v>
      </c>
      <c r="C284" s="7" t="s">
        <v>67</v>
      </c>
      <c r="D284" s="8">
        <v>45476</v>
      </c>
      <c r="E284" s="8">
        <v>45489</v>
      </c>
      <c r="F284" s="16" t="s">
        <v>1241</v>
      </c>
      <c r="G284" s="7" t="s">
        <v>1242</v>
      </c>
      <c r="H284" s="7" t="s">
        <v>3083</v>
      </c>
      <c r="I284" s="7" t="s">
        <v>0</v>
      </c>
      <c r="J284" s="7" t="s">
        <v>156</v>
      </c>
      <c r="K284" s="7" t="s">
        <v>47</v>
      </c>
      <c r="L284" s="7" t="s">
        <v>389</v>
      </c>
      <c r="M284" s="7" t="s">
        <v>0</v>
      </c>
      <c r="N284" s="7" t="s">
        <v>5132</v>
      </c>
      <c r="O284" s="7" t="s">
        <v>271</v>
      </c>
      <c r="P284" s="7" t="s">
        <v>5133</v>
      </c>
      <c r="Q284" s="7" t="s">
        <v>5133</v>
      </c>
      <c r="R284" s="7" t="s">
        <v>393</v>
      </c>
      <c r="S284" s="7" t="s">
        <v>1261</v>
      </c>
      <c r="T284" s="7" t="s">
        <v>54</v>
      </c>
      <c r="U284" s="7" t="s">
        <v>222</v>
      </c>
      <c r="V284" s="7" t="s">
        <v>126</v>
      </c>
      <c r="W284" s="7" t="s">
        <v>74</v>
      </c>
      <c r="X284" s="7" t="s">
        <v>103</v>
      </c>
      <c r="Y284" s="8">
        <v>44839</v>
      </c>
      <c r="Z284" s="8">
        <v>45657</v>
      </c>
      <c r="AA284" s="7" t="s">
        <v>200</v>
      </c>
      <c r="AB284" s="7" t="s">
        <v>1243</v>
      </c>
      <c r="AC284" s="7" t="s">
        <v>79</v>
      </c>
      <c r="AD284" s="7" t="s">
        <v>144</v>
      </c>
      <c r="AE284" s="7" t="s">
        <v>82</v>
      </c>
      <c r="AF284" s="7" t="s">
        <v>0</v>
      </c>
      <c r="AG284" s="7" t="s">
        <v>0</v>
      </c>
      <c r="AH284" s="9" t="s">
        <v>12355</v>
      </c>
      <c r="AI284" s="9" t="s">
        <v>12356</v>
      </c>
      <c r="AJ284" s="9" t="s">
        <v>12357</v>
      </c>
      <c r="AK284" s="7" t="s">
        <v>61</v>
      </c>
      <c r="AL284" s="7" t="s">
        <v>61</v>
      </c>
      <c r="AM284" s="7" t="s">
        <v>0</v>
      </c>
      <c r="AN284" s="7" t="s">
        <v>0</v>
      </c>
      <c r="AO284" s="7" t="s">
        <v>0</v>
      </c>
      <c r="AP284" s="7" t="s">
        <v>0</v>
      </c>
      <c r="AQ284" s="7" t="s">
        <v>61</v>
      </c>
      <c r="AR284" s="7" t="s">
        <v>0</v>
      </c>
      <c r="AS284" s="10" t="str">
        <f>HYPERLINK("https://tessa.gazprom-neft.local/edo/card/22e543f8-7778-44e9-a1bf-69e77a5b1bd4", "https://tessa.gazprom-neft.local/edo/card/22e543f8-7778-44e9-a1bf-69e77a5b1bd4")</f>
        <v>https://tessa.gazprom-neft.local/edo/card/22e543f8-7778-44e9-a1bf-69e77a5b1bd4</v>
      </c>
    </row>
    <row r="285" spans="1:45" hidden="1" x14ac:dyDescent="0.25">
      <c r="A285" s="6" t="s">
        <v>44</v>
      </c>
      <c r="B285" s="7" t="s">
        <v>1240</v>
      </c>
      <c r="C285" s="7" t="s">
        <v>67</v>
      </c>
      <c r="D285" s="8">
        <v>45476</v>
      </c>
      <c r="E285" s="8">
        <v>45489</v>
      </c>
      <c r="F285" s="16" t="s">
        <v>1241</v>
      </c>
      <c r="G285" s="7" t="s">
        <v>1242</v>
      </c>
      <c r="H285" s="7" t="s">
        <v>3083</v>
      </c>
      <c r="I285" s="7" t="s">
        <v>0</v>
      </c>
      <c r="J285" s="7" t="s">
        <v>355</v>
      </c>
      <c r="K285" s="7" t="s">
        <v>47</v>
      </c>
      <c r="L285" s="7" t="s">
        <v>389</v>
      </c>
      <c r="M285" s="7" t="s">
        <v>0</v>
      </c>
      <c r="N285" s="7" t="s">
        <v>5140</v>
      </c>
      <c r="O285" s="7" t="s">
        <v>156</v>
      </c>
      <c r="P285" s="7" t="s">
        <v>5141</v>
      </c>
      <c r="Q285" s="7" t="s">
        <v>5141</v>
      </c>
      <c r="R285" s="7" t="s">
        <v>393</v>
      </c>
      <c r="S285" s="7" t="s">
        <v>1261</v>
      </c>
      <c r="T285" s="7" t="s">
        <v>54</v>
      </c>
      <c r="U285" s="7" t="s">
        <v>222</v>
      </c>
      <c r="V285" s="7" t="s">
        <v>126</v>
      </c>
      <c r="W285" s="7" t="s">
        <v>74</v>
      </c>
      <c r="X285" s="7" t="s">
        <v>103</v>
      </c>
      <c r="Y285" s="8">
        <v>45047</v>
      </c>
      <c r="Z285" s="8">
        <v>45657</v>
      </c>
      <c r="AA285" s="7" t="s">
        <v>200</v>
      </c>
      <c r="AB285" s="7" t="s">
        <v>1243</v>
      </c>
      <c r="AC285" s="7" t="s">
        <v>79</v>
      </c>
      <c r="AD285" s="7" t="s">
        <v>144</v>
      </c>
      <c r="AE285" s="7" t="s">
        <v>82</v>
      </c>
      <c r="AF285" s="7" t="s">
        <v>0</v>
      </c>
      <c r="AG285" s="7" t="s">
        <v>0</v>
      </c>
      <c r="AH285" s="9" t="s">
        <v>12362</v>
      </c>
      <c r="AI285" s="9" t="s">
        <v>12363</v>
      </c>
      <c r="AJ285" s="9" t="s">
        <v>12364</v>
      </c>
      <c r="AK285" s="7" t="s">
        <v>61</v>
      </c>
      <c r="AL285" s="7" t="s">
        <v>61</v>
      </c>
      <c r="AM285" s="7" t="s">
        <v>0</v>
      </c>
      <c r="AN285" s="7" t="s">
        <v>0</v>
      </c>
      <c r="AO285" s="7" t="s">
        <v>0</v>
      </c>
      <c r="AP285" s="7" t="s">
        <v>0</v>
      </c>
      <c r="AQ285" s="7" t="s">
        <v>61</v>
      </c>
      <c r="AR285" s="7" t="s">
        <v>0</v>
      </c>
      <c r="AS285" s="10" t="str">
        <f>HYPERLINK("https://tessa.gazprom-neft.local/edo/card/4b79d12f-f645-4667-b623-6524dd1c89dc", "https://tessa.gazprom-neft.local/edo/card/4b79d12f-f645-4667-b623-6524dd1c89dc")</f>
        <v>https://tessa.gazprom-neft.local/edo/card/4b79d12f-f645-4667-b623-6524dd1c89dc</v>
      </c>
    </row>
    <row r="286" spans="1:45" hidden="1" x14ac:dyDescent="0.25">
      <c r="A286" s="6" t="s">
        <v>44</v>
      </c>
      <c r="B286" s="7" t="s">
        <v>1240</v>
      </c>
      <c r="C286" s="7" t="s">
        <v>67</v>
      </c>
      <c r="D286" s="8">
        <v>45476</v>
      </c>
      <c r="E286" s="8">
        <v>45489</v>
      </c>
      <c r="F286" s="16" t="s">
        <v>1241</v>
      </c>
      <c r="G286" s="7" t="s">
        <v>1242</v>
      </c>
      <c r="H286" s="7" t="s">
        <v>3083</v>
      </c>
      <c r="I286" s="7" t="s">
        <v>0</v>
      </c>
      <c r="J286" s="7" t="s">
        <v>51</v>
      </c>
      <c r="K286" s="7" t="s">
        <v>47</v>
      </c>
      <c r="L286" s="7" t="s">
        <v>389</v>
      </c>
      <c r="M286" s="7" t="s">
        <v>0</v>
      </c>
      <c r="N286" s="7" t="s">
        <v>5158</v>
      </c>
      <c r="O286" s="7" t="s">
        <v>355</v>
      </c>
      <c r="P286" s="7" t="s">
        <v>5159</v>
      </c>
      <c r="Q286" s="7" t="s">
        <v>5159</v>
      </c>
      <c r="R286" s="7" t="s">
        <v>393</v>
      </c>
      <c r="S286" s="7" t="s">
        <v>1261</v>
      </c>
      <c r="T286" s="7" t="s">
        <v>54</v>
      </c>
      <c r="U286" s="7" t="s">
        <v>222</v>
      </c>
      <c r="V286" s="7" t="s">
        <v>126</v>
      </c>
      <c r="W286" s="7" t="s">
        <v>74</v>
      </c>
      <c r="X286" s="7" t="s">
        <v>103</v>
      </c>
      <c r="Y286" s="8">
        <v>45047</v>
      </c>
      <c r="Z286" s="8">
        <v>45657</v>
      </c>
      <c r="AA286" s="7" t="s">
        <v>200</v>
      </c>
      <c r="AB286" s="7" t="s">
        <v>1243</v>
      </c>
      <c r="AC286" s="7" t="s">
        <v>79</v>
      </c>
      <c r="AD286" s="7" t="s">
        <v>144</v>
      </c>
      <c r="AE286" s="7" t="s">
        <v>82</v>
      </c>
      <c r="AF286" s="7" t="s">
        <v>0</v>
      </c>
      <c r="AG286" s="7" t="s">
        <v>0</v>
      </c>
      <c r="AH286" s="9" t="s">
        <v>12368</v>
      </c>
      <c r="AI286" s="9" t="s">
        <v>12369</v>
      </c>
      <c r="AJ286" s="9" t="s">
        <v>12370</v>
      </c>
      <c r="AK286" s="7" t="s">
        <v>61</v>
      </c>
      <c r="AL286" s="7" t="s">
        <v>61</v>
      </c>
      <c r="AM286" s="7" t="s">
        <v>0</v>
      </c>
      <c r="AN286" s="7" t="s">
        <v>0</v>
      </c>
      <c r="AO286" s="7" t="s">
        <v>0</v>
      </c>
      <c r="AP286" s="7" t="s">
        <v>0</v>
      </c>
      <c r="AQ286" s="7" t="s">
        <v>61</v>
      </c>
      <c r="AR286" s="7" t="s">
        <v>0</v>
      </c>
      <c r="AS286" s="10" t="str">
        <f>HYPERLINK("https://tessa.gazprom-neft.local/edo/card/5c4c4c97-9f36-45af-8753-23be3b4008c5", "https://tessa.gazprom-neft.local/edo/card/5c4c4c97-9f36-45af-8753-23be3b4008c5")</f>
        <v>https://tessa.gazprom-neft.local/edo/card/5c4c4c97-9f36-45af-8753-23be3b4008c5</v>
      </c>
    </row>
    <row r="287" spans="1:45" hidden="1" x14ac:dyDescent="0.25">
      <c r="A287" s="6" t="s">
        <v>44</v>
      </c>
      <c r="B287" s="7" t="s">
        <v>1240</v>
      </c>
      <c r="C287" s="7" t="s">
        <v>67</v>
      </c>
      <c r="D287" s="8">
        <v>45476</v>
      </c>
      <c r="E287" s="8">
        <v>45489</v>
      </c>
      <c r="F287" s="16" t="s">
        <v>1241</v>
      </c>
      <c r="G287" s="7" t="s">
        <v>1242</v>
      </c>
      <c r="H287" s="7" t="s">
        <v>3083</v>
      </c>
      <c r="I287" s="7" t="s">
        <v>0</v>
      </c>
      <c r="J287" s="7" t="s">
        <v>271</v>
      </c>
      <c r="K287" s="7" t="s">
        <v>47</v>
      </c>
      <c r="L287" s="7" t="s">
        <v>389</v>
      </c>
      <c r="M287" s="7" t="s">
        <v>0</v>
      </c>
      <c r="N287" s="7" t="s">
        <v>5167</v>
      </c>
      <c r="O287" s="7" t="s">
        <v>872</v>
      </c>
      <c r="P287" s="7" t="s">
        <v>5168</v>
      </c>
      <c r="Q287" s="7" t="s">
        <v>5168</v>
      </c>
      <c r="R287" s="7" t="s">
        <v>393</v>
      </c>
      <c r="S287" s="7" t="s">
        <v>1261</v>
      </c>
      <c r="T287" s="7" t="s">
        <v>54</v>
      </c>
      <c r="U287" s="7" t="s">
        <v>222</v>
      </c>
      <c r="V287" s="7" t="s">
        <v>126</v>
      </c>
      <c r="W287" s="7" t="s">
        <v>74</v>
      </c>
      <c r="X287" s="7" t="s">
        <v>103</v>
      </c>
      <c r="Y287" s="8">
        <v>45224</v>
      </c>
      <c r="Z287" s="8">
        <v>45657</v>
      </c>
      <c r="AA287" s="7" t="s">
        <v>200</v>
      </c>
      <c r="AB287" s="7" t="s">
        <v>1243</v>
      </c>
      <c r="AC287" s="7" t="s">
        <v>79</v>
      </c>
      <c r="AD287" s="7" t="s">
        <v>144</v>
      </c>
      <c r="AE287" s="7" t="s">
        <v>82</v>
      </c>
      <c r="AF287" s="7" t="s">
        <v>0</v>
      </c>
      <c r="AG287" s="7" t="s">
        <v>0</v>
      </c>
      <c r="AH287" s="9" t="s">
        <v>12371</v>
      </c>
      <c r="AI287" s="9" t="s">
        <v>12372</v>
      </c>
      <c r="AJ287" s="9" t="s">
        <v>12373</v>
      </c>
      <c r="AK287" s="7" t="s">
        <v>61</v>
      </c>
      <c r="AL287" s="7" t="s">
        <v>61</v>
      </c>
      <c r="AM287" s="7" t="s">
        <v>0</v>
      </c>
      <c r="AN287" s="7" t="s">
        <v>0</v>
      </c>
      <c r="AO287" s="7" t="s">
        <v>0</v>
      </c>
      <c r="AP287" s="7" t="s">
        <v>0</v>
      </c>
      <c r="AQ287" s="7" t="s">
        <v>61</v>
      </c>
      <c r="AR287" s="7" t="s">
        <v>0</v>
      </c>
      <c r="AS287" s="10" t="str">
        <f>HYPERLINK("https://tessa.gazprom-neft.local/edo/card/72f05e86-389a-456f-9611-38d964dbb454", "https://tessa.gazprom-neft.local/edo/card/72f05e86-389a-456f-9611-38d964dbb454")</f>
        <v>https://tessa.gazprom-neft.local/edo/card/72f05e86-389a-456f-9611-38d964dbb454</v>
      </c>
    </row>
    <row r="288" spans="1:45" hidden="1" x14ac:dyDescent="0.25">
      <c r="A288" s="6" t="s">
        <v>44</v>
      </c>
      <c r="B288" s="7" t="s">
        <v>813</v>
      </c>
      <c r="C288" s="7" t="s">
        <v>67</v>
      </c>
      <c r="D288" s="8">
        <v>45475</v>
      </c>
      <c r="E288" s="8">
        <v>45477</v>
      </c>
      <c r="F288" s="16" t="s">
        <v>814</v>
      </c>
      <c r="G288" s="7" t="s">
        <v>815</v>
      </c>
      <c r="H288" s="7" t="s">
        <v>809</v>
      </c>
      <c r="I288" s="7" t="s">
        <v>0</v>
      </c>
      <c r="J288" s="7" t="s">
        <v>4356</v>
      </c>
      <c r="K288" s="7" t="s">
        <v>47</v>
      </c>
      <c r="L288" s="7" t="s">
        <v>709</v>
      </c>
      <c r="M288" s="7" t="s">
        <v>0</v>
      </c>
      <c r="N288" s="7" t="s">
        <v>4829</v>
      </c>
      <c r="O288" s="7" t="s">
        <v>0</v>
      </c>
      <c r="P288" s="7" t="s">
        <v>4830</v>
      </c>
      <c r="Q288" s="7" t="s">
        <v>4830</v>
      </c>
      <c r="R288" s="7" t="s">
        <v>393</v>
      </c>
      <c r="S288" s="7" t="s">
        <v>812</v>
      </c>
      <c r="T288" s="7" t="s">
        <v>54</v>
      </c>
      <c r="U288" s="7" t="s">
        <v>55</v>
      </c>
      <c r="V288" s="7" t="s">
        <v>56</v>
      </c>
      <c r="W288" s="7" t="s">
        <v>74</v>
      </c>
      <c r="X288" s="7" t="s">
        <v>103</v>
      </c>
      <c r="Y288" s="8">
        <v>45475</v>
      </c>
      <c r="Z288" s="8">
        <v>45657</v>
      </c>
      <c r="AA288" s="7" t="s">
        <v>59</v>
      </c>
      <c r="AB288" s="7" t="s">
        <v>256</v>
      </c>
      <c r="AC288" s="7" t="s">
        <v>79</v>
      </c>
      <c r="AD288" s="7" t="s">
        <v>80</v>
      </c>
      <c r="AE288" s="7" t="s">
        <v>82</v>
      </c>
      <c r="AF288" s="7" t="s">
        <v>0</v>
      </c>
      <c r="AG288" s="7" t="s">
        <v>0</v>
      </c>
      <c r="AH288" s="9" t="s">
        <v>12231</v>
      </c>
      <c r="AI288" s="9" t="s">
        <v>12232</v>
      </c>
      <c r="AJ288" s="9" t="s">
        <v>12233</v>
      </c>
      <c r="AK288" s="7" t="s">
        <v>61</v>
      </c>
      <c r="AL288" s="7" t="s">
        <v>61</v>
      </c>
      <c r="AM288" s="7" t="s">
        <v>0</v>
      </c>
      <c r="AN288" s="7" t="s">
        <v>0</v>
      </c>
      <c r="AO288" s="7" t="s">
        <v>0</v>
      </c>
      <c r="AP288" s="7" t="s">
        <v>0</v>
      </c>
      <c r="AQ288" s="7" t="s">
        <v>61</v>
      </c>
      <c r="AR288" s="7" t="s">
        <v>0</v>
      </c>
      <c r="AS288" s="10" t="str">
        <f>HYPERLINK("https://tessa.gazprom-neft.local/edo/card/71e727eb-4c73-4d6e-bd80-b1c735e5471a", "https://tessa.gazprom-neft.local/edo/card/71e727eb-4c73-4d6e-bd80-b1c735e5471a")</f>
        <v>https://tessa.gazprom-neft.local/edo/card/71e727eb-4c73-4d6e-bd80-b1c735e5471a</v>
      </c>
    </row>
    <row r="289" spans="1:45" hidden="1" x14ac:dyDescent="0.25">
      <c r="A289" s="6" t="s">
        <v>44</v>
      </c>
      <c r="B289" s="7" t="s">
        <v>1240</v>
      </c>
      <c r="C289" s="7" t="s">
        <v>67</v>
      </c>
      <c r="D289" s="8">
        <v>45475</v>
      </c>
      <c r="E289" s="8">
        <v>45489</v>
      </c>
      <c r="F289" s="16" t="s">
        <v>1241</v>
      </c>
      <c r="G289" s="7" t="s">
        <v>1242</v>
      </c>
      <c r="H289" s="7" t="s">
        <v>3083</v>
      </c>
      <c r="I289" s="7" t="s">
        <v>0</v>
      </c>
      <c r="J289" s="7" t="s">
        <v>70</v>
      </c>
      <c r="K289" s="7" t="s">
        <v>47</v>
      </c>
      <c r="L289" s="7" t="s">
        <v>239</v>
      </c>
      <c r="M289" s="7" t="s">
        <v>0</v>
      </c>
      <c r="N289" s="7" t="s">
        <v>5186</v>
      </c>
      <c r="O289" s="7" t="s">
        <v>0</v>
      </c>
      <c r="P289" s="7" t="s">
        <v>5187</v>
      </c>
      <c r="Q289" s="7" t="s">
        <v>5187</v>
      </c>
      <c r="R289" s="7" t="s">
        <v>393</v>
      </c>
      <c r="S289" s="7" t="s">
        <v>1261</v>
      </c>
      <c r="T289" s="7" t="s">
        <v>54</v>
      </c>
      <c r="U289" s="7" t="s">
        <v>222</v>
      </c>
      <c r="V289" s="7" t="s">
        <v>126</v>
      </c>
      <c r="W289" s="7" t="s">
        <v>74</v>
      </c>
      <c r="X289" s="7" t="s">
        <v>103</v>
      </c>
      <c r="Y289" s="8">
        <v>45109</v>
      </c>
      <c r="Z289" s="8">
        <v>45535</v>
      </c>
      <c r="AA289" s="7" t="s">
        <v>200</v>
      </c>
      <c r="AB289" s="7" t="s">
        <v>1243</v>
      </c>
      <c r="AC289" s="7" t="s">
        <v>79</v>
      </c>
      <c r="AD289" s="7" t="s">
        <v>144</v>
      </c>
      <c r="AE289" s="7" t="s">
        <v>82</v>
      </c>
      <c r="AF289" s="7" t="s">
        <v>0</v>
      </c>
      <c r="AG289" s="7" t="s">
        <v>0</v>
      </c>
      <c r="AH289" s="9" t="s">
        <v>12380</v>
      </c>
      <c r="AI289" s="9" t="s">
        <v>12381</v>
      </c>
      <c r="AJ289" s="9" t="s">
        <v>12382</v>
      </c>
      <c r="AK289" s="7" t="s">
        <v>61</v>
      </c>
      <c r="AL289" s="7" t="s">
        <v>61</v>
      </c>
      <c r="AM289" s="7" t="s">
        <v>0</v>
      </c>
      <c r="AN289" s="7" t="s">
        <v>0</v>
      </c>
      <c r="AO289" s="7" t="s">
        <v>0</v>
      </c>
      <c r="AP289" s="7" t="s">
        <v>0</v>
      </c>
      <c r="AQ289" s="7" t="s">
        <v>61</v>
      </c>
      <c r="AR289" s="7" t="s">
        <v>0</v>
      </c>
      <c r="AS289" s="10" t="str">
        <f>HYPERLINK("https://tessa.gazprom-neft.local/edo/card/2dd78731-dc91-46e6-90fb-97c5ec80810b", "https://tessa.gazprom-neft.local/edo/card/2dd78731-dc91-46e6-90fb-97c5ec80810b")</f>
        <v>https://tessa.gazprom-neft.local/edo/card/2dd78731-dc91-46e6-90fb-97c5ec80810b</v>
      </c>
    </row>
    <row r="290" spans="1:45" hidden="1" x14ac:dyDescent="0.25">
      <c r="A290" s="6" t="s">
        <v>44</v>
      </c>
      <c r="B290" s="7" t="s">
        <v>715</v>
      </c>
      <c r="C290" s="7" t="s">
        <v>67</v>
      </c>
      <c r="D290" s="8">
        <v>45474</v>
      </c>
      <c r="E290" s="8">
        <v>45446</v>
      </c>
      <c r="F290" s="16" t="s">
        <v>716</v>
      </c>
      <c r="G290" s="7" t="s">
        <v>717</v>
      </c>
      <c r="H290" s="7" t="s">
        <v>710</v>
      </c>
      <c r="I290" s="7" t="s">
        <v>0</v>
      </c>
      <c r="J290" s="7" t="s">
        <v>2508</v>
      </c>
      <c r="K290" s="7" t="s">
        <v>47</v>
      </c>
      <c r="L290" s="7" t="s">
        <v>239</v>
      </c>
      <c r="M290" s="7" t="s">
        <v>0</v>
      </c>
      <c r="N290" s="7" t="s">
        <v>4347</v>
      </c>
      <c r="O290" s="7" t="s">
        <v>0</v>
      </c>
      <c r="P290" s="7" t="s">
        <v>4348</v>
      </c>
      <c r="Q290" s="7" t="s">
        <v>4349</v>
      </c>
      <c r="R290" s="7" t="s">
        <v>714</v>
      </c>
      <c r="S290" s="7" t="s">
        <v>714</v>
      </c>
      <c r="T290" s="7" t="s">
        <v>54</v>
      </c>
      <c r="U290" s="7" t="s">
        <v>101</v>
      </c>
      <c r="V290" s="7" t="s">
        <v>308</v>
      </c>
      <c r="W290" s="7" t="s">
        <v>74</v>
      </c>
      <c r="X290" s="7" t="s">
        <v>103</v>
      </c>
      <c r="Y290" s="8">
        <v>45474</v>
      </c>
      <c r="Z290" s="8">
        <v>45535</v>
      </c>
      <c r="AA290" s="7" t="s">
        <v>309</v>
      </c>
      <c r="AB290" s="7" t="s">
        <v>64</v>
      </c>
      <c r="AC290" s="7" t="s">
        <v>79</v>
      </c>
      <c r="AD290" s="7" t="s">
        <v>144</v>
      </c>
      <c r="AE290" s="7" t="s">
        <v>82</v>
      </c>
      <c r="AF290" s="7" t="s">
        <v>0</v>
      </c>
      <c r="AG290" s="7" t="s">
        <v>0</v>
      </c>
      <c r="AH290" s="9" t="s">
        <v>12029</v>
      </c>
      <c r="AI290" s="9" t="s">
        <v>12030</v>
      </c>
      <c r="AJ290" s="9" t="s">
        <v>12031</v>
      </c>
      <c r="AK290" s="7" t="s">
        <v>61</v>
      </c>
      <c r="AL290" s="7" t="s">
        <v>61</v>
      </c>
      <c r="AM290" s="7" t="s">
        <v>0</v>
      </c>
      <c r="AN290" s="7" t="s">
        <v>0</v>
      </c>
      <c r="AO290" s="7" t="s">
        <v>0</v>
      </c>
      <c r="AP290" s="7" t="s">
        <v>0</v>
      </c>
      <c r="AQ290" s="7" t="s">
        <v>61</v>
      </c>
      <c r="AR290" s="7" t="s">
        <v>0</v>
      </c>
      <c r="AS290" s="10" t="str">
        <f>HYPERLINK("https://tessa.gazprom-neft.local/edo/card/2f78d9d5-a2fb-4032-910f-d99d06311d4c", "https://tessa.gazprom-neft.local/edo/card/2f78d9d5-a2fb-4032-910f-d99d06311d4c")</f>
        <v>https://tessa.gazprom-neft.local/edo/card/2f78d9d5-a2fb-4032-910f-d99d06311d4c</v>
      </c>
    </row>
    <row r="291" spans="1:45" hidden="1" x14ac:dyDescent="0.25">
      <c r="A291" s="6" t="s">
        <v>44</v>
      </c>
      <c r="B291" s="7" t="s">
        <v>715</v>
      </c>
      <c r="C291" s="7" t="s">
        <v>67</v>
      </c>
      <c r="D291" s="8">
        <v>45474</v>
      </c>
      <c r="E291" s="8">
        <v>45446</v>
      </c>
      <c r="F291" s="16" t="s">
        <v>716</v>
      </c>
      <c r="G291" s="7" t="s">
        <v>717</v>
      </c>
      <c r="H291" s="7" t="s">
        <v>710</v>
      </c>
      <c r="I291" s="7" t="s">
        <v>0</v>
      </c>
      <c r="J291" s="7" t="s">
        <v>4356</v>
      </c>
      <c r="K291" s="7" t="s">
        <v>47</v>
      </c>
      <c r="L291" s="7" t="s">
        <v>239</v>
      </c>
      <c r="M291" s="7" t="s">
        <v>0</v>
      </c>
      <c r="N291" s="7" t="s">
        <v>4354</v>
      </c>
      <c r="O291" s="7" t="s">
        <v>0</v>
      </c>
      <c r="P291" s="7" t="s">
        <v>4355</v>
      </c>
      <c r="Q291" s="7" t="s">
        <v>4357</v>
      </c>
      <c r="R291" s="7" t="s">
        <v>714</v>
      </c>
      <c r="S291" s="7" t="s">
        <v>714</v>
      </c>
      <c r="T291" s="7" t="s">
        <v>54</v>
      </c>
      <c r="U291" s="7" t="s">
        <v>101</v>
      </c>
      <c r="V291" s="7" t="s">
        <v>308</v>
      </c>
      <c r="W291" s="7" t="s">
        <v>74</v>
      </c>
      <c r="X291" s="7" t="s">
        <v>103</v>
      </c>
      <c r="Y291" s="8">
        <v>45474</v>
      </c>
      <c r="Z291" s="8">
        <v>45535</v>
      </c>
      <c r="AA291" s="7" t="s">
        <v>309</v>
      </c>
      <c r="AB291" s="7" t="s">
        <v>64</v>
      </c>
      <c r="AC291" s="7" t="s">
        <v>79</v>
      </c>
      <c r="AD291" s="7" t="s">
        <v>144</v>
      </c>
      <c r="AE291" s="7" t="s">
        <v>82</v>
      </c>
      <c r="AF291" s="7" t="s">
        <v>0</v>
      </c>
      <c r="AG291" s="7" t="s">
        <v>0</v>
      </c>
      <c r="AH291" s="9" t="s">
        <v>12035</v>
      </c>
      <c r="AI291" s="9" t="s">
        <v>12036</v>
      </c>
      <c r="AJ291" s="9" t="s">
        <v>12037</v>
      </c>
      <c r="AK291" s="7" t="s">
        <v>61</v>
      </c>
      <c r="AL291" s="7" t="s">
        <v>61</v>
      </c>
      <c r="AM291" s="7" t="s">
        <v>0</v>
      </c>
      <c r="AN291" s="7" t="s">
        <v>0</v>
      </c>
      <c r="AO291" s="7" t="s">
        <v>0</v>
      </c>
      <c r="AP291" s="7" t="s">
        <v>0</v>
      </c>
      <c r="AQ291" s="7" t="s">
        <v>61</v>
      </c>
      <c r="AR291" s="7" t="s">
        <v>0</v>
      </c>
      <c r="AS291" s="10" t="str">
        <f>HYPERLINK("https://tessa.gazprom-neft.local/edo/card/4d7f76b8-0ca2-4dbc-ab4c-dabcca7e3425", "https://tessa.gazprom-neft.local/edo/card/4d7f76b8-0ca2-4dbc-ab4c-dabcca7e3425")</f>
        <v>https://tessa.gazprom-neft.local/edo/card/4d7f76b8-0ca2-4dbc-ab4c-dabcca7e3425</v>
      </c>
    </row>
    <row r="292" spans="1:45" hidden="1" x14ac:dyDescent="0.25">
      <c r="A292" s="6" t="s">
        <v>44</v>
      </c>
      <c r="B292" s="7" t="s">
        <v>1950</v>
      </c>
      <c r="C292" s="7" t="s">
        <v>67</v>
      </c>
      <c r="D292" s="8">
        <v>45474</v>
      </c>
      <c r="E292" s="8">
        <v>45478</v>
      </c>
      <c r="F292" s="16" t="s">
        <v>1951</v>
      </c>
      <c r="G292" s="7" t="s">
        <v>1952</v>
      </c>
      <c r="H292" s="7" t="s">
        <v>1947</v>
      </c>
      <c r="I292" s="7" t="s">
        <v>0</v>
      </c>
      <c r="J292" s="7" t="s">
        <v>51</v>
      </c>
      <c r="K292" s="7" t="s">
        <v>47</v>
      </c>
      <c r="L292" s="7" t="s">
        <v>389</v>
      </c>
      <c r="M292" s="7" t="s">
        <v>0</v>
      </c>
      <c r="N292" s="7" t="s">
        <v>4472</v>
      </c>
      <c r="O292" s="7" t="s">
        <v>1098</v>
      </c>
      <c r="P292" s="7" t="s">
        <v>4473</v>
      </c>
      <c r="Q292" s="7" t="s">
        <v>4474</v>
      </c>
      <c r="R292" s="7" t="s">
        <v>1711</v>
      </c>
      <c r="S292" s="7" t="s">
        <v>1711</v>
      </c>
      <c r="T292" s="7" t="s">
        <v>54</v>
      </c>
      <c r="U292" s="7" t="s">
        <v>605</v>
      </c>
      <c r="V292" s="7" t="s">
        <v>126</v>
      </c>
      <c r="W292" s="7" t="s">
        <v>74</v>
      </c>
      <c r="X292" s="7" t="s">
        <v>103</v>
      </c>
      <c r="Y292" s="8">
        <v>45376</v>
      </c>
      <c r="Z292" s="8">
        <v>45533</v>
      </c>
      <c r="AA292" s="7" t="s">
        <v>200</v>
      </c>
      <c r="AB292" s="7" t="s">
        <v>1893</v>
      </c>
      <c r="AC292" s="7" t="s">
        <v>79</v>
      </c>
      <c r="AD292" s="7" t="s">
        <v>144</v>
      </c>
      <c r="AE292" s="7" t="s">
        <v>118</v>
      </c>
      <c r="AF292" s="7" t="s">
        <v>0</v>
      </c>
      <c r="AG292" s="7" t="s">
        <v>0</v>
      </c>
      <c r="AH292" s="9" t="s">
        <v>12083</v>
      </c>
      <c r="AI292" s="9" t="s">
        <v>12083</v>
      </c>
      <c r="AJ292" s="9">
        <v>0</v>
      </c>
      <c r="AK292" s="7" t="s">
        <v>61</v>
      </c>
      <c r="AL292" s="7" t="s">
        <v>61</v>
      </c>
      <c r="AM292" s="7" t="s">
        <v>0</v>
      </c>
      <c r="AN292" s="7" t="s">
        <v>0</v>
      </c>
      <c r="AO292" s="7" t="s">
        <v>0</v>
      </c>
      <c r="AP292" s="7" t="s">
        <v>0</v>
      </c>
      <c r="AQ292" s="7" t="s">
        <v>61</v>
      </c>
      <c r="AR292" s="7" t="s">
        <v>0</v>
      </c>
      <c r="AS292" s="10" t="str">
        <f>HYPERLINK("https://tessa.gazprom-neft.local/edo/card/3ea5cb5e-e90c-477d-9cf0-83070a37db55", "https://tessa.gazprom-neft.local/edo/card/3ea5cb5e-e90c-477d-9cf0-83070a37db55")</f>
        <v>https://tessa.gazprom-neft.local/edo/card/3ea5cb5e-e90c-477d-9cf0-83070a37db55</v>
      </c>
    </row>
    <row r="293" spans="1:45" hidden="1" x14ac:dyDescent="0.25">
      <c r="A293" s="6" t="s">
        <v>44</v>
      </c>
      <c r="B293" s="7" t="s">
        <v>687</v>
      </c>
      <c r="C293" s="7" t="s">
        <v>67</v>
      </c>
      <c r="D293" s="8">
        <v>45474</v>
      </c>
      <c r="E293" s="8" t="s">
        <v>0</v>
      </c>
      <c r="F293" s="16" t="s">
        <v>688</v>
      </c>
      <c r="G293" s="7" t="s">
        <v>689</v>
      </c>
      <c r="H293" s="7" t="s">
        <v>0</v>
      </c>
      <c r="I293" s="7" t="s">
        <v>5092</v>
      </c>
      <c r="J293" s="7" t="s">
        <v>5092</v>
      </c>
      <c r="K293" s="7" t="s">
        <v>85</v>
      </c>
      <c r="L293" s="7" t="s">
        <v>86</v>
      </c>
      <c r="M293" s="7" t="s">
        <v>289</v>
      </c>
      <c r="N293" s="7" t="s">
        <v>5091</v>
      </c>
      <c r="O293" s="7" t="s">
        <v>0</v>
      </c>
      <c r="P293" s="7" t="s">
        <v>289</v>
      </c>
      <c r="Q293" s="7" t="s">
        <v>3729</v>
      </c>
      <c r="R293" s="7" t="s">
        <v>198</v>
      </c>
      <c r="S293" s="7" t="s">
        <v>198</v>
      </c>
      <c r="T293" s="7" t="s">
        <v>54</v>
      </c>
      <c r="U293" s="7" t="s">
        <v>199</v>
      </c>
      <c r="V293" s="7" t="s">
        <v>126</v>
      </c>
      <c r="W293" s="7" t="s">
        <v>74</v>
      </c>
      <c r="X293" s="7" t="s">
        <v>58</v>
      </c>
      <c r="Y293" s="8">
        <v>45474</v>
      </c>
      <c r="Z293" s="8" t="s">
        <v>0</v>
      </c>
      <c r="AA293" s="7" t="s">
        <v>200</v>
      </c>
      <c r="AB293" s="7" t="s">
        <v>300</v>
      </c>
      <c r="AC293" s="7" t="s">
        <v>65</v>
      </c>
      <c r="AD293" s="7" t="s">
        <v>0</v>
      </c>
      <c r="AE293" s="7" t="s">
        <v>0</v>
      </c>
      <c r="AF293" s="7" t="s">
        <v>0</v>
      </c>
      <c r="AG293" s="7" t="s">
        <v>0</v>
      </c>
      <c r="AH293" s="9" t="s">
        <v>0</v>
      </c>
      <c r="AI293" s="9" t="s">
        <v>0</v>
      </c>
      <c r="AJ293" s="9" t="s">
        <v>0</v>
      </c>
      <c r="AK293" s="7" t="s">
        <v>61</v>
      </c>
      <c r="AL293" s="7" t="s">
        <v>61</v>
      </c>
      <c r="AM293" s="7" t="s">
        <v>0</v>
      </c>
      <c r="AN293" s="7" t="s">
        <v>0</v>
      </c>
      <c r="AO293" s="7" t="s">
        <v>0</v>
      </c>
      <c r="AP293" s="7" t="s">
        <v>0</v>
      </c>
      <c r="AQ293" s="7" t="s">
        <v>61</v>
      </c>
      <c r="AR293" s="7" t="s">
        <v>0</v>
      </c>
      <c r="AS293" s="10" t="str">
        <f>HYPERLINK("https://tessa.gazprom-neft.local/edo/card/bca78c02-be4b-4545-94fe-d13960605817", "https://tessa.gazprom-neft.local/edo/card/bca78c02-be4b-4545-94fe-d13960605817")</f>
        <v>https://tessa.gazprom-neft.local/edo/card/bca78c02-be4b-4545-94fe-d13960605817</v>
      </c>
    </row>
    <row r="294" spans="1:45" hidden="1" x14ac:dyDescent="0.25">
      <c r="A294" s="6" t="s">
        <v>44</v>
      </c>
      <c r="B294" s="7" t="s">
        <v>265</v>
      </c>
      <c r="C294" s="7" t="s">
        <v>67</v>
      </c>
      <c r="D294" s="8">
        <v>45474</v>
      </c>
      <c r="E294" s="8" t="s">
        <v>0</v>
      </c>
      <c r="F294" s="16" t="s">
        <v>266</v>
      </c>
      <c r="G294" s="7" t="s">
        <v>267</v>
      </c>
      <c r="H294" s="7" t="s">
        <v>0</v>
      </c>
      <c r="I294" s="7" t="s">
        <v>5105</v>
      </c>
      <c r="J294" s="7" t="s">
        <v>5105</v>
      </c>
      <c r="K294" s="7" t="s">
        <v>85</v>
      </c>
      <c r="L294" s="7" t="s">
        <v>86</v>
      </c>
      <c r="M294" s="7" t="s">
        <v>289</v>
      </c>
      <c r="N294" s="7" t="s">
        <v>5104</v>
      </c>
      <c r="O294" s="7" t="s">
        <v>0</v>
      </c>
      <c r="P294" s="7" t="s">
        <v>289</v>
      </c>
      <c r="Q294" s="7" t="s">
        <v>3729</v>
      </c>
      <c r="R294" s="7" t="s">
        <v>198</v>
      </c>
      <c r="S294" s="7" t="s">
        <v>198</v>
      </c>
      <c r="T294" s="7" t="s">
        <v>54</v>
      </c>
      <c r="U294" s="7" t="s">
        <v>199</v>
      </c>
      <c r="V294" s="7" t="s">
        <v>126</v>
      </c>
      <c r="W294" s="7" t="s">
        <v>74</v>
      </c>
      <c r="X294" s="7" t="s">
        <v>58</v>
      </c>
      <c r="Y294" s="8">
        <v>45474</v>
      </c>
      <c r="Z294" s="8" t="s">
        <v>0</v>
      </c>
      <c r="AA294" s="7" t="s">
        <v>200</v>
      </c>
      <c r="AB294" s="7" t="s">
        <v>300</v>
      </c>
      <c r="AC294" s="7" t="s">
        <v>65</v>
      </c>
      <c r="AD294" s="7" t="s">
        <v>0</v>
      </c>
      <c r="AE294" s="7" t="s">
        <v>0</v>
      </c>
      <c r="AF294" s="7" t="s">
        <v>0</v>
      </c>
      <c r="AG294" s="7" t="s">
        <v>0</v>
      </c>
      <c r="AH294" s="9" t="s">
        <v>0</v>
      </c>
      <c r="AI294" s="9" t="s">
        <v>0</v>
      </c>
      <c r="AJ294" s="9" t="s">
        <v>0</v>
      </c>
      <c r="AK294" s="7" t="s">
        <v>61</v>
      </c>
      <c r="AL294" s="7" t="s">
        <v>61</v>
      </c>
      <c r="AM294" s="7" t="s">
        <v>0</v>
      </c>
      <c r="AN294" s="7" t="s">
        <v>0</v>
      </c>
      <c r="AO294" s="7" t="s">
        <v>0</v>
      </c>
      <c r="AP294" s="7" t="s">
        <v>0</v>
      </c>
      <c r="AQ294" s="7" t="s">
        <v>61</v>
      </c>
      <c r="AR294" s="7" t="s">
        <v>0</v>
      </c>
      <c r="AS294" s="10" t="str">
        <f>HYPERLINK("https://tessa.gazprom-neft.local/edo/card/03ce037a-40d6-48ce-b99e-55824d1b4426", "https://tessa.gazprom-neft.local/edo/card/03ce037a-40d6-48ce-b99e-55824d1b4426")</f>
        <v>https://tessa.gazprom-neft.local/edo/card/03ce037a-40d6-48ce-b99e-55824d1b4426</v>
      </c>
    </row>
    <row r="295" spans="1:45" hidden="1" x14ac:dyDescent="0.25">
      <c r="A295" s="6" t="s">
        <v>44</v>
      </c>
      <c r="B295" s="7" t="s">
        <v>213</v>
      </c>
      <c r="C295" s="7" t="s">
        <v>67</v>
      </c>
      <c r="D295" s="8">
        <v>45474</v>
      </c>
      <c r="E295" s="8">
        <v>45490</v>
      </c>
      <c r="F295" s="16" t="s">
        <v>214</v>
      </c>
      <c r="G295" s="7" t="s">
        <v>215</v>
      </c>
      <c r="H295" s="7" t="s">
        <v>0</v>
      </c>
      <c r="I295" s="7" t="s">
        <v>5179</v>
      </c>
      <c r="J295" s="7" t="s">
        <v>5179</v>
      </c>
      <c r="K295" s="7" t="s">
        <v>85</v>
      </c>
      <c r="L295" s="7" t="s">
        <v>86</v>
      </c>
      <c r="M295" s="7" t="s">
        <v>289</v>
      </c>
      <c r="N295" s="7" t="s">
        <v>5178</v>
      </c>
      <c r="O295" s="7" t="s">
        <v>0</v>
      </c>
      <c r="P295" s="7" t="s">
        <v>289</v>
      </c>
      <c r="Q295" s="7" t="s">
        <v>3729</v>
      </c>
      <c r="R295" s="7" t="s">
        <v>198</v>
      </c>
      <c r="S295" s="7" t="s">
        <v>198</v>
      </c>
      <c r="T295" s="7" t="s">
        <v>54</v>
      </c>
      <c r="U295" s="7" t="s">
        <v>199</v>
      </c>
      <c r="V295" s="7" t="s">
        <v>126</v>
      </c>
      <c r="W295" s="7" t="s">
        <v>74</v>
      </c>
      <c r="X295" s="7" t="s">
        <v>58</v>
      </c>
      <c r="Y295" s="8">
        <v>45474</v>
      </c>
      <c r="Z295" s="8" t="s">
        <v>0</v>
      </c>
      <c r="AA295" s="7" t="s">
        <v>200</v>
      </c>
      <c r="AB295" s="7" t="s">
        <v>300</v>
      </c>
      <c r="AC295" s="7" t="s">
        <v>65</v>
      </c>
      <c r="AD295" s="7" t="s">
        <v>0</v>
      </c>
      <c r="AE295" s="7" t="s">
        <v>0</v>
      </c>
      <c r="AF295" s="7" t="s">
        <v>0</v>
      </c>
      <c r="AG295" s="7" t="s">
        <v>0</v>
      </c>
      <c r="AH295" s="9" t="s">
        <v>0</v>
      </c>
      <c r="AI295" s="9" t="s">
        <v>0</v>
      </c>
      <c r="AJ295" s="9" t="s">
        <v>0</v>
      </c>
      <c r="AK295" s="7" t="s">
        <v>61</v>
      </c>
      <c r="AL295" s="7" t="s">
        <v>61</v>
      </c>
      <c r="AM295" s="7" t="s">
        <v>0</v>
      </c>
      <c r="AN295" s="7" t="s">
        <v>0</v>
      </c>
      <c r="AO295" s="7" t="s">
        <v>0</v>
      </c>
      <c r="AP295" s="7" t="s">
        <v>0</v>
      </c>
      <c r="AQ295" s="7" t="s">
        <v>61</v>
      </c>
      <c r="AR295" s="7" t="s">
        <v>0</v>
      </c>
      <c r="AS295" s="10" t="str">
        <f>HYPERLINK("https://tessa.gazprom-neft.local/edo/card/3fd4b646-3a03-475d-8207-dc8839d151f5", "https://tessa.gazprom-neft.local/edo/card/3fd4b646-3a03-475d-8207-dc8839d151f5")</f>
        <v>https://tessa.gazprom-neft.local/edo/card/3fd4b646-3a03-475d-8207-dc8839d151f5</v>
      </c>
    </row>
    <row r="296" spans="1:45" hidden="1" x14ac:dyDescent="0.25">
      <c r="A296" s="6" t="s">
        <v>44</v>
      </c>
      <c r="B296" s="7" t="s">
        <v>1495</v>
      </c>
      <c r="C296" s="7" t="s">
        <v>67</v>
      </c>
      <c r="D296" s="8">
        <v>45474</v>
      </c>
      <c r="E296" s="8">
        <v>45498</v>
      </c>
      <c r="F296" s="16" t="s">
        <v>1496</v>
      </c>
      <c r="G296" s="7" t="s">
        <v>1497</v>
      </c>
      <c r="H296" s="7" t="s">
        <v>0</v>
      </c>
      <c r="I296" s="7" t="s">
        <v>5455</v>
      </c>
      <c r="J296" s="7" t="s">
        <v>5455</v>
      </c>
      <c r="K296" s="7" t="s">
        <v>85</v>
      </c>
      <c r="L296" s="7" t="s">
        <v>86</v>
      </c>
      <c r="M296" s="7" t="s">
        <v>289</v>
      </c>
      <c r="N296" s="7" t="s">
        <v>5454</v>
      </c>
      <c r="O296" s="7" t="s">
        <v>0</v>
      </c>
      <c r="P296" s="7" t="s">
        <v>289</v>
      </c>
      <c r="Q296" s="7" t="s">
        <v>941</v>
      </c>
      <c r="R296" s="7" t="s">
        <v>5423</v>
      </c>
      <c r="S296" s="7" t="s">
        <v>5423</v>
      </c>
      <c r="T296" s="7" t="s">
        <v>54</v>
      </c>
      <c r="U296" s="7" t="s">
        <v>199</v>
      </c>
      <c r="V296" s="7" t="s">
        <v>340</v>
      </c>
      <c r="W296" s="7" t="s">
        <v>74</v>
      </c>
      <c r="X296" s="7" t="s">
        <v>58</v>
      </c>
      <c r="Y296" s="8">
        <v>45474</v>
      </c>
      <c r="Z296" s="8" t="s">
        <v>0</v>
      </c>
      <c r="AA296" s="7" t="s">
        <v>341</v>
      </c>
      <c r="AB296" s="7" t="s">
        <v>300</v>
      </c>
      <c r="AC296" s="7" t="s">
        <v>65</v>
      </c>
      <c r="AD296" s="7" t="s">
        <v>80</v>
      </c>
      <c r="AE296" s="7" t="s">
        <v>0</v>
      </c>
      <c r="AF296" s="7" t="s">
        <v>0</v>
      </c>
      <c r="AG296" s="7" t="s">
        <v>0</v>
      </c>
      <c r="AH296" s="9" t="s">
        <v>0</v>
      </c>
      <c r="AI296" s="9" t="s">
        <v>0</v>
      </c>
      <c r="AJ296" s="9" t="s">
        <v>0</v>
      </c>
      <c r="AK296" s="7" t="s">
        <v>61</v>
      </c>
      <c r="AL296" s="7" t="s">
        <v>61</v>
      </c>
      <c r="AM296" s="7" t="s">
        <v>0</v>
      </c>
      <c r="AN296" s="7" t="s">
        <v>0</v>
      </c>
      <c r="AO296" s="7" t="s">
        <v>0</v>
      </c>
      <c r="AP296" s="7" t="s">
        <v>0</v>
      </c>
      <c r="AQ296" s="7" t="s">
        <v>61</v>
      </c>
      <c r="AR296" s="7" t="s">
        <v>0</v>
      </c>
      <c r="AS296" s="10" t="str">
        <f>HYPERLINK("https://tessa.gazprom-neft.local/edo/card/5da75c68-1e64-453b-b87e-bbd1855d8ec4", "https://tessa.gazprom-neft.local/edo/card/5da75c68-1e64-453b-b87e-bbd1855d8ec4")</f>
        <v>https://tessa.gazprom-neft.local/edo/card/5da75c68-1e64-453b-b87e-bbd1855d8ec4</v>
      </c>
    </row>
    <row r="297" spans="1:45" hidden="1" x14ac:dyDescent="0.25">
      <c r="A297" s="6" t="s">
        <v>44</v>
      </c>
      <c r="B297" s="7" t="s">
        <v>3273</v>
      </c>
      <c r="C297" s="7" t="s">
        <v>67</v>
      </c>
      <c r="D297" s="8">
        <v>45474</v>
      </c>
      <c r="E297" s="8">
        <v>45503</v>
      </c>
      <c r="F297" s="16" t="s">
        <v>5541</v>
      </c>
      <c r="G297" s="7" t="s">
        <v>3275</v>
      </c>
      <c r="H297" s="7" t="s">
        <v>0</v>
      </c>
      <c r="I297" s="7" t="s">
        <v>5539</v>
      </c>
      <c r="J297" s="7" t="s">
        <v>5539</v>
      </c>
      <c r="K297" s="7" t="s">
        <v>85</v>
      </c>
      <c r="L297" s="7" t="s">
        <v>86</v>
      </c>
      <c r="M297" s="7" t="s">
        <v>289</v>
      </c>
      <c r="N297" s="7" t="s">
        <v>5538</v>
      </c>
      <c r="O297" s="7" t="s">
        <v>0</v>
      </c>
      <c r="P297" s="7" t="s">
        <v>289</v>
      </c>
      <c r="Q297" s="7" t="s">
        <v>5540</v>
      </c>
      <c r="R297" s="7" t="s">
        <v>5423</v>
      </c>
      <c r="S297" s="7" t="s">
        <v>0</v>
      </c>
      <c r="T297" s="7" t="s">
        <v>54</v>
      </c>
      <c r="U297" s="7" t="s">
        <v>199</v>
      </c>
      <c r="V297" s="7" t="s">
        <v>340</v>
      </c>
      <c r="W297" s="7" t="s">
        <v>74</v>
      </c>
      <c r="X297" s="7" t="s">
        <v>58</v>
      </c>
      <c r="Y297" s="8">
        <v>45474</v>
      </c>
      <c r="Z297" s="8" t="s">
        <v>0</v>
      </c>
      <c r="AA297" s="7" t="s">
        <v>341</v>
      </c>
      <c r="AB297" s="7" t="s">
        <v>300</v>
      </c>
      <c r="AC297" s="7" t="s">
        <v>65</v>
      </c>
      <c r="AD297" s="7" t="s">
        <v>0</v>
      </c>
      <c r="AE297" s="7" t="s">
        <v>0</v>
      </c>
      <c r="AF297" s="7" t="s">
        <v>0</v>
      </c>
      <c r="AG297" s="7" t="s">
        <v>0</v>
      </c>
      <c r="AH297" s="9" t="s">
        <v>0</v>
      </c>
      <c r="AI297" s="9" t="s">
        <v>0</v>
      </c>
      <c r="AJ297" s="9" t="s">
        <v>0</v>
      </c>
      <c r="AK297" s="7" t="s">
        <v>61</v>
      </c>
      <c r="AL297" s="7" t="s">
        <v>61</v>
      </c>
      <c r="AM297" s="7" t="s">
        <v>0</v>
      </c>
      <c r="AN297" s="7" t="s">
        <v>0</v>
      </c>
      <c r="AO297" s="7" t="s">
        <v>0</v>
      </c>
      <c r="AP297" s="7" t="s">
        <v>0</v>
      </c>
      <c r="AQ297" s="7" t="s">
        <v>61</v>
      </c>
      <c r="AR297" s="7" t="s">
        <v>0</v>
      </c>
      <c r="AS297" s="10" t="str">
        <f>HYPERLINK("https://tessa.gazprom-neft.local/edo/card/35f5001e-e38d-4ac5-bc07-e4dcc02d6e7b", "https://tessa.gazprom-neft.local/edo/card/35f5001e-e38d-4ac5-bc07-e4dcc02d6e7b")</f>
        <v>https://tessa.gazprom-neft.local/edo/card/35f5001e-e38d-4ac5-bc07-e4dcc02d6e7b</v>
      </c>
    </row>
    <row r="298" spans="1:45" x14ac:dyDescent="0.25">
      <c r="A298" s="6" t="s">
        <v>44</v>
      </c>
      <c r="B298" s="7" t="s">
        <v>1623</v>
      </c>
      <c r="C298" s="7" t="s">
        <v>492</v>
      </c>
      <c r="D298" s="8">
        <v>45474</v>
      </c>
      <c r="E298" s="8" t="s">
        <v>0</v>
      </c>
      <c r="F298" s="16" t="s">
        <v>1624</v>
      </c>
      <c r="G298" s="7" t="s">
        <v>1625</v>
      </c>
      <c r="H298" s="7" t="s">
        <v>1621</v>
      </c>
      <c r="I298" s="7" t="s">
        <v>0</v>
      </c>
      <c r="J298" s="7" t="s">
        <v>156</v>
      </c>
      <c r="K298" s="7" t="s">
        <v>47</v>
      </c>
      <c r="L298" s="7" t="s">
        <v>48</v>
      </c>
      <c r="M298" s="7" t="s">
        <v>0</v>
      </c>
      <c r="N298" s="7" t="s">
        <v>6524</v>
      </c>
      <c r="O298" s="7" t="s">
        <v>0</v>
      </c>
      <c r="P298" s="7" t="s">
        <v>1474</v>
      </c>
      <c r="Q298" s="7" t="s">
        <v>6525</v>
      </c>
      <c r="R298" s="7" t="s">
        <v>244</v>
      </c>
      <c r="S298" s="7" t="s">
        <v>0</v>
      </c>
      <c r="T298" s="7" t="s">
        <v>54</v>
      </c>
      <c r="U298" s="7" t="s">
        <v>55</v>
      </c>
      <c r="V298" s="7" t="s">
        <v>56</v>
      </c>
      <c r="W298" s="7" t="s">
        <v>74</v>
      </c>
      <c r="X298" s="7" t="s">
        <v>103</v>
      </c>
      <c r="Y298" s="8">
        <v>45474</v>
      </c>
      <c r="Z298" s="8">
        <v>45657</v>
      </c>
      <c r="AA298" s="7" t="s">
        <v>6414</v>
      </c>
      <c r="AB298" s="7" t="s">
        <v>256</v>
      </c>
      <c r="AC298" s="7" t="s">
        <v>79</v>
      </c>
      <c r="AD298" s="7" t="s">
        <v>144</v>
      </c>
      <c r="AE298" s="7" t="s">
        <v>82</v>
      </c>
      <c r="AF298" s="7" t="s">
        <v>0</v>
      </c>
      <c r="AG298" s="7" t="s">
        <v>0</v>
      </c>
      <c r="AH298" s="9" t="s">
        <v>11070</v>
      </c>
      <c r="AI298" s="9" t="s">
        <v>12877</v>
      </c>
      <c r="AJ298" s="9" t="s">
        <v>12878</v>
      </c>
      <c r="AK298" s="7" t="s">
        <v>61</v>
      </c>
      <c r="AL298" s="7" t="s">
        <v>61</v>
      </c>
      <c r="AM298" s="7" t="s">
        <v>0</v>
      </c>
      <c r="AN298" s="7" t="s">
        <v>0</v>
      </c>
      <c r="AO298" s="7" t="s">
        <v>0</v>
      </c>
      <c r="AP298" s="7" t="s">
        <v>0</v>
      </c>
      <c r="AQ298" s="7" t="s">
        <v>61</v>
      </c>
      <c r="AR298" s="7" t="s">
        <v>0</v>
      </c>
      <c r="AS298" s="10" t="str">
        <f>HYPERLINK("https://tessa.gazprom-neft.local/edo/card/c199a4ff-1f79-4311-8757-40f5103f0085", "https://tessa.gazprom-neft.local/edo/card/c199a4ff-1f79-4311-8757-40f5103f0085")</f>
        <v>https://tessa.gazprom-neft.local/edo/card/c199a4ff-1f79-4311-8757-40f5103f0085</v>
      </c>
    </row>
    <row r="299" spans="1:45" x14ac:dyDescent="0.25">
      <c r="A299" s="6" t="s">
        <v>44</v>
      </c>
      <c r="B299" s="7" t="s">
        <v>4864</v>
      </c>
      <c r="C299" s="7" t="s">
        <v>67</v>
      </c>
      <c r="D299" s="8">
        <v>45471</v>
      </c>
      <c r="E299" s="8" t="s">
        <v>0</v>
      </c>
      <c r="F299" s="16" t="s">
        <v>4865</v>
      </c>
      <c r="G299" s="7" t="s">
        <v>4866</v>
      </c>
      <c r="H299" s="7" t="s">
        <v>5062</v>
      </c>
      <c r="I299" s="7" t="s">
        <v>0</v>
      </c>
      <c r="J299" s="7" t="s">
        <v>51</v>
      </c>
      <c r="K299" s="7" t="s">
        <v>47</v>
      </c>
      <c r="L299" s="7" t="s">
        <v>48</v>
      </c>
      <c r="M299" s="7" t="s">
        <v>0</v>
      </c>
      <c r="N299" s="7" t="s">
        <v>5061</v>
      </c>
      <c r="O299" s="7" t="s">
        <v>0</v>
      </c>
      <c r="P299" s="7" t="s">
        <v>5063</v>
      </c>
      <c r="Q299" s="7" t="s">
        <v>5064</v>
      </c>
      <c r="R299" s="7" t="s">
        <v>338</v>
      </c>
      <c r="S299" s="7" t="s">
        <v>5065</v>
      </c>
      <c r="T299" s="7" t="s">
        <v>54</v>
      </c>
      <c r="U299" s="7" t="s">
        <v>1012</v>
      </c>
      <c r="V299" s="7" t="s">
        <v>137</v>
      </c>
      <c r="W299" s="7" t="s">
        <v>57</v>
      </c>
      <c r="X299" s="7" t="s">
        <v>103</v>
      </c>
      <c r="Y299" s="8">
        <v>45471</v>
      </c>
      <c r="Z299" s="8">
        <v>45471</v>
      </c>
      <c r="AA299" s="7" t="s">
        <v>0</v>
      </c>
      <c r="AB299" s="7" t="s">
        <v>192</v>
      </c>
      <c r="AC299" s="7" t="s">
        <v>65</v>
      </c>
      <c r="AD299" s="7" t="s">
        <v>0</v>
      </c>
      <c r="AE299" s="7" t="s">
        <v>0</v>
      </c>
      <c r="AF299" s="7" t="s">
        <v>0</v>
      </c>
      <c r="AG299" s="7" t="s">
        <v>0</v>
      </c>
      <c r="AH299" s="9" t="s">
        <v>0</v>
      </c>
      <c r="AI299" s="9" t="s">
        <v>0</v>
      </c>
      <c r="AJ299" s="9" t="s">
        <v>0</v>
      </c>
      <c r="AK299" s="7" t="s">
        <v>61</v>
      </c>
      <c r="AL299" s="7" t="s">
        <v>61</v>
      </c>
      <c r="AM299" s="7" t="s">
        <v>0</v>
      </c>
      <c r="AN299" s="7" t="s">
        <v>0</v>
      </c>
      <c r="AO299" s="7" t="s">
        <v>0</v>
      </c>
      <c r="AP299" s="7" t="s">
        <v>0</v>
      </c>
      <c r="AQ299" s="7" t="s">
        <v>61</v>
      </c>
      <c r="AR299" s="7" t="s">
        <v>0</v>
      </c>
      <c r="AS299" s="10" t="str">
        <f>HYPERLINK("https://tessa.gazprom-neft.local/edo/card/23e04976-8187-4917-97ae-14c5f3fc221e", "https://tessa.gazprom-neft.local/edo/card/23e04976-8187-4917-97ae-14c5f3fc221e")</f>
        <v>https://tessa.gazprom-neft.local/edo/card/23e04976-8187-4917-97ae-14c5f3fc221e</v>
      </c>
    </row>
    <row r="300" spans="1:45" hidden="1" x14ac:dyDescent="0.25">
      <c r="A300" s="6" t="s">
        <v>44</v>
      </c>
      <c r="B300" s="7" t="s">
        <v>4535</v>
      </c>
      <c r="C300" s="7" t="s">
        <v>2030</v>
      </c>
      <c r="D300" s="8">
        <v>45470</v>
      </c>
      <c r="E300" s="8" t="s">
        <v>0</v>
      </c>
      <c r="F300" s="16" t="s">
        <v>4536</v>
      </c>
      <c r="G300" s="7" t="s">
        <v>4537</v>
      </c>
      <c r="H300" s="7" t="s">
        <v>0</v>
      </c>
      <c r="I300" s="7" t="s">
        <v>4533</v>
      </c>
      <c r="J300" s="7" t="s">
        <v>4533</v>
      </c>
      <c r="K300" s="7" t="s">
        <v>47</v>
      </c>
      <c r="L300" s="7" t="s">
        <v>96</v>
      </c>
      <c r="M300" s="7" t="s">
        <v>0</v>
      </c>
      <c r="N300" s="7" t="s">
        <v>4532</v>
      </c>
      <c r="O300" s="7" t="s">
        <v>0</v>
      </c>
      <c r="P300" s="7" t="s">
        <v>4534</v>
      </c>
      <c r="Q300" s="7" t="s">
        <v>1585</v>
      </c>
      <c r="R300" s="7" t="s">
        <v>1139</v>
      </c>
      <c r="S300" s="7" t="s">
        <v>1586</v>
      </c>
      <c r="T300" s="7" t="s">
        <v>54</v>
      </c>
      <c r="U300" s="7" t="s">
        <v>1587</v>
      </c>
      <c r="V300" s="7" t="s">
        <v>340</v>
      </c>
      <c r="W300" s="7" t="s">
        <v>74</v>
      </c>
      <c r="X300" s="7" t="s">
        <v>103</v>
      </c>
      <c r="Y300" s="8">
        <v>45470</v>
      </c>
      <c r="Z300" s="8">
        <v>46387</v>
      </c>
      <c r="AA300" s="7" t="s">
        <v>341</v>
      </c>
      <c r="AB300" s="7" t="s">
        <v>366</v>
      </c>
      <c r="AC300" s="7" t="s">
        <v>79</v>
      </c>
      <c r="AD300" s="7" t="s">
        <v>367</v>
      </c>
      <c r="AE300" s="7" t="s">
        <v>82</v>
      </c>
      <c r="AF300" s="7" t="s">
        <v>0</v>
      </c>
      <c r="AG300" s="7" t="s">
        <v>0</v>
      </c>
      <c r="AH300" s="9">
        <v>0</v>
      </c>
      <c r="AI300" s="9">
        <v>0</v>
      </c>
      <c r="AJ300" s="9">
        <v>0</v>
      </c>
      <c r="AK300" s="7" t="s">
        <v>61</v>
      </c>
      <c r="AL300" s="7" t="s">
        <v>61</v>
      </c>
      <c r="AM300" s="7" t="s">
        <v>0</v>
      </c>
      <c r="AN300" s="7" t="s">
        <v>0</v>
      </c>
      <c r="AO300" s="7" t="s">
        <v>0</v>
      </c>
      <c r="AP300" s="7" t="s">
        <v>0</v>
      </c>
      <c r="AQ300" s="7" t="s">
        <v>61</v>
      </c>
      <c r="AR300" s="7" t="s">
        <v>0</v>
      </c>
      <c r="AS300" s="10" t="str">
        <f>HYPERLINK("https://tessa.gazprom-neft.local/edo/card/07624c5b-6c62-4dcf-ad0b-62a2c4dafd56", "https://tessa.gazprom-neft.local/edo/card/07624c5b-6c62-4dcf-ad0b-62a2c4dafd56")</f>
        <v>https://tessa.gazprom-neft.local/edo/card/07624c5b-6c62-4dcf-ad0b-62a2c4dafd56</v>
      </c>
    </row>
    <row r="301" spans="1:45" hidden="1" x14ac:dyDescent="0.25">
      <c r="A301" s="6" t="s">
        <v>44</v>
      </c>
      <c r="B301" s="7" t="s">
        <v>4711</v>
      </c>
      <c r="C301" s="7" t="s">
        <v>67</v>
      </c>
      <c r="D301" s="8">
        <v>45470</v>
      </c>
      <c r="E301" s="8">
        <v>45471</v>
      </c>
      <c r="F301" s="16" t="s">
        <v>4712</v>
      </c>
      <c r="G301" s="7" t="s">
        <v>4713</v>
      </c>
      <c r="H301" s="7" t="s">
        <v>0</v>
      </c>
      <c r="I301" s="7" t="s">
        <v>4994</v>
      </c>
      <c r="J301" s="7" t="s">
        <v>4994</v>
      </c>
      <c r="K301" s="7" t="s">
        <v>85</v>
      </c>
      <c r="L301" s="7" t="s">
        <v>86</v>
      </c>
      <c r="M301" s="7" t="s">
        <v>83</v>
      </c>
      <c r="N301" s="7" t="s">
        <v>4993</v>
      </c>
      <c r="O301" s="7" t="s">
        <v>0</v>
      </c>
      <c r="P301" s="7" t="s">
        <v>83</v>
      </c>
      <c r="Q301" s="7" t="s">
        <v>4995</v>
      </c>
      <c r="R301" s="7" t="s">
        <v>1575</v>
      </c>
      <c r="S301" s="7" t="s">
        <v>1575</v>
      </c>
      <c r="T301" s="7" t="s">
        <v>54</v>
      </c>
      <c r="U301" s="7" t="s">
        <v>222</v>
      </c>
      <c r="V301" s="7" t="s">
        <v>126</v>
      </c>
      <c r="W301" s="7" t="s">
        <v>74</v>
      </c>
      <c r="X301" s="7" t="s">
        <v>103</v>
      </c>
      <c r="Y301" s="8">
        <v>45470</v>
      </c>
      <c r="Z301" s="8">
        <v>46022</v>
      </c>
      <c r="AA301" s="7" t="s">
        <v>200</v>
      </c>
      <c r="AB301" s="7" t="s">
        <v>94</v>
      </c>
      <c r="AC301" s="7" t="s">
        <v>65</v>
      </c>
      <c r="AD301" s="7" t="s">
        <v>0</v>
      </c>
      <c r="AE301" s="7" t="s">
        <v>0</v>
      </c>
      <c r="AF301" s="7" t="s">
        <v>0</v>
      </c>
      <c r="AG301" s="7" t="s">
        <v>0</v>
      </c>
      <c r="AH301" s="9" t="s">
        <v>0</v>
      </c>
      <c r="AI301" s="9" t="s">
        <v>0</v>
      </c>
      <c r="AJ301" s="9" t="s">
        <v>0</v>
      </c>
      <c r="AK301" s="7" t="s">
        <v>61</v>
      </c>
      <c r="AL301" s="7" t="s">
        <v>61</v>
      </c>
      <c r="AM301" s="7" t="s">
        <v>0</v>
      </c>
      <c r="AN301" s="7" t="s">
        <v>0</v>
      </c>
      <c r="AO301" s="7" t="s">
        <v>0</v>
      </c>
      <c r="AP301" s="7" t="s">
        <v>0</v>
      </c>
      <c r="AQ301" s="7" t="s">
        <v>61</v>
      </c>
      <c r="AR301" s="7" t="s">
        <v>0</v>
      </c>
      <c r="AS301" s="10" t="str">
        <f>HYPERLINK("https://tessa.gazprom-neft.local/edo/card/28f04136-7dfa-4bb2-bb60-d2df1f3f1a79", "https://tessa.gazprom-neft.local/edo/card/28f04136-7dfa-4bb2-bb60-d2df1f3f1a79")</f>
        <v>https://tessa.gazprom-neft.local/edo/card/28f04136-7dfa-4bb2-bb60-d2df1f3f1a79</v>
      </c>
    </row>
    <row r="302" spans="1:45" hidden="1" x14ac:dyDescent="0.25">
      <c r="A302" s="6" t="s">
        <v>44</v>
      </c>
      <c r="B302" s="7" t="s">
        <v>4711</v>
      </c>
      <c r="C302" s="7" t="s">
        <v>67</v>
      </c>
      <c r="D302" s="8">
        <v>45470</v>
      </c>
      <c r="E302" s="8">
        <v>45471</v>
      </c>
      <c r="F302" s="16" t="s">
        <v>4712</v>
      </c>
      <c r="G302" s="7" t="s">
        <v>4713</v>
      </c>
      <c r="H302" s="7" t="s">
        <v>0</v>
      </c>
      <c r="I302" s="7" t="s">
        <v>5007</v>
      </c>
      <c r="J302" s="7" t="s">
        <v>5007</v>
      </c>
      <c r="K302" s="7" t="s">
        <v>85</v>
      </c>
      <c r="L302" s="7" t="s">
        <v>86</v>
      </c>
      <c r="M302" s="7" t="s">
        <v>216</v>
      </c>
      <c r="N302" s="7" t="s">
        <v>5006</v>
      </c>
      <c r="O302" s="7" t="s">
        <v>0</v>
      </c>
      <c r="P302" s="7" t="s">
        <v>5008</v>
      </c>
      <c r="Q302" s="7" t="s">
        <v>3602</v>
      </c>
      <c r="R302" s="7" t="s">
        <v>1139</v>
      </c>
      <c r="S302" s="7" t="s">
        <v>4710</v>
      </c>
      <c r="T302" s="7" t="s">
        <v>54</v>
      </c>
      <c r="U302" s="7" t="s">
        <v>125</v>
      </c>
      <c r="V302" s="7" t="s">
        <v>308</v>
      </c>
      <c r="W302" s="7" t="s">
        <v>74</v>
      </c>
      <c r="X302" s="7" t="s">
        <v>223</v>
      </c>
      <c r="Y302" s="8">
        <v>45474</v>
      </c>
      <c r="Z302" s="8" t="s">
        <v>0</v>
      </c>
      <c r="AA302" s="7" t="s">
        <v>309</v>
      </c>
      <c r="AB302" s="7" t="s">
        <v>228</v>
      </c>
      <c r="AC302" s="7" t="s">
        <v>65</v>
      </c>
      <c r="AD302" s="7" t="s">
        <v>0</v>
      </c>
      <c r="AE302" s="7" t="s">
        <v>0</v>
      </c>
      <c r="AF302" s="7" t="s">
        <v>0</v>
      </c>
      <c r="AG302" s="7" t="s">
        <v>0</v>
      </c>
      <c r="AH302" s="9" t="s">
        <v>0</v>
      </c>
      <c r="AI302" s="9" t="s">
        <v>0</v>
      </c>
      <c r="AJ302" s="9" t="s">
        <v>0</v>
      </c>
      <c r="AK302" s="7" t="s">
        <v>61</v>
      </c>
      <c r="AL302" s="7" t="s">
        <v>61</v>
      </c>
      <c r="AM302" s="7" t="s">
        <v>0</v>
      </c>
      <c r="AN302" s="7" t="s">
        <v>0</v>
      </c>
      <c r="AO302" s="7" t="s">
        <v>0</v>
      </c>
      <c r="AP302" s="7" t="s">
        <v>0</v>
      </c>
      <c r="AQ302" s="7" t="s">
        <v>61</v>
      </c>
      <c r="AR302" s="7" t="s">
        <v>0</v>
      </c>
      <c r="AS302" s="10" t="str">
        <f>HYPERLINK("https://tessa.gazprom-neft.local/edo/card/3c6e3e2a-9400-4f1b-aafd-c63c0613aea6", "https://tessa.gazprom-neft.local/edo/card/3c6e3e2a-9400-4f1b-aafd-c63c0613aea6")</f>
        <v>https://tessa.gazprom-neft.local/edo/card/3c6e3e2a-9400-4f1b-aafd-c63c0613aea6</v>
      </c>
    </row>
    <row r="303" spans="1:45" hidden="1" x14ac:dyDescent="0.25">
      <c r="A303" s="6" t="s">
        <v>44</v>
      </c>
      <c r="B303" s="7" t="s">
        <v>234</v>
      </c>
      <c r="C303" s="7" t="s">
        <v>67</v>
      </c>
      <c r="D303" s="8">
        <v>45470</v>
      </c>
      <c r="E303" s="8">
        <v>45477</v>
      </c>
      <c r="F303" s="16" t="s">
        <v>235</v>
      </c>
      <c r="G303" s="7" t="s">
        <v>236</v>
      </c>
      <c r="H303" s="7" t="s">
        <v>0</v>
      </c>
      <c r="I303" s="7" t="s">
        <v>5035</v>
      </c>
      <c r="J303" s="7" t="s">
        <v>5035</v>
      </c>
      <c r="K303" s="7" t="s">
        <v>47</v>
      </c>
      <c r="L303" s="7" t="s">
        <v>86</v>
      </c>
      <c r="M303" s="7" t="s">
        <v>0</v>
      </c>
      <c r="N303" s="7" t="s">
        <v>5034</v>
      </c>
      <c r="O303" s="7" t="s">
        <v>0</v>
      </c>
      <c r="P303" s="7" t="s">
        <v>231</v>
      </c>
      <c r="Q303" s="7" t="s">
        <v>231</v>
      </c>
      <c r="R303" s="7" t="s">
        <v>233</v>
      </c>
      <c r="S303" s="7" t="s">
        <v>233</v>
      </c>
      <c r="T303" s="7" t="s">
        <v>54</v>
      </c>
      <c r="U303" s="7" t="s">
        <v>55</v>
      </c>
      <c r="V303" s="7" t="s">
        <v>56</v>
      </c>
      <c r="W303" s="7" t="s">
        <v>74</v>
      </c>
      <c r="X303" s="7" t="s">
        <v>103</v>
      </c>
      <c r="Y303" s="8">
        <v>45470</v>
      </c>
      <c r="Z303" s="8">
        <v>46233</v>
      </c>
      <c r="AA303" s="7" t="s">
        <v>59</v>
      </c>
      <c r="AB303" s="7" t="s">
        <v>237</v>
      </c>
      <c r="AC303" s="7" t="s">
        <v>65</v>
      </c>
      <c r="AD303" s="7" t="s">
        <v>0</v>
      </c>
      <c r="AE303" s="7" t="s">
        <v>0</v>
      </c>
      <c r="AF303" s="7" t="s">
        <v>0</v>
      </c>
      <c r="AG303" s="7" t="s">
        <v>0</v>
      </c>
      <c r="AH303" s="9" t="s">
        <v>0</v>
      </c>
      <c r="AI303" s="9" t="s">
        <v>0</v>
      </c>
      <c r="AJ303" s="9" t="s">
        <v>0</v>
      </c>
      <c r="AK303" s="7" t="s">
        <v>61</v>
      </c>
      <c r="AL303" s="7" t="s">
        <v>61</v>
      </c>
      <c r="AM303" s="7" t="s">
        <v>0</v>
      </c>
      <c r="AN303" s="7" t="s">
        <v>0</v>
      </c>
      <c r="AO303" s="7" t="s">
        <v>0</v>
      </c>
      <c r="AP303" s="7" t="s">
        <v>0</v>
      </c>
      <c r="AQ303" s="7" t="s">
        <v>61</v>
      </c>
      <c r="AR303" s="7" t="s">
        <v>0</v>
      </c>
      <c r="AS303" s="10" t="str">
        <f>HYPERLINK("https://tessa.gazprom-neft.local/edo/card/21720550-7f01-47fe-b449-88719a52d6f8", "https://tessa.gazprom-neft.local/edo/card/21720550-7f01-47fe-b449-88719a52d6f8")</f>
        <v>https://tessa.gazprom-neft.local/edo/card/21720550-7f01-47fe-b449-88719a52d6f8</v>
      </c>
    </row>
    <row r="304" spans="1:45" hidden="1" x14ac:dyDescent="0.25">
      <c r="A304" s="6" t="s">
        <v>44</v>
      </c>
      <c r="B304" s="7" t="s">
        <v>1140</v>
      </c>
      <c r="C304" s="7" t="s">
        <v>67</v>
      </c>
      <c r="D304" s="8">
        <v>45470</v>
      </c>
      <c r="E304" s="8">
        <v>45476</v>
      </c>
      <c r="F304" s="16" t="s">
        <v>1141</v>
      </c>
      <c r="G304" s="7" t="s">
        <v>1142</v>
      </c>
      <c r="H304" s="7" t="s">
        <v>1136</v>
      </c>
      <c r="I304" s="7" t="s">
        <v>0</v>
      </c>
      <c r="J304" s="7" t="s">
        <v>5080</v>
      </c>
      <c r="K304" s="7" t="s">
        <v>47</v>
      </c>
      <c r="L304" s="7" t="s">
        <v>239</v>
      </c>
      <c r="M304" s="7" t="s">
        <v>0</v>
      </c>
      <c r="N304" s="7" t="s">
        <v>5078</v>
      </c>
      <c r="O304" s="7" t="s">
        <v>0</v>
      </c>
      <c r="P304" s="7" t="s">
        <v>5079</v>
      </c>
      <c r="Q304" s="7" t="s">
        <v>5081</v>
      </c>
      <c r="R304" s="7" t="s">
        <v>124</v>
      </c>
      <c r="S304" s="7" t="s">
        <v>0</v>
      </c>
      <c r="T304" s="7" t="s">
        <v>54</v>
      </c>
      <c r="U304" s="7" t="s">
        <v>101</v>
      </c>
      <c r="V304" s="7" t="s">
        <v>168</v>
      </c>
      <c r="W304" s="7" t="s">
        <v>74</v>
      </c>
      <c r="X304" s="7" t="s">
        <v>103</v>
      </c>
      <c r="Y304" s="8">
        <v>45470</v>
      </c>
      <c r="Z304" s="8">
        <v>45555</v>
      </c>
      <c r="AA304" s="7" t="s">
        <v>169</v>
      </c>
      <c r="AB304" s="7" t="s">
        <v>1143</v>
      </c>
      <c r="AC304" s="7" t="s">
        <v>79</v>
      </c>
      <c r="AD304" s="7" t="s">
        <v>144</v>
      </c>
      <c r="AE304" s="7" t="s">
        <v>82</v>
      </c>
      <c r="AF304" s="7" t="s">
        <v>0</v>
      </c>
      <c r="AG304" s="7" t="s">
        <v>0</v>
      </c>
      <c r="AH304" s="9" t="s">
        <v>12325</v>
      </c>
      <c r="AI304" s="9" t="s">
        <v>12326</v>
      </c>
      <c r="AJ304" s="9" t="s">
        <v>12327</v>
      </c>
      <c r="AK304" s="7" t="s">
        <v>61</v>
      </c>
      <c r="AL304" s="7" t="s">
        <v>61</v>
      </c>
      <c r="AM304" s="7" t="s">
        <v>0</v>
      </c>
      <c r="AN304" s="7" t="s">
        <v>0</v>
      </c>
      <c r="AO304" s="7" t="s">
        <v>0</v>
      </c>
      <c r="AP304" s="7" t="s">
        <v>0</v>
      </c>
      <c r="AQ304" s="7" t="s">
        <v>61</v>
      </c>
      <c r="AR304" s="7" t="s">
        <v>0</v>
      </c>
      <c r="AS304" s="10" t="str">
        <f>HYPERLINK("https://tessa.gazprom-neft.local/edo/card/0316f4dc-43b8-4651-a70d-00d31801bd5b", "https://tessa.gazprom-neft.local/edo/card/0316f4dc-43b8-4651-a70d-00d31801bd5b")</f>
        <v>https://tessa.gazprom-neft.local/edo/card/0316f4dc-43b8-4651-a70d-00d31801bd5b</v>
      </c>
    </row>
    <row r="305" spans="1:45" x14ac:dyDescent="0.25">
      <c r="A305" s="6" t="s">
        <v>44</v>
      </c>
      <c r="B305" s="7" t="s">
        <v>582</v>
      </c>
      <c r="C305" s="7" t="s">
        <v>67</v>
      </c>
      <c r="D305" s="8">
        <v>45469</v>
      </c>
      <c r="E305" s="8">
        <v>45491</v>
      </c>
      <c r="F305" s="16" t="s">
        <v>583</v>
      </c>
      <c r="G305" s="7" t="s">
        <v>584</v>
      </c>
      <c r="H305" s="7" t="s">
        <v>1033</v>
      </c>
      <c r="I305" s="7" t="s">
        <v>0</v>
      </c>
      <c r="J305" s="7" t="s">
        <v>271</v>
      </c>
      <c r="K305" s="7" t="s">
        <v>85</v>
      </c>
      <c r="L305" s="7" t="s">
        <v>48</v>
      </c>
      <c r="M305" s="7" t="s">
        <v>1183</v>
      </c>
      <c r="N305" s="7" t="s">
        <v>3217</v>
      </c>
      <c r="O305" s="7" t="s">
        <v>0</v>
      </c>
      <c r="P305" s="7" t="s">
        <v>3218</v>
      </c>
      <c r="Q305" s="7" t="s">
        <v>1185</v>
      </c>
      <c r="R305" s="7" t="s">
        <v>282</v>
      </c>
      <c r="S305" s="7" t="s">
        <v>0</v>
      </c>
      <c r="T305" s="7" t="s">
        <v>54</v>
      </c>
      <c r="U305" s="7" t="s">
        <v>55</v>
      </c>
      <c r="V305" s="7" t="s">
        <v>308</v>
      </c>
      <c r="W305" s="7" t="s">
        <v>74</v>
      </c>
      <c r="X305" s="7" t="s">
        <v>103</v>
      </c>
      <c r="Y305" s="8">
        <v>45469</v>
      </c>
      <c r="Z305" s="8">
        <v>46752</v>
      </c>
      <c r="AA305" s="7" t="s">
        <v>309</v>
      </c>
      <c r="AB305" s="7" t="s">
        <v>228</v>
      </c>
      <c r="AC305" s="7" t="s">
        <v>65</v>
      </c>
      <c r="AD305" s="7" t="s">
        <v>0</v>
      </c>
      <c r="AE305" s="7" t="s">
        <v>0</v>
      </c>
      <c r="AF305" s="7" t="s">
        <v>0</v>
      </c>
      <c r="AG305" s="7" t="s">
        <v>0</v>
      </c>
      <c r="AH305" s="9" t="s">
        <v>0</v>
      </c>
      <c r="AI305" s="9" t="s">
        <v>0</v>
      </c>
      <c r="AJ305" s="9" t="s">
        <v>0</v>
      </c>
      <c r="AK305" s="7" t="s">
        <v>61</v>
      </c>
      <c r="AL305" s="7" t="s">
        <v>61</v>
      </c>
      <c r="AM305" s="7" t="s">
        <v>0</v>
      </c>
      <c r="AN305" s="7" t="s">
        <v>0</v>
      </c>
      <c r="AO305" s="7" t="s">
        <v>0</v>
      </c>
      <c r="AP305" s="7" t="s">
        <v>0</v>
      </c>
      <c r="AQ305" s="7" t="s">
        <v>61</v>
      </c>
      <c r="AR305" s="7" t="s">
        <v>0</v>
      </c>
      <c r="AS305" s="10" t="str">
        <f>HYPERLINK("https://tessa.gazprom-neft.local/edo/card/c341e1a9-ebeb-420a-8c72-1c2aae6521fd", "https://tessa.gazprom-neft.local/edo/card/c341e1a9-ebeb-420a-8c72-1c2aae6521fd")</f>
        <v>https://tessa.gazprom-neft.local/edo/card/c341e1a9-ebeb-420a-8c72-1c2aae6521fd</v>
      </c>
    </row>
    <row r="306" spans="1:45" hidden="1" x14ac:dyDescent="0.25">
      <c r="A306" s="6" t="s">
        <v>44</v>
      </c>
      <c r="B306" s="7" t="s">
        <v>4711</v>
      </c>
      <c r="C306" s="7" t="s">
        <v>67</v>
      </c>
      <c r="D306" s="8">
        <v>45467</v>
      </c>
      <c r="E306" s="8">
        <v>45468</v>
      </c>
      <c r="F306" s="16" t="s">
        <v>4712</v>
      </c>
      <c r="G306" s="7" t="s">
        <v>4713</v>
      </c>
      <c r="H306" s="7" t="s">
        <v>0</v>
      </c>
      <c r="I306" s="7" t="s">
        <v>4753</v>
      </c>
      <c r="J306" s="7" t="s">
        <v>4753</v>
      </c>
      <c r="K306" s="7" t="s">
        <v>47</v>
      </c>
      <c r="L306" s="7" t="s">
        <v>86</v>
      </c>
      <c r="M306" s="7" t="s">
        <v>0</v>
      </c>
      <c r="N306" s="7" t="s">
        <v>4752</v>
      </c>
      <c r="O306" s="7" t="s">
        <v>0</v>
      </c>
      <c r="P306" s="7" t="s">
        <v>4754</v>
      </c>
      <c r="Q306" s="7" t="s">
        <v>237</v>
      </c>
      <c r="R306" s="7" t="s">
        <v>1139</v>
      </c>
      <c r="S306" s="7" t="s">
        <v>4710</v>
      </c>
      <c r="T306" s="7" t="s">
        <v>54</v>
      </c>
      <c r="U306" s="7" t="s">
        <v>125</v>
      </c>
      <c r="V306" s="7" t="s">
        <v>126</v>
      </c>
      <c r="W306" s="7" t="s">
        <v>74</v>
      </c>
      <c r="X306" s="7" t="s">
        <v>103</v>
      </c>
      <c r="Y306" s="8">
        <v>45467</v>
      </c>
      <c r="Z306" s="8">
        <v>46022</v>
      </c>
      <c r="AA306" s="7" t="s">
        <v>200</v>
      </c>
      <c r="AB306" s="7" t="s">
        <v>237</v>
      </c>
      <c r="AC306" s="7" t="s">
        <v>65</v>
      </c>
      <c r="AD306" s="7" t="s">
        <v>0</v>
      </c>
      <c r="AE306" s="7" t="s">
        <v>0</v>
      </c>
      <c r="AF306" s="7" t="s">
        <v>0</v>
      </c>
      <c r="AG306" s="7" t="s">
        <v>0</v>
      </c>
      <c r="AH306" s="9" t="s">
        <v>0</v>
      </c>
      <c r="AI306" s="9" t="s">
        <v>0</v>
      </c>
      <c r="AJ306" s="9" t="s">
        <v>0</v>
      </c>
      <c r="AK306" s="7" t="s">
        <v>61</v>
      </c>
      <c r="AL306" s="7" t="s">
        <v>61</v>
      </c>
      <c r="AM306" s="7" t="s">
        <v>0</v>
      </c>
      <c r="AN306" s="7" t="s">
        <v>0</v>
      </c>
      <c r="AO306" s="7" t="s">
        <v>0</v>
      </c>
      <c r="AP306" s="7" t="s">
        <v>0</v>
      </c>
      <c r="AQ306" s="7" t="s">
        <v>61</v>
      </c>
      <c r="AR306" s="7" t="s">
        <v>0</v>
      </c>
      <c r="AS306" s="10" t="str">
        <f>HYPERLINK("https://tessa.gazprom-neft.local/edo/card/ea00cb88-7132-4ce0-9699-bfb4572c5f4f", "https://tessa.gazprom-neft.local/edo/card/ea00cb88-7132-4ce0-9699-bfb4572c5f4f")</f>
        <v>https://tessa.gazprom-neft.local/edo/card/ea00cb88-7132-4ce0-9699-bfb4572c5f4f</v>
      </c>
    </row>
    <row r="307" spans="1:45" hidden="1" x14ac:dyDescent="0.25">
      <c r="A307" s="6" t="s">
        <v>44</v>
      </c>
      <c r="B307" s="7" t="s">
        <v>0</v>
      </c>
      <c r="C307" s="7" t="s">
        <v>67</v>
      </c>
      <c r="D307" s="8">
        <v>45467</v>
      </c>
      <c r="E307" s="8" t="s">
        <v>0</v>
      </c>
      <c r="F307" s="16" t="s">
        <v>4891</v>
      </c>
      <c r="G307" s="7" t="s">
        <v>0</v>
      </c>
      <c r="H307" s="7" t="s">
        <v>0</v>
      </c>
      <c r="I307" s="7" t="s">
        <v>4889</v>
      </c>
      <c r="J307" s="7" t="s">
        <v>4889</v>
      </c>
      <c r="K307" s="7" t="s">
        <v>85</v>
      </c>
      <c r="L307" s="7" t="s">
        <v>86</v>
      </c>
      <c r="M307" s="7" t="s">
        <v>83</v>
      </c>
      <c r="N307" s="7" t="s">
        <v>4888</v>
      </c>
      <c r="O307" s="7" t="s">
        <v>0</v>
      </c>
      <c r="P307" s="7" t="s">
        <v>83</v>
      </c>
      <c r="Q307" s="7" t="s">
        <v>4890</v>
      </c>
      <c r="R307" s="7" t="s">
        <v>4173</v>
      </c>
      <c r="S307" s="7" t="s">
        <v>0</v>
      </c>
      <c r="T307" s="7" t="s">
        <v>54</v>
      </c>
      <c r="U307" s="7" t="s">
        <v>90</v>
      </c>
      <c r="V307" s="7" t="s">
        <v>91</v>
      </c>
      <c r="W307" s="7" t="s">
        <v>57</v>
      </c>
      <c r="X307" s="7" t="s">
        <v>223</v>
      </c>
      <c r="Y307" s="8">
        <v>45467</v>
      </c>
      <c r="Z307" s="8" t="s">
        <v>0</v>
      </c>
      <c r="AA307" s="7" t="s">
        <v>92</v>
      </c>
      <c r="AB307" s="7" t="s">
        <v>94</v>
      </c>
      <c r="AC307" s="7" t="s">
        <v>65</v>
      </c>
      <c r="AD307" s="7" t="s">
        <v>0</v>
      </c>
      <c r="AE307" s="7" t="s">
        <v>0</v>
      </c>
      <c r="AF307" s="7" t="s">
        <v>0</v>
      </c>
      <c r="AG307" s="7" t="s">
        <v>0</v>
      </c>
      <c r="AH307" s="9" t="s">
        <v>0</v>
      </c>
      <c r="AI307" s="9" t="s">
        <v>0</v>
      </c>
      <c r="AJ307" s="9" t="s">
        <v>0</v>
      </c>
      <c r="AK307" s="7" t="s">
        <v>61</v>
      </c>
      <c r="AL307" s="7" t="s">
        <v>61</v>
      </c>
      <c r="AM307" s="7" t="s">
        <v>0</v>
      </c>
      <c r="AN307" s="7" t="s">
        <v>0</v>
      </c>
      <c r="AO307" s="7" t="s">
        <v>0</v>
      </c>
      <c r="AP307" s="7" t="s">
        <v>0</v>
      </c>
      <c r="AQ307" s="7" t="s">
        <v>61</v>
      </c>
      <c r="AR307" s="7" t="s">
        <v>0</v>
      </c>
      <c r="AS307" s="10" t="str">
        <f>HYPERLINK("https://tessa.gazprom-neft.local/edo/card/0d2079ce-ffd1-4888-9678-3e3ebad32764", "https://tessa.gazprom-neft.local/edo/card/0d2079ce-ffd1-4888-9678-3e3ebad32764")</f>
        <v>https://tessa.gazprom-neft.local/edo/card/0d2079ce-ffd1-4888-9678-3e3ebad32764</v>
      </c>
    </row>
    <row r="308" spans="1:45" hidden="1" x14ac:dyDescent="0.25">
      <c r="A308" s="6" t="s">
        <v>44</v>
      </c>
      <c r="B308" s="7" t="s">
        <v>4711</v>
      </c>
      <c r="C308" s="7" t="s">
        <v>67</v>
      </c>
      <c r="D308" s="8">
        <v>45467</v>
      </c>
      <c r="E308" s="8">
        <v>45471</v>
      </c>
      <c r="F308" s="16" t="s">
        <v>4712</v>
      </c>
      <c r="G308" s="7" t="s">
        <v>4713</v>
      </c>
      <c r="H308" s="7" t="s">
        <v>0</v>
      </c>
      <c r="I308" s="7" t="s">
        <v>4932</v>
      </c>
      <c r="J308" s="7" t="s">
        <v>4932</v>
      </c>
      <c r="K308" s="7" t="s">
        <v>85</v>
      </c>
      <c r="L308" s="7" t="s">
        <v>86</v>
      </c>
      <c r="M308" s="7" t="s">
        <v>289</v>
      </c>
      <c r="N308" s="7" t="s">
        <v>4931</v>
      </c>
      <c r="O308" s="7" t="s">
        <v>0</v>
      </c>
      <c r="P308" s="7" t="s">
        <v>289</v>
      </c>
      <c r="Q308" s="7" t="s">
        <v>2315</v>
      </c>
      <c r="R308" s="7" t="s">
        <v>1139</v>
      </c>
      <c r="S308" s="7" t="s">
        <v>4710</v>
      </c>
      <c r="T308" s="7" t="s">
        <v>54</v>
      </c>
      <c r="U308" s="7" t="s">
        <v>125</v>
      </c>
      <c r="V308" s="7" t="s">
        <v>340</v>
      </c>
      <c r="W308" s="7" t="s">
        <v>74</v>
      </c>
      <c r="X308" s="7" t="s">
        <v>223</v>
      </c>
      <c r="Y308" s="8">
        <v>45467</v>
      </c>
      <c r="Z308" s="8" t="s">
        <v>0</v>
      </c>
      <c r="AA308" s="7" t="s">
        <v>341</v>
      </c>
      <c r="AB308" s="7" t="s">
        <v>300</v>
      </c>
      <c r="AC308" s="7" t="s">
        <v>65</v>
      </c>
      <c r="AD308" s="7" t="s">
        <v>0</v>
      </c>
      <c r="AE308" s="7" t="s">
        <v>0</v>
      </c>
      <c r="AF308" s="7" t="s">
        <v>0</v>
      </c>
      <c r="AG308" s="7" t="s">
        <v>0</v>
      </c>
      <c r="AH308" s="9" t="s">
        <v>0</v>
      </c>
      <c r="AI308" s="9" t="s">
        <v>0</v>
      </c>
      <c r="AJ308" s="9" t="s">
        <v>0</v>
      </c>
      <c r="AK308" s="7" t="s">
        <v>61</v>
      </c>
      <c r="AL308" s="7" t="s">
        <v>61</v>
      </c>
      <c r="AM308" s="7" t="s">
        <v>0</v>
      </c>
      <c r="AN308" s="7" t="s">
        <v>0</v>
      </c>
      <c r="AO308" s="7" t="s">
        <v>0</v>
      </c>
      <c r="AP308" s="7" t="s">
        <v>0</v>
      </c>
      <c r="AQ308" s="7" t="s">
        <v>61</v>
      </c>
      <c r="AR308" s="7" t="s">
        <v>0</v>
      </c>
      <c r="AS308" s="10" t="str">
        <f>HYPERLINK("https://tessa.gazprom-neft.local/edo/card/4de79813-abfb-4fa3-b1c5-bdc5fc6f55f8", "https://tessa.gazprom-neft.local/edo/card/4de79813-abfb-4fa3-b1c5-bdc5fc6f55f8")</f>
        <v>https://tessa.gazprom-neft.local/edo/card/4de79813-abfb-4fa3-b1c5-bdc5fc6f55f8</v>
      </c>
    </row>
    <row r="309" spans="1:45" x14ac:dyDescent="0.25">
      <c r="A309" s="6" t="s">
        <v>44</v>
      </c>
      <c r="B309" s="7" t="s">
        <v>2495</v>
      </c>
      <c r="C309" s="7" t="s">
        <v>218</v>
      </c>
      <c r="D309" s="8">
        <v>45465</v>
      </c>
      <c r="E309" s="8" t="s">
        <v>0</v>
      </c>
      <c r="F309" s="16" t="s">
        <v>2496</v>
      </c>
      <c r="G309" s="7" t="s">
        <v>2497</v>
      </c>
      <c r="H309" s="7" t="s">
        <v>2856</v>
      </c>
      <c r="I309" s="7" t="s">
        <v>0</v>
      </c>
      <c r="J309" s="7" t="s">
        <v>0</v>
      </c>
      <c r="K309" s="7" t="s">
        <v>47</v>
      </c>
      <c r="L309" s="7" t="s">
        <v>48</v>
      </c>
      <c r="M309" s="7" t="s">
        <v>0</v>
      </c>
      <c r="N309" s="7" t="s">
        <v>3874</v>
      </c>
      <c r="O309" s="7" t="s">
        <v>0</v>
      </c>
      <c r="P309" s="7" t="s">
        <v>3875</v>
      </c>
      <c r="Q309" s="7" t="s">
        <v>3876</v>
      </c>
      <c r="R309" s="7" t="s">
        <v>393</v>
      </c>
      <c r="S309" s="7" t="s">
        <v>2859</v>
      </c>
      <c r="T309" s="7" t="s">
        <v>54</v>
      </c>
      <c r="U309" s="7" t="s">
        <v>210</v>
      </c>
      <c r="V309" s="7" t="s">
        <v>126</v>
      </c>
      <c r="W309" s="7" t="s">
        <v>57</v>
      </c>
      <c r="X309" s="7" t="s">
        <v>58</v>
      </c>
      <c r="Y309" s="8">
        <v>45465</v>
      </c>
      <c r="Z309" s="8" t="s">
        <v>0</v>
      </c>
      <c r="AA309" s="7" t="s">
        <v>200</v>
      </c>
      <c r="AB309" s="7" t="s">
        <v>130</v>
      </c>
      <c r="AC309" s="7" t="s">
        <v>65</v>
      </c>
      <c r="AD309" s="7" t="s">
        <v>0</v>
      </c>
      <c r="AE309" s="7" t="s">
        <v>0</v>
      </c>
      <c r="AF309" s="7" t="s">
        <v>0</v>
      </c>
      <c r="AG309" s="7" t="s">
        <v>0</v>
      </c>
      <c r="AH309" s="9" t="s">
        <v>0</v>
      </c>
      <c r="AI309" s="9" t="s">
        <v>0</v>
      </c>
      <c r="AJ309" s="9" t="s">
        <v>0</v>
      </c>
      <c r="AK309" s="7" t="s">
        <v>61</v>
      </c>
      <c r="AL309" s="7" t="s">
        <v>61</v>
      </c>
      <c r="AM309" s="7" t="s">
        <v>0</v>
      </c>
      <c r="AN309" s="7" t="s">
        <v>0</v>
      </c>
      <c r="AO309" s="7" t="s">
        <v>0</v>
      </c>
      <c r="AP309" s="7" t="s">
        <v>0</v>
      </c>
      <c r="AQ309" s="7" t="s">
        <v>61</v>
      </c>
      <c r="AR309" s="7" t="s">
        <v>0</v>
      </c>
      <c r="AS309" s="10" t="str">
        <f>HYPERLINK("https://tessa.gazprom-neft.local/edo/card/6079f184-6008-4c9e-8f91-e88c954a661b", "https://tessa.gazprom-neft.local/edo/card/6079f184-6008-4c9e-8f91-e88c954a661b")</f>
        <v>https://tessa.gazprom-neft.local/edo/card/6079f184-6008-4c9e-8f91-e88c954a661b</v>
      </c>
    </row>
    <row r="310" spans="1:45" x14ac:dyDescent="0.25">
      <c r="A310" s="6" t="s">
        <v>44</v>
      </c>
      <c r="B310" s="7" t="s">
        <v>727</v>
      </c>
      <c r="C310" s="7" t="s">
        <v>67</v>
      </c>
      <c r="D310" s="8">
        <v>45462</v>
      </c>
      <c r="E310" s="8">
        <v>45468</v>
      </c>
      <c r="F310" s="16" t="s">
        <v>728</v>
      </c>
      <c r="G310" s="7" t="s">
        <v>729</v>
      </c>
      <c r="H310" s="7" t="s">
        <v>3044</v>
      </c>
      <c r="I310" s="7" t="s">
        <v>0</v>
      </c>
      <c r="J310" s="7" t="s">
        <v>271</v>
      </c>
      <c r="K310" s="7" t="s">
        <v>85</v>
      </c>
      <c r="L310" s="7" t="s">
        <v>48</v>
      </c>
      <c r="M310" s="7" t="s">
        <v>1183</v>
      </c>
      <c r="N310" s="7" t="s">
        <v>3043</v>
      </c>
      <c r="O310" s="7" t="s">
        <v>0</v>
      </c>
      <c r="P310" s="7" t="s">
        <v>3045</v>
      </c>
      <c r="Q310" s="7" t="s">
        <v>1185</v>
      </c>
      <c r="R310" s="7" t="s">
        <v>282</v>
      </c>
      <c r="S310" s="7" t="s">
        <v>0</v>
      </c>
      <c r="T310" s="7" t="s">
        <v>54</v>
      </c>
      <c r="U310" s="7" t="s">
        <v>55</v>
      </c>
      <c r="V310" s="7" t="s">
        <v>308</v>
      </c>
      <c r="W310" s="7" t="s">
        <v>74</v>
      </c>
      <c r="X310" s="7" t="s">
        <v>103</v>
      </c>
      <c r="Y310" s="8">
        <v>45462</v>
      </c>
      <c r="Z310" s="8">
        <v>46387</v>
      </c>
      <c r="AA310" s="7" t="s">
        <v>309</v>
      </c>
      <c r="AB310" s="7" t="s">
        <v>228</v>
      </c>
      <c r="AC310" s="7" t="s">
        <v>65</v>
      </c>
      <c r="AD310" s="7" t="s">
        <v>0</v>
      </c>
      <c r="AE310" s="7" t="s">
        <v>0</v>
      </c>
      <c r="AF310" s="7" t="s">
        <v>0</v>
      </c>
      <c r="AG310" s="7" t="s">
        <v>0</v>
      </c>
      <c r="AH310" s="9" t="s">
        <v>0</v>
      </c>
      <c r="AI310" s="9" t="s">
        <v>0</v>
      </c>
      <c r="AJ310" s="9" t="s">
        <v>0</v>
      </c>
      <c r="AK310" s="7" t="s">
        <v>61</v>
      </c>
      <c r="AL310" s="7" t="s">
        <v>61</v>
      </c>
      <c r="AM310" s="7" t="s">
        <v>0</v>
      </c>
      <c r="AN310" s="7" t="s">
        <v>0</v>
      </c>
      <c r="AO310" s="7" t="s">
        <v>0</v>
      </c>
      <c r="AP310" s="7" t="s">
        <v>0</v>
      </c>
      <c r="AQ310" s="7" t="s">
        <v>61</v>
      </c>
      <c r="AR310" s="7" t="s">
        <v>0</v>
      </c>
      <c r="AS310" s="10" t="str">
        <f>HYPERLINK("https://tessa.gazprom-neft.local/edo/card/66d706e8-a01c-407f-92d8-e03d536a6aef", "https://tessa.gazprom-neft.local/edo/card/66d706e8-a01c-407f-92d8-e03d536a6aef")</f>
        <v>https://tessa.gazprom-neft.local/edo/card/66d706e8-a01c-407f-92d8-e03d536a6aef</v>
      </c>
    </row>
    <row r="311" spans="1:45" x14ac:dyDescent="0.25">
      <c r="A311" s="6" t="s">
        <v>44</v>
      </c>
      <c r="B311" s="7" t="s">
        <v>403</v>
      </c>
      <c r="C311" s="7" t="s">
        <v>67</v>
      </c>
      <c r="D311" s="8">
        <v>45462</v>
      </c>
      <c r="E311" s="8">
        <v>45483</v>
      </c>
      <c r="F311" s="16" t="s">
        <v>404</v>
      </c>
      <c r="G311" s="7" t="s">
        <v>405</v>
      </c>
      <c r="H311" s="7" t="s">
        <v>3191</v>
      </c>
      <c r="I311" s="7" t="s">
        <v>0</v>
      </c>
      <c r="J311" s="7" t="s">
        <v>271</v>
      </c>
      <c r="K311" s="7" t="s">
        <v>85</v>
      </c>
      <c r="L311" s="7" t="s">
        <v>48</v>
      </c>
      <c r="M311" s="7" t="s">
        <v>1183</v>
      </c>
      <c r="N311" s="7" t="s">
        <v>3190</v>
      </c>
      <c r="O311" s="7" t="s">
        <v>0</v>
      </c>
      <c r="P311" s="7" t="s">
        <v>3192</v>
      </c>
      <c r="Q311" s="7" t="s">
        <v>1185</v>
      </c>
      <c r="R311" s="7" t="s">
        <v>282</v>
      </c>
      <c r="S311" s="7" t="s">
        <v>0</v>
      </c>
      <c r="T311" s="7" t="s">
        <v>54</v>
      </c>
      <c r="U311" s="7" t="s">
        <v>55</v>
      </c>
      <c r="V311" s="7" t="s">
        <v>308</v>
      </c>
      <c r="W311" s="7" t="s">
        <v>74</v>
      </c>
      <c r="X311" s="7" t="s">
        <v>103</v>
      </c>
      <c r="Y311" s="8">
        <v>45462</v>
      </c>
      <c r="Z311" s="8">
        <v>46387</v>
      </c>
      <c r="AA311" s="7" t="s">
        <v>309</v>
      </c>
      <c r="AB311" s="7" t="s">
        <v>228</v>
      </c>
      <c r="AC311" s="7" t="s">
        <v>65</v>
      </c>
      <c r="AD311" s="7" t="s">
        <v>0</v>
      </c>
      <c r="AE311" s="7" t="s">
        <v>0</v>
      </c>
      <c r="AF311" s="7" t="s">
        <v>0</v>
      </c>
      <c r="AG311" s="7" t="s">
        <v>0</v>
      </c>
      <c r="AH311" s="9" t="s">
        <v>0</v>
      </c>
      <c r="AI311" s="9" t="s">
        <v>0</v>
      </c>
      <c r="AJ311" s="9" t="s">
        <v>0</v>
      </c>
      <c r="AK311" s="7" t="s">
        <v>61</v>
      </c>
      <c r="AL311" s="7" t="s">
        <v>61</v>
      </c>
      <c r="AM311" s="7" t="s">
        <v>0</v>
      </c>
      <c r="AN311" s="7" t="s">
        <v>0</v>
      </c>
      <c r="AO311" s="7" t="s">
        <v>0</v>
      </c>
      <c r="AP311" s="7" t="s">
        <v>0</v>
      </c>
      <c r="AQ311" s="7" t="s">
        <v>61</v>
      </c>
      <c r="AR311" s="7" t="s">
        <v>0</v>
      </c>
      <c r="AS311" s="10" t="str">
        <f>HYPERLINK("https://tessa.gazprom-neft.local/edo/card/950ef392-d1f7-4c2c-b096-cabebc1e53df", "https://tessa.gazprom-neft.local/edo/card/950ef392-d1f7-4c2c-b096-cabebc1e53df")</f>
        <v>https://tessa.gazprom-neft.local/edo/card/950ef392-d1f7-4c2c-b096-cabebc1e53df</v>
      </c>
    </row>
    <row r="312" spans="1:45" hidden="1" x14ac:dyDescent="0.25">
      <c r="A312" s="6" t="s">
        <v>44</v>
      </c>
      <c r="B312" s="7" t="s">
        <v>3282</v>
      </c>
      <c r="C312" s="7" t="s">
        <v>67</v>
      </c>
      <c r="D312" s="8">
        <v>45462</v>
      </c>
      <c r="E312" s="8" t="s">
        <v>0</v>
      </c>
      <c r="F312" s="16" t="s">
        <v>3283</v>
      </c>
      <c r="G312" s="7" t="s">
        <v>3284</v>
      </c>
      <c r="H312" s="7" t="s">
        <v>0</v>
      </c>
      <c r="I312" s="7" t="s">
        <v>3277</v>
      </c>
      <c r="J312" s="7" t="s">
        <v>3277</v>
      </c>
      <c r="K312" s="7" t="s">
        <v>47</v>
      </c>
      <c r="L312" s="7" t="s">
        <v>86</v>
      </c>
      <c r="M312" s="7" t="s">
        <v>0</v>
      </c>
      <c r="N312" s="7" t="s">
        <v>3276</v>
      </c>
      <c r="O312" s="7" t="s">
        <v>0</v>
      </c>
      <c r="P312" s="7" t="s">
        <v>3278</v>
      </c>
      <c r="Q312" s="7" t="s">
        <v>3279</v>
      </c>
      <c r="R312" s="7" t="s">
        <v>3280</v>
      </c>
      <c r="S312" s="7" t="s">
        <v>0</v>
      </c>
      <c r="T312" s="7" t="s">
        <v>54</v>
      </c>
      <c r="U312" s="7" t="s">
        <v>3281</v>
      </c>
      <c r="V312" s="7" t="s">
        <v>723</v>
      </c>
      <c r="W312" s="7" t="s">
        <v>57</v>
      </c>
      <c r="X312" s="7" t="s">
        <v>103</v>
      </c>
      <c r="Y312" s="8">
        <v>45462</v>
      </c>
      <c r="Z312" s="8">
        <v>45767</v>
      </c>
      <c r="AA312" s="7" t="s">
        <v>1767</v>
      </c>
      <c r="AB312" s="7" t="s">
        <v>1419</v>
      </c>
      <c r="AC312" s="7" t="s">
        <v>65</v>
      </c>
      <c r="AD312" s="7" t="s">
        <v>0</v>
      </c>
      <c r="AE312" s="7" t="s">
        <v>0</v>
      </c>
      <c r="AF312" s="7" t="s">
        <v>0</v>
      </c>
      <c r="AG312" s="7" t="s">
        <v>0</v>
      </c>
      <c r="AH312" s="9" t="s">
        <v>0</v>
      </c>
      <c r="AI312" s="9" t="s">
        <v>0</v>
      </c>
      <c r="AJ312" s="9" t="s">
        <v>0</v>
      </c>
      <c r="AK312" s="7" t="s">
        <v>61</v>
      </c>
      <c r="AL312" s="7" t="s">
        <v>61</v>
      </c>
      <c r="AM312" s="7" t="s">
        <v>0</v>
      </c>
      <c r="AN312" s="7" t="s">
        <v>0</v>
      </c>
      <c r="AO312" s="7" t="s">
        <v>0</v>
      </c>
      <c r="AP312" s="7" t="s">
        <v>0</v>
      </c>
      <c r="AQ312" s="7" t="s">
        <v>61</v>
      </c>
      <c r="AR312" s="7" t="s">
        <v>0</v>
      </c>
      <c r="AS312" s="10" t="str">
        <f>HYPERLINK("https://tessa.gazprom-neft.local/edo/card/0a365f21-054a-4deb-9964-209444e74288", "https://tessa.gazprom-neft.local/edo/card/0a365f21-054a-4deb-9964-209444e74288")</f>
        <v>https://tessa.gazprom-neft.local/edo/card/0a365f21-054a-4deb-9964-209444e74288</v>
      </c>
    </row>
    <row r="313" spans="1:45" hidden="1" x14ac:dyDescent="0.25">
      <c r="A313" s="6" t="s">
        <v>44</v>
      </c>
      <c r="B313" s="7" t="s">
        <v>4711</v>
      </c>
      <c r="C313" s="7" t="s">
        <v>67</v>
      </c>
      <c r="D313" s="8">
        <v>45462</v>
      </c>
      <c r="E313" s="8">
        <v>45468</v>
      </c>
      <c r="F313" s="16" t="s">
        <v>4712</v>
      </c>
      <c r="G313" s="7" t="s">
        <v>4713</v>
      </c>
      <c r="H313" s="7" t="s">
        <v>0</v>
      </c>
      <c r="I313" s="7" t="s">
        <v>4707</v>
      </c>
      <c r="J313" s="7" t="s">
        <v>4707</v>
      </c>
      <c r="K313" s="7" t="s">
        <v>85</v>
      </c>
      <c r="L313" s="7" t="s">
        <v>96</v>
      </c>
      <c r="M313" s="7" t="s">
        <v>4705</v>
      </c>
      <c r="N313" s="7" t="s">
        <v>4706</v>
      </c>
      <c r="O313" s="7" t="s">
        <v>0</v>
      </c>
      <c r="P313" s="7" t="s">
        <v>4708</v>
      </c>
      <c r="Q313" s="7" t="s">
        <v>4709</v>
      </c>
      <c r="R313" s="7" t="s">
        <v>1139</v>
      </c>
      <c r="S313" s="7" t="s">
        <v>4710</v>
      </c>
      <c r="T313" s="7" t="s">
        <v>54</v>
      </c>
      <c r="U313" s="7" t="s">
        <v>125</v>
      </c>
      <c r="V313" s="7" t="s">
        <v>126</v>
      </c>
      <c r="W313" s="7" t="s">
        <v>74</v>
      </c>
      <c r="X313" s="7" t="s">
        <v>103</v>
      </c>
      <c r="Y313" s="8">
        <v>45469</v>
      </c>
      <c r="Z313" s="8">
        <v>46022</v>
      </c>
      <c r="AA313" s="7" t="s">
        <v>200</v>
      </c>
      <c r="AB313" s="7" t="s">
        <v>4714</v>
      </c>
      <c r="AC313" s="7" t="s">
        <v>79</v>
      </c>
      <c r="AD313" s="7" t="s">
        <v>80</v>
      </c>
      <c r="AE313" s="7" t="s">
        <v>82</v>
      </c>
      <c r="AF313" s="7" t="s">
        <v>0</v>
      </c>
      <c r="AG313" s="7" t="s">
        <v>4715</v>
      </c>
      <c r="AH313" s="9" t="s">
        <v>12184</v>
      </c>
      <c r="AI313" s="9" t="s">
        <v>12185</v>
      </c>
      <c r="AJ313" s="9" t="s">
        <v>12186</v>
      </c>
      <c r="AK313" s="7" t="s">
        <v>81</v>
      </c>
      <c r="AL313" s="7" t="s">
        <v>61</v>
      </c>
      <c r="AM313" s="7" t="s">
        <v>0</v>
      </c>
      <c r="AN313" s="7" t="s">
        <v>0</v>
      </c>
      <c r="AO313" s="7" t="s">
        <v>0</v>
      </c>
      <c r="AP313" s="7" t="s">
        <v>0</v>
      </c>
      <c r="AQ313" s="7" t="s">
        <v>61</v>
      </c>
      <c r="AR313" s="7" t="s">
        <v>0</v>
      </c>
      <c r="AS313" s="10" t="str">
        <f>HYPERLINK("https://tessa.gazprom-neft.local/edo/card/3a186d05-685b-4d92-aeca-9b04efd549e6", "https://tessa.gazprom-neft.local/edo/card/3a186d05-685b-4d92-aeca-9b04efd549e6")</f>
        <v>https://tessa.gazprom-neft.local/edo/card/3a186d05-685b-4d92-aeca-9b04efd549e6</v>
      </c>
    </row>
    <row r="314" spans="1:45" x14ac:dyDescent="0.25">
      <c r="A314" s="6" t="s">
        <v>44</v>
      </c>
      <c r="B314" s="7" t="s">
        <v>4951</v>
      </c>
      <c r="C314" s="7" t="s">
        <v>67</v>
      </c>
      <c r="D314" s="8">
        <v>45462</v>
      </c>
      <c r="E314" s="8" t="s">
        <v>0</v>
      </c>
      <c r="F314" s="16" t="s">
        <v>4952</v>
      </c>
      <c r="G314" s="7" t="s">
        <v>2497</v>
      </c>
      <c r="H314" s="7" t="s">
        <v>3129</v>
      </c>
      <c r="I314" s="7" t="s">
        <v>0</v>
      </c>
      <c r="J314" s="7" t="s">
        <v>872</v>
      </c>
      <c r="K314" s="7" t="s">
        <v>47</v>
      </c>
      <c r="L314" s="7" t="s">
        <v>48</v>
      </c>
      <c r="M314" s="7" t="s">
        <v>0</v>
      </c>
      <c r="N314" s="7" t="s">
        <v>4948</v>
      </c>
      <c r="O314" s="7" t="s">
        <v>0</v>
      </c>
      <c r="P314" s="7" t="s">
        <v>4949</v>
      </c>
      <c r="Q314" s="7" t="s">
        <v>4950</v>
      </c>
      <c r="R314" s="7" t="s">
        <v>124</v>
      </c>
      <c r="S314" s="7" t="s">
        <v>0</v>
      </c>
      <c r="T314" s="7" t="s">
        <v>54</v>
      </c>
      <c r="U314" s="7" t="s">
        <v>125</v>
      </c>
      <c r="V314" s="7" t="s">
        <v>126</v>
      </c>
      <c r="W314" s="7" t="s">
        <v>57</v>
      </c>
      <c r="X314" s="7" t="s">
        <v>58</v>
      </c>
      <c r="Y314" s="8">
        <v>45462</v>
      </c>
      <c r="Z314" s="8" t="s">
        <v>0</v>
      </c>
      <c r="AA314" s="7" t="s">
        <v>200</v>
      </c>
      <c r="AB314" s="7" t="s">
        <v>130</v>
      </c>
      <c r="AC314" s="7" t="s">
        <v>79</v>
      </c>
      <c r="AD314" s="7" t="s">
        <v>80</v>
      </c>
      <c r="AE314" s="7" t="s">
        <v>82</v>
      </c>
      <c r="AF314" s="7" t="s">
        <v>0</v>
      </c>
      <c r="AG314" s="7" t="s">
        <v>0</v>
      </c>
      <c r="AH314" s="9" t="s">
        <v>12268</v>
      </c>
      <c r="AI314" s="9" t="s">
        <v>12269</v>
      </c>
      <c r="AJ314" s="9" t="s">
        <v>12270</v>
      </c>
      <c r="AK314" s="7" t="s">
        <v>61</v>
      </c>
      <c r="AL314" s="7" t="s">
        <v>61</v>
      </c>
      <c r="AM314" s="7" t="s">
        <v>0</v>
      </c>
      <c r="AN314" s="7" t="s">
        <v>0</v>
      </c>
      <c r="AO314" s="7" t="s">
        <v>0</v>
      </c>
      <c r="AP314" s="7" t="s">
        <v>0</v>
      </c>
      <c r="AQ314" s="7" t="s">
        <v>61</v>
      </c>
      <c r="AR314" s="7" t="s">
        <v>0</v>
      </c>
      <c r="AS314" s="10" t="str">
        <f>HYPERLINK("https://tessa.gazprom-neft.local/edo/card/6db5811d-0492-4bee-8671-ed5e6c3b70ed", "https://tessa.gazprom-neft.local/edo/card/6db5811d-0492-4bee-8671-ed5e6c3b70ed")</f>
        <v>https://tessa.gazprom-neft.local/edo/card/6db5811d-0492-4bee-8671-ed5e6c3b70ed</v>
      </c>
    </row>
    <row r="315" spans="1:45" x14ac:dyDescent="0.25">
      <c r="A315" s="6" t="s">
        <v>44</v>
      </c>
      <c r="B315" s="7" t="s">
        <v>1192</v>
      </c>
      <c r="C315" s="7" t="s">
        <v>67</v>
      </c>
      <c r="D315" s="8">
        <v>45462</v>
      </c>
      <c r="E315" s="8">
        <v>45474</v>
      </c>
      <c r="F315" s="16" t="s">
        <v>4005</v>
      </c>
      <c r="G315" s="7" t="s">
        <v>1194</v>
      </c>
      <c r="H315" s="7" t="s">
        <v>4003</v>
      </c>
      <c r="I315" s="7" t="s">
        <v>0</v>
      </c>
      <c r="J315" s="7" t="s">
        <v>872</v>
      </c>
      <c r="K315" s="7" t="s">
        <v>47</v>
      </c>
      <c r="L315" s="7" t="s">
        <v>48</v>
      </c>
      <c r="M315" s="7" t="s">
        <v>0</v>
      </c>
      <c r="N315" s="7" t="s">
        <v>4956</v>
      </c>
      <c r="O315" s="7" t="s">
        <v>0</v>
      </c>
      <c r="P315" s="7" t="s">
        <v>4957</v>
      </c>
      <c r="Q315" s="7" t="s">
        <v>4958</v>
      </c>
      <c r="R315" s="7" t="s">
        <v>505</v>
      </c>
      <c r="S315" s="7" t="s">
        <v>2349</v>
      </c>
      <c r="T315" s="7" t="s">
        <v>54</v>
      </c>
      <c r="U315" s="7" t="s">
        <v>362</v>
      </c>
      <c r="V315" s="7" t="s">
        <v>295</v>
      </c>
      <c r="W315" s="7" t="s">
        <v>74</v>
      </c>
      <c r="X315" s="7" t="s">
        <v>58</v>
      </c>
      <c r="Y315" s="8">
        <v>45462</v>
      </c>
      <c r="Z315" s="8" t="s">
        <v>0</v>
      </c>
      <c r="AA315" s="7" t="s">
        <v>296</v>
      </c>
      <c r="AB315" s="7" t="s">
        <v>1748</v>
      </c>
      <c r="AC315" s="7" t="s">
        <v>79</v>
      </c>
      <c r="AD315" s="7" t="s">
        <v>514</v>
      </c>
      <c r="AE315" s="7" t="s">
        <v>82</v>
      </c>
      <c r="AF315" s="7" t="s">
        <v>0</v>
      </c>
      <c r="AG315" s="7" t="s">
        <v>0</v>
      </c>
      <c r="AH315" s="9" t="s">
        <v>12271</v>
      </c>
      <c r="AI315" s="9" t="s">
        <v>12272</v>
      </c>
      <c r="AJ315" s="9" t="s">
        <v>12273</v>
      </c>
      <c r="AK315" s="7" t="s">
        <v>61</v>
      </c>
      <c r="AL315" s="7" t="s">
        <v>61</v>
      </c>
      <c r="AM315" s="7" t="s">
        <v>0</v>
      </c>
      <c r="AN315" s="7" t="s">
        <v>0</v>
      </c>
      <c r="AO315" s="7" t="s">
        <v>0</v>
      </c>
      <c r="AP315" s="7" t="s">
        <v>0</v>
      </c>
      <c r="AQ315" s="7" t="s">
        <v>61</v>
      </c>
      <c r="AR315" s="7" t="s">
        <v>0</v>
      </c>
      <c r="AS315" s="10" t="str">
        <f>HYPERLINK("https://tessa.gazprom-neft.local/edo/card/3f9cb888-6f48-406d-ad91-7a6158329d22", "https://tessa.gazprom-neft.local/edo/card/3f9cb888-6f48-406d-ad91-7a6158329d22")</f>
        <v>https://tessa.gazprom-neft.local/edo/card/3f9cb888-6f48-406d-ad91-7a6158329d22</v>
      </c>
    </row>
    <row r="316" spans="1:45" hidden="1" x14ac:dyDescent="0.25">
      <c r="A316" s="6" t="s">
        <v>44</v>
      </c>
      <c r="B316" s="7" t="s">
        <v>4657</v>
      </c>
      <c r="C316" s="7" t="s">
        <v>67</v>
      </c>
      <c r="D316" s="8">
        <v>45461</v>
      </c>
      <c r="E316" s="8">
        <v>45462</v>
      </c>
      <c r="F316" s="16" t="s">
        <v>4658</v>
      </c>
      <c r="G316" s="7" t="s">
        <v>4659</v>
      </c>
      <c r="H316" s="7" t="s">
        <v>0</v>
      </c>
      <c r="I316" s="7" t="s">
        <v>4654</v>
      </c>
      <c r="J316" s="7" t="s">
        <v>4654</v>
      </c>
      <c r="K316" s="7" t="s">
        <v>47</v>
      </c>
      <c r="L316" s="7" t="s">
        <v>96</v>
      </c>
      <c r="M316" s="7" t="s">
        <v>0</v>
      </c>
      <c r="N316" s="7" t="s">
        <v>4653</v>
      </c>
      <c r="O316" s="7" t="s">
        <v>0</v>
      </c>
      <c r="P316" s="7" t="s">
        <v>4655</v>
      </c>
      <c r="Q316" s="7" t="s">
        <v>4656</v>
      </c>
      <c r="R316" s="7" t="s">
        <v>427</v>
      </c>
      <c r="S316" s="7" t="s">
        <v>427</v>
      </c>
      <c r="T316" s="7" t="s">
        <v>54</v>
      </c>
      <c r="U316" s="7" t="s">
        <v>428</v>
      </c>
      <c r="V316" s="7" t="s">
        <v>340</v>
      </c>
      <c r="W316" s="7" t="s">
        <v>74</v>
      </c>
      <c r="X316" s="7" t="s">
        <v>103</v>
      </c>
      <c r="Y316" s="8">
        <v>45461</v>
      </c>
      <c r="Z316" s="8">
        <v>46444</v>
      </c>
      <c r="AA316" s="7" t="s">
        <v>341</v>
      </c>
      <c r="AB316" s="7" t="s">
        <v>64</v>
      </c>
      <c r="AC316" s="7" t="s">
        <v>79</v>
      </c>
      <c r="AD316" s="7" t="s">
        <v>80</v>
      </c>
      <c r="AE316" s="7" t="s">
        <v>82</v>
      </c>
      <c r="AF316" s="7" t="s">
        <v>0</v>
      </c>
      <c r="AG316" s="7" t="s">
        <v>0</v>
      </c>
      <c r="AH316" s="9" t="s">
        <v>12157</v>
      </c>
      <c r="AI316" s="9" t="s">
        <v>12158</v>
      </c>
      <c r="AJ316" s="9" t="s">
        <v>12159</v>
      </c>
      <c r="AK316" s="7" t="s">
        <v>61</v>
      </c>
      <c r="AL316" s="7" t="s">
        <v>61</v>
      </c>
      <c r="AM316" s="7" t="s">
        <v>0</v>
      </c>
      <c r="AN316" s="7" t="s">
        <v>0</v>
      </c>
      <c r="AO316" s="7" t="s">
        <v>0</v>
      </c>
      <c r="AP316" s="7" t="s">
        <v>0</v>
      </c>
      <c r="AQ316" s="7" t="s">
        <v>61</v>
      </c>
      <c r="AR316" s="7" t="s">
        <v>0</v>
      </c>
      <c r="AS316" s="10" t="str">
        <f>HYPERLINK("https://tessa.gazprom-neft.local/edo/card/5a194ebf-436a-4bc8-8674-b02da83944e7", "https://tessa.gazprom-neft.local/edo/card/5a194ebf-436a-4bc8-8674-b02da83944e7")</f>
        <v>https://tessa.gazprom-neft.local/edo/card/5a194ebf-436a-4bc8-8674-b02da83944e7</v>
      </c>
    </row>
    <row r="317" spans="1:45" hidden="1" x14ac:dyDescent="0.25">
      <c r="A317" s="6" t="s">
        <v>44</v>
      </c>
      <c r="B317" s="7" t="s">
        <v>4657</v>
      </c>
      <c r="C317" s="7" t="s">
        <v>67</v>
      </c>
      <c r="D317" s="8">
        <v>45461</v>
      </c>
      <c r="E317" s="8" t="s">
        <v>0</v>
      </c>
      <c r="F317" s="16" t="s">
        <v>4658</v>
      </c>
      <c r="G317" s="7" t="s">
        <v>4659</v>
      </c>
      <c r="H317" s="7" t="s">
        <v>0</v>
      </c>
      <c r="I317" s="7" t="s">
        <v>4730</v>
      </c>
      <c r="J317" s="7" t="s">
        <v>4730</v>
      </c>
      <c r="K317" s="7" t="s">
        <v>85</v>
      </c>
      <c r="L317" s="7" t="s">
        <v>86</v>
      </c>
      <c r="M317" s="7" t="s">
        <v>289</v>
      </c>
      <c r="N317" s="7" t="s">
        <v>4729</v>
      </c>
      <c r="O317" s="7" t="s">
        <v>0</v>
      </c>
      <c r="P317" s="7" t="s">
        <v>289</v>
      </c>
      <c r="Q317" s="7" t="s">
        <v>4731</v>
      </c>
      <c r="R317" s="7" t="s">
        <v>427</v>
      </c>
      <c r="S317" s="7" t="s">
        <v>427</v>
      </c>
      <c r="T317" s="7" t="s">
        <v>54</v>
      </c>
      <c r="U317" s="7" t="s">
        <v>428</v>
      </c>
      <c r="V317" s="7" t="s">
        <v>340</v>
      </c>
      <c r="W317" s="7" t="s">
        <v>74</v>
      </c>
      <c r="X317" s="7" t="s">
        <v>103</v>
      </c>
      <c r="Y317" s="8">
        <v>45461</v>
      </c>
      <c r="Z317" s="8">
        <v>46444</v>
      </c>
      <c r="AA317" s="7" t="s">
        <v>341</v>
      </c>
      <c r="AB317" s="7" t="s">
        <v>300</v>
      </c>
      <c r="AC317" s="7" t="s">
        <v>65</v>
      </c>
      <c r="AD317" s="7" t="s">
        <v>0</v>
      </c>
      <c r="AE317" s="7" t="s">
        <v>0</v>
      </c>
      <c r="AF317" s="7" t="s">
        <v>0</v>
      </c>
      <c r="AG317" s="7" t="s">
        <v>0</v>
      </c>
      <c r="AH317" s="9" t="s">
        <v>0</v>
      </c>
      <c r="AI317" s="9" t="s">
        <v>0</v>
      </c>
      <c r="AJ317" s="9" t="s">
        <v>0</v>
      </c>
      <c r="AK317" s="7" t="s">
        <v>61</v>
      </c>
      <c r="AL317" s="7" t="s">
        <v>61</v>
      </c>
      <c r="AM317" s="7" t="s">
        <v>0</v>
      </c>
      <c r="AN317" s="7" t="s">
        <v>0</v>
      </c>
      <c r="AO317" s="7" t="s">
        <v>0</v>
      </c>
      <c r="AP317" s="7" t="s">
        <v>0</v>
      </c>
      <c r="AQ317" s="7" t="s">
        <v>61</v>
      </c>
      <c r="AR317" s="7" t="s">
        <v>0</v>
      </c>
      <c r="AS317" s="10" t="str">
        <f>HYPERLINK("https://tessa.gazprom-neft.local/edo/card/0746174d-8767-41b1-ad0f-7e8ccf41abc2", "https://tessa.gazprom-neft.local/edo/card/0746174d-8767-41b1-ad0f-7e8ccf41abc2")</f>
        <v>https://tessa.gazprom-neft.local/edo/card/0746174d-8767-41b1-ad0f-7e8ccf41abc2</v>
      </c>
    </row>
    <row r="318" spans="1:45" hidden="1" x14ac:dyDescent="0.25">
      <c r="A318" s="6" t="s">
        <v>44</v>
      </c>
      <c r="B318" s="7" t="s">
        <v>715</v>
      </c>
      <c r="C318" s="7" t="s">
        <v>67</v>
      </c>
      <c r="D318" s="8">
        <v>45461</v>
      </c>
      <c r="E318" s="8">
        <v>45462</v>
      </c>
      <c r="F318" s="16" t="s">
        <v>716</v>
      </c>
      <c r="G318" s="7" t="s">
        <v>717</v>
      </c>
      <c r="H318" s="7" t="s">
        <v>710</v>
      </c>
      <c r="I318" s="7" t="s">
        <v>0</v>
      </c>
      <c r="J318" s="7" t="s">
        <v>4838</v>
      </c>
      <c r="K318" s="7" t="s">
        <v>47</v>
      </c>
      <c r="L318" s="7" t="s">
        <v>709</v>
      </c>
      <c r="M318" s="7" t="s">
        <v>0</v>
      </c>
      <c r="N318" s="7" t="s">
        <v>4836</v>
      </c>
      <c r="O318" s="7" t="s">
        <v>0</v>
      </c>
      <c r="P318" s="7" t="s">
        <v>4837</v>
      </c>
      <c r="Q318" s="7" t="s">
        <v>4839</v>
      </c>
      <c r="R318" s="7" t="s">
        <v>714</v>
      </c>
      <c r="S318" s="7" t="s">
        <v>0</v>
      </c>
      <c r="T318" s="7" t="s">
        <v>54</v>
      </c>
      <c r="U318" s="7" t="s">
        <v>101</v>
      </c>
      <c r="V318" s="7" t="s">
        <v>308</v>
      </c>
      <c r="W318" s="7" t="s">
        <v>74</v>
      </c>
      <c r="X318" s="7" t="s">
        <v>103</v>
      </c>
      <c r="Y318" s="8">
        <v>45461</v>
      </c>
      <c r="Z318" s="8">
        <v>45550</v>
      </c>
      <c r="AA318" s="7" t="s">
        <v>309</v>
      </c>
      <c r="AB318" s="7" t="s">
        <v>64</v>
      </c>
      <c r="AC318" s="7" t="s">
        <v>79</v>
      </c>
      <c r="AD318" s="7" t="s">
        <v>144</v>
      </c>
      <c r="AE318" s="7" t="s">
        <v>82</v>
      </c>
      <c r="AF318" s="7" t="s">
        <v>0</v>
      </c>
      <c r="AG318" s="7" t="s">
        <v>0</v>
      </c>
      <c r="AH318" s="9" t="s">
        <v>12237</v>
      </c>
      <c r="AI318" s="9" t="s">
        <v>12238</v>
      </c>
      <c r="AJ318" s="9" t="s">
        <v>12239</v>
      </c>
      <c r="AK318" s="7" t="s">
        <v>61</v>
      </c>
      <c r="AL318" s="7" t="s">
        <v>61</v>
      </c>
      <c r="AM318" s="7" t="s">
        <v>0</v>
      </c>
      <c r="AN318" s="7" t="s">
        <v>0</v>
      </c>
      <c r="AO318" s="7" t="s">
        <v>0</v>
      </c>
      <c r="AP318" s="7" t="s">
        <v>0</v>
      </c>
      <c r="AQ318" s="7" t="s">
        <v>61</v>
      </c>
      <c r="AR318" s="7" t="s">
        <v>0</v>
      </c>
      <c r="AS318" s="10" t="str">
        <f>HYPERLINK("https://tessa.gazprom-neft.local/edo/card/2bc53279-97b7-45aa-a383-14038a91ed62", "https://tessa.gazprom-neft.local/edo/card/2bc53279-97b7-45aa-a383-14038a91ed62")</f>
        <v>https://tessa.gazprom-neft.local/edo/card/2bc53279-97b7-45aa-a383-14038a91ed62</v>
      </c>
    </row>
    <row r="319" spans="1:45" hidden="1" x14ac:dyDescent="0.25">
      <c r="A319" s="6" t="s">
        <v>44</v>
      </c>
      <c r="B319" s="7" t="s">
        <v>0</v>
      </c>
      <c r="C319" s="7" t="s">
        <v>67</v>
      </c>
      <c r="D319" s="8">
        <v>45460</v>
      </c>
      <c r="E319" s="8" t="s">
        <v>0</v>
      </c>
      <c r="F319" s="16" t="s">
        <v>4442</v>
      </c>
      <c r="G319" s="7" t="s">
        <v>0</v>
      </c>
      <c r="H319" s="7" t="s">
        <v>0</v>
      </c>
      <c r="I319" s="7" t="s">
        <v>4440</v>
      </c>
      <c r="J319" s="7" t="s">
        <v>4440</v>
      </c>
      <c r="K319" s="7" t="s">
        <v>47</v>
      </c>
      <c r="L319" s="7" t="s">
        <v>96</v>
      </c>
      <c r="M319" s="7" t="s">
        <v>0</v>
      </c>
      <c r="N319" s="7" t="s">
        <v>4439</v>
      </c>
      <c r="O319" s="7" t="s">
        <v>0</v>
      </c>
      <c r="P319" s="7" t="s">
        <v>1040</v>
      </c>
      <c r="Q319" s="7" t="s">
        <v>4441</v>
      </c>
      <c r="R319" s="7" t="s">
        <v>166</v>
      </c>
      <c r="S319" s="7" t="s">
        <v>166</v>
      </c>
      <c r="T319" s="7" t="s">
        <v>54</v>
      </c>
      <c r="U319" s="7" t="s">
        <v>167</v>
      </c>
      <c r="V319" s="7" t="s">
        <v>126</v>
      </c>
      <c r="W319" s="7" t="s">
        <v>57</v>
      </c>
      <c r="X319" s="7" t="s">
        <v>103</v>
      </c>
      <c r="Y319" s="8">
        <v>45460</v>
      </c>
      <c r="Z319" s="8">
        <v>45486</v>
      </c>
      <c r="AA319" s="7" t="s">
        <v>200</v>
      </c>
      <c r="AB319" s="7" t="s">
        <v>979</v>
      </c>
      <c r="AC319" s="7" t="s">
        <v>65</v>
      </c>
      <c r="AD319" s="7" t="s">
        <v>0</v>
      </c>
      <c r="AE319" s="7" t="s">
        <v>0</v>
      </c>
      <c r="AF319" s="7" t="s">
        <v>0</v>
      </c>
      <c r="AG319" s="7" t="s">
        <v>0</v>
      </c>
      <c r="AH319" s="9" t="s">
        <v>0</v>
      </c>
      <c r="AI319" s="9" t="s">
        <v>0</v>
      </c>
      <c r="AJ319" s="9" t="s">
        <v>0</v>
      </c>
      <c r="AK319" s="7" t="s">
        <v>61</v>
      </c>
      <c r="AL319" s="7" t="s">
        <v>61</v>
      </c>
      <c r="AM319" s="7" t="s">
        <v>0</v>
      </c>
      <c r="AN319" s="7" t="s">
        <v>0</v>
      </c>
      <c r="AO319" s="7" t="s">
        <v>0</v>
      </c>
      <c r="AP319" s="7" t="s">
        <v>0</v>
      </c>
      <c r="AQ319" s="7" t="s">
        <v>61</v>
      </c>
      <c r="AR319" s="7" t="s">
        <v>0</v>
      </c>
      <c r="AS319" s="10" t="str">
        <f>HYPERLINK("https://tessa.gazprom-neft.local/edo/card/34512779-5397-4560-b83a-57a547988763", "https://tessa.gazprom-neft.local/edo/card/34512779-5397-4560-b83a-57a547988763")</f>
        <v>https://tessa.gazprom-neft.local/edo/card/34512779-5397-4560-b83a-57a547988763</v>
      </c>
    </row>
    <row r="320" spans="1:45" hidden="1" x14ac:dyDescent="0.25">
      <c r="A320" s="6" t="s">
        <v>44</v>
      </c>
      <c r="B320" s="7" t="s">
        <v>4377</v>
      </c>
      <c r="C320" s="7" t="s">
        <v>67</v>
      </c>
      <c r="D320" s="8">
        <v>45460</v>
      </c>
      <c r="E320" s="8">
        <v>45464</v>
      </c>
      <c r="F320" s="16" t="s">
        <v>4378</v>
      </c>
      <c r="G320" s="7" t="s">
        <v>4379</v>
      </c>
      <c r="H320" s="7" t="s">
        <v>0</v>
      </c>
      <c r="I320" s="7" t="s">
        <v>4767</v>
      </c>
      <c r="J320" s="7" t="s">
        <v>4767</v>
      </c>
      <c r="K320" s="7" t="s">
        <v>85</v>
      </c>
      <c r="L320" s="7" t="s">
        <v>86</v>
      </c>
      <c r="M320" s="7" t="s">
        <v>289</v>
      </c>
      <c r="N320" s="7" t="s">
        <v>4766</v>
      </c>
      <c r="O320" s="7" t="s">
        <v>0</v>
      </c>
      <c r="P320" s="7" t="s">
        <v>289</v>
      </c>
      <c r="Q320" s="7" t="s">
        <v>4768</v>
      </c>
      <c r="R320" s="7" t="s">
        <v>338</v>
      </c>
      <c r="S320" s="7" t="s">
        <v>2768</v>
      </c>
      <c r="T320" s="7" t="s">
        <v>54</v>
      </c>
      <c r="U320" s="7" t="s">
        <v>55</v>
      </c>
      <c r="V320" s="7" t="s">
        <v>340</v>
      </c>
      <c r="W320" s="7" t="s">
        <v>74</v>
      </c>
      <c r="X320" s="7" t="s">
        <v>223</v>
      </c>
      <c r="Y320" s="8">
        <v>45460</v>
      </c>
      <c r="Z320" s="8" t="s">
        <v>0</v>
      </c>
      <c r="AA320" s="7" t="s">
        <v>341</v>
      </c>
      <c r="AB320" s="7" t="s">
        <v>300</v>
      </c>
      <c r="AC320" s="7" t="s">
        <v>65</v>
      </c>
      <c r="AD320" s="7" t="s">
        <v>0</v>
      </c>
      <c r="AE320" s="7" t="s">
        <v>0</v>
      </c>
      <c r="AF320" s="7" t="s">
        <v>0</v>
      </c>
      <c r="AG320" s="7" t="s">
        <v>0</v>
      </c>
      <c r="AH320" s="9" t="s">
        <v>0</v>
      </c>
      <c r="AI320" s="9" t="s">
        <v>0</v>
      </c>
      <c r="AJ320" s="9" t="s">
        <v>0</v>
      </c>
      <c r="AK320" s="7" t="s">
        <v>61</v>
      </c>
      <c r="AL320" s="7" t="s">
        <v>61</v>
      </c>
      <c r="AM320" s="7" t="s">
        <v>0</v>
      </c>
      <c r="AN320" s="7" t="s">
        <v>0</v>
      </c>
      <c r="AO320" s="7" t="s">
        <v>0</v>
      </c>
      <c r="AP320" s="7" t="s">
        <v>0</v>
      </c>
      <c r="AQ320" s="7" t="s">
        <v>61</v>
      </c>
      <c r="AR320" s="7" t="s">
        <v>0</v>
      </c>
      <c r="AS320" s="10" t="str">
        <f>HYPERLINK("https://tessa.gazprom-neft.local/edo/card/851f0b32-6b6c-49a8-842d-00eea0534fde", "https://tessa.gazprom-neft.local/edo/card/851f0b32-6b6c-49a8-842d-00eea0534fde")</f>
        <v>https://tessa.gazprom-neft.local/edo/card/851f0b32-6b6c-49a8-842d-00eea0534fde</v>
      </c>
    </row>
    <row r="321" spans="1:45" hidden="1" x14ac:dyDescent="0.25">
      <c r="A321" s="6" t="s">
        <v>44</v>
      </c>
      <c r="B321" s="7" t="s">
        <v>395</v>
      </c>
      <c r="C321" s="7" t="s">
        <v>67</v>
      </c>
      <c r="D321" s="8">
        <v>45460</v>
      </c>
      <c r="E321" s="8">
        <v>45467</v>
      </c>
      <c r="F321" s="16" t="s">
        <v>396</v>
      </c>
      <c r="G321" s="7" t="s">
        <v>397</v>
      </c>
      <c r="H321" s="7" t="s">
        <v>0</v>
      </c>
      <c r="I321" s="7" t="s">
        <v>4844</v>
      </c>
      <c r="J321" s="7" t="s">
        <v>4844</v>
      </c>
      <c r="K321" s="7" t="s">
        <v>85</v>
      </c>
      <c r="L321" s="7" t="s">
        <v>96</v>
      </c>
      <c r="M321" s="7" t="s">
        <v>398</v>
      </c>
      <c r="N321" s="7" t="s">
        <v>4843</v>
      </c>
      <c r="O321" s="7" t="s">
        <v>0</v>
      </c>
      <c r="P321" s="7" t="s">
        <v>4452</v>
      </c>
      <c r="Q321" s="7" t="s">
        <v>402</v>
      </c>
      <c r="R321" s="7" t="s">
        <v>361</v>
      </c>
      <c r="S321" s="7" t="s">
        <v>361</v>
      </c>
      <c r="T321" s="7" t="s">
        <v>54</v>
      </c>
      <c r="U321" s="7" t="s">
        <v>362</v>
      </c>
      <c r="V321" s="7" t="s">
        <v>295</v>
      </c>
      <c r="W321" s="7" t="s">
        <v>74</v>
      </c>
      <c r="X321" s="7" t="s">
        <v>103</v>
      </c>
      <c r="Y321" s="8">
        <v>45474</v>
      </c>
      <c r="Z321" s="8">
        <v>45657</v>
      </c>
      <c r="AA321" s="7" t="s">
        <v>296</v>
      </c>
      <c r="AB321" s="7" t="s">
        <v>366</v>
      </c>
      <c r="AC321" s="7" t="s">
        <v>278</v>
      </c>
      <c r="AD321" s="7" t="s">
        <v>367</v>
      </c>
      <c r="AE321" s="7" t="s">
        <v>82</v>
      </c>
      <c r="AF321" s="7" t="s">
        <v>0</v>
      </c>
      <c r="AG321" s="7" t="s">
        <v>0</v>
      </c>
      <c r="AH321" s="9" t="s">
        <v>12243</v>
      </c>
      <c r="AI321" s="9" t="s">
        <v>12244</v>
      </c>
      <c r="AJ321" s="9" t="s">
        <v>12245</v>
      </c>
      <c r="AK321" s="7" t="s">
        <v>61</v>
      </c>
      <c r="AL321" s="7" t="s">
        <v>61</v>
      </c>
      <c r="AM321" s="7" t="s">
        <v>0</v>
      </c>
      <c r="AN321" s="7" t="s">
        <v>0</v>
      </c>
      <c r="AO321" s="7" t="s">
        <v>0</v>
      </c>
      <c r="AP321" s="7" t="s">
        <v>0</v>
      </c>
      <c r="AQ321" s="7" t="s">
        <v>61</v>
      </c>
      <c r="AR321" s="7" t="s">
        <v>0</v>
      </c>
      <c r="AS321" s="10" t="str">
        <f>HYPERLINK("https://tessa.gazprom-neft.local/edo/card/d3e8a340-f9fe-43dd-96c5-5d3c0fd96b92", "https://tessa.gazprom-neft.local/edo/card/d3e8a340-f9fe-43dd-96c5-5d3c0fd96b92")</f>
        <v>https://tessa.gazprom-neft.local/edo/card/d3e8a340-f9fe-43dd-96c5-5d3c0fd96b92</v>
      </c>
    </row>
    <row r="322" spans="1:45" hidden="1" x14ac:dyDescent="0.25">
      <c r="A322" s="6" t="s">
        <v>44</v>
      </c>
      <c r="B322" s="7" t="s">
        <v>715</v>
      </c>
      <c r="C322" s="7" t="s">
        <v>67</v>
      </c>
      <c r="D322" s="8">
        <v>45460</v>
      </c>
      <c r="E322" s="8">
        <v>45467</v>
      </c>
      <c r="F322" s="16" t="s">
        <v>716</v>
      </c>
      <c r="G322" s="7" t="s">
        <v>717</v>
      </c>
      <c r="H322" s="7" t="s">
        <v>710</v>
      </c>
      <c r="I322" s="7" t="s">
        <v>0</v>
      </c>
      <c r="J322" s="7" t="s">
        <v>51</v>
      </c>
      <c r="K322" s="7" t="s">
        <v>47</v>
      </c>
      <c r="L322" s="7" t="s">
        <v>389</v>
      </c>
      <c r="M322" s="7" t="s">
        <v>0</v>
      </c>
      <c r="N322" s="7" t="s">
        <v>4867</v>
      </c>
      <c r="O322" s="7" t="s">
        <v>955</v>
      </c>
      <c r="P322" s="7" t="s">
        <v>4868</v>
      </c>
      <c r="Q322" s="7" t="s">
        <v>4869</v>
      </c>
      <c r="R322" s="7" t="s">
        <v>714</v>
      </c>
      <c r="S322" s="7" t="s">
        <v>714</v>
      </c>
      <c r="T322" s="7" t="s">
        <v>54</v>
      </c>
      <c r="U322" s="7" t="s">
        <v>101</v>
      </c>
      <c r="V322" s="7" t="s">
        <v>308</v>
      </c>
      <c r="W322" s="7" t="s">
        <v>74</v>
      </c>
      <c r="X322" s="7" t="s">
        <v>103</v>
      </c>
      <c r="Y322" s="8">
        <v>45460</v>
      </c>
      <c r="Z322" s="8">
        <v>45565</v>
      </c>
      <c r="AA322" s="7" t="s">
        <v>309</v>
      </c>
      <c r="AB322" s="7" t="s">
        <v>64</v>
      </c>
      <c r="AC322" s="7" t="s">
        <v>79</v>
      </c>
      <c r="AD322" s="7" t="s">
        <v>144</v>
      </c>
      <c r="AE322" s="7" t="s">
        <v>82</v>
      </c>
      <c r="AF322" s="7" t="s">
        <v>0</v>
      </c>
      <c r="AG322" s="7" t="s">
        <v>0</v>
      </c>
      <c r="AH322" s="9" t="s">
        <v>12258</v>
      </c>
      <c r="AI322" s="9" t="s">
        <v>12259</v>
      </c>
      <c r="AJ322" s="9" t="s">
        <v>12260</v>
      </c>
      <c r="AK322" s="7" t="s">
        <v>61</v>
      </c>
      <c r="AL322" s="7" t="s">
        <v>61</v>
      </c>
      <c r="AM322" s="7" t="s">
        <v>0</v>
      </c>
      <c r="AN322" s="7" t="s">
        <v>0</v>
      </c>
      <c r="AO322" s="7" t="s">
        <v>0</v>
      </c>
      <c r="AP322" s="7" t="s">
        <v>0</v>
      </c>
      <c r="AQ322" s="7" t="s">
        <v>61</v>
      </c>
      <c r="AR322" s="7" t="s">
        <v>0</v>
      </c>
      <c r="AS322" s="10" t="str">
        <f>HYPERLINK("https://tessa.gazprom-neft.local/edo/card/e9addafd-6554-4e2c-b625-22e165a6a081", "https://tessa.gazprom-neft.local/edo/card/e9addafd-6554-4e2c-b625-22e165a6a081")</f>
        <v>https://tessa.gazprom-neft.local/edo/card/e9addafd-6554-4e2c-b625-22e165a6a081</v>
      </c>
    </row>
    <row r="323" spans="1:45" x14ac:dyDescent="0.25">
      <c r="A323" s="6" t="s">
        <v>44</v>
      </c>
      <c r="B323" s="7" t="s">
        <v>275</v>
      </c>
      <c r="C323" s="7" t="s">
        <v>67</v>
      </c>
      <c r="D323" s="8">
        <v>45460</v>
      </c>
      <c r="E323" s="8" t="s">
        <v>0</v>
      </c>
      <c r="F323" s="16" t="s">
        <v>276</v>
      </c>
      <c r="G323" s="7" t="s">
        <v>277</v>
      </c>
      <c r="H323" s="7" t="s">
        <v>4939</v>
      </c>
      <c r="I323" s="7" t="s">
        <v>0</v>
      </c>
      <c r="J323" s="7" t="s">
        <v>1098</v>
      </c>
      <c r="K323" s="7" t="s">
        <v>47</v>
      </c>
      <c r="L323" s="7" t="s">
        <v>48</v>
      </c>
      <c r="M323" s="7" t="s">
        <v>0</v>
      </c>
      <c r="N323" s="7" t="s">
        <v>4938</v>
      </c>
      <c r="O323" s="7" t="s">
        <v>0</v>
      </c>
      <c r="P323" s="7" t="s">
        <v>4940</v>
      </c>
      <c r="Q323" s="7" t="s">
        <v>4941</v>
      </c>
      <c r="R323" s="7" t="s">
        <v>4942</v>
      </c>
      <c r="S323" s="7" t="s">
        <v>4942</v>
      </c>
      <c r="T323" s="7" t="s">
        <v>54</v>
      </c>
      <c r="U323" s="7" t="s">
        <v>274</v>
      </c>
      <c r="V323" s="7" t="s">
        <v>723</v>
      </c>
      <c r="W323" s="7" t="s">
        <v>57</v>
      </c>
      <c r="X323" s="7" t="s">
        <v>58</v>
      </c>
      <c r="Y323" s="8">
        <v>45460</v>
      </c>
      <c r="Z323" s="8" t="s">
        <v>0</v>
      </c>
      <c r="AA323" s="7" t="s">
        <v>1767</v>
      </c>
      <c r="AB323" s="7" t="s">
        <v>64</v>
      </c>
      <c r="AC323" s="7" t="s">
        <v>278</v>
      </c>
      <c r="AD323" s="7" t="s">
        <v>80</v>
      </c>
      <c r="AE323" s="7" t="s">
        <v>82</v>
      </c>
      <c r="AF323" s="7" t="s">
        <v>0</v>
      </c>
      <c r="AG323" s="7" t="s">
        <v>0</v>
      </c>
      <c r="AH323" s="9" t="s">
        <v>12265</v>
      </c>
      <c r="AI323" s="9" t="s">
        <v>12266</v>
      </c>
      <c r="AJ323" s="9" t="s">
        <v>12267</v>
      </c>
      <c r="AK323" s="7" t="s">
        <v>61</v>
      </c>
      <c r="AL323" s="7" t="s">
        <v>61</v>
      </c>
      <c r="AM323" s="7" t="s">
        <v>0</v>
      </c>
      <c r="AN323" s="7" t="s">
        <v>0</v>
      </c>
      <c r="AO323" s="7" t="s">
        <v>0</v>
      </c>
      <c r="AP323" s="7" t="s">
        <v>0</v>
      </c>
      <c r="AQ323" s="7" t="s">
        <v>61</v>
      </c>
      <c r="AR323" s="7" t="s">
        <v>0</v>
      </c>
      <c r="AS323" s="10" t="str">
        <f>HYPERLINK("https://tessa.gazprom-neft.local/edo/card/a6d54901-fa38-4f2a-b146-5de93a1f2f34", "https://tessa.gazprom-neft.local/edo/card/a6d54901-fa38-4f2a-b146-5de93a1f2f34")</f>
        <v>https://tessa.gazprom-neft.local/edo/card/a6d54901-fa38-4f2a-b146-5de93a1f2f34</v>
      </c>
    </row>
    <row r="324" spans="1:45" hidden="1" x14ac:dyDescent="0.25">
      <c r="A324" s="6" t="s">
        <v>44</v>
      </c>
      <c r="B324" s="7" t="s">
        <v>4657</v>
      </c>
      <c r="C324" s="7" t="s">
        <v>67</v>
      </c>
      <c r="D324" s="8">
        <v>45457</v>
      </c>
      <c r="E324" s="8">
        <v>45469</v>
      </c>
      <c r="F324" s="16" t="s">
        <v>4658</v>
      </c>
      <c r="G324" s="7" t="s">
        <v>4659</v>
      </c>
      <c r="H324" s="7" t="s">
        <v>0</v>
      </c>
      <c r="I324" s="7" t="s">
        <v>4744</v>
      </c>
      <c r="J324" s="7" t="s">
        <v>4744</v>
      </c>
      <c r="K324" s="7" t="s">
        <v>85</v>
      </c>
      <c r="L324" s="7" t="s">
        <v>86</v>
      </c>
      <c r="M324" s="7" t="s">
        <v>83</v>
      </c>
      <c r="N324" s="7" t="s">
        <v>4743</v>
      </c>
      <c r="O324" s="7" t="s">
        <v>0</v>
      </c>
      <c r="P324" s="7" t="s">
        <v>83</v>
      </c>
      <c r="Q324" s="7" t="s">
        <v>4745</v>
      </c>
      <c r="R324" s="7" t="s">
        <v>427</v>
      </c>
      <c r="S324" s="7" t="s">
        <v>427</v>
      </c>
      <c r="T324" s="7" t="s">
        <v>54</v>
      </c>
      <c r="U324" s="7" t="s">
        <v>428</v>
      </c>
      <c r="V324" s="7" t="s">
        <v>340</v>
      </c>
      <c r="W324" s="7" t="s">
        <v>74</v>
      </c>
      <c r="X324" s="7" t="s">
        <v>103</v>
      </c>
      <c r="Y324" s="8">
        <v>45457</v>
      </c>
      <c r="Z324" s="8">
        <v>46444</v>
      </c>
      <c r="AA324" s="7" t="s">
        <v>341</v>
      </c>
      <c r="AB324" s="7" t="s">
        <v>94</v>
      </c>
      <c r="AC324" s="7" t="s">
        <v>65</v>
      </c>
      <c r="AD324" s="7" t="s">
        <v>0</v>
      </c>
      <c r="AE324" s="7" t="s">
        <v>0</v>
      </c>
      <c r="AF324" s="7" t="s">
        <v>0</v>
      </c>
      <c r="AG324" s="7" t="s">
        <v>0</v>
      </c>
      <c r="AH324" s="9" t="s">
        <v>0</v>
      </c>
      <c r="AI324" s="9" t="s">
        <v>0</v>
      </c>
      <c r="AJ324" s="9" t="s">
        <v>0</v>
      </c>
      <c r="AK324" s="7" t="s">
        <v>61</v>
      </c>
      <c r="AL324" s="7" t="s">
        <v>61</v>
      </c>
      <c r="AM324" s="7" t="s">
        <v>0</v>
      </c>
      <c r="AN324" s="7" t="s">
        <v>0</v>
      </c>
      <c r="AO324" s="7" t="s">
        <v>0</v>
      </c>
      <c r="AP324" s="7" t="s">
        <v>0</v>
      </c>
      <c r="AQ324" s="7" t="s">
        <v>61</v>
      </c>
      <c r="AR324" s="7" t="s">
        <v>0</v>
      </c>
      <c r="AS324" s="10" t="str">
        <f>HYPERLINK("https://tessa.gazprom-neft.local/edo/card/7cf71e73-826b-4d8b-a0d3-f088dc35d911", "https://tessa.gazprom-neft.local/edo/card/7cf71e73-826b-4d8b-a0d3-f088dc35d911")</f>
        <v>https://tessa.gazprom-neft.local/edo/card/7cf71e73-826b-4d8b-a0d3-f088dc35d911</v>
      </c>
    </row>
    <row r="325" spans="1:45" hidden="1" x14ac:dyDescent="0.25">
      <c r="A325" s="6" t="s">
        <v>44</v>
      </c>
      <c r="B325" s="7" t="s">
        <v>4377</v>
      </c>
      <c r="C325" s="7" t="s">
        <v>67</v>
      </c>
      <c r="D325" s="8">
        <v>45454</v>
      </c>
      <c r="E325" s="8">
        <v>45461</v>
      </c>
      <c r="F325" s="16" t="s">
        <v>4378</v>
      </c>
      <c r="G325" s="7" t="s">
        <v>4379</v>
      </c>
      <c r="H325" s="7" t="s">
        <v>0</v>
      </c>
      <c r="I325" s="7" t="s">
        <v>4374</v>
      </c>
      <c r="J325" s="7" t="s">
        <v>4374</v>
      </c>
      <c r="K325" s="7" t="s">
        <v>47</v>
      </c>
      <c r="L325" s="7" t="s">
        <v>96</v>
      </c>
      <c r="M325" s="7" t="s">
        <v>0</v>
      </c>
      <c r="N325" s="7" t="s">
        <v>4373</v>
      </c>
      <c r="O325" s="7" t="s">
        <v>0</v>
      </c>
      <c r="P325" s="7" t="s">
        <v>4375</v>
      </c>
      <c r="Q325" s="7" t="s">
        <v>4376</v>
      </c>
      <c r="R325" s="7" t="s">
        <v>338</v>
      </c>
      <c r="S325" s="7" t="s">
        <v>2768</v>
      </c>
      <c r="T325" s="7" t="s">
        <v>54</v>
      </c>
      <c r="U325" s="7" t="s">
        <v>55</v>
      </c>
      <c r="V325" s="7" t="s">
        <v>56</v>
      </c>
      <c r="W325" s="7" t="s">
        <v>74</v>
      </c>
      <c r="X325" s="7" t="s">
        <v>103</v>
      </c>
      <c r="Y325" s="8">
        <v>45454</v>
      </c>
      <c r="Z325" s="8">
        <v>47107</v>
      </c>
      <c r="AA325" s="7" t="s">
        <v>59</v>
      </c>
      <c r="AB325" s="7" t="s">
        <v>256</v>
      </c>
      <c r="AC325" s="7" t="s">
        <v>79</v>
      </c>
      <c r="AD325" s="7" t="s">
        <v>144</v>
      </c>
      <c r="AE325" s="7" t="s">
        <v>82</v>
      </c>
      <c r="AF325" s="7" t="s">
        <v>0</v>
      </c>
      <c r="AG325" s="7" t="s">
        <v>182</v>
      </c>
      <c r="AH325" s="9" t="s">
        <v>12043</v>
      </c>
      <c r="AI325" s="9" t="s">
        <v>12044</v>
      </c>
      <c r="AJ325" s="9" t="s">
        <v>12045</v>
      </c>
      <c r="AK325" s="7" t="s">
        <v>81</v>
      </c>
      <c r="AL325" s="7" t="s">
        <v>61</v>
      </c>
      <c r="AM325" s="7" t="s">
        <v>0</v>
      </c>
      <c r="AN325" s="7" t="s">
        <v>0</v>
      </c>
      <c r="AO325" s="7" t="s">
        <v>0</v>
      </c>
      <c r="AP325" s="7" t="s">
        <v>0</v>
      </c>
      <c r="AQ325" s="7" t="s">
        <v>61</v>
      </c>
      <c r="AR325" s="7" t="s">
        <v>0</v>
      </c>
      <c r="AS325" s="10" t="str">
        <f>HYPERLINK("https://tessa.gazprom-neft.local/edo/card/c587c750-2e5a-43e3-bf70-0710c745efc9", "https://tessa.gazprom-neft.local/edo/card/c587c750-2e5a-43e3-bf70-0710c745efc9")</f>
        <v>https://tessa.gazprom-neft.local/edo/card/c587c750-2e5a-43e3-bf70-0710c745efc9</v>
      </c>
    </row>
    <row r="326" spans="1:45" hidden="1" x14ac:dyDescent="0.25">
      <c r="A326" s="6" t="s">
        <v>44</v>
      </c>
      <c r="B326" s="7" t="s">
        <v>234</v>
      </c>
      <c r="C326" s="7" t="s">
        <v>67</v>
      </c>
      <c r="D326" s="8">
        <v>45453</v>
      </c>
      <c r="E326" s="8" t="s">
        <v>0</v>
      </c>
      <c r="F326" s="16" t="s">
        <v>235</v>
      </c>
      <c r="G326" s="7" t="s">
        <v>236</v>
      </c>
      <c r="H326" s="7" t="s">
        <v>0</v>
      </c>
      <c r="I326" s="7" t="s">
        <v>4459</v>
      </c>
      <c r="J326" s="7" t="s">
        <v>4459</v>
      </c>
      <c r="K326" s="7" t="s">
        <v>47</v>
      </c>
      <c r="L326" s="7" t="s">
        <v>96</v>
      </c>
      <c r="M326" s="7" t="s">
        <v>0</v>
      </c>
      <c r="N326" s="7" t="s">
        <v>4458</v>
      </c>
      <c r="O326" s="7" t="s">
        <v>0</v>
      </c>
      <c r="P326" s="7" t="s">
        <v>4460</v>
      </c>
      <c r="Q326" s="7" t="s">
        <v>4461</v>
      </c>
      <c r="R326" s="7" t="s">
        <v>1139</v>
      </c>
      <c r="S326" s="7" t="s">
        <v>233</v>
      </c>
      <c r="T326" s="7" t="s">
        <v>54</v>
      </c>
      <c r="U326" s="7" t="s">
        <v>55</v>
      </c>
      <c r="V326" s="7" t="s">
        <v>56</v>
      </c>
      <c r="W326" s="7" t="s">
        <v>57</v>
      </c>
      <c r="X326" s="7" t="s">
        <v>103</v>
      </c>
      <c r="Y326" s="8">
        <v>45453</v>
      </c>
      <c r="Z326" s="8">
        <v>46387</v>
      </c>
      <c r="AA326" s="7" t="s">
        <v>59</v>
      </c>
      <c r="AB326" s="7" t="s">
        <v>130</v>
      </c>
      <c r="AC326" s="7" t="s">
        <v>79</v>
      </c>
      <c r="AD326" s="7" t="s">
        <v>80</v>
      </c>
      <c r="AE326" s="7" t="s">
        <v>82</v>
      </c>
      <c r="AF326" s="7" t="s">
        <v>0</v>
      </c>
      <c r="AG326" s="7" t="s">
        <v>0</v>
      </c>
      <c r="AH326" s="9" t="s">
        <v>12074</v>
      </c>
      <c r="AI326" s="9" t="s">
        <v>12075</v>
      </c>
      <c r="AJ326" s="9" t="s">
        <v>12076</v>
      </c>
      <c r="AK326" s="7" t="s">
        <v>61</v>
      </c>
      <c r="AL326" s="7" t="s">
        <v>61</v>
      </c>
      <c r="AM326" s="7" t="s">
        <v>0</v>
      </c>
      <c r="AN326" s="7" t="s">
        <v>0</v>
      </c>
      <c r="AO326" s="7" t="s">
        <v>0</v>
      </c>
      <c r="AP326" s="7" t="s">
        <v>0</v>
      </c>
      <c r="AQ326" s="7" t="s">
        <v>81</v>
      </c>
      <c r="AR326" s="7" t="s">
        <v>0</v>
      </c>
      <c r="AS326" s="10" t="str">
        <f>HYPERLINK("https://tessa.gazprom-neft.local/edo/card/4fe992fd-785f-4536-a41f-07cabd4e81bc", "https://tessa.gazprom-neft.local/edo/card/4fe992fd-785f-4536-a41f-07cabd4e81bc")</f>
        <v>https://tessa.gazprom-neft.local/edo/card/4fe992fd-785f-4536-a41f-07cabd4e81bc</v>
      </c>
    </row>
    <row r="327" spans="1:45" hidden="1" x14ac:dyDescent="0.25">
      <c r="A327" s="6" t="s">
        <v>44</v>
      </c>
      <c r="B327" s="7" t="s">
        <v>1240</v>
      </c>
      <c r="C327" s="7" t="s">
        <v>67</v>
      </c>
      <c r="D327" s="8">
        <v>45453</v>
      </c>
      <c r="E327" s="8">
        <v>45463</v>
      </c>
      <c r="F327" s="16" t="s">
        <v>1241</v>
      </c>
      <c r="G327" s="7" t="s">
        <v>1242</v>
      </c>
      <c r="H327" s="7" t="s">
        <v>1237</v>
      </c>
      <c r="I327" s="7" t="s">
        <v>0</v>
      </c>
      <c r="J327" s="7" t="s">
        <v>156</v>
      </c>
      <c r="K327" s="7" t="s">
        <v>47</v>
      </c>
      <c r="L327" s="7" t="s">
        <v>389</v>
      </c>
      <c r="M327" s="7" t="s">
        <v>0</v>
      </c>
      <c r="N327" s="7" t="s">
        <v>4822</v>
      </c>
      <c r="O327" s="7" t="s">
        <v>355</v>
      </c>
      <c r="P327" s="7" t="s">
        <v>4823</v>
      </c>
      <c r="Q327" s="7" t="s">
        <v>4823</v>
      </c>
      <c r="R327" s="7" t="s">
        <v>393</v>
      </c>
      <c r="S327" s="7" t="s">
        <v>1261</v>
      </c>
      <c r="T327" s="7" t="s">
        <v>54</v>
      </c>
      <c r="U327" s="7" t="s">
        <v>222</v>
      </c>
      <c r="V327" s="7" t="s">
        <v>126</v>
      </c>
      <c r="W327" s="7" t="s">
        <v>74</v>
      </c>
      <c r="X327" s="7" t="s">
        <v>58</v>
      </c>
      <c r="Y327" s="8">
        <v>45453</v>
      </c>
      <c r="Z327" s="8" t="s">
        <v>0</v>
      </c>
      <c r="AA327" s="7" t="s">
        <v>200</v>
      </c>
      <c r="AB327" s="7" t="s">
        <v>1243</v>
      </c>
      <c r="AC327" s="7" t="s">
        <v>79</v>
      </c>
      <c r="AD327" s="7" t="s">
        <v>144</v>
      </c>
      <c r="AE327" s="7" t="s">
        <v>82</v>
      </c>
      <c r="AF327" s="7" t="s">
        <v>0</v>
      </c>
      <c r="AG327" s="7" t="s">
        <v>0</v>
      </c>
      <c r="AH327" s="9" t="s">
        <v>12222</v>
      </c>
      <c r="AI327" s="9" t="s">
        <v>12223</v>
      </c>
      <c r="AJ327" s="9" t="s">
        <v>12224</v>
      </c>
      <c r="AK327" s="7" t="s">
        <v>61</v>
      </c>
      <c r="AL327" s="7" t="s">
        <v>61</v>
      </c>
      <c r="AM327" s="7" t="s">
        <v>0</v>
      </c>
      <c r="AN327" s="7" t="s">
        <v>0</v>
      </c>
      <c r="AO327" s="7" t="s">
        <v>0</v>
      </c>
      <c r="AP327" s="7" t="s">
        <v>0</v>
      </c>
      <c r="AQ327" s="7" t="s">
        <v>61</v>
      </c>
      <c r="AR327" s="7" t="s">
        <v>0</v>
      </c>
      <c r="AS327" s="10" t="str">
        <f>HYPERLINK("https://tessa.gazprom-neft.local/edo/card/70ec785f-5b25-4927-8f96-2e96b3276ab7", "https://tessa.gazprom-neft.local/edo/card/70ec785f-5b25-4927-8f96-2e96b3276ab7")</f>
        <v>https://tessa.gazprom-neft.local/edo/card/70ec785f-5b25-4927-8f96-2e96b3276ab7</v>
      </c>
    </row>
    <row r="328" spans="1:45" hidden="1" x14ac:dyDescent="0.25">
      <c r="A328" s="6" t="s">
        <v>44</v>
      </c>
      <c r="B328" s="7" t="s">
        <v>4519</v>
      </c>
      <c r="C328" s="7" t="s">
        <v>67</v>
      </c>
      <c r="D328" s="8">
        <v>45451</v>
      </c>
      <c r="E328" s="8" t="s">
        <v>0</v>
      </c>
      <c r="F328" s="16" t="s">
        <v>4520</v>
      </c>
      <c r="G328" s="7" t="s">
        <v>4521</v>
      </c>
      <c r="H328" s="7" t="s">
        <v>0</v>
      </c>
      <c r="I328" s="7" t="s">
        <v>4588</v>
      </c>
      <c r="J328" s="7" t="s">
        <v>4588</v>
      </c>
      <c r="K328" s="7" t="s">
        <v>47</v>
      </c>
      <c r="L328" s="7" t="s">
        <v>86</v>
      </c>
      <c r="M328" s="7" t="s">
        <v>0</v>
      </c>
      <c r="N328" s="7" t="s">
        <v>4587</v>
      </c>
      <c r="O328" s="7" t="s">
        <v>0</v>
      </c>
      <c r="P328" s="7" t="s">
        <v>3661</v>
      </c>
      <c r="Q328" s="7" t="s">
        <v>4518</v>
      </c>
      <c r="R328" s="7" t="s">
        <v>1199</v>
      </c>
      <c r="S328" s="7" t="s">
        <v>1199</v>
      </c>
      <c r="T328" s="7" t="s">
        <v>54</v>
      </c>
      <c r="U328" s="7" t="s">
        <v>605</v>
      </c>
      <c r="V328" s="7" t="s">
        <v>126</v>
      </c>
      <c r="W328" s="7" t="s">
        <v>57</v>
      </c>
      <c r="X328" s="7" t="s">
        <v>103</v>
      </c>
      <c r="Y328" s="8">
        <v>45451</v>
      </c>
      <c r="Z328" s="8">
        <v>45760</v>
      </c>
      <c r="AA328" s="7" t="s">
        <v>200</v>
      </c>
      <c r="AB328" s="7" t="s">
        <v>3666</v>
      </c>
      <c r="AC328" s="7" t="s">
        <v>79</v>
      </c>
      <c r="AD328" s="7" t="s">
        <v>80</v>
      </c>
      <c r="AE328" s="7" t="s">
        <v>193</v>
      </c>
      <c r="AF328" s="7" t="s">
        <v>0</v>
      </c>
      <c r="AG328" s="7" t="s">
        <v>0</v>
      </c>
      <c r="AH328" s="9" t="s">
        <v>12126</v>
      </c>
      <c r="AI328" s="9" t="s">
        <v>12127</v>
      </c>
      <c r="AJ328" s="9" t="s">
        <v>12128</v>
      </c>
      <c r="AK328" s="7" t="s">
        <v>61</v>
      </c>
      <c r="AL328" s="7" t="s">
        <v>61</v>
      </c>
      <c r="AM328" s="7" t="s">
        <v>0</v>
      </c>
      <c r="AN328" s="7" t="s">
        <v>0</v>
      </c>
      <c r="AO328" s="7" t="s">
        <v>0</v>
      </c>
      <c r="AP328" s="7" t="s">
        <v>0</v>
      </c>
      <c r="AQ328" s="7" t="s">
        <v>61</v>
      </c>
      <c r="AR328" s="7" t="s">
        <v>0</v>
      </c>
      <c r="AS328" s="10" t="str">
        <f>HYPERLINK("https://tessa.gazprom-neft.local/edo/card/18d56716-c794-4473-95f5-45136c3e1788", "https://tessa.gazprom-neft.local/edo/card/18d56716-c794-4473-95f5-45136c3e1788")</f>
        <v>https://tessa.gazprom-neft.local/edo/card/18d56716-c794-4473-95f5-45136c3e1788</v>
      </c>
    </row>
    <row r="329" spans="1:45" hidden="1" x14ac:dyDescent="0.25">
      <c r="A329" s="6" t="s">
        <v>44</v>
      </c>
      <c r="B329" s="7" t="s">
        <v>1935</v>
      </c>
      <c r="C329" s="7" t="s">
        <v>67</v>
      </c>
      <c r="D329" s="8">
        <v>45451</v>
      </c>
      <c r="E329" s="8" t="s">
        <v>0</v>
      </c>
      <c r="F329" s="16" t="s">
        <v>1936</v>
      </c>
      <c r="G329" s="7" t="s">
        <v>1937</v>
      </c>
      <c r="H329" s="7" t="s">
        <v>0</v>
      </c>
      <c r="I329" s="7" t="s">
        <v>4642</v>
      </c>
      <c r="J329" s="7" t="s">
        <v>4642</v>
      </c>
      <c r="K329" s="7" t="s">
        <v>47</v>
      </c>
      <c r="L329" s="7" t="s">
        <v>96</v>
      </c>
      <c r="M329" s="7" t="s">
        <v>0</v>
      </c>
      <c r="N329" s="7" t="s">
        <v>4641</v>
      </c>
      <c r="O329" s="7" t="s">
        <v>0</v>
      </c>
      <c r="P329" s="7" t="s">
        <v>1931</v>
      </c>
      <c r="Q329" s="7" t="s">
        <v>1934</v>
      </c>
      <c r="R329" s="7" t="s">
        <v>1199</v>
      </c>
      <c r="S329" s="7" t="s">
        <v>1199</v>
      </c>
      <c r="T329" s="7" t="s">
        <v>54</v>
      </c>
      <c r="U329" s="7" t="s">
        <v>605</v>
      </c>
      <c r="V329" s="7" t="s">
        <v>126</v>
      </c>
      <c r="W329" s="7" t="s">
        <v>57</v>
      </c>
      <c r="X329" s="7" t="s">
        <v>103</v>
      </c>
      <c r="Y329" s="8">
        <v>45451</v>
      </c>
      <c r="Z329" s="8">
        <v>45784</v>
      </c>
      <c r="AA329" s="7" t="s">
        <v>200</v>
      </c>
      <c r="AB329" s="7" t="s">
        <v>1203</v>
      </c>
      <c r="AC329" s="7" t="s">
        <v>79</v>
      </c>
      <c r="AD329" s="7" t="s">
        <v>80</v>
      </c>
      <c r="AE329" s="7" t="s">
        <v>193</v>
      </c>
      <c r="AF329" s="7" t="s">
        <v>0</v>
      </c>
      <c r="AG329" s="7" t="s">
        <v>0</v>
      </c>
      <c r="AH329" s="9" t="s">
        <v>12153</v>
      </c>
      <c r="AI329" s="9" t="s">
        <v>12154</v>
      </c>
      <c r="AJ329" s="9" t="s">
        <v>12155</v>
      </c>
      <c r="AK329" s="7" t="s">
        <v>61</v>
      </c>
      <c r="AL329" s="7" t="s">
        <v>61</v>
      </c>
      <c r="AM329" s="7" t="s">
        <v>0</v>
      </c>
      <c r="AN329" s="7" t="s">
        <v>0</v>
      </c>
      <c r="AO329" s="7" t="s">
        <v>0</v>
      </c>
      <c r="AP329" s="7" t="s">
        <v>0</v>
      </c>
      <c r="AQ329" s="7" t="s">
        <v>61</v>
      </c>
      <c r="AR329" s="7" t="s">
        <v>0</v>
      </c>
      <c r="AS329" s="10" t="str">
        <f>HYPERLINK("https://tessa.gazprom-neft.local/edo/card/13763ad2-b12f-45b5-a597-1914931029a7", "https://tessa.gazprom-neft.local/edo/card/13763ad2-b12f-45b5-a597-1914931029a7")</f>
        <v>https://tessa.gazprom-neft.local/edo/card/13763ad2-b12f-45b5-a597-1914931029a7</v>
      </c>
    </row>
    <row r="330" spans="1:45" hidden="1" x14ac:dyDescent="0.25">
      <c r="A330" s="6" t="s">
        <v>44</v>
      </c>
      <c r="B330" s="7" t="s">
        <v>1684</v>
      </c>
      <c r="C330" s="7" t="s">
        <v>67</v>
      </c>
      <c r="D330" s="8">
        <v>45451</v>
      </c>
      <c r="E330" s="8" t="s">
        <v>0</v>
      </c>
      <c r="F330" s="16" t="s">
        <v>1685</v>
      </c>
      <c r="G330" s="7" t="s">
        <v>1686</v>
      </c>
      <c r="H330" s="7" t="s">
        <v>0</v>
      </c>
      <c r="I330" s="7" t="s">
        <v>4961</v>
      </c>
      <c r="J330" s="7" t="s">
        <v>4961</v>
      </c>
      <c r="K330" s="7" t="s">
        <v>85</v>
      </c>
      <c r="L330" s="7" t="s">
        <v>96</v>
      </c>
      <c r="M330" s="7" t="s">
        <v>4959</v>
      </c>
      <c r="N330" s="7" t="s">
        <v>4960</v>
      </c>
      <c r="O330" s="7" t="s">
        <v>0</v>
      </c>
      <c r="P330" s="7" t="s">
        <v>4959</v>
      </c>
      <c r="Q330" s="7" t="s">
        <v>4962</v>
      </c>
      <c r="R330" s="7" t="s">
        <v>4156</v>
      </c>
      <c r="S330" s="7" t="s">
        <v>4156</v>
      </c>
      <c r="T330" s="7" t="s">
        <v>54</v>
      </c>
      <c r="U330" s="7" t="s">
        <v>294</v>
      </c>
      <c r="V330" s="7" t="s">
        <v>295</v>
      </c>
      <c r="W330" s="7" t="s">
        <v>57</v>
      </c>
      <c r="X330" s="7" t="s">
        <v>103</v>
      </c>
      <c r="Y330" s="8">
        <v>45451</v>
      </c>
      <c r="Z330" s="8">
        <v>45657</v>
      </c>
      <c r="AA330" s="7" t="s">
        <v>296</v>
      </c>
      <c r="AB330" s="7" t="s">
        <v>500</v>
      </c>
      <c r="AC330" s="7" t="s">
        <v>278</v>
      </c>
      <c r="AD330" s="7" t="s">
        <v>80</v>
      </c>
      <c r="AE330" s="7" t="s">
        <v>82</v>
      </c>
      <c r="AF330" s="7" t="s">
        <v>0</v>
      </c>
      <c r="AG330" s="7" t="s">
        <v>0</v>
      </c>
      <c r="AH330" s="9" t="s">
        <v>12274</v>
      </c>
      <c r="AI330" s="9" t="s">
        <v>12275</v>
      </c>
      <c r="AJ330" s="9" t="s">
        <v>12276</v>
      </c>
      <c r="AK330" s="7" t="s">
        <v>61</v>
      </c>
      <c r="AL330" s="7" t="s">
        <v>61</v>
      </c>
      <c r="AM330" s="7" t="s">
        <v>0</v>
      </c>
      <c r="AN330" s="7" t="s">
        <v>0</v>
      </c>
      <c r="AO330" s="7" t="s">
        <v>0</v>
      </c>
      <c r="AP330" s="7" t="s">
        <v>0</v>
      </c>
      <c r="AQ330" s="7" t="s">
        <v>61</v>
      </c>
      <c r="AR330" s="7" t="s">
        <v>0</v>
      </c>
      <c r="AS330" s="10" t="str">
        <f>HYPERLINK("https://tessa.gazprom-neft.local/edo/card/d8d5e1a8-3e16-494d-b37b-572d4843b0cb", "https://tessa.gazprom-neft.local/edo/card/d8d5e1a8-3e16-494d-b37b-572d4843b0cb")</f>
        <v>https://tessa.gazprom-neft.local/edo/card/d8d5e1a8-3e16-494d-b37b-572d4843b0cb</v>
      </c>
    </row>
    <row r="331" spans="1:45" hidden="1" x14ac:dyDescent="0.25">
      <c r="A331" s="6" t="s">
        <v>44</v>
      </c>
      <c r="B331" s="7" t="s">
        <v>1684</v>
      </c>
      <c r="C331" s="7" t="s">
        <v>67</v>
      </c>
      <c r="D331" s="8">
        <v>45451</v>
      </c>
      <c r="E331" s="8" t="s">
        <v>0</v>
      </c>
      <c r="F331" s="16" t="s">
        <v>1685</v>
      </c>
      <c r="G331" s="7" t="s">
        <v>1686</v>
      </c>
      <c r="H331" s="7" t="s">
        <v>0</v>
      </c>
      <c r="I331" s="7" t="s">
        <v>0</v>
      </c>
      <c r="J331" s="7" t="s">
        <v>271</v>
      </c>
      <c r="K331" s="7" t="s">
        <v>85</v>
      </c>
      <c r="L331" s="7" t="s">
        <v>2719</v>
      </c>
      <c r="M331" s="7" t="s">
        <v>4973</v>
      </c>
      <c r="N331" s="7" t="s">
        <v>4974</v>
      </c>
      <c r="O331" s="7" t="s">
        <v>0</v>
      </c>
      <c r="P331" s="7" t="s">
        <v>4973</v>
      </c>
      <c r="Q331" s="7" t="s">
        <v>4975</v>
      </c>
      <c r="R331" s="7" t="s">
        <v>4156</v>
      </c>
      <c r="S331" s="7" t="s">
        <v>4156</v>
      </c>
      <c r="T331" s="7" t="s">
        <v>54</v>
      </c>
      <c r="U331" s="7" t="s">
        <v>294</v>
      </c>
      <c r="V331" s="7" t="s">
        <v>295</v>
      </c>
      <c r="W331" s="7" t="s">
        <v>57</v>
      </c>
      <c r="X331" s="7" t="s">
        <v>103</v>
      </c>
      <c r="Y331" s="8">
        <v>45451</v>
      </c>
      <c r="Z331" s="8">
        <v>45657</v>
      </c>
      <c r="AA331" s="7" t="s">
        <v>296</v>
      </c>
      <c r="AB331" s="7" t="s">
        <v>500</v>
      </c>
      <c r="AC331" s="7" t="s">
        <v>278</v>
      </c>
      <c r="AD331" s="7" t="s">
        <v>80</v>
      </c>
      <c r="AE331" s="7" t="s">
        <v>82</v>
      </c>
      <c r="AF331" s="7" t="s">
        <v>0</v>
      </c>
      <c r="AG331" s="7" t="s">
        <v>0</v>
      </c>
      <c r="AH331" s="9" t="s">
        <v>12286</v>
      </c>
      <c r="AI331" s="9" t="s">
        <v>12287</v>
      </c>
      <c r="AJ331" s="9" t="s">
        <v>12288</v>
      </c>
      <c r="AK331" s="7" t="s">
        <v>61</v>
      </c>
      <c r="AL331" s="7" t="s">
        <v>61</v>
      </c>
      <c r="AM331" s="7" t="s">
        <v>0</v>
      </c>
      <c r="AN331" s="7" t="s">
        <v>0</v>
      </c>
      <c r="AO331" s="7" t="s">
        <v>0</v>
      </c>
      <c r="AP331" s="7" t="s">
        <v>0</v>
      </c>
      <c r="AQ331" s="7" t="s">
        <v>61</v>
      </c>
      <c r="AR331" s="7" t="s">
        <v>0</v>
      </c>
      <c r="AS331" s="10" t="str">
        <f>HYPERLINK("https://tessa.gazprom-neft.local/edo/card/ff05a41a-01f0-40bc-8b48-4ad8465e3abe", "https://tessa.gazprom-neft.local/edo/card/ff05a41a-01f0-40bc-8b48-4ad8465e3abe")</f>
        <v>https://tessa.gazprom-neft.local/edo/card/ff05a41a-01f0-40bc-8b48-4ad8465e3abe</v>
      </c>
    </row>
    <row r="332" spans="1:45" x14ac:dyDescent="0.25">
      <c r="A332" s="6" t="s">
        <v>44</v>
      </c>
      <c r="B332" s="7" t="s">
        <v>715</v>
      </c>
      <c r="C332" s="7" t="s">
        <v>67</v>
      </c>
      <c r="D332" s="8">
        <v>45450</v>
      </c>
      <c r="E332" s="8">
        <v>45454</v>
      </c>
      <c r="F332" s="16" t="s">
        <v>716</v>
      </c>
      <c r="G332" s="7" t="s">
        <v>717</v>
      </c>
      <c r="H332" s="7" t="s">
        <v>710</v>
      </c>
      <c r="I332" s="7" t="s">
        <v>0</v>
      </c>
      <c r="J332" s="7" t="s">
        <v>271</v>
      </c>
      <c r="K332" s="7" t="s">
        <v>47</v>
      </c>
      <c r="L332" s="7" t="s">
        <v>48</v>
      </c>
      <c r="M332" s="7" t="s">
        <v>0</v>
      </c>
      <c r="N332" s="7" t="s">
        <v>4522</v>
      </c>
      <c r="O332" s="7" t="s">
        <v>0</v>
      </c>
      <c r="P332" s="7" t="s">
        <v>4523</v>
      </c>
      <c r="Q332" s="7" t="s">
        <v>4524</v>
      </c>
      <c r="R332" s="7" t="s">
        <v>714</v>
      </c>
      <c r="S332" s="7" t="s">
        <v>714</v>
      </c>
      <c r="T332" s="7" t="s">
        <v>54</v>
      </c>
      <c r="U332" s="7" t="s">
        <v>101</v>
      </c>
      <c r="V332" s="7" t="s">
        <v>168</v>
      </c>
      <c r="W332" s="7" t="s">
        <v>74</v>
      </c>
      <c r="X332" s="7" t="s">
        <v>103</v>
      </c>
      <c r="Y332" s="8">
        <v>45450</v>
      </c>
      <c r="Z332" s="8">
        <v>45657</v>
      </c>
      <c r="AA332" s="7" t="s">
        <v>169</v>
      </c>
      <c r="AB332" s="7" t="s">
        <v>64</v>
      </c>
      <c r="AC332" s="7" t="s">
        <v>65</v>
      </c>
      <c r="AD332" s="7" t="s">
        <v>144</v>
      </c>
      <c r="AE332" s="7" t="s">
        <v>0</v>
      </c>
      <c r="AF332" s="7" t="s">
        <v>0</v>
      </c>
      <c r="AG332" s="7" t="s">
        <v>0</v>
      </c>
      <c r="AH332" s="9" t="s">
        <v>0</v>
      </c>
      <c r="AI332" s="9" t="s">
        <v>0</v>
      </c>
      <c r="AJ332" s="9" t="s">
        <v>0</v>
      </c>
      <c r="AK332" s="7" t="s">
        <v>61</v>
      </c>
      <c r="AL332" s="7" t="s">
        <v>61</v>
      </c>
      <c r="AM332" s="7" t="s">
        <v>0</v>
      </c>
      <c r="AN332" s="7" t="s">
        <v>0</v>
      </c>
      <c r="AO332" s="7" t="s">
        <v>0</v>
      </c>
      <c r="AP332" s="7" t="s">
        <v>0</v>
      </c>
      <c r="AQ332" s="7" t="s">
        <v>61</v>
      </c>
      <c r="AR332" s="7" t="s">
        <v>0</v>
      </c>
      <c r="AS332" s="10" t="str">
        <f>HYPERLINK("https://tessa.gazprom-neft.local/edo/card/0511556b-945a-4db5-8ecb-dca2a01fe143", "https://tessa.gazprom-neft.local/edo/card/0511556b-945a-4db5-8ecb-dca2a01fe143")</f>
        <v>https://tessa.gazprom-neft.local/edo/card/0511556b-945a-4db5-8ecb-dca2a01fe143</v>
      </c>
    </row>
    <row r="333" spans="1:45" x14ac:dyDescent="0.25">
      <c r="A333" s="6" t="s">
        <v>44</v>
      </c>
      <c r="B333" s="7" t="s">
        <v>900</v>
      </c>
      <c r="C333" s="7" t="s">
        <v>2030</v>
      </c>
      <c r="D333" s="8">
        <v>45450</v>
      </c>
      <c r="E333" s="8" t="s">
        <v>0</v>
      </c>
      <c r="F333" s="16" t="s">
        <v>901</v>
      </c>
      <c r="G333" s="7" t="s">
        <v>902</v>
      </c>
      <c r="H333" s="7" t="s">
        <v>894</v>
      </c>
      <c r="I333" s="7" t="s">
        <v>0</v>
      </c>
      <c r="J333" s="7" t="s">
        <v>936</v>
      </c>
      <c r="K333" s="7" t="s">
        <v>85</v>
      </c>
      <c r="L333" s="7" t="s">
        <v>48</v>
      </c>
      <c r="M333" s="7" t="s">
        <v>2373</v>
      </c>
      <c r="N333" s="7" t="s">
        <v>4782</v>
      </c>
      <c r="O333" s="7" t="s">
        <v>0</v>
      </c>
      <c r="P333" s="7" t="s">
        <v>4783</v>
      </c>
      <c r="Q333" s="7" t="s">
        <v>4784</v>
      </c>
      <c r="R333" s="7" t="s">
        <v>198</v>
      </c>
      <c r="S333" s="7" t="s">
        <v>898</v>
      </c>
      <c r="T333" s="7" t="s">
        <v>54</v>
      </c>
      <c r="U333" s="7" t="s">
        <v>199</v>
      </c>
      <c r="V333" s="7" t="s">
        <v>126</v>
      </c>
      <c r="W333" s="7" t="s">
        <v>74</v>
      </c>
      <c r="X333" s="7" t="s">
        <v>58</v>
      </c>
      <c r="Y333" s="8">
        <v>45450</v>
      </c>
      <c r="Z333" s="8" t="s">
        <v>0</v>
      </c>
      <c r="AA333" s="7" t="s">
        <v>200</v>
      </c>
      <c r="AB333" s="7" t="s">
        <v>130</v>
      </c>
      <c r="AC333" s="7" t="s">
        <v>65</v>
      </c>
      <c r="AD333" s="7" t="s">
        <v>0</v>
      </c>
      <c r="AE333" s="7" t="s">
        <v>0</v>
      </c>
      <c r="AF333" s="7" t="s">
        <v>0</v>
      </c>
      <c r="AG333" s="7" t="s">
        <v>0</v>
      </c>
      <c r="AH333" s="9" t="s">
        <v>0</v>
      </c>
      <c r="AI333" s="9" t="s">
        <v>0</v>
      </c>
      <c r="AJ333" s="9" t="s">
        <v>0</v>
      </c>
      <c r="AK333" s="7" t="s">
        <v>61</v>
      </c>
      <c r="AL333" s="7" t="s">
        <v>61</v>
      </c>
      <c r="AM333" s="7" t="s">
        <v>0</v>
      </c>
      <c r="AN333" s="7" t="s">
        <v>0</v>
      </c>
      <c r="AO333" s="7" t="s">
        <v>0</v>
      </c>
      <c r="AP333" s="7" t="s">
        <v>0</v>
      </c>
      <c r="AQ333" s="7" t="s">
        <v>61</v>
      </c>
      <c r="AR333" s="7" t="s">
        <v>0</v>
      </c>
      <c r="AS333" s="10" t="str">
        <f>HYPERLINK("https://tessa.gazprom-neft.local/edo/card/411f058b-82cc-4d57-9875-e7ca0074d88b", "https://tessa.gazprom-neft.local/edo/card/411f058b-82cc-4d57-9875-e7ca0074d88b")</f>
        <v>https://tessa.gazprom-neft.local/edo/card/411f058b-82cc-4d57-9875-e7ca0074d88b</v>
      </c>
    </row>
    <row r="334" spans="1:45" hidden="1" x14ac:dyDescent="0.25">
      <c r="A334" s="6" t="s">
        <v>44</v>
      </c>
      <c r="B334" s="7" t="s">
        <v>3815</v>
      </c>
      <c r="C334" s="7" t="s">
        <v>67</v>
      </c>
      <c r="D334" s="8">
        <v>45449</v>
      </c>
      <c r="E334" s="8" t="s">
        <v>0</v>
      </c>
      <c r="F334" s="16" t="s">
        <v>4623</v>
      </c>
      <c r="G334" s="7" t="s">
        <v>3817</v>
      </c>
      <c r="H334" s="7" t="s">
        <v>0</v>
      </c>
      <c r="I334" s="7" t="s">
        <v>4622</v>
      </c>
      <c r="J334" s="7" t="s">
        <v>4622</v>
      </c>
      <c r="K334" s="7" t="s">
        <v>47</v>
      </c>
      <c r="L334" s="7" t="s">
        <v>96</v>
      </c>
      <c r="M334" s="7" t="s">
        <v>0</v>
      </c>
      <c r="N334" s="7" t="s">
        <v>4621</v>
      </c>
      <c r="O334" s="7" t="s">
        <v>0</v>
      </c>
      <c r="P334" s="7" t="s">
        <v>3813</v>
      </c>
      <c r="Q334" s="7" t="s">
        <v>3813</v>
      </c>
      <c r="R334" s="7" t="s">
        <v>233</v>
      </c>
      <c r="S334" s="7" t="s">
        <v>233</v>
      </c>
      <c r="T334" s="7" t="s">
        <v>54</v>
      </c>
      <c r="U334" s="7" t="s">
        <v>55</v>
      </c>
      <c r="V334" s="7" t="s">
        <v>56</v>
      </c>
      <c r="W334" s="7" t="s">
        <v>57</v>
      </c>
      <c r="X334" s="7" t="s">
        <v>103</v>
      </c>
      <c r="Y334" s="8">
        <v>45462</v>
      </c>
      <c r="Z334" s="8">
        <v>45498</v>
      </c>
      <c r="AA334" s="7" t="s">
        <v>59</v>
      </c>
      <c r="AB334" s="7" t="s">
        <v>979</v>
      </c>
      <c r="AC334" s="7" t="s">
        <v>65</v>
      </c>
      <c r="AD334" s="7" t="s">
        <v>0</v>
      </c>
      <c r="AE334" s="7" t="s">
        <v>0</v>
      </c>
      <c r="AF334" s="7" t="s">
        <v>0</v>
      </c>
      <c r="AG334" s="7" t="s">
        <v>0</v>
      </c>
      <c r="AH334" s="9" t="s">
        <v>0</v>
      </c>
      <c r="AI334" s="9" t="s">
        <v>0</v>
      </c>
      <c r="AJ334" s="9" t="s">
        <v>0</v>
      </c>
      <c r="AK334" s="7" t="s">
        <v>61</v>
      </c>
      <c r="AL334" s="7" t="s">
        <v>61</v>
      </c>
      <c r="AM334" s="7" t="s">
        <v>0</v>
      </c>
      <c r="AN334" s="7" t="s">
        <v>0</v>
      </c>
      <c r="AO334" s="7" t="s">
        <v>0</v>
      </c>
      <c r="AP334" s="7" t="s">
        <v>0</v>
      </c>
      <c r="AQ334" s="7" t="s">
        <v>61</v>
      </c>
      <c r="AR334" s="7" t="s">
        <v>0</v>
      </c>
      <c r="AS334" s="10" t="str">
        <f>HYPERLINK("https://tessa.gazprom-neft.local/edo/card/ee8fe057-d5c2-4373-b93f-2078f6725481", "https://tessa.gazprom-neft.local/edo/card/ee8fe057-d5c2-4373-b93f-2078f6725481")</f>
        <v>https://tessa.gazprom-neft.local/edo/card/ee8fe057-d5c2-4373-b93f-2078f6725481</v>
      </c>
    </row>
    <row r="335" spans="1:45" hidden="1" x14ac:dyDescent="0.25">
      <c r="A335" s="6" t="s">
        <v>44</v>
      </c>
      <c r="B335" s="7" t="s">
        <v>395</v>
      </c>
      <c r="C335" s="7" t="s">
        <v>67</v>
      </c>
      <c r="D335" s="8">
        <v>45449</v>
      </c>
      <c r="E335" s="8">
        <v>45462</v>
      </c>
      <c r="F335" s="16" t="s">
        <v>396</v>
      </c>
      <c r="G335" s="7" t="s">
        <v>397</v>
      </c>
      <c r="H335" s="7" t="s">
        <v>390</v>
      </c>
      <c r="I335" s="7" t="s">
        <v>0</v>
      </c>
      <c r="J335" s="7" t="s">
        <v>51</v>
      </c>
      <c r="K335" s="7" t="s">
        <v>47</v>
      </c>
      <c r="L335" s="7" t="s">
        <v>389</v>
      </c>
      <c r="M335" s="7" t="s">
        <v>0</v>
      </c>
      <c r="N335" s="7" t="s">
        <v>4681</v>
      </c>
      <c r="O335" s="7" t="s">
        <v>872</v>
      </c>
      <c r="P335" s="7" t="s">
        <v>4682</v>
      </c>
      <c r="Q335" s="7" t="s">
        <v>4683</v>
      </c>
      <c r="R335" s="7" t="s">
        <v>393</v>
      </c>
      <c r="S335" s="7" t="s">
        <v>590</v>
      </c>
      <c r="T335" s="7" t="s">
        <v>54</v>
      </c>
      <c r="U335" s="7" t="s">
        <v>125</v>
      </c>
      <c r="V335" s="7" t="s">
        <v>126</v>
      </c>
      <c r="W335" s="7" t="s">
        <v>74</v>
      </c>
      <c r="X335" s="7" t="s">
        <v>58</v>
      </c>
      <c r="Y335" s="8">
        <v>45449</v>
      </c>
      <c r="Z335" s="8" t="s">
        <v>0</v>
      </c>
      <c r="AA335" s="7" t="s">
        <v>200</v>
      </c>
      <c r="AB335" s="7" t="s">
        <v>387</v>
      </c>
      <c r="AC335" s="7" t="s">
        <v>79</v>
      </c>
      <c r="AD335" s="7" t="s">
        <v>80</v>
      </c>
      <c r="AE335" s="7" t="s">
        <v>82</v>
      </c>
      <c r="AF335" s="7" t="s">
        <v>0</v>
      </c>
      <c r="AG335" s="7" t="s">
        <v>4684</v>
      </c>
      <c r="AH335" s="9" t="s">
        <v>12169</v>
      </c>
      <c r="AI335" s="9" t="s">
        <v>12170</v>
      </c>
      <c r="AJ335" s="9" t="s">
        <v>12171</v>
      </c>
      <c r="AK335" s="7" t="s">
        <v>81</v>
      </c>
      <c r="AL335" s="7" t="s">
        <v>61</v>
      </c>
      <c r="AM335" s="7" t="s">
        <v>0</v>
      </c>
      <c r="AN335" s="7" t="s">
        <v>0</v>
      </c>
      <c r="AO335" s="7" t="s">
        <v>0</v>
      </c>
      <c r="AP335" s="7" t="s">
        <v>0</v>
      </c>
      <c r="AQ335" s="7" t="s">
        <v>61</v>
      </c>
      <c r="AR335" s="7" t="s">
        <v>0</v>
      </c>
      <c r="AS335" s="10" t="str">
        <f>HYPERLINK("https://tessa.gazprom-neft.local/edo/card/9c1bc0c8-25f4-4593-ae63-a271466226d7", "https://tessa.gazprom-neft.local/edo/card/9c1bc0c8-25f4-4593-ae63-a271466226d7")</f>
        <v>https://tessa.gazprom-neft.local/edo/card/9c1bc0c8-25f4-4593-ae63-a271466226d7</v>
      </c>
    </row>
    <row r="336" spans="1:45" x14ac:dyDescent="0.25">
      <c r="A336" s="6" t="s">
        <v>44</v>
      </c>
      <c r="B336" s="7" t="s">
        <v>542</v>
      </c>
      <c r="C336" s="7" t="s">
        <v>67</v>
      </c>
      <c r="D336" s="8">
        <v>45448</v>
      </c>
      <c r="E336" s="8">
        <v>45454</v>
      </c>
      <c r="F336" s="16" t="s">
        <v>543</v>
      </c>
      <c r="G336" s="7" t="s">
        <v>544</v>
      </c>
      <c r="H336" s="7" t="s">
        <v>2148</v>
      </c>
      <c r="I336" s="7" t="s">
        <v>0</v>
      </c>
      <c r="J336" s="7" t="s">
        <v>271</v>
      </c>
      <c r="K336" s="7" t="s">
        <v>85</v>
      </c>
      <c r="L336" s="7" t="s">
        <v>48</v>
      </c>
      <c r="M336" s="7" t="s">
        <v>2128</v>
      </c>
      <c r="N336" s="7" t="s">
        <v>4630</v>
      </c>
      <c r="O336" s="7" t="s">
        <v>0</v>
      </c>
      <c r="P336" s="7" t="s">
        <v>4631</v>
      </c>
      <c r="Q336" s="7" t="s">
        <v>4632</v>
      </c>
      <c r="R336" s="7" t="s">
        <v>646</v>
      </c>
      <c r="S336" s="7" t="s">
        <v>0</v>
      </c>
      <c r="T336" s="7" t="s">
        <v>54</v>
      </c>
      <c r="U336" s="7" t="s">
        <v>55</v>
      </c>
      <c r="V336" s="7" t="s">
        <v>56</v>
      </c>
      <c r="W336" s="7" t="s">
        <v>74</v>
      </c>
      <c r="X336" s="7" t="s">
        <v>58</v>
      </c>
      <c r="Y336" s="8">
        <v>45448</v>
      </c>
      <c r="Z336" s="8" t="s">
        <v>0</v>
      </c>
      <c r="AA336" s="7" t="s">
        <v>59</v>
      </c>
      <c r="AB336" s="7" t="s">
        <v>130</v>
      </c>
      <c r="AC336" s="7" t="s">
        <v>65</v>
      </c>
      <c r="AD336" s="7" t="s">
        <v>144</v>
      </c>
      <c r="AE336" s="7" t="s">
        <v>0</v>
      </c>
      <c r="AF336" s="7" t="s">
        <v>0</v>
      </c>
      <c r="AG336" s="7" t="s">
        <v>0</v>
      </c>
      <c r="AH336" s="9" t="s">
        <v>0</v>
      </c>
      <c r="AI336" s="9" t="s">
        <v>0</v>
      </c>
      <c r="AJ336" s="9" t="s">
        <v>0</v>
      </c>
      <c r="AK336" s="7" t="s">
        <v>61</v>
      </c>
      <c r="AL336" s="7" t="s">
        <v>61</v>
      </c>
      <c r="AM336" s="7" t="s">
        <v>0</v>
      </c>
      <c r="AN336" s="7" t="s">
        <v>0</v>
      </c>
      <c r="AO336" s="7" t="s">
        <v>0</v>
      </c>
      <c r="AP336" s="7" t="s">
        <v>0</v>
      </c>
      <c r="AQ336" s="7" t="s">
        <v>61</v>
      </c>
      <c r="AR336" s="7" t="s">
        <v>0</v>
      </c>
      <c r="AS336" s="10" t="str">
        <f>HYPERLINK("https://tessa.gazprom-neft.local/edo/card/ebe0e266-96db-4715-881a-4f9d3060b87f", "https://tessa.gazprom-neft.local/edo/card/ebe0e266-96db-4715-881a-4f9d3060b87f")</f>
        <v>https://tessa.gazprom-neft.local/edo/card/ebe0e266-96db-4715-881a-4f9d3060b87f</v>
      </c>
    </row>
    <row r="337" spans="1:45" x14ac:dyDescent="0.25">
      <c r="A337" s="6" t="s">
        <v>44</v>
      </c>
      <c r="B337" s="7" t="s">
        <v>213</v>
      </c>
      <c r="C337" s="7" t="s">
        <v>67</v>
      </c>
      <c r="D337" s="8">
        <v>45448</v>
      </c>
      <c r="E337" s="8" t="s">
        <v>0</v>
      </c>
      <c r="F337" s="16" t="s">
        <v>214</v>
      </c>
      <c r="G337" s="7" t="s">
        <v>215</v>
      </c>
      <c r="H337" s="7" t="s">
        <v>207</v>
      </c>
      <c r="I337" s="7" t="s">
        <v>0</v>
      </c>
      <c r="J337" s="7" t="s">
        <v>1098</v>
      </c>
      <c r="K337" s="7" t="s">
        <v>85</v>
      </c>
      <c r="L337" s="7" t="s">
        <v>48</v>
      </c>
      <c r="M337" s="7" t="s">
        <v>2128</v>
      </c>
      <c r="N337" s="7" t="s">
        <v>4670</v>
      </c>
      <c r="O337" s="7" t="s">
        <v>0</v>
      </c>
      <c r="P337" s="7" t="s">
        <v>2128</v>
      </c>
      <c r="Q337" s="7" t="s">
        <v>2542</v>
      </c>
      <c r="R337" s="7" t="s">
        <v>198</v>
      </c>
      <c r="S337" s="7" t="s">
        <v>198</v>
      </c>
      <c r="T337" s="7" t="s">
        <v>54</v>
      </c>
      <c r="U337" s="7" t="s">
        <v>199</v>
      </c>
      <c r="V337" s="7" t="s">
        <v>126</v>
      </c>
      <c r="W337" s="7" t="s">
        <v>74</v>
      </c>
      <c r="X337" s="7" t="s">
        <v>58</v>
      </c>
      <c r="Y337" s="8">
        <v>45448</v>
      </c>
      <c r="Z337" s="8" t="s">
        <v>0</v>
      </c>
      <c r="AA337" s="7" t="s">
        <v>200</v>
      </c>
      <c r="AB337" s="7" t="s">
        <v>64</v>
      </c>
      <c r="AC337" s="7" t="s">
        <v>65</v>
      </c>
      <c r="AD337" s="7" t="s">
        <v>0</v>
      </c>
      <c r="AE337" s="7" t="s">
        <v>0</v>
      </c>
      <c r="AF337" s="7" t="s">
        <v>0</v>
      </c>
      <c r="AG337" s="7" t="s">
        <v>0</v>
      </c>
      <c r="AH337" s="9" t="s">
        <v>0</v>
      </c>
      <c r="AI337" s="9" t="s">
        <v>0</v>
      </c>
      <c r="AJ337" s="9" t="s">
        <v>0</v>
      </c>
      <c r="AK337" s="7" t="s">
        <v>61</v>
      </c>
      <c r="AL337" s="7" t="s">
        <v>61</v>
      </c>
      <c r="AM337" s="7" t="s">
        <v>0</v>
      </c>
      <c r="AN337" s="7" t="s">
        <v>0</v>
      </c>
      <c r="AO337" s="7" t="s">
        <v>0</v>
      </c>
      <c r="AP337" s="7" t="s">
        <v>0</v>
      </c>
      <c r="AQ337" s="7" t="s">
        <v>61</v>
      </c>
      <c r="AR337" s="7" t="s">
        <v>0</v>
      </c>
      <c r="AS337" s="10" t="str">
        <f>HYPERLINK("https://tessa.gazprom-neft.local/edo/card/133f9bd0-e856-4e1c-98e5-aac40f7dd15c", "https://tessa.gazprom-neft.local/edo/card/133f9bd0-e856-4e1c-98e5-aac40f7dd15c")</f>
        <v>https://tessa.gazprom-neft.local/edo/card/133f9bd0-e856-4e1c-98e5-aac40f7dd15c</v>
      </c>
    </row>
    <row r="338" spans="1:45" hidden="1" x14ac:dyDescent="0.25">
      <c r="A338" s="6" t="s">
        <v>44</v>
      </c>
      <c r="B338" s="7" t="s">
        <v>705</v>
      </c>
      <c r="C338" s="7" t="s">
        <v>67</v>
      </c>
      <c r="D338" s="8">
        <v>45447</v>
      </c>
      <c r="E338" s="8">
        <v>45463</v>
      </c>
      <c r="F338" s="16" t="s">
        <v>2466</v>
      </c>
      <c r="G338" s="7" t="s">
        <v>707</v>
      </c>
      <c r="H338" s="7" t="s">
        <v>703</v>
      </c>
      <c r="I338" s="7" t="s">
        <v>0</v>
      </c>
      <c r="J338" s="7" t="s">
        <v>51</v>
      </c>
      <c r="K338" s="7" t="s">
        <v>47</v>
      </c>
      <c r="L338" s="7" t="s">
        <v>239</v>
      </c>
      <c r="M338" s="7" t="s">
        <v>0</v>
      </c>
      <c r="N338" s="7" t="s">
        <v>4610</v>
      </c>
      <c r="O338" s="7" t="s">
        <v>0</v>
      </c>
      <c r="P338" s="7" t="s">
        <v>4611</v>
      </c>
      <c r="Q338" s="7" t="s">
        <v>4612</v>
      </c>
      <c r="R338" s="7" t="s">
        <v>282</v>
      </c>
      <c r="S338" s="7" t="s">
        <v>0</v>
      </c>
      <c r="T338" s="7" t="s">
        <v>54</v>
      </c>
      <c r="U338" s="7" t="s">
        <v>55</v>
      </c>
      <c r="V338" s="7" t="s">
        <v>56</v>
      </c>
      <c r="W338" s="7" t="s">
        <v>74</v>
      </c>
      <c r="X338" s="7" t="s">
        <v>103</v>
      </c>
      <c r="Y338" s="8">
        <v>45447</v>
      </c>
      <c r="Z338" s="8">
        <v>46387</v>
      </c>
      <c r="AA338" s="7" t="s">
        <v>0</v>
      </c>
      <c r="AB338" s="7" t="s">
        <v>130</v>
      </c>
      <c r="AC338" s="7" t="s">
        <v>79</v>
      </c>
      <c r="AD338" s="7" t="s">
        <v>144</v>
      </c>
      <c r="AE338" s="7" t="s">
        <v>82</v>
      </c>
      <c r="AF338" s="7" t="s">
        <v>0</v>
      </c>
      <c r="AG338" s="7" t="s">
        <v>0</v>
      </c>
      <c r="AH338" s="9" t="s">
        <v>12138</v>
      </c>
      <c r="AI338" s="9" t="s">
        <v>12139</v>
      </c>
      <c r="AJ338" s="9" t="s">
        <v>12140</v>
      </c>
      <c r="AK338" s="7" t="s">
        <v>61</v>
      </c>
      <c r="AL338" s="7" t="s">
        <v>61</v>
      </c>
      <c r="AM338" s="7" t="s">
        <v>0</v>
      </c>
      <c r="AN338" s="7" t="s">
        <v>0</v>
      </c>
      <c r="AO338" s="7" t="s">
        <v>0</v>
      </c>
      <c r="AP338" s="7" t="s">
        <v>0</v>
      </c>
      <c r="AQ338" s="7" t="s">
        <v>61</v>
      </c>
      <c r="AR338" s="7" t="s">
        <v>0</v>
      </c>
      <c r="AS338" s="10" t="str">
        <f>HYPERLINK("https://tessa.gazprom-neft.local/edo/card/ef36cfe8-b237-42b5-98f7-ff5cdb5818fc", "https://tessa.gazprom-neft.local/edo/card/ef36cfe8-b237-42b5-98f7-ff5cdb5818fc")</f>
        <v>https://tessa.gazprom-neft.local/edo/card/ef36cfe8-b237-42b5-98f7-ff5cdb5818fc</v>
      </c>
    </row>
    <row r="339" spans="1:45" x14ac:dyDescent="0.25">
      <c r="A339" s="6" t="s">
        <v>44</v>
      </c>
      <c r="B339" s="7" t="s">
        <v>1351</v>
      </c>
      <c r="C339" s="7" t="s">
        <v>67</v>
      </c>
      <c r="D339" s="8">
        <v>45446</v>
      </c>
      <c r="E339" s="8">
        <v>45454</v>
      </c>
      <c r="F339" s="16" t="s">
        <v>1352</v>
      </c>
      <c r="G339" s="7" t="s">
        <v>1353</v>
      </c>
      <c r="H339" s="7" t="s">
        <v>1818</v>
      </c>
      <c r="I339" s="7" t="s">
        <v>0</v>
      </c>
      <c r="J339" s="7" t="s">
        <v>70</v>
      </c>
      <c r="K339" s="7" t="s">
        <v>47</v>
      </c>
      <c r="L339" s="7" t="s">
        <v>48</v>
      </c>
      <c r="M339" s="7" t="s">
        <v>0</v>
      </c>
      <c r="N339" s="7" t="s">
        <v>3513</v>
      </c>
      <c r="O339" s="7" t="s">
        <v>0</v>
      </c>
      <c r="P339" s="7" t="s">
        <v>3514</v>
      </c>
      <c r="Q339" s="7" t="s">
        <v>3515</v>
      </c>
      <c r="R339" s="7" t="s">
        <v>505</v>
      </c>
      <c r="S339" s="7" t="s">
        <v>3516</v>
      </c>
      <c r="T339" s="7" t="s">
        <v>54</v>
      </c>
      <c r="U339" s="7" t="s">
        <v>210</v>
      </c>
      <c r="V339" s="7" t="s">
        <v>126</v>
      </c>
      <c r="W339" s="7" t="s">
        <v>74</v>
      </c>
      <c r="X339" s="7" t="s">
        <v>58</v>
      </c>
      <c r="Y339" s="8">
        <v>45446</v>
      </c>
      <c r="Z339" s="8" t="s">
        <v>0</v>
      </c>
      <c r="AA339" s="7" t="s">
        <v>200</v>
      </c>
      <c r="AB339" s="7" t="s">
        <v>804</v>
      </c>
      <c r="AC339" s="7" t="s">
        <v>79</v>
      </c>
      <c r="AD339" s="7" t="s">
        <v>144</v>
      </c>
      <c r="AE339" s="7" t="s">
        <v>82</v>
      </c>
      <c r="AF339" s="7" t="s">
        <v>0</v>
      </c>
      <c r="AG339" s="7" t="s">
        <v>0</v>
      </c>
      <c r="AH339" s="9" t="s">
        <v>11710</v>
      </c>
      <c r="AI339" s="9" t="s">
        <v>11711</v>
      </c>
      <c r="AJ339" s="9" t="s">
        <v>11712</v>
      </c>
      <c r="AK339" s="7" t="s">
        <v>61</v>
      </c>
      <c r="AL339" s="7" t="s">
        <v>61</v>
      </c>
      <c r="AM339" s="7" t="s">
        <v>0</v>
      </c>
      <c r="AN339" s="7" t="s">
        <v>0</v>
      </c>
      <c r="AO339" s="7" t="s">
        <v>0</v>
      </c>
      <c r="AP339" s="7" t="s">
        <v>0</v>
      </c>
      <c r="AQ339" s="7" t="s">
        <v>61</v>
      </c>
      <c r="AR339" s="7" t="s">
        <v>0</v>
      </c>
      <c r="AS339" s="10" t="str">
        <f>HYPERLINK("https://tessa.gazprom-neft.local/edo/card/020a3a3a-6fa5-4d47-99d8-5cfcae4ad582", "https://tessa.gazprom-neft.local/edo/card/020a3a3a-6fa5-4d47-99d8-5cfcae4ad582")</f>
        <v>https://tessa.gazprom-neft.local/edo/card/020a3a3a-6fa5-4d47-99d8-5cfcae4ad582</v>
      </c>
    </row>
    <row r="340" spans="1:45" x14ac:dyDescent="0.25">
      <c r="A340" s="6" t="s">
        <v>44</v>
      </c>
      <c r="B340" s="7" t="s">
        <v>170</v>
      </c>
      <c r="C340" s="7" t="s">
        <v>67</v>
      </c>
      <c r="D340" s="8">
        <v>45446</v>
      </c>
      <c r="E340" s="8">
        <v>45447</v>
      </c>
      <c r="F340" s="16" t="s">
        <v>171</v>
      </c>
      <c r="G340" s="7" t="s">
        <v>172</v>
      </c>
      <c r="H340" s="7" t="s">
        <v>4553</v>
      </c>
      <c r="I340" s="7" t="s">
        <v>0</v>
      </c>
      <c r="J340" s="7" t="s">
        <v>51</v>
      </c>
      <c r="K340" s="7" t="s">
        <v>85</v>
      </c>
      <c r="L340" s="7" t="s">
        <v>48</v>
      </c>
      <c r="M340" s="7" t="s">
        <v>1183</v>
      </c>
      <c r="N340" s="7" t="s">
        <v>4552</v>
      </c>
      <c r="O340" s="7" t="s">
        <v>0</v>
      </c>
      <c r="P340" s="7" t="s">
        <v>1183</v>
      </c>
      <c r="Q340" s="7" t="s">
        <v>1944</v>
      </c>
      <c r="R340" s="7" t="s">
        <v>124</v>
      </c>
      <c r="S340" s="7" t="s">
        <v>0</v>
      </c>
      <c r="T340" s="7" t="s">
        <v>54</v>
      </c>
      <c r="U340" s="7" t="s">
        <v>101</v>
      </c>
      <c r="V340" s="7" t="s">
        <v>168</v>
      </c>
      <c r="W340" s="7" t="s">
        <v>74</v>
      </c>
      <c r="X340" s="7" t="s">
        <v>58</v>
      </c>
      <c r="Y340" s="8">
        <v>45446</v>
      </c>
      <c r="Z340" s="8" t="s">
        <v>0</v>
      </c>
      <c r="AA340" s="7" t="s">
        <v>169</v>
      </c>
      <c r="AB340" s="7" t="s">
        <v>228</v>
      </c>
      <c r="AC340" s="7" t="s">
        <v>65</v>
      </c>
      <c r="AD340" s="7" t="s">
        <v>0</v>
      </c>
      <c r="AE340" s="7" t="s">
        <v>0</v>
      </c>
      <c r="AF340" s="7" t="s">
        <v>0</v>
      </c>
      <c r="AG340" s="7" t="s">
        <v>0</v>
      </c>
      <c r="AH340" s="9" t="s">
        <v>0</v>
      </c>
      <c r="AI340" s="9" t="s">
        <v>0</v>
      </c>
      <c r="AJ340" s="9" t="s">
        <v>0</v>
      </c>
      <c r="AK340" s="7" t="s">
        <v>61</v>
      </c>
      <c r="AL340" s="7" t="s">
        <v>61</v>
      </c>
      <c r="AM340" s="7" t="s">
        <v>0</v>
      </c>
      <c r="AN340" s="7" t="s">
        <v>0</v>
      </c>
      <c r="AO340" s="7" t="s">
        <v>0</v>
      </c>
      <c r="AP340" s="7" t="s">
        <v>0</v>
      </c>
      <c r="AQ340" s="7" t="s">
        <v>61</v>
      </c>
      <c r="AR340" s="7" t="s">
        <v>0</v>
      </c>
      <c r="AS340" s="10" t="str">
        <f>HYPERLINK("https://tessa.gazprom-neft.local/edo/card/4b464f6f-9714-400d-a94c-e2e29e3ee649", "https://tessa.gazprom-neft.local/edo/card/4b464f6f-9714-400d-a94c-e2e29e3ee649")</f>
        <v>https://tessa.gazprom-neft.local/edo/card/4b464f6f-9714-400d-a94c-e2e29e3ee649</v>
      </c>
    </row>
    <row r="341" spans="1:45" x14ac:dyDescent="0.25">
      <c r="A341" s="6" t="s">
        <v>44</v>
      </c>
      <c r="B341" s="7" t="s">
        <v>265</v>
      </c>
      <c r="C341" s="7" t="s">
        <v>67</v>
      </c>
      <c r="D341" s="8">
        <v>45446</v>
      </c>
      <c r="E341" s="8">
        <v>45468</v>
      </c>
      <c r="F341" s="16" t="s">
        <v>266</v>
      </c>
      <c r="G341" s="7" t="s">
        <v>267</v>
      </c>
      <c r="H341" s="7" t="s">
        <v>4560</v>
      </c>
      <c r="I341" s="7" t="s">
        <v>0</v>
      </c>
      <c r="J341" s="7" t="s">
        <v>51</v>
      </c>
      <c r="K341" s="7" t="s">
        <v>85</v>
      </c>
      <c r="L341" s="7" t="s">
        <v>48</v>
      </c>
      <c r="M341" s="7" t="s">
        <v>1183</v>
      </c>
      <c r="N341" s="7" t="s">
        <v>4559</v>
      </c>
      <c r="O341" s="7" t="s">
        <v>0</v>
      </c>
      <c r="P341" s="7" t="s">
        <v>1183</v>
      </c>
      <c r="Q341" s="7" t="s">
        <v>1944</v>
      </c>
      <c r="R341" s="7" t="s">
        <v>124</v>
      </c>
      <c r="S341" s="7" t="s">
        <v>0</v>
      </c>
      <c r="T341" s="7" t="s">
        <v>54</v>
      </c>
      <c r="U341" s="7" t="s">
        <v>125</v>
      </c>
      <c r="V341" s="7" t="s">
        <v>126</v>
      </c>
      <c r="W341" s="7" t="s">
        <v>74</v>
      </c>
      <c r="X341" s="7" t="s">
        <v>58</v>
      </c>
      <c r="Y341" s="8">
        <v>45446</v>
      </c>
      <c r="Z341" s="8" t="s">
        <v>0</v>
      </c>
      <c r="AA341" s="7" t="s">
        <v>200</v>
      </c>
      <c r="AB341" s="7" t="s">
        <v>228</v>
      </c>
      <c r="AC341" s="7" t="s">
        <v>65</v>
      </c>
      <c r="AD341" s="7" t="s">
        <v>0</v>
      </c>
      <c r="AE341" s="7" t="s">
        <v>0</v>
      </c>
      <c r="AF341" s="7" t="s">
        <v>0</v>
      </c>
      <c r="AG341" s="7" t="s">
        <v>0</v>
      </c>
      <c r="AH341" s="9" t="s">
        <v>0</v>
      </c>
      <c r="AI341" s="9" t="s">
        <v>0</v>
      </c>
      <c r="AJ341" s="9" t="s">
        <v>0</v>
      </c>
      <c r="AK341" s="7" t="s">
        <v>61</v>
      </c>
      <c r="AL341" s="7" t="s">
        <v>61</v>
      </c>
      <c r="AM341" s="7" t="s">
        <v>0</v>
      </c>
      <c r="AN341" s="7" t="s">
        <v>0</v>
      </c>
      <c r="AO341" s="7" t="s">
        <v>0</v>
      </c>
      <c r="AP341" s="7" t="s">
        <v>0</v>
      </c>
      <c r="AQ341" s="7" t="s">
        <v>61</v>
      </c>
      <c r="AR341" s="7" t="s">
        <v>0</v>
      </c>
      <c r="AS341" s="10" t="str">
        <f>HYPERLINK("https://tessa.gazprom-neft.local/edo/card/e290b256-a1eb-4f65-8c66-dae874f59a43", "https://tessa.gazprom-neft.local/edo/card/e290b256-a1eb-4f65-8c66-dae874f59a43")</f>
        <v>https://tessa.gazprom-neft.local/edo/card/e290b256-a1eb-4f65-8c66-dae874f59a43</v>
      </c>
    </row>
    <row r="342" spans="1:45" hidden="1" x14ac:dyDescent="0.25">
      <c r="A342" s="6" t="s">
        <v>44</v>
      </c>
      <c r="B342" s="7" t="s">
        <v>885</v>
      </c>
      <c r="C342" s="7" t="s">
        <v>67</v>
      </c>
      <c r="D342" s="8">
        <v>45444</v>
      </c>
      <c r="E342" s="8">
        <v>45453</v>
      </c>
      <c r="F342" s="16" t="s">
        <v>886</v>
      </c>
      <c r="G342" s="7" t="s">
        <v>887</v>
      </c>
      <c r="H342" s="7" t="s">
        <v>934</v>
      </c>
      <c r="I342" s="7" t="s">
        <v>0</v>
      </c>
      <c r="J342" s="7" t="s">
        <v>657</v>
      </c>
      <c r="K342" s="7" t="s">
        <v>47</v>
      </c>
      <c r="L342" s="7" t="s">
        <v>239</v>
      </c>
      <c r="M342" s="7" t="s">
        <v>0</v>
      </c>
      <c r="N342" s="7" t="s">
        <v>3399</v>
      </c>
      <c r="O342" s="7" t="s">
        <v>0</v>
      </c>
      <c r="P342" s="7" t="s">
        <v>3400</v>
      </c>
      <c r="Q342" s="7" t="s">
        <v>3401</v>
      </c>
      <c r="R342" s="7" t="s">
        <v>938</v>
      </c>
      <c r="S342" s="7" t="s">
        <v>0</v>
      </c>
      <c r="T342" s="7" t="s">
        <v>54</v>
      </c>
      <c r="U342" s="7" t="s">
        <v>605</v>
      </c>
      <c r="V342" s="7" t="s">
        <v>382</v>
      </c>
      <c r="W342" s="7" t="s">
        <v>74</v>
      </c>
      <c r="X342" s="7" t="s">
        <v>58</v>
      </c>
      <c r="Y342" s="8">
        <v>45444</v>
      </c>
      <c r="Z342" s="8" t="s">
        <v>0</v>
      </c>
      <c r="AA342" s="7" t="s">
        <v>383</v>
      </c>
      <c r="AB342" s="7" t="s">
        <v>130</v>
      </c>
      <c r="AC342" s="7" t="s">
        <v>79</v>
      </c>
      <c r="AD342" s="7" t="s">
        <v>144</v>
      </c>
      <c r="AE342" s="7" t="s">
        <v>118</v>
      </c>
      <c r="AF342" s="7" t="s">
        <v>0</v>
      </c>
      <c r="AG342" s="7" t="s">
        <v>0</v>
      </c>
      <c r="AH342" s="9" t="s">
        <v>11654</v>
      </c>
      <c r="AI342" s="9" t="s">
        <v>11654</v>
      </c>
      <c r="AJ342" s="9">
        <v>0</v>
      </c>
      <c r="AK342" s="7" t="s">
        <v>61</v>
      </c>
      <c r="AL342" s="7" t="s">
        <v>61</v>
      </c>
      <c r="AM342" s="7" t="s">
        <v>0</v>
      </c>
      <c r="AN342" s="7" t="s">
        <v>0</v>
      </c>
      <c r="AO342" s="7" t="s">
        <v>0</v>
      </c>
      <c r="AP342" s="7" t="s">
        <v>0</v>
      </c>
      <c r="AQ342" s="7" t="s">
        <v>61</v>
      </c>
      <c r="AR342" s="7" t="s">
        <v>0</v>
      </c>
      <c r="AS342" s="10" t="str">
        <f>HYPERLINK("https://tessa.gazprom-neft.local/edo/card/49f9a891-f105-4ee5-b649-e3c7d5a7fa85", "https://tessa.gazprom-neft.local/edo/card/49f9a891-f105-4ee5-b649-e3c7d5a7fa85")</f>
        <v>https://tessa.gazprom-neft.local/edo/card/49f9a891-f105-4ee5-b649-e3c7d5a7fa85</v>
      </c>
    </row>
    <row r="343" spans="1:45" hidden="1" x14ac:dyDescent="0.25">
      <c r="A343" s="6" t="s">
        <v>44</v>
      </c>
      <c r="B343" s="7" t="s">
        <v>715</v>
      </c>
      <c r="C343" s="7" t="s">
        <v>67</v>
      </c>
      <c r="D343" s="8">
        <v>45444</v>
      </c>
      <c r="E343" s="8">
        <v>45429</v>
      </c>
      <c r="F343" s="16" t="s">
        <v>716</v>
      </c>
      <c r="G343" s="7" t="s">
        <v>717</v>
      </c>
      <c r="H343" s="7" t="s">
        <v>710</v>
      </c>
      <c r="I343" s="7" t="s">
        <v>0</v>
      </c>
      <c r="J343" s="7" t="s">
        <v>1428</v>
      </c>
      <c r="K343" s="7" t="s">
        <v>47</v>
      </c>
      <c r="L343" s="7" t="s">
        <v>239</v>
      </c>
      <c r="M343" s="7" t="s">
        <v>0</v>
      </c>
      <c r="N343" s="7" t="s">
        <v>4093</v>
      </c>
      <c r="O343" s="7" t="s">
        <v>0</v>
      </c>
      <c r="P343" s="7" t="s">
        <v>4094</v>
      </c>
      <c r="Q343" s="7" t="s">
        <v>4095</v>
      </c>
      <c r="R343" s="7" t="s">
        <v>714</v>
      </c>
      <c r="S343" s="7" t="s">
        <v>714</v>
      </c>
      <c r="T343" s="7" t="s">
        <v>54</v>
      </c>
      <c r="U343" s="7" t="s">
        <v>101</v>
      </c>
      <c r="V343" s="7" t="s">
        <v>168</v>
      </c>
      <c r="W343" s="7" t="s">
        <v>74</v>
      </c>
      <c r="X343" s="7" t="s">
        <v>103</v>
      </c>
      <c r="Y343" s="8">
        <v>45444</v>
      </c>
      <c r="Z343" s="8">
        <v>45504</v>
      </c>
      <c r="AA343" s="7" t="s">
        <v>169</v>
      </c>
      <c r="AB343" s="7" t="s">
        <v>64</v>
      </c>
      <c r="AC343" s="7" t="s">
        <v>79</v>
      </c>
      <c r="AD343" s="7" t="s">
        <v>144</v>
      </c>
      <c r="AE343" s="7" t="s">
        <v>82</v>
      </c>
      <c r="AF343" s="7" t="s">
        <v>0</v>
      </c>
      <c r="AG343" s="7" t="s">
        <v>0</v>
      </c>
      <c r="AH343" s="9" t="s">
        <v>11923</v>
      </c>
      <c r="AI343" s="9" t="s">
        <v>11924</v>
      </c>
      <c r="AJ343" s="9" t="s">
        <v>11925</v>
      </c>
      <c r="AK343" s="7" t="s">
        <v>61</v>
      </c>
      <c r="AL343" s="7" t="s">
        <v>61</v>
      </c>
      <c r="AM343" s="7" t="s">
        <v>0</v>
      </c>
      <c r="AN343" s="7" t="s">
        <v>0</v>
      </c>
      <c r="AO343" s="7" t="s">
        <v>0</v>
      </c>
      <c r="AP343" s="7" t="s">
        <v>0</v>
      </c>
      <c r="AQ343" s="7" t="s">
        <v>61</v>
      </c>
      <c r="AR343" s="7" t="s">
        <v>0</v>
      </c>
      <c r="AS343" s="10" t="str">
        <f>HYPERLINK("https://tessa.gazprom-neft.local/edo/card/ed5e9bb5-90b0-4f34-8435-56daddfee5ce", "https://tessa.gazprom-neft.local/edo/card/ed5e9bb5-90b0-4f34-8435-56daddfee5ce")</f>
        <v>https://tessa.gazprom-neft.local/edo/card/ed5e9bb5-90b0-4f34-8435-56daddfee5ce</v>
      </c>
    </row>
    <row r="344" spans="1:45" hidden="1" x14ac:dyDescent="0.25">
      <c r="A344" s="6" t="s">
        <v>44</v>
      </c>
      <c r="B344" s="7" t="s">
        <v>715</v>
      </c>
      <c r="C344" s="7" t="s">
        <v>67</v>
      </c>
      <c r="D344" s="8">
        <v>45444</v>
      </c>
      <c r="E344" s="8">
        <v>45440</v>
      </c>
      <c r="F344" s="16" t="s">
        <v>716</v>
      </c>
      <c r="G344" s="7" t="s">
        <v>717</v>
      </c>
      <c r="H344" s="7" t="s">
        <v>710</v>
      </c>
      <c r="I344" s="7" t="s">
        <v>0</v>
      </c>
      <c r="J344" s="7" t="s">
        <v>51</v>
      </c>
      <c r="K344" s="7" t="s">
        <v>47</v>
      </c>
      <c r="L344" s="7" t="s">
        <v>389</v>
      </c>
      <c r="M344" s="7" t="s">
        <v>0</v>
      </c>
      <c r="N344" s="7" t="s">
        <v>4245</v>
      </c>
      <c r="O344" s="7" t="s">
        <v>538</v>
      </c>
      <c r="P344" s="7" t="s">
        <v>4246</v>
      </c>
      <c r="Q344" s="7" t="s">
        <v>4247</v>
      </c>
      <c r="R344" s="7" t="s">
        <v>714</v>
      </c>
      <c r="S344" s="7" t="s">
        <v>714</v>
      </c>
      <c r="T344" s="7" t="s">
        <v>54</v>
      </c>
      <c r="U344" s="7" t="s">
        <v>101</v>
      </c>
      <c r="V344" s="7" t="s">
        <v>308</v>
      </c>
      <c r="W344" s="7" t="s">
        <v>74</v>
      </c>
      <c r="X344" s="7" t="s">
        <v>103</v>
      </c>
      <c r="Y344" s="8">
        <v>45444</v>
      </c>
      <c r="Z344" s="8">
        <v>45504</v>
      </c>
      <c r="AA344" s="7" t="s">
        <v>309</v>
      </c>
      <c r="AB344" s="7" t="s">
        <v>64</v>
      </c>
      <c r="AC344" s="7" t="s">
        <v>65</v>
      </c>
      <c r="AD344" s="7" t="s">
        <v>144</v>
      </c>
      <c r="AE344" s="7" t="s">
        <v>0</v>
      </c>
      <c r="AF344" s="7" t="s">
        <v>0</v>
      </c>
      <c r="AG344" s="7" t="s">
        <v>0</v>
      </c>
      <c r="AH344" s="9" t="s">
        <v>0</v>
      </c>
      <c r="AI344" s="9" t="s">
        <v>0</v>
      </c>
      <c r="AJ344" s="9" t="s">
        <v>0</v>
      </c>
      <c r="AK344" s="7" t="s">
        <v>61</v>
      </c>
      <c r="AL344" s="7" t="s">
        <v>61</v>
      </c>
      <c r="AM344" s="7" t="s">
        <v>0</v>
      </c>
      <c r="AN344" s="7" t="s">
        <v>0</v>
      </c>
      <c r="AO344" s="7" t="s">
        <v>0</v>
      </c>
      <c r="AP344" s="7" t="s">
        <v>0</v>
      </c>
      <c r="AQ344" s="7" t="s">
        <v>61</v>
      </c>
      <c r="AR344" s="7" t="s">
        <v>0</v>
      </c>
      <c r="AS344" s="10" t="str">
        <f>HYPERLINK("https://tessa.gazprom-neft.local/edo/card/a50b1dff-37fb-4198-a147-790396e009da", "https://tessa.gazprom-neft.local/edo/card/a50b1dff-37fb-4198-a147-790396e009da")</f>
        <v>https://tessa.gazprom-neft.local/edo/card/a50b1dff-37fb-4198-a147-790396e009da</v>
      </c>
    </row>
    <row r="345" spans="1:45" hidden="1" x14ac:dyDescent="0.25">
      <c r="A345" s="6" t="s">
        <v>44</v>
      </c>
      <c r="B345" s="7" t="s">
        <v>715</v>
      </c>
      <c r="C345" s="7" t="s">
        <v>67</v>
      </c>
      <c r="D345" s="8">
        <v>45444</v>
      </c>
      <c r="E345" s="8">
        <v>45436</v>
      </c>
      <c r="F345" s="16" t="s">
        <v>716</v>
      </c>
      <c r="G345" s="7" t="s">
        <v>717</v>
      </c>
      <c r="H345" s="7" t="s">
        <v>710</v>
      </c>
      <c r="I345" s="7" t="s">
        <v>0</v>
      </c>
      <c r="J345" s="7" t="s">
        <v>156</v>
      </c>
      <c r="K345" s="7" t="s">
        <v>47</v>
      </c>
      <c r="L345" s="7" t="s">
        <v>389</v>
      </c>
      <c r="M345" s="7" t="s">
        <v>0</v>
      </c>
      <c r="N345" s="7" t="s">
        <v>4274</v>
      </c>
      <c r="O345" s="7" t="s">
        <v>872</v>
      </c>
      <c r="P345" s="7" t="s">
        <v>4275</v>
      </c>
      <c r="Q345" s="7" t="s">
        <v>4276</v>
      </c>
      <c r="R345" s="7" t="s">
        <v>714</v>
      </c>
      <c r="S345" s="7" t="s">
        <v>714</v>
      </c>
      <c r="T345" s="7" t="s">
        <v>54</v>
      </c>
      <c r="U345" s="7" t="s">
        <v>101</v>
      </c>
      <c r="V345" s="7" t="s">
        <v>308</v>
      </c>
      <c r="W345" s="7" t="s">
        <v>74</v>
      </c>
      <c r="X345" s="7" t="s">
        <v>103</v>
      </c>
      <c r="Y345" s="8">
        <v>45229</v>
      </c>
      <c r="Z345" s="8">
        <v>45535</v>
      </c>
      <c r="AA345" s="7" t="s">
        <v>309</v>
      </c>
      <c r="AB345" s="7" t="s">
        <v>64</v>
      </c>
      <c r="AC345" s="7" t="s">
        <v>65</v>
      </c>
      <c r="AD345" s="7" t="s">
        <v>144</v>
      </c>
      <c r="AE345" s="7" t="s">
        <v>0</v>
      </c>
      <c r="AF345" s="7" t="s">
        <v>0</v>
      </c>
      <c r="AG345" s="7" t="s">
        <v>0</v>
      </c>
      <c r="AH345" s="9" t="s">
        <v>0</v>
      </c>
      <c r="AI345" s="9" t="s">
        <v>0</v>
      </c>
      <c r="AJ345" s="9" t="s">
        <v>0</v>
      </c>
      <c r="AK345" s="7" t="s">
        <v>61</v>
      </c>
      <c r="AL345" s="7" t="s">
        <v>61</v>
      </c>
      <c r="AM345" s="7" t="s">
        <v>0</v>
      </c>
      <c r="AN345" s="7" t="s">
        <v>0</v>
      </c>
      <c r="AO345" s="7" t="s">
        <v>0</v>
      </c>
      <c r="AP345" s="7" t="s">
        <v>0</v>
      </c>
      <c r="AQ345" s="7" t="s">
        <v>61</v>
      </c>
      <c r="AR345" s="7" t="s">
        <v>0</v>
      </c>
      <c r="AS345" s="10" t="str">
        <f>HYPERLINK("https://tessa.gazprom-neft.local/edo/card/67748268-ccf1-48be-a614-450c46695284", "https://tessa.gazprom-neft.local/edo/card/67748268-ccf1-48be-a614-450c46695284")</f>
        <v>https://tessa.gazprom-neft.local/edo/card/67748268-ccf1-48be-a614-450c46695284</v>
      </c>
    </row>
    <row r="346" spans="1:45" hidden="1" x14ac:dyDescent="0.25">
      <c r="A346" s="6" t="s">
        <v>44</v>
      </c>
      <c r="B346" s="7" t="s">
        <v>1950</v>
      </c>
      <c r="C346" s="7" t="s">
        <v>67</v>
      </c>
      <c r="D346" s="8">
        <v>45444</v>
      </c>
      <c r="E346" s="8">
        <v>45454</v>
      </c>
      <c r="F346" s="16" t="s">
        <v>1951</v>
      </c>
      <c r="G346" s="7" t="s">
        <v>1952</v>
      </c>
      <c r="H346" s="7" t="s">
        <v>1947</v>
      </c>
      <c r="I346" s="7" t="s">
        <v>0</v>
      </c>
      <c r="J346" s="7" t="s">
        <v>936</v>
      </c>
      <c r="K346" s="7" t="s">
        <v>47</v>
      </c>
      <c r="L346" s="7" t="s">
        <v>239</v>
      </c>
      <c r="M346" s="7" t="s">
        <v>0</v>
      </c>
      <c r="N346" s="7" t="s">
        <v>4499</v>
      </c>
      <c r="O346" s="7" t="s">
        <v>0</v>
      </c>
      <c r="P346" s="7" t="s">
        <v>4500</v>
      </c>
      <c r="Q346" s="7" t="s">
        <v>4501</v>
      </c>
      <c r="R346" s="7" t="s">
        <v>2178</v>
      </c>
      <c r="S346" s="7" t="s">
        <v>0</v>
      </c>
      <c r="T346" s="7" t="s">
        <v>54</v>
      </c>
      <c r="U346" s="7" t="s">
        <v>605</v>
      </c>
      <c r="V346" s="7" t="s">
        <v>382</v>
      </c>
      <c r="W346" s="7" t="s">
        <v>74</v>
      </c>
      <c r="X346" s="7" t="s">
        <v>103</v>
      </c>
      <c r="Y346" s="8">
        <v>45444</v>
      </c>
      <c r="Z346" s="8">
        <v>45656</v>
      </c>
      <c r="AA346" s="7" t="s">
        <v>383</v>
      </c>
      <c r="AB346" s="7" t="s">
        <v>1893</v>
      </c>
      <c r="AC346" s="7" t="s">
        <v>79</v>
      </c>
      <c r="AD346" s="7" t="s">
        <v>144</v>
      </c>
      <c r="AE346" s="7" t="s">
        <v>118</v>
      </c>
      <c r="AF346" s="7" t="s">
        <v>0</v>
      </c>
      <c r="AG346" s="7" t="s">
        <v>0</v>
      </c>
      <c r="AH346" s="9" t="s">
        <v>12095</v>
      </c>
      <c r="AI346" s="9" t="s">
        <v>12095</v>
      </c>
      <c r="AJ346" s="9">
        <v>0</v>
      </c>
      <c r="AK346" s="7" t="s">
        <v>61</v>
      </c>
      <c r="AL346" s="7" t="s">
        <v>61</v>
      </c>
      <c r="AM346" s="7" t="s">
        <v>0</v>
      </c>
      <c r="AN346" s="7" t="s">
        <v>0</v>
      </c>
      <c r="AO346" s="7" t="s">
        <v>0</v>
      </c>
      <c r="AP346" s="7" t="s">
        <v>0</v>
      </c>
      <c r="AQ346" s="7" t="s">
        <v>61</v>
      </c>
      <c r="AR346" s="7" t="s">
        <v>0</v>
      </c>
      <c r="AS346" s="10" t="str">
        <f>HYPERLINK("https://tessa.gazprom-neft.local/edo/card/dd8c15fb-eb0d-48dc-afb9-670070606cfb", "https://tessa.gazprom-neft.local/edo/card/dd8c15fb-eb0d-48dc-afb9-670070606cfb")</f>
        <v>https://tessa.gazprom-neft.local/edo/card/dd8c15fb-eb0d-48dc-afb9-670070606cfb</v>
      </c>
    </row>
    <row r="347" spans="1:45" x14ac:dyDescent="0.25">
      <c r="A347" s="6" t="s">
        <v>44</v>
      </c>
      <c r="B347" s="7" t="s">
        <v>4071</v>
      </c>
      <c r="C347" s="7" t="s">
        <v>67</v>
      </c>
      <c r="D347" s="8">
        <v>45444</v>
      </c>
      <c r="E347" s="8">
        <v>45460</v>
      </c>
      <c r="F347" s="16" t="s">
        <v>4072</v>
      </c>
      <c r="G347" s="7" t="s">
        <v>4073</v>
      </c>
      <c r="H347" s="7" t="s">
        <v>4580</v>
      </c>
      <c r="I347" s="7" t="s">
        <v>0</v>
      </c>
      <c r="J347" s="7" t="s">
        <v>331</v>
      </c>
      <c r="K347" s="7" t="s">
        <v>47</v>
      </c>
      <c r="L347" s="7" t="s">
        <v>48</v>
      </c>
      <c r="M347" s="7" t="s">
        <v>0</v>
      </c>
      <c r="N347" s="7" t="s">
        <v>4579</v>
      </c>
      <c r="O347" s="7" t="s">
        <v>0</v>
      </c>
      <c r="P347" s="7" t="s">
        <v>4581</v>
      </c>
      <c r="Q347" s="7" t="s">
        <v>4581</v>
      </c>
      <c r="R347" s="7" t="s">
        <v>519</v>
      </c>
      <c r="S347" s="7" t="s">
        <v>519</v>
      </c>
      <c r="T347" s="7" t="s">
        <v>54</v>
      </c>
      <c r="U347" s="7" t="s">
        <v>4582</v>
      </c>
      <c r="V347" s="7" t="s">
        <v>295</v>
      </c>
      <c r="W347" s="7" t="s">
        <v>74</v>
      </c>
      <c r="X347" s="7" t="s">
        <v>103</v>
      </c>
      <c r="Y347" s="8">
        <v>44011</v>
      </c>
      <c r="Z347" s="8">
        <v>45657</v>
      </c>
      <c r="AA347" s="7" t="s">
        <v>296</v>
      </c>
      <c r="AB347" s="7" t="s">
        <v>130</v>
      </c>
      <c r="AC347" s="7" t="s">
        <v>65</v>
      </c>
      <c r="AD347" s="7" t="s">
        <v>0</v>
      </c>
      <c r="AE347" s="7" t="s">
        <v>0</v>
      </c>
      <c r="AF347" s="7" t="s">
        <v>0</v>
      </c>
      <c r="AG347" s="7" t="s">
        <v>0</v>
      </c>
      <c r="AH347" s="9" t="s">
        <v>0</v>
      </c>
      <c r="AI347" s="9" t="s">
        <v>0</v>
      </c>
      <c r="AJ347" s="9" t="s">
        <v>0</v>
      </c>
      <c r="AK347" s="7" t="s">
        <v>61</v>
      </c>
      <c r="AL347" s="7" t="s">
        <v>61</v>
      </c>
      <c r="AM347" s="7" t="s">
        <v>0</v>
      </c>
      <c r="AN347" s="7" t="s">
        <v>0</v>
      </c>
      <c r="AO347" s="7" t="s">
        <v>0</v>
      </c>
      <c r="AP347" s="7" t="s">
        <v>0</v>
      </c>
      <c r="AQ347" s="7" t="s">
        <v>61</v>
      </c>
      <c r="AR347" s="7" t="s">
        <v>0</v>
      </c>
      <c r="AS347" s="10" t="str">
        <f>HYPERLINK("https://tessa.gazprom-neft.local/edo/card/66cab1e5-8b84-4cd0-9c82-73a1ee618ba4", "https://tessa.gazprom-neft.local/edo/card/66cab1e5-8b84-4cd0-9c82-73a1ee618ba4")</f>
        <v>https://tessa.gazprom-neft.local/edo/card/66cab1e5-8b84-4cd0-9c82-73a1ee618ba4</v>
      </c>
    </row>
    <row r="348" spans="1:45" hidden="1" x14ac:dyDescent="0.25">
      <c r="A348" s="6" t="s">
        <v>44</v>
      </c>
      <c r="B348" s="7" t="s">
        <v>2724</v>
      </c>
      <c r="C348" s="7" t="s">
        <v>67</v>
      </c>
      <c r="D348" s="8">
        <v>45444</v>
      </c>
      <c r="E348" s="8" t="s">
        <v>0</v>
      </c>
      <c r="F348" s="16" t="s">
        <v>2671</v>
      </c>
      <c r="G348" s="7" t="s">
        <v>2725</v>
      </c>
      <c r="H348" s="7" t="s">
        <v>0</v>
      </c>
      <c r="I348" s="7" t="s">
        <v>7157</v>
      </c>
      <c r="J348" s="7" t="s">
        <v>7157</v>
      </c>
      <c r="K348" s="7" t="s">
        <v>47</v>
      </c>
      <c r="L348" s="7" t="s">
        <v>86</v>
      </c>
      <c r="M348" s="7" t="s">
        <v>0</v>
      </c>
      <c r="N348" s="7" t="s">
        <v>7156</v>
      </c>
      <c r="O348" s="7" t="s">
        <v>0</v>
      </c>
      <c r="P348" s="7" t="s">
        <v>7158</v>
      </c>
      <c r="Q348" s="7" t="s">
        <v>7159</v>
      </c>
      <c r="R348" s="7" t="s">
        <v>4909</v>
      </c>
      <c r="S348" s="7" t="s">
        <v>4909</v>
      </c>
      <c r="T348" s="7" t="s">
        <v>54</v>
      </c>
      <c r="U348" s="7" t="s">
        <v>605</v>
      </c>
      <c r="V348" s="7" t="s">
        <v>126</v>
      </c>
      <c r="W348" s="7" t="s">
        <v>57</v>
      </c>
      <c r="X348" s="7" t="s">
        <v>103</v>
      </c>
      <c r="Y348" s="8">
        <v>45445</v>
      </c>
      <c r="Z348" s="8">
        <v>45657</v>
      </c>
      <c r="AA348" s="7" t="s">
        <v>200</v>
      </c>
      <c r="AB348" s="7" t="s">
        <v>3666</v>
      </c>
      <c r="AC348" s="7" t="s">
        <v>79</v>
      </c>
      <c r="AD348" s="7" t="s">
        <v>80</v>
      </c>
      <c r="AE348" s="7" t="s">
        <v>82</v>
      </c>
      <c r="AF348" s="7" t="s">
        <v>0</v>
      </c>
      <c r="AG348" s="7" t="s">
        <v>0</v>
      </c>
      <c r="AH348" s="9" t="s">
        <v>13081</v>
      </c>
      <c r="AI348" s="9" t="s">
        <v>13082</v>
      </c>
      <c r="AJ348" s="9">
        <v>305.61</v>
      </c>
      <c r="AK348" s="7" t="s">
        <v>61</v>
      </c>
      <c r="AL348" s="7" t="s">
        <v>61</v>
      </c>
      <c r="AM348" s="7" t="s">
        <v>0</v>
      </c>
      <c r="AN348" s="7" t="s">
        <v>0</v>
      </c>
      <c r="AO348" s="7" t="s">
        <v>0</v>
      </c>
      <c r="AP348" s="7" t="s">
        <v>0</v>
      </c>
      <c r="AQ348" s="7" t="s">
        <v>61</v>
      </c>
      <c r="AR348" s="7" t="s">
        <v>0</v>
      </c>
      <c r="AS348" s="10" t="str">
        <f>HYPERLINK("https://tessa.gazprom-neft.local/edo/card/2d779e90-434c-4ff0-b4e4-2e52feebdf66", "https://tessa.gazprom-neft.local/edo/card/2d779e90-434c-4ff0-b4e4-2e52feebdf66")</f>
        <v>https://tessa.gazprom-neft.local/edo/card/2d779e90-434c-4ff0-b4e4-2e52feebdf66</v>
      </c>
    </row>
    <row r="349" spans="1:45" x14ac:dyDescent="0.25">
      <c r="A349" s="6" t="s">
        <v>44</v>
      </c>
      <c r="B349" s="7" t="s">
        <v>1216</v>
      </c>
      <c r="C349" s="7" t="s">
        <v>67</v>
      </c>
      <c r="D349" s="8">
        <v>45443</v>
      </c>
      <c r="E349" s="8">
        <v>45489</v>
      </c>
      <c r="F349" s="16" t="s">
        <v>1217</v>
      </c>
      <c r="G349" s="7" t="s">
        <v>1218</v>
      </c>
      <c r="H349" s="7" t="s">
        <v>3734</v>
      </c>
      <c r="I349" s="7" t="s">
        <v>0</v>
      </c>
      <c r="J349" s="7" t="s">
        <v>156</v>
      </c>
      <c r="K349" s="7" t="s">
        <v>47</v>
      </c>
      <c r="L349" s="7" t="s">
        <v>48</v>
      </c>
      <c r="M349" s="7" t="s">
        <v>0</v>
      </c>
      <c r="N349" s="7" t="s">
        <v>4544</v>
      </c>
      <c r="O349" s="7" t="s">
        <v>0</v>
      </c>
      <c r="P349" s="7" t="s">
        <v>4545</v>
      </c>
      <c r="Q349" s="7" t="s">
        <v>4546</v>
      </c>
      <c r="R349" s="7" t="s">
        <v>393</v>
      </c>
      <c r="S349" s="7" t="s">
        <v>209</v>
      </c>
      <c r="T349" s="7" t="s">
        <v>54</v>
      </c>
      <c r="U349" s="7" t="s">
        <v>210</v>
      </c>
      <c r="V349" s="7" t="s">
        <v>126</v>
      </c>
      <c r="W349" s="7" t="s">
        <v>74</v>
      </c>
      <c r="X349" s="7" t="s">
        <v>58</v>
      </c>
      <c r="Y349" s="8">
        <v>45443</v>
      </c>
      <c r="Z349" s="8" t="s">
        <v>0</v>
      </c>
      <c r="AA349" s="7" t="s">
        <v>200</v>
      </c>
      <c r="AB349" s="7" t="s">
        <v>130</v>
      </c>
      <c r="AC349" s="7" t="s">
        <v>79</v>
      </c>
      <c r="AD349" s="7" t="s">
        <v>144</v>
      </c>
      <c r="AE349" s="7" t="s">
        <v>82</v>
      </c>
      <c r="AF349" s="7" t="s">
        <v>0</v>
      </c>
      <c r="AG349" s="7" t="s">
        <v>4547</v>
      </c>
      <c r="AH349" s="9" t="s">
        <v>12108</v>
      </c>
      <c r="AI349" s="9" t="s">
        <v>12109</v>
      </c>
      <c r="AJ349" s="9" t="s">
        <v>12110</v>
      </c>
      <c r="AK349" s="7" t="s">
        <v>81</v>
      </c>
      <c r="AL349" s="7" t="s">
        <v>61</v>
      </c>
      <c r="AM349" s="7" t="s">
        <v>0</v>
      </c>
      <c r="AN349" s="7" t="s">
        <v>0</v>
      </c>
      <c r="AO349" s="7" t="s">
        <v>0</v>
      </c>
      <c r="AP349" s="7" t="s">
        <v>0</v>
      </c>
      <c r="AQ349" s="7" t="s">
        <v>61</v>
      </c>
      <c r="AR349" s="7" t="s">
        <v>0</v>
      </c>
      <c r="AS349" s="10" t="str">
        <f>HYPERLINK("https://tessa.gazprom-neft.local/edo/card/3086a8b5-a678-4f0c-874b-d9ab6f4dd640", "https://tessa.gazprom-neft.local/edo/card/3086a8b5-a678-4f0c-874b-d9ab6f4dd640")</f>
        <v>https://tessa.gazprom-neft.local/edo/card/3086a8b5-a678-4f0c-874b-d9ab6f4dd640</v>
      </c>
    </row>
    <row r="350" spans="1:45" hidden="1" x14ac:dyDescent="0.25">
      <c r="A350" s="6" t="s">
        <v>44</v>
      </c>
      <c r="B350" s="7" t="s">
        <v>900</v>
      </c>
      <c r="C350" s="7" t="s">
        <v>2030</v>
      </c>
      <c r="D350" s="8">
        <v>45442</v>
      </c>
      <c r="E350" s="8" t="s">
        <v>0</v>
      </c>
      <c r="F350" s="16" t="s">
        <v>901</v>
      </c>
      <c r="G350" s="7" t="s">
        <v>902</v>
      </c>
      <c r="H350" s="7" t="s">
        <v>0</v>
      </c>
      <c r="I350" s="7" t="s">
        <v>4508</v>
      </c>
      <c r="J350" s="7" t="s">
        <v>4508</v>
      </c>
      <c r="K350" s="7" t="s">
        <v>85</v>
      </c>
      <c r="L350" s="7" t="s">
        <v>86</v>
      </c>
      <c r="M350" s="7" t="s">
        <v>216</v>
      </c>
      <c r="N350" s="7" t="s">
        <v>4507</v>
      </c>
      <c r="O350" s="7" t="s">
        <v>0</v>
      </c>
      <c r="P350" s="7" t="s">
        <v>216</v>
      </c>
      <c r="Q350" s="7" t="s">
        <v>4509</v>
      </c>
      <c r="R350" s="7" t="s">
        <v>198</v>
      </c>
      <c r="S350" s="7" t="s">
        <v>198</v>
      </c>
      <c r="T350" s="7" t="s">
        <v>54</v>
      </c>
      <c r="U350" s="7" t="s">
        <v>199</v>
      </c>
      <c r="V350" s="7" t="s">
        <v>126</v>
      </c>
      <c r="W350" s="7" t="s">
        <v>74</v>
      </c>
      <c r="X350" s="7" t="s">
        <v>58</v>
      </c>
      <c r="Y350" s="8">
        <v>45442</v>
      </c>
      <c r="Z350" s="8" t="s">
        <v>0</v>
      </c>
      <c r="AA350" s="7" t="s">
        <v>200</v>
      </c>
      <c r="AB350" s="7" t="s">
        <v>228</v>
      </c>
      <c r="AC350" s="7" t="s">
        <v>65</v>
      </c>
      <c r="AD350" s="7" t="s">
        <v>0</v>
      </c>
      <c r="AE350" s="7" t="s">
        <v>0</v>
      </c>
      <c r="AF350" s="7" t="s">
        <v>0</v>
      </c>
      <c r="AG350" s="7" t="s">
        <v>0</v>
      </c>
      <c r="AH350" s="9" t="s">
        <v>0</v>
      </c>
      <c r="AI350" s="9" t="s">
        <v>0</v>
      </c>
      <c r="AJ350" s="9" t="s">
        <v>0</v>
      </c>
      <c r="AK350" s="7" t="s">
        <v>61</v>
      </c>
      <c r="AL350" s="7" t="s">
        <v>61</v>
      </c>
      <c r="AM350" s="7" t="s">
        <v>0</v>
      </c>
      <c r="AN350" s="7" t="s">
        <v>0</v>
      </c>
      <c r="AO350" s="7" t="s">
        <v>0</v>
      </c>
      <c r="AP350" s="7" t="s">
        <v>0</v>
      </c>
      <c r="AQ350" s="7" t="s">
        <v>61</v>
      </c>
      <c r="AR350" s="7" t="s">
        <v>0</v>
      </c>
      <c r="AS350" s="10" t="str">
        <f>HYPERLINK("https://tessa.gazprom-neft.local/edo/card/6566e7df-dfff-4fad-9833-edb7b3e9124e", "https://tessa.gazprom-neft.local/edo/card/6566e7df-dfff-4fad-9833-edb7b3e9124e")</f>
        <v>https://tessa.gazprom-neft.local/edo/card/6566e7df-dfff-4fad-9833-edb7b3e9124e</v>
      </c>
    </row>
    <row r="351" spans="1:45" x14ac:dyDescent="0.25">
      <c r="A351" s="6" t="s">
        <v>44</v>
      </c>
      <c r="B351" s="7" t="s">
        <v>350</v>
      </c>
      <c r="C351" s="7" t="s">
        <v>67</v>
      </c>
      <c r="D351" s="8">
        <v>45441</v>
      </c>
      <c r="E351" s="8">
        <v>45471</v>
      </c>
      <c r="F351" s="16" t="s">
        <v>1027</v>
      </c>
      <c r="G351" s="7" t="s">
        <v>352</v>
      </c>
      <c r="H351" s="7" t="s">
        <v>4454</v>
      </c>
      <c r="I351" s="7" t="s">
        <v>0</v>
      </c>
      <c r="J351" s="7" t="s">
        <v>51</v>
      </c>
      <c r="K351" s="7" t="s">
        <v>85</v>
      </c>
      <c r="L351" s="7" t="s">
        <v>48</v>
      </c>
      <c r="M351" s="7" t="s">
        <v>1183</v>
      </c>
      <c r="N351" s="7" t="s">
        <v>4453</v>
      </c>
      <c r="O351" s="7" t="s">
        <v>0</v>
      </c>
      <c r="P351" s="7" t="s">
        <v>1183</v>
      </c>
      <c r="Q351" s="7" t="s">
        <v>1944</v>
      </c>
      <c r="R351" s="7" t="s">
        <v>124</v>
      </c>
      <c r="S351" s="7" t="s">
        <v>0</v>
      </c>
      <c r="T351" s="7" t="s">
        <v>54</v>
      </c>
      <c r="U351" s="7" t="s">
        <v>101</v>
      </c>
      <c r="V351" s="7" t="s">
        <v>168</v>
      </c>
      <c r="W351" s="7" t="s">
        <v>74</v>
      </c>
      <c r="X351" s="7" t="s">
        <v>58</v>
      </c>
      <c r="Y351" s="8">
        <v>45441</v>
      </c>
      <c r="Z351" s="8" t="s">
        <v>0</v>
      </c>
      <c r="AA351" s="7" t="s">
        <v>169</v>
      </c>
      <c r="AB351" s="7" t="s">
        <v>228</v>
      </c>
      <c r="AC351" s="7" t="s">
        <v>65</v>
      </c>
      <c r="AD351" s="7" t="s">
        <v>0</v>
      </c>
      <c r="AE351" s="7" t="s">
        <v>0</v>
      </c>
      <c r="AF351" s="7" t="s">
        <v>0</v>
      </c>
      <c r="AG351" s="7" t="s">
        <v>0</v>
      </c>
      <c r="AH351" s="9" t="s">
        <v>0</v>
      </c>
      <c r="AI351" s="9" t="s">
        <v>0</v>
      </c>
      <c r="AJ351" s="9" t="s">
        <v>0</v>
      </c>
      <c r="AK351" s="7" t="s">
        <v>61</v>
      </c>
      <c r="AL351" s="7" t="s">
        <v>61</v>
      </c>
      <c r="AM351" s="7" t="s">
        <v>0</v>
      </c>
      <c r="AN351" s="7" t="s">
        <v>0</v>
      </c>
      <c r="AO351" s="7" t="s">
        <v>0</v>
      </c>
      <c r="AP351" s="7" t="s">
        <v>0</v>
      </c>
      <c r="AQ351" s="7" t="s">
        <v>61</v>
      </c>
      <c r="AR351" s="7" t="s">
        <v>0</v>
      </c>
      <c r="AS351" s="10" t="str">
        <f>HYPERLINK("https://tessa.gazprom-neft.local/edo/card/268b9fd2-037a-4cea-9de4-e19ad09bda20", "https://tessa.gazprom-neft.local/edo/card/268b9fd2-037a-4cea-9de4-e19ad09bda20")</f>
        <v>https://tessa.gazprom-neft.local/edo/card/268b9fd2-037a-4cea-9de4-e19ad09bda20</v>
      </c>
    </row>
    <row r="352" spans="1:45" hidden="1" x14ac:dyDescent="0.25">
      <c r="A352" s="6" t="s">
        <v>44</v>
      </c>
      <c r="B352" s="7" t="s">
        <v>234</v>
      </c>
      <c r="C352" s="7" t="s">
        <v>67</v>
      </c>
      <c r="D352" s="8">
        <v>45441</v>
      </c>
      <c r="E352" s="8">
        <v>45454</v>
      </c>
      <c r="F352" s="16" t="s">
        <v>235</v>
      </c>
      <c r="G352" s="7" t="s">
        <v>236</v>
      </c>
      <c r="H352" s="7" t="s">
        <v>0</v>
      </c>
      <c r="I352" s="7" t="s">
        <v>4466</v>
      </c>
      <c r="J352" s="7" t="s">
        <v>4466</v>
      </c>
      <c r="K352" s="7" t="s">
        <v>85</v>
      </c>
      <c r="L352" s="7" t="s">
        <v>86</v>
      </c>
      <c r="M352" s="7" t="s">
        <v>289</v>
      </c>
      <c r="N352" s="7" t="s">
        <v>4465</v>
      </c>
      <c r="O352" s="7" t="s">
        <v>0</v>
      </c>
      <c r="P352" s="7" t="s">
        <v>4467</v>
      </c>
      <c r="Q352" s="7" t="s">
        <v>2315</v>
      </c>
      <c r="R352" s="7" t="s">
        <v>1139</v>
      </c>
      <c r="S352" s="7" t="s">
        <v>233</v>
      </c>
      <c r="T352" s="7" t="s">
        <v>54</v>
      </c>
      <c r="U352" s="7" t="s">
        <v>55</v>
      </c>
      <c r="V352" s="7" t="s">
        <v>340</v>
      </c>
      <c r="W352" s="7" t="s">
        <v>74</v>
      </c>
      <c r="X352" s="7" t="s">
        <v>223</v>
      </c>
      <c r="Y352" s="8">
        <v>45441</v>
      </c>
      <c r="Z352" s="8" t="s">
        <v>0</v>
      </c>
      <c r="AA352" s="7" t="s">
        <v>341</v>
      </c>
      <c r="AB352" s="7" t="s">
        <v>300</v>
      </c>
      <c r="AC352" s="7" t="s">
        <v>65</v>
      </c>
      <c r="AD352" s="7" t="s">
        <v>0</v>
      </c>
      <c r="AE352" s="7" t="s">
        <v>0</v>
      </c>
      <c r="AF352" s="7" t="s">
        <v>0</v>
      </c>
      <c r="AG352" s="7" t="s">
        <v>0</v>
      </c>
      <c r="AH352" s="9" t="s">
        <v>0</v>
      </c>
      <c r="AI352" s="9" t="s">
        <v>0</v>
      </c>
      <c r="AJ352" s="9" t="s">
        <v>0</v>
      </c>
      <c r="AK352" s="7" t="s">
        <v>61</v>
      </c>
      <c r="AL352" s="7" t="s">
        <v>61</v>
      </c>
      <c r="AM352" s="7" t="s">
        <v>0</v>
      </c>
      <c r="AN352" s="7" t="s">
        <v>0</v>
      </c>
      <c r="AO352" s="7" t="s">
        <v>0</v>
      </c>
      <c r="AP352" s="7" t="s">
        <v>0</v>
      </c>
      <c r="AQ352" s="7" t="s">
        <v>61</v>
      </c>
      <c r="AR352" s="7" t="s">
        <v>0</v>
      </c>
      <c r="AS352" s="10" t="str">
        <f>HYPERLINK("https://tessa.gazprom-neft.local/edo/card/1859ee75-1766-489d-958f-eecfeee3b7b0", "https://tessa.gazprom-neft.local/edo/card/1859ee75-1766-489d-958f-eecfeee3b7b0")</f>
        <v>https://tessa.gazprom-neft.local/edo/card/1859ee75-1766-489d-958f-eecfeee3b7b0</v>
      </c>
    </row>
    <row r="353" spans="1:45" hidden="1" x14ac:dyDescent="0.25">
      <c r="A353" s="6" t="s">
        <v>44</v>
      </c>
      <c r="B353" s="7" t="s">
        <v>3319</v>
      </c>
      <c r="C353" s="7" t="s">
        <v>67</v>
      </c>
      <c r="D353" s="8">
        <v>45440</v>
      </c>
      <c r="E353" s="8">
        <v>45447</v>
      </c>
      <c r="F353" s="16" t="s">
        <v>3320</v>
      </c>
      <c r="G353" s="7" t="s">
        <v>3321</v>
      </c>
      <c r="H353" s="7" t="s">
        <v>0</v>
      </c>
      <c r="I353" s="7" t="s">
        <v>3317</v>
      </c>
      <c r="J353" s="7" t="s">
        <v>3317</v>
      </c>
      <c r="K353" s="7" t="s">
        <v>47</v>
      </c>
      <c r="L353" s="7" t="s">
        <v>96</v>
      </c>
      <c r="M353" s="7" t="s">
        <v>0</v>
      </c>
      <c r="N353" s="7" t="s">
        <v>3316</v>
      </c>
      <c r="O353" s="7" t="s">
        <v>0</v>
      </c>
      <c r="P353" s="7" t="s">
        <v>3318</v>
      </c>
      <c r="Q353" s="7" t="s">
        <v>1585</v>
      </c>
      <c r="R353" s="7" t="s">
        <v>1139</v>
      </c>
      <c r="S353" s="7" t="s">
        <v>1586</v>
      </c>
      <c r="T353" s="7" t="s">
        <v>54</v>
      </c>
      <c r="U353" s="7" t="s">
        <v>1587</v>
      </c>
      <c r="V353" s="7" t="s">
        <v>340</v>
      </c>
      <c r="W353" s="7" t="s">
        <v>74</v>
      </c>
      <c r="X353" s="7" t="s">
        <v>58</v>
      </c>
      <c r="Y353" s="8">
        <v>45440</v>
      </c>
      <c r="Z353" s="8" t="s">
        <v>0</v>
      </c>
      <c r="AA353" s="7" t="s">
        <v>341</v>
      </c>
      <c r="AB353" s="7" t="s">
        <v>366</v>
      </c>
      <c r="AC353" s="7" t="s">
        <v>79</v>
      </c>
      <c r="AD353" s="7" t="s">
        <v>367</v>
      </c>
      <c r="AE353" s="7" t="s">
        <v>82</v>
      </c>
      <c r="AF353" s="7" t="s">
        <v>0</v>
      </c>
      <c r="AG353" s="7" t="s">
        <v>0</v>
      </c>
      <c r="AH353" s="9">
        <v>0</v>
      </c>
      <c r="AI353" s="9">
        <v>0</v>
      </c>
      <c r="AJ353" s="9">
        <v>0</v>
      </c>
      <c r="AK353" s="7" t="s">
        <v>61</v>
      </c>
      <c r="AL353" s="7" t="s">
        <v>61</v>
      </c>
      <c r="AM353" s="7" t="s">
        <v>0</v>
      </c>
      <c r="AN353" s="7" t="s">
        <v>0</v>
      </c>
      <c r="AO353" s="7" t="s">
        <v>0</v>
      </c>
      <c r="AP353" s="7" t="s">
        <v>0</v>
      </c>
      <c r="AQ353" s="7" t="s">
        <v>61</v>
      </c>
      <c r="AR353" s="7" t="s">
        <v>0</v>
      </c>
      <c r="AS353" s="10" t="str">
        <f>HYPERLINK("https://tessa.gazprom-neft.local/edo/card/4d02b000-62b6-4d82-afaa-722e0941b719", "https://tessa.gazprom-neft.local/edo/card/4d02b000-62b6-4d82-afaa-722e0941b719")</f>
        <v>https://tessa.gazprom-neft.local/edo/card/4d02b000-62b6-4d82-afaa-722e0941b719</v>
      </c>
    </row>
    <row r="354" spans="1:45" hidden="1" x14ac:dyDescent="0.25">
      <c r="A354" s="6" t="s">
        <v>44</v>
      </c>
      <c r="B354" s="7" t="s">
        <v>1675</v>
      </c>
      <c r="C354" s="7" t="s">
        <v>67</v>
      </c>
      <c r="D354" s="8">
        <v>45440</v>
      </c>
      <c r="E354" s="8">
        <v>45446</v>
      </c>
      <c r="F354" s="16" t="s">
        <v>1676</v>
      </c>
      <c r="G354" s="7" t="s">
        <v>1677</v>
      </c>
      <c r="H354" s="7" t="s">
        <v>1672</v>
      </c>
      <c r="I354" s="7" t="s">
        <v>0</v>
      </c>
      <c r="J354" s="7" t="s">
        <v>51</v>
      </c>
      <c r="K354" s="7" t="s">
        <v>47</v>
      </c>
      <c r="L354" s="7" t="s">
        <v>239</v>
      </c>
      <c r="M354" s="7" t="s">
        <v>0</v>
      </c>
      <c r="N354" s="7" t="s">
        <v>4284</v>
      </c>
      <c r="O354" s="7" t="s">
        <v>0</v>
      </c>
      <c r="P354" s="7" t="s">
        <v>4285</v>
      </c>
      <c r="Q354" s="7" t="s">
        <v>4286</v>
      </c>
      <c r="R354" s="7" t="s">
        <v>282</v>
      </c>
      <c r="S354" s="7" t="s">
        <v>0</v>
      </c>
      <c r="T354" s="7" t="s">
        <v>54</v>
      </c>
      <c r="U354" s="7" t="s">
        <v>55</v>
      </c>
      <c r="V354" s="7" t="s">
        <v>56</v>
      </c>
      <c r="W354" s="7" t="s">
        <v>74</v>
      </c>
      <c r="X354" s="7" t="s">
        <v>103</v>
      </c>
      <c r="Y354" s="8">
        <v>45440</v>
      </c>
      <c r="Z354" s="8">
        <v>46752</v>
      </c>
      <c r="AA354" s="7" t="s">
        <v>0</v>
      </c>
      <c r="AB354" s="7" t="s">
        <v>130</v>
      </c>
      <c r="AC354" s="7" t="s">
        <v>278</v>
      </c>
      <c r="AD354" s="7" t="s">
        <v>144</v>
      </c>
      <c r="AE354" s="7" t="s">
        <v>82</v>
      </c>
      <c r="AF354" s="7" t="s">
        <v>0</v>
      </c>
      <c r="AG354" s="7" t="s">
        <v>0</v>
      </c>
      <c r="AH354" s="9" t="s">
        <v>11998</v>
      </c>
      <c r="AI354" s="9" t="s">
        <v>11999</v>
      </c>
      <c r="AJ354" s="9" t="s">
        <v>12000</v>
      </c>
      <c r="AK354" s="7" t="s">
        <v>61</v>
      </c>
      <c r="AL354" s="7" t="s">
        <v>61</v>
      </c>
      <c r="AM354" s="7" t="s">
        <v>0</v>
      </c>
      <c r="AN354" s="7" t="s">
        <v>0</v>
      </c>
      <c r="AO354" s="7" t="s">
        <v>0</v>
      </c>
      <c r="AP354" s="7" t="s">
        <v>0</v>
      </c>
      <c r="AQ354" s="7" t="s">
        <v>61</v>
      </c>
      <c r="AR354" s="7" t="s">
        <v>0</v>
      </c>
      <c r="AS354" s="10" t="str">
        <f>HYPERLINK("https://tessa.gazprom-neft.local/edo/card/4fe7b9e8-7edd-41e3-bc12-8b508fc7bb6e", "https://tessa.gazprom-neft.local/edo/card/4fe7b9e8-7edd-41e3-bc12-8b508fc7bb6e")</f>
        <v>https://tessa.gazprom-neft.local/edo/card/4fe7b9e8-7edd-41e3-bc12-8b508fc7bb6e</v>
      </c>
    </row>
    <row r="355" spans="1:45" hidden="1" x14ac:dyDescent="0.25">
      <c r="A355" s="6" t="s">
        <v>44</v>
      </c>
      <c r="B355" s="7" t="s">
        <v>4393</v>
      </c>
      <c r="C355" s="7" t="s">
        <v>67</v>
      </c>
      <c r="D355" s="8">
        <v>45439</v>
      </c>
      <c r="E355" s="8">
        <v>45454</v>
      </c>
      <c r="F355" s="16" t="s">
        <v>4394</v>
      </c>
      <c r="G355" s="7" t="s">
        <v>4395</v>
      </c>
      <c r="H355" s="7" t="s">
        <v>0</v>
      </c>
      <c r="I355" s="7" t="s">
        <v>4390</v>
      </c>
      <c r="J355" s="7" t="s">
        <v>4390</v>
      </c>
      <c r="K355" s="7" t="s">
        <v>47</v>
      </c>
      <c r="L355" s="7" t="s">
        <v>96</v>
      </c>
      <c r="M355" s="7" t="s">
        <v>0</v>
      </c>
      <c r="N355" s="7" t="s">
        <v>4389</v>
      </c>
      <c r="O355" s="7" t="s">
        <v>0</v>
      </c>
      <c r="P355" s="7" t="s">
        <v>4391</v>
      </c>
      <c r="Q355" s="7" t="s">
        <v>4392</v>
      </c>
      <c r="R355" s="7" t="s">
        <v>2788</v>
      </c>
      <c r="S355" s="7" t="s">
        <v>2788</v>
      </c>
      <c r="T355" s="7" t="s">
        <v>54</v>
      </c>
      <c r="U355" s="7" t="s">
        <v>55</v>
      </c>
      <c r="V355" s="7" t="s">
        <v>56</v>
      </c>
      <c r="W355" s="7" t="s">
        <v>74</v>
      </c>
      <c r="X355" s="7" t="s">
        <v>58</v>
      </c>
      <c r="Y355" s="8">
        <v>45439</v>
      </c>
      <c r="Z355" s="8" t="s">
        <v>0</v>
      </c>
      <c r="AA355" s="7" t="s">
        <v>59</v>
      </c>
      <c r="AB355" s="7" t="s">
        <v>1049</v>
      </c>
      <c r="AC355" s="7" t="s">
        <v>79</v>
      </c>
      <c r="AD355" s="7" t="s">
        <v>80</v>
      </c>
      <c r="AE355" s="7" t="s">
        <v>82</v>
      </c>
      <c r="AF355" s="7" t="s">
        <v>0</v>
      </c>
      <c r="AG355" s="7" t="s">
        <v>0</v>
      </c>
      <c r="AH355" s="9" t="s">
        <v>12046</v>
      </c>
      <c r="AI355" s="9" t="s">
        <v>12047</v>
      </c>
      <c r="AJ355" s="9" t="s">
        <v>12048</v>
      </c>
      <c r="AK355" s="7" t="s">
        <v>61</v>
      </c>
      <c r="AL355" s="7" t="s">
        <v>61</v>
      </c>
      <c r="AM355" s="7" t="s">
        <v>0</v>
      </c>
      <c r="AN355" s="7" t="s">
        <v>0</v>
      </c>
      <c r="AO355" s="7" t="s">
        <v>0</v>
      </c>
      <c r="AP355" s="7" t="s">
        <v>0</v>
      </c>
      <c r="AQ355" s="7" t="s">
        <v>61</v>
      </c>
      <c r="AR355" s="7" t="s">
        <v>0</v>
      </c>
      <c r="AS355" s="10" t="str">
        <f>HYPERLINK("https://tessa.gazprom-neft.local/edo/card/f076b446-873e-4932-8a00-fa218f1eb20a", "https://tessa.gazprom-neft.local/edo/card/f076b446-873e-4932-8a00-fa218f1eb20a")</f>
        <v>https://tessa.gazprom-neft.local/edo/card/f076b446-873e-4932-8a00-fa218f1eb20a</v>
      </c>
    </row>
    <row r="356" spans="1:45" hidden="1" x14ac:dyDescent="0.25">
      <c r="A356" s="6" t="s">
        <v>44</v>
      </c>
      <c r="B356" s="7" t="s">
        <v>4412</v>
      </c>
      <c r="C356" s="7" t="s">
        <v>67</v>
      </c>
      <c r="D356" s="8">
        <v>45439</v>
      </c>
      <c r="E356" s="8" t="s">
        <v>0</v>
      </c>
      <c r="F356" s="16" t="s">
        <v>4413</v>
      </c>
      <c r="G356" s="7" t="s">
        <v>4414</v>
      </c>
      <c r="H356" s="7" t="s">
        <v>0</v>
      </c>
      <c r="I356" s="7" t="s">
        <v>4409</v>
      </c>
      <c r="J356" s="7" t="s">
        <v>4409</v>
      </c>
      <c r="K356" s="7" t="s">
        <v>47</v>
      </c>
      <c r="L356" s="7" t="s">
        <v>96</v>
      </c>
      <c r="M356" s="7" t="s">
        <v>0</v>
      </c>
      <c r="N356" s="7" t="s">
        <v>4408</v>
      </c>
      <c r="O356" s="7" t="s">
        <v>0</v>
      </c>
      <c r="P356" s="7" t="s">
        <v>4410</v>
      </c>
      <c r="Q356" s="7" t="s">
        <v>4411</v>
      </c>
      <c r="R356" s="7" t="s">
        <v>646</v>
      </c>
      <c r="S356" s="7" t="s">
        <v>1765</v>
      </c>
      <c r="T356" s="7" t="s">
        <v>54</v>
      </c>
      <c r="U356" s="7" t="s">
        <v>1792</v>
      </c>
      <c r="V356" s="7" t="s">
        <v>846</v>
      </c>
      <c r="W356" s="7" t="s">
        <v>57</v>
      </c>
      <c r="X356" s="7" t="s">
        <v>103</v>
      </c>
      <c r="Y356" s="8">
        <v>45439</v>
      </c>
      <c r="Z356" s="8">
        <v>45443</v>
      </c>
      <c r="AA356" s="7" t="s">
        <v>847</v>
      </c>
      <c r="AB356" s="7" t="s">
        <v>64</v>
      </c>
      <c r="AC356" s="7" t="s">
        <v>79</v>
      </c>
      <c r="AD356" s="7" t="s">
        <v>80</v>
      </c>
      <c r="AE356" s="7" t="s">
        <v>118</v>
      </c>
      <c r="AF356" s="7" t="s">
        <v>0</v>
      </c>
      <c r="AG356" s="7" t="s">
        <v>0</v>
      </c>
      <c r="AH356" s="9" t="s">
        <v>11957</v>
      </c>
      <c r="AI356" s="9" t="s">
        <v>11957</v>
      </c>
      <c r="AJ356" s="9">
        <v>0</v>
      </c>
      <c r="AK356" s="7" t="s">
        <v>61</v>
      </c>
      <c r="AL356" s="7" t="s">
        <v>61</v>
      </c>
      <c r="AM356" s="7" t="s">
        <v>0</v>
      </c>
      <c r="AN356" s="7" t="s">
        <v>0</v>
      </c>
      <c r="AO356" s="7" t="s">
        <v>0</v>
      </c>
      <c r="AP356" s="7" t="s">
        <v>0</v>
      </c>
      <c r="AQ356" s="7" t="s">
        <v>61</v>
      </c>
      <c r="AR356" s="7" t="s">
        <v>0</v>
      </c>
      <c r="AS356" s="10" t="str">
        <f>HYPERLINK("https://tessa.gazprom-neft.local/edo/card/39121cd1-cd8c-4f9f-b34b-38c1fdee9c39", "https://tessa.gazprom-neft.local/edo/card/39121cd1-cd8c-4f9f-b34b-38c1fdee9c39")</f>
        <v>https://tessa.gazprom-neft.local/edo/card/39121cd1-cd8c-4f9f-b34b-38c1fdee9c39</v>
      </c>
    </row>
    <row r="357" spans="1:45" x14ac:dyDescent="0.25">
      <c r="A357" s="6" t="s">
        <v>44</v>
      </c>
      <c r="B357" s="7" t="s">
        <v>1775</v>
      </c>
      <c r="C357" s="7" t="s">
        <v>67</v>
      </c>
      <c r="D357" s="8">
        <v>45437</v>
      </c>
      <c r="E357" s="8">
        <v>45461</v>
      </c>
      <c r="F357" s="16" t="s">
        <v>1776</v>
      </c>
      <c r="G357" s="7" t="s">
        <v>1777</v>
      </c>
      <c r="H357" s="7" t="s">
        <v>2800</v>
      </c>
      <c r="I357" s="7" t="s">
        <v>0</v>
      </c>
      <c r="J357" s="7" t="s">
        <v>936</v>
      </c>
      <c r="K357" s="7" t="s">
        <v>47</v>
      </c>
      <c r="L357" s="7" t="s">
        <v>48</v>
      </c>
      <c r="M357" s="7" t="s">
        <v>0</v>
      </c>
      <c r="N357" s="7" t="s">
        <v>4595</v>
      </c>
      <c r="O357" s="7" t="s">
        <v>0</v>
      </c>
      <c r="P357" s="7" t="s">
        <v>4596</v>
      </c>
      <c r="Q357" s="7" t="s">
        <v>4597</v>
      </c>
      <c r="R357" s="7" t="s">
        <v>1774</v>
      </c>
      <c r="S357" s="7" t="s">
        <v>1774</v>
      </c>
      <c r="T357" s="7" t="s">
        <v>54</v>
      </c>
      <c r="U357" s="7" t="s">
        <v>307</v>
      </c>
      <c r="V357" s="7" t="s">
        <v>382</v>
      </c>
      <c r="W357" s="7" t="s">
        <v>74</v>
      </c>
      <c r="X357" s="7" t="s">
        <v>103</v>
      </c>
      <c r="Y357" s="8">
        <v>45437</v>
      </c>
      <c r="Z357" s="8">
        <v>45657</v>
      </c>
      <c r="AA357" s="7" t="s">
        <v>383</v>
      </c>
      <c r="AB357" s="7" t="s">
        <v>130</v>
      </c>
      <c r="AC357" s="7" t="s">
        <v>79</v>
      </c>
      <c r="AD357" s="7" t="s">
        <v>514</v>
      </c>
      <c r="AE357" s="7" t="s">
        <v>82</v>
      </c>
      <c r="AF357" s="7" t="s">
        <v>0</v>
      </c>
      <c r="AG357" s="7" t="s">
        <v>0</v>
      </c>
      <c r="AH357" s="9" t="s">
        <v>12129</v>
      </c>
      <c r="AI357" s="9" t="s">
        <v>12130</v>
      </c>
      <c r="AJ357" s="9" t="s">
        <v>12131</v>
      </c>
      <c r="AK357" s="7" t="s">
        <v>61</v>
      </c>
      <c r="AL357" s="7" t="s">
        <v>61</v>
      </c>
      <c r="AM357" s="7" t="s">
        <v>0</v>
      </c>
      <c r="AN357" s="7" t="s">
        <v>0</v>
      </c>
      <c r="AO357" s="7" t="s">
        <v>0</v>
      </c>
      <c r="AP357" s="7" t="s">
        <v>0</v>
      </c>
      <c r="AQ357" s="7" t="s">
        <v>61</v>
      </c>
      <c r="AR357" s="7" t="s">
        <v>0</v>
      </c>
      <c r="AS357" s="10" t="str">
        <f>HYPERLINK("https://tessa.gazprom-neft.local/edo/card/22f73f4e-bb71-422b-a98c-cb4443e85c13", "https://tessa.gazprom-neft.local/edo/card/22f73f4e-bb71-422b-a98c-cb4443e85c13")</f>
        <v>https://tessa.gazprom-neft.local/edo/card/22f73f4e-bb71-422b-a98c-cb4443e85c13</v>
      </c>
    </row>
    <row r="358" spans="1:45" hidden="1" x14ac:dyDescent="0.25">
      <c r="A358" s="6" t="s">
        <v>44</v>
      </c>
      <c r="B358" s="7" t="s">
        <v>542</v>
      </c>
      <c r="C358" s="7" t="s">
        <v>67</v>
      </c>
      <c r="D358" s="8">
        <v>45436</v>
      </c>
      <c r="E358" s="8">
        <v>45441</v>
      </c>
      <c r="F358" s="16" t="s">
        <v>543</v>
      </c>
      <c r="G358" s="7" t="s">
        <v>544</v>
      </c>
      <c r="H358" s="7" t="s">
        <v>0</v>
      </c>
      <c r="I358" s="7" t="s">
        <v>3363</v>
      </c>
      <c r="J358" s="7" t="s">
        <v>3363</v>
      </c>
      <c r="K358" s="7" t="s">
        <v>47</v>
      </c>
      <c r="L358" s="7" t="s">
        <v>86</v>
      </c>
      <c r="M358" s="7" t="s">
        <v>0</v>
      </c>
      <c r="N358" s="7" t="s">
        <v>3362</v>
      </c>
      <c r="O358" s="7" t="s">
        <v>0</v>
      </c>
      <c r="P358" s="7" t="s">
        <v>3364</v>
      </c>
      <c r="Q358" s="7" t="s">
        <v>3365</v>
      </c>
      <c r="R358" s="7" t="s">
        <v>540</v>
      </c>
      <c r="S358" s="7" t="s">
        <v>0</v>
      </c>
      <c r="T358" s="7" t="s">
        <v>54</v>
      </c>
      <c r="U358" s="7" t="s">
        <v>541</v>
      </c>
      <c r="V358" s="7" t="s">
        <v>56</v>
      </c>
      <c r="W358" s="7" t="s">
        <v>74</v>
      </c>
      <c r="X358" s="7" t="s">
        <v>103</v>
      </c>
      <c r="Y358" s="8">
        <v>45436</v>
      </c>
      <c r="Z358" s="8">
        <v>47848</v>
      </c>
      <c r="AA358" s="7" t="s">
        <v>59</v>
      </c>
      <c r="AB358" s="7" t="s">
        <v>237</v>
      </c>
      <c r="AC358" s="7" t="s">
        <v>65</v>
      </c>
      <c r="AD358" s="7" t="s">
        <v>0</v>
      </c>
      <c r="AE358" s="7" t="s">
        <v>0</v>
      </c>
      <c r="AF358" s="7" t="s">
        <v>0</v>
      </c>
      <c r="AG358" s="7" t="s">
        <v>0</v>
      </c>
      <c r="AH358" s="9" t="s">
        <v>0</v>
      </c>
      <c r="AI358" s="9" t="s">
        <v>0</v>
      </c>
      <c r="AJ358" s="9" t="s">
        <v>0</v>
      </c>
      <c r="AK358" s="7" t="s">
        <v>61</v>
      </c>
      <c r="AL358" s="7" t="s">
        <v>61</v>
      </c>
      <c r="AM358" s="7" t="s">
        <v>0</v>
      </c>
      <c r="AN358" s="7" t="s">
        <v>0</v>
      </c>
      <c r="AO358" s="7" t="s">
        <v>0</v>
      </c>
      <c r="AP358" s="7" t="s">
        <v>0</v>
      </c>
      <c r="AQ358" s="7" t="s">
        <v>61</v>
      </c>
      <c r="AR358" s="7" t="s">
        <v>0</v>
      </c>
      <c r="AS358" s="10" t="str">
        <f>HYPERLINK("https://tessa.gazprom-neft.local/edo/card/5f48757f-9de4-40d1-8ade-ebcf3b89fc6e", "https://tessa.gazprom-neft.local/edo/card/5f48757f-9de4-40d1-8ade-ebcf3b89fc6e")</f>
        <v>https://tessa.gazprom-neft.local/edo/card/5f48757f-9de4-40d1-8ade-ebcf3b89fc6e</v>
      </c>
    </row>
    <row r="359" spans="1:45" x14ac:dyDescent="0.25">
      <c r="A359" s="6" t="s">
        <v>44</v>
      </c>
      <c r="B359" s="7" t="s">
        <v>813</v>
      </c>
      <c r="C359" s="7" t="s">
        <v>67</v>
      </c>
      <c r="D359" s="8">
        <v>45436</v>
      </c>
      <c r="E359" s="8">
        <v>45454</v>
      </c>
      <c r="F359" s="16" t="s">
        <v>814</v>
      </c>
      <c r="G359" s="7" t="s">
        <v>815</v>
      </c>
      <c r="H359" s="7" t="s">
        <v>809</v>
      </c>
      <c r="I359" s="7" t="s">
        <v>0</v>
      </c>
      <c r="J359" s="7" t="s">
        <v>331</v>
      </c>
      <c r="K359" s="7" t="s">
        <v>47</v>
      </c>
      <c r="L359" s="7" t="s">
        <v>48</v>
      </c>
      <c r="M359" s="7" t="s">
        <v>0</v>
      </c>
      <c r="N359" s="7" t="s">
        <v>4364</v>
      </c>
      <c r="O359" s="7" t="s">
        <v>0</v>
      </c>
      <c r="P359" s="7" t="s">
        <v>4365</v>
      </c>
      <c r="Q359" s="7" t="s">
        <v>2453</v>
      </c>
      <c r="R359" s="7" t="s">
        <v>393</v>
      </c>
      <c r="S359" s="7" t="s">
        <v>812</v>
      </c>
      <c r="T359" s="7" t="s">
        <v>54</v>
      </c>
      <c r="U359" s="7" t="s">
        <v>55</v>
      </c>
      <c r="V359" s="7" t="s">
        <v>56</v>
      </c>
      <c r="W359" s="7" t="s">
        <v>74</v>
      </c>
      <c r="X359" s="7" t="s">
        <v>58</v>
      </c>
      <c r="Y359" s="8">
        <v>45436</v>
      </c>
      <c r="Z359" s="8" t="s">
        <v>0</v>
      </c>
      <c r="AA359" s="7" t="s">
        <v>59</v>
      </c>
      <c r="AB359" s="7" t="s">
        <v>256</v>
      </c>
      <c r="AC359" s="7" t="s">
        <v>65</v>
      </c>
      <c r="AD359" s="7" t="s">
        <v>80</v>
      </c>
      <c r="AE359" s="7" t="s">
        <v>0</v>
      </c>
      <c r="AF359" s="7" t="s">
        <v>0</v>
      </c>
      <c r="AG359" s="7" t="s">
        <v>0</v>
      </c>
      <c r="AH359" s="9" t="s">
        <v>0</v>
      </c>
      <c r="AI359" s="9" t="s">
        <v>0</v>
      </c>
      <c r="AJ359" s="9" t="s">
        <v>0</v>
      </c>
      <c r="AK359" s="7" t="s">
        <v>61</v>
      </c>
      <c r="AL359" s="7" t="s">
        <v>61</v>
      </c>
      <c r="AM359" s="7" t="s">
        <v>0</v>
      </c>
      <c r="AN359" s="7" t="s">
        <v>0</v>
      </c>
      <c r="AO359" s="7" t="s">
        <v>0</v>
      </c>
      <c r="AP359" s="7" t="s">
        <v>0</v>
      </c>
      <c r="AQ359" s="7" t="s">
        <v>61</v>
      </c>
      <c r="AR359" s="7" t="s">
        <v>0</v>
      </c>
      <c r="AS359" s="10" t="str">
        <f>HYPERLINK("https://tessa.gazprom-neft.local/edo/card/ecb6ec62-3fdf-484f-bb24-b1ac1c4763a1", "https://tessa.gazprom-neft.local/edo/card/ecb6ec62-3fdf-484f-bb24-b1ac1c4763a1")</f>
        <v>https://tessa.gazprom-neft.local/edo/card/ecb6ec62-3fdf-484f-bb24-b1ac1c4763a1</v>
      </c>
    </row>
    <row r="360" spans="1:45" hidden="1" x14ac:dyDescent="0.25">
      <c r="A360" s="6" t="s">
        <v>44</v>
      </c>
      <c r="B360" s="7" t="s">
        <v>2628</v>
      </c>
      <c r="C360" s="7" t="s">
        <v>67</v>
      </c>
      <c r="D360" s="8">
        <v>45436</v>
      </c>
      <c r="E360" s="8">
        <v>45440</v>
      </c>
      <c r="F360" s="16" t="s">
        <v>2629</v>
      </c>
      <c r="G360" s="7" t="s">
        <v>2630</v>
      </c>
      <c r="H360" s="7" t="s">
        <v>0</v>
      </c>
      <c r="I360" s="7" t="s">
        <v>4403</v>
      </c>
      <c r="J360" s="7" t="s">
        <v>4403</v>
      </c>
      <c r="K360" s="7" t="s">
        <v>47</v>
      </c>
      <c r="L360" s="7" t="s">
        <v>96</v>
      </c>
      <c r="M360" s="7" t="s">
        <v>0</v>
      </c>
      <c r="N360" s="7" t="s">
        <v>4402</v>
      </c>
      <c r="O360" s="7" t="s">
        <v>0</v>
      </c>
      <c r="P360" s="7" t="s">
        <v>434</v>
      </c>
      <c r="Q360" s="7" t="s">
        <v>4404</v>
      </c>
      <c r="R360" s="7" t="s">
        <v>1610</v>
      </c>
      <c r="S360" s="7" t="s">
        <v>1610</v>
      </c>
      <c r="T360" s="7" t="s">
        <v>54</v>
      </c>
      <c r="U360" s="7" t="s">
        <v>101</v>
      </c>
      <c r="V360" s="7" t="s">
        <v>91</v>
      </c>
      <c r="W360" s="7" t="s">
        <v>74</v>
      </c>
      <c r="X360" s="7" t="s">
        <v>103</v>
      </c>
      <c r="Y360" s="8">
        <v>45436</v>
      </c>
      <c r="Z360" s="8">
        <v>46022</v>
      </c>
      <c r="AA360" s="7" t="s">
        <v>92</v>
      </c>
      <c r="AB360" s="7" t="s">
        <v>434</v>
      </c>
      <c r="AC360" s="7" t="s">
        <v>65</v>
      </c>
      <c r="AD360" s="7" t="s">
        <v>0</v>
      </c>
      <c r="AE360" s="7" t="s">
        <v>0</v>
      </c>
      <c r="AF360" s="7" t="s">
        <v>0</v>
      </c>
      <c r="AG360" s="7" t="s">
        <v>0</v>
      </c>
      <c r="AH360" s="9" t="s">
        <v>0</v>
      </c>
      <c r="AI360" s="9" t="s">
        <v>0</v>
      </c>
      <c r="AJ360" s="9" t="s">
        <v>0</v>
      </c>
      <c r="AK360" s="7" t="s">
        <v>61</v>
      </c>
      <c r="AL360" s="7" t="s">
        <v>61</v>
      </c>
      <c r="AM360" s="7" t="s">
        <v>0</v>
      </c>
      <c r="AN360" s="7" t="s">
        <v>0</v>
      </c>
      <c r="AO360" s="7" t="s">
        <v>0</v>
      </c>
      <c r="AP360" s="7" t="s">
        <v>0</v>
      </c>
      <c r="AQ360" s="7" t="s">
        <v>61</v>
      </c>
      <c r="AR360" s="7" t="s">
        <v>0</v>
      </c>
      <c r="AS360" s="10" t="str">
        <f>HYPERLINK("https://tessa.gazprom-neft.local/edo/card/9f2d5e25-4c69-4b6f-8d1d-183292a2eab1", "https://tessa.gazprom-neft.local/edo/card/9f2d5e25-4c69-4b6f-8d1d-183292a2eab1")</f>
        <v>https://tessa.gazprom-neft.local/edo/card/9f2d5e25-4c69-4b6f-8d1d-183292a2eab1</v>
      </c>
    </row>
    <row r="361" spans="1:45" hidden="1" x14ac:dyDescent="0.25">
      <c r="A361" s="6" t="s">
        <v>44</v>
      </c>
      <c r="B361" s="7" t="s">
        <v>4425</v>
      </c>
      <c r="C361" s="7" t="s">
        <v>67</v>
      </c>
      <c r="D361" s="8">
        <v>45435</v>
      </c>
      <c r="E361" s="8">
        <v>45453</v>
      </c>
      <c r="F361" s="16" t="s">
        <v>4426</v>
      </c>
      <c r="G361" s="7" t="s">
        <v>4427</v>
      </c>
      <c r="H361" s="7" t="s">
        <v>0</v>
      </c>
      <c r="I361" s="7" t="s">
        <v>4423</v>
      </c>
      <c r="J361" s="7" t="s">
        <v>4423</v>
      </c>
      <c r="K361" s="7" t="s">
        <v>85</v>
      </c>
      <c r="L361" s="7" t="s">
        <v>86</v>
      </c>
      <c r="M361" s="7" t="s">
        <v>83</v>
      </c>
      <c r="N361" s="7" t="s">
        <v>4422</v>
      </c>
      <c r="O361" s="7" t="s">
        <v>0</v>
      </c>
      <c r="P361" s="7" t="s">
        <v>83</v>
      </c>
      <c r="Q361" s="7" t="s">
        <v>2260</v>
      </c>
      <c r="R361" s="7" t="s">
        <v>4424</v>
      </c>
      <c r="S361" s="7" t="s">
        <v>4424</v>
      </c>
      <c r="T361" s="7" t="s">
        <v>54</v>
      </c>
      <c r="U361" s="7" t="s">
        <v>428</v>
      </c>
      <c r="V361" s="7" t="s">
        <v>91</v>
      </c>
      <c r="W361" s="7" t="s">
        <v>74</v>
      </c>
      <c r="X361" s="7" t="s">
        <v>103</v>
      </c>
      <c r="Y361" s="8">
        <v>45435</v>
      </c>
      <c r="Z361" s="8">
        <v>47261</v>
      </c>
      <c r="AA361" s="7" t="s">
        <v>92</v>
      </c>
      <c r="AB361" s="7" t="s">
        <v>94</v>
      </c>
      <c r="AC361" s="7" t="s">
        <v>65</v>
      </c>
      <c r="AD361" s="7" t="s">
        <v>0</v>
      </c>
      <c r="AE361" s="7" t="s">
        <v>0</v>
      </c>
      <c r="AF361" s="7" t="s">
        <v>0</v>
      </c>
      <c r="AG361" s="7" t="s">
        <v>0</v>
      </c>
      <c r="AH361" s="9" t="s">
        <v>0</v>
      </c>
      <c r="AI361" s="9" t="s">
        <v>0</v>
      </c>
      <c r="AJ361" s="9" t="s">
        <v>0</v>
      </c>
      <c r="AK361" s="7" t="s">
        <v>61</v>
      </c>
      <c r="AL361" s="7" t="s">
        <v>61</v>
      </c>
      <c r="AM361" s="7" t="s">
        <v>0</v>
      </c>
      <c r="AN361" s="7" t="s">
        <v>0</v>
      </c>
      <c r="AO361" s="7" t="s">
        <v>0</v>
      </c>
      <c r="AP361" s="7" t="s">
        <v>0</v>
      </c>
      <c r="AQ361" s="7" t="s">
        <v>61</v>
      </c>
      <c r="AR361" s="7" t="s">
        <v>0</v>
      </c>
      <c r="AS361" s="10" t="str">
        <f>HYPERLINK("https://tessa.gazprom-neft.local/edo/card/49bbf608-86db-4055-9a7d-f840f5daf860", "https://tessa.gazprom-neft.local/edo/card/49bbf608-86db-4055-9a7d-f840f5daf860")</f>
        <v>https://tessa.gazprom-neft.local/edo/card/49bbf608-86db-4055-9a7d-f840f5daf860</v>
      </c>
    </row>
    <row r="362" spans="1:45" hidden="1" x14ac:dyDescent="0.25">
      <c r="A362" s="6" t="s">
        <v>44</v>
      </c>
      <c r="B362" s="7" t="s">
        <v>170</v>
      </c>
      <c r="C362" s="7" t="s">
        <v>67</v>
      </c>
      <c r="D362" s="8">
        <v>45435</v>
      </c>
      <c r="E362" s="8">
        <v>45446</v>
      </c>
      <c r="F362" s="16" t="s">
        <v>171</v>
      </c>
      <c r="G362" s="7" t="s">
        <v>172</v>
      </c>
      <c r="H362" s="7" t="s">
        <v>1109</v>
      </c>
      <c r="I362" s="7" t="s">
        <v>0</v>
      </c>
      <c r="J362" s="7" t="s">
        <v>4445</v>
      </c>
      <c r="K362" s="7" t="s">
        <v>47</v>
      </c>
      <c r="L362" s="7" t="s">
        <v>763</v>
      </c>
      <c r="M362" s="7" t="s">
        <v>0</v>
      </c>
      <c r="N362" s="7" t="s">
        <v>4443</v>
      </c>
      <c r="O362" s="7" t="s">
        <v>0</v>
      </c>
      <c r="P362" s="7" t="s">
        <v>4444</v>
      </c>
      <c r="Q362" s="7" t="s">
        <v>4446</v>
      </c>
      <c r="R362" s="7" t="s">
        <v>124</v>
      </c>
      <c r="S362" s="7" t="s">
        <v>0</v>
      </c>
      <c r="T362" s="7" t="s">
        <v>54</v>
      </c>
      <c r="U362" s="7" t="s">
        <v>101</v>
      </c>
      <c r="V362" s="7" t="s">
        <v>168</v>
      </c>
      <c r="W362" s="7" t="s">
        <v>74</v>
      </c>
      <c r="X362" s="7" t="s">
        <v>58</v>
      </c>
      <c r="Y362" s="8">
        <v>45435</v>
      </c>
      <c r="Z362" s="8" t="s">
        <v>0</v>
      </c>
      <c r="AA362" s="7" t="s">
        <v>169</v>
      </c>
      <c r="AB362" s="7" t="s">
        <v>64</v>
      </c>
      <c r="AC362" s="7" t="s">
        <v>79</v>
      </c>
      <c r="AD362" s="7" t="s">
        <v>80</v>
      </c>
      <c r="AE362" s="7" t="s">
        <v>82</v>
      </c>
      <c r="AF362" s="7" t="s">
        <v>0</v>
      </c>
      <c r="AG362" s="7" t="s">
        <v>0</v>
      </c>
      <c r="AH362" s="9" t="s">
        <v>12064</v>
      </c>
      <c r="AI362" s="9" t="s">
        <v>12065</v>
      </c>
      <c r="AJ362" s="9" t="s">
        <v>12066</v>
      </c>
      <c r="AK362" s="7" t="s">
        <v>61</v>
      </c>
      <c r="AL362" s="7" t="s">
        <v>61</v>
      </c>
      <c r="AM362" s="7" t="s">
        <v>0</v>
      </c>
      <c r="AN362" s="7" t="s">
        <v>0</v>
      </c>
      <c r="AO362" s="7" t="s">
        <v>0</v>
      </c>
      <c r="AP362" s="7" t="s">
        <v>0</v>
      </c>
      <c r="AQ362" s="7" t="s">
        <v>61</v>
      </c>
      <c r="AR362" s="7" t="s">
        <v>0</v>
      </c>
      <c r="AS362" s="10" t="str">
        <f>HYPERLINK("https://tessa.gazprom-neft.local/edo/card/6f6f7c0c-31bc-4777-a76c-8371a815663e", "https://tessa.gazprom-neft.local/edo/card/6f6f7c0c-31bc-4777-a76c-8371a815663e")</f>
        <v>https://tessa.gazprom-neft.local/edo/card/6f6f7c0c-31bc-4777-a76c-8371a815663e</v>
      </c>
    </row>
    <row r="363" spans="1:45" x14ac:dyDescent="0.25">
      <c r="A363" s="6" t="s">
        <v>44</v>
      </c>
      <c r="B363" s="7" t="s">
        <v>673</v>
      </c>
      <c r="C363" s="7" t="s">
        <v>67</v>
      </c>
      <c r="D363" s="8">
        <v>45432</v>
      </c>
      <c r="E363" s="8">
        <v>45435</v>
      </c>
      <c r="F363" s="16" t="s">
        <v>674</v>
      </c>
      <c r="G363" s="7" t="s">
        <v>675</v>
      </c>
      <c r="H363" s="7" t="s">
        <v>1943</v>
      </c>
      <c r="I363" s="7" t="s">
        <v>0</v>
      </c>
      <c r="J363" s="7" t="s">
        <v>51</v>
      </c>
      <c r="K363" s="7" t="s">
        <v>85</v>
      </c>
      <c r="L363" s="7" t="s">
        <v>48</v>
      </c>
      <c r="M363" s="7" t="s">
        <v>1183</v>
      </c>
      <c r="N363" s="7" t="s">
        <v>1942</v>
      </c>
      <c r="O363" s="7" t="s">
        <v>0</v>
      </c>
      <c r="P363" s="7" t="s">
        <v>1183</v>
      </c>
      <c r="Q363" s="7" t="s">
        <v>1944</v>
      </c>
      <c r="R363" s="7" t="s">
        <v>671</v>
      </c>
      <c r="S363" s="7" t="s">
        <v>671</v>
      </c>
      <c r="T363" s="7" t="s">
        <v>54</v>
      </c>
      <c r="U363" s="7" t="s">
        <v>672</v>
      </c>
      <c r="V363" s="7" t="s">
        <v>126</v>
      </c>
      <c r="W363" s="7" t="s">
        <v>74</v>
      </c>
      <c r="X363" s="7" t="s">
        <v>103</v>
      </c>
      <c r="Y363" s="8">
        <v>45432</v>
      </c>
      <c r="Z363" s="8">
        <v>46022</v>
      </c>
      <c r="AA363" s="7" t="s">
        <v>200</v>
      </c>
      <c r="AB363" s="7" t="s">
        <v>228</v>
      </c>
      <c r="AC363" s="7" t="s">
        <v>65</v>
      </c>
      <c r="AD363" s="7" t="s">
        <v>144</v>
      </c>
      <c r="AE363" s="7" t="s">
        <v>0</v>
      </c>
      <c r="AF363" s="7" t="s">
        <v>0</v>
      </c>
      <c r="AG363" s="7" t="s">
        <v>0</v>
      </c>
      <c r="AH363" s="9" t="s">
        <v>0</v>
      </c>
      <c r="AI363" s="9" t="s">
        <v>0</v>
      </c>
      <c r="AJ363" s="9" t="s">
        <v>0</v>
      </c>
      <c r="AK363" s="7" t="s">
        <v>61</v>
      </c>
      <c r="AL363" s="7" t="s">
        <v>61</v>
      </c>
      <c r="AM363" s="7" t="s">
        <v>0</v>
      </c>
      <c r="AN363" s="7" t="s">
        <v>0</v>
      </c>
      <c r="AO363" s="7" t="s">
        <v>0</v>
      </c>
      <c r="AP363" s="7" t="s">
        <v>0</v>
      </c>
      <c r="AQ363" s="7" t="s">
        <v>61</v>
      </c>
      <c r="AR363" s="7" t="s">
        <v>0</v>
      </c>
      <c r="AS363" s="10" t="str">
        <f>HYPERLINK("https://tessa.gazprom-neft.local/edo/card/5ec51664-2667-417e-8ae3-a3596cf01f3d", "https://tessa.gazprom-neft.local/edo/card/5ec51664-2667-417e-8ae3-a3596cf01f3d")</f>
        <v>https://tessa.gazprom-neft.local/edo/card/5ec51664-2667-417e-8ae3-a3596cf01f3d</v>
      </c>
    </row>
    <row r="364" spans="1:45" hidden="1" x14ac:dyDescent="0.25">
      <c r="A364" s="6" t="s">
        <v>44</v>
      </c>
      <c r="B364" s="7" t="s">
        <v>275</v>
      </c>
      <c r="C364" s="7" t="s">
        <v>67</v>
      </c>
      <c r="D364" s="8">
        <v>45432</v>
      </c>
      <c r="E364" s="8">
        <v>45436</v>
      </c>
      <c r="F364" s="16" t="s">
        <v>276</v>
      </c>
      <c r="G364" s="7" t="s">
        <v>277</v>
      </c>
      <c r="H364" s="7" t="s">
        <v>4153</v>
      </c>
      <c r="I364" s="7" t="s">
        <v>0</v>
      </c>
      <c r="J364" s="7" t="s">
        <v>156</v>
      </c>
      <c r="K364" s="7" t="s">
        <v>47</v>
      </c>
      <c r="L364" s="7" t="s">
        <v>493</v>
      </c>
      <c r="M364" s="7" t="s">
        <v>0</v>
      </c>
      <c r="N364" s="7" t="s">
        <v>4235</v>
      </c>
      <c r="O364" s="7" t="s">
        <v>0</v>
      </c>
      <c r="P364" s="7" t="s">
        <v>4236</v>
      </c>
      <c r="Q364" s="7" t="s">
        <v>4237</v>
      </c>
      <c r="R364" s="7" t="s">
        <v>4156</v>
      </c>
      <c r="S364" s="7" t="s">
        <v>4156</v>
      </c>
      <c r="T364" s="7" t="s">
        <v>54</v>
      </c>
      <c r="U364" s="7" t="s">
        <v>294</v>
      </c>
      <c r="V364" s="7" t="s">
        <v>295</v>
      </c>
      <c r="W364" s="7" t="s">
        <v>74</v>
      </c>
      <c r="X364" s="7" t="s">
        <v>103</v>
      </c>
      <c r="Y364" s="8">
        <v>45432</v>
      </c>
      <c r="Z364" s="8">
        <v>45474</v>
      </c>
      <c r="AA364" s="7" t="s">
        <v>296</v>
      </c>
      <c r="AB364" s="7" t="s">
        <v>500</v>
      </c>
      <c r="AC364" s="7" t="s">
        <v>79</v>
      </c>
      <c r="AD364" s="7" t="s">
        <v>80</v>
      </c>
      <c r="AE364" s="7" t="s">
        <v>82</v>
      </c>
      <c r="AF364" s="7" t="s">
        <v>0</v>
      </c>
      <c r="AG364" s="7" t="s">
        <v>0</v>
      </c>
      <c r="AH364" s="9" t="s">
        <v>11974</v>
      </c>
      <c r="AI364" s="9" t="s">
        <v>11975</v>
      </c>
      <c r="AJ364" s="9" t="s">
        <v>11976</v>
      </c>
      <c r="AK364" s="7" t="s">
        <v>61</v>
      </c>
      <c r="AL364" s="7" t="s">
        <v>61</v>
      </c>
      <c r="AM364" s="7" t="s">
        <v>0</v>
      </c>
      <c r="AN364" s="7" t="s">
        <v>0</v>
      </c>
      <c r="AO364" s="7" t="s">
        <v>0</v>
      </c>
      <c r="AP364" s="7" t="s">
        <v>0</v>
      </c>
      <c r="AQ364" s="7" t="s">
        <v>61</v>
      </c>
      <c r="AR364" s="7" t="s">
        <v>0</v>
      </c>
      <c r="AS364" s="10" t="str">
        <f>HYPERLINK("https://tessa.gazprom-neft.local/edo/card/1f1656a9-6ef1-457e-92ec-57f3f23ecfb6", "https://tessa.gazprom-neft.local/edo/card/1f1656a9-6ef1-457e-92ec-57f3f23ecfb6")</f>
        <v>https://tessa.gazprom-neft.local/edo/card/1f1656a9-6ef1-457e-92ec-57f3f23ecfb6</v>
      </c>
    </row>
    <row r="365" spans="1:45" hidden="1" x14ac:dyDescent="0.25">
      <c r="A365" s="6" t="s">
        <v>44</v>
      </c>
      <c r="B365" s="7" t="s">
        <v>284</v>
      </c>
      <c r="C365" s="7" t="s">
        <v>67</v>
      </c>
      <c r="D365" s="8">
        <v>45432</v>
      </c>
      <c r="E365" s="8">
        <v>45445</v>
      </c>
      <c r="F365" s="16" t="s">
        <v>285</v>
      </c>
      <c r="G365" s="7" t="s">
        <v>286</v>
      </c>
      <c r="H365" s="7" t="s">
        <v>419</v>
      </c>
      <c r="I365" s="7" t="s">
        <v>0</v>
      </c>
      <c r="J365" s="7" t="s">
        <v>271</v>
      </c>
      <c r="K365" s="7" t="s">
        <v>47</v>
      </c>
      <c r="L365" s="7" t="s">
        <v>239</v>
      </c>
      <c r="M365" s="7" t="s">
        <v>0</v>
      </c>
      <c r="N365" s="7" t="s">
        <v>4296</v>
      </c>
      <c r="O365" s="7" t="s">
        <v>0</v>
      </c>
      <c r="P365" s="7" t="s">
        <v>4297</v>
      </c>
      <c r="Q365" s="7" t="s">
        <v>4298</v>
      </c>
      <c r="R365" s="7" t="s">
        <v>282</v>
      </c>
      <c r="S365" s="7" t="s">
        <v>0</v>
      </c>
      <c r="T365" s="7" t="s">
        <v>54</v>
      </c>
      <c r="U365" s="7" t="s">
        <v>55</v>
      </c>
      <c r="V365" s="7" t="s">
        <v>56</v>
      </c>
      <c r="W365" s="7" t="s">
        <v>74</v>
      </c>
      <c r="X365" s="7" t="s">
        <v>103</v>
      </c>
      <c r="Y365" s="8">
        <v>45432</v>
      </c>
      <c r="Z365" s="8">
        <v>46752</v>
      </c>
      <c r="AA365" s="7" t="s">
        <v>0</v>
      </c>
      <c r="AB365" s="7" t="s">
        <v>423</v>
      </c>
      <c r="AC365" s="7" t="s">
        <v>79</v>
      </c>
      <c r="AD365" s="7" t="s">
        <v>144</v>
      </c>
      <c r="AE365" s="7" t="s">
        <v>82</v>
      </c>
      <c r="AF365" s="7" t="s">
        <v>0</v>
      </c>
      <c r="AG365" s="7" t="s">
        <v>0</v>
      </c>
      <c r="AH365" s="9" t="s">
        <v>12001</v>
      </c>
      <c r="AI365" s="9" t="s">
        <v>12002</v>
      </c>
      <c r="AJ365" s="9" t="s">
        <v>12003</v>
      </c>
      <c r="AK365" s="7" t="s">
        <v>61</v>
      </c>
      <c r="AL365" s="7" t="s">
        <v>61</v>
      </c>
      <c r="AM365" s="7" t="s">
        <v>0</v>
      </c>
      <c r="AN365" s="7" t="s">
        <v>0</v>
      </c>
      <c r="AO365" s="7" t="s">
        <v>0</v>
      </c>
      <c r="AP365" s="7" t="s">
        <v>0</v>
      </c>
      <c r="AQ365" s="7" t="s">
        <v>61</v>
      </c>
      <c r="AR365" s="7" t="s">
        <v>0</v>
      </c>
      <c r="AS365" s="10" t="str">
        <f>HYPERLINK("https://tessa.gazprom-neft.local/edo/card/898551d6-2e74-4efe-b476-162d750856b9", "https://tessa.gazprom-neft.local/edo/card/898551d6-2e74-4efe-b476-162d750856b9")</f>
        <v>https://tessa.gazprom-neft.local/edo/card/898551d6-2e74-4efe-b476-162d750856b9</v>
      </c>
    </row>
    <row r="366" spans="1:45" hidden="1" x14ac:dyDescent="0.25">
      <c r="A366" s="6" t="s">
        <v>44</v>
      </c>
      <c r="B366" s="7" t="s">
        <v>1240</v>
      </c>
      <c r="C366" s="7" t="s">
        <v>67</v>
      </c>
      <c r="D366" s="8">
        <v>45432</v>
      </c>
      <c r="E366" s="8">
        <v>45442</v>
      </c>
      <c r="F366" s="16" t="s">
        <v>1241</v>
      </c>
      <c r="G366" s="7" t="s">
        <v>1242</v>
      </c>
      <c r="H366" s="7" t="s">
        <v>1237</v>
      </c>
      <c r="I366" s="7" t="s">
        <v>0</v>
      </c>
      <c r="J366" s="7" t="s">
        <v>271</v>
      </c>
      <c r="K366" s="7" t="s">
        <v>47</v>
      </c>
      <c r="L366" s="7" t="s">
        <v>389</v>
      </c>
      <c r="M366" s="7" t="s">
        <v>0</v>
      </c>
      <c r="N366" s="7" t="s">
        <v>4306</v>
      </c>
      <c r="O366" s="7" t="s">
        <v>355</v>
      </c>
      <c r="P366" s="7" t="s">
        <v>4307</v>
      </c>
      <c r="Q366" s="7" t="s">
        <v>4307</v>
      </c>
      <c r="R366" s="7" t="s">
        <v>393</v>
      </c>
      <c r="S366" s="7" t="s">
        <v>1261</v>
      </c>
      <c r="T366" s="7" t="s">
        <v>54</v>
      </c>
      <c r="U366" s="7" t="s">
        <v>222</v>
      </c>
      <c r="V366" s="7" t="s">
        <v>126</v>
      </c>
      <c r="W366" s="7" t="s">
        <v>74</v>
      </c>
      <c r="X366" s="7" t="s">
        <v>58</v>
      </c>
      <c r="Y366" s="8">
        <v>45432</v>
      </c>
      <c r="Z366" s="8" t="s">
        <v>0</v>
      </c>
      <c r="AA366" s="7" t="s">
        <v>200</v>
      </c>
      <c r="AB366" s="7" t="s">
        <v>1243</v>
      </c>
      <c r="AC366" s="7" t="s">
        <v>79</v>
      </c>
      <c r="AD366" s="7" t="s">
        <v>144</v>
      </c>
      <c r="AE366" s="7" t="s">
        <v>82</v>
      </c>
      <c r="AF366" s="7" t="s">
        <v>0</v>
      </c>
      <c r="AG366" s="7" t="s">
        <v>0</v>
      </c>
      <c r="AH366" s="9" t="s">
        <v>12008</v>
      </c>
      <c r="AI366" s="9" t="s">
        <v>12009</v>
      </c>
      <c r="AJ366" s="9" t="s">
        <v>12010</v>
      </c>
      <c r="AK366" s="7" t="s">
        <v>61</v>
      </c>
      <c r="AL366" s="7" t="s">
        <v>61</v>
      </c>
      <c r="AM366" s="7" t="s">
        <v>0</v>
      </c>
      <c r="AN366" s="7" t="s">
        <v>0</v>
      </c>
      <c r="AO366" s="7" t="s">
        <v>0</v>
      </c>
      <c r="AP366" s="7" t="s">
        <v>0</v>
      </c>
      <c r="AQ366" s="7" t="s">
        <v>61</v>
      </c>
      <c r="AR366" s="7" t="s">
        <v>0</v>
      </c>
      <c r="AS366" s="10" t="str">
        <f>HYPERLINK("https://tessa.gazprom-neft.local/edo/card/7394bc2a-9a60-43e7-b6f9-8702ddf05d9e", "https://tessa.gazprom-neft.local/edo/card/7394bc2a-9a60-43e7-b6f9-8702ddf05d9e")</f>
        <v>https://tessa.gazprom-neft.local/edo/card/7394bc2a-9a60-43e7-b6f9-8702ddf05d9e</v>
      </c>
    </row>
    <row r="367" spans="1:45" x14ac:dyDescent="0.25">
      <c r="A367" s="6" t="s">
        <v>44</v>
      </c>
      <c r="B367" s="7" t="s">
        <v>2495</v>
      </c>
      <c r="C367" s="7" t="s">
        <v>67</v>
      </c>
      <c r="D367" s="8">
        <v>45432</v>
      </c>
      <c r="E367" s="8" t="s">
        <v>0</v>
      </c>
      <c r="F367" s="16" t="s">
        <v>2496</v>
      </c>
      <c r="G367" s="7" t="s">
        <v>2497</v>
      </c>
      <c r="H367" s="7" t="s">
        <v>2856</v>
      </c>
      <c r="I367" s="7" t="s">
        <v>0</v>
      </c>
      <c r="J367" s="7" t="s">
        <v>872</v>
      </c>
      <c r="K367" s="7" t="s">
        <v>47</v>
      </c>
      <c r="L367" s="7" t="s">
        <v>48</v>
      </c>
      <c r="M367" s="7" t="s">
        <v>0</v>
      </c>
      <c r="N367" s="7" t="s">
        <v>4313</v>
      </c>
      <c r="O367" s="7" t="s">
        <v>0</v>
      </c>
      <c r="P367" s="7" t="s">
        <v>4314</v>
      </c>
      <c r="Q367" s="7" t="s">
        <v>4315</v>
      </c>
      <c r="R367" s="7" t="s">
        <v>393</v>
      </c>
      <c r="S367" s="7" t="s">
        <v>2859</v>
      </c>
      <c r="T367" s="7" t="s">
        <v>54</v>
      </c>
      <c r="U367" s="7" t="s">
        <v>125</v>
      </c>
      <c r="V367" s="7" t="s">
        <v>126</v>
      </c>
      <c r="W367" s="7" t="s">
        <v>57</v>
      </c>
      <c r="X367" s="7" t="s">
        <v>58</v>
      </c>
      <c r="Y367" s="8">
        <v>45066</v>
      </c>
      <c r="Z367" s="8" t="s">
        <v>0</v>
      </c>
      <c r="AA367" s="7" t="s">
        <v>200</v>
      </c>
      <c r="AB367" s="7" t="s">
        <v>130</v>
      </c>
      <c r="AC367" s="7" t="s">
        <v>65</v>
      </c>
      <c r="AD367" s="7" t="s">
        <v>0</v>
      </c>
      <c r="AE367" s="7" t="s">
        <v>0</v>
      </c>
      <c r="AF367" s="7" t="s">
        <v>0</v>
      </c>
      <c r="AG367" s="7" t="s">
        <v>0</v>
      </c>
      <c r="AH367" s="9" t="s">
        <v>0</v>
      </c>
      <c r="AI367" s="9" t="s">
        <v>0</v>
      </c>
      <c r="AJ367" s="9" t="s">
        <v>0</v>
      </c>
      <c r="AK367" s="7" t="s">
        <v>61</v>
      </c>
      <c r="AL367" s="7" t="s">
        <v>61</v>
      </c>
      <c r="AM367" s="7" t="s">
        <v>0</v>
      </c>
      <c r="AN367" s="7" t="s">
        <v>0</v>
      </c>
      <c r="AO367" s="7" t="s">
        <v>0</v>
      </c>
      <c r="AP367" s="7" t="s">
        <v>0</v>
      </c>
      <c r="AQ367" s="7" t="s">
        <v>61</v>
      </c>
      <c r="AR367" s="7" t="s">
        <v>0</v>
      </c>
      <c r="AS367" s="10" t="str">
        <f>HYPERLINK("https://tessa.gazprom-neft.local/edo/card/83fb665c-2c07-4995-81cd-a2ef1c8d3922", "https://tessa.gazprom-neft.local/edo/card/83fb665c-2c07-4995-81cd-a2ef1c8d3922")</f>
        <v>https://tessa.gazprom-neft.local/edo/card/83fb665c-2c07-4995-81cd-a2ef1c8d3922</v>
      </c>
    </row>
    <row r="368" spans="1:45" x14ac:dyDescent="0.25">
      <c r="A368" s="6" t="s">
        <v>44</v>
      </c>
      <c r="B368" s="7" t="s">
        <v>127</v>
      </c>
      <c r="C368" s="7" t="s">
        <v>67</v>
      </c>
      <c r="D368" s="8">
        <v>45432</v>
      </c>
      <c r="E368" s="8">
        <v>45443</v>
      </c>
      <c r="F368" s="16" t="s">
        <v>128</v>
      </c>
      <c r="G368" s="7" t="s">
        <v>129</v>
      </c>
      <c r="H368" s="7" t="s">
        <v>1661</v>
      </c>
      <c r="I368" s="7" t="s">
        <v>0</v>
      </c>
      <c r="J368" s="7" t="s">
        <v>657</v>
      </c>
      <c r="K368" s="7" t="s">
        <v>47</v>
      </c>
      <c r="L368" s="7" t="s">
        <v>48</v>
      </c>
      <c r="M368" s="7" t="s">
        <v>0</v>
      </c>
      <c r="N368" s="7" t="s">
        <v>4326</v>
      </c>
      <c r="O368" s="7" t="s">
        <v>0</v>
      </c>
      <c r="P368" s="7" t="s">
        <v>4327</v>
      </c>
      <c r="Q368" s="7" t="s">
        <v>4328</v>
      </c>
      <c r="R368" s="7" t="s">
        <v>124</v>
      </c>
      <c r="S368" s="7" t="s">
        <v>0</v>
      </c>
      <c r="T368" s="7" t="s">
        <v>54</v>
      </c>
      <c r="U368" s="7" t="s">
        <v>125</v>
      </c>
      <c r="V368" s="7" t="s">
        <v>126</v>
      </c>
      <c r="W368" s="7" t="s">
        <v>74</v>
      </c>
      <c r="X368" s="7" t="s">
        <v>58</v>
      </c>
      <c r="Y368" s="8">
        <v>45432</v>
      </c>
      <c r="Z368" s="8" t="s">
        <v>0</v>
      </c>
      <c r="AA368" s="7" t="s">
        <v>200</v>
      </c>
      <c r="AB368" s="7" t="s">
        <v>1698</v>
      </c>
      <c r="AC368" s="7" t="s">
        <v>79</v>
      </c>
      <c r="AD368" s="7" t="s">
        <v>514</v>
      </c>
      <c r="AE368" s="7" t="s">
        <v>82</v>
      </c>
      <c r="AF368" s="7" t="s">
        <v>0</v>
      </c>
      <c r="AG368" s="7" t="s">
        <v>0</v>
      </c>
      <c r="AH368" s="9" t="s">
        <v>12020</v>
      </c>
      <c r="AI368" s="9" t="s">
        <v>12021</v>
      </c>
      <c r="AJ368" s="9" t="s">
        <v>12022</v>
      </c>
      <c r="AK368" s="7" t="s">
        <v>61</v>
      </c>
      <c r="AL368" s="7" t="s">
        <v>61</v>
      </c>
      <c r="AM368" s="7" t="s">
        <v>0</v>
      </c>
      <c r="AN368" s="7" t="s">
        <v>0</v>
      </c>
      <c r="AO368" s="7" t="s">
        <v>0</v>
      </c>
      <c r="AP368" s="7" t="s">
        <v>0</v>
      </c>
      <c r="AQ368" s="7" t="s">
        <v>61</v>
      </c>
      <c r="AR368" s="7" t="s">
        <v>0</v>
      </c>
      <c r="AS368" s="10" t="str">
        <f>HYPERLINK("https://tessa.gazprom-neft.local/edo/card/3a0658ae-95ce-429d-86d0-8525b5fc0ccd", "https://tessa.gazprom-neft.local/edo/card/3a0658ae-95ce-429d-86d0-8525b5fc0ccd")</f>
        <v>https://tessa.gazprom-neft.local/edo/card/3a0658ae-95ce-429d-86d0-8525b5fc0ccd</v>
      </c>
    </row>
    <row r="369" spans="1:45" x14ac:dyDescent="0.25">
      <c r="A369" s="6" t="s">
        <v>44</v>
      </c>
      <c r="B369" s="7" t="s">
        <v>179</v>
      </c>
      <c r="C369" s="7" t="s">
        <v>67</v>
      </c>
      <c r="D369" s="8">
        <v>45432</v>
      </c>
      <c r="E369" s="8">
        <v>45448</v>
      </c>
      <c r="F369" s="16" t="s">
        <v>180</v>
      </c>
      <c r="G369" s="7" t="s">
        <v>181</v>
      </c>
      <c r="H369" s="7" t="s">
        <v>174</v>
      </c>
      <c r="I369" s="7" t="s">
        <v>0</v>
      </c>
      <c r="J369" s="7" t="s">
        <v>271</v>
      </c>
      <c r="K369" s="7" t="s">
        <v>47</v>
      </c>
      <c r="L369" s="7" t="s">
        <v>48</v>
      </c>
      <c r="M369" s="7" t="s">
        <v>0</v>
      </c>
      <c r="N369" s="7" t="s">
        <v>4336</v>
      </c>
      <c r="O369" s="7" t="s">
        <v>0</v>
      </c>
      <c r="P369" s="7" t="s">
        <v>4337</v>
      </c>
      <c r="Q369" s="7" t="s">
        <v>4338</v>
      </c>
      <c r="R369" s="7" t="s">
        <v>178</v>
      </c>
      <c r="S369" s="7" t="s">
        <v>178</v>
      </c>
      <c r="T369" s="7" t="s">
        <v>54</v>
      </c>
      <c r="U369" s="7" t="s">
        <v>307</v>
      </c>
      <c r="V369" s="7" t="s">
        <v>126</v>
      </c>
      <c r="W369" s="7" t="s">
        <v>74</v>
      </c>
      <c r="X369" s="7" t="s">
        <v>103</v>
      </c>
      <c r="Y369" s="8">
        <v>45432</v>
      </c>
      <c r="Z369" s="8">
        <v>46387</v>
      </c>
      <c r="AA369" s="7" t="s">
        <v>200</v>
      </c>
      <c r="AB369" s="7" t="s">
        <v>130</v>
      </c>
      <c r="AC369" s="7" t="s">
        <v>79</v>
      </c>
      <c r="AD369" s="7" t="s">
        <v>514</v>
      </c>
      <c r="AE369" s="7" t="s">
        <v>82</v>
      </c>
      <c r="AF369" s="7" t="s">
        <v>0</v>
      </c>
      <c r="AG369" s="7" t="s">
        <v>0</v>
      </c>
      <c r="AH369" s="9" t="s">
        <v>10883</v>
      </c>
      <c r="AI369" s="9" t="s">
        <v>10884</v>
      </c>
      <c r="AJ369" s="9" t="s">
        <v>10885</v>
      </c>
      <c r="AK369" s="7" t="s">
        <v>61</v>
      </c>
      <c r="AL369" s="7" t="s">
        <v>61</v>
      </c>
      <c r="AM369" s="7" t="s">
        <v>0</v>
      </c>
      <c r="AN369" s="7" t="s">
        <v>0</v>
      </c>
      <c r="AO369" s="7" t="s">
        <v>0</v>
      </c>
      <c r="AP369" s="7" t="s">
        <v>0</v>
      </c>
      <c r="AQ369" s="7" t="s">
        <v>61</v>
      </c>
      <c r="AR369" s="7" t="s">
        <v>0</v>
      </c>
      <c r="AS369" s="10" t="str">
        <f>HYPERLINK("https://tessa.gazprom-neft.local/edo/card/bad63dc4-2159-44ab-97bd-b5db4af70165", "https://tessa.gazprom-neft.local/edo/card/bad63dc4-2159-44ab-97bd-b5db4af70165")</f>
        <v>https://tessa.gazprom-neft.local/edo/card/bad63dc4-2159-44ab-97bd-b5db4af70165</v>
      </c>
    </row>
    <row r="370" spans="1:45" hidden="1" x14ac:dyDescent="0.25">
      <c r="A370" s="6" t="s">
        <v>44</v>
      </c>
      <c r="B370" s="7" t="s">
        <v>565</v>
      </c>
      <c r="C370" s="7" t="s">
        <v>67</v>
      </c>
      <c r="D370" s="8">
        <v>45429</v>
      </c>
      <c r="E370" s="8">
        <v>45433</v>
      </c>
      <c r="F370" s="16" t="s">
        <v>653</v>
      </c>
      <c r="G370" s="7" t="s">
        <v>567</v>
      </c>
      <c r="H370" s="7" t="s">
        <v>0</v>
      </c>
      <c r="I370" s="7" t="s">
        <v>4212</v>
      </c>
      <c r="J370" s="7" t="s">
        <v>4212</v>
      </c>
      <c r="K370" s="7" t="s">
        <v>47</v>
      </c>
      <c r="L370" s="7" t="s">
        <v>86</v>
      </c>
      <c r="M370" s="7" t="s">
        <v>0</v>
      </c>
      <c r="N370" s="7" t="s">
        <v>4211</v>
      </c>
      <c r="O370" s="7" t="s">
        <v>0</v>
      </c>
      <c r="P370" s="7" t="s">
        <v>4213</v>
      </c>
      <c r="Q370" s="7" t="s">
        <v>237</v>
      </c>
      <c r="R370" s="7" t="s">
        <v>1139</v>
      </c>
      <c r="S370" s="7" t="s">
        <v>4214</v>
      </c>
      <c r="T370" s="7" t="s">
        <v>54</v>
      </c>
      <c r="U370" s="7" t="s">
        <v>55</v>
      </c>
      <c r="V370" s="7" t="s">
        <v>91</v>
      </c>
      <c r="W370" s="7" t="s">
        <v>74</v>
      </c>
      <c r="X370" s="7" t="s">
        <v>103</v>
      </c>
      <c r="Y370" s="8">
        <v>45429</v>
      </c>
      <c r="Z370" s="8">
        <v>47118</v>
      </c>
      <c r="AA370" s="7" t="s">
        <v>92</v>
      </c>
      <c r="AB370" s="7" t="s">
        <v>237</v>
      </c>
      <c r="AC370" s="7" t="s">
        <v>65</v>
      </c>
      <c r="AD370" s="7" t="s">
        <v>0</v>
      </c>
      <c r="AE370" s="7" t="s">
        <v>0</v>
      </c>
      <c r="AF370" s="7" t="s">
        <v>0</v>
      </c>
      <c r="AG370" s="7" t="s">
        <v>0</v>
      </c>
      <c r="AH370" s="9" t="s">
        <v>0</v>
      </c>
      <c r="AI370" s="9" t="s">
        <v>0</v>
      </c>
      <c r="AJ370" s="9" t="s">
        <v>0</v>
      </c>
      <c r="AK370" s="7" t="s">
        <v>61</v>
      </c>
      <c r="AL370" s="7" t="s">
        <v>61</v>
      </c>
      <c r="AM370" s="7" t="s">
        <v>0</v>
      </c>
      <c r="AN370" s="7" t="s">
        <v>0</v>
      </c>
      <c r="AO370" s="7" t="s">
        <v>0</v>
      </c>
      <c r="AP370" s="7" t="s">
        <v>0</v>
      </c>
      <c r="AQ370" s="7" t="s">
        <v>61</v>
      </c>
      <c r="AR370" s="7" t="s">
        <v>0</v>
      </c>
      <c r="AS370" s="10" t="str">
        <f>HYPERLINK("https://tessa.gazprom-neft.local/edo/card/bbb495eb-8922-4bfd-b5cb-9594a10fdecd", "https://tessa.gazprom-neft.local/edo/card/bbb495eb-8922-4bfd-b5cb-9594a10fdecd")</f>
        <v>https://tessa.gazprom-neft.local/edo/card/bbb495eb-8922-4bfd-b5cb-9594a10fdecd</v>
      </c>
    </row>
    <row r="371" spans="1:45" x14ac:dyDescent="0.25">
      <c r="A371" s="6" t="s">
        <v>44</v>
      </c>
      <c r="B371" s="7" t="s">
        <v>1675</v>
      </c>
      <c r="C371" s="7" t="s">
        <v>67</v>
      </c>
      <c r="D371" s="8">
        <v>45428</v>
      </c>
      <c r="E371" s="8">
        <v>45446</v>
      </c>
      <c r="F371" s="16" t="s">
        <v>1676</v>
      </c>
      <c r="G371" s="7" t="s">
        <v>1677</v>
      </c>
      <c r="H371" s="7" t="s">
        <v>1672</v>
      </c>
      <c r="I371" s="7" t="s">
        <v>0</v>
      </c>
      <c r="J371" s="7" t="s">
        <v>271</v>
      </c>
      <c r="K371" s="7" t="s">
        <v>47</v>
      </c>
      <c r="L371" s="7" t="s">
        <v>48</v>
      </c>
      <c r="M371" s="7" t="s">
        <v>0</v>
      </c>
      <c r="N371" s="7" t="s">
        <v>4263</v>
      </c>
      <c r="O371" s="7" t="s">
        <v>0</v>
      </c>
      <c r="P371" s="7" t="s">
        <v>4264</v>
      </c>
      <c r="Q371" s="7" t="s">
        <v>4265</v>
      </c>
      <c r="R371" s="7" t="s">
        <v>282</v>
      </c>
      <c r="S371" s="7" t="s">
        <v>0</v>
      </c>
      <c r="T371" s="7" t="s">
        <v>54</v>
      </c>
      <c r="U371" s="7" t="s">
        <v>55</v>
      </c>
      <c r="V371" s="7" t="s">
        <v>56</v>
      </c>
      <c r="W371" s="7" t="s">
        <v>74</v>
      </c>
      <c r="X371" s="7" t="s">
        <v>103</v>
      </c>
      <c r="Y371" s="8">
        <v>45428</v>
      </c>
      <c r="Z371" s="8">
        <v>46752</v>
      </c>
      <c r="AA371" s="7" t="s">
        <v>0</v>
      </c>
      <c r="AB371" s="7" t="s">
        <v>130</v>
      </c>
      <c r="AC371" s="7" t="s">
        <v>278</v>
      </c>
      <c r="AD371" s="7" t="s">
        <v>144</v>
      </c>
      <c r="AE371" s="7" t="s">
        <v>82</v>
      </c>
      <c r="AF371" s="7" t="s">
        <v>0</v>
      </c>
      <c r="AG371" s="7" t="s">
        <v>0</v>
      </c>
      <c r="AH371" s="9" t="s">
        <v>11986</v>
      </c>
      <c r="AI371" s="9" t="s">
        <v>11987</v>
      </c>
      <c r="AJ371" s="9" t="s">
        <v>11988</v>
      </c>
      <c r="AK371" s="7" t="s">
        <v>61</v>
      </c>
      <c r="AL371" s="7" t="s">
        <v>61</v>
      </c>
      <c r="AM371" s="7" t="s">
        <v>0</v>
      </c>
      <c r="AN371" s="7" t="s">
        <v>0</v>
      </c>
      <c r="AO371" s="7" t="s">
        <v>0</v>
      </c>
      <c r="AP371" s="7" t="s">
        <v>0</v>
      </c>
      <c r="AQ371" s="7" t="s">
        <v>61</v>
      </c>
      <c r="AR371" s="7" t="s">
        <v>0</v>
      </c>
      <c r="AS371" s="10" t="str">
        <f>HYPERLINK("https://tessa.gazprom-neft.local/edo/card/eb43f38d-5b1e-470d-878a-54f8dd3ccaf1", "https://tessa.gazprom-neft.local/edo/card/eb43f38d-5b1e-470d-878a-54f8dd3ccaf1")</f>
        <v>https://tessa.gazprom-neft.local/edo/card/eb43f38d-5b1e-470d-878a-54f8dd3ccaf1</v>
      </c>
    </row>
    <row r="372" spans="1:45" hidden="1" x14ac:dyDescent="0.25">
      <c r="A372" s="6" t="s">
        <v>44</v>
      </c>
      <c r="B372" s="7" t="s">
        <v>1101</v>
      </c>
      <c r="C372" s="7" t="s">
        <v>67</v>
      </c>
      <c r="D372" s="8">
        <v>45426</v>
      </c>
      <c r="E372" s="8">
        <v>45429</v>
      </c>
      <c r="F372" s="16" t="s">
        <v>1102</v>
      </c>
      <c r="G372" s="7" t="s">
        <v>1103</v>
      </c>
      <c r="H372" s="7" t="s">
        <v>2522</v>
      </c>
      <c r="I372" s="7" t="s">
        <v>0</v>
      </c>
      <c r="J372" s="7" t="s">
        <v>955</v>
      </c>
      <c r="K372" s="7" t="s">
        <v>47</v>
      </c>
      <c r="L372" s="7" t="s">
        <v>239</v>
      </c>
      <c r="M372" s="7" t="s">
        <v>0</v>
      </c>
      <c r="N372" s="7" t="s">
        <v>4113</v>
      </c>
      <c r="O372" s="7" t="s">
        <v>0</v>
      </c>
      <c r="P372" s="7" t="s">
        <v>4114</v>
      </c>
      <c r="Q372" s="7" t="s">
        <v>3957</v>
      </c>
      <c r="R372" s="7" t="s">
        <v>339</v>
      </c>
      <c r="S372" s="7" t="s">
        <v>339</v>
      </c>
      <c r="T372" s="7" t="s">
        <v>54</v>
      </c>
      <c r="U372" s="7" t="s">
        <v>303</v>
      </c>
      <c r="V372" s="7" t="s">
        <v>91</v>
      </c>
      <c r="W372" s="7" t="s">
        <v>74</v>
      </c>
      <c r="X372" s="7" t="s">
        <v>103</v>
      </c>
      <c r="Y372" s="8">
        <v>45428</v>
      </c>
      <c r="Z372" s="8">
        <v>45504</v>
      </c>
      <c r="AA372" s="7" t="s">
        <v>92</v>
      </c>
      <c r="AB372" s="7" t="s">
        <v>64</v>
      </c>
      <c r="AC372" s="7" t="s">
        <v>79</v>
      </c>
      <c r="AD372" s="7" t="s">
        <v>144</v>
      </c>
      <c r="AE372" s="7" t="s">
        <v>118</v>
      </c>
      <c r="AF372" s="7" t="s">
        <v>0</v>
      </c>
      <c r="AG372" s="7" t="s">
        <v>0</v>
      </c>
      <c r="AH372" s="9" t="s">
        <v>11935</v>
      </c>
      <c r="AI372" s="9" t="s">
        <v>11935</v>
      </c>
      <c r="AJ372" s="9">
        <v>0</v>
      </c>
      <c r="AK372" s="7" t="s">
        <v>61</v>
      </c>
      <c r="AL372" s="7" t="s">
        <v>61</v>
      </c>
      <c r="AM372" s="7" t="s">
        <v>0</v>
      </c>
      <c r="AN372" s="7" t="s">
        <v>0</v>
      </c>
      <c r="AO372" s="7" t="s">
        <v>0</v>
      </c>
      <c r="AP372" s="7" t="s">
        <v>0</v>
      </c>
      <c r="AQ372" s="7" t="s">
        <v>61</v>
      </c>
      <c r="AR372" s="7" t="s">
        <v>0</v>
      </c>
      <c r="AS372" s="10" t="str">
        <f>HYPERLINK("https://tessa.gazprom-neft.local/edo/card/a350a7d2-fd74-4e08-b0a8-5f6f1495fb9d", "https://tessa.gazprom-neft.local/edo/card/a350a7d2-fd74-4e08-b0a8-5f6f1495fb9d")</f>
        <v>https://tessa.gazprom-neft.local/edo/card/a350a7d2-fd74-4e08-b0a8-5f6f1495fb9d</v>
      </c>
    </row>
    <row r="373" spans="1:45" x14ac:dyDescent="0.25">
      <c r="A373" s="6" t="s">
        <v>44</v>
      </c>
      <c r="B373" s="7" t="s">
        <v>1784</v>
      </c>
      <c r="C373" s="7" t="s">
        <v>67</v>
      </c>
      <c r="D373" s="8">
        <v>45426</v>
      </c>
      <c r="E373" s="8">
        <v>45449</v>
      </c>
      <c r="F373" s="16" t="s">
        <v>1785</v>
      </c>
      <c r="G373" s="7" t="s">
        <v>1786</v>
      </c>
      <c r="H373" s="7" t="s">
        <v>2278</v>
      </c>
      <c r="I373" s="7" t="s">
        <v>0</v>
      </c>
      <c r="J373" s="7" t="s">
        <v>51</v>
      </c>
      <c r="K373" s="7" t="s">
        <v>47</v>
      </c>
      <c r="L373" s="7" t="s">
        <v>48</v>
      </c>
      <c r="M373" s="7" t="s">
        <v>0</v>
      </c>
      <c r="N373" s="7" t="s">
        <v>4222</v>
      </c>
      <c r="O373" s="7" t="s">
        <v>0</v>
      </c>
      <c r="P373" s="7" t="s">
        <v>4223</v>
      </c>
      <c r="Q373" s="7" t="s">
        <v>4224</v>
      </c>
      <c r="R373" s="7" t="s">
        <v>505</v>
      </c>
      <c r="S373" s="7" t="s">
        <v>1066</v>
      </c>
      <c r="T373" s="7" t="s">
        <v>54</v>
      </c>
      <c r="U373" s="7" t="s">
        <v>283</v>
      </c>
      <c r="V373" s="7" t="s">
        <v>308</v>
      </c>
      <c r="W373" s="7" t="s">
        <v>74</v>
      </c>
      <c r="X373" s="7" t="s">
        <v>58</v>
      </c>
      <c r="Y373" s="8">
        <v>45426</v>
      </c>
      <c r="Z373" s="8" t="s">
        <v>0</v>
      </c>
      <c r="AA373" s="7" t="s">
        <v>309</v>
      </c>
      <c r="AB373" s="7" t="s">
        <v>64</v>
      </c>
      <c r="AC373" s="7" t="s">
        <v>65</v>
      </c>
      <c r="AD373" s="7" t="s">
        <v>144</v>
      </c>
      <c r="AE373" s="7" t="s">
        <v>0</v>
      </c>
      <c r="AF373" s="7" t="s">
        <v>0</v>
      </c>
      <c r="AG373" s="7" t="s">
        <v>0</v>
      </c>
      <c r="AH373" s="9" t="s">
        <v>0</v>
      </c>
      <c r="AI373" s="9" t="s">
        <v>0</v>
      </c>
      <c r="AJ373" s="9" t="s">
        <v>0</v>
      </c>
      <c r="AK373" s="7" t="s">
        <v>61</v>
      </c>
      <c r="AL373" s="7" t="s">
        <v>61</v>
      </c>
      <c r="AM373" s="7" t="s">
        <v>0</v>
      </c>
      <c r="AN373" s="7" t="s">
        <v>0</v>
      </c>
      <c r="AO373" s="7" t="s">
        <v>0</v>
      </c>
      <c r="AP373" s="7" t="s">
        <v>0</v>
      </c>
      <c r="AQ373" s="7" t="s">
        <v>61</v>
      </c>
      <c r="AR373" s="7" t="s">
        <v>0</v>
      </c>
      <c r="AS373" s="10" t="str">
        <f>HYPERLINK("https://tessa.gazprom-neft.local/edo/card/4a272456-13cd-453e-ba2c-768b39d49b91", "https://tessa.gazprom-neft.local/edo/card/4a272456-13cd-453e-ba2c-768b39d49b91")</f>
        <v>https://tessa.gazprom-neft.local/edo/card/4a272456-13cd-453e-ba2c-768b39d49b91</v>
      </c>
    </row>
    <row r="374" spans="1:45" x14ac:dyDescent="0.25">
      <c r="A374" s="6" t="s">
        <v>44</v>
      </c>
      <c r="B374" s="7" t="s">
        <v>114</v>
      </c>
      <c r="C374" s="7" t="s">
        <v>67</v>
      </c>
      <c r="D374" s="8">
        <v>45425</v>
      </c>
      <c r="E374" s="8" t="s">
        <v>0</v>
      </c>
      <c r="F374" s="16" t="s">
        <v>115</v>
      </c>
      <c r="G374" s="7" t="s">
        <v>116</v>
      </c>
      <c r="H374" s="7" t="s">
        <v>4046</v>
      </c>
      <c r="I374" s="7" t="s">
        <v>0</v>
      </c>
      <c r="J374" s="7" t="s">
        <v>51</v>
      </c>
      <c r="K374" s="7" t="s">
        <v>47</v>
      </c>
      <c r="L374" s="7" t="s">
        <v>48</v>
      </c>
      <c r="M374" s="7" t="s">
        <v>0</v>
      </c>
      <c r="N374" s="7" t="s">
        <v>4045</v>
      </c>
      <c r="O374" s="7" t="s">
        <v>0</v>
      </c>
      <c r="P374" s="7" t="s">
        <v>4047</v>
      </c>
      <c r="Q374" s="7" t="s">
        <v>4048</v>
      </c>
      <c r="R374" s="7" t="s">
        <v>1705</v>
      </c>
      <c r="S374" s="7" t="s">
        <v>1705</v>
      </c>
      <c r="T374" s="7" t="s">
        <v>54</v>
      </c>
      <c r="U374" s="7" t="s">
        <v>111</v>
      </c>
      <c r="V374" s="7" t="s">
        <v>723</v>
      </c>
      <c r="W374" s="7" t="s">
        <v>57</v>
      </c>
      <c r="X374" s="7" t="s">
        <v>103</v>
      </c>
      <c r="Y374" s="8">
        <v>45425</v>
      </c>
      <c r="Z374" s="8">
        <v>45657</v>
      </c>
      <c r="AA374" s="7" t="s">
        <v>1767</v>
      </c>
      <c r="AB374" s="7" t="s">
        <v>117</v>
      </c>
      <c r="AC374" s="7" t="s">
        <v>79</v>
      </c>
      <c r="AD374" s="7" t="s">
        <v>367</v>
      </c>
      <c r="AE374" s="7" t="s">
        <v>118</v>
      </c>
      <c r="AF374" s="7" t="s">
        <v>0</v>
      </c>
      <c r="AG374" s="7" t="s">
        <v>0</v>
      </c>
      <c r="AH374" s="9" t="s">
        <v>11904</v>
      </c>
      <c r="AI374" s="9" t="s">
        <v>11904</v>
      </c>
      <c r="AJ374" s="9">
        <v>0</v>
      </c>
      <c r="AK374" s="7" t="s">
        <v>61</v>
      </c>
      <c r="AL374" s="7" t="s">
        <v>61</v>
      </c>
      <c r="AM374" s="7" t="s">
        <v>0</v>
      </c>
      <c r="AN374" s="7" t="s">
        <v>0</v>
      </c>
      <c r="AO374" s="7" t="s">
        <v>0</v>
      </c>
      <c r="AP374" s="7" t="s">
        <v>0</v>
      </c>
      <c r="AQ374" s="7" t="s">
        <v>61</v>
      </c>
      <c r="AR374" s="7" t="s">
        <v>0</v>
      </c>
      <c r="AS374" s="10" t="str">
        <f>HYPERLINK("https://tessa.gazprom-neft.local/edo/card/68288fed-9eac-491f-adf3-8d41e9686065", "https://tessa.gazprom-neft.local/edo/card/68288fed-9eac-491f-adf3-8d41e9686065")</f>
        <v>https://tessa.gazprom-neft.local/edo/card/68288fed-9eac-491f-adf3-8d41e9686065</v>
      </c>
    </row>
    <row r="375" spans="1:45" hidden="1" x14ac:dyDescent="0.25">
      <c r="A375" s="6" t="s">
        <v>44</v>
      </c>
      <c r="B375" s="7" t="s">
        <v>275</v>
      </c>
      <c r="C375" s="7" t="s">
        <v>67</v>
      </c>
      <c r="D375" s="8">
        <v>45425</v>
      </c>
      <c r="E375" s="8">
        <v>45436</v>
      </c>
      <c r="F375" s="16" t="s">
        <v>276</v>
      </c>
      <c r="G375" s="7" t="s">
        <v>277</v>
      </c>
      <c r="H375" s="7" t="s">
        <v>4153</v>
      </c>
      <c r="I375" s="7" t="s">
        <v>0</v>
      </c>
      <c r="J375" s="7" t="s">
        <v>271</v>
      </c>
      <c r="K375" s="7" t="s">
        <v>47</v>
      </c>
      <c r="L375" s="7" t="s">
        <v>493</v>
      </c>
      <c r="M375" s="7" t="s">
        <v>0</v>
      </c>
      <c r="N375" s="7" t="s">
        <v>4152</v>
      </c>
      <c r="O375" s="7" t="s">
        <v>0</v>
      </c>
      <c r="P375" s="7" t="s">
        <v>4154</v>
      </c>
      <c r="Q375" s="7" t="s">
        <v>4155</v>
      </c>
      <c r="R375" s="7" t="s">
        <v>4156</v>
      </c>
      <c r="S375" s="7" t="s">
        <v>4156</v>
      </c>
      <c r="T375" s="7" t="s">
        <v>54</v>
      </c>
      <c r="U375" s="7" t="s">
        <v>294</v>
      </c>
      <c r="V375" s="7" t="s">
        <v>295</v>
      </c>
      <c r="W375" s="7" t="s">
        <v>74</v>
      </c>
      <c r="X375" s="7" t="s">
        <v>103</v>
      </c>
      <c r="Y375" s="8">
        <v>45425</v>
      </c>
      <c r="Z375" s="8">
        <v>45444</v>
      </c>
      <c r="AA375" s="7" t="s">
        <v>296</v>
      </c>
      <c r="AB375" s="7" t="s">
        <v>500</v>
      </c>
      <c r="AC375" s="7" t="s">
        <v>79</v>
      </c>
      <c r="AD375" s="7" t="s">
        <v>80</v>
      </c>
      <c r="AE375" s="7" t="s">
        <v>82</v>
      </c>
      <c r="AF375" s="7" t="s">
        <v>0</v>
      </c>
      <c r="AG375" s="7" t="s">
        <v>0</v>
      </c>
      <c r="AH375" s="9" t="s">
        <v>11954</v>
      </c>
      <c r="AI375" s="9" t="s">
        <v>11955</v>
      </c>
      <c r="AJ375" s="9" t="s">
        <v>11956</v>
      </c>
      <c r="AK375" s="7" t="s">
        <v>61</v>
      </c>
      <c r="AL375" s="7" t="s">
        <v>61</v>
      </c>
      <c r="AM375" s="7" t="s">
        <v>0</v>
      </c>
      <c r="AN375" s="7" t="s">
        <v>0</v>
      </c>
      <c r="AO375" s="7" t="s">
        <v>0</v>
      </c>
      <c r="AP375" s="7" t="s">
        <v>0</v>
      </c>
      <c r="AQ375" s="7" t="s">
        <v>61</v>
      </c>
      <c r="AR375" s="7" t="s">
        <v>0</v>
      </c>
      <c r="AS375" s="10" t="str">
        <f>HYPERLINK("https://tessa.gazprom-neft.local/edo/card/8da5b2f4-5c2c-4ead-9eb3-6f7a3f63d61b", "https://tessa.gazprom-neft.local/edo/card/8da5b2f4-5c2c-4ead-9eb3-6f7a3f63d61b")</f>
        <v>https://tessa.gazprom-neft.local/edo/card/8da5b2f4-5c2c-4ead-9eb3-6f7a3f63d61b</v>
      </c>
    </row>
    <row r="376" spans="1:45" hidden="1" x14ac:dyDescent="0.25">
      <c r="A376" s="6" t="s">
        <v>44</v>
      </c>
      <c r="B376" s="7" t="s">
        <v>4174</v>
      </c>
      <c r="C376" s="7" t="s">
        <v>67</v>
      </c>
      <c r="D376" s="8">
        <v>45425</v>
      </c>
      <c r="E376" s="8" t="s">
        <v>0</v>
      </c>
      <c r="F376" s="16" t="s">
        <v>4175</v>
      </c>
      <c r="G376" s="7" t="s">
        <v>4176</v>
      </c>
      <c r="H376" s="7" t="s">
        <v>0</v>
      </c>
      <c r="I376" s="7" t="s">
        <v>4170</v>
      </c>
      <c r="J376" s="7" t="s">
        <v>4170</v>
      </c>
      <c r="K376" s="7" t="s">
        <v>47</v>
      </c>
      <c r="L376" s="7" t="s">
        <v>86</v>
      </c>
      <c r="M376" s="7" t="s">
        <v>0</v>
      </c>
      <c r="N376" s="7" t="s">
        <v>4169</v>
      </c>
      <c r="O376" s="7" t="s">
        <v>0</v>
      </c>
      <c r="P376" s="7" t="s">
        <v>4171</v>
      </c>
      <c r="Q376" s="7" t="s">
        <v>4172</v>
      </c>
      <c r="R376" s="7" t="s">
        <v>4173</v>
      </c>
      <c r="S376" s="7" t="s">
        <v>4173</v>
      </c>
      <c r="T376" s="7" t="s">
        <v>54</v>
      </c>
      <c r="U376" s="7" t="s">
        <v>90</v>
      </c>
      <c r="V376" s="7" t="s">
        <v>102</v>
      </c>
      <c r="W376" s="7" t="s">
        <v>57</v>
      </c>
      <c r="X376" s="7" t="s">
        <v>103</v>
      </c>
      <c r="Y376" s="8">
        <v>45425</v>
      </c>
      <c r="Z376" s="8">
        <v>45790</v>
      </c>
      <c r="AA376" s="7" t="s">
        <v>1767</v>
      </c>
      <c r="AB376" s="7" t="s">
        <v>64</v>
      </c>
      <c r="AC376" s="7" t="s">
        <v>79</v>
      </c>
      <c r="AD376" s="7" t="s">
        <v>80</v>
      </c>
      <c r="AE376" s="7" t="s">
        <v>82</v>
      </c>
      <c r="AF376" s="7" t="s">
        <v>0</v>
      </c>
      <c r="AG376" s="7" t="s">
        <v>0</v>
      </c>
      <c r="AH376" s="9" t="s">
        <v>11248</v>
      </c>
      <c r="AI376" s="9" t="s">
        <v>11957</v>
      </c>
      <c r="AJ376" s="9" t="s">
        <v>11958</v>
      </c>
      <c r="AK376" s="7" t="s">
        <v>61</v>
      </c>
      <c r="AL376" s="7" t="s">
        <v>81</v>
      </c>
      <c r="AM376" s="7" t="s">
        <v>1410</v>
      </c>
      <c r="AN376" s="7" t="s">
        <v>2127</v>
      </c>
      <c r="AO376" s="7" t="s">
        <v>0</v>
      </c>
      <c r="AP376" s="7" t="s">
        <v>0</v>
      </c>
      <c r="AQ376" s="7" t="s">
        <v>61</v>
      </c>
      <c r="AR376" s="7" t="s">
        <v>0</v>
      </c>
      <c r="AS376" s="10" t="str">
        <f>HYPERLINK("https://tessa.gazprom-neft.local/edo/card/d51c3cde-087d-43b2-97e1-a366de29b262", "https://tessa.gazprom-neft.local/edo/card/d51c3cde-087d-43b2-97e1-a366de29b262")</f>
        <v>https://tessa.gazprom-neft.local/edo/card/d51c3cde-087d-43b2-97e1-a366de29b262</v>
      </c>
    </row>
    <row r="377" spans="1:45" hidden="1" x14ac:dyDescent="0.25">
      <c r="A377" s="6" t="s">
        <v>44</v>
      </c>
      <c r="B377" s="7" t="s">
        <v>4192</v>
      </c>
      <c r="C377" s="7" t="s">
        <v>67</v>
      </c>
      <c r="D377" s="8">
        <v>45425</v>
      </c>
      <c r="E377" s="8" t="s">
        <v>0</v>
      </c>
      <c r="F377" s="16" t="s">
        <v>4193</v>
      </c>
      <c r="G377" s="7" t="s">
        <v>4194</v>
      </c>
      <c r="H377" s="7" t="s">
        <v>0</v>
      </c>
      <c r="I377" s="7" t="s">
        <v>4189</v>
      </c>
      <c r="J377" s="7" t="s">
        <v>4189</v>
      </c>
      <c r="K377" s="7" t="s">
        <v>47</v>
      </c>
      <c r="L377" s="7" t="s">
        <v>86</v>
      </c>
      <c r="M377" s="7" t="s">
        <v>0</v>
      </c>
      <c r="N377" s="7" t="s">
        <v>4188</v>
      </c>
      <c r="O377" s="7" t="s">
        <v>0</v>
      </c>
      <c r="P377" s="7" t="s">
        <v>4190</v>
      </c>
      <c r="Q377" s="7" t="s">
        <v>4191</v>
      </c>
      <c r="R377" s="7" t="s">
        <v>4173</v>
      </c>
      <c r="S377" s="7" t="s">
        <v>4173</v>
      </c>
      <c r="T377" s="7" t="s">
        <v>54</v>
      </c>
      <c r="U377" s="7" t="s">
        <v>90</v>
      </c>
      <c r="V377" s="7" t="s">
        <v>102</v>
      </c>
      <c r="W377" s="7" t="s">
        <v>57</v>
      </c>
      <c r="X377" s="7" t="s">
        <v>103</v>
      </c>
      <c r="Y377" s="8">
        <v>45425</v>
      </c>
      <c r="Z377" s="8">
        <v>45790</v>
      </c>
      <c r="AA377" s="7" t="s">
        <v>1767</v>
      </c>
      <c r="AB377" s="7" t="s">
        <v>64</v>
      </c>
      <c r="AC377" s="7" t="s">
        <v>79</v>
      </c>
      <c r="AD377" s="7" t="s">
        <v>80</v>
      </c>
      <c r="AE377" s="7" t="s">
        <v>82</v>
      </c>
      <c r="AF377" s="7" t="s">
        <v>0</v>
      </c>
      <c r="AG377" s="7" t="s">
        <v>0</v>
      </c>
      <c r="AH377" s="9" t="s">
        <v>11962</v>
      </c>
      <c r="AI377" s="9" t="s">
        <v>11963</v>
      </c>
      <c r="AJ377" s="9" t="s">
        <v>11964</v>
      </c>
      <c r="AK377" s="7" t="s">
        <v>61</v>
      </c>
      <c r="AL377" s="7" t="s">
        <v>81</v>
      </c>
      <c r="AM377" s="7" t="s">
        <v>1410</v>
      </c>
      <c r="AN377" s="7" t="s">
        <v>4195</v>
      </c>
      <c r="AO377" s="7" t="s">
        <v>0</v>
      </c>
      <c r="AP377" s="7" t="s">
        <v>0</v>
      </c>
      <c r="AQ377" s="7" t="s">
        <v>61</v>
      </c>
      <c r="AR377" s="7" t="s">
        <v>0</v>
      </c>
      <c r="AS377" s="10" t="str">
        <f>HYPERLINK("https://tessa.gazprom-neft.local/edo/card/bd9425ab-8e7a-4375-81e2-8539c379bd76", "https://tessa.gazprom-neft.local/edo/card/bd9425ab-8e7a-4375-81e2-8539c379bd76")</f>
        <v>https://tessa.gazprom-neft.local/edo/card/bd9425ab-8e7a-4375-81e2-8539c379bd76</v>
      </c>
    </row>
    <row r="378" spans="1:45" hidden="1" x14ac:dyDescent="0.25">
      <c r="A378" s="6" t="s">
        <v>44</v>
      </c>
      <c r="B378" s="7" t="s">
        <v>4797</v>
      </c>
      <c r="C378" s="7" t="s">
        <v>67</v>
      </c>
      <c r="D378" s="8">
        <v>45425</v>
      </c>
      <c r="E378" s="8" t="s">
        <v>0</v>
      </c>
      <c r="F378" s="16" t="s">
        <v>4798</v>
      </c>
      <c r="G378" s="7" t="s">
        <v>4799</v>
      </c>
      <c r="H378" s="7" t="s">
        <v>0</v>
      </c>
      <c r="I378" s="7" t="s">
        <v>4796</v>
      </c>
      <c r="J378" s="7" t="s">
        <v>4796</v>
      </c>
      <c r="K378" s="7" t="s">
        <v>85</v>
      </c>
      <c r="L378" s="7" t="s">
        <v>86</v>
      </c>
      <c r="M378" s="7" t="s">
        <v>289</v>
      </c>
      <c r="N378" s="7" t="s">
        <v>4795</v>
      </c>
      <c r="O378" s="7" t="s">
        <v>0</v>
      </c>
      <c r="P378" s="7" t="s">
        <v>289</v>
      </c>
      <c r="Q378" s="7" t="s">
        <v>3534</v>
      </c>
      <c r="R378" s="7" t="s">
        <v>1286</v>
      </c>
      <c r="S378" s="7" t="s">
        <v>349</v>
      </c>
      <c r="T378" s="7" t="s">
        <v>54</v>
      </c>
      <c r="U378" s="7" t="s">
        <v>1287</v>
      </c>
      <c r="V378" s="7" t="s">
        <v>56</v>
      </c>
      <c r="W378" s="7" t="s">
        <v>57</v>
      </c>
      <c r="X378" s="7" t="s">
        <v>58</v>
      </c>
      <c r="Y378" s="8">
        <v>45425</v>
      </c>
      <c r="Z378" s="8" t="s">
        <v>0</v>
      </c>
      <c r="AA378" s="7" t="s">
        <v>0</v>
      </c>
      <c r="AB378" s="7" t="s">
        <v>300</v>
      </c>
      <c r="AC378" s="7" t="s">
        <v>65</v>
      </c>
      <c r="AD378" s="7" t="s">
        <v>0</v>
      </c>
      <c r="AE378" s="7" t="s">
        <v>0</v>
      </c>
      <c r="AF378" s="7" t="s">
        <v>0</v>
      </c>
      <c r="AG378" s="7" t="s">
        <v>0</v>
      </c>
      <c r="AH378" s="9" t="s">
        <v>0</v>
      </c>
      <c r="AI378" s="9" t="s">
        <v>0</v>
      </c>
      <c r="AJ378" s="9" t="s">
        <v>0</v>
      </c>
      <c r="AK378" s="7" t="s">
        <v>61</v>
      </c>
      <c r="AL378" s="7" t="s">
        <v>61</v>
      </c>
      <c r="AM378" s="7" t="s">
        <v>0</v>
      </c>
      <c r="AN378" s="7" t="s">
        <v>0</v>
      </c>
      <c r="AO378" s="7" t="s">
        <v>0</v>
      </c>
      <c r="AP378" s="7" t="s">
        <v>0</v>
      </c>
      <c r="AQ378" s="7" t="s">
        <v>61</v>
      </c>
      <c r="AR378" s="7" t="s">
        <v>0</v>
      </c>
      <c r="AS378" s="10" t="str">
        <f>HYPERLINK("https://tessa.gazprom-neft.local/edo/card/ac57272f-24e6-4c44-984d-bebbfa38a8e2", "https://tessa.gazprom-neft.local/edo/card/ac57272f-24e6-4c44-984d-bebbfa38a8e2")</f>
        <v>https://tessa.gazprom-neft.local/edo/card/ac57272f-24e6-4c44-984d-bebbfa38a8e2</v>
      </c>
    </row>
    <row r="379" spans="1:45" hidden="1" x14ac:dyDescent="0.25">
      <c r="A379" s="6" t="s">
        <v>44</v>
      </c>
      <c r="B379" s="7" t="s">
        <v>542</v>
      </c>
      <c r="C379" s="7" t="s">
        <v>67</v>
      </c>
      <c r="D379" s="8">
        <v>45420</v>
      </c>
      <c r="E379" s="8">
        <v>45433</v>
      </c>
      <c r="F379" s="16" t="s">
        <v>543</v>
      </c>
      <c r="G379" s="7" t="s">
        <v>544</v>
      </c>
      <c r="H379" s="7" t="s">
        <v>2148</v>
      </c>
      <c r="I379" s="7" t="s">
        <v>0</v>
      </c>
      <c r="J379" s="7" t="s">
        <v>156</v>
      </c>
      <c r="K379" s="7" t="s">
        <v>47</v>
      </c>
      <c r="L379" s="7" t="s">
        <v>239</v>
      </c>
      <c r="M379" s="7" t="s">
        <v>0</v>
      </c>
      <c r="N379" s="7" t="s">
        <v>4143</v>
      </c>
      <c r="O379" s="7" t="s">
        <v>0</v>
      </c>
      <c r="P379" s="7" t="s">
        <v>4144</v>
      </c>
      <c r="Q379" s="7" t="s">
        <v>4145</v>
      </c>
      <c r="R379" s="7" t="s">
        <v>646</v>
      </c>
      <c r="S379" s="7" t="s">
        <v>540</v>
      </c>
      <c r="T379" s="7" t="s">
        <v>54</v>
      </c>
      <c r="U379" s="7" t="s">
        <v>55</v>
      </c>
      <c r="V379" s="7" t="s">
        <v>56</v>
      </c>
      <c r="W379" s="7" t="s">
        <v>74</v>
      </c>
      <c r="X379" s="7" t="s">
        <v>103</v>
      </c>
      <c r="Y379" s="8">
        <v>45420</v>
      </c>
      <c r="Z379" s="8">
        <v>45651</v>
      </c>
      <c r="AA379" s="7" t="s">
        <v>59</v>
      </c>
      <c r="AB379" s="7" t="s">
        <v>130</v>
      </c>
      <c r="AC379" s="7" t="s">
        <v>79</v>
      </c>
      <c r="AD379" s="7" t="s">
        <v>144</v>
      </c>
      <c r="AE379" s="7" t="s">
        <v>82</v>
      </c>
      <c r="AF379" s="7" t="s">
        <v>0</v>
      </c>
      <c r="AG379" s="7" t="s">
        <v>0</v>
      </c>
      <c r="AH379" s="9" t="s">
        <v>11951</v>
      </c>
      <c r="AI379" s="9" t="s">
        <v>11952</v>
      </c>
      <c r="AJ379" s="9" t="s">
        <v>11953</v>
      </c>
      <c r="AK379" s="7" t="s">
        <v>61</v>
      </c>
      <c r="AL379" s="7" t="s">
        <v>61</v>
      </c>
      <c r="AM379" s="7" t="s">
        <v>0</v>
      </c>
      <c r="AN379" s="7" t="s">
        <v>0</v>
      </c>
      <c r="AO379" s="7" t="s">
        <v>0</v>
      </c>
      <c r="AP379" s="7" t="s">
        <v>0</v>
      </c>
      <c r="AQ379" s="7" t="s">
        <v>81</v>
      </c>
      <c r="AR379" s="7" t="s">
        <v>0</v>
      </c>
      <c r="AS379" s="10" t="str">
        <f>HYPERLINK("https://tessa.gazprom-neft.local/edo/card/a1293eb2-691a-4b5f-824d-67666ba27396", "https://tessa.gazprom-neft.local/edo/card/a1293eb2-691a-4b5f-824d-67666ba27396")</f>
        <v>https://tessa.gazprom-neft.local/edo/card/a1293eb2-691a-4b5f-824d-67666ba27396</v>
      </c>
    </row>
    <row r="380" spans="1:45" x14ac:dyDescent="0.25">
      <c r="A380" s="6" t="s">
        <v>44</v>
      </c>
      <c r="B380" s="7" t="s">
        <v>705</v>
      </c>
      <c r="C380" s="7" t="s">
        <v>67</v>
      </c>
      <c r="D380" s="8">
        <v>45419</v>
      </c>
      <c r="E380" s="8">
        <v>45427</v>
      </c>
      <c r="F380" s="16" t="s">
        <v>2466</v>
      </c>
      <c r="G380" s="7" t="s">
        <v>707</v>
      </c>
      <c r="H380" s="7" t="s">
        <v>3206</v>
      </c>
      <c r="I380" s="7" t="s">
        <v>0</v>
      </c>
      <c r="J380" s="7" t="s">
        <v>51</v>
      </c>
      <c r="K380" s="7" t="s">
        <v>85</v>
      </c>
      <c r="L380" s="7" t="s">
        <v>48</v>
      </c>
      <c r="M380" s="7" t="s">
        <v>1183</v>
      </c>
      <c r="N380" s="7" t="s">
        <v>3205</v>
      </c>
      <c r="O380" s="7" t="s">
        <v>0</v>
      </c>
      <c r="P380" s="7" t="s">
        <v>3207</v>
      </c>
      <c r="Q380" s="7" t="s">
        <v>1185</v>
      </c>
      <c r="R380" s="7" t="s">
        <v>282</v>
      </c>
      <c r="S380" s="7" t="s">
        <v>0</v>
      </c>
      <c r="T380" s="7" t="s">
        <v>54</v>
      </c>
      <c r="U380" s="7" t="s">
        <v>55</v>
      </c>
      <c r="V380" s="7" t="s">
        <v>168</v>
      </c>
      <c r="W380" s="7" t="s">
        <v>74</v>
      </c>
      <c r="X380" s="7" t="s">
        <v>103</v>
      </c>
      <c r="Y380" s="8">
        <v>45419</v>
      </c>
      <c r="Z380" s="8">
        <v>46387</v>
      </c>
      <c r="AA380" s="7" t="s">
        <v>169</v>
      </c>
      <c r="AB380" s="7" t="s">
        <v>228</v>
      </c>
      <c r="AC380" s="7" t="s">
        <v>65</v>
      </c>
      <c r="AD380" s="7" t="s">
        <v>0</v>
      </c>
      <c r="AE380" s="7" t="s">
        <v>0</v>
      </c>
      <c r="AF380" s="7" t="s">
        <v>0</v>
      </c>
      <c r="AG380" s="7" t="s">
        <v>0</v>
      </c>
      <c r="AH380" s="9" t="s">
        <v>0</v>
      </c>
      <c r="AI380" s="9" t="s">
        <v>0</v>
      </c>
      <c r="AJ380" s="9" t="s">
        <v>0</v>
      </c>
      <c r="AK380" s="7" t="s">
        <v>61</v>
      </c>
      <c r="AL380" s="7" t="s">
        <v>61</v>
      </c>
      <c r="AM380" s="7" t="s">
        <v>0</v>
      </c>
      <c r="AN380" s="7" t="s">
        <v>0</v>
      </c>
      <c r="AO380" s="7" t="s">
        <v>0</v>
      </c>
      <c r="AP380" s="7" t="s">
        <v>0</v>
      </c>
      <c r="AQ380" s="7" t="s">
        <v>61</v>
      </c>
      <c r="AR380" s="7" t="s">
        <v>0</v>
      </c>
      <c r="AS380" s="10" t="str">
        <f>HYPERLINK("https://tessa.gazprom-neft.local/edo/card/44abfda7-d60b-41eb-9b63-fe4c39c390f4", "https://tessa.gazprom-neft.local/edo/card/44abfda7-d60b-41eb-9b63-fe4c39c390f4")</f>
        <v>https://tessa.gazprom-neft.local/edo/card/44abfda7-d60b-41eb-9b63-fe4c39c390f4</v>
      </c>
    </row>
    <row r="381" spans="1:45" hidden="1" x14ac:dyDescent="0.25">
      <c r="A381" s="6" t="s">
        <v>44</v>
      </c>
      <c r="B381" s="7" t="s">
        <v>592</v>
      </c>
      <c r="C381" s="7" t="s">
        <v>67</v>
      </c>
      <c r="D381" s="8">
        <v>45419</v>
      </c>
      <c r="E381" s="8">
        <v>45441</v>
      </c>
      <c r="F381" s="16" t="s">
        <v>593</v>
      </c>
      <c r="G381" s="7" t="s">
        <v>594</v>
      </c>
      <c r="H381" s="7" t="s">
        <v>953</v>
      </c>
      <c r="I381" s="7" t="s">
        <v>0</v>
      </c>
      <c r="J381" s="7" t="s">
        <v>936</v>
      </c>
      <c r="K381" s="7" t="s">
        <v>47</v>
      </c>
      <c r="L381" s="7" t="s">
        <v>239</v>
      </c>
      <c r="M381" s="7" t="s">
        <v>0</v>
      </c>
      <c r="N381" s="7" t="s">
        <v>4136</v>
      </c>
      <c r="O381" s="7" t="s">
        <v>0</v>
      </c>
      <c r="P381" s="7" t="s">
        <v>4137</v>
      </c>
      <c r="Q381" s="7" t="s">
        <v>1799</v>
      </c>
      <c r="R381" s="7" t="s">
        <v>590</v>
      </c>
      <c r="S381" s="7" t="s">
        <v>394</v>
      </c>
      <c r="T381" s="7" t="s">
        <v>54</v>
      </c>
      <c r="U381" s="7" t="s">
        <v>591</v>
      </c>
      <c r="V381" s="7" t="s">
        <v>382</v>
      </c>
      <c r="W381" s="7" t="s">
        <v>74</v>
      </c>
      <c r="X381" s="7" t="s">
        <v>58</v>
      </c>
      <c r="Y381" s="8">
        <v>45436</v>
      </c>
      <c r="Z381" s="8" t="s">
        <v>0</v>
      </c>
      <c r="AA381" s="7" t="s">
        <v>383</v>
      </c>
      <c r="AB381" s="7" t="s">
        <v>387</v>
      </c>
      <c r="AC381" s="7" t="s">
        <v>79</v>
      </c>
      <c r="AD381" s="7" t="s">
        <v>144</v>
      </c>
      <c r="AE381" s="7" t="s">
        <v>82</v>
      </c>
      <c r="AF381" s="7" t="s">
        <v>0</v>
      </c>
      <c r="AG381" s="7" t="s">
        <v>0</v>
      </c>
      <c r="AH381" s="9" t="s">
        <v>11948</v>
      </c>
      <c r="AI381" s="9" t="s">
        <v>11949</v>
      </c>
      <c r="AJ381" s="9" t="s">
        <v>11950</v>
      </c>
      <c r="AK381" s="7" t="s">
        <v>61</v>
      </c>
      <c r="AL381" s="7" t="s">
        <v>61</v>
      </c>
      <c r="AM381" s="7" t="s">
        <v>0</v>
      </c>
      <c r="AN381" s="7" t="s">
        <v>0</v>
      </c>
      <c r="AO381" s="7" t="s">
        <v>0</v>
      </c>
      <c r="AP381" s="7" t="s">
        <v>0</v>
      </c>
      <c r="AQ381" s="7" t="s">
        <v>61</v>
      </c>
      <c r="AR381" s="7" t="s">
        <v>0</v>
      </c>
      <c r="AS381" s="10" t="str">
        <f>HYPERLINK("https://tessa.gazprom-neft.local/edo/card/a6a009eb-bc23-4777-a586-c015d375b7af", "https://tessa.gazprom-neft.local/edo/card/a6a009eb-bc23-4777-a586-c015d375b7af")</f>
        <v>https://tessa.gazprom-neft.local/edo/card/a6a009eb-bc23-4777-a586-c015d375b7af</v>
      </c>
    </row>
    <row r="382" spans="1:45" x14ac:dyDescent="0.25">
      <c r="A382" s="6" t="s">
        <v>44</v>
      </c>
      <c r="B382" s="7" t="s">
        <v>1192</v>
      </c>
      <c r="C382" s="7" t="s">
        <v>67</v>
      </c>
      <c r="D382" s="8">
        <v>45417</v>
      </c>
      <c r="E382" s="8">
        <v>45448</v>
      </c>
      <c r="F382" s="16" t="s">
        <v>4005</v>
      </c>
      <c r="G382" s="7" t="s">
        <v>1194</v>
      </c>
      <c r="H382" s="7" t="s">
        <v>4003</v>
      </c>
      <c r="I382" s="7" t="s">
        <v>0</v>
      </c>
      <c r="J382" s="7" t="s">
        <v>355</v>
      </c>
      <c r="K382" s="7" t="s">
        <v>85</v>
      </c>
      <c r="L382" s="7" t="s">
        <v>48</v>
      </c>
      <c r="M382" s="7" t="s">
        <v>2373</v>
      </c>
      <c r="N382" s="7" t="s">
        <v>4002</v>
      </c>
      <c r="O382" s="7" t="s">
        <v>0</v>
      </c>
      <c r="P382" s="7" t="s">
        <v>4004</v>
      </c>
      <c r="Q382" s="7" t="s">
        <v>3820</v>
      </c>
      <c r="R382" s="7" t="s">
        <v>393</v>
      </c>
      <c r="S382" s="7" t="s">
        <v>679</v>
      </c>
      <c r="T382" s="7" t="s">
        <v>54</v>
      </c>
      <c r="U382" s="7" t="s">
        <v>362</v>
      </c>
      <c r="V382" s="7" t="s">
        <v>295</v>
      </c>
      <c r="W382" s="7" t="s">
        <v>74</v>
      </c>
      <c r="X382" s="7" t="s">
        <v>58</v>
      </c>
      <c r="Y382" s="8">
        <v>45417</v>
      </c>
      <c r="Z382" s="8" t="s">
        <v>0</v>
      </c>
      <c r="AA382" s="7" t="s">
        <v>296</v>
      </c>
      <c r="AB382" s="7" t="s">
        <v>1748</v>
      </c>
      <c r="AC382" s="7" t="s">
        <v>65</v>
      </c>
      <c r="AD382" s="7" t="s">
        <v>0</v>
      </c>
      <c r="AE382" s="7" t="s">
        <v>0</v>
      </c>
      <c r="AF382" s="7" t="s">
        <v>0</v>
      </c>
      <c r="AG382" s="7" t="s">
        <v>0</v>
      </c>
      <c r="AH382" s="9" t="s">
        <v>0</v>
      </c>
      <c r="AI382" s="9" t="s">
        <v>0</v>
      </c>
      <c r="AJ382" s="9" t="s">
        <v>0</v>
      </c>
      <c r="AK382" s="7" t="s">
        <v>61</v>
      </c>
      <c r="AL382" s="7" t="s">
        <v>61</v>
      </c>
      <c r="AM382" s="7" t="s">
        <v>0</v>
      </c>
      <c r="AN382" s="7" t="s">
        <v>0</v>
      </c>
      <c r="AO382" s="7" t="s">
        <v>0</v>
      </c>
      <c r="AP382" s="7" t="s">
        <v>0</v>
      </c>
      <c r="AQ382" s="7" t="s">
        <v>61</v>
      </c>
      <c r="AR382" s="7" t="s">
        <v>0</v>
      </c>
      <c r="AS382" s="10" t="str">
        <f>HYPERLINK("https://tessa.gazprom-neft.local/edo/card/46d80f5d-d53e-4899-99ea-e0010d76fee1", "https://tessa.gazprom-neft.local/edo/card/46d80f5d-d53e-4899-99ea-e0010d76fee1")</f>
        <v>https://tessa.gazprom-neft.local/edo/card/46d80f5d-d53e-4899-99ea-e0010d76fee1</v>
      </c>
    </row>
    <row r="383" spans="1:45" x14ac:dyDescent="0.25">
      <c r="A383" s="6" t="s">
        <v>44</v>
      </c>
      <c r="B383" s="7" t="s">
        <v>1101</v>
      </c>
      <c r="C383" s="7" t="s">
        <v>67</v>
      </c>
      <c r="D383" s="8">
        <v>45414</v>
      </c>
      <c r="E383" s="8">
        <v>45425</v>
      </c>
      <c r="F383" s="16" t="s">
        <v>1102</v>
      </c>
      <c r="G383" s="7" t="s">
        <v>1103</v>
      </c>
      <c r="H383" s="7" t="s">
        <v>2522</v>
      </c>
      <c r="I383" s="7" t="s">
        <v>0</v>
      </c>
      <c r="J383" s="7" t="s">
        <v>712</v>
      </c>
      <c r="K383" s="7" t="s">
        <v>47</v>
      </c>
      <c r="L383" s="7" t="s">
        <v>48</v>
      </c>
      <c r="M383" s="7" t="s">
        <v>0</v>
      </c>
      <c r="N383" s="7" t="s">
        <v>3955</v>
      </c>
      <c r="O383" s="7" t="s">
        <v>0</v>
      </c>
      <c r="P383" s="7" t="s">
        <v>3956</v>
      </c>
      <c r="Q383" s="7" t="s">
        <v>3957</v>
      </c>
      <c r="R383" s="7" t="s">
        <v>339</v>
      </c>
      <c r="S383" s="7" t="s">
        <v>339</v>
      </c>
      <c r="T383" s="7" t="s">
        <v>54</v>
      </c>
      <c r="U383" s="7" t="s">
        <v>303</v>
      </c>
      <c r="V383" s="7" t="s">
        <v>91</v>
      </c>
      <c r="W383" s="7" t="s">
        <v>74</v>
      </c>
      <c r="X383" s="7" t="s">
        <v>103</v>
      </c>
      <c r="Y383" s="8">
        <v>45428</v>
      </c>
      <c r="Z383" s="8">
        <v>45504</v>
      </c>
      <c r="AA383" s="7" t="s">
        <v>92</v>
      </c>
      <c r="AB383" s="7" t="s">
        <v>64</v>
      </c>
      <c r="AC383" s="7" t="s">
        <v>79</v>
      </c>
      <c r="AD383" s="7" t="s">
        <v>144</v>
      </c>
      <c r="AE383" s="7" t="s">
        <v>118</v>
      </c>
      <c r="AF383" s="7" t="s">
        <v>0</v>
      </c>
      <c r="AG383" s="7" t="s">
        <v>0</v>
      </c>
      <c r="AH383" s="9" t="s">
        <v>11883</v>
      </c>
      <c r="AI383" s="9" t="s">
        <v>11883</v>
      </c>
      <c r="AJ383" s="9">
        <v>0</v>
      </c>
      <c r="AK383" s="7" t="s">
        <v>61</v>
      </c>
      <c r="AL383" s="7" t="s">
        <v>61</v>
      </c>
      <c r="AM383" s="7" t="s">
        <v>0</v>
      </c>
      <c r="AN383" s="7" t="s">
        <v>0</v>
      </c>
      <c r="AO383" s="7" t="s">
        <v>0</v>
      </c>
      <c r="AP383" s="7" t="s">
        <v>0</v>
      </c>
      <c r="AQ383" s="7" t="s">
        <v>61</v>
      </c>
      <c r="AR383" s="7" t="s">
        <v>0</v>
      </c>
      <c r="AS383" s="10" t="str">
        <f>HYPERLINK("https://tessa.gazprom-neft.local/edo/card/04f4b83d-099f-48a7-9378-2bf0dd6453a0", "https://tessa.gazprom-neft.local/edo/card/04f4b83d-099f-48a7-9378-2bf0dd6453a0")</f>
        <v>https://tessa.gazprom-neft.local/edo/card/04f4b83d-099f-48a7-9378-2bf0dd6453a0</v>
      </c>
    </row>
    <row r="384" spans="1:45" x14ac:dyDescent="0.25">
      <c r="A384" s="6" t="s">
        <v>44</v>
      </c>
      <c r="B384" s="7" t="s">
        <v>1775</v>
      </c>
      <c r="C384" s="7" t="s">
        <v>218</v>
      </c>
      <c r="D384" s="8">
        <v>45414</v>
      </c>
      <c r="E384" s="8" t="s">
        <v>0</v>
      </c>
      <c r="F384" s="16" t="s">
        <v>1776</v>
      </c>
      <c r="G384" s="7" t="s">
        <v>1777</v>
      </c>
      <c r="H384" s="7" t="s">
        <v>2800</v>
      </c>
      <c r="I384" s="7" t="s">
        <v>0</v>
      </c>
      <c r="J384" s="7" t="s">
        <v>1098</v>
      </c>
      <c r="K384" s="7" t="s">
        <v>47</v>
      </c>
      <c r="L384" s="7" t="s">
        <v>48</v>
      </c>
      <c r="M384" s="7" t="s">
        <v>0</v>
      </c>
      <c r="N384" s="7" t="s">
        <v>4025</v>
      </c>
      <c r="O384" s="7" t="s">
        <v>0</v>
      </c>
      <c r="P384" s="7" t="s">
        <v>4026</v>
      </c>
      <c r="Q384" s="7" t="s">
        <v>4027</v>
      </c>
      <c r="R384" s="7" t="s">
        <v>1774</v>
      </c>
      <c r="S384" s="7" t="s">
        <v>1774</v>
      </c>
      <c r="T384" s="7" t="s">
        <v>54</v>
      </c>
      <c r="U384" s="7" t="s">
        <v>307</v>
      </c>
      <c r="V384" s="7" t="s">
        <v>126</v>
      </c>
      <c r="W384" s="7" t="s">
        <v>74</v>
      </c>
      <c r="X384" s="7" t="s">
        <v>223</v>
      </c>
      <c r="Y384" s="8" t="s">
        <v>0</v>
      </c>
      <c r="Z384" s="8" t="s">
        <v>0</v>
      </c>
      <c r="AA384" s="7" t="s">
        <v>200</v>
      </c>
      <c r="AB384" s="7" t="s">
        <v>130</v>
      </c>
      <c r="AC384" s="7" t="s">
        <v>65</v>
      </c>
      <c r="AD384" s="7" t="s">
        <v>514</v>
      </c>
      <c r="AE384" s="7" t="s">
        <v>0</v>
      </c>
      <c r="AF384" s="7" t="s">
        <v>0</v>
      </c>
      <c r="AG384" s="7" t="s">
        <v>0</v>
      </c>
      <c r="AH384" s="9" t="s">
        <v>0</v>
      </c>
      <c r="AI384" s="9" t="s">
        <v>0</v>
      </c>
      <c r="AJ384" s="9" t="s">
        <v>0</v>
      </c>
      <c r="AK384" s="7" t="s">
        <v>61</v>
      </c>
      <c r="AL384" s="7" t="s">
        <v>61</v>
      </c>
      <c r="AM384" s="7" t="s">
        <v>0</v>
      </c>
      <c r="AN384" s="7" t="s">
        <v>0</v>
      </c>
      <c r="AO384" s="7" t="s">
        <v>0</v>
      </c>
      <c r="AP384" s="7" t="s">
        <v>0</v>
      </c>
      <c r="AQ384" s="7" t="s">
        <v>61</v>
      </c>
      <c r="AR384" s="7" t="s">
        <v>0</v>
      </c>
      <c r="AS384" s="10" t="str">
        <f>HYPERLINK("https://tessa.gazprom-neft.local/edo/card/425b5c49-ecde-45c8-b853-2731a2f8221d", "https://tessa.gazprom-neft.local/edo/card/425b5c49-ecde-45c8-b853-2731a2f8221d")</f>
        <v>https://tessa.gazprom-neft.local/edo/card/425b5c49-ecde-45c8-b853-2731a2f8221d</v>
      </c>
    </row>
    <row r="385" spans="1:45" x14ac:dyDescent="0.25">
      <c r="A385" s="6" t="s">
        <v>44</v>
      </c>
      <c r="B385" s="7" t="s">
        <v>1775</v>
      </c>
      <c r="C385" s="7" t="s">
        <v>67</v>
      </c>
      <c r="D385" s="8">
        <v>45414</v>
      </c>
      <c r="E385" s="8">
        <v>45428</v>
      </c>
      <c r="F385" s="16" t="s">
        <v>1776</v>
      </c>
      <c r="G385" s="7" t="s">
        <v>1777</v>
      </c>
      <c r="H385" s="7" t="s">
        <v>2800</v>
      </c>
      <c r="I385" s="7" t="s">
        <v>0</v>
      </c>
      <c r="J385" s="7" t="s">
        <v>1098</v>
      </c>
      <c r="K385" s="7" t="s">
        <v>47</v>
      </c>
      <c r="L385" s="7" t="s">
        <v>48</v>
      </c>
      <c r="M385" s="7" t="s">
        <v>0</v>
      </c>
      <c r="N385" s="7" t="s">
        <v>4034</v>
      </c>
      <c r="O385" s="7" t="s">
        <v>0</v>
      </c>
      <c r="P385" s="7" t="s">
        <v>4035</v>
      </c>
      <c r="Q385" s="7" t="s">
        <v>4036</v>
      </c>
      <c r="R385" s="7" t="s">
        <v>1774</v>
      </c>
      <c r="S385" s="7" t="s">
        <v>1774</v>
      </c>
      <c r="T385" s="7" t="s">
        <v>54</v>
      </c>
      <c r="U385" s="7" t="s">
        <v>307</v>
      </c>
      <c r="V385" s="7" t="s">
        <v>382</v>
      </c>
      <c r="W385" s="7" t="s">
        <v>74</v>
      </c>
      <c r="X385" s="7" t="s">
        <v>103</v>
      </c>
      <c r="Y385" s="8">
        <v>45414</v>
      </c>
      <c r="Z385" s="8">
        <v>45657</v>
      </c>
      <c r="AA385" s="7" t="s">
        <v>383</v>
      </c>
      <c r="AB385" s="7" t="s">
        <v>130</v>
      </c>
      <c r="AC385" s="7" t="s">
        <v>65</v>
      </c>
      <c r="AD385" s="7" t="s">
        <v>514</v>
      </c>
      <c r="AE385" s="7" t="s">
        <v>0</v>
      </c>
      <c r="AF385" s="7" t="s">
        <v>0</v>
      </c>
      <c r="AG385" s="7" t="s">
        <v>0</v>
      </c>
      <c r="AH385" s="9" t="s">
        <v>0</v>
      </c>
      <c r="AI385" s="9" t="s">
        <v>0</v>
      </c>
      <c r="AJ385" s="9" t="s">
        <v>0</v>
      </c>
      <c r="AK385" s="7" t="s">
        <v>61</v>
      </c>
      <c r="AL385" s="7" t="s">
        <v>61</v>
      </c>
      <c r="AM385" s="7" t="s">
        <v>0</v>
      </c>
      <c r="AN385" s="7" t="s">
        <v>0</v>
      </c>
      <c r="AO385" s="7" t="s">
        <v>0</v>
      </c>
      <c r="AP385" s="7" t="s">
        <v>0</v>
      </c>
      <c r="AQ385" s="7" t="s">
        <v>61</v>
      </c>
      <c r="AR385" s="7" t="s">
        <v>0</v>
      </c>
      <c r="AS385" s="10" t="str">
        <f>HYPERLINK("https://tessa.gazprom-neft.local/edo/card/f1c55417-3675-4880-b359-7e57b5b79f21", "https://tessa.gazprom-neft.local/edo/card/f1c55417-3675-4880-b359-7e57b5b79f21")</f>
        <v>https://tessa.gazprom-neft.local/edo/card/f1c55417-3675-4880-b359-7e57b5b79f21</v>
      </c>
    </row>
    <row r="386" spans="1:45" hidden="1" x14ac:dyDescent="0.25">
      <c r="A386" s="6" t="s">
        <v>44</v>
      </c>
      <c r="B386" s="7" t="s">
        <v>715</v>
      </c>
      <c r="C386" s="7" t="s">
        <v>67</v>
      </c>
      <c r="D386" s="8">
        <v>45413</v>
      </c>
      <c r="E386" s="8" t="s">
        <v>0</v>
      </c>
      <c r="F386" s="16" t="s">
        <v>716</v>
      </c>
      <c r="G386" s="7" t="s">
        <v>717</v>
      </c>
      <c r="H386" s="7" t="s">
        <v>710</v>
      </c>
      <c r="I386" s="7" t="s">
        <v>0</v>
      </c>
      <c r="J386" s="7" t="s">
        <v>271</v>
      </c>
      <c r="K386" s="7" t="s">
        <v>47</v>
      </c>
      <c r="L386" s="7" t="s">
        <v>389</v>
      </c>
      <c r="M386" s="7" t="s">
        <v>0</v>
      </c>
      <c r="N386" s="7" t="s">
        <v>3435</v>
      </c>
      <c r="O386" s="7" t="s">
        <v>51</v>
      </c>
      <c r="P386" s="7" t="s">
        <v>3436</v>
      </c>
      <c r="Q386" s="7" t="s">
        <v>3437</v>
      </c>
      <c r="R386" s="7" t="s">
        <v>714</v>
      </c>
      <c r="S386" s="7" t="s">
        <v>714</v>
      </c>
      <c r="T386" s="7" t="s">
        <v>54</v>
      </c>
      <c r="U386" s="7" t="s">
        <v>101</v>
      </c>
      <c r="V386" s="7" t="s">
        <v>308</v>
      </c>
      <c r="W386" s="7" t="s">
        <v>74</v>
      </c>
      <c r="X386" s="7" t="s">
        <v>103</v>
      </c>
      <c r="Y386" s="8">
        <v>45413</v>
      </c>
      <c r="Z386" s="8">
        <v>45535</v>
      </c>
      <c r="AA386" s="7" t="s">
        <v>309</v>
      </c>
      <c r="AB386" s="7" t="s">
        <v>64</v>
      </c>
      <c r="AC386" s="7" t="s">
        <v>65</v>
      </c>
      <c r="AD386" s="7" t="s">
        <v>144</v>
      </c>
      <c r="AE386" s="7" t="s">
        <v>0</v>
      </c>
      <c r="AF386" s="7" t="s">
        <v>0</v>
      </c>
      <c r="AG386" s="7" t="s">
        <v>0</v>
      </c>
      <c r="AH386" s="9" t="s">
        <v>0</v>
      </c>
      <c r="AI386" s="9" t="s">
        <v>0</v>
      </c>
      <c r="AJ386" s="9" t="s">
        <v>0</v>
      </c>
      <c r="AK386" s="7" t="s">
        <v>61</v>
      </c>
      <c r="AL386" s="7" t="s">
        <v>61</v>
      </c>
      <c r="AM386" s="7" t="s">
        <v>0</v>
      </c>
      <c r="AN386" s="7" t="s">
        <v>0</v>
      </c>
      <c r="AO386" s="7" t="s">
        <v>0</v>
      </c>
      <c r="AP386" s="7" t="s">
        <v>0</v>
      </c>
      <c r="AQ386" s="7" t="s">
        <v>61</v>
      </c>
      <c r="AR386" s="7" t="s">
        <v>0</v>
      </c>
      <c r="AS386" s="10" t="str">
        <f>HYPERLINK("https://tessa.gazprom-neft.local/edo/card/29eeb39d-f74d-451b-866b-d33c99cd90e3", "https://tessa.gazprom-neft.local/edo/card/29eeb39d-f74d-451b-866b-d33c99cd90e3")</f>
        <v>https://tessa.gazprom-neft.local/edo/card/29eeb39d-f74d-451b-866b-d33c99cd90e3</v>
      </c>
    </row>
    <row r="387" spans="1:45" hidden="1" x14ac:dyDescent="0.25">
      <c r="A387" s="6" t="s">
        <v>44</v>
      </c>
      <c r="B387" s="7" t="s">
        <v>715</v>
      </c>
      <c r="C387" s="7" t="s">
        <v>67</v>
      </c>
      <c r="D387" s="8">
        <v>45413</v>
      </c>
      <c r="E387" s="8" t="s">
        <v>0</v>
      </c>
      <c r="F387" s="16" t="s">
        <v>716</v>
      </c>
      <c r="G387" s="7" t="s">
        <v>717</v>
      </c>
      <c r="H387" s="7" t="s">
        <v>710</v>
      </c>
      <c r="I387" s="7" t="s">
        <v>0</v>
      </c>
      <c r="J387" s="7" t="s">
        <v>271</v>
      </c>
      <c r="K387" s="7" t="s">
        <v>47</v>
      </c>
      <c r="L387" s="7" t="s">
        <v>389</v>
      </c>
      <c r="M387" s="7" t="s">
        <v>0</v>
      </c>
      <c r="N387" s="7" t="s">
        <v>3442</v>
      </c>
      <c r="O387" s="7" t="s">
        <v>316</v>
      </c>
      <c r="P387" s="7" t="s">
        <v>3443</v>
      </c>
      <c r="Q387" s="7" t="s">
        <v>3444</v>
      </c>
      <c r="R387" s="7" t="s">
        <v>714</v>
      </c>
      <c r="S387" s="7" t="s">
        <v>714</v>
      </c>
      <c r="T387" s="7" t="s">
        <v>54</v>
      </c>
      <c r="U387" s="7" t="s">
        <v>101</v>
      </c>
      <c r="V387" s="7" t="s">
        <v>308</v>
      </c>
      <c r="W387" s="7" t="s">
        <v>74</v>
      </c>
      <c r="X387" s="7" t="s">
        <v>103</v>
      </c>
      <c r="Y387" s="8">
        <v>45413</v>
      </c>
      <c r="Z387" s="8">
        <v>45473</v>
      </c>
      <c r="AA387" s="7" t="s">
        <v>309</v>
      </c>
      <c r="AB387" s="7" t="s">
        <v>64</v>
      </c>
      <c r="AC387" s="7" t="s">
        <v>65</v>
      </c>
      <c r="AD387" s="7" t="s">
        <v>144</v>
      </c>
      <c r="AE387" s="7" t="s">
        <v>0</v>
      </c>
      <c r="AF387" s="7" t="s">
        <v>0</v>
      </c>
      <c r="AG387" s="7" t="s">
        <v>0</v>
      </c>
      <c r="AH387" s="9" t="s">
        <v>0</v>
      </c>
      <c r="AI387" s="9" t="s">
        <v>0</v>
      </c>
      <c r="AJ387" s="9" t="s">
        <v>0</v>
      </c>
      <c r="AK387" s="7" t="s">
        <v>61</v>
      </c>
      <c r="AL387" s="7" t="s">
        <v>61</v>
      </c>
      <c r="AM387" s="7" t="s">
        <v>0</v>
      </c>
      <c r="AN387" s="7" t="s">
        <v>0</v>
      </c>
      <c r="AO387" s="7" t="s">
        <v>0</v>
      </c>
      <c r="AP387" s="7" t="s">
        <v>0</v>
      </c>
      <c r="AQ387" s="7" t="s">
        <v>61</v>
      </c>
      <c r="AR387" s="7" t="s">
        <v>0</v>
      </c>
      <c r="AS387" s="10" t="str">
        <f>HYPERLINK("https://tessa.gazprom-neft.local/edo/card/4a9d7a0b-2dc1-4d6e-a029-48d4dfc4bfc3", "https://tessa.gazprom-neft.local/edo/card/4a9d7a0b-2dc1-4d6e-a029-48d4dfc4bfc3")</f>
        <v>https://tessa.gazprom-neft.local/edo/card/4a9d7a0b-2dc1-4d6e-a029-48d4dfc4bfc3</v>
      </c>
    </row>
    <row r="388" spans="1:45" hidden="1" x14ac:dyDescent="0.25">
      <c r="A388" s="6" t="s">
        <v>44</v>
      </c>
      <c r="B388" s="7" t="s">
        <v>737</v>
      </c>
      <c r="C388" s="7" t="s">
        <v>67</v>
      </c>
      <c r="D388" s="8">
        <v>45413</v>
      </c>
      <c r="E388" s="8" t="s">
        <v>0</v>
      </c>
      <c r="F388" s="16" t="s">
        <v>738</v>
      </c>
      <c r="G388" s="7" t="s">
        <v>739</v>
      </c>
      <c r="H388" s="7" t="s">
        <v>1973</v>
      </c>
      <c r="I388" s="7" t="s">
        <v>0</v>
      </c>
      <c r="J388" s="7" t="s">
        <v>1428</v>
      </c>
      <c r="K388" s="7" t="s">
        <v>47</v>
      </c>
      <c r="L388" s="7" t="s">
        <v>239</v>
      </c>
      <c r="M388" s="7" t="s">
        <v>0</v>
      </c>
      <c r="N388" s="7" t="s">
        <v>4102</v>
      </c>
      <c r="O388" s="7" t="s">
        <v>0</v>
      </c>
      <c r="P388" s="7" t="s">
        <v>4103</v>
      </c>
      <c r="Q388" s="7" t="s">
        <v>4104</v>
      </c>
      <c r="R388" s="7" t="s">
        <v>1924</v>
      </c>
      <c r="S388" s="7" t="s">
        <v>1924</v>
      </c>
      <c r="T388" s="7" t="s">
        <v>54</v>
      </c>
      <c r="U388" s="7" t="s">
        <v>73</v>
      </c>
      <c r="V388" s="7" t="s">
        <v>56</v>
      </c>
      <c r="W388" s="7" t="s">
        <v>57</v>
      </c>
      <c r="X388" s="7" t="s">
        <v>103</v>
      </c>
      <c r="Y388" s="8">
        <v>45413</v>
      </c>
      <c r="Z388" s="8">
        <v>45657</v>
      </c>
      <c r="AA388" s="7" t="s">
        <v>59</v>
      </c>
      <c r="AB388" s="7" t="s">
        <v>130</v>
      </c>
      <c r="AC388" s="7" t="s">
        <v>79</v>
      </c>
      <c r="AD388" s="7" t="s">
        <v>144</v>
      </c>
      <c r="AE388" s="7" t="s">
        <v>82</v>
      </c>
      <c r="AF388" s="7" t="s">
        <v>0</v>
      </c>
      <c r="AG388" s="7" t="s">
        <v>0</v>
      </c>
      <c r="AH388" s="9" t="s">
        <v>11929</v>
      </c>
      <c r="AI388" s="9" t="s">
        <v>11930</v>
      </c>
      <c r="AJ388" s="9" t="s">
        <v>11931</v>
      </c>
      <c r="AK388" s="7" t="s">
        <v>61</v>
      </c>
      <c r="AL388" s="7" t="s">
        <v>61</v>
      </c>
      <c r="AM388" s="7" t="s">
        <v>0</v>
      </c>
      <c r="AN388" s="7" t="s">
        <v>0</v>
      </c>
      <c r="AO388" s="7" t="s">
        <v>0</v>
      </c>
      <c r="AP388" s="7" t="s">
        <v>0</v>
      </c>
      <c r="AQ388" s="7" t="s">
        <v>61</v>
      </c>
      <c r="AR388" s="7" t="s">
        <v>0</v>
      </c>
      <c r="AS388" s="10" t="str">
        <f>HYPERLINK("https://tessa.gazprom-neft.local/edo/card/c5ec9201-5618-4b16-b646-a969c55307c5", "https://tessa.gazprom-neft.local/edo/card/c5ec9201-5618-4b16-b646-a969c55307c5")</f>
        <v>https://tessa.gazprom-neft.local/edo/card/c5ec9201-5618-4b16-b646-a969c55307c5</v>
      </c>
    </row>
    <row r="389" spans="1:45" hidden="1" x14ac:dyDescent="0.25">
      <c r="A389" s="6" t="s">
        <v>44</v>
      </c>
      <c r="B389" s="7" t="s">
        <v>350</v>
      </c>
      <c r="C389" s="7" t="s">
        <v>67</v>
      </c>
      <c r="D389" s="8">
        <v>45413</v>
      </c>
      <c r="E389" s="8">
        <v>45434</v>
      </c>
      <c r="F389" s="16" t="s">
        <v>1027</v>
      </c>
      <c r="G389" s="7" t="s">
        <v>352</v>
      </c>
      <c r="H389" s="7" t="s">
        <v>1024</v>
      </c>
      <c r="I389" s="7" t="s">
        <v>0</v>
      </c>
      <c r="J389" s="7" t="s">
        <v>955</v>
      </c>
      <c r="K389" s="7" t="s">
        <v>47</v>
      </c>
      <c r="L389" s="7" t="s">
        <v>763</v>
      </c>
      <c r="M389" s="7" t="s">
        <v>0</v>
      </c>
      <c r="N389" s="7" t="s">
        <v>4126</v>
      </c>
      <c r="O389" s="7" t="s">
        <v>0</v>
      </c>
      <c r="P389" s="7" t="s">
        <v>4127</v>
      </c>
      <c r="Q389" s="7" t="s">
        <v>4128</v>
      </c>
      <c r="R389" s="7" t="s">
        <v>124</v>
      </c>
      <c r="S389" s="7" t="s">
        <v>0</v>
      </c>
      <c r="T389" s="7" t="s">
        <v>54</v>
      </c>
      <c r="U389" s="7" t="s">
        <v>101</v>
      </c>
      <c r="V389" s="7" t="s">
        <v>168</v>
      </c>
      <c r="W389" s="7" t="s">
        <v>74</v>
      </c>
      <c r="X389" s="7" t="s">
        <v>58</v>
      </c>
      <c r="Y389" s="8">
        <v>45419</v>
      </c>
      <c r="Z389" s="8" t="s">
        <v>0</v>
      </c>
      <c r="AA389" s="7" t="s">
        <v>169</v>
      </c>
      <c r="AB389" s="7" t="s">
        <v>64</v>
      </c>
      <c r="AC389" s="7" t="s">
        <v>79</v>
      </c>
      <c r="AD389" s="7" t="s">
        <v>80</v>
      </c>
      <c r="AE389" s="7" t="s">
        <v>82</v>
      </c>
      <c r="AF389" s="7" t="s">
        <v>0</v>
      </c>
      <c r="AG389" s="7" t="s">
        <v>0</v>
      </c>
      <c r="AH389" s="9" t="s">
        <v>11939</v>
      </c>
      <c r="AI389" s="9" t="s">
        <v>11940</v>
      </c>
      <c r="AJ389" s="9" t="s">
        <v>11941</v>
      </c>
      <c r="AK389" s="7" t="s">
        <v>61</v>
      </c>
      <c r="AL389" s="7" t="s">
        <v>61</v>
      </c>
      <c r="AM389" s="7" t="s">
        <v>0</v>
      </c>
      <c r="AN389" s="7" t="s">
        <v>0</v>
      </c>
      <c r="AO389" s="7" t="s">
        <v>0</v>
      </c>
      <c r="AP389" s="7" t="s">
        <v>0</v>
      </c>
      <c r="AQ389" s="7" t="s">
        <v>61</v>
      </c>
      <c r="AR389" s="7" t="s">
        <v>0</v>
      </c>
      <c r="AS389" s="10" t="str">
        <f>HYPERLINK("https://tessa.gazprom-neft.local/edo/card/20d9350a-85f1-4f44-8880-9601cb606306", "https://tessa.gazprom-neft.local/edo/card/20d9350a-85f1-4f44-8880-9601cb606306")</f>
        <v>https://tessa.gazprom-neft.local/edo/card/20d9350a-85f1-4f44-8880-9601cb606306</v>
      </c>
    </row>
    <row r="390" spans="1:45" x14ac:dyDescent="0.25">
      <c r="A390" s="6" t="s">
        <v>44</v>
      </c>
      <c r="B390" s="7" t="s">
        <v>737</v>
      </c>
      <c r="C390" s="7" t="s">
        <v>67</v>
      </c>
      <c r="D390" s="8">
        <v>45413</v>
      </c>
      <c r="E390" s="8" t="s">
        <v>0</v>
      </c>
      <c r="F390" s="16" t="s">
        <v>738</v>
      </c>
      <c r="G390" s="7" t="s">
        <v>739</v>
      </c>
      <c r="H390" s="7" t="s">
        <v>1973</v>
      </c>
      <c r="I390" s="7" t="s">
        <v>0</v>
      </c>
      <c r="J390" s="7" t="s">
        <v>51</v>
      </c>
      <c r="K390" s="7" t="s">
        <v>47</v>
      </c>
      <c r="L390" s="7" t="s">
        <v>48</v>
      </c>
      <c r="M390" s="7" t="s">
        <v>0</v>
      </c>
      <c r="N390" s="7" t="s">
        <v>4204</v>
      </c>
      <c r="O390" s="7" t="s">
        <v>4205</v>
      </c>
      <c r="P390" s="7" t="s">
        <v>4206</v>
      </c>
      <c r="Q390" s="7" t="s">
        <v>4207</v>
      </c>
      <c r="R390" s="7" t="s">
        <v>1924</v>
      </c>
      <c r="S390" s="7" t="s">
        <v>1924</v>
      </c>
      <c r="T390" s="7" t="s">
        <v>54</v>
      </c>
      <c r="U390" s="7" t="s">
        <v>73</v>
      </c>
      <c r="V390" s="7" t="s">
        <v>56</v>
      </c>
      <c r="W390" s="7" t="s">
        <v>57</v>
      </c>
      <c r="X390" s="7" t="s">
        <v>103</v>
      </c>
      <c r="Y390" s="8">
        <v>45413</v>
      </c>
      <c r="Z390" s="8">
        <v>45651</v>
      </c>
      <c r="AA390" s="7" t="s">
        <v>59</v>
      </c>
      <c r="AB390" s="7" t="s">
        <v>130</v>
      </c>
      <c r="AC390" s="7" t="s">
        <v>79</v>
      </c>
      <c r="AD390" s="7" t="s">
        <v>144</v>
      </c>
      <c r="AE390" s="7" t="s">
        <v>82</v>
      </c>
      <c r="AF390" s="7" t="s">
        <v>0</v>
      </c>
      <c r="AG390" s="7" t="s">
        <v>0</v>
      </c>
      <c r="AH390" s="9" t="s">
        <v>11965</v>
      </c>
      <c r="AI390" s="9" t="s">
        <v>11966</v>
      </c>
      <c r="AJ390" s="9" t="s">
        <v>11967</v>
      </c>
      <c r="AK390" s="7" t="s">
        <v>61</v>
      </c>
      <c r="AL390" s="7" t="s">
        <v>61</v>
      </c>
      <c r="AM390" s="7" t="s">
        <v>0</v>
      </c>
      <c r="AN390" s="7" t="s">
        <v>0</v>
      </c>
      <c r="AO390" s="7" t="s">
        <v>0</v>
      </c>
      <c r="AP390" s="7" t="s">
        <v>0</v>
      </c>
      <c r="AQ390" s="7" t="s">
        <v>61</v>
      </c>
      <c r="AR390" s="7" t="s">
        <v>0</v>
      </c>
      <c r="AS390" s="10" t="str">
        <f>HYPERLINK("https://tessa.gazprom-neft.local/edo/card/00c60125-fa96-4035-acab-a10ec7ee1082", "https://tessa.gazprom-neft.local/edo/card/00c60125-fa96-4035-acab-a10ec7ee1082")</f>
        <v>https://tessa.gazprom-neft.local/edo/card/00c60125-fa96-4035-acab-a10ec7ee1082</v>
      </c>
    </row>
    <row r="391" spans="1:45" x14ac:dyDescent="0.25">
      <c r="A391" s="6" t="s">
        <v>44</v>
      </c>
      <c r="B391" s="7" t="s">
        <v>2001</v>
      </c>
      <c r="C391" s="7" t="s">
        <v>67</v>
      </c>
      <c r="D391" s="8">
        <v>45412</v>
      </c>
      <c r="E391" s="8">
        <v>45489</v>
      </c>
      <c r="F391" s="16" t="s">
        <v>2002</v>
      </c>
      <c r="G391" s="7" t="s">
        <v>2003</v>
      </c>
      <c r="H391" s="7" t="s">
        <v>3898</v>
      </c>
      <c r="I391" s="7" t="s">
        <v>0</v>
      </c>
      <c r="J391" s="7" t="s">
        <v>51</v>
      </c>
      <c r="K391" s="7" t="s">
        <v>85</v>
      </c>
      <c r="L391" s="7" t="s">
        <v>48</v>
      </c>
      <c r="M391" s="7" t="s">
        <v>1183</v>
      </c>
      <c r="N391" s="7" t="s">
        <v>3897</v>
      </c>
      <c r="O391" s="7" t="s">
        <v>0</v>
      </c>
      <c r="P391" s="7" t="s">
        <v>3899</v>
      </c>
      <c r="Q391" s="7" t="s">
        <v>3489</v>
      </c>
      <c r="R391" s="7" t="s">
        <v>393</v>
      </c>
      <c r="S391" s="7" t="s">
        <v>1503</v>
      </c>
      <c r="T391" s="7" t="s">
        <v>54</v>
      </c>
      <c r="U391" s="7" t="s">
        <v>283</v>
      </c>
      <c r="V391" s="7" t="s">
        <v>168</v>
      </c>
      <c r="W391" s="7" t="s">
        <v>74</v>
      </c>
      <c r="X391" s="7" t="s">
        <v>58</v>
      </c>
      <c r="Y391" s="8">
        <v>45412</v>
      </c>
      <c r="Z391" s="8" t="s">
        <v>0</v>
      </c>
      <c r="AA391" s="7" t="s">
        <v>169</v>
      </c>
      <c r="AB391" s="7" t="s">
        <v>228</v>
      </c>
      <c r="AC391" s="7" t="s">
        <v>65</v>
      </c>
      <c r="AD391" s="7" t="s">
        <v>0</v>
      </c>
      <c r="AE391" s="7" t="s">
        <v>0</v>
      </c>
      <c r="AF391" s="7" t="s">
        <v>0</v>
      </c>
      <c r="AG391" s="7" t="s">
        <v>0</v>
      </c>
      <c r="AH391" s="9" t="s">
        <v>0</v>
      </c>
      <c r="AI391" s="9" t="s">
        <v>0</v>
      </c>
      <c r="AJ391" s="9" t="s">
        <v>0</v>
      </c>
      <c r="AK391" s="7" t="s">
        <v>61</v>
      </c>
      <c r="AL391" s="7" t="s">
        <v>61</v>
      </c>
      <c r="AM391" s="7" t="s">
        <v>0</v>
      </c>
      <c r="AN391" s="7" t="s">
        <v>0</v>
      </c>
      <c r="AO391" s="7" t="s">
        <v>0</v>
      </c>
      <c r="AP391" s="7" t="s">
        <v>0</v>
      </c>
      <c r="AQ391" s="7" t="s">
        <v>61</v>
      </c>
      <c r="AR391" s="7" t="s">
        <v>0</v>
      </c>
      <c r="AS391" s="10" t="str">
        <f>HYPERLINK("https://tessa.gazprom-neft.local/edo/card/8b5ecd4b-7030-4c5d-a942-b32e7ef5f15a", "https://tessa.gazprom-neft.local/edo/card/8b5ecd4b-7030-4c5d-a942-b32e7ef5f15a")</f>
        <v>https://tessa.gazprom-neft.local/edo/card/8b5ecd4b-7030-4c5d-a942-b32e7ef5f15a</v>
      </c>
    </row>
    <row r="392" spans="1:45" hidden="1" x14ac:dyDescent="0.25">
      <c r="A392" s="6" t="s">
        <v>44</v>
      </c>
      <c r="B392" s="7" t="s">
        <v>715</v>
      </c>
      <c r="C392" s="7" t="s">
        <v>67</v>
      </c>
      <c r="D392" s="8">
        <v>45412</v>
      </c>
      <c r="E392" s="8" t="s">
        <v>0</v>
      </c>
      <c r="F392" s="16" t="s">
        <v>716</v>
      </c>
      <c r="G392" s="7" t="s">
        <v>717</v>
      </c>
      <c r="H392" s="7" t="s">
        <v>710</v>
      </c>
      <c r="I392" s="7" t="s">
        <v>0</v>
      </c>
      <c r="J392" s="7" t="s">
        <v>51</v>
      </c>
      <c r="K392" s="7" t="s">
        <v>47</v>
      </c>
      <c r="L392" s="7" t="s">
        <v>389</v>
      </c>
      <c r="M392" s="7" t="s">
        <v>0</v>
      </c>
      <c r="N392" s="7" t="s">
        <v>3909</v>
      </c>
      <c r="O392" s="7" t="s">
        <v>70</v>
      </c>
      <c r="P392" s="7" t="s">
        <v>3910</v>
      </c>
      <c r="Q392" s="7" t="s">
        <v>3911</v>
      </c>
      <c r="R392" s="7" t="s">
        <v>714</v>
      </c>
      <c r="S392" s="7" t="s">
        <v>714</v>
      </c>
      <c r="T392" s="7" t="s">
        <v>54</v>
      </c>
      <c r="U392" s="7" t="s">
        <v>101</v>
      </c>
      <c r="V392" s="7" t="s">
        <v>308</v>
      </c>
      <c r="W392" s="7" t="s">
        <v>57</v>
      </c>
      <c r="X392" s="7" t="s">
        <v>103</v>
      </c>
      <c r="Y392" s="8">
        <v>45279</v>
      </c>
      <c r="Z392" s="8">
        <v>45442</v>
      </c>
      <c r="AA392" s="7" t="s">
        <v>309</v>
      </c>
      <c r="AB392" s="7" t="s">
        <v>64</v>
      </c>
      <c r="AC392" s="7" t="s">
        <v>79</v>
      </c>
      <c r="AD392" s="7" t="s">
        <v>144</v>
      </c>
      <c r="AE392" s="7" t="s">
        <v>82</v>
      </c>
      <c r="AF392" s="7" t="s">
        <v>0</v>
      </c>
      <c r="AG392" s="7" t="s">
        <v>0</v>
      </c>
      <c r="AH392" s="9" t="s">
        <v>11859</v>
      </c>
      <c r="AI392" s="9" t="s">
        <v>11860</v>
      </c>
      <c r="AJ392" s="9" t="s">
        <v>11861</v>
      </c>
      <c r="AK392" s="7" t="s">
        <v>61</v>
      </c>
      <c r="AL392" s="7" t="s">
        <v>61</v>
      </c>
      <c r="AM392" s="7" t="s">
        <v>0</v>
      </c>
      <c r="AN392" s="7" t="s">
        <v>0</v>
      </c>
      <c r="AO392" s="7" t="s">
        <v>0</v>
      </c>
      <c r="AP392" s="7" t="s">
        <v>0</v>
      </c>
      <c r="AQ392" s="7" t="s">
        <v>61</v>
      </c>
      <c r="AR392" s="7" t="s">
        <v>0</v>
      </c>
      <c r="AS392" s="10" t="str">
        <f>HYPERLINK("https://tessa.gazprom-neft.local/edo/card/f9fd0718-ce30-4efc-9163-f4df839bc4d1", "https://tessa.gazprom-neft.local/edo/card/f9fd0718-ce30-4efc-9163-f4df839bc4d1")</f>
        <v>https://tessa.gazprom-neft.local/edo/card/f9fd0718-ce30-4efc-9163-f4df839bc4d1</v>
      </c>
    </row>
    <row r="393" spans="1:45" x14ac:dyDescent="0.25">
      <c r="A393" s="6" t="s">
        <v>44</v>
      </c>
      <c r="B393" s="7" t="s">
        <v>927</v>
      </c>
      <c r="C393" s="7" t="s">
        <v>67</v>
      </c>
      <c r="D393" s="8">
        <v>45412</v>
      </c>
      <c r="E393" s="8">
        <v>45498</v>
      </c>
      <c r="F393" s="16" t="s">
        <v>928</v>
      </c>
      <c r="G393" s="7" t="s">
        <v>929</v>
      </c>
      <c r="H393" s="7" t="s">
        <v>1644</v>
      </c>
      <c r="I393" s="7" t="s">
        <v>0</v>
      </c>
      <c r="J393" s="7" t="s">
        <v>271</v>
      </c>
      <c r="K393" s="7" t="s">
        <v>85</v>
      </c>
      <c r="L393" s="7" t="s">
        <v>48</v>
      </c>
      <c r="M393" s="7" t="s">
        <v>1183</v>
      </c>
      <c r="N393" s="7" t="s">
        <v>3920</v>
      </c>
      <c r="O393" s="7" t="s">
        <v>0</v>
      </c>
      <c r="P393" s="7" t="s">
        <v>3921</v>
      </c>
      <c r="Q393" s="7" t="s">
        <v>3489</v>
      </c>
      <c r="R393" s="7" t="s">
        <v>393</v>
      </c>
      <c r="S393" s="7" t="s">
        <v>209</v>
      </c>
      <c r="T393" s="7" t="s">
        <v>54</v>
      </c>
      <c r="U393" s="7" t="s">
        <v>283</v>
      </c>
      <c r="V393" s="7" t="s">
        <v>308</v>
      </c>
      <c r="W393" s="7" t="s">
        <v>74</v>
      </c>
      <c r="X393" s="7" t="s">
        <v>58</v>
      </c>
      <c r="Y393" s="8">
        <v>45412</v>
      </c>
      <c r="Z393" s="8" t="s">
        <v>0</v>
      </c>
      <c r="AA393" s="7" t="s">
        <v>309</v>
      </c>
      <c r="AB393" s="7" t="s">
        <v>228</v>
      </c>
      <c r="AC393" s="7" t="s">
        <v>65</v>
      </c>
      <c r="AD393" s="7" t="s">
        <v>0</v>
      </c>
      <c r="AE393" s="7" t="s">
        <v>0</v>
      </c>
      <c r="AF393" s="7" t="s">
        <v>0</v>
      </c>
      <c r="AG393" s="7" t="s">
        <v>0</v>
      </c>
      <c r="AH393" s="9" t="s">
        <v>0</v>
      </c>
      <c r="AI393" s="9" t="s">
        <v>0</v>
      </c>
      <c r="AJ393" s="9" t="s">
        <v>0</v>
      </c>
      <c r="AK393" s="7" t="s">
        <v>61</v>
      </c>
      <c r="AL393" s="7" t="s">
        <v>61</v>
      </c>
      <c r="AM393" s="7" t="s">
        <v>0</v>
      </c>
      <c r="AN393" s="7" t="s">
        <v>0</v>
      </c>
      <c r="AO393" s="7" t="s">
        <v>0</v>
      </c>
      <c r="AP393" s="7" t="s">
        <v>0</v>
      </c>
      <c r="AQ393" s="7" t="s">
        <v>61</v>
      </c>
      <c r="AR393" s="7" t="s">
        <v>0</v>
      </c>
      <c r="AS393" s="10" t="str">
        <f>HYPERLINK("https://tessa.gazprom-neft.local/edo/card/8526e6cb-f873-4a34-a73a-3bd40ae88116", "https://tessa.gazprom-neft.local/edo/card/8526e6cb-f873-4a34-a73a-3bd40ae88116")</f>
        <v>https://tessa.gazprom-neft.local/edo/card/8526e6cb-f873-4a34-a73a-3bd40ae88116</v>
      </c>
    </row>
    <row r="394" spans="1:45" x14ac:dyDescent="0.25">
      <c r="A394" s="6" t="s">
        <v>44</v>
      </c>
      <c r="B394" s="7" t="s">
        <v>927</v>
      </c>
      <c r="C394" s="7" t="s">
        <v>67</v>
      </c>
      <c r="D394" s="8">
        <v>45412</v>
      </c>
      <c r="E394" s="8">
        <v>45462</v>
      </c>
      <c r="F394" s="16" t="s">
        <v>928</v>
      </c>
      <c r="G394" s="7" t="s">
        <v>929</v>
      </c>
      <c r="H394" s="7" t="s">
        <v>924</v>
      </c>
      <c r="I394" s="7" t="s">
        <v>0</v>
      </c>
      <c r="J394" s="7" t="s">
        <v>271</v>
      </c>
      <c r="K394" s="7" t="s">
        <v>85</v>
      </c>
      <c r="L394" s="7" t="s">
        <v>48</v>
      </c>
      <c r="M394" s="7" t="s">
        <v>2373</v>
      </c>
      <c r="N394" s="7" t="s">
        <v>3932</v>
      </c>
      <c r="O394" s="7" t="s">
        <v>0</v>
      </c>
      <c r="P394" s="7" t="s">
        <v>3933</v>
      </c>
      <c r="Q394" s="7" t="s">
        <v>3105</v>
      </c>
      <c r="R394" s="7" t="s">
        <v>393</v>
      </c>
      <c r="S394" s="7" t="s">
        <v>209</v>
      </c>
      <c r="T394" s="7" t="s">
        <v>54</v>
      </c>
      <c r="U394" s="7" t="s">
        <v>210</v>
      </c>
      <c r="V394" s="7" t="s">
        <v>126</v>
      </c>
      <c r="W394" s="7" t="s">
        <v>74</v>
      </c>
      <c r="X394" s="7" t="s">
        <v>58</v>
      </c>
      <c r="Y394" s="8">
        <v>45412</v>
      </c>
      <c r="Z394" s="8" t="s">
        <v>0</v>
      </c>
      <c r="AA394" s="7" t="s">
        <v>200</v>
      </c>
      <c r="AB394" s="7" t="s">
        <v>130</v>
      </c>
      <c r="AC394" s="7" t="s">
        <v>65</v>
      </c>
      <c r="AD394" s="7" t="s">
        <v>0</v>
      </c>
      <c r="AE394" s="7" t="s">
        <v>0</v>
      </c>
      <c r="AF394" s="7" t="s">
        <v>0</v>
      </c>
      <c r="AG394" s="7" t="s">
        <v>0</v>
      </c>
      <c r="AH394" s="9" t="s">
        <v>0</v>
      </c>
      <c r="AI394" s="9" t="s">
        <v>0</v>
      </c>
      <c r="AJ394" s="9" t="s">
        <v>0</v>
      </c>
      <c r="AK394" s="7" t="s">
        <v>61</v>
      </c>
      <c r="AL394" s="7" t="s">
        <v>61</v>
      </c>
      <c r="AM394" s="7" t="s">
        <v>0</v>
      </c>
      <c r="AN394" s="7" t="s">
        <v>0</v>
      </c>
      <c r="AO394" s="7" t="s">
        <v>0</v>
      </c>
      <c r="AP394" s="7" t="s">
        <v>0</v>
      </c>
      <c r="AQ394" s="7" t="s">
        <v>61</v>
      </c>
      <c r="AR394" s="7" t="s">
        <v>0</v>
      </c>
      <c r="AS394" s="10" t="str">
        <f>HYPERLINK("https://tessa.gazprom-neft.local/edo/card/a7676a11-6901-4cad-bec7-7b201d150c65", "https://tessa.gazprom-neft.local/edo/card/a7676a11-6901-4cad-bec7-7b201d150c65")</f>
        <v>https://tessa.gazprom-neft.local/edo/card/a7676a11-6901-4cad-bec7-7b201d150c65</v>
      </c>
    </row>
    <row r="395" spans="1:45" x14ac:dyDescent="0.25">
      <c r="A395" s="6" t="s">
        <v>44</v>
      </c>
      <c r="B395" s="7" t="s">
        <v>927</v>
      </c>
      <c r="C395" s="7" t="s">
        <v>67</v>
      </c>
      <c r="D395" s="8">
        <v>45412</v>
      </c>
      <c r="E395" s="8">
        <v>45495</v>
      </c>
      <c r="F395" s="16" t="s">
        <v>928</v>
      </c>
      <c r="G395" s="7" t="s">
        <v>929</v>
      </c>
      <c r="H395" s="7" t="s">
        <v>1052</v>
      </c>
      <c r="I395" s="7" t="s">
        <v>0</v>
      </c>
      <c r="J395" s="7" t="s">
        <v>271</v>
      </c>
      <c r="K395" s="7" t="s">
        <v>85</v>
      </c>
      <c r="L395" s="7" t="s">
        <v>48</v>
      </c>
      <c r="M395" s="7" t="s">
        <v>2373</v>
      </c>
      <c r="N395" s="7" t="s">
        <v>3977</v>
      </c>
      <c r="O395" s="7" t="s">
        <v>0</v>
      </c>
      <c r="P395" s="7" t="s">
        <v>3978</v>
      </c>
      <c r="Q395" s="7" t="s">
        <v>3105</v>
      </c>
      <c r="R395" s="7" t="s">
        <v>393</v>
      </c>
      <c r="S395" s="7" t="s">
        <v>209</v>
      </c>
      <c r="T395" s="7" t="s">
        <v>54</v>
      </c>
      <c r="U395" s="7" t="s">
        <v>210</v>
      </c>
      <c r="V395" s="7" t="s">
        <v>126</v>
      </c>
      <c r="W395" s="7" t="s">
        <v>74</v>
      </c>
      <c r="X395" s="7" t="s">
        <v>58</v>
      </c>
      <c r="Y395" s="8">
        <v>45412</v>
      </c>
      <c r="Z395" s="8" t="s">
        <v>0</v>
      </c>
      <c r="AA395" s="7" t="s">
        <v>200</v>
      </c>
      <c r="AB395" s="7" t="s">
        <v>130</v>
      </c>
      <c r="AC395" s="7" t="s">
        <v>65</v>
      </c>
      <c r="AD395" s="7" t="s">
        <v>0</v>
      </c>
      <c r="AE395" s="7" t="s">
        <v>0</v>
      </c>
      <c r="AF395" s="7" t="s">
        <v>0</v>
      </c>
      <c r="AG395" s="7" t="s">
        <v>0</v>
      </c>
      <c r="AH395" s="9" t="s">
        <v>0</v>
      </c>
      <c r="AI395" s="9" t="s">
        <v>0</v>
      </c>
      <c r="AJ395" s="9" t="s">
        <v>0</v>
      </c>
      <c r="AK395" s="7" t="s">
        <v>61</v>
      </c>
      <c r="AL395" s="7" t="s">
        <v>61</v>
      </c>
      <c r="AM395" s="7" t="s">
        <v>0</v>
      </c>
      <c r="AN395" s="7" t="s">
        <v>0</v>
      </c>
      <c r="AO395" s="7" t="s">
        <v>0</v>
      </c>
      <c r="AP395" s="7" t="s">
        <v>0</v>
      </c>
      <c r="AQ395" s="7" t="s">
        <v>61</v>
      </c>
      <c r="AR395" s="7" t="s">
        <v>0</v>
      </c>
      <c r="AS395" s="10" t="str">
        <f>HYPERLINK("https://tessa.gazprom-neft.local/edo/card/7d16bc0f-6155-4de6-ae6f-0136d2135dbc", "https://tessa.gazprom-neft.local/edo/card/7d16bc0f-6155-4de6-ae6f-0136d2135dbc")</f>
        <v>https://tessa.gazprom-neft.local/edo/card/7d16bc0f-6155-4de6-ae6f-0136d2135dbc</v>
      </c>
    </row>
    <row r="396" spans="1:45" hidden="1" x14ac:dyDescent="0.25">
      <c r="A396" s="6" t="s">
        <v>44</v>
      </c>
      <c r="B396" s="7" t="s">
        <v>403</v>
      </c>
      <c r="C396" s="7" t="s">
        <v>67</v>
      </c>
      <c r="D396" s="8">
        <v>45409</v>
      </c>
      <c r="E396" s="8">
        <v>45429</v>
      </c>
      <c r="F396" s="16" t="s">
        <v>404</v>
      </c>
      <c r="G396" s="7" t="s">
        <v>405</v>
      </c>
      <c r="H396" s="7" t="s">
        <v>1805</v>
      </c>
      <c r="I396" s="7" t="s">
        <v>0</v>
      </c>
      <c r="J396" s="7" t="s">
        <v>51</v>
      </c>
      <c r="K396" s="7" t="s">
        <v>47</v>
      </c>
      <c r="L396" s="7" t="s">
        <v>389</v>
      </c>
      <c r="M396" s="7" t="s">
        <v>0</v>
      </c>
      <c r="N396" s="7" t="s">
        <v>3943</v>
      </c>
      <c r="O396" s="7" t="s">
        <v>156</v>
      </c>
      <c r="P396" s="7" t="s">
        <v>3944</v>
      </c>
      <c r="Q396" s="7" t="s">
        <v>3945</v>
      </c>
      <c r="R396" s="7" t="s">
        <v>282</v>
      </c>
      <c r="S396" s="7" t="s">
        <v>0</v>
      </c>
      <c r="T396" s="7" t="s">
        <v>54</v>
      </c>
      <c r="U396" s="7" t="s">
        <v>55</v>
      </c>
      <c r="V396" s="7" t="s">
        <v>56</v>
      </c>
      <c r="W396" s="7" t="s">
        <v>74</v>
      </c>
      <c r="X396" s="7" t="s">
        <v>103</v>
      </c>
      <c r="Y396" s="8">
        <v>45409</v>
      </c>
      <c r="Z396" s="8">
        <v>45657</v>
      </c>
      <c r="AA396" s="7" t="s">
        <v>0</v>
      </c>
      <c r="AB396" s="7" t="s">
        <v>130</v>
      </c>
      <c r="AC396" s="7" t="s">
        <v>65</v>
      </c>
      <c r="AD396" s="7" t="s">
        <v>144</v>
      </c>
      <c r="AE396" s="7" t="s">
        <v>0</v>
      </c>
      <c r="AF396" s="7" t="s">
        <v>0</v>
      </c>
      <c r="AG396" s="7" t="s">
        <v>0</v>
      </c>
      <c r="AH396" s="9" t="s">
        <v>0</v>
      </c>
      <c r="AI396" s="9" t="s">
        <v>0</v>
      </c>
      <c r="AJ396" s="9" t="s">
        <v>0</v>
      </c>
      <c r="AK396" s="7" t="s">
        <v>61</v>
      </c>
      <c r="AL396" s="7" t="s">
        <v>61</v>
      </c>
      <c r="AM396" s="7" t="s">
        <v>0</v>
      </c>
      <c r="AN396" s="7" t="s">
        <v>0</v>
      </c>
      <c r="AO396" s="7" t="s">
        <v>0</v>
      </c>
      <c r="AP396" s="7" t="s">
        <v>0</v>
      </c>
      <c r="AQ396" s="7" t="s">
        <v>61</v>
      </c>
      <c r="AR396" s="7" t="s">
        <v>0</v>
      </c>
      <c r="AS396" s="10" t="str">
        <f>HYPERLINK("https://tessa.gazprom-neft.local/edo/card/0586e96a-f909-4e5d-bdf8-22bf73d3e860", "https://tessa.gazprom-neft.local/edo/card/0586e96a-f909-4e5d-bdf8-22bf73d3e860")</f>
        <v>https://tessa.gazprom-neft.local/edo/card/0586e96a-f909-4e5d-bdf8-22bf73d3e860</v>
      </c>
    </row>
    <row r="397" spans="1:45" x14ac:dyDescent="0.25">
      <c r="A397" s="6" t="s">
        <v>44</v>
      </c>
      <c r="B397" s="7" t="s">
        <v>727</v>
      </c>
      <c r="C397" s="7" t="s">
        <v>67</v>
      </c>
      <c r="D397" s="8">
        <v>45409</v>
      </c>
      <c r="E397" s="8" t="s">
        <v>0</v>
      </c>
      <c r="F397" s="16" t="s">
        <v>728</v>
      </c>
      <c r="G397" s="7" t="s">
        <v>729</v>
      </c>
      <c r="H397" s="7" t="s">
        <v>3968</v>
      </c>
      <c r="I397" s="7" t="s">
        <v>0</v>
      </c>
      <c r="J397" s="7" t="s">
        <v>936</v>
      </c>
      <c r="K397" s="7" t="s">
        <v>47</v>
      </c>
      <c r="L397" s="7" t="s">
        <v>48</v>
      </c>
      <c r="M397" s="7" t="s">
        <v>0</v>
      </c>
      <c r="N397" s="7" t="s">
        <v>3967</v>
      </c>
      <c r="O397" s="7" t="s">
        <v>0</v>
      </c>
      <c r="P397" s="7" t="s">
        <v>3969</v>
      </c>
      <c r="Q397" s="7" t="s">
        <v>3970</v>
      </c>
      <c r="R397" s="7" t="s">
        <v>282</v>
      </c>
      <c r="S397" s="7" t="s">
        <v>0</v>
      </c>
      <c r="T397" s="7" t="s">
        <v>54</v>
      </c>
      <c r="U397" s="7" t="s">
        <v>55</v>
      </c>
      <c r="V397" s="7" t="s">
        <v>56</v>
      </c>
      <c r="W397" s="7" t="s">
        <v>57</v>
      </c>
      <c r="X397" s="7" t="s">
        <v>103</v>
      </c>
      <c r="Y397" s="8">
        <v>45409</v>
      </c>
      <c r="Z397" s="8">
        <v>45657</v>
      </c>
      <c r="AA397" s="7" t="s">
        <v>0</v>
      </c>
      <c r="AB397" s="7" t="s">
        <v>130</v>
      </c>
      <c r="AC397" s="7" t="s">
        <v>65</v>
      </c>
      <c r="AD397" s="7" t="s">
        <v>0</v>
      </c>
      <c r="AE397" s="7" t="s">
        <v>0</v>
      </c>
      <c r="AF397" s="7" t="s">
        <v>0</v>
      </c>
      <c r="AG397" s="7" t="s">
        <v>0</v>
      </c>
      <c r="AH397" s="9" t="s">
        <v>0</v>
      </c>
      <c r="AI397" s="9" t="s">
        <v>0</v>
      </c>
      <c r="AJ397" s="9" t="s">
        <v>0</v>
      </c>
      <c r="AK397" s="7" t="s">
        <v>61</v>
      </c>
      <c r="AL397" s="7" t="s">
        <v>61</v>
      </c>
      <c r="AM397" s="7" t="s">
        <v>0</v>
      </c>
      <c r="AN397" s="7" t="s">
        <v>0</v>
      </c>
      <c r="AO397" s="7" t="s">
        <v>0</v>
      </c>
      <c r="AP397" s="7" t="s">
        <v>0</v>
      </c>
      <c r="AQ397" s="7" t="s">
        <v>61</v>
      </c>
      <c r="AR397" s="7" t="s">
        <v>0</v>
      </c>
      <c r="AS397" s="10" t="str">
        <f>HYPERLINK("https://tessa.gazprom-neft.local/edo/card/6c646cd7-5222-4639-bb82-841d24b9b07f", "https://tessa.gazprom-neft.local/edo/card/6c646cd7-5222-4639-bb82-841d24b9b07f")</f>
        <v>https://tessa.gazprom-neft.local/edo/card/6c646cd7-5222-4639-bb82-841d24b9b07f</v>
      </c>
    </row>
    <row r="398" spans="1:45" hidden="1" x14ac:dyDescent="0.25">
      <c r="A398" s="6" t="s">
        <v>44</v>
      </c>
      <c r="B398" s="7" t="s">
        <v>3616</v>
      </c>
      <c r="C398" s="7" t="s">
        <v>67</v>
      </c>
      <c r="D398" s="8">
        <v>45408</v>
      </c>
      <c r="E398" s="8" t="s">
        <v>0</v>
      </c>
      <c r="F398" s="16" t="s">
        <v>3617</v>
      </c>
      <c r="G398" s="7" t="s">
        <v>3618</v>
      </c>
      <c r="H398" s="7" t="s">
        <v>0</v>
      </c>
      <c r="I398" s="7" t="s">
        <v>3613</v>
      </c>
      <c r="J398" s="7" t="s">
        <v>3613</v>
      </c>
      <c r="K398" s="7" t="s">
        <v>47</v>
      </c>
      <c r="L398" s="7" t="s">
        <v>96</v>
      </c>
      <c r="M398" s="7" t="s">
        <v>0</v>
      </c>
      <c r="N398" s="7" t="s">
        <v>3612</v>
      </c>
      <c r="O398" s="7" t="s">
        <v>0</v>
      </c>
      <c r="P398" s="7" t="s">
        <v>64</v>
      </c>
      <c r="Q398" s="7" t="s">
        <v>3614</v>
      </c>
      <c r="R398" s="7" t="s">
        <v>3615</v>
      </c>
      <c r="S398" s="7" t="s">
        <v>3615</v>
      </c>
      <c r="T398" s="7" t="s">
        <v>54</v>
      </c>
      <c r="U398" s="7" t="s">
        <v>274</v>
      </c>
      <c r="V398" s="7" t="s">
        <v>137</v>
      </c>
      <c r="W398" s="7" t="s">
        <v>57</v>
      </c>
      <c r="X398" s="7" t="s">
        <v>103</v>
      </c>
      <c r="Y398" s="8">
        <v>45408</v>
      </c>
      <c r="Z398" s="8">
        <v>45653</v>
      </c>
      <c r="AA398" s="7" t="s">
        <v>0</v>
      </c>
      <c r="AB398" s="7" t="s">
        <v>192</v>
      </c>
      <c r="AC398" s="7" t="s">
        <v>79</v>
      </c>
      <c r="AD398" s="7" t="s">
        <v>80</v>
      </c>
      <c r="AE398" s="7" t="s">
        <v>193</v>
      </c>
      <c r="AF398" s="7" t="s">
        <v>0</v>
      </c>
      <c r="AG398" s="7" t="s">
        <v>0</v>
      </c>
      <c r="AH398" s="9" t="s">
        <v>11745</v>
      </c>
      <c r="AI398" s="9" t="s">
        <v>11746</v>
      </c>
      <c r="AJ398" s="9" t="s">
        <v>11747</v>
      </c>
      <c r="AK398" s="7" t="s">
        <v>61</v>
      </c>
      <c r="AL398" s="7" t="s">
        <v>61</v>
      </c>
      <c r="AM398" s="7" t="s">
        <v>0</v>
      </c>
      <c r="AN398" s="7" t="s">
        <v>0</v>
      </c>
      <c r="AO398" s="7" t="s">
        <v>0</v>
      </c>
      <c r="AP398" s="7" t="s">
        <v>0</v>
      </c>
      <c r="AQ398" s="7" t="s">
        <v>61</v>
      </c>
      <c r="AR398" s="7" t="s">
        <v>0</v>
      </c>
      <c r="AS398" s="10" t="str">
        <f>HYPERLINK("https://tessa.gazprom-neft.local/edo/card/d7d45e16-5ead-4259-9bba-9f4acb018cfc", "https://tessa.gazprom-neft.local/edo/card/d7d45e16-5ead-4259-9bba-9f4acb018cfc")</f>
        <v>https://tessa.gazprom-neft.local/edo/card/d7d45e16-5ead-4259-9bba-9f4acb018cfc</v>
      </c>
    </row>
    <row r="399" spans="1:45" hidden="1" x14ac:dyDescent="0.25">
      <c r="A399" s="6" t="s">
        <v>44</v>
      </c>
      <c r="B399" s="7" t="s">
        <v>786</v>
      </c>
      <c r="C399" s="7" t="s">
        <v>67</v>
      </c>
      <c r="D399" s="8">
        <v>45408</v>
      </c>
      <c r="E399" s="8">
        <v>45468</v>
      </c>
      <c r="F399" s="16" t="s">
        <v>787</v>
      </c>
      <c r="G399" s="7" t="s">
        <v>788</v>
      </c>
      <c r="H399" s="7" t="s">
        <v>0</v>
      </c>
      <c r="I399" s="7" t="s">
        <v>3651</v>
      </c>
      <c r="J399" s="7" t="s">
        <v>3651</v>
      </c>
      <c r="K399" s="7" t="s">
        <v>85</v>
      </c>
      <c r="L399" s="7" t="s">
        <v>96</v>
      </c>
      <c r="M399" s="7" t="s">
        <v>398</v>
      </c>
      <c r="N399" s="7" t="s">
        <v>3650</v>
      </c>
      <c r="O399" s="7" t="s">
        <v>0</v>
      </c>
      <c r="P399" s="7" t="s">
        <v>3380</v>
      </c>
      <c r="Q399" s="7" t="s">
        <v>402</v>
      </c>
      <c r="R399" s="7" t="s">
        <v>361</v>
      </c>
      <c r="S399" s="7" t="s">
        <v>361</v>
      </c>
      <c r="T399" s="7" t="s">
        <v>54</v>
      </c>
      <c r="U399" s="7" t="s">
        <v>362</v>
      </c>
      <c r="V399" s="7" t="s">
        <v>295</v>
      </c>
      <c r="W399" s="7" t="s">
        <v>74</v>
      </c>
      <c r="X399" s="7" t="s">
        <v>103</v>
      </c>
      <c r="Y399" s="8">
        <v>45408</v>
      </c>
      <c r="Z399" s="8">
        <v>45657</v>
      </c>
      <c r="AA399" s="7" t="s">
        <v>296</v>
      </c>
      <c r="AB399" s="7" t="s">
        <v>366</v>
      </c>
      <c r="AC399" s="7" t="s">
        <v>278</v>
      </c>
      <c r="AD399" s="7" t="s">
        <v>367</v>
      </c>
      <c r="AE399" s="7" t="s">
        <v>82</v>
      </c>
      <c r="AF399" s="7" t="s">
        <v>0</v>
      </c>
      <c r="AG399" s="7" t="s">
        <v>0</v>
      </c>
      <c r="AH399" s="9" t="s">
        <v>11763</v>
      </c>
      <c r="AI399" s="9" t="s">
        <v>11764</v>
      </c>
      <c r="AJ399" s="9" t="s">
        <v>11765</v>
      </c>
      <c r="AK399" s="7" t="s">
        <v>61</v>
      </c>
      <c r="AL399" s="7" t="s">
        <v>61</v>
      </c>
      <c r="AM399" s="7" t="s">
        <v>0</v>
      </c>
      <c r="AN399" s="7" t="s">
        <v>0</v>
      </c>
      <c r="AO399" s="7" t="s">
        <v>0</v>
      </c>
      <c r="AP399" s="7" t="s">
        <v>0</v>
      </c>
      <c r="AQ399" s="7" t="s">
        <v>61</v>
      </c>
      <c r="AR399" s="7" t="s">
        <v>0</v>
      </c>
      <c r="AS399" s="10" t="str">
        <f>HYPERLINK("https://tessa.gazprom-neft.local/edo/card/ca21958e-5529-4ac6-bbb9-31ed2940618e", "https://tessa.gazprom-neft.local/edo/card/ca21958e-5529-4ac6-bbb9-31ed2940618e")</f>
        <v>https://tessa.gazprom-neft.local/edo/card/ca21958e-5529-4ac6-bbb9-31ed2940618e</v>
      </c>
    </row>
    <row r="400" spans="1:45" hidden="1" x14ac:dyDescent="0.25">
      <c r="A400" s="6" t="s">
        <v>44</v>
      </c>
      <c r="B400" s="7" t="s">
        <v>715</v>
      </c>
      <c r="C400" s="7" t="s">
        <v>67</v>
      </c>
      <c r="D400" s="8">
        <v>45408</v>
      </c>
      <c r="E400" s="8" t="s">
        <v>0</v>
      </c>
      <c r="F400" s="16" t="s">
        <v>716</v>
      </c>
      <c r="G400" s="7" t="s">
        <v>717</v>
      </c>
      <c r="H400" s="7" t="s">
        <v>710</v>
      </c>
      <c r="I400" s="7" t="s">
        <v>0</v>
      </c>
      <c r="J400" s="7" t="s">
        <v>657</v>
      </c>
      <c r="K400" s="7" t="s">
        <v>47</v>
      </c>
      <c r="L400" s="7" t="s">
        <v>239</v>
      </c>
      <c r="M400" s="7" t="s">
        <v>0</v>
      </c>
      <c r="N400" s="7" t="s">
        <v>3667</v>
      </c>
      <c r="O400" s="7" t="s">
        <v>0</v>
      </c>
      <c r="P400" s="7" t="s">
        <v>3668</v>
      </c>
      <c r="Q400" s="7" t="s">
        <v>3669</v>
      </c>
      <c r="R400" s="7" t="s">
        <v>714</v>
      </c>
      <c r="S400" s="7" t="s">
        <v>714</v>
      </c>
      <c r="T400" s="7" t="s">
        <v>54</v>
      </c>
      <c r="U400" s="7" t="s">
        <v>101</v>
      </c>
      <c r="V400" s="7" t="s">
        <v>308</v>
      </c>
      <c r="W400" s="7" t="s">
        <v>74</v>
      </c>
      <c r="X400" s="7" t="s">
        <v>103</v>
      </c>
      <c r="Y400" s="8">
        <v>45427</v>
      </c>
      <c r="Z400" s="8">
        <v>45580</v>
      </c>
      <c r="AA400" s="7" t="s">
        <v>309</v>
      </c>
      <c r="AB400" s="7" t="s">
        <v>64</v>
      </c>
      <c r="AC400" s="7" t="s">
        <v>79</v>
      </c>
      <c r="AD400" s="7" t="s">
        <v>144</v>
      </c>
      <c r="AE400" s="7" t="s">
        <v>82</v>
      </c>
      <c r="AF400" s="7" t="s">
        <v>0</v>
      </c>
      <c r="AG400" s="7" t="s">
        <v>0</v>
      </c>
      <c r="AH400" s="9" t="s">
        <v>11772</v>
      </c>
      <c r="AI400" s="9" t="s">
        <v>11773</v>
      </c>
      <c r="AJ400" s="9" t="s">
        <v>11774</v>
      </c>
      <c r="AK400" s="7" t="s">
        <v>61</v>
      </c>
      <c r="AL400" s="7" t="s">
        <v>61</v>
      </c>
      <c r="AM400" s="7" t="s">
        <v>0</v>
      </c>
      <c r="AN400" s="7" t="s">
        <v>0</v>
      </c>
      <c r="AO400" s="7" t="s">
        <v>0</v>
      </c>
      <c r="AP400" s="7" t="s">
        <v>0</v>
      </c>
      <c r="AQ400" s="7" t="s">
        <v>61</v>
      </c>
      <c r="AR400" s="7" t="s">
        <v>0</v>
      </c>
      <c r="AS400" s="10" t="str">
        <f>HYPERLINK("https://tessa.gazprom-neft.local/edo/card/6c434b1b-7688-4fdf-87e7-accc146580d0", "https://tessa.gazprom-neft.local/edo/card/6c434b1b-7688-4fdf-87e7-accc146580d0")</f>
        <v>https://tessa.gazprom-neft.local/edo/card/6c434b1b-7688-4fdf-87e7-accc146580d0</v>
      </c>
    </row>
    <row r="401" spans="1:45" x14ac:dyDescent="0.25">
      <c r="A401" s="6" t="s">
        <v>44</v>
      </c>
      <c r="B401" s="7" t="s">
        <v>687</v>
      </c>
      <c r="C401" s="7" t="s">
        <v>2030</v>
      </c>
      <c r="D401" s="8">
        <v>45408</v>
      </c>
      <c r="E401" s="8" t="s">
        <v>0</v>
      </c>
      <c r="F401" s="16" t="s">
        <v>688</v>
      </c>
      <c r="G401" s="7" t="s">
        <v>689</v>
      </c>
      <c r="H401" s="7" t="s">
        <v>684</v>
      </c>
      <c r="I401" s="7" t="s">
        <v>0</v>
      </c>
      <c r="J401" s="7" t="s">
        <v>872</v>
      </c>
      <c r="K401" s="7" t="s">
        <v>85</v>
      </c>
      <c r="L401" s="7" t="s">
        <v>48</v>
      </c>
      <c r="M401" s="7" t="s">
        <v>2373</v>
      </c>
      <c r="N401" s="7" t="s">
        <v>3684</v>
      </c>
      <c r="O401" s="7" t="s">
        <v>0</v>
      </c>
      <c r="P401" s="7" t="s">
        <v>2373</v>
      </c>
      <c r="Q401" s="7" t="s">
        <v>2465</v>
      </c>
      <c r="R401" s="7" t="s">
        <v>124</v>
      </c>
      <c r="S401" s="7" t="s">
        <v>0</v>
      </c>
      <c r="T401" s="7" t="s">
        <v>54</v>
      </c>
      <c r="U401" s="7" t="s">
        <v>125</v>
      </c>
      <c r="V401" s="7" t="s">
        <v>126</v>
      </c>
      <c r="W401" s="7" t="s">
        <v>74</v>
      </c>
      <c r="X401" s="7" t="s">
        <v>58</v>
      </c>
      <c r="Y401" s="8">
        <v>45408</v>
      </c>
      <c r="Z401" s="8" t="s">
        <v>0</v>
      </c>
      <c r="AA401" s="7" t="s">
        <v>200</v>
      </c>
      <c r="AB401" s="7" t="s">
        <v>690</v>
      </c>
      <c r="AC401" s="7" t="s">
        <v>65</v>
      </c>
      <c r="AD401" s="7" t="s">
        <v>0</v>
      </c>
      <c r="AE401" s="7" t="s">
        <v>0</v>
      </c>
      <c r="AF401" s="7" t="s">
        <v>0</v>
      </c>
      <c r="AG401" s="7" t="s">
        <v>0</v>
      </c>
      <c r="AH401" s="9" t="s">
        <v>0</v>
      </c>
      <c r="AI401" s="9" t="s">
        <v>0</v>
      </c>
      <c r="AJ401" s="9" t="s">
        <v>0</v>
      </c>
      <c r="AK401" s="7" t="s">
        <v>61</v>
      </c>
      <c r="AL401" s="7" t="s">
        <v>61</v>
      </c>
      <c r="AM401" s="7" t="s">
        <v>0</v>
      </c>
      <c r="AN401" s="7" t="s">
        <v>0</v>
      </c>
      <c r="AO401" s="7" t="s">
        <v>0</v>
      </c>
      <c r="AP401" s="7" t="s">
        <v>0</v>
      </c>
      <c r="AQ401" s="7" t="s">
        <v>61</v>
      </c>
      <c r="AR401" s="7" t="s">
        <v>0</v>
      </c>
      <c r="AS401" s="10" t="str">
        <f>HYPERLINK("https://tessa.gazprom-neft.local/edo/card/6c366325-99cb-41c3-9277-45d2055e8867", "https://tessa.gazprom-neft.local/edo/card/6c366325-99cb-41c3-9277-45d2055e8867")</f>
        <v>https://tessa.gazprom-neft.local/edo/card/6c366325-99cb-41c3-9277-45d2055e8867</v>
      </c>
    </row>
    <row r="402" spans="1:45" x14ac:dyDescent="0.25">
      <c r="A402" s="6" t="s">
        <v>44</v>
      </c>
      <c r="B402" s="7" t="s">
        <v>927</v>
      </c>
      <c r="C402" s="7" t="s">
        <v>2030</v>
      </c>
      <c r="D402" s="8">
        <v>45408</v>
      </c>
      <c r="E402" s="8" t="s">
        <v>0</v>
      </c>
      <c r="F402" s="16" t="s">
        <v>928</v>
      </c>
      <c r="G402" s="7" t="s">
        <v>929</v>
      </c>
      <c r="H402" s="7" t="s">
        <v>3224</v>
      </c>
      <c r="I402" s="7" t="s">
        <v>0</v>
      </c>
      <c r="J402" s="7" t="s">
        <v>955</v>
      </c>
      <c r="K402" s="7" t="s">
        <v>85</v>
      </c>
      <c r="L402" s="7" t="s">
        <v>48</v>
      </c>
      <c r="M402" s="7" t="s">
        <v>2373</v>
      </c>
      <c r="N402" s="7" t="s">
        <v>3689</v>
      </c>
      <c r="O402" s="7" t="s">
        <v>0</v>
      </c>
      <c r="P402" s="7" t="s">
        <v>2373</v>
      </c>
      <c r="Q402" s="7" t="s">
        <v>2465</v>
      </c>
      <c r="R402" s="7" t="s">
        <v>124</v>
      </c>
      <c r="S402" s="7" t="s">
        <v>0</v>
      </c>
      <c r="T402" s="7" t="s">
        <v>54</v>
      </c>
      <c r="U402" s="7" t="s">
        <v>125</v>
      </c>
      <c r="V402" s="7" t="s">
        <v>126</v>
      </c>
      <c r="W402" s="7" t="s">
        <v>74</v>
      </c>
      <c r="X402" s="7" t="s">
        <v>58</v>
      </c>
      <c r="Y402" s="8">
        <v>45408</v>
      </c>
      <c r="Z402" s="8" t="s">
        <v>0</v>
      </c>
      <c r="AA402" s="7" t="s">
        <v>200</v>
      </c>
      <c r="AB402" s="7" t="s">
        <v>3227</v>
      </c>
      <c r="AC402" s="7" t="s">
        <v>65</v>
      </c>
      <c r="AD402" s="7" t="s">
        <v>0</v>
      </c>
      <c r="AE402" s="7" t="s">
        <v>0</v>
      </c>
      <c r="AF402" s="7" t="s">
        <v>0</v>
      </c>
      <c r="AG402" s="7" t="s">
        <v>0</v>
      </c>
      <c r="AH402" s="9" t="s">
        <v>0</v>
      </c>
      <c r="AI402" s="9" t="s">
        <v>0</v>
      </c>
      <c r="AJ402" s="9" t="s">
        <v>0</v>
      </c>
      <c r="AK402" s="7" t="s">
        <v>61</v>
      </c>
      <c r="AL402" s="7" t="s">
        <v>61</v>
      </c>
      <c r="AM402" s="7" t="s">
        <v>0</v>
      </c>
      <c r="AN402" s="7" t="s">
        <v>0</v>
      </c>
      <c r="AO402" s="7" t="s">
        <v>0</v>
      </c>
      <c r="AP402" s="7" t="s">
        <v>0</v>
      </c>
      <c r="AQ402" s="7" t="s">
        <v>61</v>
      </c>
      <c r="AR402" s="7" t="s">
        <v>0</v>
      </c>
      <c r="AS402" s="10" t="str">
        <f>HYPERLINK("https://tessa.gazprom-neft.local/edo/card/98239bec-de7f-4969-93e1-44eb0128e07f", "https://tessa.gazprom-neft.local/edo/card/98239bec-de7f-4969-93e1-44eb0128e07f")</f>
        <v>https://tessa.gazprom-neft.local/edo/card/98239bec-de7f-4969-93e1-44eb0128e07f</v>
      </c>
    </row>
    <row r="403" spans="1:45" x14ac:dyDescent="0.25">
      <c r="A403" s="6" t="s">
        <v>44</v>
      </c>
      <c r="B403" s="7" t="s">
        <v>265</v>
      </c>
      <c r="C403" s="7" t="s">
        <v>67</v>
      </c>
      <c r="D403" s="8">
        <v>45408</v>
      </c>
      <c r="E403" s="8">
        <v>45433</v>
      </c>
      <c r="F403" s="16" t="s">
        <v>266</v>
      </c>
      <c r="G403" s="7" t="s">
        <v>267</v>
      </c>
      <c r="H403" s="7" t="s">
        <v>261</v>
      </c>
      <c r="I403" s="7" t="s">
        <v>0</v>
      </c>
      <c r="J403" s="7" t="s">
        <v>122</v>
      </c>
      <c r="K403" s="7" t="s">
        <v>85</v>
      </c>
      <c r="L403" s="7" t="s">
        <v>48</v>
      </c>
      <c r="M403" s="7" t="s">
        <v>2373</v>
      </c>
      <c r="N403" s="7" t="s">
        <v>3699</v>
      </c>
      <c r="O403" s="7" t="s">
        <v>0</v>
      </c>
      <c r="P403" s="7" t="s">
        <v>2373</v>
      </c>
      <c r="Q403" s="7" t="s">
        <v>2465</v>
      </c>
      <c r="R403" s="7" t="s">
        <v>124</v>
      </c>
      <c r="S403" s="7" t="s">
        <v>0</v>
      </c>
      <c r="T403" s="7" t="s">
        <v>54</v>
      </c>
      <c r="U403" s="7" t="s">
        <v>125</v>
      </c>
      <c r="V403" s="7" t="s">
        <v>126</v>
      </c>
      <c r="W403" s="7" t="s">
        <v>74</v>
      </c>
      <c r="X403" s="7" t="s">
        <v>58</v>
      </c>
      <c r="Y403" s="8">
        <v>45408</v>
      </c>
      <c r="Z403" s="8" t="s">
        <v>0</v>
      </c>
      <c r="AA403" s="7" t="s">
        <v>200</v>
      </c>
      <c r="AB403" s="7" t="s">
        <v>130</v>
      </c>
      <c r="AC403" s="7" t="s">
        <v>65</v>
      </c>
      <c r="AD403" s="7" t="s">
        <v>0</v>
      </c>
      <c r="AE403" s="7" t="s">
        <v>0</v>
      </c>
      <c r="AF403" s="7" t="s">
        <v>0</v>
      </c>
      <c r="AG403" s="7" t="s">
        <v>0</v>
      </c>
      <c r="AH403" s="9" t="s">
        <v>0</v>
      </c>
      <c r="AI403" s="9" t="s">
        <v>0</v>
      </c>
      <c r="AJ403" s="9" t="s">
        <v>0</v>
      </c>
      <c r="AK403" s="7" t="s">
        <v>61</v>
      </c>
      <c r="AL403" s="7" t="s">
        <v>61</v>
      </c>
      <c r="AM403" s="7" t="s">
        <v>0</v>
      </c>
      <c r="AN403" s="7" t="s">
        <v>0</v>
      </c>
      <c r="AO403" s="7" t="s">
        <v>0</v>
      </c>
      <c r="AP403" s="7" t="s">
        <v>0</v>
      </c>
      <c r="AQ403" s="7" t="s">
        <v>61</v>
      </c>
      <c r="AR403" s="7" t="s">
        <v>0</v>
      </c>
      <c r="AS403" s="10" t="str">
        <f>HYPERLINK("https://tessa.gazprom-neft.local/edo/card/d95c78c4-cdac-4c5d-a3ac-c775b159479d", "https://tessa.gazprom-neft.local/edo/card/d95c78c4-cdac-4c5d-a3ac-c775b159479d")</f>
        <v>https://tessa.gazprom-neft.local/edo/card/d95c78c4-cdac-4c5d-a3ac-c775b159479d</v>
      </c>
    </row>
    <row r="404" spans="1:45" x14ac:dyDescent="0.25">
      <c r="A404" s="6" t="s">
        <v>44</v>
      </c>
      <c r="B404" s="7" t="s">
        <v>179</v>
      </c>
      <c r="C404" s="7" t="s">
        <v>67</v>
      </c>
      <c r="D404" s="8">
        <v>45408</v>
      </c>
      <c r="E404" s="8">
        <v>45456</v>
      </c>
      <c r="F404" s="16" t="s">
        <v>180</v>
      </c>
      <c r="G404" s="7" t="s">
        <v>181</v>
      </c>
      <c r="H404" s="7" t="s">
        <v>174</v>
      </c>
      <c r="I404" s="7" t="s">
        <v>0</v>
      </c>
      <c r="J404" s="7" t="s">
        <v>51</v>
      </c>
      <c r="K404" s="7" t="s">
        <v>85</v>
      </c>
      <c r="L404" s="7" t="s">
        <v>48</v>
      </c>
      <c r="M404" s="7" t="s">
        <v>2373</v>
      </c>
      <c r="N404" s="7" t="s">
        <v>3818</v>
      </c>
      <c r="O404" s="7" t="s">
        <v>0</v>
      </c>
      <c r="P404" s="7" t="s">
        <v>3819</v>
      </c>
      <c r="Q404" s="7" t="s">
        <v>3820</v>
      </c>
      <c r="R404" s="7" t="s">
        <v>393</v>
      </c>
      <c r="S404" s="7" t="s">
        <v>178</v>
      </c>
      <c r="T404" s="7" t="s">
        <v>54</v>
      </c>
      <c r="U404" s="7" t="s">
        <v>307</v>
      </c>
      <c r="V404" s="7" t="s">
        <v>382</v>
      </c>
      <c r="W404" s="7" t="s">
        <v>74</v>
      </c>
      <c r="X404" s="7" t="s">
        <v>58</v>
      </c>
      <c r="Y404" s="8">
        <v>45408</v>
      </c>
      <c r="Z404" s="8" t="s">
        <v>0</v>
      </c>
      <c r="AA404" s="7" t="s">
        <v>383</v>
      </c>
      <c r="AB404" s="7" t="s">
        <v>130</v>
      </c>
      <c r="AC404" s="7" t="s">
        <v>65</v>
      </c>
      <c r="AD404" s="7" t="s">
        <v>0</v>
      </c>
      <c r="AE404" s="7" t="s">
        <v>0</v>
      </c>
      <c r="AF404" s="7" t="s">
        <v>0</v>
      </c>
      <c r="AG404" s="7" t="s">
        <v>0</v>
      </c>
      <c r="AH404" s="9" t="s">
        <v>0</v>
      </c>
      <c r="AI404" s="9" t="s">
        <v>0</v>
      </c>
      <c r="AJ404" s="9" t="s">
        <v>0</v>
      </c>
      <c r="AK404" s="7" t="s">
        <v>61</v>
      </c>
      <c r="AL404" s="7" t="s">
        <v>61</v>
      </c>
      <c r="AM404" s="7" t="s">
        <v>0</v>
      </c>
      <c r="AN404" s="7" t="s">
        <v>0</v>
      </c>
      <c r="AO404" s="7" t="s">
        <v>0</v>
      </c>
      <c r="AP404" s="7" t="s">
        <v>0</v>
      </c>
      <c r="AQ404" s="7" t="s">
        <v>61</v>
      </c>
      <c r="AR404" s="7" t="s">
        <v>0</v>
      </c>
      <c r="AS404" s="10" t="str">
        <f>HYPERLINK("https://tessa.gazprom-neft.local/edo/card/f9338336-b142-4158-a1d3-99f3128fbb2f", "https://tessa.gazprom-neft.local/edo/card/f9338336-b142-4158-a1d3-99f3128fbb2f")</f>
        <v>https://tessa.gazprom-neft.local/edo/card/f9338336-b142-4158-a1d3-99f3128fbb2f</v>
      </c>
    </row>
    <row r="405" spans="1:45" x14ac:dyDescent="0.25">
      <c r="A405" s="6" t="s">
        <v>44</v>
      </c>
      <c r="B405" s="7" t="s">
        <v>3089</v>
      </c>
      <c r="C405" s="7" t="s">
        <v>67</v>
      </c>
      <c r="D405" s="8">
        <v>45408</v>
      </c>
      <c r="E405" s="8">
        <v>45463</v>
      </c>
      <c r="F405" s="16" t="s">
        <v>3090</v>
      </c>
      <c r="G405" s="7" t="s">
        <v>3091</v>
      </c>
      <c r="H405" s="7" t="s">
        <v>3848</v>
      </c>
      <c r="I405" s="7" t="s">
        <v>0</v>
      </c>
      <c r="J405" s="7" t="s">
        <v>872</v>
      </c>
      <c r="K405" s="7" t="s">
        <v>85</v>
      </c>
      <c r="L405" s="7" t="s">
        <v>48</v>
      </c>
      <c r="M405" s="7" t="s">
        <v>2373</v>
      </c>
      <c r="N405" s="7" t="s">
        <v>3847</v>
      </c>
      <c r="O405" s="7" t="s">
        <v>0</v>
      </c>
      <c r="P405" s="7" t="s">
        <v>3849</v>
      </c>
      <c r="Q405" s="7" t="s">
        <v>3850</v>
      </c>
      <c r="R405" s="7" t="s">
        <v>505</v>
      </c>
      <c r="S405" s="7" t="s">
        <v>679</v>
      </c>
      <c r="T405" s="7" t="s">
        <v>54</v>
      </c>
      <c r="U405" s="7" t="s">
        <v>362</v>
      </c>
      <c r="V405" s="7" t="s">
        <v>295</v>
      </c>
      <c r="W405" s="7" t="s">
        <v>74</v>
      </c>
      <c r="X405" s="7" t="s">
        <v>58</v>
      </c>
      <c r="Y405" s="8">
        <v>45408</v>
      </c>
      <c r="Z405" s="8" t="s">
        <v>0</v>
      </c>
      <c r="AA405" s="7" t="s">
        <v>296</v>
      </c>
      <c r="AB405" s="7" t="s">
        <v>130</v>
      </c>
      <c r="AC405" s="7" t="s">
        <v>65</v>
      </c>
      <c r="AD405" s="7" t="s">
        <v>0</v>
      </c>
      <c r="AE405" s="7" t="s">
        <v>0</v>
      </c>
      <c r="AF405" s="7" t="s">
        <v>0</v>
      </c>
      <c r="AG405" s="7" t="s">
        <v>0</v>
      </c>
      <c r="AH405" s="9" t="s">
        <v>0</v>
      </c>
      <c r="AI405" s="9" t="s">
        <v>0</v>
      </c>
      <c r="AJ405" s="9" t="s">
        <v>0</v>
      </c>
      <c r="AK405" s="7" t="s">
        <v>61</v>
      </c>
      <c r="AL405" s="7" t="s">
        <v>61</v>
      </c>
      <c r="AM405" s="7" t="s">
        <v>0</v>
      </c>
      <c r="AN405" s="7" t="s">
        <v>0</v>
      </c>
      <c r="AO405" s="7" t="s">
        <v>0</v>
      </c>
      <c r="AP405" s="7" t="s">
        <v>0</v>
      </c>
      <c r="AQ405" s="7" t="s">
        <v>61</v>
      </c>
      <c r="AR405" s="7" t="s">
        <v>0</v>
      </c>
      <c r="AS405" s="10" t="str">
        <f>HYPERLINK("https://tessa.gazprom-neft.local/edo/card/9b13e3b1-d9a6-441a-aaf3-8e07751c0247", "https://tessa.gazprom-neft.local/edo/card/9b13e3b1-d9a6-441a-aaf3-8e07751c0247")</f>
        <v>https://tessa.gazprom-neft.local/edo/card/9b13e3b1-d9a6-441a-aaf3-8e07751c0247</v>
      </c>
    </row>
    <row r="406" spans="1:45" x14ac:dyDescent="0.25">
      <c r="A406" s="6" t="s">
        <v>44</v>
      </c>
      <c r="B406" s="7" t="s">
        <v>1140</v>
      </c>
      <c r="C406" s="7" t="s">
        <v>67</v>
      </c>
      <c r="D406" s="8">
        <v>45408</v>
      </c>
      <c r="E406" s="8">
        <v>45433</v>
      </c>
      <c r="F406" s="16" t="s">
        <v>1141</v>
      </c>
      <c r="G406" s="7" t="s">
        <v>1142</v>
      </c>
      <c r="H406" s="7" t="s">
        <v>1136</v>
      </c>
      <c r="I406" s="7" t="s">
        <v>0</v>
      </c>
      <c r="J406" s="7" t="s">
        <v>156</v>
      </c>
      <c r="K406" s="7" t="s">
        <v>85</v>
      </c>
      <c r="L406" s="7" t="s">
        <v>48</v>
      </c>
      <c r="M406" s="7" t="s">
        <v>2373</v>
      </c>
      <c r="N406" s="7" t="s">
        <v>3858</v>
      </c>
      <c r="O406" s="7" t="s">
        <v>0</v>
      </c>
      <c r="P406" s="7" t="s">
        <v>2373</v>
      </c>
      <c r="Q406" s="7" t="s">
        <v>2465</v>
      </c>
      <c r="R406" s="7" t="s">
        <v>124</v>
      </c>
      <c r="S406" s="7" t="s">
        <v>0</v>
      </c>
      <c r="T406" s="7" t="s">
        <v>54</v>
      </c>
      <c r="U406" s="7" t="s">
        <v>283</v>
      </c>
      <c r="V406" s="7" t="s">
        <v>168</v>
      </c>
      <c r="W406" s="7" t="s">
        <v>74</v>
      </c>
      <c r="X406" s="7" t="s">
        <v>58</v>
      </c>
      <c r="Y406" s="8">
        <v>45408</v>
      </c>
      <c r="Z406" s="8" t="s">
        <v>0</v>
      </c>
      <c r="AA406" s="7" t="s">
        <v>169</v>
      </c>
      <c r="AB406" s="7" t="s">
        <v>1143</v>
      </c>
      <c r="AC406" s="7" t="s">
        <v>65</v>
      </c>
      <c r="AD406" s="7" t="s">
        <v>0</v>
      </c>
      <c r="AE406" s="7" t="s">
        <v>0</v>
      </c>
      <c r="AF406" s="7" t="s">
        <v>0</v>
      </c>
      <c r="AG406" s="7" t="s">
        <v>0</v>
      </c>
      <c r="AH406" s="9" t="s">
        <v>0</v>
      </c>
      <c r="AI406" s="9" t="s">
        <v>0</v>
      </c>
      <c r="AJ406" s="9" t="s">
        <v>0</v>
      </c>
      <c r="AK406" s="7" t="s">
        <v>61</v>
      </c>
      <c r="AL406" s="7" t="s">
        <v>61</v>
      </c>
      <c r="AM406" s="7" t="s">
        <v>0</v>
      </c>
      <c r="AN406" s="7" t="s">
        <v>0</v>
      </c>
      <c r="AO406" s="7" t="s">
        <v>0</v>
      </c>
      <c r="AP406" s="7" t="s">
        <v>0</v>
      </c>
      <c r="AQ406" s="7" t="s">
        <v>61</v>
      </c>
      <c r="AR406" s="7" t="s">
        <v>0</v>
      </c>
      <c r="AS406" s="10" t="str">
        <f>HYPERLINK("https://tessa.gazprom-neft.local/edo/card/62bc86db-0dee-49d3-ab12-cb7c70f57667", "https://tessa.gazprom-neft.local/edo/card/62bc86db-0dee-49d3-ab12-cb7c70f57667")</f>
        <v>https://tessa.gazprom-neft.local/edo/card/62bc86db-0dee-49d3-ab12-cb7c70f57667</v>
      </c>
    </row>
    <row r="407" spans="1:45" x14ac:dyDescent="0.25">
      <c r="A407" s="6" t="s">
        <v>44</v>
      </c>
      <c r="B407" s="7" t="s">
        <v>363</v>
      </c>
      <c r="C407" s="7" t="s">
        <v>67</v>
      </c>
      <c r="D407" s="8">
        <v>45408</v>
      </c>
      <c r="E407" s="8" t="s">
        <v>0</v>
      </c>
      <c r="F407" s="16" t="s">
        <v>364</v>
      </c>
      <c r="G407" s="7" t="s">
        <v>365</v>
      </c>
      <c r="H407" s="7" t="s">
        <v>3863</v>
      </c>
      <c r="I407" s="7" t="s">
        <v>0</v>
      </c>
      <c r="J407" s="7" t="s">
        <v>51</v>
      </c>
      <c r="K407" s="7" t="s">
        <v>85</v>
      </c>
      <c r="L407" s="7" t="s">
        <v>48</v>
      </c>
      <c r="M407" s="7" t="s">
        <v>1183</v>
      </c>
      <c r="N407" s="7" t="s">
        <v>3862</v>
      </c>
      <c r="O407" s="7" t="s">
        <v>0</v>
      </c>
      <c r="P407" s="7" t="s">
        <v>1183</v>
      </c>
      <c r="Q407" s="7" t="s">
        <v>1185</v>
      </c>
      <c r="R407" s="7" t="s">
        <v>282</v>
      </c>
      <c r="S407" s="7" t="s">
        <v>0</v>
      </c>
      <c r="T407" s="7" t="s">
        <v>54</v>
      </c>
      <c r="U407" s="7" t="s">
        <v>55</v>
      </c>
      <c r="V407" s="7" t="s">
        <v>308</v>
      </c>
      <c r="W407" s="7" t="s">
        <v>74</v>
      </c>
      <c r="X407" s="7" t="s">
        <v>103</v>
      </c>
      <c r="Y407" s="8">
        <v>45408</v>
      </c>
      <c r="Z407" s="8">
        <v>46752</v>
      </c>
      <c r="AA407" s="7" t="s">
        <v>309</v>
      </c>
      <c r="AB407" s="7" t="s">
        <v>228</v>
      </c>
      <c r="AC407" s="7" t="s">
        <v>65</v>
      </c>
      <c r="AD407" s="7" t="s">
        <v>0</v>
      </c>
      <c r="AE407" s="7" t="s">
        <v>0</v>
      </c>
      <c r="AF407" s="7" t="s">
        <v>0</v>
      </c>
      <c r="AG407" s="7" t="s">
        <v>0</v>
      </c>
      <c r="AH407" s="9" t="s">
        <v>0</v>
      </c>
      <c r="AI407" s="9" t="s">
        <v>0</v>
      </c>
      <c r="AJ407" s="9" t="s">
        <v>0</v>
      </c>
      <c r="AK407" s="7" t="s">
        <v>61</v>
      </c>
      <c r="AL407" s="7" t="s">
        <v>61</v>
      </c>
      <c r="AM407" s="7" t="s">
        <v>0</v>
      </c>
      <c r="AN407" s="7" t="s">
        <v>0</v>
      </c>
      <c r="AO407" s="7" t="s">
        <v>0</v>
      </c>
      <c r="AP407" s="7" t="s">
        <v>0</v>
      </c>
      <c r="AQ407" s="7" t="s">
        <v>61</v>
      </c>
      <c r="AR407" s="7" t="s">
        <v>0</v>
      </c>
      <c r="AS407" s="10" t="str">
        <f>HYPERLINK("https://tessa.gazprom-neft.local/edo/card/67205ca7-281c-4077-b469-159bfe8515a0", "https://tessa.gazprom-neft.local/edo/card/67205ca7-281c-4077-b469-159bfe8515a0")</f>
        <v>https://tessa.gazprom-neft.local/edo/card/67205ca7-281c-4077-b469-159bfe8515a0</v>
      </c>
    </row>
    <row r="408" spans="1:45" hidden="1" x14ac:dyDescent="0.25">
      <c r="A408" s="6" t="s">
        <v>44</v>
      </c>
      <c r="B408" s="7" t="s">
        <v>542</v>
      </c>
      <c r="C408" s="7" t="s">
        <v>67</v>
      </c>
      <c r="D408" s="8">
        <v>45408</v>
      </c>
      <c r="E408" s="8">
        <v>45427</v>
      </c>
      <c r="F408" s="16" t="s">
        <v>543</v>
      </c>
      <c r="G408" s="7" t="s">
        <v>544</v>
      </c>
      <c r="H408" s="7" t="s">
        <v>2148</v>
      </c>
      <c r="I408" s="7" t="s">
        <v>0</v>
      </c>
      <c r="J408" s="7" t="s">
        <v>271</v>
      </c>
      <c r="K408" s="7" t="s">
        <v>47</v>
      </c>
      <c r="L408" s="7" t="s">
        <v>239</v>
      </c>
      <c r="M408" s="7" t="s">
        <v>0</v>
      </c>
      <c r="N408" s="7" t="s">
        <v>3993</v>
      </c>
      <c r="O408" s="7" t="s">
        <v>0</v>
      </c>
      <c r="P408" s="7" t="s">
        <v>3994</v>
      </c>
      <c r="Q408" s="7" t="s">
        <v>3995</v>
      </c>
      <c r="R408" s="7" t="s">
        <v>646</v>
      </c>
      <c r="S408" s="7" t="s">
        <v>1791</v>
      </c>
      <c r="T408" s="7" t="s">
        <v>54</v>
      </c>
      <c r="U408" s="7" t="s">
        <v>55</v>
      </c>
      <c r="V408" s="7" t="s">
        <v>56</v>
      </c>
      <c r="W408" s="7" t="s">
        <v>74</v>
      </c>
      <c r="X408" s="7" t="s">
        <v>58</v>
      </c>
      <c r="Y408" s="8">
        <v>45408</v>
      </c>
      <c r="Z408" s="8" t="s">
        <v>0</v>
      </c>
      <c r="AA408" s="7" t="s">
        <v>0</v>
      </c>
      <c r="AB408" s="7" t="s">
        <v>130</v>
      </c>
      <c r="AC408" s="7" t="s">
        <v>79</v>
      </c>
      <c r="AD408" s="7" t="s">
        <v>144</v>
      </c>
      <c r="AE408" s="7" t="s">
        <v>82</v>
      </c>
      <c r="AF408" s="7" t="s">
        <v>0</v>
      </c>
      <c r="AG408" s="7" t="s">
        <v>0</v>
      </c>
      <c r="AH408" s="9" t="s">
        <v>11893</v>
      </c>
      <c r="AI408" s="9" t="s">
        <v>11894</v>
      </c>
      <c r="AJ408" s="9" t="s">
        <v>11895</v>
      </c>
      <c r="AK408" s="7" t="s">
        <v>61</v>
      </c>
      <c r="AL408" s="7" t="s">
        <v>61</v>
      </c>
      <c r="AM408" s="7" t="s">
        <v>0</v>
      </c>
      <c r="AN408" s="7" t="s">
        <v>0</v>
      </c>
      <c r="AO408" s="7" t="s">
        <v>0</v>
      </c>
      <c r="AP408" s="7" t="s">
        <v>0</v>
      </c>
      <c r="AQ408" s="7" t="s">
        <v>81</v>
      </c>
      <c r="AR408" s="7" t="s">
        <v>0</v>
      </c>
      <c r="AS408" s="10" t="str">
        <f>HYPERLINK("https://tessa.gazprom-neft.local/edo/card/72818dc2-3f47-49a3-9386-847f6a879374", "https://tessa.gazprom-neft.local/edo/card/72818dc2-3f47-49a3-9386-847f6a879374")</f>
        <v>https://tessa.gazprom-neft.local/edo/card/72818dc2-3f47-49a3-9386-847f6a879374</v>
      </c>
    </row>
    <row r="409" spans="1:45" x14ac:dyDescent="0.25">
      <c r="A409" s="6" t="s">
        <v>44</v>
      </c>
      <c r="B409" s="7" t="s">
        <v>179</v>
      </c>
      <c r="C409" s="7" t="s">
        <v>2030</v>
      </c>
      <c r="D409" s="8">
        <v>45407</v>
      </c>
      <c r="E409" s="8" t="s">
        <v>0</v>
      </c>
      <c r="F409" s="16" t="s">
        <v>180</v>
      </c>
      <c r="G409" s="7" t="s">
        <v>181</v>
      </c>
      <c r="H409" s="7" t="s">
        <v>305</v>
      </c>
      <c r="I409" s="7" t="s">
        <v>0</v>
      </c>
      <c r="J409" s="7" t="s">
        <v>51</v>
      </c>
      <c r="K409" s="7" t="s">
        <v>85</v>
      </c>
      <c r="L409" s="7" t="s">
        <v>48</v>
      </c>
      <c r="M409" s="7" t="s">
        <v>1183</v>
      </c>
      <c r="N409" s="7" t="s">
        <v>3487</v>
      </c>
      <c r="O409" s="7" t="s">
        <v>0</v>
      </c>
      <c r="P409" s="7" t="s">
        <v>3488</v>
      </c>
      <c r="Q409" s="7" t="s">
        <v>3489</v>
      </c>
      <c r="R409" s="7" t="s">
        <v>393</v>
      </c>
      <c r="S409" s="7" t="s">
        <v>308</v>
      </c>
      <c r="T409" s="7" t="s">
        <v>54</v>
      </c>
      <c r="U409" s="7" t="s">
        <v>362</v>
      </c>
      <c r="V409" s="7" t="s">
        <v>168</v>
      </c>
      <c r="W409" s="7" t="s">
        <v>74</v>
      </c>
      <c r="X409" s="7" t="s">
        <v>58</v>
      </c>
      <c r="Y409" s="8">
        <v>45407</v>
      </c>
      <c r="Z409" s="8" t="s">
        <v>0</v>
      </c>
      <c r="AA409" s="7" t="s">
        <v>169</v>
      </c>
      <c r="AB409" s="7" t="s">
        <v>228</v>
      </c>
      <c r="AC409" s="7" t="s">
        <v>65</v>
      </c>
      <c r="AD409" s="7" t="s">
        <v>0</v>
      </c>
      <c r="AE409" s="7" t="s">
        <v>0</v>
      </c>
      <c r="AF409" s="7" t="s">
        <v>0</v>
      </c>
      <c r="AG409" s="7" t="s">
        <v>0</v>
      </c>
      <c r="AH409" s="9" t="s">
        <v>0</v>
      </c>
      <c r="AI409" s="9" t="s">
        <v>0</v>
      </c>
      <c r="AJ409" s="9" t="s">
        <v>0</v>
      </c>
      <c r="AK409" s="7" t="s">
        <v>61</v>
      </c>
      <c r="AL409" s="7" t="s">
        <v>61</v>
      </c>
      <c r="AM409" s="7" t="s">
        <v>0</v>
      </c>
      <c r="AN409" s="7" t="s">
        <v>0</v>
      </c>
      <c r="AO409" s="7" t="s">
        <v>0</v>
      </c>
      <c r="AP409" s="7" t="s">
        <v>0</v>
      </c>
      <c r="AQ409" s="7" t="s">
        <v>61</v>
      </c>
      <c r="AR409" s="7" t="s">
        <v>0</v>
      </c>
      <c r="AS409" s="10" t="str">
        <f>HYPERLINK("https://tessa.gazprom-neft.local/edo/card/a76328c9-6dd1-4e9b-86bb-dd699dc44aff", "https://tessa.gazprom-neft.local/edo/card/a76328c9-6dd1-4e9b-86bb-dd699dc44aff")</f>
        <v>https://tessa.gazprom-neft.local/edo/card/a76328c9-6dd1-4e9b-86bb-dd699dc44aff</v>
      </c>
    </row>
    <row r="410" spans="1:45" x14ac:dyDescent="0.25">
      <c r="A410" s="6" t="s">
        <v>44</v>
      </c>
      <c r="B410" s="7" t="s">
        <v>213</v>
      </c>
      <c r="C410" s="7" t="s">
        <v>67</v>
      </c>
      <c r="D410" s="8">
        <v>45407</v>
      </c>
      <c r="E410" s="8">
        <v>45461</v>
      </c>
      <c r="F410" s="16" t="s">
        <v>214</v>
      </c>
      <c r="G410" s="7" t="s">
        <v>215</v>
      </c>
      <c r="H410" s="7" t="s">
        <v>207</v>
      </c>
      <c r="I410" s="7" t="s">
        <v>0</v>
      </c>
      <c r="J410" s="7" t="s">
        <v>955</v>
      </c>
      <c r="K410" s="7" t="s">
        <v>85</v>
      </c>
      <c r="L410" s="7" t="s">
        <v>48</v>
      </c>
      <c r="M410" s="7" t="s">
        <v>2373</v>
      </c>
      <c r="N410" s="7" t="s">
        <v>3677</v>
      </c>
      <c r="O410" s="7" t="s">
        <v>0</v>
      </c>
      <c r="P410" s="7" t="s">
        <v>2373</v>
      </c>
      <c r="Q410" s="7" t="s">
        <v>2465</v>
      </c>
      <c r="R410" s="7" t="s">
        <v>124</v>
      </c>
      <c r="S410" s="7" t="s">
        <v>0</v>
      </c>
      <c r="T410" s="7" t="s">
        <v>54</v>
      </c>
      <c r="U410" s="7" t="s">
        <v>125</v>
      </c>
      <c r="V410" s="7" t="s">
        <v>126</v>
      </c>
      <c r="W410" s="7" t="s">
        <v>74</v>
      </c>
      <c r="X410" s="7" t="s">
        <v>58</v>
      </c>
      <c r="Y410" s="8">
        <v>45407</v>
      </c>
      <c r="Z410" s="8" t="s">
        <v>0</v>
      </c>
      <c r="AA410" s="7" t="s">
        <v>200</v>
      </c>
      <c r="AB410" s="7" t="s">
        <v>64</v>
      </c>
      <c r="AC410" s="7" t="s">
        <v>65</v>
      </c>
      <c r="AD410" s="7" t="s">
        <v>0</v>
      </c>
      <c r="AE410" s="7" t="s">
        <v>0</v>
      </c>
      <c r="AF410" s="7" t="s">
        <v>0</v>
      </c>
      <c r="AG410" s="7" t="s">
        <v>0</v>
      </c>
      <c r="AH410" s="9" t="s">
        <v>0</v>
      </c>
      <c r="AI410" s="9" t="s">
        <v>0</v>
      </c>
      <c r="AJ410" s="9" t="s">
        <v>0</v>
      </c>
      <c r="AK410" s="7" t="s">
        <v>61</v>
      </c>
      <c r="AL410" s="7" t="s">
        <v>61</v>
      </c>
      <c r="AM410" s="7" t="s">
        <v>0</v>
      </c>
      <c r="AN410" s="7" t="s">
        <v>0</v>
      </c>
      <c r="AO410" s="7" t="s">
        <v>0</v>
      </c>
      <c r="AP410" s="7" t="s">
        <v>0</v>
      </c>
      <c r="AQ410" s="7" t="s">
        <v>61</v>
      </c>
      <c r="AR410" s="7" t="s">
        <v>0</v>
      </c>
      <c r="AS410" s="10" t="str">
        <f>HYPERLINK("https://tessa.gazprom-neft.local/edo/card/bcd6af40-3e37-4ac1-9a43-a45dfbd7af83", "https://tessa.gazprom-neft.local/edo/card/bcd6af40-3e37-4ac1-9a43-a45dfbd7af83")</f>
        <v>https://tessa.gazprom-neft.local/edo/card/bcd6af40-3e37-4ac1-9a43-a45dfbd7af83</v>
      </c>
    </row>
    <row r="411" spans="1:45" x14ac:dyDescent="0.25">
      <c r="A411" s="6" t="s">
        <v>44</v>
      </c>
      <c r="B411" s="7" t="s">
        <v>2461</v>
      </c>
      <c r="C411" s="7" t="s">
        <v>1701</v>
      </c>
      <c r="D411" s="8">
        <v>45407</v>
      </c>
      <c r="E411" s="8" t="s">
        <v>0</v>
      </c>
      <c r="F411" s="16" t="s">
        <v>2462</v>
      </c>
      <c r="G411" s="7" t="s">
        <v>739</v>
      </c>
      <c r="H411" s="7" t="s">
        <v>2459</v>
      </c>
      <c r="I411" s="7" t="s">
        <v>0</v>
      </c>
      <c r="J411" s="7" t="s">
        <v>872</v>
      </c>
      <c r="K411" s="7" t="s">
        <v>85</v>
      </c>
      <c r="L411" s="7" t="s">
        <v>48</v>
      </c>
      <c r="M411" s="7" t="s">
        <v>2373</v>
      </c>
      <c r="N411" s="7" t="s">
        <v>3713</v>
      </c>
      <c r="O411" s="7" t="s">
        <v>0</v>
      </c>
      <c r="P411" s="7" t="s">
        <v>2373</v>
      </c>
      <c r="Q411" s="7" t="s">
        <v>2465</v>
      </c>
      <c r="R411" s="7" t="s">
        <v>124</v>
      </c>
      <c r="S411" s="7" t="s">
        <v>0</v>
      </c>
      <c r="T411" s="7" t="s">
        <v>54</v>
      </c>
      <c r="U411" s="7" t="s">
        <v>125</v>
      </c>
      <c r="V411" s="7" t="s">
        <v>126</v>
      </c>
      <c r="W411" s="7" t="s">
        <v>57</v>
      </c>
      <c r="X411" s="7" t="s">
        <v>58</v>
      </c>
      <c r="Y411" s="8">
        <v>45407</v>
      </c>
      <c r="Z411" s="8" t="s">
        <v>0</v>
      </c>
      <c r="AA411" s="7" t="s">
        <v>200</v>
      </c>
      <c r="AB411" s="7" t="s">
        <v>690</v>
      </c>
      <c r="AC411" s="7" t="s">
        <v>65</v>
      </c>
      <c r="AD411" s="7" t="s">
        <v>0</v>
      </c>
      <c r="AE411" s="7" t="s">
        <v>0</v>
      </c>
      <c r="AF411" s="7" t="s">
        <v>0</v>
      </c>
      <c r="AG411" s="7" t="s">
        <v>0</v>
      </c>
      <c r="AH411" s="9" t="s">
        <v>0</v>
      </c>
      <c r="AI411" s="9" t="s">
        <v>0</v>
      </c>
      <c r="AJ411" s="9" t="s">
        <v>0</v>
      </c>
      <c r="AK411" s="7" t="s">
        <v>61</v>
      </c>
      <c r="AL411" s="7" t="s">
        <v>61</v>
      </c>
      <c r="AM411" s="7" t="s">
        <v>0</v>
      </c>
      <c r="AN411" s="7" t="s">
        <v>0</v>
      </c>
      <c r="AO411" s="7" t="s">
        <v>0</v>
      </c>
      <c r="AP411" s="7" t="s">
        <v>0</v>
      </c>
      <c r="AQ411" s="7" t="s">
        <v>61</v>
      </c>
      <c r="AR411" s="7" t="s">
        <v>0</v>
      </c>
      <c r="AS411" s="10" t="str">
        <f>HYPERLINK("https://tessa.gazprom-neft.local/edo/card/4371d537-a2e9-45e3-923b-2e79298dcaeb", "https://tessa.gazprom-neft.local/edo/card/4371d537-a2e9-45e3-923b-2e79298dcaeb")</f>
        <v>https://tessa.gazprom-neft.local/edo/card/4371d537-a2e9-45e3-923b-2e79298dcaeb</v>
      </c>
    </row>
    <row r="412" spans="1:45" hidden="1" x14ac:dyDescent="0.25">
      <c r="A412" s="6" t="s">
        <v>44</v>
      </c>
      <c r="B412" s="7" t="s">
        <v>673</v>
      </c>
      <c r="C412" s="7" t="s">
        <v>67</v>
      </c>
      <c r="D412" s="8">
        <v>45407</v>
      </c>
      <c r="E412" s="8">
        <v>45416</v>
      </c>
      <c r="F412" s="16" t="s">
        <v>674</v>
      </c>
      <c r="G412" s="7" t="s">
        <v>675</v>
      </c>
      <c r="H412" s="7" t="s">
        <v>668</v>
      </c>
      <c r="I412" s="7" t="s">
        <v>0</v>
      </c>
      <c r="J412" s="7" t="s">
        <v>271</v>
      </c>
      <c r="K412" s="7" t="s">
        <v>47</v>
      </c>
      <c r="L412" s="7" t="s">
        <v>389</v>
      </c>
      <c r="M412" s="7" t="s">
        <v>0</v>
      </c>
      <c r="N412" s="7" t="s">
        <v>3825</v>
      </c>
      <c r="O412" s="7" t="s">
        <v>51</v>
      </c>
      <c r="P412" s="7" t="s">
        <v>3826</v>
      </c>
      <c r="Q412" s="7" t="s">
        <v>670</v>
      </c>
      <c r="R412" s="7" t="s">
        <v>671</v>
      </c>
      <c r="S412" s="7" t="s">
        <v>671</v>
      </c>
      <c r="T412" s="7" t="s">
        <v>54</v>
      </c>
      <c r="U412" s="7" t="s">
        <v>672</v>
      </c>
      <c r="V412" s="7" t="s">
        <v>126</v>
      </c>
      <c r="W412" s="7" t="s">
        <v>74</v>
      </c>
      <c r="X412" s="7" t="s">
        <v>103</v>
      </c>
      <c r="Y412" s="8">
        <v>45407</v>
      </c>
      <c r="Z412" s="8">
        <v>46022</v>
      </c>
      <c r="AA412" s="7" t="s">
        <v>200</v>
      </c>
      <c r="AB412" s="7" t="s">
        <v>130</v>
      </c>
      <c r="AC412" s="7" t="s">
        <v>79</v>
      </c>
      <c r="AD412" s="7" t="s">
        <v>144</v>
      </c>
      <c r="AE412" s="7" t="s">
        <v>82</v>
      </c>
      <c r="AF412" s="7" t="s">
        <v>0</v>
      </c>
      <c r="AG412" s="7" t="s">
        <v>3827</v>
      </c>
      <c r="AH412" s="9" t="s">
        <v>11826</v>
      </c>
      <c r="AI412" s="9" t="s">
        <v>11827</v>
      </c>
      <c r="AJ412" s="9" t="s">
        <v>11828</v>
      </c>
      <c r="AK412" s="7" t="s">
        <v>81</v>
      </c>
      <c r="AL412" s="7" t="s">
        <v>61</v>
      </c>
      <c r="AM412" s="7" t="s">
        <v>0</v>
      </c>
      <c r="AN412" s="7" t="s">
        <v>0</v>
      </c>
      <c r="AO412" s="7" t="s">
        <v>0</v>
      </c>
      <c r="AP412" s="7" t="s">
        <v>0</v>
      </c>
      <c r="AQ412" s="7" t="s">
        <v>61</v>
      </c>
      <c r="AR412" s="7" t="s">
        <v>0</v>
      </c>
      <c r="AS412" s="10" t="str">
        <f>HYPERLINK("https://tessa.gazprom-neft.local/edo/card/ef619122-f004-43bb-be57-9551b6856cba", "https://tessa.gazprom-neft.local/edo/card/ef619122-f004-43bb-be57-9551b6856cba")</f>
        <v>https://tessa.gazprom-neft.local/edo/card/ef619122-f004-43bb-be57-9551b6856cba</v>
      </c>
    </row>
    <row r="413" spans="1:45" hidden="1" x14ac:dyDescent="0.25">
      <c r="A413" s="6" t="s">
        <v>44</v>
      </c>
      <c r="B413" s="7" t="s">
        <v>673</v>
      </c>
      <c r="C413" s="7" t="s">
        <v>67</v>
      </c>
      <c r="D413" s="8">
        <v>45407</v>
      </c>
      <c r="E413" s="8">
        <v>45416</v>
      </c>
      <c r="F413" s="16" t="s">
        <v>674</v>
      </c>
      <c r="G413" s="7" t="s">
        <v>675</v>
      </c>
      <c r="H413" s="7" t="s">
        <v>668</v>
      </c>
      <c r="I413" s="7" t="s">
        <v>0</v>
      </c>
      <c r="J413" s="7" t="s">
        <v>51</v>
      </c>
      <c r="K413" s="7" t="s">
        <v>47</v>
      </c>
      <c r="L413" s="7" t="s">
        <v>389</v>
      </c>
      <c r="M413" s="7" t="s">
        <v>0</v>
      </c>
      <c r="N413" s="7" t="s">
        <v>3840</v>
      </c>
      <c r="O413" s="7" t="s">
        <v>156</v>
      </c>
      <c r="P413" s="7" t="s">
        <v>3841</v>
      </c>
      <c r="Q413" s="7" t="s">
        <v>670</v>
      </c>
      <c r="R413" s="7" t="s">
        <v>671</v>
      </c>
      <c r="S413" s="7" t="s">
        <v>671</v>
      </c>
      <c r="T413" s="7" t="s">
        <v>54</v>
      </c>
      <c r="U413" s="7" t="s">
        <v>672</v>
      </c>
      <c r="V413" s="7" t="s">
        <v>126</v>
      </c>
      <c r="W413" s="7" t="s">
        <v>74</v>
      </c>
      <c r="X413" s="7" t="s">
        <v>103</v>
      </c>
      <c r="Y413" s="8">
        <v>45231</v>
      </c>
      <c r="Z413" s="8">
        <v>45407</v>
      </c>
      <c r="AA413" s="7" t="s">
        <v>200</v>
      </c>
      <c r="AB413" s="7" t="s">
        <v>130</v>
      </c>
      <c r="AC413" s="7" t="s">
        <v>79</v>
      </c>
      <c r="AD413" s="7" t="s">
        <v>144</v>
      </c>
      <c r="AE413" s="7" t="s">
        <v>82</v>
      </c>
      <c r="AF413" s="7" t="s">
        <v>0</v>
      </c>
      <c r="AG413" s="7" t="s">
        <v>0</v>
      </c>
      <c r="AH413" s="9" t="s">
        <v>11835</v>
      </c>
      <c r="AI413" s="9" t="s">
        <v>11836</v>
      </c>
      <c r="AJ413" s="9" t="s">
        <v>11837</v>
      </c>
      <c r="AK413" s="7" t="s">
        <v>61</v>
      </c>
      <c r="AL413" s="7" t="s">
        <v>61</v>
      </c>
      <c r="AM413" s="7" t="s">
        <v>0</v>
      </c>
      <c r="AN413" s="7" t="s">
        <v>0</v>
      </c>
      <c r="AO413" s="7" t="s">
        <v>0</v>
      </c>
      <c r="AP413" s="7" t="s">
        <v>0</v>
      </c>
      <c r="AQ413" s="7" t="s">
        <v>61</v>
      </c>
      <c r="AR413" s="7" t="s">
        <v>0</v>
      </c>
      <c r="AS413" s="10" t="str">
        <f>HYPERLINK("https://tessa.gazprom-neft.local/edo/card/901b8f01-c151-4b06-b079-f0056dcf5086", "https://tessa.gazprom-neft.local/edo/card/901b8f01-c151-4b06-b079-f0056dcf5086")</f>
        <v>https://tessa.gazprom-neft.local/edo/card/901b8f01-c151-4b06-b079-f0056dcf5086</v>
      </c>
    </row>
    <row r="414" spans="1:45" x14ac:dyDescent="0.25">
      <c r="A414" s="6" t="s">
        <v>44</v>
      </c>
      <c r="B414" s="7" t="s">
        <v>620</v>
      </c>
      <c r="C414" s="7" t="s">
        <v>67</v>
      </c>
      <c r="D414" s="8">
        <v>45407</v>
      </c>
      <c r="E414" s="8">
        <v>45418</v>
      </c>
      <c r="F414" s="16" t="s">
        <v>621</v>
      </c>
      <c r="G414" s="7" t="s">
        <v>622</v>
      </c>
      <c r="H414" s="7" t="s">
        <v>2135</v>
      </c>
      <c r="I414" s="7" t="s">
        <v>0</v>
      </c>
      <c r="J414" s="7" t="s">
        <v>51</v>
      </c>
      <c r="K414" s="7" t="s">
        <v>85</v>
      </c>
      <c r="L414" s="7" t="s">
        <v>48</v>
      </c>
      <c r="M414" s="7" t="s">
        <v>2128</v>
      </c>
      <c r="N414" s="7" t="s">
        <v>3891</v>
      </c>
      <c r="O414" s="7" t="s">
        <v>0</v>
      </c>
      <c r="P414" s="7" t="s">
        <v>2128</v>
      </c>
      <c r="Q414" s="7" t="s">
        <v>3892</v>
      </c>
      <c r="R414" s="7" t="s">
        <v>361</v>
      </c>
      <c r="S414" s="7" t="s">
        <v>361</v>
      </c>
      <c r="T414" s="7" t="s">
        <v>54</v>
      </c>
      <c r="U414" s="7" t="s">
        <v>362</v>
      </c>
      <c r="V414" s="7" t="s">
        <v>295</v>
      </c>
      <c r="W414" s="7" t="s">
        <v>74</v>
      </c>
      <c r="X414" s="7" t="s">
        <v>58</v>
      </c>
      <c r="Y414" s="8">
        <v>45407</v>
      </c>
      <c r="Z414" s="8" t="s">
        <v>0</v>
      </c>
      <c r="AA414" s="7" t="s">
        <v>296</v>
      </c>
      <c r="AB414" s="7" t="s">
        <v>366</v>
      </c>
      <c r="AC414" s="7" t="s">
        <v>65</v>
      </c>
      <c r="AD414" s="7" t="s">
        <v>367</v>
      </c>
      <c r="AE414" s="7" t="s">
        <v>0</v>
      </c>
      <c r="AF414" s="7" t="s">
        <v>0</v>
      </c>
      <c r="AG414" s="7" t="s">
        <v>0</v>
      </c>
      <c r="AH414" s="9" t="s">
        <v>0</v>
      </c>
      <c r="AI414" s="9" t="s">
        <v>0</v>
      </c>
      <c r="AJ414" s="9" t="s">
        <v>0</v>
      </c>
      <c r="AK414" s="7" t="s">
        <v>61</v>
      </c>
      <c r="AL414" s="7" t="s">
        <v>61</v>
      </c>
      <c r="AM414" s="7" t="s">
        <v>0</v>
      </c>
      <c r="AN414" s="7" t="s">
        <v>0</v>
      </c>
      <c r="AO414" s="7" t="s">
        <v>0</v>
      </c>
      <c r="AP414" s="7" t="s">
        <v>0</v>
      </c>
      <c r="AQ414" s="7" t="s">
        <v>61</v>
      </c>
      <c r="AR414" s="7" t="s">
        <v>0</v>
      </c>
      <c r="AS414" s="10" t="str">
        <f>HYPERLINK("https://tessa.gazprom-neft.local/edo/card/29f49944-fca2-411d-a87b-a487fb954f1a", "https://tessa.gazprom-neft.local/edo/card/29f49944-fca2-411d-a87b-a487fb954f1a")</f>
        <v>https://tessa.gazprom-neft.local/edo/card/29f49944-fca2-411d-a87b-a487fb954f1a</v>
      </c>
    </row>
    <row r="415" spans="1:45" hidden="1" x14ac:dyDescent="0.25">
      <c r="A415" s="6" t="s">
        <v>44</v>
      </c>
      <c r="B415" s="7" t="s">
        <v>1775</v>
      </c>
      <c r="C415" s="7" t="s">
        <v>67</v>
      </c>
      <c r="D415" s="8">
        <v>45406</v>
      </c>
      <c r="E415" s="8">
        <v>45439</v>
      </c>
      <c r="F415" s="16" t="s">
        <v>1776</v>
      </c>
      <c r="G415" s="7" t="s">
        <v>1777</v>
      </c>
      <c r="H415" s="7" t="s">
        <v>0</v>
      </c>
      <c r="I415" s="7" t="s">
        <v>3600</v>
      </c>
      <c r="J415" s="7" t="s">
        <v>3600</v>
      </c>
      <c r="K415" s="7" t="s">
        <v>85</v>
      </c>
      <c r="L415" s="7" t="s">
        <v>86</v>
      </c>
      <c r="M415" s="7" t="s">
        <v>216</v>
      </c>
      <c r="N415" s="7" t="s">
        <v>3599</v>
      </c>
      <c r="O415" s="7" t="s">
        <v>0</v>
      </c>
      <c r="P415" s="7" t="s">
        <v>3601</v>
      </c>
      <c r="Q415" s="7" t="s">
        <v>3602</v>
      </c>
      <c r="R415" s="7" t="s">
        <v>1139</v>
      </c>
      <c r="S415" s="7" t="s">
        <v>1774</v>
      </c>
      <c r="T415" s="7" t="s">
        <v>54</v>
      </c>
      <c r="U415" s="7" t="s">
        <v>125</v>
      </c>
      <c r="V415" s="7" t="s">
        <v>308</v>
      </c>
      <c r="W415" s="7" t="s">
        <v>74</v>
      </c>
      <c r="X415" s="7" t="s">
        <v>223</v>
      </c>
      <c r="Y415" s="8">
        <v>45406</v>
      </c>
      <c r="Z415" s="8" t="s">
        <v>0</v>
      </c>
      <c r="AA415" s="7" t="s">
        <v>309</v>
      </c>
      <c r="AB415" s="7" t="s">
        <v>228</v>
      </c>
      <c r="AC415" s="7" t="s">
        <v>65</v>
      </c>
      <c r="AD415" s="7" t="s">
        <v>0</v>
      </c>
      <c r="AE415" s="7" t="s">
        <v>0</v>
      </c>
      <c r="AF415" s="7" t="s">
        <v>0</v>
      </c>
      <c r="AG415" s="7" t="s">
        <v>0</v>
      </c>
      <c r="AH415" s="9" t="s">
        <v>0</v>
      </c>
      <c r="AI415" s="9" t="s">
        <v>0</v>
      </c>
      <c r="AJ415" s="9" t="s">
        <v>0</v>
      </c>
      <c r="AK415" s="7" t="s">
        <v>61</v>
      </c>
      <c r="AL415" s="7" t="s">
        <v>61</v>
      </c>
      <c r="AM415" s="7" t="s">
        <v>0</v>
      </c>
      <c r="AN415" s="7" t="s">
        <v>0</v>
      </c>
      <c r="AO415" s="7" t="s">
        <v>0</v>
      </c>
      <c r="AP415" s="7" t="s">
        <v>0</v>
      </c>
      <c r="AQ415" s="7" t="s">
        <v>61</v>
      </c>
      <c r="AR415" s="7" t="s">
        <v>0</v>
      </c>
      <c r="AS415" s="10" t="str">
        <f>HYPERLINK("https://tessa.gazprom-neft.local/edo/card/da010d88-21ed-4214-b884-941993e2c815", "https://tessa.gazprom-neft.local/edo/card/da010d88-21ed-4214-b884-941993e2c815")</f>
        <v>https://tessa.gazprom-neft.local/edo/card/da010d88-21ed-4214-b884-941993e2c815</v>
      </c>
    </row>
    <row r="416" spans="1:45" x14ac:dyDescent="0.25">
      <c r="A416" s="6" t="s">
        <v>44</v>
      </c>
      <c r="B416" s="7" t="s">
        <v>1775</v>
      </c>
      <c r="C416" s="7" t="s">
        <v>67</v>
      </c>
      <c r="D416" s="8">
        <v>45406</v>
      </c>
      <c r="E416" s="8">
        <v>45439</v>
      </c>
      <c r="F416" s="16" t="s">
        <v>1776</v>
      </c>
      <c r="G416" s="7" t="s">
        <v>1777</v>
      </c>
      <c r="H416" s="7" t="s">
        <v>2800</v>
      </c>
      <c r="I416" s="7" t="s">
        <v>0</v>
      </c>
      <c r="J416" s="7" t="s">
        <v>3624</v>
      </c>
      <c r="K416" s="7" t="s">
        <v>85</v>
      </c>
      <c r="L416" s="7" t="s">
        <v>48</v>
      </c>
      <c r="M416" s="7" t="s">
        <v>2373</v>
      </c>
      <c r="N416" s="7" t="s">
        <v>3622</v>
      </c>
      <c r="O416" s="7" t="s">
        <v>0</v>
      </c>
      <c r="P416" s="7" t="s">
        <v>3623</v>
      </c>
      <c r="Q416" s="7" t="s">
        <v>3625</v>
      </c>
      <c r="R416" s="7" t="s">
        <v>1139</v>
      </c>
      <c r="S416" s="7" t="s">
        <v>1774</v>
      </c>
      <c r="T416" s="7" t="s">
        <v>54</v>
      </c>
      <c r="U416" s="7" t="s">
        <v>125</v>
      </c>
      <c r="V416" s="7" t="s">
        <v>126</v>
      </c>
      <c r="W416" s="7" t="s">
        <v>74</v>
      </c>
      <c r="X416" s="7" t="s">
        <v>103</v>
      </c>
      <c r="Y416" s="8">
        <v>45406</v>
      </c>
      <c r="Z416" s="8">
        <v>45657</v>
      </c>
      <c r="AA416" s="7" t="s">
        <v>200</v>
      </c>
      <c r="AB416" s="7" t="s">
        <v>130</v>
      </c>
      <c r="AC416" s="7" t="s">
        <v>65</v>
      </c>
      <c r="AD416" s="7" t="s">
        <v>514</v>
      </c>
      <c r="AE416" s="7" t="s">
        <v>0</v>
      </c>
      <c r="AF416" s="7" t="s">
        <v>0</v>
      </c>
      <c r="AG416" s="7" t="s">
        <v>0</v>
      </c>
      <c r="AH416" s="9" t="s">
        <v>0</v>
      </c>
      <c r="AI416" s="9" t="s">
        <v>0</v>
      </c>
      <c r="AJ416" s="9" t="s">
        <v>0</v>
      </c>
      <c r="AK416" s="7" t="s">
        <v>61</v>
      </c>
      <c r="AL416" s="7" t="s">
        <v>61</v>
      </c>
      <c r="AM416" s="7" t="s">
        <v>0</v>
      </c>
      <c r="AN416" s="7" t="s">
        <v>0</v>
      </c>
      <c r="AO416" s="7" t="s">
        <v>0</v>
      </c>
      <c r="AP416" s="7" t="s">
        <v>0</v>
      </c>
      <c r="AQ416" s="7" t="s">
        <v>61</v>
      </c>
      <c r="AR416" s="7" t="s">
        <v>0</v>
      </c>
      <c r="AS416" s="10" t="str">
        <f>HYPERLINK("https://tessa.gazprom-neft.local/edo/card/0fcfb49d-e2c2-4c71-9958-f61d08c4ce8f", "https://tessa.gazprom-neft.local/edo/card/0fcfb49d-e2c2-4c71-9958-f61d08c4ce8f")</f>
        <v>https://tessa.gazprom-neft.local/edo/card/0fcfb49d-e2c2-4c71-9958-f61d08c4ce8f</v>
      </c>
    </row>
    <row r="417" spans="1:45" x14ac:dyDescent="0.25">
      <c r="A417" s="6" t="s">
        <v>44</v>
      </c>
      <c r="B417" s="7" t="s">
        <v>1216</v>
      </c>
      <c r="C417" s="7" t="s">
        <v>67</v>
      </c>
      <c r="D417" s="8">
        <v>45406</v>
      </c>
      <c r="E417" s="8" t="s">
        <v>0</v>
      </c>
      <c r="F417" s="16" t="s">
        <v>1217</v>
      </c>
      <c r="G417" s="7" t="s">
        <v>1218</v>
      </c>
      <c r="H417" s="7" t="s">
        <v>3734</v>
      </c>
      <c r="I417" s="7" t="s">
        <v>0</v>
      </c>
      <c r="J417" s="7" t="s">
        <v>271</v>
      </c>
      <c r="K417" s="7" t="s">
        <v>85</v>
      </c>
      <c r="L417" s="7" t="s">
        <v>48</v>
      </c>
      <c r="M417" s="7" t="s">
        <v>2373</v>
      </c>
      <c r="N417" s="7" t="s">
        <v>3733</v>
      </c>
      <c r="O417" s="7" t="s">
        <v>0</v>
      </c>
      <c r="P417" s="7" t="s">
        <v>3735</v>
      </c>
      <c r="Q417" s="7" t="s">
        <v>3105</v>
      </c>
      <c r="R417" s="7" t="s">
        <v>393</v>
      </c>
      <c r="S417" s="7" t="s">
        <v>209</v>
      </c>
      <c r="T417" s="7" t="s">
        <v>54</v>
      </c>
      <c r="U417" s="7" t="s">
        <v>210</v>
      </c>
      <c r="V417" s="7" t="s">
        <v>308</v>
      </c>
      <c r="W417" s="7" t="s">
        <v>74</v>
      </c>
      <c r="X417" s="7" t="s">
        <v>58</v>
      </c>
      <c r="Y417" s="8">
        <v>45407</v>
      </c>
      <c r="Z417" s="8" t="s">
        <v>0</v>
      </c>
      <c r="AA417" s="7" t="s">
        <v>309</v>
      </c>
      <c r="AB417" s="7" t="s">
        <v>130</v>
      </c>
      <c r="AC417" s="7" t="s">
        <v>65</v>
      </c>
      <c r="AD417" s="7" t="s">
        <v>0</v>
      </c>
      <c r="AE417" s="7" t="s">
        <v>0</v>
      </c>
      <c r="AF417" s="7" t="s">
        <v>0</v>
      </c>
      <c r="AG417" s="7" t="s">
        <v>0</v>
      </c>
      <c r="AH417" s="9" t="s">
        <v>0</v>
      </c>
      <c r="AI417" s="9" t="s">
        <v>0</v>
      </c>
      <c r="AJ417" s="9" t="s">
        <v>0</v>
      </c>
      <c r="AK417" s="7" t="s">
        <v>61</v>
      </c>
      <c r="AL417" s="7" t="s">
        <v>61</v>
      </c>
      <c r="AM417" s="7" t="s">
        <v>0</v>
      </c>
      <c r="AN417" s="7" t="s">
        <v>0</v>
      </c>
      <c r="AO417" s="7" t="s">
        <v>0</v>
      </c>
      <c r="AP417" s="7" t="s">
        <v>0</v>
      </c>
      <c r="AQ417" s="7" t="s">
        <v>61</v>
      </c>
      <c r="AR417" s="7" t="s">
        <v>0</v>
      </c>
      <c r="AS417" s="10" t="str">
        <f>HYPERLINK("https://tessa.gazprom-neft.local/edo/card/1c7c23a7-0922-4505-b75e-4fea59cf410e", "https://tessa.gazprom-neft.local/edo/card/1c7c23a7-0922-4505-b75e-4fea59cf410e")</f>
        <v>https://tessa.gazprom-neft.local/edo/card/1c7c23a7-0922-4505-b75e-4fea59cf410e</v>
      </c>
    </row>
    <row r="418" spans="1:45" x14ac:dyDescent="0.25">
      <c r="A418" s="6" t="s">
        <v>44</v>
      </c>
      <c r="B418" s="7" t="s">
        <v>1216</v>
      </c>
      <c r="C418" s="7" t="s">
        <v>67</v>
      </c>
      <c r="D418" s="8">
        <v>45406</v>
      </c>
      <c r="E418" s="8" t="s">
        <v>0</v>
      </c>
      <c r="F418" s="16" t="s">
        <v>1217</v>
      </c>
      <c r="G418" s="7" t="s">
        <v>1218</v>
      </c>
      <c r="H418" s="7" t="s">
        <v>3742</v>
      </c>
      <c r="I418" s="7" t="s">
        <v>0</v>
      </c>
      <c r="J418" s="7" t="s">
        <v>51</v>
      </c>
      <c r="K418" s="7" t="s">
        <v>85</v>
      </c>
      <c r="L418" s="7" t="s">
        <v>48</v>
      </c>
      <c r="M418" s="7" t="s">
        <v>1183</v>
      </c>
      <c r="N418" s="7" t="s">
        <v>3741</v>
      </c>
      <c r="O418" s="7" t="s">
        <v>0</v>
      </c>
      <c r="P418" s="7" t="s">
        <v>3743</v>
      </c>
      <c r="Q418" s="7" t="s">
        <v>3489</v>
      </c>
      <c r="R418" s="7" t="s">
        <v>393</v>
      </c>
      <c r="S418" s="7" t="s">
        <v>1476</v>
      </c>
      <c r="T418" s="7" t="s">
        <v>54</v>
      </c>
      <c r="U418" s="7" t="s">
        <v>283</v>
      </c>
      <c r="V418" s="7" t="s">
        <v>308</v>
      </c>
      <c r="W418" s="7" t="s">
        <v>74</v>
      </c>
      <c r="X418" s="7" t="s">
        <v>58</v>
      </c>
      <c r="Y418" s="8">
        <v>45406</v>
      </c>
      <c r="Z418" s="8" t="s">
        <v>0</v>
      </c>
      <c r="AA418" s="7" t="s">
        <v>309</v>
      </c>
      <c r="AB418" s="7" t="s">
        <v>228</v>
      </c>
      <c r="AC418" s="7" t="s">
        <v>65</v>
      </c>
      <c r="AD418" s="7" t="s">
        <v>0</v>
      </c>
      <c r="AE418" s="7" t="s">
        <v>0</v>
      </c>
      <c r="AF418" s="7" t="s">
        <v>0</v>
      </c>
      <c r="AG418" s="7" t="s">
        <v>0</v>
      </c>
      <c r="AH418" s="9" t="s">
        <v>0</v>
      </c>
      <c r="AI418" s="9" t="s">
        <v>0</v>
      </c>
      <c r="AJ418" s="9" t="s">
        <v>0</v>
      </c>
      <c r="AK418" s="7" t="s">
        <v>61</v>
      </c>
      <c r="AL418" s="7" t="s">
        <v>61</v>
      </c>
      <c r="AM418" s="7" t="s">
        <v>0</v>
      </c>
      <c r="AN418" s="7" t="s">
        <v>0</v>
      </c>
      <c r="AO418" s="7" t="s">
        <v>0</v>
      </c>
      <c r="AP418" s="7" t="s">
        <v>0</v>
      </c>
      <c r="AQ418" s="7" t="s">
        <v>61</v>
      </c>
      <c r="AR418" s="7" t="s">
        <v>0</v>
      </c>
      <c r="AS418" s="10" t="str">
        <f>HYPERLINK("https://tessa.gazprom-neft.local/edo/card/13f86d63-b60f-42e7-a0ce-280ea501c27c", "https://tessa.gazprom-neft.local/edo/card/13f86d63-b60f-42e7-a0ce-280ea501c27c")</f>
        <v>https://tessa.gazprom-neft.local/edo/card/13f86d63-b60f-42e7-a0ce-280ea501c27c</v>
      </c>
    </row>
    <row r="419" spans="1:45" x14ac:dyDescent="0.25">
      <c r="A419" s="6" t="s">
        <v>44</v>
      </c>
      <c r="B419" s="7" t="s">
        <v>620</v>
      </c>
      <c r="C419" s="7" t="s">
        <v>67</v>
      </c>
      <c r="D419" s="8">
        <v>45406</v>
      </c>
      <c r="E419" s="8">
        <v>45462</v>
      </c>
      <c r="F419" s="16" t="s">
        <v>621</v>
      </c>
      <c r="G419" s="7" t="s">
        <v>622</v>
      </c>
      <c r="H419" s="7" t="s">
        <v>618</v>
      </c>
      <c r="I419" s="7" t="s">
        <v>0</v>
      </c>
      <c r="J419" s="7" t="s">
        <v>355</v>
      </c>
      <c r="K419" s="7" t="s">
        <v>85</v>
      </c>
      <c r="L419" s="7" t="s">
        <v>48</v>
      </c>
      <c r="M419" s="7" t="s">
        <v>2373</v>
      </c>
      <c r="N419" s="7" t="s">
        <v>3778</v>
      </c>
      <c r="O419" s="7" t="s">
        <v>0</v>
      </c>
      <c r="P419" s="7" t="s">
        <v>3779</v>
      </c>
      <c r="Q419" s="7" t="s">
        <v>3105</v>
      </c>
      <c r="R419" s="7" t="s">
        <v>393</v>
      </c>
      <c r="S419" s="7" t="s">
        <v>209</v>
      </c>
      <c r="T419" s="7" t="s">
        <v>54</v>
      </c>
      <c r="U419" s="7" t="s">
        <v>210</v>
      </c>
      <c r="V419" s="7" t="s">
        <v>126</v>
      </c>
      <c r="W419" s="7" t="s">
        <v>74</v>
      </c>
      <c r="X419" s="7" t="s">
        <v>58</v>
      </c>
      <c r="Y419" s="8">
        <v>45406</v>
      </c>
      <c r="Z419" s="8" t="s">
        <v>0</v>
      </c>
      <c r="AA419" s="7" t="s">
        <v>200</v>
      </c>
      <c r="AB419" s="7" t="s">
        <v>130</v>
      </c>
      <c r="AC419" s="7" t="s">
        <v>65</v>
      </c>
      <c r="AD419" s="7" t="s">
        <v>0</v>
      </c>
      <c r="AE419" s="7" t="s">
        <v>0</v>
      </c>
      <c r="AF419" s="7" t="s">
        <v>0</v>
      </c>
      <c r="AG419" s="7" t="s">
        <v>0</v>
      </c>
      <c r="AH419" s="9" t="s">
        <v>0</v>
      </c>
      <c r="AI419" s="9" t="s">
        <v>0</v>
      </c>
      <c r="AJ419" s="9" t="s">
        <v>0</v>
      </c>
      <c r="AK419" s="7" t="s">
        <v>61</v>
      </c>
      <c r="AL419" s="7" t="s">
        <v>61</v>
      </c>
      <c r="AM419" s="7" t="s">
        <v>0</v>
      </c>
      <c r="AN419" s="7" t="s">
        <v>0</v>
      </c>
      <c r="AO419" s="7" t="s">
        <v>0</v>
      </c>
      <c r="AP419" s="7" t="s">
        <v>0</v>
      </c>
      <c r="AQ419" s="7" t="s">
        <v>61</v>
      </c>
      <c r="AR419" s="7" t="s">
        <v>0</v>
      </c>
      <c r="AS419" s="10" t="str">
        <f>HYPERLINK("https://tessa.gazprom-neft.local/edo/card/496f46ea-3e08-4424-ab87-ffd10a9010ff", "https://tessa.gazprom-neft.local/edo/card/496f46ea-3e08-4424-ab87-ffd10a9010ff")</f>
        <v>https://tessa.gazprom-neft.local/edo/card/496f46ea-3e08-4424-ab87-ffd10a9010ff</v>
      </c>
    </row>
    <row r="420" spans="1:45" x14ac:dyDescent="0.25">
      <c r="A420" s="6" t="s">
        <v>44</v>
      </c>
      <c r="B420" s="7" t="s">
        <v>620</v>
      </c>
      <c r="C420" s="7" t="s">
        <v>67</v>
      </c>
      <c r="D420" s="8">
        <v>45406</v>
      </c>
      <c r="E420" s="8">
        <v>45462</v>
      </c>
      <c r="F420" s="16" t="s">
        <v>621</v>
      </c>
      <c r="G420" s="7" t="s">
        <v>622</v>
      </c>
      <c r="H420" s="7" t="s">
        <v>856</v>
      </c>
      <c r="I420" s="7" t="s">
        <v>0</v>
      </c>
      <c r="J420" s="7" t="s">
        <v>271</v>
      </c>
      <c r="K420" s="7" t="s">
        <v>85</v>
      </c>
      <c r="L420" s="7" t="s">
        <v>48</v>
      </c>
      <c r="M420" s="7" t="s">
        <v>1183</v>
      </c>
      <c r="N420" s="7" t="s">
        <v>3790</v>
      </c>
      <c r="O420" s="7" t="s">
        <v>0</v>
      </c>
      <c r="P420" s="7" t="s">
        <v>3791</v>
      </c>
      <c r="Q420" s="7" t="s">
        <v>3489</v>
      </c>
      <c r="R420" s="7" t="s">
        <v>393</v>
      </c>
      <c r="S420" s="7" t="s">
        <v>1476</v>
      </c>
      <c r="T420" s="7" t="s">
        <v>54</v>
      </c>
      <c r="U420" s="7" t="s">
        <v>283</v>
      </c>
      <c r="V420" s="7" t="s">
        <v>308</v>
      </c>
      <c r="W420" s="7" t="s">
        <v>74</v>
      </c>
      <c r="X420" s="7" t="s">
        <v>58</v>
      </c>
      <c r="Y420" s="8">
        <v>45406</v>
      </c>
      <c r="Z420" s="8" t="s">
        <v>0</v>
      </c>
      <c r="AA420" s="7" t="s">
        <v>309</v>
      </c>
      <c r="AB420" s="7" t="s">
        <v>228</v>
      </c>
      <c r="AC420" s="7" t="s">
        <v>65</v>
      </c>
      <c r="AD420" s="7" t="s">
        <v>0</v>
      </c>
      <c r="AE420" s="7" t="s">
        <v>0</v>
      </c>
      <c r="AF420" s="7" t="s">
        <v>0</v>
      </c>
      <c r="AG420" s="7" t="s">
        <v>0</v>
      </c>
      <c r="AH420" s="9" t="s">
        <v>0</v>
      </c>
      <c r="AI420" s="9" t="s">
        <v>0</v>
      </c>
      <c r="AJ420" s="9" t="s">
        <v>0</v>
      </c>
      <c r="AK420" s="7" t="s">
        <v>61</v>
      </c>
      <c r="AL420" s="7" t="s">
        <v>61</v>
      </c>
      <c r="AM420" s="7" t="s">
        <v>0</v>
      </c>
      <c r="AN420" s="7" t="s">
        <v>0</v>
      </c>
      <c r="AO420" s="7" t="s">
        <v>0</v>
      </c>
      <c r="AP420" s="7" t="s">
        <v>0</v>
      </c>
      <c r="AQ420" s="7" t="s">
        <v>61</v>
      </c>
      <c r="AR420" s="7" t="s">
        <v>0</v>
      </c>
      <c r="AS420" s="10" t="str">
        <f>HYPERLINK("https://tessa.gazprom-neft.local/edo/card/d7cbd597-41a9-41e0-a467-a27870ffc54f", "https://tessa.gazprom-neft.local/edo/card/d7cbd597-41a9-41e0-a467-a27870ffc54f")</f>
        <v>https://tessa.gazprom-neft.local/edo/card/d7cbd597-41a9-41e0-a467-a27870ffc54f</v>
      </c>
    </row>
    <row r="421" spans="1:45" x14ac:dyDescent="0.25">
      <c r="A421" s="6" t="s">
        <v>44</v>
      </c>
      <c r="B421" s="7" t="s">
        <v>234</v>
      </c>
      <c r="C421" s="7" t="s">
        <v>67</v>
      </c>
      <c r="D421" s="8">
        <v>45406</v>
      </c>
      <c r="E421" s="8" t="s">
        <v>0</v>
      </c>
      <c r="F421" s="16" t="s">
        <v>235</v>
      </c>
      <c r="G421" s="7" t="s">
        <v>236</v>
      </c>
      <c r="H421" s="7" t="s">
        <v>3800</v>
      </c>
      <c r="I421" s="7" t="s">
        <v>0</v>
      </c>
      <c r="J421" s="7" t="s">
        <v>51</v>
      </c>
      <c r="K421" s="7" t="s">
        <v>85</v>
      </c>
      <c r="L421" s="7" t="s">
        <v>48</v>
      </c>
      <c r="M421" s="7" t="s">
        <v>1183</v>
      </c>
      <c r="N421" s="7" t="s">
        <v>3799</v>
      </c>
      <c r="O421" s="7" t="s">
        <v>0</v>
      </c>
      <c r="P421" s="7" t="s">
        <v>1183</v>
      </c>
      <c r="Q421" s="7" t="s">
        <v>3801</v>
      </c>
      <c r="R421" s="7" t="s">
        <v>282</v>
      </c>
      <c r="S421" s="7" t="s">
        <v>0</v>
      </c>
      <c r="T421" s="7" t="s">
        <v>54</v>
      </c>
      <c r="U421" s="7" t="s">
        <v>55</v>
      </c>
      <c r="V421" s="7" t="s">
        <v>308</v>
      </c>
      <c r="W421" s="7" t="s">
        <v>74</v>
      </c>
      <c r="X421" s="7" t="s">
        <v>103</v>
      </c>
      <c r="Y421" s="8">
        <v>45406</v>
      </c>
      <c r="Z421" s="8">
        <v>46022</v>
      </c>
      <c r="AA421" s="7" t="s">
        <v>309</v>
      </c>
      <c r="AB421" s="7" t="s">
        <v>228</v>
      </c>
      <c r="AC421" s="7" t="s">
        <v>65</v>
      </c>
      <c r="AD421" s="7" t="s">
        <v>0</v>
      </c>
      <c r="AE421" s="7" t="s">
        <v>0</v>
      </c>
      <c r="AF421" s="7" t="s">
        <v>0</v>
      </c>
      <c r="AG421" s="7" t="s">
        <v>0</v>
      </c>
      <c r="AH421" s="9" t="s">
        <v>0</v>
      </c>
      <c r="AI421" s="9" t="s">
        <v>0</v>
      </c>
      <c r="AJ421" s="9" t="s">
        <v>0</v>
      </c>
      <c r="AK421" s="7" t="s">
        <v>61</v>
      </c>
      <c r="AL421" s="7" t="s">
        <v>61</v>
      </c>
      <c r="AM421" s="7" t="s">
        <v>0</v>
      </c>
      <c r="AN421" s="7" t="s">
        <v>0</v>
      </c>
      <c r="AO421" s="7" t="s">
        <v>0</v>
      </c>
      <c r="AP421" s="7" t="s">
        <v>0</v>
      </c>
      <c r="AQ421" s="7" t="s">
        <v>61</v>
      </c>
      <c r="AR421" s="7" t="s">
        <v>0</v>
      </c>
      <c r="AS421" s="10" t="str">
        <f>HYPERLINK("https://tessa.gazprom-neft.local/edo/card/d34a9e13-e5b2-49c6-a358-e17da990f5b8", "https://tessa.gazprom-neft.local/edo/card/d34a9e13-e5b2-49c6-a358-e17da990f5b8")</f>
        <v>https://tessa.gazprom-neft.local/edo/card/d34a9e13-e5b2-49c6-a358-e17da990f5b8</v>
      </c>
    </row>
    <row r="422" spans="1:45" x14ac:dyDescent="0.25">
      <c r="A422" s="6" t="s">
        <v>44</v>
      </c>
      <c r="B422" s="7" t="s">
        <v>971</v>
      </c>
      <c r="C422" s="7" t="s">
        <v>67</v>
      </c>
      <c r="D422" s="8">
        <v>45405</v>
      </c>
      <c r="E422" s="8" t="s">
        <v>0</v>
      </c>
      <c r="F422" s="16" t="s">
        <v>972</v>
      </c>
      <c r="G422" s="7" t="s">
        <v>973</v>
      </c>
      <c r="H422" s="7" t="s">
        <v>968</v>
      </c>
      <c r="I422" s="7" t="s">
        <v>0</v>
      </c>
      <c r="J422" s="7" t="s">
        <v>70</v>
      </c>
      <c r="K422" s="7" t="s">
        <v>47</v>
      </c>
      <c r="L422" s="7" t="s">
        <v>48</v>
      </c>
      <c r="M422" s="7" t="s">
        <v>0</v>
      </c>
      <c r="N422" s="7" t="s">
        <v>3480</v>
      </c>
      <c r="O422" s="7" t="s">
        <v>0</v>
      </c>
      <c r="P422" s="7" t="s">
        <v>3481</v>
      </c>
      <c r="Q422" s="7" t="s">
        <v>3482</v>
      </c>
      <c r="R422" s="7" t="s">
        <v>339</v>
      </c>
      <c r="S422" s="7" t="s">
        <v>339</v>
      </c>
      <c r="T422" s="7" t="s">
        <v>54</v>
      </c>
      <c r="U422" s="7" t="s">
        <v>303</v>
      </c>
      <c r="V422" s="7" t="s">
        <v>91</v>
      </c>
      <c r="W422" s="7" t="s">
        <v>74</v>
      </c>
      <c r="X422" s="7" t="s">
        <v>103</v>
      </c>
      <c r="Y422" s="8">
        <v>45413</v>
      </c>
      <c r="Z422" s="8">
        <v>45716</v>
      </c>
      <c r="AA422" s="7" t="s">
        <v>92</v>
      </c>
      <c r="AB422" s="7" t="s">
        <v>64</v>
      </c>
      <c r="AC422" s="7" t="s">
        <v>79</v>
      </c>
      <c r="AD422" s="7" t="s">
        <v>80</v>
      </c>
      <c r="AE422" s="7" t="s">
        <v>118</v>
      </c>
      <c r="AF422" s="7" t="s">
        <v>0</v>
      </c>
      <c r="AG422" s="7" t="s">
        <v>0</v>
      </c>
      <c r="AH422" s="9" t="s">
        <v>10984</v>
      </c>
      <c r="AI422" s="9" t="s">
        <v>10984</v>
      </c>
      <c r="AJ422" s="9">
        <v>0</v>
      </c>
      <c r="AK422" s="7" t="s">
        <v>61</v>
      </c>
      <c r="AL422" s="7" t="s">
        <v>61</v>
      </c>
      <c r="AM422" s="7" t="s">
        <v>0</v>
      </c>
      <c r="AN422" s="7" t="s">
        <v>0</v>
      </c>
      <c r="AO422" s="7" t="s">
        <v>0</v>
      </c>
      <c r="AP422" s="7" t="s">
        <v>0</v>
      </c>
      <c r="AQ422" s="7" t="s">
        <v>61</v>
      </c>
      <c r="AR422" s="7" t="s">
        <v>0</v>
      </c>
      <c r="AS422" s="10" t="str">
        <f>HYPERLINK("https://tessa.gazprom-neft.local/edo/card/1b27b249-63d4-425f-bc38-bff5f0e1d184", "https://tessa.gazprom-neft.local/edo/card/1b27b249-63d4-425f-bc38-bff5f0e1d184")</f>
        <v>https://tessa.gazprom-neft.local/edo/card/1b27b249-63d4-425f-bc38-bff5f0e1d184</v>
      </c>
    </row>
    <row r="423" spans="1:45" x14ac:dyDescent="0.25">
      <c r="A423" s="6" t="s">
        <v>44</v>
      </c>
      <c r="B423" s="7" t="s">
        <v>673</v>
      </c>
      <c r="C423" s="7" t="s">
        <v>67</v>
      </c>
      <c r="D423" s="8">
        <v>45405</v>
      </c>
      <c r="E423" s="8">
        <v>45416</v>
      </c>
      <c r="F423" s="16" t="s">
        <v>674</v>
      </c>
      <c r="G423" s="7" t="s">
        <v>675</v>
      </c>
      <c r="H423" s="7" t="s">
        <v>668</v>
      </c>
      <c r="I423" s="7" t="s">
        <v>0</v>
      </c>
      <c r="J423" s="7" t="s">
        <v>70</v>
      </c>
      <c r="K423" s="7" t="s">
        <v>47</v>
      </c>
      <c r="L423" s="7" t="s">
        <v>48</v>
      </c>
      <c r="M423" s="7" t="s">
        <v>0</v>
      </c>
      <c r="N423" s="7" t="s">
        <v>3643</v>
      </c>
      <c r="O423" s="7" t="s">
        <v>0</v>
      </c>
      <c r="P423" s="7" t="s">
        <v>3644</v>
      </c>
      <c r="Q423" s="7" t="s">
        <v>2963</v>
      </c>
      <c r="R423" s="7" t="s">
        <v>671</v>
      </c>
      <c r="S423" s="7" t="s">
        <v>671</v>
      </c>
      <c r="T423" s="7" t="s">
        <v>54</v>
      </c>
      <c r="U423" s="7" t="s">
        <v>672</v>
      </c>
      <c r="V423" s="7" t="s">
        <v>126</v>
      </c>
      <c r="W423" s="7" t="s">
        <v>74</v>
      </c>
      <c r="X423" s="7" t="s">
        <v>103</v>
      </c>
      <c r="Y423" s="8">
        <v>45405</v>
      </c>
      <c r="Z423" s="8">
        <v>46022</v>
      </c>
      <c r="AA423" s="7" t="s">
        <v>200</v>
      </c>
      <c r="AB423" s="7" t="s">
        <v>130</v>
      </c>
      <c r="AC423" s="7" t="s">
        <v>79</v>
      </c>
      <c r="AD423" s="7" t="s">
        <v>144</v>
      </c>
      <c r="AE423" s="7" t="s">
        <v>82</v>
      </c>
      <c r="AF423" s="7" t="s">
        <v>0</v>
      </c>
      <c r="AG423" s="7" t="s">
        <v>3645</v>
      </c>
      <c r="AH423" s="9" t="s">
        <v>11757</v>
      </c>
      <c r="AI423" s="9" t="s">
        <v>11758</v>
      </c>
      <c r="AJ423" s="9" t="s">
        <v>11759</v>
      </c>
      <c r="AK423" s="7" t="s">
        <v>81</v>
      </c>
      <c r="AL423" s="7" t="s">
        <v>61</v>
      </c>
      <c r="AM423" s="7" t="s">
        <v>0</v>
      </c>
      <c r="AN423" s="7" t="s">
        <v>0</v>
      </c>
      <c r="AO423" s="7" t="s">
        <v>0</v>
      </c>
      <c r="AP423" s="7" t="s">
        <v>0</v>
      </c>
      <c r="AQ423" s="7" t="s">
        <v>61</v>
      </c>
      <c r="AR423" s="7" t="s">
        <v>0</v>
      </c>
      <c r="AS423" s="10" t="str">
        <f>HYPERLINK("https://tessa.gazprom-neft.local/edo/card/c3ac6097-1b2c-44b3-a1de-fce3f03b91cc", "https://tessa.gazprom-neft.local/edo/card/c3ac6097-1b2c-44b3-a1de-fce3f03b91cc")</f>
        <v>https://tessa.gazprom-neft.local/edo/card/c3ac6097-1b2c-44b3-a1de-fce3f03b91cc</v>
      </c>
    </row>
    <row r="424" spans="1:45" x14ac:dyDescent="0.25">
      <c r="A424" s="6" t="s">
        <v>44</v>
      </c>
      <c r="B424" s="7" t="s">
        <v>170</v>
      </c>
      <c r="C424" s="7" t="s">
        <v>67</v>
      </c>
      <c r="D424" s="8">
        <v>45405</v>
      </c>
      <c r="E424" s="8" t="s">
        <v>0</v>
      </c>
      <c r="F424" s="16" t="s">
        <v>171</v>
      </c>
      <c r="G424" s="7" t="s">
        <v>172</v>
      </c>
      <c r="H424" s="7" t="s">
        <v>1109</v>
      </c>
      <c r="I424" s="7" t="s">
        <v>0</v>
      </c>
      <c r="J424" s="7" t="s">
        <v>156</v>
      </c>
      <c r="K424" s="7" t="s">
        <v>85</v>
      </c>
      <c r="L424" s="7" t="s">
        <v>48</v>
      </c>
      <c r="M424" s="7" t="s">
        <v>2373</v>
      </c>
      <c r="N424" s="7" t="s">
        <v>3721</v>
      </c>
      <c r="O424" s="7" t="s">
        <v>0</v>
      </c>
      <c r="P424" s="7" t="s">
        <v>2373</v>
      </c>
      <c r="Q424" s="7" t="s">
        <v>3722</v>
      </c>
      <c r="R424" s="7" t="s">
        <v>124</v>
      </c>
      <c r="S424" s="7" t="s">
        <v>0</v>
      </c>
      <c r="T424" s="7" t="s">
        <v>54</v>
      </c>
      <c r="U424" s="7" t="s">
        <v>101</v>
      </c>
      <c r="V424" s="7" t="s">
        <v>168</v>
      </c>
      <c r="W424" s="7" t="s">
        <v>74</v>
      </c>
      <c r="X424" s="7" t="s">
        <v>58</v>
      </c>
      <c r="Y424" s="8">
        <v>45405</v>
      </c>
      <c r="Z424" s="8" t="s">
        <v>0</v>
      </c>
      <c r="AA424" s="7" t="s">
        <v>169</v>
      </c>
      <c r="AB424" s="7" t="s">
        <v>64</v>
      </c>
      <c r="AC424" s="7" t="s">
        <v>65</v>
      </c>
      <c r="AD424" s="7" t="s">
        <v>0</v>
      </c>
      <c r="AE424" s="7" t="s">
        <v>0</v>
      </c>
      <c r="AF424" s="7" t="s">
        <v>0</v>
      </c>
      <c r="AG424" s="7" t="s">
        <v>0</v>
      </c>
      <c r="AH424" s="9" t="s">
        <v>0</v>
      </c>
      <c r="AI424" s="9" t="s">
        <v>0</v>
      </c>
      <c r="AJ424" s="9" t="s">
        <v>0</v>
      </c>
      <c r="AK424" s="7" t="s">
        <v>61</v>
      </c>
      <c r="AL424" s="7" t="s">
        <v>61</v>
      </c>
      <c r="AM424" s="7" t="s">
        <v>0</v>
      </c>
      <c r="AN424" s="7" t="s">
        <v>0</v>
      </c>
      <c r="AO424" s="7" t="s">
        <v>0</v>
      </c>
      <c r="AP424" s="7" t="s">
        <v>0</v>
      </c>
      <c r="AQ424" s="7" t="s">
        <v>61</v>
      </c>
      <c r="AR424" s="7" t="s">
        <v>0</v>
      </c>
      <c r="AS424" s="10" t="str">
        <f>HYPERLINK("https://tessa.gazprom-neft.local/edo/card/240c78a4-ddf4-49b8-9642-4577598ef977", "https://tessa.gazprom-neft.local/edo/card/240c78a4-ddf4-49b8-9642-4577598ef977")</f>
        <v>https://tessa.gazprom-neft.local/edo/card/240c78a4-ddf4-49b8-9642-4577598ef977</v>
      </c>
    </row>
    <row r="425" spans="1:45" x14ac:dyDescent="0.25">
      <c r="A425" s="6" t="s">
        <v>44</v>
      </c>
      <c r="B425" s="7" t="s">
        <v>1386</v>
      </c>
      <c r="C425" s="7" t="s">
        <v>67</v>
      </c>
      <c r="D425" s="8">
        <v>45405</v>
      </c>
      <c r="E425" s="8">
        <v>45434</v>
      </c>
      <c r="F425" s="16" t="s">
        <v>1387</v>
      </c>
      <c r="G425" s="7" t="s">
        <v>1388</v>
      </c>
      <c r="H425" s="7" t="s">
        <v>3881</v>
      </c>
      <c r="I425" s="7" t="s">
        <v>0</v>
      </c>
      <c r="J425" s="7" t="s">
        <v>263</v>
      </c>
      <c r="K425" s="7" t="s">
        <v>47</v>
      </c>
      <c r="L425" s="7" t="s">
        <v>48</v>
      </c>
      <c r="M425" s="7" t="s">
        <v>0</v>
      </c>
      <c r="N425" s="7" t="s">
        <v>3880</v>
      </c>
      <c r="O425" s="7" t="s">
        <v>0</v>
      </c>
      <c r="P425" s="7" t="s">
        <v>3882</v>
      </c>
      <c r="Q425" s="7" t="s">
        <v>3883</v>
      </c>
      <c r="R425" s="7" t="s">
        <v>484</v>
      </c>
      <c r="S425" s="7" t="s">
        <v>484</v>
      </c>
      <c r="T425" s="7" t="s">
        <v>54</v>
      </c>
      <c r="U425" s="7" t="s">
        <v>274</v>
      </c>
      <c r="V425" s="7" t="s">
        <v>723</v>
      </c>
      <c r="W425" s="7" t="s">
        <v>74</v>
      </c>
      <c r="X425" s="7" t="s">
        <v>58</v>
      </c>
      <c r="Y425" s="8">
        <v>45405</v>
      </c>
      <c r="Z425" s="8" t="s">
        <v>0</v>
      </c>
      <c r="AA425" s="7" t="s">
        <v>1767</v>
      </c>
      <c r="AB425" s="7" t="s">
        <v>64</v>
      </c>
      <c r="AC425" s="7" t="s">
        <v>65</v>
      </c>
      <c r="AD425" s="7" t="s">
        <v>0</v>
      </c>
      <c r="AE425" s="7" t="s">
        <v>0</v>
      </c>
      <c r="AF425" s="7" t="s">
        <v>0</v>
      </c>
      <c r="AG425" s="7" t="s">
        <v>0</v>
      </c>
      <c r="AH425" s="9" t="s">
        <v>0</v>
      </c>
      <c r="AI425" s="9" t="s">
        <v>0</v>
      </c>
      <c r="AJ425" s="9" t="s">
        <v>0</v>
      </c>
      <c r="AK425" s="7" t="s">
        <v>61</v>
      </c>
      <c r="AL425" s="7" t="s">
        <v>61</v>
      </c>
      <c r="AM425" s="7" t="s">
        <v>0</v>
      </c>
      <c r="AN425" s="7" t="s">
        <v>0</v>
      </c>
      <c r="AO425" s="7" t="s">
        <v>0</v>
      </c>
      <c r="AP425" s="7" t="s">
        <v>0</v>
      </c>
      <c r="AQ425" s="7" t="s">
        <v>61</v>
      </c>
      <c r="AR425" s="7" t="s">
        <v>0</v>
      </c>
      <c r="AS425" s="10" t="str">
        <f>HYPERLINK("https://tessa.gazprom-neft.local/edo/card/bd0d79d0-06fd-4652-a072-2d12c57e2b72", "https://tessa.gazprom-neft.local/edo/card/bd0d79d0-06fd-4652-a072-2d12c57e2b72")</f>
        <v>https://tessa.gazprom-neft.local/edo/card/bd0d79d0-06fd-4652-a072-2d12c57e2b72</v>
      </c>
    </row>
    <row r="426" spans="1:45" hidden="1" x14ac:dyDescent="0.25">
      <c r="A426" s="6" t="s">
        <v>44</v>
      </c>
      <c r="B426" s="7" t="s">
        <v>697</v>
      </c>
      <c r="C426" s="7" t="s">
        <v>67</v>
      </c>
      <c r="D426" s="8">
        <v>45404</v>
      </c>
      <c r="E426" s="8" t="s">
        <v>0</v>
      </c>
      <c r="F426" s="16" t="s">
        <v>698</v>
      </c>
      <c r="G426" s="7" t="s">
        <v>699</v>
      </c>
      <c r="H426" s="7" t="s">
        <v>0</v>
      </c>
      <c r="I426" s="7" t="s">
        <v>1762</v>
      </c>
      <c r="J426" s="7" t="s">
        <v>1762</v>
      </c>
      <c r="K426" s="7" t="s">
        <v>47</v>
      </c>
      <c r="L426" s="7" t="s">
        <v>96</v>
      </c>
      <c r="M426" s="7" t="s">
        <v>0</v>
      </c>
      <c r="N426" s="7" t="s">
        <v>1761</v>
      </c>
      <c r="O426" s="7" t="s">
        <v>0</v>
      </c>
      <c r="P426" s="7" t="s">
        <v>1763</v>
      </c>
      <c r="Q426" s="7" t="s">
        <v>1764</v>
      </c>
      <c r="R426" s="7" t="s">
        <v>1765</v>
      </c>
      <c r="S426" s="7" t="s">
        <v>846</v>
      </c>
      <c r="T426" s="7" t="s">
        <v>54</v>
      </c>
      <c r="U426" s="7" t="s">
        <v>1766</v>
      </c>
      <c r="V426" s="7" t="s">
        <v>723</v>
      </c>
      <c r="W426" s="7" t="s">
        <v>57</v>
      </c>
      <c r="X426" s="7" t="s">
        <v>58</v>
      </c>
      <c r="Y426" s="8">
        <v>45404</v>
      </c>
      <c r="Z426" s="8" t="s">
        <v>0</v>
      </c>
      <c r="AA426" s="7" t="s">
        <v>1767</v>
      </c>
      <c r="AB426" s="7" t="s">
        <v>256</v>
      </c>
      <c r="AC426" s="7" t="s">
        <v>79</v>
      </c>
      <c r="AD426" s="7" t="s">
        <v>80</v>
      </c>
      <c r="AE426" s="7" t="s">
        <v>82</v>
      </c>
      <c r="AF426" s="7" t="s">
        <v>0</v>
      </c>
      <c r="AG426" s="7" t="s">
        <v>0</v>
      </c>
      <c r="AH426" s="9" t="s">
        <v>11115</v>
      </c>
      <c r="AI426" s="9" t="s">
        <v>11116</v>
      </c>
      <c r="AJ426" s="9" t="s">
        <v>11117</v>
      </c>
      <c r="AK426" s="7" t="s">
        <v>61</v>
      </c>
      <c r="AL426" s="7" t="s">
        <v>61</v>
      </c>
      <c r="AM426" s="7" t="s">
        <v>0</v>
      </c>
      <c r="AN426" s="7" t="s">
        <v>0</v>
      </c>
      <c r="AO426" s="7" t="s">
        <v>0</v>
      </c>
      <c r="AP426" s="7" t="s">
        <v>0</v>
      </c>
      <c r="AQ426" s="7" t="s">
        <v>81</v>
      </c>
      <c r="AR426" s="7" t="s">
        <v>0</v>
      </c>
      <c r="AS426" s="10" t="str">
        <f>HYPERLINK("https://tessa.gazprom-neft.local/edo/card/57386653-88c6-422a-9302-5c01d77f9789", "https://tessa.gazprom-neft.local/edo/card/57386653-88c6-422a-9302-5c01d77f9789")</f>
        <v>https://tessa.gazprom-neft.local/edo/card/57386653-88c6-422a-9302-5c01d77f9789</v>
      </c>
    </row>
    <row r="427" spans="1:45" hidden="1" x14ac:dyDescent="0.25">
      <c r="A427" s="6" t="s">
        <v>44</v>
      </c>
      <c r="B427" s="7" t="s">
        <v>2754</v>
      </c>
      <c r="C427" s="7" t="s">
        <v>67</v>
      </c>
      <c r="D427" s="8">
        <v>45404</v>
      </c>
      <c r="E427" s="8" t="s">
        <v>0</v>
      </c>
      <c r="F427" s="16" t="s">
        <v>2755</v>
      </c>
      <c r="G427" s="7" t="s">
        <v>2756</v>
      </c>
      <c r="H427" s="7" t="s">
        <v>0</v>
      </c>
      <c r="I427" s="7" t="s">
        <v>2752</v>
      </c>
      <c r="J427" s="7" t="s">
        <v>2752</v>
      </c>
      <c r="K427" s="7" t="s">
        <v>85</v>
      </c>
      <c r="L427" s="7" t="s">
        <v>86</v>
      </c>
      <c r="M427" s="7" t="s">
        <v>289</v>
      </c>
      <c r="N427" s="7" t="s">
        <v>2751</v>
      </c>
      <c r="O427" s="7" t="s">
        <v>0</v>
      </c>
      <c r="P427" s="7" t="s">
        <v>2753</v>
      </c>
      <c r="Q427" s="7" t="s">
        <v>2315</v>
      </c>
      <c r="R427" s="7" t="s">
        <v>1139</v>
      </c>
      <c r="S427" s="7" t="s">
        <v>1586</v>
      </c>
      <c r="T427" s="7" t="s">
        <v>54</v>
      </c>
      <c r="U427" s="7" t="s">
        <v>1587</v>
      </c>
      <c r="V427" s="7" t="s">
        <v>137</v>
      </c>
      <c r="W427" s="7" t="s">
        <v>74</v>
      </c>
      <c r="X427" s="7" t="s">
        <v>58</v>
      </c>
      <c r="Y427" s="8">
        <v>45404</v>
      </c>
      <c r="Z427" s="8" t="s">
        <v>0</v>
      </c>
      <c r="AA427" s="7" t="s">
        <v>0</v>
      </c>
      <c r="AB427" s="7" t="s">
        <v>300</v>
      </c>
      <c r="AC427" s="7" t="s">
        <v>65</v>
      </c>
      <c r="AD427" s="7" t="s">
        <v>0</v>
      </c>
      <c r="AE427" s="7" t="s">
        <v>0</v>
      </c>
      <c r="AF427" s="7" t="s">
        <v>0</v>
      </c>
      <c r="AG427" s="7" t="s">
        <v>0</v>
      </c>
      <c r="AH427" s="9" t="s">
        <v>0</v>
      </c>
      <c r="AI427" s="9" t="s">
        <v>0</v>
      </c>
      <c r="AJ427" s="9" t="s">
        <v>0</v>
      </c>
      <c r="AK427" s="7" t="s">
        <v>61</v>
      </c>
      <c r="AL427" s="7" t="s">
        <v>61</v>
      </c>
      <c r="AM427" s="7" t="s">
        <v>0</v>
      </c>
      <c r="AN427" s="7" t="s">
        <v>0</v>
      </c>
      <c r="AO427" s="7" t="s">
        <v>0</v>
      </c>
      <c r="AP427" s="7" t="s">
        <v>0</v>
      </c>
      <c r="AQ427" s="7" t="s">
        <v>61</v>
      </c>
      <c r="AR427" s="7" t="s">
        <v>0</v>
      </c>
      <c r="AS427" s="10" t="str">
        <f>HYPERLINK("https://tessa.gazprom-neft.local/edo/card/fb80fdf6-de8f-4274-a9d3-eff82fdba465", "https://tessa.gazprom-neft.local/edo/card/fb80fdf6-de8f-4274-a9d3-eff82fdba465")</f>
        <v>https://tessa.gazprom-neft.local/edo/card/fb80fdf6-de8f-4274-a9d3-eff82fdba465</v>
      </c>
    </row>
    <row r="428" spans="1:45" hidden="1" x14ac:dyDescent="0.25">
      <c r="A428" s="6" t="s">
        <v>44</v>
      </c>
      <c r="B428" s="7" t="s">
        <v>2754</v>
      </c>
      <c r="C428" s="7" t="s">
        <v>67</v>
      </c>
      <c r="D428" s="8">
        <v>45404</v>
      </c>
      <c r="E428" s="8" t="s">
        <v>0</v>
      </c>
      <c r="F428" s="16" t="s">
        <v>2755</v>
      </c>
      <c r="G428" s="7" t="s">
        <v>2756</v>
      </c>
      <c r="H428" s="7" t="s">
        <v>0</v>
      </c>
      <c r="I428" s="7" t="s">
        <v>2806</v>
      </c>
      <c r="J428" s="7" t="s">
        <v>2806</v>
      </c>
      <c r="K428" s="7" t="s">
        <v>47</v>
      </c>
      <c r="L428" s="7" t="s">
        <v>96</v>
      </c>
      <c r="M428" s="7" t="s">
        <v>0</v>
      </c>
      <c r="N428" s="7" t="s">
        <v>2805</v>
      </c>
      <c r="O428" s="7" t="s">
        <v>0</v>
      </c>
      <c r="P428" s="7" t="s">
        <v>2807</v>
      </c>
      <c r="Q428" s="7" t="s">
        <v>1585</v>
      </c>
      <c r="R428" s="7" t="s">
        <v>1139</v>
      </c>
      <c r="S428" s="7" t="s">
        <v>1586</v>
      </c>
      <c r="T428" s="7" t="s">
        <v>54</v>
      </c>
      <c r="U428" s="7" t="s">
        <v>1587</v>
      </c>
      <c r="V428" s="7" t="s">
        <v>137</v>
      </c>
      <c r="W428" s="7" t="s">
        <v>74</v>
      </c>
      <c r="X428" s="7" t="s">
        <v>58</v>
      </c>
      <c r="Y428" s="8">
        <v>45404</v>
      </c>
      <c r="Z428" s="8" t="s">
        <v>0</v>
      </c>
      <c r="AA428" s="7" t="s">
        <v>0</v>
      </c>
      <c r="AB428" s="7" t="s">
        <v>366</v>
      </c>
      <c r="AC428" s="7" t="s">
        <v>79</v>
      </c>
      <c r="AD428" s="7" t="s">
        <v>367</v>
      </c>
      <c r="AE428" s="7" t="s">
        <v>82</v>
      </c>
      <c r="AF428" s="7" t="s">
        <v>0</v>
      </c>
      <c r="AG428" s="7" t="s">
        <v>0</v>
      </c>
      <c r="AH428" s="9">
        <v>0</v>
      </c>
      <c r="AI428" s="9">
        <v>0</v>
      </c>
      <c r="AJ428" s="9">
        <v>0</v>
      </c>
      <c r="AK428" s="7" t="s">
        <v>61</v>
      </c>
      <c r="AL428" s="7" t="s">
        <v>61</v>
      </c>
      <c r="AM428" s="7" t="s">
        <v>0</v>
      </c>
      <c r="AN428" s="7" t="s">
        <v>0</v>
      </c>
      <c r="AO428" s="7" t="s">
        <v>0</v>
      </c>
      <c r="AP428" s="7" t="s">
        <v>0</v>
      </c>
      <c r="AQ428" s="7" t="s">
        <v>61</v>
      </c>
      <c r="AR428" s="7" t="s">
        <v>0</v>
      </c>
      <c r="AS428" s="10" t="str">
        <f>HYPERLINK("https://tessa.gazprom-neft.local/edo/card/f24b5f18-cb22-4334-9f21-4d07011b772d", "https://tessa.gazprom-neft.local/edo/card/f24b5f18-cb22-4334-9f21-4d07011b772d")</f>
        <v>https://tessa.gazprom-neft.local/edo/card/f24b5f18-cb22-4334-9f21-4d07011b772d</v>
      </c>
    </row>
    <row r="429" spans="1:45" hidden="1" x14ac:dyDescent="0.25">
      <c r="A429" s="6" t="s">
        <v>44</v>
      </c>
      <c r="B429" s="7" t="s">
        <v>2754</v>
      </c>
      <c r="C429" s="7" t="s">
        <v>67</v>
      </c>
      <c r="D429" s="8">
        <v>45404</v>
      </c>
      <c r="E429" s="8" t="s">
        <v>0</v>
      </c>
      <c r="F429" s="16" t="s">
        <v>2755</v>
      </c>
      <c r="G429" s="7" t="s">
        <v>2756</v>
      </c>
      <c r="H429" s="7" t="s">
        <v>0</v>
      </c>
      <c r="I429" s="7" t="s">
        <v>3635</v>
      </c>
      <c r="J429" s="7" t="s">
        <v>3635</v>
      </c>
      <c r="K429" s="7" t="s">
        <v>85</v>
      </c>
      <c r="L429" s="7" t="s">
        <v>86</v>
      </c>
      <c r="M429" s="7" t="s">
        <v>83</v>
      </c>
      <c r="N429" s="7" t="s">
        <v>3634</v>
      </c>
      <c r="O429" s="7" t="s">
        <v>0</v>
      </c>
      <c r="P429" s="7" t="s">
        <v>83</v>
      </c>
      <c r="Q429" s="7" t="s">
        <v>2260</v>
      </c>
      <c r="R429" s="7" t="s">
        <v>2261</v>
      </c>
      <c r="S429" s="7" t="s">
        <v>2261</v>
      </c>
      <c r="T429" s="7" t="s">
        <v>54</v>
      </c>
      <c r="U429" s="7" t="s">
        <v>428</v>
      </c>
      <c r="V429" s="7" t="s">
        <v>91</v>
      </c>
      <c r="W429" s="7" t="s">
        <v>74</v>
      </c>
      <c r="X429" s="7" t="s">
        <v>103</v>
      </c>
      <c r="Y429" s="8">
        <v>45404</v>
      </c>
      <c r="Z429" s="8">
        <v>47229</v>
      </c>
      <c r="AA429" s="7" t="s">
        <v>92</v>
      </c>
      <c r="AB429" s="7" t="s">
        <v>94</v>
      </c>
      <c r="AC429" s="7" t="s">
        <v>65</v>
      </c>
      <c r="AD429" s="7" t="s">
        <v>0</v>
      </c>
      <c r="AE429" s="7" t="s">
        <v>0</v>
      </c>
      <c r="AF429" s="7" t="s">
        <v>0</v>
      </c>
      <c r="AG429" s="7" t="s">
        <v>0</v>
      </c>
      <c r="AH429" s="9" t="s">
        <v>0</v>
      </c>
      <c r="AI429" s="9" t="s">
        <v>0</v>
      </c>
      <c r="AJ429" s="9" t="s">
        <v>0</v>
      </c>
      <c r="AK429" s="7" t="s">
        <v>61</v>
      </c>
      <c r="AL429" s="7" t="s">
        <v>61</v>
      </c>
      <c r="AM429" s="7" t="s">
        <v>0</v>
      </c>
      <c r="AN429" s="7" t="s">
        <v>0</v>
      </c>
      <c r="AO429" s="7" t="s">
        <v>0</v>
      </c>
      <c r="AP429" s="7" t="s">
        <v>0</v>
      </c>
      <c r="AQ429" s="7" t="s">
        <v>61</v>
      </c>
      <c r="AR429" s="7" t="s">
        <v>0</v>
      </c>
      <c r="AS429" s="10" t="str">
        <f>HYPERLINK("https://tessa.gazprom-neft.local/edo/card/63175888-50ac-4fda-925d-1c012be27bdd", "https://tessa.gazprom-neft.local/edo/card/63175888-50ac-4fda-925d-1c012be27bdd")</f>
        <v>https://tessa.gazprom-neft.local/edo/card/63175888-50ac-4fda-925d-1c012be27bdd</v>
      </c>
    </row>
    <row r="430" spans="1:45" x14ac:dyDescent="0.25">
      <c r="A430" s="6" t="s">
        <v>44</v>
      </c>
      <c r="B430" s="7" t="s">
        <v>542</v>
      </c>
      <c r="C430" s="7" t="s">
        <v>67</v>
      </c>
      <c r="D430" s="8">
        <v>45404</v>
      </c>
      <c r="E430" s="8">
        <v>45426</v>
      </c>
      <c r="F430" s="16" t="s">
        <v>543</v>
      </c>
      <c r="G430" s="7" t="s">
        <v>544</v>
      </c>
      <c r="H430" s="7" t="s">
        <v>2148</v>
      </c>
      <c r="I430" s="7" t="s">
        <v>0</v>
      </c>
      <c r="J430" s="7" t="s">
        <v>51</v>
      </c>
      <c r="K430" s="7" t="s">
        <v>47</v>
      </c>
      <c r="L430" s="7" t="s">
        <v>48</v>
      </c>
      <c r="M430" s="7" t="s">
        <v>0</v>
      </c>
      <c r="N430" s="7" t="s">
        <v>3808</v>
      </c>
      <c r="O430" s="7" t="s">
        <v>0</v>
      </c>
      <c r="P430" s="7" t="s">
        <v>3809</v>
      </c>
      <c r="Q430" s="7" t="s">
        <v>3810</v>
      </c>
      <c r="R430" s="7" t="s">
        <v>646</v>
      </c>
      <c r="S430" s="7" t="s">
        <v>540</v>
      </c>
      <c r="T430" s="7" t="s">
        <v>54</v>
      </c>
      <c r="U430" s="7" t="s">
        <v>55</v>
      </c>
      <c r="V430" s="7" t="s">
        <v>126</v>
      </c>
      <c r="W430" s="7" t="s">
        <v>74</v>
      </c>
      <c r="X430" s="7" t="s">
        <v>58</v>
      </c>
      <c r="Y430" s="8">
        <v>45404</v>
      </c>
      <c r="Z430" s="8" t="s">
        <v>0</v>
      </c>
      <c r="AA430" s="7" t="s">
        <v>200</v>
      </c>
      <c r="AB430" s="7" t="s">
        <v>130</v>
      </c>
      <c r="AC430" s="7" t="s">
        <v>65</v>
      </c>
      <c r="AD430" s="7" t="s">
        <v>144</v>
      </c>
      <c r="AE430" s="7" t="s">
        <v>0</v>
      </c>
      <c r="AF430" s="7" t="s">
        <v>0</v>
      </c>
      <c r="AG430" s="7" t="s">
        <v>0</v>
      </c>
      <c r="AH430" s="9" t="s">
        <v>0</v>
      </c>
      <c r="AI430" s="9" t="s">
        <v>0</v>
      </c>
      <c r="AJ430" s="9" t="s">
        <v>0</v>
      </c>
      <c r="AK430" s="7" t="s">
        <v>61</v>
      </c>
      <c r="AL430" s="7" t="s">
        <v>61</v>
      </c>
      <c r="AM430" s="7" t="s">
        <v>0</v>
      </c>
      <c r="AN430" s="7" t="s">
        <v>0</v>
      </c>
      <c r="AO430" s="7" t="s">
        <v>0</v>
      </c>
      <c r="AP430" s="7" t="s">
        <v>0</v>
      </c>
      <c r="AQ430" s="7" t="s">
        <v>61</v>
      </c>
      <c r="AR430" s="7" t="s">
        <v>0</v>
      </c>
      <c r="AS430" s="10" t="str">
        <f>HYPERLINK("https://tessa.gazprom-neft.local/edo/card/e50cb1dd-e85a-4f42-8884-8007f40dec3a", "https://tessa.gazprom-neft.local/edo/card/e50cb1dd-e85a-4f42-8884-8007f40dec3a")</f>
        <v>https://tessa.gazprom-neft.local/edo/card/e50cb1dd-e85a-4f42-8884-8007f40dec3a</v>
      </c>
    </row>
    <row r="431" spans="1:45" hidden="1" x14ac:dyDescent="0.25">
      <c r="A431" s="6" t="s">
        <v>44</v>
      </c>
      <c r="B431" s="7" t="s">
        <v>3319</v>
      </c>
      <c r="C431" s="7" t="s">
        <v>67</v>
      </c>
      <c r="D431" s="8">
        <v>45404</v>
      </c>
      <c r="E431" s="8">
        <v>45425</v>
      </c>
      <c r="F431" s="16" t="s">
        <v>3320</v>
      </c>
      <c r="G431" s="7" t="s">
        <v>3321</v>
      </c>
      <c r="H431" s="7" t="s">
        <v>0</v>
      </c>
      <c r="I431" s="7" t="s">
        <v>3986</v>
      </c>
      <c r="J431" s="7" t="s">
        <v>3986</v>
      </c>
      <c r="K431" s="7" t="s">
        <v>85</v>
      </c>
      <c r="L431" s="7" t="s">
        <v>86</v>
      </c>
      <c r="M431" s="7" t="s">
        <v>83</v>
      </c>
      <c r="N431" s="7" t="s">
        <v>3985</v>
      </c>
      <c r="O431" s="7" t="s">
        <v>0</v>
      </c>
      <c r="P431" s="7" t="s">
        <v>83</v>
      </c>
      <c r="Q431" s="7" t="s">
        <v>2260</v>
      </c>
      <c r="R431" s="7" t="s">
        <v>2261</v>
      </c>
      <c r="S431" s="7" t="s">
        <v>2261</v>
      </c>
      <c r="T431" s="7" t="s">
        <v>54</v>
      </c>
      <c r="U431" s="7" t="s">
        <v>428</v>
      </c>
      <c r="V431" s="7" t="s">
        <v>91</v>
      </c>
      <c r="W431" s="7" t="s">
        <v>74</v>
      </c>
      <c r="X431" s="7" t="s">
        <v>103</v>
      </c>
      <c r="Y431" s="8">
        <v>45404</v>
      </c>
      <c r="Z431" s="8">
        <v>47234</v>
      </c>
      <c r="AA431" s="7" t="s">
        <v>92</v>
      </c>
      <c r="AB431" s="7" t="s">
        <v>94</v>
      </c>
      <c r="AC431" s="7" t="s">
        <v>65</v>
      </c>
      <c r="AD431" s="7" t="s">
        <v>0</v>
      </c>
      <c r="AE431" s="7" t="s">
        <v>0</v>
      </c>
      <c r="AF431" s="7" t="s">
        <v>0</v>
      </c>
      <c r="AG431" s="7" t="s">
        <v>0</v>
      </c>
      <c r="AH431" s="9" t="s">
        <v>0</v>
      </c>
      <c r="AI431" s="9" t="s">
        <v>0</v>
      </c>
      <c r="AJ431" s="9" t="s">
        <v>0</v>
      </c>
      <c r="AK431" s="7" t="s">
        <v>61</v>
      </c>
      <c r="AL431" s="7" t="s">
        <v>61</v>
      </c>
      <c r="AM431" s="7" t="s">
        <v>0</v>
      </c>
      <c r="AN431" s="7" t="s">
        <v>0</v>
      </c>
      <c r="AO431" s="7" t="s">
        <v>0</v>
      </c>
      <c r="AP431" s="7" t="s">
        <v>0</v>
      </c>
      <c r="AQ431" s="7" t="s">
        <v>61</v>
      </c>
      <c r="AR431" s="7" t="s">
        <v>0</v>
      </c>
      <c r="AS431" s="10" t="str">
        <f>HYPERLINK("https://tessa.gazprom-neft.local/edo/card/a2c612d3-3469-49c4-b7c4-ff68eb0ef8db", "https://tessa.gazprom-neft.local/edo/card/a2c612d3-3469-49c4-b7c4-ff68eb0ef8db")</f>
        <v>https://tessa.gazprom-neft.local/edo/card/a2c612d3-3469-49c4-b7c4-ff68eb0ef8db</v>
      </c>
    </row>
    <row r="432" spans="1:45" x14ac:dyDescent="0.25">
      <c r="A432" s="6" t="s">
        <v>44</v>
      </c>
      <c r="B432" s="7" t="s">
        <v>3319</v>
      </c>
      <c r="C432" s="7" t="s">
        <v>2030</v>
      </c>
      <c r="D432" s="8">
        <v>45404</v>
      </c>
      <c r="E432" s="8" t="s">
        <v>0</v>
      </c>
      <c r="F432" s="16" t="s">
        <v>3320</v>
      </c>
      <c r="G432" s="7" t="s">
        <v>3321</v>
      </c>
      <c r="H432" s="7" t="s">
        <v>3317</v>
      </c>
      <c r="I432" s="7" t="s">
        <v>0</v>
      </c>
      <c r="J432" s="7" t="s">
        <v>3317</v>
      </c>
      <c r="K432" s="7" t="s">
        <v>47</v>
      </c>
      <c r="L432" s="7" t="s">
        <v>48</v>
      </c>
      <c r="M432" s="7" t="s">
        <v>0</v>
      </c>
      <c r="N432" s="7" t="s">
        <v>7443</v>
      </c>
      <c r="O432" s="7" t="s">
        <v>0</v>
      </c>
      <c r="P432" s="7" t="s">
        <v>3318</v>
      </c>
      <c r="Q432" s="7" t="s">
        <v>1585</v>
      </c>
      <c r="R432" s="7" t="s">
        <v>2261</v>
      </c>
      <c r="S432" s="7" t="s">
        <v>2261</v>
      </c>
      <c r="T432" s="7" t="s">
        <v>54</v>
      </c>
      <c r="U432" s="7" t="s">
        <v>428</v>
      </c>
      <c r="V432" s="7" t="s">
        <v>340</v>
      </c>
      <c r="W432" s="7" t="s">
        <v>74</v>
      </c>
      <c r="X432" s="7" t="s">
        <v>103</v>
      </c>
      <c r="Y432" s="8">
        <v>45596</v>
      </c>
      <c r="Z432" s="8">
        <v>46387</v>
      </c>
      <c r="AA432" s="7" t="s">
        <v>6545</v>
      </c>
      <c r="AB432" s="7" t="s">
        <v>366</v>
      </c>
      <c r="AC432" s="7" t="s">
        <v>79</v>
      </c>
      <c r="AD432" s="7" t="s">
        <v>367</v>
      </c>
      <c r="AE432" s="7" t="s">
        <v>82</v>
      </c>
      <c r="AF432" s="7" t="s">
        <v>0</v>
      </c>
      <c r="AG432" s="7" t="s">
        <v>0</v>
      </c>
      <c r="AH432" s="9">
        <v>0</v>
      </c>
      <c r="AI432" s="9">
        <v>0</v>
      </c>
      <c r="AJ432" s="9">
        <v>0</v>
      </c>
      <c r="AK432" s="7" t="s">
        <v>61</v>
      </c>
      <c r="AL432" s="7" t="s">
        <v>61</v>
      </c>
      <c r="AM432" s="7" t="s">
        <v>0</v>
      </c>
      <c r="AN432" s="7" t="s">
        <v>0</v>
      </c>
      <c r="AO432" s="7" t="s">
        <v>0</v>
      </c>
      <c r="AP432" s="7" t="s">
        <v>0</v>
      </c>
      <c r="AQ432" s="7" t="s">
        <v>61</v>
      </c>
      <c r="AR432" s="7" t="s">
        <v>0</v>
      </c>
      <c r="AS432" s="10" t="str">
        <f>HYPERLINK("https://tessa.gazprom-neft.local/edo/card/a07f1dc3-5b66-4a97-9bb1-576f6498f427", "https://tessa.gazprom-neft.local/edo/card/a07f1dc3-5b66-4a97-9bb1-576f6498f427")</f>
        <v>https://tessa.gazprom-neft.local/edo/card/a07f1dc3-5b66-4a97-9bb1-576f6498f427</v>
      </c>
    </row>
    <row r="433" spans="1:45" hidden="1" x14ac:dyDescent="0.25">
      <c r="A433" s="6" t="s">
        <v>44</v>
      </c>
      <c r="B433" s="7" t="s">
        <v>75</v>
      </c>
      <c r="C433" s="7" t="s">
        <v>67</v>
      </c>
      <c r="D433" s="8">
        <v>45401</v>
      </c>
      <c r="E433" s="8" t="s">
        <v>0</v>
      </c>
      <c r="F433" s="16" t="s">
        <v>76</v>
      </c>
      <c r="G433" s="7" t="s">
        <v>77</v>
      </c>
      <c r="H433" s="7" t="s">
        <v>68</v>
      </c>
      <c r="I433" s="7" t="s">
        <v>0</v>
      </c>
      <c r="J433" s="7" t="s">
        <v>3546</v>
      </c>
      <c r="K433" s="7" t="s">
        <v>47</v>
      </c>
      <c r="L433" s="7" t="s">
        <v>239</v>
      </c>
      <c r="M433" s="7" t="s">
        <v>0</v>
      </c>
      <c r="N433" s="7" t="s">
        <v>3544</v>
      </c>
      <c r="O433" s="7" t="s">
        <v>0</v>
      </c>
      <c r="P433" s="7" t="s">
        <v>3545</v>
      </c>
      <c r="Q433" s="7" t="s">
        <v>3547</v>
      </c>
      <c r="R433" s="7" t="s">
        <v>72</v>
      </c>
      <c r="S433" s="7" t="s">
        <v>0</v>
      </c>
      <c r="T433" s="7" t="s">
        <v>54</v>
      </c>
      <c r="U433" s="7" t="s">
        <v>73</v>
      </c>
      <c r="V433" s="7" t="s">
        <v>56</v>
      </c>
      <c r="W433" s="7" t="s">
        <v>74</v>
      </c>
      <c r="X433" s="7" t="s">
        <v>103</v>
      </c>
      <c r="Y433" s="8">
        <v>45401</v>
      </c>
      <c r="Z433" s="8">
        <v>45442</v>
      </c>
      <c r="AA433" s="7" t="s">
        <v>0</v>
      </c>
      <c r="AB433" s="7" t="s">
        <v>78</v>
      </c>
      <c r="AC433" s="7" t="s">
        <v>79</v>
      </c>
      <c r="AD433" s="7" t="s">
        <v>80</v>
      </c>
      <c r="AE433" s="7" t="s">
        <v>82</v>
      </c>
      <c r="AF433" s="7" t="s">
        <v>0</v>
      </c>
      <c r="AG433" s="7" t="s">
        <v>0</v>
      </c>
      <c r="AH433" s="9" t="s">
        <v>11680</v>
      </c>
      <c r="AI433" s="9" t="s">
        <v>11681</v>
      </c>
      <c r="AJ433" s="9" t="s">
        <v>11682</v>
      </c>
      <c r="AK433" s="7" t="s">
        <v>61</v>
      </c>
      <c r="AL433" s="7" t="s">
        <v>61</v>
      </c>
      <c r="AM433" s="7" t="s">
        <v>0</v>
      </c>
      <c r="AN433" s="7" t="s">
        <v>0</v>
      </c>
      <c r="AO433" s="7" t="s">
        <v>0</v>
      </c>
      <c r="AP433" s="7" t="s">
        <v>0</v>
      </c>
      <c r="AQ433" s="7" t="s">
        <v>61</v>
      </c>
      <c r="AR433" s="7" t="s">
        <v>0</v>
      </c>
      <c r="AS433" s="10" t="str">
        <f>HYPERLINK("https://tessa.gazprom-neft.local/edo/card/4bf39617-c127-4de4-b0a0-d3947fd0234e", "https://tessa.gazprom-neft.local/edo/card/4bf39617-c127-4de4-b0a0-d3947fd0234e")</f>
        <v>https://tessa.gazprom-neft.local/edo/card/4bf39617-c127-4de4-b0a0-d3947fd0234e</v>
      </c>
    </row>
    <row r="434" spans="1:45" x14ac:dyDescent="0.25">
      <c r="A434" s="6" t="s">
        <v>44</v>
      </c>
      <c r="B434" s="7" t="s">
        <v>2350</v>
      </c>
      <c r="C434" s="7" t="s">
        <v>67</v>
      </c>
      <c r="D434" s="8">
        <v>45401</v>
      </c>
      <c r="E434" s="8">
        <v>45427</v>
      </c>
      <c r="F434" s="16" t="s">
        <v>2351</v>
      </c>
      <c r="G434" s="7" t="s">
        <v>2352</v>
      </c>
      <c r="H434" s="7" t="s">
        <v>3557</v>
      </c>
      <c r="I434" s="7" t="s">
        <v>0</v>
      </c>
      <c r="J434" s="7" t="s">
        <v>70</v>
      </c>
      <c r="K434" s="7" t="s">
        <v>47</v>
      </c>
      <c r="L434" s="7" t="s">
        <v>48</v>
      </c>
      <c r="M434" s="7" t="s">
        <v>0</v>
      </c>
      <c r="N434" s="7" t="s">
        <v>3556</v>
      </c>
      <c r="O434" s="7" t="s">
        <v>0</v>
      </c>
      <c r="P434" s="7" t="s">
        <v>3558</v>
      </c>
      <c r="Q434" s="7" t="s">
        <v>3559</v>
      </c>
      <c r="R434" s="7" t="s">
        <v>505</v>
      </c>
      <c r="S434" s="7" t="s">
        <v>2349</v>
      </c>
      <c r="T434" s="7" t="s">
        <v>54</v>
      </c>
      <c r="U434" s="7" t="s">
        <v>362</v>
      </c>
      <c r="V434" s="7" t="s">
        <v>295</v>
      </c>
      <c r="W434" s="7" t="s">
        <v>74</v>
      </c>
      <c r="X434" s="7" t="s">
        <v>58</v>
      </c>
      <c r="Y434" s="8">
        <v>45401</v>
      </c>
      <c r="Z434" s="8" t="s">
        <v>0</v>
      </c>
      <c r="AA434" s="7" t="s">
        <v>296</v>
      </c>
      <c r="AB434" s="7" t="s">
        <v>804</v>
      </c>
      <c r="AC434" s="7" t="s">
        <v>79</v>
      </c>
      <c r="AD434" s="7" t="s">
        <v>514</v>
      </c>
      <c r="AE434" s="7" t="s">
        <v>82</v>
      </c>
      <c r="AF434" s="7" t="s">
        <v>0</v>
      </c>
      <c r="AG434" s="7" t="s">
        <v>0</v>
      </c>
      <c r="AH434" s="9" t="s">
        <v>11729</v>
      </c>
      <c r="AI434" s="9" t="s">
        <v>11730</v>
      </c>
      <c r="AJ434" s="9" t="s">
        <v>11731</v>
      </c>
      <c r="AK434" s="7" t="s">
        <v>61</v>
      </c>
      <c r="AL434" s="7" t="s">
        <v>61</v>
      </c>
      <c r="AM434" s="7" t="s">
        <v>0</v>
      </c>
      <c r="AN434" s="7" t="s">
        <v>0</v>
      </c>
      <c r="AO434" s="7" t="s">
        <v>0</v>
      </c>
      <c r="AP434" s="7" t="s">
        <v>0</v>
      </c>
      <c r="AQ434" s="7" t="s">
        <v>61</v>
      </c>
      <c r="AR434" s="7" t="s">
        <v>0</v>
      </c>
      <c r="AS434" s="10" t="str">
        <f>HYPERLINK("https://tessa.gazprom-neft.local/edo/card/6ebe9410-aac5-4aee-9b12-5b02b6128453", "https://tessa.gazprom-neft.local/edo/card/6ebe9410-aac5-4aee-9b12-5b02b6128453")</f>
        <v>https://tessa.gazprom-neft.local/edo/card/6ebe9410-aac5-4aee-9b12-5b02b6128453</v>
      </c>
    </row>
    <row r="435" spans="1:45" x14ac:dyDescent="0.25">
      <c r="A435" s="6" t="s">
        <v>44</v>
      </c>
      <c r="B435" s="7" t="s">
        <v>2350</v>
      </c>
      <c r="C435" s="7" t="s">
        <v>67</v>
      </c>
      <c r="D435" s="8">
        <v>45401</v>
      </c>
      <c r="E435" s="8">
        <v>45427</v>
      </c>
      <c r="F435" s="16" t="s">
        <v>2351</v>
      </c>
      <c r="G435" s="7" t="s">
        <v>2352</v>
      </c>
      <c r="H435" s="7" t="s">
        <v>2347</v>
      </c>
      <c r="I435" s="7" t="s">
        <v>0</v>
      </c>
      <c r="J435" s="7" t="s">
        <v>355</v>
      </c>
      <c r="K435" s="7" t="s">
        <v>47</v>
      </c>
      <c r="L435" s="7" t="s">
        <v>48</v>
      </c>
      <c r="M435" s="7" t="s">
        <v>0</v>
      </c>
      <c r="N435" s="7" t="s">
        <v>3567</v>
      </c>
      <c r="O435" s="7" t="s">
        <v>0</v>
      </c>
      <c r="P435" s="7" t="s">
        <v>3568</v>
      </c>
      <c r="Q435" s="7" t="s">
        <v>3569</v>
      </c>
      <c r="R435" s="7" t="s">
        <v>505</v>
      </c>
      <c r="S435" s="7" t="s">
        <v>2349</v>
      </c>
      <c r="T435" s="7" t="s">
        <v>54</v>
      </c>
      <c r="U435" s="7" t="s">
        <v>362</v>
      </c>
      <c r="V435" s="7" t="s">
        <v>295</v>
      </c>
      <c r="W435" s="7" t="s">
        <v>74</v>
      </c>
      <c r="X435" s="7" t="s">
        <v>58</v>
      </c>
      <c r="Y435" s="8">
        <v>45401</v>
      </c>
      <c r="Z435" s="8" t="s">
        <v>0</v>
      </c>
      <c r="AA435" s="7" t="s">
        <v>296</v>
      </c>
      <c r="AB435" s="7" t="s">
        <v>1748</v>
      </c>
      <c r="AC435" s="7" t="s">
        <v>79</v>
      </c>
      <c r="AD435" s="7" t="s">
        <v>514</v>
      </c>
      <c r="AE435" s="7" t="s">
        <v>82</v>
      </c>
      <c r="AF435" s="7" t="s">
        <v>0</v>
      </c>
      <c r="AG435" s="7" t="s">
        <v>0</v>
      </c>
      <c r="AH435" s="9">
        <v>0</v>
      </c>
      <c r="AI435" s="9">
        <v>0</v>
      </c>
      <c r="AJ435" s="9">
        <v>0</v>
      </c>
      <c r="AK435" s="7" t="s">
        <v>61</v>
      </c>
      <c r="AL435" s="7" t="s">
        <v>61</v>
      </c>
      <c r="AM435" s="7" t="s">
        <v>0</v>
      </c>
      <c r="AN435" s="7" t="s">
        <v>0</v>
      </c>
      <c r="AO435" s="7" t="s">
        <v>0</v>
      </c>
      <c r="AP435" s="7" t="s">
        <v>0</v>
      </c>
      <c r="AQ435" s="7" t="s">
        <v>61</v>
      </c>
      <c r="AR435" s="7" t="s">
        <v>0</v>
      </c>
      <c r="AS435" s="10" t="str">
        <f>HYPERLINK("https://tessa.gazprom-neft.local/edo/card/3b4384ea-7c98-45c1-8814-16b5d2b3adbe", "https://tessa.gazprom-neft.local/edo/card/3b4384ea-7c98-45c1-8814-16b5d2b3adbe")</f>
        <v>https://tessa.gazprom-neft.local/edo/card/3b4384ea-7c98-45c1-8814-16b5d2b3adbe</v>
      </c>
    </row>
    <row r="436" spans="1:45" hidden="1" x14ac:dyDescent="0.25">
      <c r="A436" s="6" t="s">
        <v>44</v>
      </c>
      <c r="B436" s="7" t="s">
        <v>542</v>
      </c>
      <c r="C436" s="7" t="s">
        <v>67</v>
      </c>
      <c r="D436" s="8">
        <v>45401</v>
      </c>
      <c r="E436" s="8" t="s">
        <v>0</v>
      </c>
      <c r="F436" s="16" t="s">
        <v>543</v>
      </c>
      <c r="G436" s="7" t="s">
        <v>544</v>
      </c>
      <c r="H436" s="7" t="s">
        <v>2148</v>
      </c>
      <c r="I436" s="7" t="s">
        <v>0</v>
      </c>
      <c r="J436" s="7" t="s">
        <v>51</v>
      </c>
      <c r="K436" s="7" t="s">
        <v>47</v>
      </c>
      <c r="L436" s="7" t="s">
        <v>239</v>
      </c>
      <c r="M436" s="7" t="s">
        <v>0</v>
      </c>
      <c r="N436" s="7" t="s">
        <v>3577</v>
      </c>
      <c r="O436" s="7" t="s">
        <v>0</v>
      </c>
      <c r="P436" s="7" t="s">
        <v>3578</v>
      </c>
      <c r="Q436" s="7" t="s">
        <v>3579</v>
      </c>
      <c r="R436" s="7" t="s">
        <v>646</v>
      </c>
      <c r="S436" s="7" t="s">
        <v>1765</v>
      </c>
      <c r="T436" s="7" t="s">
        <v>54</v>
      </c>
      <c r="U436" s="7" t="s">
        <v>55</v>
      </c>
      <c r="V436" s="7" t="s">
        <v>723</v>
      </c>
      <c r="W436" s="7" t="s">
        <v>57</v>
      </c>
      <c r="X436" s="7" t="s">
        <v>103</v>
      </c>
      <c r="Y436" s="8">
        <v>45401</v>
      </c>
      <c r="Z436" s="8">
        <v>45922</v>
      </c>
      <c r="AA436" s="7" t="s">
        <v>1031</v>
      </c>
      <c r="AB436" s="7" t="s">
        <v>130</v>
      </c>
      <c r="AC436" s="7" t="s">
        <v>79</v>
      </c>
      <c r="AD436" s="7" t="s">
        <v>144</v>
      </c>
      <c r="AE436" s="7" t="s">
        <v>82</v>
      </c>
      <c r="AF436" s="7" t="s">
        <v>0</v>
      </c>
      <c r="AG436" s="7" t="s">
        <v>0</v>
      </c>
      <c r="AH436" s="9" t="s">
        <v>11736</v>
      </c>
      <c r="AI436" s="9" t="s">
        <v>11737</v>
      </c>
      <c r="AJ436" s="9" t="s">
        <v>11738</v>
      </c>
      <c r="AK436" s="7" t="s">
        <v>61</v>
      </c>
      <c r="AL436" s="7" t="s">
        <v>61</v>
      </c>
      <c r="AM436" s="7" t="s">
        <v>0</v>
      </c>
      <c r="AN436" s="7" t="s">
        <v>0</v>
      </c>
      <c r="AO436" s="7" t="s">
        <v>0</v>
      </c>
      <c r="AP436" s="7" t="s">
        <v>0</v>
      </c>
      <c r="AQ436" s="7" t="s">
        <v>81</v>
      </c>
      <c r="AR436" s="7" t="s">
        <v>0</v>
      </c>
      <c r="AS436" s="10" t="str">
        <f>HYPERLINK("https://tessa.gazprom-neft.local/edo/card/b6bc5b8e-6f32-4dd2-bd70-9e009cf8647a", "https://tessa.gazprom-neft.local/edo/card/b6bc5b8e-6f32-4dd2-bd70-9e009cf8647a")</f>
        <v>https://tessa.gazprom-neft.local/edo/card/b6bc5b8e-6f32-4dd2-bd70-9e009cf8647a</v>
      </c>
    </row>
    <row r="437" spans="1:45" x14ac:dyDescent="0.25">
      <c r="A437" s="6" t="s">
        <v>44</v>
      </c>
      <c r="B437" s="7" t="s">
        <v>2350</v>
      </c>
      <c r="C437" s="7" t="s">
        <v>67</v>
      </c>
      <c r="D437" s="8">
        <v>45401</v>
      </c>
      <c r="E437" s="8">
        <v>45427</v>
      </c>
      <c r="F437" s="16" t="s">
        <v>2351</v>
      </c>
      <c r="G437" s="7" t="s">
        <v>2352</v>
      </c>
      <c r="H437" s="7" t="s">
        <v>2370</v>
      </c>
      <c r="I437" s="7" t="s">
        <v>0</v>
      </c>
      <c r="J437" s="7" t="s">
        <v>955</v>
      </c>
      <c r="K437" s="7" t="s">
        <v>47</v>
      </c>
      <c r="L437" s="7" t="s">
        <v>48</v>
      </c>
      <c r="M437" s="7" t="s">
        <v>0</v>
      </c>
      <c r="N437" s="7" t="s">
        <v>3589</v>
      </c>
      <c r="O437" s="7" t="s">
        <v>0</v>
      </c>
      <c r="P437" s="7" t="s">
        <v>3590</v>
      </c>
      <c r="Q437" s="7" t="s">
        <v>3591</v>
      </c>
      <c r="R437" s="7" t="s">
        <v>505</v>
      </c>
      <c r="S437" s="7" t="s">
        <v>2349</v>
      </c>
      <c r="T437" s="7" t="s">
        <v>54</v>
      </c>
      <c r="U437" s="7" t="s">
        <v>362</v>
      </c>
      <c r="V437" s="7" t="s">
        <v>295</v>
      </c>
      <c r="W437" s="7" t="s">
        <v>74</v>
      </c>
      <c r="X437" s="7" t="s">
        <v>58</v>
      </c>
      <c r="Y437" s="8">
        <v>45401</v>
      </c>
      <c r="Z437" s="8" t="s">
        <v>0</v>
      </c>
      <c r="AA437" s="7" t="s">
        <v>296</v>
      </c>
      <c r="AB437" s="7" t="s">
        <v>1748</v>
      </c>
      <c r="AC437" s="7" t="s">
        <v>79</v>
      </c>
      <c r="AD437" s="7" t="s">
        <v>144</v>
      </c>
      <c r="AE437" s="7" t="s">
        <v>82</v>
      </c>
      <c r="AF437" s="7" t="s">
        <v>0</v>
      </c>
      <c r="AG437" s="7" t="s">
        <v>0</v>
      </c>
      <c r="AH437" s="9">
        <v>0</v>
      </c>
      <c r="AI437" s="9">
        <v>0</v>
      </c>
      <c r="AJ437" s="9">
        <v>0</v>
      </c>
      <c r="AK437" s="7" t="s">
        <v>61</v>
      </c>
      <c r="AL437" s="7" t="s">
        <v>61</v>
      </c>
      <c r="AM437" s="7" t="s">
        <v>0</v>
      </c>
      <c r="AN437" s="7" t="s">
        <v>0</v>
      </c>
      <c r="AO437" s="7" t="s">
        <v>0</v>
      </c>
      <c r="AP437" s="7" t="s">
        <v>0</v>
      </c>
      <c r="AQ437" s="7" t="s">
        <v>61</v>
      </c>
      <c r="AR437" s="7" t="s">
        <v>0</v>
      </c>
      <c r="AS437" s="10" t="str">
        <f>HYPERLINK("https://tessa.gazprom-neft.local/edo/card/efaef0a7-3f39-402f-9243-e44bf8dc5ef4", "https://tessa.gazprom-neft.local/edo/card/efaef0a7-3f39-402f-9243-e44bf8dc5ef4")</f>
        <v>https://tessa.gazprom-neft.local/edo/card/efaef0a7-3f39-402f-9243-e44bf8dc5ef4</v>
      </c>
    </row>
    <row r="438" spans="1:45" x14ac:dyDescent="0.25">
      <c r="A438" s="6" t="s">
        <v>44</v>
      </c>
      <c r="B438" s="7" t="s">
        <v>1101</v>
      </c>
      <c r="C438" s="7" t="s">
        <v>67</v>
      </c>
      <c r="D438" s="8">
        <v>45399</v>
      </c>
      <c r="E438" s="8" t="s">
        <v>0</v>
      </c>
      <c r="F438" s="16" t="s">
        <v>1102</v>
      </c>
      <c r="G438" s="7" t="s">
        <v>1103</v>
      </c>
      <c r="H438" s="7" t="s">
        <v>1457</v>
      </c>
      <c r="I438" s="7" t="s">
        <v>0</v>
      </c>
      <c r="J438" s="7" t="s">
        <v>51</v>
      </c>
      <c r="K438" s="7" t="s">
        <v>47</v>
      </c>
      <c r="L438" s="7" t="s">
        <v>48</v>
      </c>
      <c r="M438" s="7" t="s">
        <v>0</v>
      </c>
      <c r="N438" s="7" t="s">
        <v>3390</v>
      </c>
      <c r="O438" s="7" t="s">
        <v>0</v>
      </c>
      <c r="P438" s="7" t="s">
        <v>216</v>
      </c>
      <c r="Q438" s="7" t="s">
        <v>3391</v>
      </c>
      <c r="R438" s="7" t="s">
        <v>339</v>
      </c>
      <c r="S438" s="7" t="s">
        <v>339</v>
      </c>
      <c r="T438" s="7" t="s">
        <v>54</v>
      </c>
      <c r="U438" s="7" t="s">
        <v>303</v>
      </c>
      <c r="V438" s="7" t="s">
        <v>308</v>
      </c>
      <c r="W438" s="7" t="s">
        <v>74</v>
      </c>
      <c r="X438" s="7" t="s">
        <v>58</v>
      </c>
      <c r="Y438" s="8">
        <v>45399</v>
      </c>
      <c r="Z438" s="8" t="s">
        <v>0</v>
      </c>
      <c r="AA438" s="7" t="s">
        <v>309</v>
      </c>
      <c r="AB438" s="7" t="s">
        <v>228</v>
      </c>
      <c r="AC438" s="7" t="s">
        <v>65</v>
      </c>
      <c r="AD438" s="7" t="s">
        <v>0</v>
      </c>
      <c r="AE438" s="7" t="s">
        <v>0</v>
      </c>
      <c r="AF438" s="7" t="s">
        <v>0</v>
      </c>
      <c r="AG438" s="7" t="s">
        <v>0</v>
      </c>
      <c r="AH438" s="9" t="s">
        <v>0</v>
      </c>
      <c r="AI438" s="9" t="s">
        <v>0</v>
      </c>
      <c r="AJ438" s="9" t="s">
        <v>0</v>
      </c>
      <c r="AK438" s="7" t="s">
        <v>61</v>
      </c>
      <c r="AL438" s="7" t="s">
        <v>61</v>
      </c>
      <c r="AM438" s="7" t="s">
        <v>0</v>
      </c>
      <c r="AN438" s="7" t="s">
        <v>0</v>
      </c>
      <c r="AO438" s="7" t="s">
        <v>0</v>
      </c>
      <c r="AP438" s="7" t="s">
        <v>0</v>
      </c>
      <c r="AQ438" s="7" t="s">
        <v>61</v>
      </c>
      <c r="AR438" s="7" t="s">
        <v>0</v>
      </c>
      <c r="AS438" s="10" t="str">
        <f>HYPERLINK("https://tessa.gazprom-neft.local/edo/card/ca0949e4-21c5-46b0-b421-8c21bc4c6200", "https://tessa.gazprom-neft.local/edo/card/ca0949e4-21c5-46b0-b421-8c21bc4c6200")</f>
        <v>https://tessa.gazprom-neft.local/edo/card/ca0949e4-21c5-46b0-b421-8c21bc4c6200</v>
      </c>
    </row>
    <row r="439" spans="1:45" hidden="1" x14ac:dyDescent="0.25">
      <c r="A439" s="6" t="s">
        <v>44</v>
      </c>
      <c r="B439" s="7" t="s">
        <v>1588</v>
      </c>
      <c r="C439" s="7" t="s">
        <v>67</v>
      </c>
      <c r="D439" s="8">
        <v>45398</v>
      </c>
      <c r="E439" s="8" t="s">
        <v>0</v>
      </c>
      <c r="F439" s="16" t="s">
        <v>1589</v>
      </c>
      <c r="G439" s="7" t="s">
        <v>1590</v>
      </c>
      <c r="H439" s="7" t="s">
        <v>0</v>
      </c>
      <c r="I439" s="7" t="s">
        <v>1583</v>
      </c>
      <c r="J439" s="7" t="s">
        <v>1583</v>
      </c>
      <c r="K439" s="7" t="s">
        <v>47</v>
      </c>
      <c r="L439" s="7" t="s">
        <v>96</v>
      </c>
      <c r="M439" s="7" t="s">
        <v>0</v>
      </c>
      <c r="N439" s="7" t="s">
        <v>1582</v>
      </c>
      <c r="O439" s="7" t="s">
        <v>0</v>
      </c>
      <c r="P439" s="7" t="s">
        <v>1584</v>
      </c>
      <c r="Q439" s="7" t="s">
        <v>1585</v>
      </c>
      <c r="R439" s="7" t="s">
        <v>1139</v>
      </c>
      <c r="S439" s="7" t="s">
        <v>1586</v>
      </c>
      <c r="T439" s="7" t="s">
        <v>54</v>
      </c>
      <c r="U439" s="7" t="s">
        <v>1587</v>
      </c>
      <c r="V439" s="7" t="s">
        <v>340</v>
      </c>
      <c r="W439" s="7" t="s">
        <v>74</v>
      </c>
      <c r="X439" s="7" t="s">
        <v>58</v>
      </c>
      <c r="Y439" s="8">
        <v>45398</v>
      </c>
      <c r="Z439" s="8" t="s">
        <v>0</v>
      </c>
      <c r="AA439" s="7" t="s">
        <v>341</v>
      </c>
      <c r="AB439" s="7" t="s">
        <v>366</v>
      </c>
      <c r="AC439" s="7" t="s">
        <v>79</v>
      </c>
      <c r="AD439" s="7" t="s">
        <v>367</v>
      </c>
      <c r="AE439" s="7" t="s">
        <v>82</v>
      </c>
      <c r="AF439" s="7" t="s">
        <v>0</v>
      </c>
      <c r="AG439" s="7" t="s">
        <v>0</v>
      </c>
      <c r="AH439" s="9">
        <v>0</v>
      </c>
      <c r="AI439" s="9">
        <v>0</v>
      </c>
      <c r="AJ439" s="9">
        <v>0</v>
      </c>
      <c r="AK439" s="7" t="s">
        <v>61</v>
      </c>
      <c r="AL439" s="7" t="s">
        <v>61</v>
      </c>
      <c r="AM439" s="7" t="s">
        <v>0</v>
      </c>
      <c r="AN439" s="7" t="s">
        <v>0</v>
      </c>
      <c r="AO439" s="7" t="s">
        <v>0</v>
      </c>
      <c r="AP439" s="7" t="s">
        <v>0</v>
      </c>
      <c r="AQ439" s="7" t="s">
        <v>61</v>
      </c>
      <c r="AR439" s="7" t="s">
        <v>0</v>
      </c>
      <c r="AS439" s="10" t="str">
        <f>HYPERLINK("https://tessa.gazprom-neft.local/edo/card/c49039cd-08cd-40fa-82df-94ef67feb6a5", "https://tessa.gazprom-neft.local/edo/card/c49039cd-08cd-40fa-82df-94ef67feb6a5")</f>
        <v>https://tessa.gazprom-neft.local/edo/card/c49039cd-08cd-40fa-82df-94ef67feb6a5</v>
      </c>
    </row>
    <row r="440" spans="1:45" hidden="1" x14ac:dyDescent="0.25">
      <c r="A440" s="6" t="s">
        <v>44</v>
      </c>
      <c r="B440" s="7" t="s">
        <v>3319</v>
      </c>
      <c r="C440" s="7" t="s">
        <v>67</v>
      </c>
      <c r="D440" s="8">
        <v>45398</v>
      </c>
      <c r="E440" s="8">
        <v>45418</v>
      </c>
      <c r="F440" s="16" t="s">
        <v>3320</v>
      </c>
      <c r="G440" s="7" t="s">
        <v>3321</v>
      </c>
      <c r="H440" s="7" t="s">
        <v>0</v>
      </c>
      <c r="I440" s="7" t="s">
        <v>3352</v>
      </c>
      <c r="J440" s="7" t="s">
        <v>3352</v>
      </c>
      <c r="K440" s="7" t="s">
        <v>85</v>
      </c>
      <c r="L440" s="7" t="s">
        <v>86</v>
      </c>
      <c r="M440" s="7" t="s">
        <v>289</v>
      </c>
      <c r="N440" s="7" t="s">
        <v>3351</v>
      </c>
      <c r="O440" s="7" t="s">
        <v>0</v>
      </c>
      <c r="P440" s="7" t="s">
        <v>3353</v>
      </c>
      <c r="Q440" s="7" t="s">
        <v>2315</v>
      </c>
      <c r="R440" s="7" t="s">
        <v>1139</v>
      </c>
      <c r="S440" s="7" t="s">
        <v>1586</v>
      </c>
      <c r="T440" s="7" t="s">
        <v>54</v>
      </c>
      <c r="U440" s="7" t="s">
        <v>1587</v>
      </c>
      <c r="V440" s="7" t="s">
        <v>340</v>
      </c>
      <c r="W440" s="7" t="s">
        <v>74</v>
      </c>
      <c r="X440" s="7" t="s">
        <v>58</v>
      </c>
      <c r="Y440" s="8">
        <v>45398</v>
      </c>
      <c r="Z440" s="8" t="s">
        <v>0</v>
      </c>
      <c r="AA440" s="7" t="s">
        <v>341</v>
      </c>
      <c r="AB440" s="7" t="s">
        <v>300</v>
      </c>
      <c r="AC440" s="7" t="s">
        <v>65</v>
      </c>
      <c r="AD440" s="7" t="s">
        <v>0</v>
      </c>
      <c r="AE440" s="7" t="s">
        <v>0</v>
      </c>
      <c r="AF440" s="7" t="s">
        <v>0</v>
      </c>
      <c r="AG440" s="7" t="s">
        <v>0</v>
      </c>
      <c r="AH440" s="9" t="s">
        <v>0</v>
      </c>
      <c r="AI440" s="9" t="s">
        <v>0</v>
      </c>
      <c r="AJ440" s="9" t="s">
        <v>0</v>
      </c>
      <c r="AK440" s="7" t="s">
        <v>61</v>
      </c>
      <c r="AL440" s="7" t="s">
        <v>61</v>
      </c>
      <c r="AM440" s="7" t="s">
        <v>0</v>
      </c>
      <c r="AN440" s="7" t="s">
        <v>0</v>
      </c>
      <c r="AO440" s="7" t="s">
        <v>0</v>
      </c>
      <c r="AP440" s="7" t="s">
        <v>0</v>
      </c>
      <c r="AQ440" s="7" t="s">
        <v>61</v>
      </c>
      <c r="AR440" s="7" t="s">
        <v>0</v>
      </c>
      <c r="AS440" s="10" t="str">
        <f>HYPERLINK("https://tessa.gazprom-neft.local/edo/card/21281b0b-624f-4f75-acac-0603e07c3bcf", "https://tessa.gazprom-neft.local/edo/card/21281b0b-624f-4f75-acac-0603e07c3bcf")</f>
        <v>https://tessa.gazprom-neft.local/edo/card/21281b0b-624f-4f75-acac-0603e07c3bcf</v>
      </c>
    </row>
    <row r="441" spans="1:45" x14ac:dyDescent="0.25">
      <c r="A441" s="6" t="s">
        <v>44</v>
      </c>
      <c r="B441" s="7" t="s">
        <v>1101</v>
      </c>
      <c r="C441" s="7" t="s">
        <v>218</v>
      </c>
      <c r="D441" s="8">
        <v>45398</v>
      </c>
      <c r="E441" s="8" t="s">
        <v>0</v>
      </c>
      <c r="F441" s="16" t="s">
        <v>1102</v>
      </c>
      <c r="G441" s="7" t="s">
        <v>1103</v>
      </c>
      <c r="H441" s="7" t="s">
        <v>0</v>
      </c>
      <c r="I441" s="7" t="s">
        <v>0</v>
      </c>
      <c r="J441" s="7" t="s">
        <v>51</v>
      </c>
      <c r="K441" s="7" t="s">
        <v>85</v>
      </c>
      <c r="L441" s="7" t="s">
        <v>48</v>
      </c>
      <c r="M441" s="7" t="s">
        <v>1183</v>
      </c>
      <c r="N441" s="7" t="s">
        <v>3410</v>
      </c>
      <c r="O441" s="7" t="s">
        <v>1457</v>
      </c>
      <c r="P441" s="7" t="s">
        <v>1183</v>
      </c>
      <c r="Q441" s="7" t="s">
        <v>3391</v>
      </c>
      <c r="R441" s="7" t="s">
        <v>339</v>
      </c>
      <c r="S441" s="7" t="s">
        <v>339</v>
      </c>
      <c r="T441" s="7" t="s">
        <v>54</v>
      </c>
      <c r="U441" s="7" t="s">
        <v>303</v>
      </c>
      <c r="V441" s="7" t="s">
        <v>308</v>
      </c>
      <c r="W441" s="7" t="s">
        <v>74</v>
      </c>
      <c r="X441" s="7" t="s">
        <v>58</v>
      </c>
      <c r="Y441" s="8">
        <v>45398</v>
      </c>
      <c r="Z441" s="8" t="s">
        <v>0</v>
      </c>
      <c r="AA441" s="7" t="s">
        <v>309</v>
      </c>
      <c r="AB441" s="7" t="s">
        <v>0</v>
      </c>
      <c r="AC441" s="7" t="s">
        <v>65</v>
      </c>
      <c r="AD441" s="7" t="s">
        <v>0</v>
      </c>
      <c r="AE441" s="7" t="s">
        <v>0</v>
      </c>
      <c r="AF441" s="7" t="s">
        <v>0</v>
      </c>
      <c r="AG441" s="7" t="s">
        <v>0</v>
      </c>
      <c r="AH441" s="9" t="s">
        <v>0</v>
      </c>
      <c r="AI441" s="9" t="s">
        <v>0</v>
      </c>
      <c r="AJ441" s="9" t="s">
        <v>0</v>
      </c>
      <c r="AK441" s="7" t="s">
        <v>61</v>
      </c>
      <c r="AL441" s="7" t="s">
        <v>61</v>
      </c>
      <c r="AM441" s="7" t="s">
        <v>0</v>
      </c>
      <c r="AN441" s="7" t="s">
        <v>0</v>
      </c>
      <c r="AO441" s="7" t="s">
        <v>0</v>
      </c>
      <c r="AP441" s="7" t="s">
        <v>0</v>
      </c>
      <c r="AQ441" s="7" t="s">
        <v>61</v>
      </c>
      <c r="AR441" s="7" t="s">
        <v>0</v>
      </c>
      <c r="AS441" s="10" t="str">
        <f>HYPERLINK("https://tessa.gazprom-neft.local/edo/card/84fb8652-5ec5-4f1d-8d0e-7301cbf4540a", "https://tessa.gazprom-neft.local/edo/card/84fb8652-5ec5-4f1d-8d0e-7301cbf4540a")</f>
        <v>https://tessa.gazprom-neft.local/edo/card/84fb8652-5ec5-4f1d-8d0e-7301cbf4540a</v>
      </c>
    </row>
    <row r="442" spans="1:45" hidden="1" x14ac:dyDescent="0.25">
      <c r="A442" s="6" t="s">
        <v>44</v>
      </c>
      <c r="B442" s="7" t="s">
        <v>3149</v>
      </c>
      <c r="C442" s="7" t="s">
        <v>67</v>
      </c>
      <c r="D442" s="8">
        <v>45397</v>
      </c>
      <c r="E442" s="8">
        <v>45428</v>
      </c>
      <c r="F442" s="16" t="s">
        <v>3150</v>
      </c>
      <c r="G442" s="7" t="s">
        <v>3151</v>
      </c>
      <c r="H442" s="7" t="s">
        <v>3146</v>
      </c>
      <c r="I442" s="7" t="s">
        <v>0</v>
      </c>
      <c r="J442" s="7" t="s">
        <v>955</v>
      </c>
      <c r="K442" s="7" t="s">
        <v>47</v>
      </c>
      <c r="L442" s="7" t="s">
        <v>709</v>
      </c>
      <c r="M442" s="7" t="s">
        <v>0</v>
      </c>
      <c r="N442" s="7" t="s">
        <v>3145</v>
      </c>
      <c r="O442" s="7" t="s">
        <v>0</v>
      </c>
      <c r="P442" s="7" t="s">
        <v>3147</v>
      </c>
      <c r="Q442" s="7" t="s">
        <v>3148</v>
      </c>
      <c r="R442" s="7" t="s">
        <v>2768</v>
      </c>
      <c r="S442" s="7" t="s">
        <v>2768</v>
      </c>
      <c r="T442" s="7" t="s">
        <v>54</v>
      </c>
      <c r="U442" s="7" t="s">
        <v>2769</v>
      </c>
      <c r="V442" s="7" t="s">
        <v>56</v>
      </c>
      <c r="W442" s="7" t="s">
        <v>74</v>
      </c>
      <c r="X442" s="7" t="s">
        <v>103</v>
      </c>
      <c r="Y442" s="8">
        <v>45397</v>
      </c>
      <c r="Z442" s="8">
        <v>45463</v>
      </c>
      <c r="AA442" s="7" t="s">
        <v>59</v>
      </c>
      <c r="AB442" s="7" t="s">
        <v>130</v>
      </c>
      <c r="AC442" s="7" t="s">
        <v>79</v>
      </c>
      <c r="AD442" s="7" t="s">
        <v>144</v>
      </c>
      <c r="AE442" s="7" t="s">
        <v>82</v>
      </c>
      <c r="AF442" s="7" t="s">
        <v>0</v>
      </c>
      <c r="AG442" s="7" t="s">
        <v>0</v>
      </c>
      <c r="AH442" s="9" t="s">
        <v>11552</v>
      </c>
      <c r="AI442" s="9" t="s">
        <v>11553</v>
      </c>
      <c r="AJ442" s="9" t="s">
        <v>11554</v>
      </c>
      <c r="AK442" s="7" t="s">
        <v>61</v>
      </c>
      <c r="AL442" s="7" t="s">
        <v>61</v>
      </c>
      <c r="AM442" s="7" t="s">
        <v>0</v>
      </c>
      <c r="AN442" s="7" t="s">
        <v>0</v>
      </c>
      <c r="AO442" s="7" t="s">
        <v>0</v>
      </c>
      <c r="AP442" s="7" t="s">
        <v>0</v>
      </c>
      <c r="AQ442" s="7" t="s">
        <v>61</v>
      </c>
      <c r="AR442" s="7" t="s">
        <v>0</v>
      </c>
      <c r="AS442" s="10" t="str">
        <f>HYPERLINK("https://tessa.gazprom-neft.local/edo/card/86633cc7-355c-482d-80e4-1c2102ef7076", "https://tessa.gazprom-neft.local/edo/card/86633cc7-355c-482d-80e4-1c2102ef7076")</f>
        <v>https://tessa.gazprom-neft.local/edo/card/86633cc7-355c-482d-80e4-1c2102ef7076</v>
      </c>
    </row>
    <row r="443" spans="1:45" hidden="1" x14ac:dyDescent="0.25">
      <c r="A443" s="6" t="s">
        <v>44</v>
      </c>
      <c r="B443" s="7" t="s">
        <v>3149</v>
      </c>
      <c r="C443" s="7" t="s">
        <v>67</v>
      </c>
      <c r="D443" s="8">
        <v>45397</v>
      </c>
      <c r="E443" s="8">
        <v>45432</v>
      </c>
      <c r="F443" s="16" t="s">
        <v>3150</v>
      </c>
      <c r="G443" s="7" t="s">
        <v>3151</v>
      </c>
      <c r="H443" s="7" t="s">
        <v>3166</v>
      </c>
      <c r="I443" s="7" t="s">
        <v>0</v>
      </c>
      <c r="J443" s="7" t="s">
        <v>1098</v>
      </c>
      <c r="K443" s="7" t="s">
        <v>47</v>
      </c>
      <c r="L443" s="7" t="s">
        <v>709</v>
      </c>
      <c r="M443" s="7" t="s">
        <v>0</v>
      </c>
      <c r="N443" s="7" t="s">
        <v>3165</v>
      </c>
      <c r="O443" s="7" t="s">
        <v>0</v>
      </c>
      <c r="P443" s="7" t="s">
        <v>3167</v>
      </c>
      <c r="Q443" s="7" t="s">
        <v>3148</v>
      </c>
      <c r="R443" s="7" t="s">
        <v>2768</v>
      </c>
      <c r="S443" s="7" t="s">
        <v>2768</v>
      </c>
      <c r="T443" s="7" t="s">
        <v>54</v>
      </c>
      <c r="U443" s="7" t="s">
        <v>2769</v>
      </c>
      <c r="V443" s="7" t="s">
        <v>56</v>
      </c>
      <c r="W443" s="7" t="s">
        <v>74</v>
      </c>
      <c r="X443" s="7" t="s">
        <v>103</v>
      </c>
      <c r="Y443" s="8">
        <v>45397</v>
      </c>
      <c r="Z443" s="8">
        <v>45611</v>
      </c>
      <c r="AA443" s="7" t="s">
        <v>59</v>
      </c>
      <c r="AB443" s="7" t="s">
        <v>130</v>
      </c>
      <c r="AC443" s="7" t="s">
        <v>79</v>
      </c>
      <c r="AD443" s="7" t="s">
        <v>144</v>
      </c>
      <c r="AE443" s="7" t="s">
        <v>82</v>
      </c>
      <c r="AF443" s="7" t="s">
        <v>0</v>
      </c>
      <c r="AG443" s="7" t="s">
        <v>0</v>
      </c>
      <c r="AH443" s="9" t="s">
        <v>11561</v>
      </c>
      <c r="AI443" s="9" t="s">
        <v>11562</v>
      </c>
      <c r="AJ443" s="9" t="s">
        <v>11563</v>
      </c>
      <c r="AK443" s="7" t="s">
        <v>61</v>
      </c>
      <c r="AL443" s="7" t="s">
        <v>61</v>
      </c>
      <c r="AM443" s="7" t="s">
        <v>0</v>
      </c>
      <c r="AN443" s="7" t="s">
        <v>0</v>
      </c>
      <c r="AO443" s="7" t="s">
        <v>0</v>
      </c>
      <c r="AP443" s="7" t="s">
        <v>0</v>
      </c>
      <c r="AQ443" s="7" t="s">
        <v>61</v>
      </c>
      <c r="AR443" s="7" t="s">
        <v>0</v>
      </c>
      <c r="AS443" s="10" t="str">
        <f>HYPERLINK("https://tessa.gazprom-neft.local/edo/card/bce1aa0d-fc07-45e6-838a-53e19a99e4f6", "https://tessa.gazprom-neft.local/edo/card/bce1aa0d-fc07-45e6-838a-53e19a99e4f6")</f>
        <v>https://tessa.gazprom-neft.local/edo/card/bce1aa0d-fc07-45e6-838a-53e19a99e4f6</v>
      </c>
    </row>
    <row r="444" spans="1:45" hidden="1" x14ac:dyDescent="0.25">
      <c r="A444" s="6" t="s">
        <v>44</v>
      </c>
      <c r="B444" s="7" t="s">
        <v>2628</v>
      </c>
      <c r="C444" s="7" t="s">
        <v>67</v>
      </c>
      <c r="D444" s="8">
        <v>45397</v>
      </c>
      <c r="E444" s="8" t="s">
        <v>0</v>
      </c>
      <c r="F444" s="16" t="s">
        <v>2629</v>
      </c>
      <c r="G444" s="7" t="s">
        <v>2630</v>
      </c>
      <c r="H444" s="7" t="s">
        <v>0</v>
      </c>
      <c r="I444" s="7" t="s">
        <v>3330</v>
      </c>
      <c r="J444" s="7" t="s">
        <v>3330</v>
      </c>
      <c r="K444" s="7" t="s">
        <v>85</v>
      </c>
      <c r="L444" s="7" t="s">
        <v>86</v>
      </c>
      <c r="M444" s="7" t="s">
        <v>289</v>
      </c>
      <c r="N444" s="7" t="s">
        <v>3329</v>
      </c>
      <c r="O444" s="7" t="s">
        <v>0</v>
      </c>
      <c r="P444" s="7" t="s">
        <v>3331</v>
      </c>
      <c r="Q444" s="7" t="s">
        <v>3332</v>
      </c>
      <c r="R444" s="7" t="s">
        <v>1139</v>
      </c>
      <c r="S444" s="7" t="s">
        <v>1610</v>
      </c>
      <c r="T444" s="7" t="s">
        <v>54</v>
      </c>
      <c r="U444" s="7" t="s">
        <v>283</v>
      </c>
      <c r="V444" s="7" t="s">
        <v>340</v>
      </c>
      <c r="W444" s="7" t="s">
        <v>74</v>
      </c>
      <c r="X444" s="7" t="s">
        <v>103</v>
      </c>
      <c r="Y444" s="8">
        <v>45397</v>
      </c>
      <c r="Z444" s="8">
        <v>46022</v>
      </c>
      <c r="AA444" s="7" t="s">
        <v>341</v>
      </c>
      <c r="AB444" s="7" t="s">
        <v>300</v>
      </c>
      <c r="AC444" s="7" t="s">
        <v>65</v>
      </c>
      <c r="AD444" s="7" t="s">
        <v>0</v>
      </c>
      <c r="AE444" s="7" t="s">
        <v>0</v>
      </c>
      <c r="AF444" s="7" t="s">
        <v>0</v>
      </c>
      <c r="AG444" s="7" t="s">
        <v>0</v>
      </c>
      <c r="AH444" s="9" t="s">
        <v>0</v>
      </c>
      <c r="AI444" s="9" t="s">
        <v>0</v>
      </c>
      <c r="AJ444" s="9" t="s">
        <v>0</v>
      </c>
      <c r="AK444" s="7" t="s">
        <v>61</v>
      </c>
      <c r="AL444" s="7" t="s">
        <v>61</v>
      </c>
      <c r="AM444" s="7" t="s">
        <v>0</v>
      </c>
      <c r="AN444" s="7" t="s">
        <v>0</v>
      </c>
      <c r="AO444" s="7" t="s">
        <v>0</v>
      </c>
      <c r="AP444" s="7" t="s">
        <v>0</v>
      </c>
      <c r="AQ444" s="7" t="s">
        <v>61</v>
      </c>
      <c r="AR444" s="7" t="s">
        <v>0</v>
      </c>
      <c r="AS444" s="10" t="str">
        <f>HYPERLINK("https://tessa.gazprom-neft.local/edo/card/c9db528b-6813-4b89-9c67-ad8d95ac85a0", "https://tessa.gazprom-neft.local/edo/card/c9db528b-6813-4b89-9c67-ad8d95ac85a0")</f>
        <v>https://tessa.gazprom-neft.local/edo/card/c9db528b-6813-4b89-9c67-ad8d95ac85a0</v>
      </c>
    </row>
    <row r="445" spans="1:45" x14ac:dyDescent="0.25">
      <c r="A445" s="6" t="s">
        <v>44</v>
      </c>
      <c r="B445" s="7" t="s">
        <v>234</v>
      </c>
      <c r="C445" s="7" t="s">
        <v>67</v>
      </c>
      <c r="D445" s="8">
        <v>45394</v>
      </c>
      <c r="E445" s="8" t="s">
        <v>0</v>
      </c>
      <c r="F445" s="16" t="s">
        <v>235</v>
      </c>
      <c r="G445" s="7" t="s">
        <v>236</v>
      </c>
      <c r="H445" s="7" t="s">
        <v>2119</v>
      </c>
      <c r="I445" s="7" t="s">
        <v>0</v>
      </c>
      <c r="J445" s="7" t="s">
        <v>156</v>
      </c>
      <c r="K445" s="7" t="s">
        <v>47</v>
      </c>
      <c r="L445" s="7" t="s">
        <v>48</v>
      </c>
      <c r="M445" s="7" t="s">
        <v>0</v>
      </c>
      <c r="N445" s="7" t="s">
        <v>3381</v>
      </c>
      <c r="O445" s="7" t="s">
        <v>0</v>
      </c>
      <c r="P445" s="7" t="s">
        <v>3382</v>
      </c>
      <c r="Q445" s="7" t="s">
        <v>1474</v>
      </c>
      <c r="R445" s="7" t="s">
        <v>233</v>
      </c>
      <c r="S445" s="7" t="s">
        <v>233</v>
      </c>
      <c r="T445" s="7" t="s">
        <v>54</v>
      </c>
      <c r="U445" s="7" t="s">
        <v>55</v>
      </c>
      <c r="V445" s="7" t="s">
        <v>56</v>
      </c>
      <c r="W445" s="7" t="s">
        <v>74</v>
      </c>
      <c r="X445" s="7" t="s">
        <v>103</v>
      </c>
      <c r="Y445" s="8">
        <v>45394</v>
      </c>
      <c r="Z445" s="8">
        <v>46022</v>
      </c>
      <c r="AA445" s="7" t="s">
        <v>59</v>
      </c>
      <c r="AB445" s="7" t="s">
        <v>130</v>
      </c>
      <c r="AC445" s="7" t="s">
        <v>65</v>
      </c>
      <c r="AD445" s="7" t="s">
        <v>80</v>
      </c>
      <c r="AE445" s="7" t="s">
        <v>0</v>
      </c>
      <c r="AF445" s="7" t="s">
        <v>0</v>
      </c>
      <c r="AG445" s="7" t="s">
        <v>0</v>
      </c>
      <c r="AH445" s="9" t="s">
        <v>0</v>
      </c>
      <c r="AI445" s="9" t="s">
        <v>0</v>
      </c>
      <c r="AJ445" s="9" t="s">
        <v>0</v>
      </c>
      <c r="AK445" s="7" t="s">
        <v>61</v>
      </c>
      <c r="AL445" s="7" t="s">
        <v>61</v>
      </c>
      <c r="AM445" s="7" t="s">
        <v>0</v>
      </c>
      <c r="AN445" s="7" t="s">
        <v>0</v>
      </c>
      <c r="AO445" s="7" t="s">
        <v>0</v>
      </c>
      <c r="AP445" s="7" t="s">
        <v>0</v>
      </c>
      <c r="AQ445" s="7" t="s">
        <v>61</v>
      </c>
      <c r="AR445" s="7" t="s">
        <v>0</v>
      </c>
      <c r="AS445" s="10" t="str">
        <f>HYPERLINK("https://tessa.gazprom-neft.local/edo/card/8957320d-9021-4938-90d5-3f07f4d5fc22", "https://tessa.gazprom-neft.local/edo/card/8957320d-9021-4938-90d5-3f07f4d5fc22")</f>
        <v>https://tessa.gazprom-neft.local/edo/card/8957320d-9021-4938-90d5-3f07f4d5fc22</v>
      </c>
    </row>
    <row r="446" spans="1:45" hidden="1" x14ac:dyDescent="0.25">
      <c r="A446" s="6" t="s">
        <v>44</v>
      </c>
      <c r="B446" s="7" t="s">
        <v>715</v>
      </c>
      <c r="C446" s="7" t="s">
        <v>67</v>
      </c>
      <c r="D446" s="8">
        <v>45394</v>
      </c>
      <c r="E446" s="8" t="s">
        <v>0</v>
      </c>
      <c r="F446" s="16" t="s">
        <v>716</v>
      </c>
      <c r="G446" s="7" t="s">
        <v>717</v>
      </c>
      <c r="H446" s="7" t="s">
        <v>710</v>
      </c>
      <c r="I446" s="7" t="s">
        <v>0</v>
      </c>
      <c r="J446" s="7" t="s">
        <v>538</v>
      </c>
      <c r="K446" s="7" t="s">
        <v>47</v>
      </c>
      <c r="L446" s="7" t="s">
        <v>709</v>
      </c>
      <c r="M446" s="7" t="s">
        <v>0</v>
      </c>
      <c r="N446" s="7" t="s">
        <v>3417</v>
      </c>
      <c r="O446" s="7" t="s">
        <v>0</v>
      </c>
      <c r="P446" s="7" t="s">
        <v>3418</v>
      </c>
      <c r="Q446" s="7" t="s">
        <v>3419</v>
      </c>
      <c r="R446" s="7" t="s">
        <v>714</v>
      </c>
      <c r="S446" s="7" t="s">
        <v>714</v>
      </c>
      <c r="T446" s="7" t="s">
        <v>54</v>
      </c>
      <c r="U446" s="7" t="s">
        <v>101</v>
      </c>
      <c r="V446" s="7" t="s">
        <v>308</v>
      </c>
      <c r="W446" s="7" t="s">
        <v>57</v>
      </c>
      <c r="X446" s="7" t="s">
        <v>103</v>
      </c>
      <c r="Y446" s="8">
        <v>45396</v>
      </c>
      <c r="Z446" s="8">
        <v>45504</v>
      </c>
      <c r="AA446" s="7" t="s">
        <v>309</v>
      </c>
      <c r="AB446" s="7" t="s">
        <v>64</v>
      </c>
      <c r="AC446" s="7" t="s">
        <v>79</v>
      </c>
      <c r="AD446" s="7" t="s">
        <v>144</v>
      </c>
      <c r="AE446" s="7" t="s">
        <v>82</v>
      </c>
      <c r="AF446" s="7" t="s">
        <v>0</v>
      </c>
      <c r="AG446" s="7" t="s">
        <v>0</v>
      </c>
      <c r="AH446" s="9" t="s">
        <v>11661</v>
      </c>
      <c r="AI446" s="9" t="s">
        <v>11662</v>
      </c>
      <c r="AJ446" s="9" t="s">
        <v>11663</v>
      </c>
      <c r="AK446" s="7" t="s">
        <v>61</v>
      </c>
      <c r="AL446" s="7" t="s">
        <v>61</v>
      </c>
      <c r="AM446" s="7" t="s">
        <v>0</v>
      </c>
      <c r="AN446" s="7" t="s">
        <v>0</v>
      </c>
      <c r="AO446" s="7" t="s">
        <v>0</v>
      </c>
      <c r="AP446" s="7" t="s">
        <v>0</v>
      </c>
      <c r="AQ446" s="7" t="s">
        <v>61</v>
      </c>
      <c r="AR446" s="7" t="s">
        <v>0</v>
      </c>
      <c r="AS446" s="10" t="str">
        <f>HYPERLINK("https://tessa.gazprom-neft.local/edo/card/f014c859-1bea-4cbf-8bd8-a2d518d57819", "https://tessa.gazprom-neft.local/edo/card/f014c859-1bea-4cbf-8bd8-a2d518d57819")</f>
        <v>https://tessa.gazprom-neft.local/edo/card/f014c859-1bea-4cbf-8bd8-a2d518d57819</v>
      </c>
    </row>
    <row r="447" spans="1:45" hidden="1" x14ac:dyDescent="0.25">
      <c r="A447" s="6" t="s">
        <v>44</v>
      </c>
      <c r="B447" s="7" t="s">
        <v>2098</v>
      </c>
      <c r="C447" s="7" t="s">
        <v>67</v>
      </c>
      <c r="D447" s="8">
        <v>45393</v>
      </c>
      <c r="E447" s="8">
        <v>45427</v>
      </c>
      <c r="F447" s="16" t="s">
        <v>2099</v>
      </c>
      <c r="G447" s="7" t="s">
        <v>2100</v>
      </c>
      <c r="H447" s="7" t="s">
        <v>0</v>
      </c>
      <c r="I447" s="7" t="s">
        <v>3533</v>
      </c>
      <c r="J447" s="7" t="s">
        <v>3533</v>
      </c>
      <c r="K447" s="7" t="s">
        <v>85</v>
      </c>
      <c r="L447" s="7" t="s">
        <v>86</v>
      </c>
      <c r="M447" s="7" t="s">
        <v>289</v>
      </c>
      <c r="N447" s="7" t="s">
        <v>3532</v>
      </c>
      <c r="O447" s="7" t="s">
        <v>0</v>
      </c>
      <c r="P447" s="7" t="s">
        <v>289</v>
      </c>
      <c r="Q447" s="7" t="s">
        <v>3534</v>
      </c>
      <c r="R447" s="7" t="s">
        <v>1286</v>
      </c>
      <c r="S447" s="7" t="s">
        <v>168</v>
      </c>
      <c r="T447" s="7" t="s">
        <v>54</v>
      </c>
      <c r="U447" s="7" t="s">
        <v>1287</v>
      </c>
      <c r="V447" s="7" t="s">
        <v>56</v>
      </c>
      <c r="W447" s="7" t="s">
        <v>74</v>
      </c>
      <c r="X447" s="7" t="s">
        <v>58</v>
      </c>
      <c r="Y447" s="8">
        <v>45393</v>
      </c>
      <c r="Z447" s="8" t="s">
        <v>0</v>
      </c>
      <c r="AA447" s="7" t="s">
        <v>0</v>
      </c>
      <c r="AB447" s="7" t="s">
        <v>300</v>
      </c>
      <c r="AC447" s="7" t="s">
        <v>65</v>
      </c>
      <c r="AD447" s="7" t="s">
        <v>0</v>
      </c>
      <c r="AE447" s="7" t="s">
        <v>0</v>
      </c>
      <c r="AF447" s="7" t="s">
        <v>0</v>
      </c>
      <c r="AG447" s="7" t="s">
        <v>0</v>
      </c>
      <c r="AH447" s="9" t="s">
        <v>0</v>
      </c>
      <c r="AI447" s="9" t="s">
        <v>0</v>
      </c>
      <c r="AJ447" s="9" t="s">
        <v>0</v>
      </c>
      <c r="AK447" s="7" t="s">
        <v>61</v>
      </c>
      <c r="AL447" s="7" t="s">
        <v>61</v>
      </c>
      <c r="AM447" s="7" t="s">
        <v>0</v>
      </c>
      <c r="AN447" s="7" t="s">
        <v>0</v>
      </c>
      <c r="AO447" s="7" t="s">
        <v>0</v>
      </c>
      <c r="AP447" s="7" t="s">
        <v>0</v>
      </c>
      <c r="AQ447" s="7" t="s">
        <v>61</v>
      </c>
      <c r="AR447" s="7" t="s">
        <v>0</v>
      </c>
      <c r="AS447" s="10" t="str">
        <f>HYPERLINK("https://tessa.gazprom-neft.local/edo/card/4e578a36-fd61-4179-a518-b03d98886df6", "https://tessa.gazprom-neft.local/edo/card/4e578a36-fd61-4179-a518-b03d98886df6")</f>
        <v>https://tessa.gazprom-neft.local/edo/card/4e578a36-fd61-4179-a518-b03d98886df6</v>
      </c>
    </row>
    <row r="448" spans="1:45" hidden="1" x14ac:dyDescent="0.25">
      <c r="A448" s="6" t="s">
        <v>44</v>
      </c>
      <c r="B448" s="7" t="s">
        <v>2744</v>
      </c>
      <c r="C448" s="7" t="s">
        <v>67</v>
      </c>
      <c r="D448" s="8">
        <v>45392</v>
      </c>
      <c r="E448" s="8" t="s">
        <v>0</v>
      </c>
      <c r="F448" s="16" t="s">
        <v>2745</v>
      </c>
      <c r="G448" s="7" t="s">
        <v>2746</v>
      </c>
      <c r="H448" s="7" t="s">
        <v>2741</v>
      </c>
      <c r="I448" s="7" t="s">
        <v>0</v>
      </c>
      <c r="J448" s="7" t="s">
        <v>271</v>
      </c>
      <c r="K448" s="7" t="s">
        <v>47</v>
      </c>
      <c r="L448" s="7" t="s">
        <v>1858</v>
      </c>
      <c r="M448" s="7" t="s">
        <v>0</v>
      </c>
      <c r="N448" s="7" t="s">
        <v>2740</v>
      </c>
      <c r="O448" s="7" t="s">
        <v>0</v>
      </c>
      <c r="P448" s="7" t="s">
        <v>2742</v>
      </c>
      <c r="Q448" s="7" t="s">
        <v>2743</v>
      </c>
      <c r="R448" s="7" t="s">
        <v>1711</v>
      </c>
      <c r="S448" s="7" t="s">
        <v>1711</v>
      </c>
      <c r="T448" s="7" t="s">
        <v>54</v>
      </c>
      <c r="U448" s="7" t="s">
        <v>605</v>
      </c>
      <c r="V448" s="7" t="s">
        <v>137</v>
      </c>
      <c r="W448" s="7" t="s">
        <v>57</v>
      </c>
      <c r="X448" s="7" t="s">
        <v>103</v>
      </c>
      <c r="Y448" s="8">
        <v>45392</v>
      </c>
      <c r="Z448" s="8">
        <v>45392</v>
      </c>
      <c r="AA448" s="7" t="s">
        <v>0</v>
      </c>
      <c r="AB448" s="7" t="s">
        <v>192</v>
      </c>
      <c r="AC448" s="7" t="s">
        <v>65</v>
      </c>
      <c r="AD448" s="7" t="s">
        <v>0</v>
      </c>
      <c r="AE448" s="7" t="s">
        <v>0</v>
      </c>
      <c r="AF448" s="7" t="s">
        <v>0</v>
      </c>
      <c r="AG448" s="7" t="s">
        <v>0</v>
      </c>
      <c r="AH448" s="9" t="s">
        <v>0</v>
      </c>
      <c r="AI448" s="9" t="s">
        <v>0</v>
      </c>
      <c r="AJ448" s="9" t="s">
        <v>0</v>
      </c>
      <c r="AK448" s="7" t="s">
        <v>61</v>
      </c>
      <c r="AL448" s="7" t="s">
        <v>61</v>
      </c>
      <c r="AM448" s="7" t="s">
        <v>0</v>
      </c>
      <c r="AN448" s="7" t="s">
        <v>0</v>
      </c>
      <c r="AO448" s="7" t="s">
        <v>0</v>
      </c>
      <c r="AP448" s="7" t="s">
        <v>0</v>
      </c>
      <c r="AQ448" s="7" t="s">
        <v>61</v>
      </c>
      <c r="AR448" s="7" t="s">
        <v>0</v>
      </c>
      <c r="AS448" s="10" t="str">
        <f>HYPERLINK("https://tessa.gazprom-neft.local/edo/card/d0706612-94fe-4416-bfca-ba37e3b38192", "https://tessa.gazprom-neft.local/edo/card/d0706612-94fe-4416-bfca-ba37e3b38192")</f>
        <v>https://tessa.gazprom-neft.local/edo/card/d0706612-94fe-4416-bfca-ba37e3b38192</v>
      </c>
    </row>
    <row r="449" spans="1:45" hidden="1" x14ac:dyDescent="0.25">
      <c r="A449" s="6" t="s">
        <v>44</v>
      </c>
      <c r="B449" s="7" t="s">
        <v>1950</v>
      </c>
      <c r="C449" s="7" t="s">
        <v>67</v>
      </c>
      <c r="D449" s="8">
        <v>45392</v>
      </c>
      <c r="E449" s="8" t="s">
        <v>0</v>
      </c>
      <c r="F449" s="16" t="s">
        <v>1951</v>
      </c>
      <c r="G449" s="7" t="s">
        <v>1952</v>
      </c>
      <c r="H449" s="7" t="s">
        <v>0</v>
      </c>
      <c r="I449" s="7" t="s">
        <v>3059</v>
      </c>
      <c r="J449" s="7" t="s">
        <v>3059</v>
      </c>
      <c r="K449" s="7" t="s">
        <v>85</v>
      </c>
      <c r="L449" s="7" t="s">
        <v>86</v>
      </c>
      <c r="M449" s="7" t="s">
        <v>216</v>
      </c>
      <c r="N449" s="7" t="s">
        <v>3058</v>
      </c>
      <c r="O449" s="7" t="s">
        <v>0</v>
      </c>
      <c r="P449" s="7" t="s">
        <v>216</v>
      </c>
      <c r="Q449" s="7" t="s">
        <v>3060</v>
      </c>
      <c r="R449" s="7" t="s">
        <v>1711</v>
      </c>
      <c r="S449" s="7" t="s">
        <v>1711</v>
      </c>
      <c r="T449" s="7" t="s">
        <v>54</v>
      </c>
      <c r="U449" s="7" t="s">
        <v>605</v>
      </c>
      <c r="V449" s="7" t="s">
        <v>126</v>
      </c>
      <c r="W449" s="7" t="s">
        <v>74</v>
      </c>
      <c r="X449" s="7" t="s">
        <v>58</v>
      </c>
      <c r="Y449" s="8">
        <v>45392</v>
      </c>
      <c r="Z449" s="8" t="s">
        <v>0</v>
      </c>
      <c r="AA449" s="7" t="s">
        <v>200</v>
      </c>
      <c r="AB449" s="7" t="s">
        <v>228</v>
      </c>
      <c r="AC449" s="7" t="s">
        <v>65</v>
      </c>
      <c r="AD449" s="7" t="s">
        <v>0</v>
      </c>
      <c r="AE449" s="7" t="s">
        <v>0</v>
      </c>
      <c r="AF449" s="7" t="s">
        <v>0</v>
      </c>
      <c r="AG449" s="7" t="s">
        <v>0</v>
      </c>
      <c r="AH449" s="9" t="s">
        <v>0</v>
      </c>
      <c r="AI449" s="9" t="s">
        <v>0</v>
      </c>
      <c r="AJ449" s="9" t="s">
        <v>0</v>
      </c>
      <c r="AK449" s="7" t="s">
        <v>61</v>
      </c>
      <c r="AL449" s="7" t="s">
        <v>61</v>
      </c>
      <c r="AM449" s="7" t="s">
        <v>0</v>
      </c>
      <c r="AN449" s="7" t="s">
        <v>0</v>
      </c>
      <c r="AO449" s="7" t="s">
        <v>0</v>
      </c>
      <c r="AP449" s="7" t="s">
        <v>0</v>
      </c>
      <c r="AQ449" s="7" t="s">
        <v>61</v>
      </c>
      <c r="AR449" s="7" t="s">
        <v>0</v>
      </c>
      <c r="AS449" s="10" t="str">
        <f>HYPERLINK("https://tessa.gazprom-neft.local/edo/card/b278133e-8d2c-4101-9373-03bfe0c10b5e", "https://tessa.gazprom-neft.local/edo/card/b278133e-8d2c-4101-9373-03bfe0c10b5e")</f>
        <v>https://tessa.gazprom-neft.local/edo/card/b278133e-8d2c-4101-9373-03bfe0c10b5e</v>
      </c>
    </row>
    <row r="450" spans="1:45" x14ac:dyDescent="0.25">
      <c r="A450" s="6" t="s">
        <v>44</v>
      </c>
      <c r="B450" s="7" t="s">
        <v>1240</v>
      </c>
      <c r="C450" s="7" t="s">
        <v>67</v>
      </c>
      <c r="D450" s="8">
        <v>45392</v>
      </c>
      <c r="E450" s="8">
        <v>45434</v>
      </c>
      <c r="F450" s="16" t="s">
        <v>1241</v>
      </c>
      <c r="G450" s="7" t="s">
        <v>1242</v>
      </c>
      <c r="H450" s="7" t="s">
        <v>3083</v>
      </c>
      <c r="I450" s="7" t="s">
        <v>0</v>
      </c>
      <c r="J450" s="7" t="s">
        <v>70</v>
      </c>
      <c r="K450" s="7" t="s">
        <v>85</v>
      </c>
      <c r="L450" s="7" t="s">
        <v>48</v>
      </c>
      <c r="M450" s="7" t="s">
        <v>2373</v>
      </c>
      <c r="N450" s="7" t="s">
        <v>3082</v>
      </c>
      <c r="O450" s="7" t="s">
        <v>0</v>
      </c>
      <c r="P450" s="7" t="s">
        <v>3084</v>
      </c>
      <c r="Q450" s="7" t="s">
        <v>3085</v>
      </c>
      <c r="R450" s="7" t="s">
        <v>393</v>
      </c>
      <c r="S450" s="7" t="s">
        <v>3086</v>
      </c>
      <c r="T450" s="7" t="s">
        <v>54</v>
      </c>
      <c r="U450" s="7" t="s">
        <v>283</v>
      </c>
      <c r="V450" s="7" t="s">
        <v>168</v>
      </c>
      <c r="W450" s="7" t="s">
        <v>74</v>
      </c>
      <c r="X450" s="7" t="s">
        <v>58</v>
      </c>
      <c r="Y450" s="8">
        <v>45392</v>
      </c>
      <c r="Z450" s="8" t="s">
        <v>0</v>
      </c>
      <c r="AA450" s="7" t="s">
        <v>169</v>
      </c>
      <c r="AB450" s="7" t="s">
        <v>130</v>
      </c>
      <c r="AC450" s="7" t="s">
        <v>65</v>
      </c>
      <c r="AD450" s="7" t="s">
        <v>144</v>
      </c>
      <c r="AE450" s="7" t="s">
        <v>0</v>
      </c>
      <c r="AF450" s="7" t="s">
        <v>0</v>
      </c>
      <c r="AG450" s="7" t="s">
        <v>0</v>
      </c>
      <c r="AH450" s="9" t="s">
        <v>0</v>
      </c>
      <c r="AI450" s="9" t="s">
        <v>0</v>
      </c>
      <c r="AJ450" s="9" t="s">
        <v>0</v>
      </c>
      <c r="AK450" s="7" t="s">
        <v>61</v>
      </c>
      <c r="AL450" s="7" t="s">
        <v>61</v>
      </c>
      <c r="AM450" s="7" t="s">
        <v>0</v>
      </c>
      <c r="AN450" s="7" t="s">
        <v>0</v>
      </c>
      <c r="AO450" s="7" t="s">
        <v>0</v>
      </c>
      <c r="AP450" s="7" t="s">
        <v>0</v>
      </c>
      <c r="AQ450" s="7" t="s">
        <v>61</v>
      </c>
      <c r="AR450" s="7" t="s">
        <v>0</v>
      </c>
      <c r="AS450" s="10" t="str">
        <f>HYPERLINK("https://tessa.gazprom-neft.local/edo/card/06e9826c-2ce1-440a-afb8-3f458793e2f0", "https://tessa.gazprom-neft.local/edo/card/06e9826c-2ce1-440a-afb8-3f458793e2f0")</f>
        <v>https://tessa.gazprom-neft.local/edo/card/06e9826c-2ce1-440a-afb8-3f458793e2f0</v>
      </c>
    </row>
    <row r="451" spans="1:45" x14ac:dyDescent="0.25">
      <c r="A451" s="6" t="s">
        <v>44</v>
      </c>
      <c r="B451" s="7" t="s">
        <v>1240</v>
      </c>
      <c r="C451" s="7" t="s">
        <v>67</v>
      </c>
      <c r="D451" s="8">
        <v>45392</v>
      </c>
      <c r="E451" s="8">
        <v>45434</v>
      </c>
      <c r="F451" s="16" t="s">
        <v>1241</v>
      </c>
      <c r="G451" s="7" t="s">
        <v>1242</v>
      </c>
      <c r="H451" s="7" t="s">
        <v>1237</v>
      </c>
      <c r="I451" s="7" t="s">
        <v>0</v>
      </c>
      <c r="J451" s="7" t="s">
        <v>70</v>
      </c>
      <c r="K451" s="7" t="s">
        <v>85</v>
      </c>
      <c r="L451" s="7" t="s">
        <v>48</v>
      </c>
      <c r="M451" s="7" t="s">
        <v>2373</v>
      </c>
      <c r="N451" s="7" t="s">
        <v>3103</v>
      </c>
      <c r="O451" s="7" t="s">
        <v>0</v>
      </c>
      <c r="P451" s="7" t="s">
        <v>3104</v>
      </c>
      <c r="Q451" s="7" t="s">
        <v>3105</v>
      </c>
      <c r="R451" s="7" t="s">
        <v>393</v>
      </c>
      <c r="S451" s="7" t="s">
        <v>3086</v>
      </c>
      <c r="T451" s="7" t="s">
        <v>54</v>
      </c>
      <c r="U451" s="7" t="s">
        <v>222</v>
      </c>
      <c r="V451" s="7" t="s">
        <v>168</v>
      </c>
      <c r="W451" s="7" t="s">
        <v>74</v>
      </c>
      <c r="X451" s="7" t="s">
        <v>58</v>
      </c>
      <c r="Y451" s="8">
        <v>45386</v>
      </c>
      <c r="Z451" s="8" t="s">
        <v>0</v>
      </c>
      <c r="AA451" s="7" t="s">
        <v>169</v>
      </c>
      <c r="AB451" s="7" t="s">
        <v>130</v>
      </c>
      <c r="AC451" s="7" t="s">
        <v>65</v>
      </c>
      <c r="AD451" s="7" t="s">
        <v>144</v>
      </c>
      <c r="AE451" s="7" t="s">
        <v>0</v>
      </c>
      <c r="AF451" s="7" t="s">
        <v>0</v>
      </c>
      <c r="AG451" s="7" t="s">
        <v>0</v>
      </c>
      <c r="AH451" s="9" t="s">
        <v>0</v>
      </c>
      <c r="AI451" s="9" t="s">
        <v>0</v>
      </c>
      <c r="AJ451" s="9" t="s">
        <v>0</v>
      </c>
      <c r="AK451" s="7" t="s">
        <v>61</v>
      </c>
      <c r="AL451" s="7" t="s">
        <v>61</v>
      </c>
      <c r="AM451" s="7" t="s">
        <v>0</v>
      </c>
      <c r="AN451" s="7" t="s">
        <v>0</v>
      </c>
      <c r="AO451" s="7" t="s">
        <v>0</v>
      </c>
      <c r="AP451" s="7" t="s">
        <v>0</v>
      </c>
      <c r="AQ451" s="7" t="s">
        <v>61</v>
      </c>
      <c r="AR451" s="7" t="s">
        <v>0</v>
      </c>
      <c r="AS451" s="10" t="str">
        <f>HYPERLINK("https://tessa.gazprom-neft.local/edo/card/cb0694aa-0c2d-4923-8d8f-82ac36751734", "https://tessa.gazprom-neft.local/edo/card/cb0694aa-0c2d-4923-8d8f-82ac36751734")</f>
        <v>https://tessa.gazprom-neft.local/edo/card/cb0694aa-0c2d-4923-8d8f-82ac36751734</v>
      </c>
    </row>
    <row r="452" spans="1:45" x14ac:dyDescent="0.25">
      <c r="A452" s="6" t="s">
        <v>44</v>
      </c>
      <c r="B452" s="7" t="s">
        <v>639</v>
      </c>
      <c r="C452" s="7" t="s">
        <v>67</v>
      </c>
      <c r="D452" s="8">
        <v>45392</v>
      </c>
      <c r="E452" s="8" t="s">
        <v>0</v>
      </c>
      <c r="F452" s="16" t="s">
        <v>640</v>
      </c>
      <c r="G452" s="7" t="s">
        <v>641</v>
      </c>
      <c r="H452" s="7" t="s">
        <v>3300</v>
      </c>
      <c r="I452" s="7" t="s">
        <v>0</v>
      </c>
      <c r="J452" s="7" t="s">
        <v>271</v>
      </c>
      <c r="K452" s="7" t="s">
        <v>85</v>
      </c>
      <c r="L452" s="7" t="s">
        <v>48</v>
      </c>
      <c r="M452" s="7" t="s">
        <v>1183</v>
      </c>
      <c r="N452" s="7" t="s">
        <v>3299</v>
      </c>
      <c r="O452" s="7" t="s">
        <v>0</v>
      </c>
      <c r="P452" s="7" t="s">
        <v>3301</v>
      </c>
      <c r="Q452" s="7" t="s">
        <v>3302</v>
      </c>
      <c r="R452" s="7" t="s">
        <v>422</v>
      </c>
      <c r="S452" s="7" t="s">
        <v>0</v>
      </c>
      <c r="T452" s="7" t="s">
        <v>54</v>
      </c>
      <c r="U452" s="7" t="s">
        <v>283</v>
      </c>
      <c r="V452" s="7" t="s">
        <v>168</v>
      </c>
      <c r="W452" s="7" t="s">
        <v>74</v>
      </c>
      <c r="X452" s="7" t="s">
        <v>223</v>
      </c>
      <c r="Y452" s="8">
        <v>45392</v>
      </c>
      <c r="Z452" s="8" t="s">
        <v>0</v>
      </c>
      <c r="AA452" s="7" t="s">
        <v>169</v>
      </c>
      <c r="AB452" s="7" t="s">
        <v>228</v>
      </c>
      <c r="AC452" s="7" t="s">
        <v>65</v>
      </c>
      <c r="AD452" s="7" t="s">
        <v>0</v>
      </c>
      <c r="AE452" s="7" t="s">
        <v>0</v>
      </c>
      <c r="AF452" s="7" t="s">
        <v>0</v>
      </c>
      <c r="AG452" s="7" t="s">
        <v>0</v>
      </c>
      <c r="AH452" s="9" t="s">
        <v>0</v>
      </c>
      <c r="AI452" s="9" t="s">
        <v>0</v>
      </c>
      <c r="AJ452" s="9" t="s">
        <v>0</v>
      </c>
      <c r="AK452" s="7" t="s">
        <v>61</v>
      </c>
      <c r="AL452" s="7" t="s">
        <v>61</v>
      </c>
      <c r="AM452" s="7" t="s">
        <v>0</v>
      </c>
      <c r="AN452" s="7" t="s">
        <v>0</v>
      </c>
      <c r="AO452" s="7" t="s">
        <v>0</v>
      </c>
      <c r="AP452" s="7" t="s">
        <v>0</v>
      </c>
      <c r="AQ452" s="7" t="s">
        <v>61</v>
      </c>
      <c r="AR452" s="7" t="s">
        <v>0</v>
      </c>
      <c r="AS452" s="10" t="str">
        <f>HYPERLINK("https://tessa.gazprom-neft.local/edo/card/8cf35880-999d-4d57-ace5-e8a3f109d2d2", "https://tessa.gazprom-neft.local/edo/card/8cf35880-999d-4d57-ace5-e8a3f109d2d2")</f>
        <v>https://tessa.gazprom-neft.local/edo/card/8cf35880-999d-4d57-ace5-e8a3f109d2d2</v>
      </c>
    </row>
    <row r="453" spans="1:45" x14ac:dyDescent="0.25">
      <c r="A453" s="6" t="s">
        <v>44</v>
      </c>
      <c r="B453" s="7" t="s">
        <v>565</v>
      </c>
      <c r="C453" s="7" t="s">
        <v>67</v>
      </c>
      <c r="D453" s="8">
        <v>45391</v>
      </c>
      <c r="E453" s="8" t="s">
        <v>0</v>
      </c>
      <c r="F453" s="16" t="s">
        <v>653</v>
      </c>
      <c r="G453" s="7" t="s">
        <v>567</v>
      </c>
      <c r="H453" s="7" t="s">
        <v>1245</v>
      </c>
      <c r="I453" s="7" t="s">
        <v>0</v>
      </c>
      <c r="J453" s="7" t="s">
        <v>51</v>
      </c>
      <c r="K453" s="7" t="s">
        <v>85</v>
      </c>
      <c r="L453" s="7" t="s">
        <v>48</v>
      </c>
      <c r="M453" s="7" t="s">
        <v>1183</v>
      </c>
      <c r="N453" s="7" t="s">
        <v>3306</v>
      </c>
      <c r="O453" s="7" t="s">
        <v>0</v>
      </c>
      <c r="P453" s="7" t="s">
        <v>3307</v>
      </c>
      <c r="Q453" s="7" t="s">
        <v>3302</v>
      </c>
      <c r="R453" s="7" t="s">
        <v>422</v>
      </c>
      <c r="S453" s="7" t="s">
        <v>0</v>
      </c>
      <c r="T453" s="7" t="s">
        <v>54</v>
      </c>
      <c r="U453" s="7" t="s">
        <v>283</v>
      </c>
      <c r="V453" s="7" t="s">
        <v>168</v>
      </c>
      <c r="W453" s="7" t="s">
        <v>74</v>
      </c>
      <c r="X453" s="7" t="s">
        <v>223</v>
      </c>
      <c r="Y453" s="8">
        <v>45391</v>
      </c>
      <c r="Z453" s="8" t="s">
        <v>0</v>
      </c>
      <c r="AA453" s="7" t="s">
        <v>169</v>
      </c>
      <c r="AB453" s="7" t="s">
        <v>228</v>
      </c>
      <c r="AC453" s="7" t="s">
        <v>65</v>
      </c>
      <c r="AD453" s="7" t="s">
        <v>0</v>
      </c>
      <c r="AE453" s="7" t="s">
        <v>0</v>
      </c>
      <c r="AF453" s="7" t="s">
        <v>0</v>
      </c>
      <c r="AG453" s="7" t="s">
        <v>0</v>
      </c>
      <c r="AH453" s="9" t="s">
        <v>0</v>
      </c>
      <c r="AI453" s="9" t="s">
        <v>0</v>
      </c>
      <c r="AJ453" s="9" t="s">
        <v>0</v>
      </c>
      <c r="AK453" s="7" t="s">
        <v>61</v>
      </c>
      <c r="AL453" s="7" t="s">
        <v>61</v>
      </c>
      <c r="AM453" s="7" t="s">
        <v>0</v>
      </c>
      <c r="AN453" s="7" t="s">
        <v>0</v>
      </c>
      <c r="AO453" s="7" t="s">
        <v>0</v>
      </c>
      <c r="AP453" s="7" t="s">
        <v>0</v>
      </c>
      <c r="AQ453" s="7" t="s">
        <v>61</v>
      </c>
      <c r="AR453" s="7" t="s">
        <v>0</v>
      </c>
      <c r="AS453" s="10" t="str">
        <f>HYPERLINK("https://tessa.gazprom-neft.local/edo/card/82205f89-bb68-43c3-91cc-5c035bc864f2", "https://tessa.gazprom-neft.local/edo/card/82205f89-bb68-43c3-91cc-5c035bc864f2")</f>
        <v>https://tessa.gazprom-neft.local/edo/card/82205f89-bb68-43c3-91cc-5c035bc864f2</v>
      </c>
    </row>
    <row r="454" spans="1:45" hidden="1" x14ac:dyDescent="0.25">
      <c r="A454" s="6" t="s">
        <v>44</v>
      </c>
      <c r="B454" s="7" t="s">
        <v>2628</v>
      </c>
      <c r="C454" s="7" t="s">
        <v>67</v>
      </c>
      <c r="D454" s="8">
        <v>45390</v>
      </c>
      <c r="E454" s="8" t="s">
        <v>0</v>
      </c>
      <c r="F454" s="16" t="s">
        <v>2629</v>
      </c>
      <c r="G454" s="7" t="s">
        <v>2630</v>
      </c>
      <c r="H454" s="7" t="s">
        <v>0</v>
      </c>
      <c r="I454" s="7" t="s">
        <v>2625</v>
      </c>
      <c r="J454" s="7" t="s">
        <v>2625</v>
      </c>
      <c r="K454" s="7" t="s">
        <v>47</v>
      </c>
      <c r="L454" s="7" t="s">
        <v>96</v>
      </c>
      <c r="M454" s="7" t="s">
        <v>0</v>
      </c>
      <c r="N454" s="7" t="s">
        <v>2624</v>
      </c>
      <c r="O454" s="7" t="s">
        <v>0</v>
      </c>
      <c r="P454" s="7" t="s">
        <v>2626</v>
      </c>
      <c r="Q454" s="7" t="s">
        <v>2627</v>
      </c>
      <c r="R454" s="7" t="s">
        <v>1139</v>
      </c>
      <c r="S454" s="7" t="s">
        <v>1610</v>
      </c>
      <c r="T454" s="7" t="s">
        <v>54</v>
      </c>
      <c r="U454" s="7" t="s">
        <v>283</v>
      </c>
      <c r="V454" s="7" t="s">
        <v>126</v>
      </c>
      <c r="W454" s="7" t="s">
        <v>57</v>
      </c>
      <c r="X454" s="7" t="s">
        <v>103</v>
      </c>
      <c r="Y454" s="8">
        <v>45390</v>
      </c>
      <c r="Z454" s="8">
        <v>46022</v>
      </c>
      <c r="AA454" s="7" t="s">
        <v>200</v>
      </c>
      <c r="AB454" s="7" t="s">
        <v>161</v>
      </c>
      <c r="AC454" s="7" t="s">
        <v>79</v>
      </c>
      <c r="AD454" s="7" t="s">
        <v>80</v>
      </c>
      <c r="AE454" s="7" t="s">
        <v>118</v>
      </c>
      <c r="AF454" s="7" t="s">
        <v>0</v>
      </c>
      <c r="AG454" s="7" t="s">
        <v>0</v>
      </c>
      <c r="AH454" s="9" t="s">
        <v>11408</v>
      </c>
      <c r="AI454" s="9" t="s">
        <v>11408</v>
      </c>
      <c r="AJ454" s="9">
        <v>0</v>
      </c>
      <c r="AK454" s="7" t="s">
        <v>61</v>
      </c>
      <c r="AL454" s="7" t="s">
        <v>61</v>
      </c>
      <c r="AM454" s="7" t="s">
        <v>0</v>
      </c>
      <c r="AN454" s="7" t="s">
        <v>0</v>
      </c>
      <c r="AO454" s="7" t="s">
        <v>0</v>
      </c>
      <c r="AP454" s="7" t="s">
        <v>0</v>
      </c>
      <c r="AQ454" s="7" t="s">
        <v>61</v>
      </c>
      <c r="AR454" s="7" t="s">
        <v>0</v>
      </c>
      <c r="AS454" s="10" t="str">
        <f>HYPERLINK("https://tessa.gazprom-neft.local/edo/card/ed23b088-7fdb-40d2-beeb-0b9921d64e4b", "https://tessa.gazprom-neft.local/edo/card/ed23b088-7fdb-40d2-beeb-0b9921d64e4b")</f>
        <v>https://tessa.gazprom-neft.local/edo/card/ed23b088-7fdb-40d2-beeb-0b9921d64e4b</v>
      </c>
    </row>
    <row r="455" spans="1:45" hidden="1" x14ac:dyDescent="0.25">
      <c r="A455" s="6" t="s">
        <v>44</v>
      </c>
      <c r="B455" s="7" t="s">
        <v>606</v>
      </c>
      <c r="C455" s="7" t="s">
        <v>67</v>
      </c>
      <c r="D455" s="8">
        <v>45390</v>
      </c>
      <c r="E455" s="8">
        <v>45432</v>
      </c>
      <c r="F455" s="16" t="s">
        <v>607</v>
      </c>
      <c r="G455" s="7" t="s">
        <v>608</v>
      </c>
      <c r="H455" s="7" t="s">
        <v>600</v>
      </c>
      <c r="I455" s="7" t="s">
        <v>0</v>
      </c>
      <c r="J455" s="7" t="s">
        <v>2917</v>
      </c>
      <c r="K455" s="7" t="s">
        <v>47</v>
      </c>
      <c r="L455" s="7" t="s">
        <v>239</v>
      </c>
      <c r="M455" s="7" t="s">
        <v>0</v>
      </c>
      <c r="N455" s="7" t="s">
        <v>2915</v>
      </c>
      <c r="O455" s="7" t="s">
        <v>0</v>
      </c>
      <c r="P455" s="7" t="s">
        <v>2916</v>
      </c>
      <c r="Q455" s="7" t="s">
        <v>2918</v>
      </c>
      <c r="R455" s="7" t="s">
        <v>938</v>
      </c>
      <c r="S455" s="7" t="s">
        <v>938</v>
      </c>
      <c r="T455" s="7" t="s">
        <v>54</v>
      </c>
      <c r="U455" s="7" t="s">
        <v>605</v>
      </c>
      <c r="V455" s="7" t="s">
        <v>126</v>
      </c>
      <c r="W455" s="7" t="s">
        <v>74</v>
      </c>
      <c r="X455" s="7" t="s">
        <v>103</v>
      </c>
      <c r="Y455" s="8">
        <v>45390</v>
      </c>
      <c r="Z455" s="8">
        <v>45657</v>
      </c>
      <c r="AA455" s="7" t="s">
        <v>200</v>
      </c>
      <c r="AB455" s="7" t="s">
        <v>130</v>
      </c>
      <c r="AC455" s="7" t="s">
        <v>79</v>
      </c>
      <c r="AD455" s="7" t="s">
        <v>144</v>
      </c>
      <c r="AE455" s="7" t="s">
        <v>82</v>
      </c>
      <c r="AF455" s="7" t="s">
        <v>0</v>
      </c>
      <c r="AG455" s="7" t="s">
        <v>0</v>
      </c>
      <c r="AH455" s="9" t="s">
        <v>11489</v>
      </c>
      <c r="AI455" s="9" t="s">
        <v>11490</v>
      </c>
      <c r="AJ455" s="9" t="s">
        <v>11491</v>
      </c>
      <c r="AK455" s="7" t="s">
        <v>61</v>
      </c>
      <c r="AL455" s="7" t="s">
        <v>61</v>
      </c>
      <c r="AM455" s="7" t="s">
        <v>0</v>
      </c>
      <c r="AN455" s="7" t="s">
        <v>0</v>
      </c>
      <c r="AO455" s="7" t="s">
        <v>0</v>
      </c>
      <c r="AP455" s="7" t="s">
        <v>0</v>
      </c>
      <c r="AQ455" s="7" t="s">
        <v>61</v>
      </c>
      <c r="AR455" s="7" t="s">
        <v>0</v>
      </c>
      <c r="AS455" s="10" t="str">
        <f>HYPERLINK("https://tessa.gazprom-neft.local/edo/card/c1940451-df0b-44a6-9a90-4ae43ae23930", "https://tessa.gazprom-neft.local/edo/card/c1940451-df0b-44a6-9a90-4ae43ae23930")</f>
        <v>https://tessa.gazprom-neft.local/edo/card/c1940451-df0b-44a6-9a90-4ae43ae23930</v>
      </c>
    </row>
    <row r="456" spans="1:45" x14ac:dyDescent="0.25">
      <c r="A456" s="6" t="s">
        <v>44</v>
      </c>
      <c r="B456" s="7" t="s">
        <v>852</v>
      </c>
      <c r="C456" s="7" t="s">
        <v>67</v>
      </c>
      <c r="D456" s="8">
        <v>45390</v>
      </c>
      <c r="E456" s="8">
        <v>45419</v>
      </c>
      <c r="F456" s="16" t="s">
        <v>853</v>
      </c>
      <c r="G456" s="7" t="s">
        <v>854</v>
      </c>
      <c r="H456" s="7" t="s">
        <v>1009</v>
      </c>
      <c r="I456" s="7" t="s">
        <v>0</v>
      </c>
      <c r="J456" s="7" t="s">
        <v>51</v>
      </c>
      <c r="K456" s="7" t="s">
        <v>47</v>
      </c>
      <c r="L456" s="7" t="s">
        <v>48</v>
      </c>
      <c r="M456" s="7" t="s">
        <v>0</v>
      </c>
      <c r="N456" s="7" t="s">
        <v>2961</v>
      </c>
      <c r="O456" s="7" t="s">
        <v>0</v>
      </c>
      <c r="P456" s="7" t="s">
        <v>2962</v>
      </c>
      <c r="Q456" s="7" t="s">
        <v>2963</v>
      </c>
      <c r="R456" s="7" t="s">
        <v>1011</v>
      </c>
      <c r="S456" s="7" t="s">
        <v>1011</v>
      </c>
      <c r="T456" s="7" t="s">
        <v>54</v>
      </c>
      <c r="U456" s="7" t="s">
        <v>1012</v>
      </c>
      <c r="V456" s="7" t="s">
        <v>126</v>
      </c>
      <c r="W456" s="7" t="s">
        <v>74</v>
      </c>
      <c r="X456" s="7" t="s">
        <v>103</v>
      </c>
      <c r="Y456" s="8">
        <v>45390</v>
      </c>
      <c r="Z456" s="8">
        <v>46022</v>
      </c>
      <c r="AA456" s="7" t="s">
        <v>200</v>
      </c>
      <c r="AB456" s="7" t="s">
        <v>161</v>
      </c>
      <c r="AC456" s="7" t="s">
        <v>79</v>
      </c>
      <c r="AD456" s="7" t="s">
        <v>80</v>
      </c>
      <c r="AE456" s="7" t="s">
        <v>82</v>
      </c>
      <c r="AF456" s="7" t="s">
        <v>0</v>
      </c>
      <c r="AG456" s="7" t="s">
        <v>0</v>
      </c>
      <c r="AH456" s="9">
        <v>0</v>
      </c>
      <c r="AI456" s="9">
        <v>0</v>
      </c>
      <c r="AJ456" s="9">
        <v>0</v>
      </c>
      <c r="AK456" s="7" t="s">
        <v>61</v>
      </c>
      <c r="AL456" s="7" t="s">
        <v>61</v>
      </c>
      <c r="AM456" s="7" t="s">
        <v>0</v>
      </c>
      <c r="AN456" s="7" t="s">
        <v>0</v>
      </c>
      <c r="AO456" s="7" t="s">
        <v>0</v>
      </c>
      <c r="AP456" s="7" t="s">
        <v>0</v>
      </c>
      <c r="AQ456" s="7" t="s">
        <v>61</v>
      </c>
      <c r="AR456" s="7" t="s">
        <v>0</v>
      </c>
      <c r="AS456" s="10" t="str">
        <f>HYPERLINK("https://tessa.gazprom-neft.local/edo/card/01866f02-e119-4d6a-acc0-51929dea6e83", "https://tessa.gazprom-neft.local/edo/card/01866f02-e119-4d6a-acc0-51929dea6e83")</f>
        <v>https://tessa.gazprom-neft.local/edo/card/01866f02-e119-4d6a-acc0-51929dea6e83</v>
      </c>
    </row>
    <row r="457" spans="1:45" x14ac:dyDescent="0.25">
      <c r="A457" s="6" t="s">
        <v>44</v>
      </c>
      <c r="B457" s="7" t="s">
        <v>1396</v>
      </c>
      <c r="C457" s="7" t="s">
        <v>67</v>
      </c>
      <c r="D457" s="8">
        <v>45390</v>
      </c>
      <c r="E457" s="8" t="s">
        <v>0</v>
      </c>
      <c r="F457" s="16" t="s">
        <v>1397</v>
      </c>
      <c r="G457" s="7" t="s">
        <v>1398</v>
      </c>
      <c r="H457" s="7" t="s">
        <v>1735</v>
      </c>
      <c r="I457" s="7" t="s">
        <v>0</v>
      </c>
      <c r="J457" s="7" t="s">
        <v>712</v>
      </c>
      <c r="K457" s="7" t="s">
        <v>85</v>
      </c>
      <c r="L457" s="7" t="s">
        <v>48</v>
      </c>
      <c r="M457" s="7" t="s">
        <v>2373</v>
      </c>
      <c r="N457" s="7" t="s">
        <v>3014</v>
      </c>
      <c r="O457" s="7" t="s">
        <v>0</v>
      </c>
      <c r="P457" s="7" t="s">
        <v>2373</v>
      </c>
      <c r="Q457" s="7" t="s">
        <v>3015</v>
      </c>
      <c r="R457" s="7" t="s">
        <v>135</v>
      </c>
      <c r="S457" s="7" t="s">
        <v>0</v>
      </c>
      <c r="T457" s="7" t="s">
        <v>54</v>
      </c>
      <c r="U457" s="7" t="s">
        <v>136</v>
      </c>
      <c r="V457" s="7" t="s">
        <v>168</v>
      </c>
      <c r="W457" s="7" t="s">
        <v>74</v>
      </c>
      <c r="X457" s="7" t="s">
        <v>103</v>
      </c>
      <c r="Y457" s="8">
        <v>45390</v>
      </c>
      <c r="Z457" s="8">
        <v>45657</v>
      </c>
      <c r="AA457" s="7" t="s">
        <v>169</v>
      </c>
      <c r="AB457" s="7" t="s">
        <v>1738</v>
      </c>
      <c r="AC457" s="7" t="s">
        <v>65</v>
      </c>
      <c r="AD457" s="7" t="s">
        <v>144</v>
      </c>
      <c r="AE457" s="7" t="s">
        <v>0</v>
      </c>
      <c r="AF457" s="7" t="s">
        <v>0</v>
      </c>
      <c r="AG457" s="7" t="s">
        <v>0</v>
      </c>
      <c r="AH457" s="9" t="s">
        <v>0</v>
      </c>
      <c r="AI457" s="9" t="s">
        <v>0</v>
      </c>
      <c r="AJ457" s="9" t="s">
        <v>0</v>
      </c>
      <c r="AK457" s="7" t="s">
        <v>61</v>
      </c>
      <c r="AL457" s="7" t="s">
        <v>61</v>
      </c>
      <c r="AM457" s="7" t="s">
        <v>0</v>
      </c>
      <c r="AN457" s="7" t="s">
        <v>0</v>
      </c>
      <c r="AO457" s="7" t="s">
        <v>0</v>
      </c>
      <c r="AP457" s="7" t="s">
        <v>0</v>
      </c>
      <c r="AQ457" s="7" t="s">
        <v>61</v>
      </c>
      <c r="AR457" s="7" t="s">
        <v>0</v>
      </c>
      <c r="AS457" s="10" t="str">
        <f>HYPERLINK("https://tessa.gazprom-neft.local/edo/card/01e7a25c-7ccf-4c01-bc42-d35ccd3b2fc3", "https://tessa.gazprom-neft.local/edo/card/01e7a25c-7ccf-4c01-bc42-d35ccd3b2fc3")</f>
        <v>https://tessa.gazprom-neft.local/edo/card/01e7a25c-7ccf-4c01-bc42-d35ccd3b2fc3</v>
      </c>
    </row>
    <row r="458" spans="1:45" hidden="1" x14ac:dyDescent="0.25">
      <c r="A458" s="6" t="s">
        <v>44</v>
      </c>
      <c r="B458" s="7" t="s">
        <v>592</v>
      </c>
      <c r="C458" s="7" t="s">
        <v>67</v>
      </c>
      <c r="D458" s="8">
        <v>45390</v>
      </c>
      <c r="E458" s="8">
        <v>45426</v>
      </c>
      <c r="F458" s="16" t="s">
        <v>593</v>
      </c>
      <c r="G458" s="7" t="s">
        <v>594</v>
      </c>
      <c r="H458" s="7" t="s">
        <v>953</v>
      </c>
      <c r="I458" s="7" t="s">
        <v>0</v>
      </c>
      <c r="J458" s="7" t="s">
        <v>51</v>
      </c>
      <c r="K458" s="7" t="s">
        <v>47</v>
      </c>
      <c r="L458" s="7" t="s">
        <v>389</v>
      </c>
      <c r="M458" s="7" t="s">
        <v>0</v>
      </c>
      <c r="N458" s="7" t="s">
        <v>3373</v>
      </c>
      <c r="O458" s="7" t="s">
        <v>156</v>
      </c>
      <c r="P458" s="7" t="s">
        <v>3374</v>
      </c>
      <c r="Q458" s="7" t="s">
        <v>1799</v>
      </c>
      <c r="R458" s="7" t="s">
        <v>590</v>
      </c>
      <c r="S458" s="7" t="s">
        <v>394</v>
      </c>
      <c r="T458" s="7" t="s">
        <v>54</v>
      </c>
      <c r="U458" s="7" t="s">
        <v>591</v>
      </c>
      <c r="V458" s="7" t="s">
        <v>126</v>
      </c>
      <c r="W458" s="7" t="s">
        <v>74</v>
      </c>
      <c r="X458" s="7" t="s">
        <v>58</v>
      </c>
      <c r="Y458" s="8">
        <v>45390</v>
      </c>
      <c r="Z458" s="8" t="s">
        <v>0</v>
      </c>
      <c r="AA458" s="7" t="s">
        <v>200</v>
      </c>
      <c r="AB458" s="7" t="s">
        <v>387</v>
      </c>
      <c r="AC458" s="7" t="s">
        <v>79</v>
      </c>
      <c r="AD458" s="7" t="s">
        <v>144</v>
      </c>
      <c r="AE458" s="7" t="s">
        <v>82</v>
      </c>
      <c r="AF458" s="7" t="s">
        <v>0</v>
      </c>
      <c r="AG458" s="7" t="s">
        <v>0</v>
      </c>
      <c r="AH458" s="9" t="s">
        <v>11638</v>
      </c>
      <c r="AI458" s="9" t="s">
        <v>11639</v>
      </c>
      <c r="AJ458" s="9" t="s">
        <v>11640</v>
      </c>
      <c r="AK458" s="7" t="s">
        <v>61</v>
      </c>
      <c r="AL458" s="7" t="s">
        <v>61</v>
      </c>
      <c r="AM458" s="7" t="s">
        <v>0</v>
      </c>
      <c r="AN458" s="7" t="s">
        <v>0</v>
      </c>
      <c r="AO458" s="7" t="s">
        <v>0</v>
      </c>
      <c r="AP458" s="7" t="s">
        <v>0</v>
      </c>
      <c r="AQ458" s="7" t="s">
        <v>61</v>
      </c>
      <c r="AR458" s="7" t="s">
        <v>0</v>
      </c>
      <c r="AS458" s="10" t="str">
        <f>HYPERLINK("https://tessa.gazprom-neft.local/edo/card/e950de2b-f8af-4d09-85d6-d6e3b02ed481", "https://tessa.gazprom-neft.local/edo/card/e950de2b-f8af-4d09-85d6-d6e3b02ed481")</f>
        <v>https://tessa.gazprom-neft.local/edo/card/e950de2b-f8af-4d09-85d6-d6e3b02ed481</v>
      </c>
    </row>
    <row r="459" spans="1:45" x14ac:dyDescent="0.25">
      <c r="A459" s="6" t="s">
        <v>44</v>
      </c>
      <c r="B459" s="7" t="s">
        <v>75</v>
      </c>
      <c r="C459" s="7" t="s">
        <v>67</v>
      </c>
      <c r="D459" s="8">
        <v>45390</v>
      </c>
      <c r="E459" s="8" t="s">
        <v>0</v>
      </c>
      <c r="F459" s="16" t="s">
        <v>76</v>
      </c>
      <c r="G459" s="7" t="s">
        <v>77</v>
      </c>
      <c r="H459" s="7" t="s">
        <v>68</v>
      </c>
      <c r="I459" s="7" t="s">
        <v>0</v>
      </c>
      <c r="J459" s="7" t="s">
        <v>712</v>
      </c>
      <c r="K459" s="7" t="s">
        <v>47</v>
      </c>
      <c r="L459" s="7" t="s">
        <v>48</v>
      </c>
      <c r="M459" s="7" t="s">
        <v>0</v>
      </c>
      <c r="N459" s="7" t="s">
        <v>3452</v>
      </c>
      <c r="O459" s="7" t="s">
        <v>0</v>
      </c>
      <c r="P459" s="7" t="s">
        <v>3453</v>
      </c>
      <c r="Q459" s="7" t="s">
        <v>3454</v>
      </c>
      <c r="R459" s="7" t="s">
        <v>72</v>
      </c>
      <c r="S459" s="7" t="s">
        <v>0</v>
      </c>
      <c r="T459" s="7" t="s">
        <v>54</v>
      </c>
      <c r="U459" s="7" t="s">
        <v>73</v>
      </c>
      <c r="V459" s="7" t="s">
        <v>56</v>
      </c>
      <c r="W459" s="7" t="s">
        <v>74</v>
      </c>
      <c r="X459" s="7" t="s">
        <v>58</v>
      </c>
      <c r="Y459" s="8">
        <v>45390</v>
      </c>
      <c r="Z459" s="8" t="s">
        <v>0</v>
      </c>
      <c r="AA459" s="7" t="s">
        <v>0</v>
      </c>
      <c r="AB459" s="7" t="s">
        <v>78</v>
      </c>
      <c r="AC459" s="7" t="s">
        <v>79</v>
      </c>
      <c r="AD459" s="7" t="s">
        <v>80</v>
      </c>
      <c r="AE459" s="7" t="s">
        <v>82</v>
      </c>
      <c r="AF459" s="7" t="s">
        <v>0</v>
      </c>
      <c r="AG459" s="7" t="s">
        <v>0</v>
      </c>
      <c r="AH459" s="9" t="s">
        <v>11680</v>
      </c>
      <c r="AI459" s="9" t="s">
        <v>11681</v>
      </c>
      <c r="AJ459" s="9" t="s">
        <v>11682</v>
      </c>
      <c r="AK459" s="7" t="s">
        <v>61</v>
      </c>
      <c r="AL459" s="7" t="s">
        <v>61</v>
      </c>
      <c r="AM459" s="7" t="s">
        <v>0</v>
      </c>
      <c r="AN459" s="7" t="s">
        <v>0</v>
      </c>
      <c r="AO459" s="7" t="s">
        <v>0</v>
      </c>
      <c r="AP459" s="7" t="s">
        <v>0</v>
      </c>
      <c r="AQ459" s="7" t="s">
        <v>61</v>
      </c>
      <c r="AR459" s="7" t="s">
        <v>0</v>
      </c>
      <c r="AS459" s="10" t="str">
        <f>HYPERLINK("https://tessa.gazprom-neft.local/edo/card/43a46763-b3af-47c6-a96a-e71ca3413c20", "https://tessa.gazprom-neft.local/edo/card/43a46763-b3af-47c6-a96a-e71ca3413c20")</f>
        <v>https://tessa.gazprom-neft.local/edo/card/43a46763-b3af-47c6-a96a-e71ca3413c20</v>
      </c>
    </row>
    <row r="460" spans="1:45" x14ac:dyDescent="0.25">
      <c r="A460" s="6" t="s">
        <v>44</v>
      </c>
      <c r="B460" s="7" t="s">
        <v>1950</v>
      </c>
      <c r="C460" s="7" t="s">
        <v>67</v>
      </c>
      <c r="D460" s="8">
        <v>45387</v>
      </c>
      <c r="E460" s="8" t="s">
        <v>0</v>
      </c>
      <c r="F460" s="16" t="s">
        <v>1951</v>
      </c>
      <c r="G460" s="7" t="s">
        <v>1952</v>
      </c>
      <c r="H460" s="7" t="s">
        <v>1947</v>
      </c>
      <c r="I460" s="7" t="s">
        <v>0</v>
      </c>
      <c r="J460" s="7" t="s">
        <v>70</v>
      </c>
      <c r="K460" s="7" t="s">
        <v>85</v>
      </c>
      <c r="L460" s="7" t="s">
        <v>48</v>
      </c>
      <c r="M460" s="7" t="s">
        <v>2373</v>
      </c>
      <c r="N460" s="7" t="s">
        <v>2829</v>
      </c>
      <c r="O460" s="7" t="s">
        <v>0</v>
      </c>
      <c r="P460" s="7" t="s">
        <v>2830</v>
      </c>
      <c r="Q460" s="7" t="s">
        <v>2831</v>
      </c>
      <c r="R460" s="7" t="s">
        <v>1711</v>
      </c>
      <c r="S460" s="7" t="s">
        <v>1711</v>
      </c>
      <c r="T460" s="7" t="s">
        <v>54</v>
      </c>
      <c r="U460" s="7" t="s">
        <v>605</v>
      </c>
      <c r="V460" s="7" t="s">
        <v>382</v>
      </c>
      <c r="W460" s="7" t="s">
        <v>74</v>
      </c>
      <c r="X460" s="7" t="s">
        <v>58</v>
      </c>
      <c r="Y460" s="8">
        <v>45387</v>
      </c>
      <c r="Z460" s="8" t="s">
        <v>0</v>
      </c>
      <c r="AA460" s="7" t="s">
        <v>383</v>
      </c>
      <c r="AB460" s="7" t="s">
        <v>1893</v>
      </c>
      <c r="AC460" s="7" t="s">
        <v>65</v>
      </c>
      <c r="AD460" s="7" t="s">
        <v>144</v>
      </c>
      <c r="AE460" s="7" t="s">
        <v>0</v>
      </c>
      <c r="AF460" s="7" t="s">
        <v>0</v>
      </c>
      <c r="AG460" s="7" t="s">
        <v>0</v>
      </c>
      <c r="AH460" s="9" t="s">
        <v>0</v>
      </c>
      <c r="AI460" s="9" t="s">
        <v>0</v>
      </c>
      <c r="AJ460" s="9" t="s">
        <v>0</v>
      </c>
      <c r="AK460" s="7" t="s">
        <v>61</v>
      </c>
      <c r="AL460" s="7" t="s">
        <v>61</v>
      </c>
      <c r="AM460" s="7" t="s">
        <v>0</v>
      </c>
      <c r="AN460" s="7" t="s">
        <v>0</v>
      </c>
      <c r="AO460" s="7" t="s">
        <v>0</v>
      </c>
      <c r="AP460" s="7" t="s">
        <v>0</v>
      </c>
      <c r="AQ460" s="7" t="s">
        <v>61</v>
      </c>
      <c r="AR460" s="7" t="s">
        <v>0</v>
      </c>
      <c r="AS460" s="10" t="str">
        <f>HYPERLINK("https://tessa.gazprom-neft.local/edo/card/2616f69a-e659-4a69-8138-3daf628b2f5a", "https://tessa.gazprom-neft.local/edo/card/2616f69a-e659-4a69-8138-3daf628b2f5a")</f>
        <v>https://tessa.gazprom-neft.local/edo/card/2616f69a-e659-4a69-8138-3daf628b2f5a</v>
      </c>
    </row>
    <row r="461" spans="1:45" hidden="1" x14ac:dyDescent="0.25">
      <c r="A461" s="6" t="s">
        <v>44</v>
      </c>
      <c r="B461" s="7" t="s">
        <v>2892</v>
      </c>
      <c r="C461" s="7" t="s">
        <v>67</v>
      </c>
      <c r="D461" s="8">
        <v>45387</v>
      </c>
      <c r="E461" s="8" t="s">
        <v>0</v>
      </c>
      <c r="F461" s="16" t="s">
        <v>2893</v>
      </c>
      <c r="G461" s="7" t="s">
        <v>2894</v>
      </c>
      <c r="H461" s="7" t="s">
        <v>0</v>
      </c>
      <c r="I461" s="7" t="s">
        <v>2890</v>
      </c>
      <c r="J461" s="7" t="s">
        <v>2890</v>
      </c>
      <c r="K461" s="7" t="s">
        <v>85</v>
      </c>
      <c r="L461" s="7" t="s">
        <v>96</v>
      </c>
      <c r="M461" s="7" t="s">
        <v>1121</v>
      </c>
      <c r="N461" s="7" t="s">
        <v>2889</v>
      </c>
      <c r="O461" s="7" t="s">
        <v>0</v>
      </c>
      <c r="P461" s="7" t="s">
        <v>1121</v>
      </c>
      <c r="Q461" s="7" t="s">
        <v>2891</v>
      </c>
      <c r="R461" s="7" t="s">
        <v>1062</v>
      </c>
      <c r="S461" s="7" t="s">
        <v>1062</v>
      </c>
      <c r="T461" s="7" t="s">
        <v>54</v>
      </c>
      <c r="U461" s="7" t="s">
        <v>294</v>
      </c>
      <c r="V461" s="7" t="s">
        <v>295</v>
      </c>
      <c r="W461" s="7" t="s">
        <v>57</v>
      </c>
      <c r="X461" s="7" t="s">
        <v>103</v>
      </c>
      <c r="Y461" s="8">
        <v>45383</v>
      </c>
      <c r="Z461" s="8">
        <v>45657</v>
      </c>
      <c r="AA461" s="7" t="s">
        <v>296</v>
      </c>
      <c r="AB461" s="7" t="s">
        <v>500</v>
      </c>
      <c r="AC461" s="7" t="s">
        <v>79</v>
      </c>
      <c r="AD461" s="7" t="s">
        <v>80</v>
      </c>
      <c r="AE461" s="7" t="s">
        <v>889</v>
      </c>
      <c r="AF461" s="7" t="s">
        <v>0</v>
      </c>
      <c r="AG461" s="7" t="s">
        <v>0</v>
      </c>
      <c r="AH461" s="9" t="s">
        <v>11481</v>
      </c>
      <c r="AI461" s="9" t="s">
        <v>11481</v>
      </c>
      <c r="AJ461" s="9">
        <v>0</v>
      </c>
      <c r="AK461" s="7" t="s">
        <v>61</v>
      </c>
      <c r="AL461" s="7" t="s">
        <v>61</v>
      </c>
      <c r="AM461" s="7" t="s">
        <v>0</v>
      </c>
      <c r="AN461" s="7" t="s">
        <v>0</v>
      </c>
      <c r="AO461" s="7" t="s">
        <v>0</v>
      </c>
      <c r="AP461" s="7" t="s">
        <v>0</v>
      </c>
      <c r="AQ461" s="7" t="s">
        <v>61</v>
      </c>
      <c r="AR461" s="7" t="s">
        <v>0</v>
      </c>
      <c r="AS461" s="10" t="str">
        <f>HYPERLINK("https://tessa.gazprom-neft.local/edo/card/fd3f99cf-a697-4141-bf75-6eee049462cd", "https://tessa.gazprom-neft.local/edo/card/fd3f99cf-a697-4141-bf75-6eee049462cd")</f>
        <v>https://tessa.gazprom-neft.local/edo/card/fd3f99cf-a697-4141-bf75-6eee049462cd</v>
      </c>
    </row>
    <row r="462" spans="1:45" x14ac:dyDescent="0.25">
      <c r="A462" s="6" t="s">
        <v>44</v>
      </c>
      <c r="B462" s="7" t="s">
        <v>1712</v>
      </c>
      <c r="C462" s="7" t="s">
        <v>67</v>
      </c>
      <c r="D462" s="8">
        <v>45387</v>
      </c>
      <c r="E462" s="8" t="s">
        <v>0</v>
      </c>
      <c r="F462" s="16" t="s">
        <v>1713</v>
      </c>
      <c r="G462" s="7" t="s">
        <v>1714</v>
      </c>
      <c r="H462" s="7" t="s">
        <v>1707</v>
      </c>
      <c r="I462" s="7" t="s">
        <v>0</v>
      </c>
      <c r="J462" s="7" t="s">
        <v>1098</v>
      </c>
      <c r="K462" s="7" t="s">
        <v>85</v>
      </c>
      <c r="L462" s="7" t="s">
        <v>48</v>
      </c>
      <c r="M462" s="7" t="s">
        <v>2373</v>
      </c>
      <c r="N462" s="7" t="s">
        <v>2901</v>
      </c>
      <c r="O462" s="7" t="s">
        <v>0</v>
      </c>
      <c r="P462" s="7" t="s">
        <v>2902</v>
      </c>
      <c r="Q462" s="7" t="s">
        <v>2831</v>
      </c>
      <c r="R462" s="7" t="s">
        <v>1711</v>
      </c>
      <c r="S462" s="7" t="s">
        <v>1711</v>
      </c>
      <c r="T462" s="7" t="s">
        <v>54</v>
      </c>
      <c r="U462" s="7" t="s">
        <v>605</v>
      </c>
      <c r="V462" s="7" t="s">
        <v>382</v>
      </c>
      <c r="W462" s="7" t="s">
        <v>74</v>
      </c>
      <c r="X462" s="7" t="s">
        <v>58</v>
      </c>
      <c r="Y462" s="8">
        <v>45387</v>
      </c>
      <c r="Z462" s="8" t="s">
        <v>0</v>
      </c>
      <c r="AA462" s="7" t="s">
        <v>383</v>
      </c>
      <c r="AB462" s="7" t="s">
        <v>130</v>
      </c>
      <c r="AC462" s="7" t="s">
        <v>65</v>
      </c>
      <c r="AD462" s="7" t="s">
        <v>0</v>
      </c>
      <c r="AE462" s="7" t="s">
        <v>0</v>
      </c>
      <c r="AF462" s="7" t="s">
        <v>0</v>
      </c>
      <c r="AG462" s="7" t="s">
        <v>0</v>
      </c>
      <c r="AH462" s="9" t="s">
        <v>0</v>
      </c>
      <c r="AI462" s="9" t="s">
        <v>0</v>
      </c>
      <c r="AJ462" s="9" t="s">
        <v>0</v>
      </c>
      <c r="AK462" s="7" t="s">
        <v>61</v>
      </c>
      <c r="AL462" s="7" t="s">
        <v>61</v>
      </c>
      <c r="AM462" s="7" t="s">
        <v>0</v>
      </c>
      <c r="AN462" s="7" t="s">
        <v>0</v>
      </c>
      <c r="AO462" s="7" t="s">
        <v>0</v>
      </c>
      <c r="AP462" s="7" t="s">
        <v>0</v>
      </c>
      <c r="AQ462" s="7" t="s">
        <v>61</v>
      </c>
      <c r="AR462" s="7" t="s">
        <v>0</v>
      </c>
      <c r="AS462" s="10" t="str">
        <f>HYPERLINK("https://tessa.gazprom-neft.local/edo/card/d46e4dd8-4f2d-4313-b1b7-5f94bec3bdc5", "https://tessa.gazprom-neft.local/edo/card/d46e4dd8-4f2d-4313-b1b7-5f94bec3bdc5")</f>
        <v>https://tessa.gazprom-neft.local/edo/card/d46e4dd8-4f2d-4313-b1b7-5f94bec3bdc5</v>
      </c>
    </row>
    <row r="463" spans="1:45" hidden="1" x14ac:dyDescent="0.25">
      <c r="A463" s="6" t="s">
        <v>44</v>
      </c>
      <c r="B463" s="7" t="s">
        <v>2892</v>
      </c>
      <c r="C463" s="7" t="s">
        <v>67</v>
      </c>
      <c r="D463" s="8">
        <v>45387</v>
      </c>
      <c r="E463" s="8" t="s">
        <v>0</v>
      </c>
      <c r="F463" s="16" t="s">
        <v>2893</v>
      </c>
      <c r="G463" s="7" t="s">
        <v>2894</v>
      </c>
      <c r="H463" s="7" t="s">
        <v>0</v>
      </c>
      <c r="I463" s="7" t="s">
        <v>2943</v>
      </c>
      <c r="J463" s="7" t="s">
        <v>2943</v>
      </c>
      <c r="K463" s="7" t="s">
        <v>85</v>
      </c>
      <c r="L463" s="7" t="s">
        <v>86</v>
      </c>
      <c r="M463" s="7" t="s">
        <v>289</v>
      </c>
      <c r="N463" s="7" t="s">
        <v>2942</v>
      </c>
      <c r="O463" s="7" t="s">
        <v>0</v>
      </c>
      <c r="P463" s="7" t="s">
        <v>289</v>
      </c>
      <c r="Q463" s="7" t="s">
        <v>2944</v>
      </c>
      <c r="R463" s="7" t="s">
        <v>1062</v>
      </c>
      <c r="S463" s="7" t="s">
        <v>1062</v>
      </c>
      <c r="T463" s="7" t="s">
        <v>54</v>
      </c>
      <c r="U463" s="7" t="s">
        <v>294</v>
      </c>
      <c r="V463" s="7" t="s">
        <v>340</v>
      </c>
      <c r="W463" s="7" t="s">
        <v>57</v>
      </c>
      <c r="X463" s="7" t="s">
        <v>223</v>
      </c>
      <c r="Y463" s="8">
        <v>45387</v>
      </c>
      <c r="Z463" s="8" t="s">
        <v>0</v>
      </c>
      <c r="AA463" s="7" t="s">
        <v>341</v>
      </c>
      <c r="AB463" s="7" t="s">
        <v>300</v>
      </c>
      <c r="AC463" s="7" t="s">
        <v>65</v>
      </c>
      <c r="AD463" s="7" t="s">
        <v>0</v>
      </c>
      <c r="AE463" s="7" t="s">
        <v>0</v>
      </c>
      <c r="AF463" s="7" t="s">
        <v>0</v>
      </c>
      <c r="AG463" s="7" t="s">
        <v>0</v>
      </c>
      <c r="AH463" s="9" t="s">
        <v>0</v>
      </c>
      <c r="AI463" s="9" t="s">
        <v>0</v>
      </c>
      <c r="AJ463" s="9" t="s">
        <v>0</v>
      </c>
      <c r="AK463" s="7" t="s">
        <v>61</v>
      </c>
      <c r="AL463" s="7" t="s">
        <v>61</v>
      </c>
      <c r="AM463" s="7" t="s">
        <v>0</v>
      </c>
      <c r="AN463" s="7" t="s">
        <v>0</v>
      </c>
      <c r="AO463" s="7" t="s">
        <v>0</v>
      </c>
      <c r="AP463" s="7" t="s">
        <v>0</v>
      </c>
      <c r="AQ463" s="7" t="s">
        <v>61</v>
      </c>
      <c r="AR463" s="7" t="s">
        <v>0</v>
      </c>
      <c r="AS463" s="10" t="str">
        <f>HYPERLINK("https://tessa.gazprom-neft.local/edo/card/287c96d0-0598-4103-81a6-b45f2e10faa1", "https://tessa.gazprom-neft.local/edo/card/287c96d0-0598-4103-81a6-b45f2e10faa1")</f>
        <v>https://tessa.gazprom-neft.local/edo/card/287c96d0-0598-4103-81a6-b45f2e10faa1</v>
      </c>
    </row>
    <row r="464" spans="1:45" hidden="1" x14ac:dyDescent="0.25">
      <c r="A464" s="6" t="s">
        <v>44</v>
      </c>
      <c r="B464" s="7" t="s">
        <v>2951</v>
      </c>
      <c r="C464" s="7" t="s">
        <v>67</v>
      </c>
      <c r="D464" s="8">
        <v>45387</v>
      </c>
      <c r="E464" s="8" t="s">
        <v>0</v>
      </c>
      <c r="F464" s="16" t="s">
        <v>2952</v>
      </c>
      <c r="G464" s="7" t="s">
        <v>2953</v>
      </c>
      <c r="H464" s="7" t="s">
        <v>0</v>
      </c>
      <c r="I464" s="7" t="s">
        <v>2949</v>
      </c>
      <c r="J464" s="7" t="s">
        <v>2949</v>
      </c>
      <c r="K464" s="7" t="s">
        <v>85</v>
      </c>
      <c r="L464" s="7" t="s">
        <v>96</v>
      </c>
      <c r="M464" s="7" t="s">
        <v>1121</v>
      </c>
      <c r="N464" s="7" t="s">
        <v>2948</v>
      </c>
      <c r="O464" s="7" t="s">
        <v>0</v>
      </c>
      <c r="P464" s="7" t="s">
        <v>1121</v>
      </c>
      <c r="Q464" s="7" t="s">
        <v>2950</v>
      </c>
      <c r="R464" s="7" t="s">
        <v>1062</v>
      </c>
      <c r="S464" s="7" t="s">
        <v>1062</v>
      </c>
      <c r="T464" s="7" t="s">
        <v>54</v>
      </c>
      <c r="U464" s="7" t="s">
        <v>294</v>
      </c>
      <c r="V464" s="7" t="s">
        <v>295</v>
      </c>
      <c r="W464" s="7" t="s">
        <v>57</v>
      </c>
      <c r="X464" s="7" t="s">
        <v>58</v>
      </c>
      <c r="Y464" s="8">
        <v>45387</v>
      </c>
      <c r="Z464" s="8" t="s">
        <v>0</v>
      </c>
      <c r="AA464" s="7" t="s">
        <v>296</v>
      </c>
      <c r="AB464" s="7" t="s">
        <v>500</v>
      </c>
      <c r="AC464" s="7" t="s">
        <v>79</v>
      </c>
      <c r="AD464" s="7" t="s">
        <v>80</v>
      </c>
      <c r="AE464" s="7" t="s">
        <v>82</v>
      </c>
      <c r="AF464" s="7" t="s">
        <v>0</v>
      </c>
      <c r="AG464" s="7" t="s">
        <v>0</v>
      </c>
      <c r="AH464" s="9" t="s">
        <v>11498</v>
      </c>
      <c r="AI464" s="9" t="s">
        <v>11499</v>
      </c>
      <c r="AJ464" s="9" t="s">
        <v>11500</v>
      </c>
      <c r="AK464" s="7" t="s">
        <v>61</v>
      </c>
      <c r="AL464" s="7" t="s">
        <v>61</v>
      </c>
      <c r="AM464" s="7" t="s">
        <v>0</v>
      </c>
      <c r="AN464" s="7" t="s">
        <v>0</v>
      </c>
      <c r="AO464" s="7" t="s">
        <v>0</v>
      </c>
      <c r="AP464" s="7" t="s">
        <v>0</v>
      </c>
      <c r="AQ464" s="7" t="s">
        <v>61</v>
      </c>
      <c r="AR464" s="7" t="s">
        <v>0</v>
      </c>
      <c r="AS464" s="10" t="str">
        <f>HYPERLINK("https://tessa.gazprom-neft.local/edo/card/492ea7e7-33cf-4042-aa47-165c3455c5af", "https://tessa.gazprom-neft.local/edo/card/492ea7e7-33cf-4042-aa47-165c3455c5af")</f>
        <v>https://tessa.gazprom-neft.local/edo/card/492ea7e7-33cf-4042-aa47-165c3455c5af</v>
      </c>
    </row>
    <row r="465" spans="1:45" hidden="1" x14ac:dyDescent="0.25">
      <c r="A465" s="6" t="s">
        <v>44</v>
      </c>
      <c r="B465" s="7" t="s">
        <v>2951</v>
      </c>
      <c r="C465" s="7" t="s">
        <v>67</v>
      </c>
      <c r="D465" s="8">
        <v>45387</v>
      </c>
      <c r="E465" s="8" t="s">
        <v>0</v>
      </c>
      <c r="F465" s="16" t="s">
        <v>2952</v>
      </c>
      <c r="G465" s="7" t="s">
        <v>2953</v>
      </c>
      <c r="H465" s="7" t="s">
        <v>0</v>
      </c>
      <c r="I465" s="7" t="s">
        <v>2976</v>
      </c>
      <c r="J465" s="7" t="s">
        <v>2976</v>
      </c>
      <c r="K465" s="7" t="s">
        <v>85</v>
      </c>
      <c r="L465" s="7" t="s">
        <v>86</v>
      </c>
      <c r="M465" s="7" t="s">
        <v>289</v>
      </c>
      <c r="N465" s="7" t="s">
        <v>2975</v>
      </c>
      <c r="O465" s="7" t="s">
        <v>0</v>
      </c>
      <c r="P465" s="7" t="s">
        <v>289</v>
      </c>
      <c r="Q465" s="7" t="s">
        <v>2977</v>
      </c>
      <c r="R465" s="7" t="s">
        <v>1062</v>
      </c>
      <c r="S465" s="7" t="s">
        <v>1062</v>
      </c>
      <c r="T465" s="7" t="s">
        <v>54</v>
      </c>
      <c r="U465" s="7" t="s">
        <v>294</v>
      </c>
      <c r="V465" s="7" t="s">
        <v>56</v>
      </c>
      <c r="W465" s="7" t="s">
        <v>57</v>
      </c>
      <c r="X465" s="7" t="s">
        <v>223</v>
      </c>
      <c r="Y465" s="8">
        <v>45387</v>
      </c>
      <c r="Z465" s="8" t="s">
        <v>0</v>
      </c>
      <c r="AA465" s="7" t="s">
        <v>59</v>
      </c>
      <c r="AB465" s="7" t="s">
        <v>300</v>
      </c>
      <c r="AC465" s="7" t="s">
        <v>65</v>
      </c>
      <c r="AD465" s="7" t="s">
        <v>0</v>
      </c>
      <c r="AE465" s="7" t="s">
        <v>0</v>
      </c>
      <c r="AF465" s="7" t="s">
        <v>0</v>
      </c>
      <c r="AG465" s="7" t="s">
        <v>0</v>
      </c>
      <c r="AH465" s="9" t="s">
        <v>0</v>
      </c>
      <c r="AI465" s="9" t="s">
        <v>0</v>
      </c>
      <c r="AJ465" s="9" t="s">
        <v>0</v>
      </c>
      <c r="AK465" s="7" t="s">
        <v>61</v>
      </c>
      <c r="AL465" s="7" t="s">
        <v>61</v>
      </c>
      <c r="AM465" s="7" t="s">
        <v>0</v>
      </c>
      <c r="AN465" s="7" t="s">
        <v>0</v>
      </c>
      <c r="AO465" s="7" t="s">
        <v>0</v>
      </c>
      <c r="AP465" s="7" t="s">
        <v>0</v>
      </c>
      <c r="AQ465" s="7" t="s">
        <v>61</v>
      </c>
      <c r="AR465" s="7" t="s">
        <v>0</v>
      </c>
      <c r="AS465" s="10" t="str">
        <f>HYPERLINK("https://tessa.gazprom-neft.local/edo/card/a910f3a4-4849-43af-8353-d7f98f75e5e0", "https://tessa.gazprom-neft.local/edo/card/a910f3a4-4849-43af-8353-d7f98f75e5e0")</f>
        <v>https://tessa.gazprom-neft.local/edo/card/a910f3a4-4849-43af-8353-d7f98f75e5e0</v>
      </c>
    </row>
    <row r="466" spans="1:45" x14ac:dyDescent="0.25">
      <c r="A466" s="6" t="s">
        <v>44</v>
      </c>
      <c r="B466" s="7" t="s">
        <v>900</v>
      </c>
      <c r="C466" s="7" t="s">
        <v>67</v>
      </c>
      <c r="D466" s="8">
        <v>45387</v>
      </c>
      <c r="E466" s="8" t="s">
        <v>0</v>
      </c>
      <c r="F466" s="16" t="s">
        <v>901</v>
      </c>
      <c r="G466" s="7" t="s">
        <v>902</v>
      </c>
      <c r="H466" s="7" t="s">
        <v>894</v>
      </c>
      <c r="I466" s="7" t="s">
        <v>0</v>
      </c>
      <c r="J466" s="7" t="s">
        <v>1098</v>
      </c>
      <c r="K466" s="7" t="s">
        <v>47</v>
      </c>
      <c r="L466" s="7" t="s">
        <v>48</v>
      </c>
      <c r="M466" s="7" t="s">
        <v>0</v>
      </c>
      <c r="N466" s="7" t="s">
        <v>3341</v>
      </c>
      <c r="O466" s="7" t="s">
        <v>0</v>
      </c>
      <c r="P466" s="7" t="s">
        <v>3342</v>
      </c>
      <c r="Q466" s="7" t="s">
        <v>3343</v>
      </c>
      <c r="R466" s="7" t="s">
        <v>198</v>
      </c>
      <c r="S466" s="7" t="s">
        <v>198</v>
      </c>
      <c r="T466" s="7" t="s">
        <v>54</v>
      </c>
      <c r="U466" s="7" t="s">
        <v>199</v>
      </c>
      <c r="V466" s="7" t="s">
        <v>126</v>
      </c>
      <c r="W466" s="7" t="s">
        <v>74</v>
      </c>
      <c r="X466" s="7" t="s">
        <v>103</v>
      </c>
      <c r="Y466" s="8">
        <v>45387</v>
      </c>
      <c r="Z466" s="8">
        <v>45657</v>
      </c>
      <c r="AA466" s="7" t="s">
        <v>200</v>
      </c>
      <c r="AB466" s="7" t="s">
        <v>130</v>
      </c>
      <c r="AC466" s="7" t="s">
        <v>65</v>
      </c>
      <c r="AD466" s="7" t="s">
        <v>0</v>
      </c>
      <c r="AE466" s="7" t="s">
        <v>0</v>
      </c>
      <c r="AF466" s="7" t="s">
        <v>0</v>
      </c>
      <c r="AG466" s="7" t="s">
        <v>0</v>
      </c>
      <c r="AH466" s="9" t="s">
        <v>0</v>
      </c>
      <c r="AI466" s="9" t="s">
        <v>0</v>
      </c>
      <c r="AJ466" s="9" t="s">
        <v>0</v>
      </c>
      <c r="AK466" s="7" t="s">
        <v>61</v>
      </c>
      <c r="AL466" s="7" t="s">
        <v>61</v>
      </c>
      <c r="AM466" s="7" t="s">
        <v>0</v>
      </c>
      <c r="AN466" s="7" t="s">
        <v>0</v>
      </c>
      <c r="AO466" s="7" t="s">
        <v>0</v>
      </c>
      <c r="AP466" s="7" t="s">
        <v>0</v>
      </c>
      <c r="AQ466" s="7" t="s">
        <v>61</v>
      </c>
      <c r="AR466" s="7" t="s">
        <v>0</v>
      </c>
      <c r="AS466" s="10" t="str">
        <f>HYPERLINK("https://tessa.gazprom-neft.local/edo/card/1ab92f7d-01c0-4742-8e39-f35291bd72a2", "https://tessa.gazprom-neft.local/edo/card/1ab92f7d-01c0-4742-8e39-f35291bd72a2")</f>
        <v>https://tessa.gazprom-neft.local/edo/card/1ab92f7d-01c0-4742-8e39-f35291bd72a2</v>
      </c>
    </row>
    <row r="467" spans="1:45" x14ac:dyDescent="0.25">
      <c r="A467" s="6" t="s">
        <v>44</v>
      </c>
      <c r="B467" s="7" t="s">
        <v>1396</v>
      </c>
      <c r="C467" s="7" t="s">
        <v>67</v>
      </c>
      <c r="D467" s="8">
        <v>45386</v>
      </c>
      <c r="E467" s="8" t="s">
        <v>0</v>
      </c>
      <c r="F467" s="16" t="s">
        <v>1397</v>
      </c>
      <c r="G467" s="7" t="s">
        <v>1398</v>
      </c>
      <c r="H467" s="7" t="s">
        <v>3024</v>
      </c>
      <c r="I467" s="7" t="s">
        <v>0</v>
      </c>
      <c r="J467" s="7" t="s">
        <v>51</v>
      </c>
      <c r="K467" s="7" t="s">
        <v>85</v>
      </c>
      <c r="L467" s="7" t="s">
        <v>48</v>
      </c>
      <c r="M467" s="7" t="s">
        <v>1183</v>
      </c>
      <c r="N467" s="7" t="s">
        <v>3023</v>
      </c>
      <c r="O467" s="7" t="s">
        <v>0</v>
      </c>
      <c r="P467" s="7" t="s">
        <v>1183</v>
      </c>
      <c r="Q467" s="7" t="s">
        <v>3025</v>
      </c>
      <c r="R467" s="7" t="s">
        <v>135</v>
      </c>
      <c r="S467" s="7" t="s">
        <v>0</v>
      </c>
      <c r="T467" s="7" t="s">
        <v>54</v>
      </c>
      <c r="U467" s="7" t="s">
        <v>136</v>
      </c>
      <c r="V467" s="7" t="s">
        <v>168</v>
      </c>
      <c r="W467" s="7" t="s">
        <v>74</v>
      </c>
      <c r="X467" s="7" t="s">
        <v>103</v>
      </c>
      <c r="Y467" s="8">
        <v>45386</v>
      </c>
      <c r="Z467" s="8">
        <v>45657</v>
      </c>
      <c r="AA467" s="7" t="s">
        <v>169</v>
      </c>
      <c r="AB467" s="7" t="s">
        <v>228</v>
      </c>
      <c r="AC467" s="7" t="s">
        <v>65</v>
      </c>
      <c r="AD467" s="7" t="s">
        <v>0</v>
      </c>
      <c r="AE467" s="7" t="s">
        <v>0</v>
      </c>
      <c r="AF467" s="7" t="s">
        <v>0</v>
      </c>
      <c r="AG467" s="7" t="s">
        <v>0</v>
      </c>
      <c r="AH467" s="9" t="s">
        <v>0</v>
      </c>
      <c r="AI467" s="9" t="s">
        <v>0</v>
      </c>
      <c r="AJ467" s="9" t="s">
        <v>0</v>
      </c>
      <c r="AK467" s="7" t="s">
        <v>61</v>
      </c>
      <c r="AL467" s="7" t="s">
        <v>61</v>
      </c>
      <c r="AM467" s="7" t="s">
        <v>0</v>
      </c>
      <c r="AN467" s="7" t="s">
        <v>0</v>
      </c>
      <c r="AO467" s="7" t="s">
        <v>0</v>
      </c>
      <c r="AP467" s="7" t="s">
        <v>0</v>
      </c>
      <c r="AQ467" s="7" t="s">
        <v>61</v>
      </c>
      <c r="AR467" s="7" t="s">
        <v>0</v>
      </c>
      <c r="AS467" s="10" t="str">
        <f>HYPERLINK("https://tessa.gazprom-neft.local/edo/card/c8ba1c17-dc35-43c9-ae32-102bc4c3354d", "https://tessa.gazprom-neft.local/edo/card/c8ba1c17-dc35-43c9-ae32-102bc4c3354d")</f>
        <v>https://tessa.gazprom-neft.local/edo/card/c8ba1c17-dc35-43c9-ae32-102bc4c3354d</v>
      </c>
    </row>
    <row r="468" spans="1:45" x14ac:dyDescent="0.25">
      <c r="A468" s="6" t="s">
        <v>44</v>
      </c>
      <c r="B468" s="7" t="s">
        <v>1240</v>
      </c>
      <c r="C468" s="7" t="s">
        <v>67</v>
      </c>
      <c r="D468" s="8">
        <v>45386</v>
      </c>
      <c r="E468" s="8" t="s">
        <v>0</v>
      </c>
      <c r="F468" s="16" t="s">
        <v>1241</v>
      </c>
      <c r="G468" s="7" t="s">
        <v>1242</v>
      </c>
      <c r="H468" s="7" t="s">
        <v>3181</v>
      </c>
      <c r="I468" s="7" t="s">
        <v>0</v>
      </c>
      <c r="J468" s="7" t="s">
        <v>51</v>
      </c>
      <c r="K468" s="7" t="s">
        <v>85</v>
      </c>
      <c r="L468" s="7" t="s">
        <v>48</v>
      </c>
      <c r="M468" s="7" t="s">
        <v>1183</v>
      </c>
      <c r="N468" s="7" t="s">
        <v>3180</v>
      </c>
      <c r="O468" s="7" t="s">
        <v>0</v>
      </c>
      <c r="P468" s="7" t="s">
        <v>3182</v>
      </c>
      <c r="Q468" s="7" t="s">
        <v>3183</v>
      </c>
      <c r="R468" s="7" t="s">
        <v>393</v>
      </c>
      <c r="S468" s="7" t="s">
        <v>0</v>
      </c>
      <c r="T468" s="7" t="s">
        <v>54</v>
      </c>
      <c r="U468" s="7" t="s">
        <v>362</v>
      </c>
      <c r="V468" s="7" t="s">
        <v>168</v>
      </c>
      <c r="W468" s="7" t="s">
        <v>74</v>
      </c>
      <c r="X468" s="7" t="s">
        <v>58</v>
      </c>
      <c r="Y468" s="8">
        <v>45386</v>
      </c>
      <c r="Z468" s="8" t="s">
        <v>0</v>
      </c>
      <c r="AA468" s="7" t="s">
        <v>169</v>
      </c>
      <c r="AB468" s="7" t="s">
        <v>228</v>
      </c>
      <c r="AC468" s="7" t="s">
        <v>65</v>
      </c>
      <c r="AD468" s="7" t="s">
        <v>0</v>
      </c>
      <c r="AE468" s="7" t="s">
        <v>0</v>
      </c>
      <c r="AF468" s="7" t="s">
        <v>0</v>
      </c>
      <c r="AG468" s="7" t="s">
        <v>0</v>
      </c>
      <c r="AH468" s="9" t="s">
        <v>0</v>
      </c>
      <c r="AI468" s="9" t="s">
        <v>0</v>
      </c>
      <c r="AJ468" s="9" t="s">
        <v>0</v>
      </c>
      <c r="AK468" s="7" t="s">
        <v>61</v>
      </c>
      <c r="AL468" s="7" t="s">
        <v>61</v>
      </c>
      <c r="AM468" s="7" t="s">
        <v>0</v>
      </c>
      <c r="AN468" s="7" t="s">
        <v>0</v>
      </c>
      <c r="AO468" s="7" t="s">
        <v>0</v>
      </c>
      <c r="AP468" s="7" t="s">
        <v>0</v>
      </c>
      <c r="AQ468" s="7" t="s">
        <v>61</v>
      </c>
      <c r="AR468" s="7" t="s">
        <v>0</v>
      </c>
      <c r="AS468" s="10" t="str">
        <f>HYPERLINK("https://tessa.gazprom-neft.local/edo/card/be56796b-54a4-49f2-93cb-01396a66d1a6", "https://tessa.gazprom-neft.local/edo/card/be56796b-54a4-49f2-93cb-01396a66d1a6")</f>
        <v>https://tessa.gazprom-neft.local/edo/card/be56796b-54a4-49f2-93cb-01396a66d1a6</v>
      </c>
    </row>
    <row r="469" spans="1:45" x14ac:dyDescent="0.25">
      <c r="A469" s="6" t="s">
        <v>44</v>
      </c>
      <c r="B469" s="7" t="s">
        <v>284</v>
      </c>
      <c r="C469" s="7" t="s">
        <v>67</v>
      </c>
      <c r="D469" s="8">
        <v>45385</v>
      </c>
      <c r="E469" s="8">
        <v>45420</v>
      </c>
      <c r="F469" s="16" t="s">
        <v>285</v>
      </c>
      <c r="G469" s="7" t="s">
        <v>286</v>
      </c>
      <c r="H469" s="7" t="s">
        <v>419</v>
      </c>
      <c r="I469" s="7" t="s">
        <v>0</v>
      </c>
      <c r="J469" s="7" t="s">
        <v>51</v>
      </c>
      <c r="K469" s="7" t="s">
        <v>85</v>
      </c>
      <c r="L469" s="7" t="s">
        <v>48</v>
      </c>
      <c r="M469" s="7" t="s">
        <v>2373</v>
      </c>
      <c r="N469" s="7" t="s">
        <v>2643</v>
      </c>
      <c r="O469" s="7" t="s">
        <v>0</v>
      </c>
      <c r="P469" s="7" t="s">
        <v>2644</v>
      </c>
      <c r="Q469" s="7" t="s">
        <v>2465</v>
      </c>
      <c r="R469" s="7" t="s">
        <v>282</v>
      </c>
      <c r="S469" s="7" t="s">
        <v>0</v>
      </c>
      <c r="T469" s="7" t="s">
        <v>54</v>
      </c>
      <c r="U469" s="7" t="s">
        <v>55</v>
      </c>
      <c r="V469" s="7" t="s">
        <v>126</v>
      </c>
      <c r="W469" s="7" t="s">
        <v>74</v>
      </c>
      <c r="X469" s="7" t="s">
        <v>103</v>
      </c>
      <c r="Y469" s="8">
        <v>45385</v>
      </c>
      <c r="Z469" s="8">
        <v>46752</v>
      </c>
      <c r="AA469" s="7" t="s">
        <v>200</v>
      </c>
      <c r="AB469" s="7" t="s">
        <v>423</v>
      </c>
      <c r="AC469" s="7" t="s">
        <v>65</v>
      </c>
      <c r="AD469" s="7" t="s">
        <v>144</v>
      </c>
      <c r="AE469" s="7" t="s">
        <v>0</v>
      </c>
      <c r="AF469" s="7" t="s">
        <v>0</v>
      </c>
      <c r="AG469" s="7" t="s">
        <v>0</v>
      </c>
      <c r="AH469" s="9" t="s">
        <v>0</v>
      </c>
      <c r="AI469" s="9" t="s">
        <v>0</v>
      </c>
      <c r="AJ469" s="9" t="s">
        <v>0</v>
      </c>
      <c r="AK469" s="7" t="s">
        <v>61</v>
      </c>
      <c r="AL469" s="7" t="s">
        <v>61</v>
      </c>
      <c r="AM469" s="7" t="s">
        <v>0</v>
      </c>
      <c r="AN469" s="7" t="s">
        <v>0</v>
      </c>
      <c r="AO469" s="7" t="s">
        <v>0</v>
      </c>
      <c r="AP469" s="7" t="s">
        <v>0</v>
      </c>
      <c r="AQ469" s="7" t="s">
        <v>61</v>
      </c>
      <c r="AR469" s="7" t="s">
        <v>0</v>
      </c>
      <c r="AS469" s="10" t="str">
        <f>HYPERLINK("https://tessa.gazprom-neft.local/edo/card/715cae2d-1027-4e19-8a74-097658dec29f", "https://tessa.gazprom-neft.local/edo/card/715cae2d-1027-4e19-8a74-097658dec29f")</f>
        <v>https://tessa.gazprom-neft.local/edo/card/715cae2d-1027-4e19-8a74-097658dec29f</v>
      </c>
    </row>
    <row r="470" spans="1:45" x14ac:dyDescent="0.25">
      <c r="A470" s="6" t="s">
        <v>44</v>
      </c>
      <c r="B470" s="7" t="s">
        <v>852</v>
      </c>
      <c r="C470" s="7" t="s">
        <v>67</v>
      </c>
      <c r="D470" s="8">
        <v>45385</v>
      </c>
      <c r="E470" s="8" t="s">
        <v>0</v>
      </c>
      <c r="F470" s="16" t="s">
        <v>853</v>
      </c>
      <c r="G470" s="7" t="s">
        <v>854</v>
      </c>
      <c r="H470" s="7" t="s">
        <v>1002</v>
      </c>
      <c r="I470" s="7" t="s">
        <v>0</v>
      </c>
      <c r="J470" s="7" t="s">
        <v>51</v>
      </c>
      <c r="K470" s="7" t="s">
        <v>47</v>
      </c>
      <c r="L470" s="7" t="s">
        <v>48</v>
      </c>
      <c r="M470" s="7" t="s">
        <v>0</v>
      </c>
      <c r="N470" s="7" t="s">
        <v>3065</v>
      </c>
      <c r="O470" s="7" t="s">
        <v>0</v>
      </c>
      <c r="P470" s="7" t="s">
        <v>3066</v>
      </c>
      <c r="Q470" s="7" t="s">
        <v>3067</v>
      </c>
      <c r="R470" s="7" t="s">
        <v>1610</v>
      </c>
      <c r="S470" s="7" t="s">
        <v>1610</v>
      </c>
      <c r="T470" s="7" t="s">
        <v>54</v>
      </c>
      <c r="U470" s="7" t="s">
        <v>101</v>
      </c>
      <c r="V470" s="7" t="s">
        <v>308</v>
      </c>
      <c r="W470" s="7" t="s">
        <v>74</v>
      </c>
      <c r="X470" s="7" t="s">
        <v>103</v>
      </c>
      <c r="Y470" s="8">
        <v>45385</v>
      </c>
      <c r="Z470" s="8">
        <v>46387</v>
      </c>
      <c r="AA470" s="7" t="s">
        <v>309</v>
      </c>
      <c r="AB470" s="7" t="s">
        <v>161</v>
      </c>
      <c r="AC470" s="7" t="s">
        <v>79</v>
      </c>
      <c r="AD470" s="7" t="s">
        <v>80</v>
      </c>
      <c r="AE470" s="7" t="s">
        <v>118</v>
      </c>
      <c r="AF470" s="7" t="s">
        <v>0</v>
      </c>
      <c r="AG470" s="7" t="s">
        <v>0</v>
      </c>
      <c r="AH470" s="9">
        <v>0</v>
      </c>
      <c r="AI470" s="9">
        <v>0</v>
      </c>
      <c r="AJ470" s="9">
        <v>0</v>
      </c>
      <c r="AK470" s="7" t="s">
        <v>61</v>
      </c>
      <c r="AL470" s="7" t="s">
        <v>61</v>
      </c>
      <c r="AM470" s="7" t="s">
        <v>0</v>
      </c>
      <c r="AN470" s="7" t="s">
        <v>0</v>
      </c>
      <c r="AO470" s="7" t="s">
        <v>0</v>
      </c>
      <c r="AP470" s="7" t="s">
        <v>0</v>
      </c>
      <c r="AQ470" s="7" t="s">
        <v>61</v>
      </c>
      <c r="AR470" s="7" t="s">
        <v>0</v>
      </c>
      <c r="AS470" s="10" t="str">
        <f>HYPERLINK("https://tessa.gazprom-neft.local/edo/card/b7670931-36aa-44fb-bd6b-bfe03fda4db1", "https://tessa.gazprom-neft.local/edo/card/b7670931-36aa-44fb-bd6b-bfe03fda4db1")</f>
        <v>https://tessa.gazprom-neft.local/edo/card/b7670931-36aa-44fb-bd6b-bfe03fda4db1</v>
      </c>
    </row>
    <row r="471" spans="1:45" hidden="1" x14ac:dyDescent="0.25">
      <c r="A471" s="6" t="s">
        <v>44</v>
      </c>
      <c r="B471" s="7" t="s">
        <v>1784</v>
      </c>
      <c r="C471" s="7" t="s">
        <v>67</v>
      </c>
      <c r="D471" s="8">
        <v>45384</v>
      </c>
      <c r="E471" s="8" t="s">
        <v>0</v>
      </c>
      <c r="F471" s="16" t="s">
        <v>1785</v>
      </c>
      <c r="G471" s="7" t="s">
        <v>1786</v>
      </c>
      <c r="H471" s="7" t="s">
        <v>0</v>
      </c>
      <c r="I471" s="7" t="s">
        <v>2865</v>
      </c>
      <c r="J471" s="7" t="s">
        <v>2865</v>
      </c>
      <c r="K471" s="7" t="s">
        <v>47</v>
      </c>
      <c r="L471" s="7" t="s">
        <v>86</v>
      </c>
      <c r="M471" s="7" t="s">
        <v>0</v>
      </c>
      <c r="N471" s="7" t="s">
        <v>2864</v>
      </c>
      <c r="O471" s="7" t="s">
        <v>0</v>
      </c>
      <c r="P471" s="7" t="s">
        <v>2866</v>
      </c>
      <c r="Q471" s="7" t="s">
        <v>2867</v>
      </c>
      <c r="R471" s="7" t="s">
        <v>1139</v>
      </c>
      <c r="S471" s="7" t="s">
        <v>1066</v>
      </c>
      <c r="T471" s="7" t="s">
        <v>54</v>
      </c>
      <c r="U471" s="7" t="s">
        <v>283</v>
      </c>
      <c r="V471" s="7" t="s">
        <v>91</v>
      </c>
      <c r="W471" s="7" t="s">
        <v>74</v>
      </c>
      <c r="X471" s="7" t="s">
        <v>103</v>
      </c>
      <c r="Y471" s="8">
        <v>45390</v>
      </c>
      <c r="Z471" s="8">
        <v>47483</v>
      </c>
      <c r="AA471" s="7" t="s">
        <v>92</v>
      </c>
      <c r="AB471" s="7" t="s">
        <v>237</v>
      </c>
      <c r="AC471" s="7" t="s">
        <v>65</v>
      </c>
      <c r="AD471" s="7" t="s">
        <v>0</v>
      </c>
      <c r="AE471" s="7" t="s">
        <v>0</v>
      </c>
      <c r="AF471" s="7" t="s">
        <v>0</v>
      </c>
      <c r="AG471" s="7" t="s">
        <v>0</v>
      </c>
      <c r="AH471" s="9" t="s">
        <v>0</v>
      </c>
      <c r="AI471" s="9" t="s">
        <v>0</v>
      </c>
      <c r="AJ471" s="9" t="s">
        <v>0</v>
      </c>
      <c r="AK471" s="7" t="s">
        <v>61</v>
      </c>
      <c r="AL471" s="7" t="s">
        <v>61</v>
      </c>
      <c r="AM471" s="7" t="s">
        <v>0</v>
      </c>
      <c r="AN471" s="7" t="s">
        <v>0</v>
      </c>
      <c r="AO471" s="7" t="s">
        <v>0</v>
      </c>
      <c r="AP471" s="7" t="s">
        <v>0</v>
      </c>
      <c r="AQ471" s="7" t="s">
        <v>61</v>
      </c>
      <c r="AR471" s="7" t="s">
        <v>0</v>
      </c>
      <c r="AS471" s="10" t="str">
        <f>HYPERLINK("https://tessa.gazprom-neft.local/edo/card/de6ae272-7370-4316-886a-c9efb9ff0a56", "https://tessa.gazprom-neft.local/edo/card/de6ae272-7370-4316-886a-c9efb9ff0a56")</f>
        <v>https://tessa.gazprom-neft.local/edo/card/de6ae272-7370-4316-886a-c9efb9ff0a56</v>
      </c>
    </row>
    <row r="472" spans="1:45" x14ac:dyDescent="0.25">
      <c r="A472" s="6" t="s">
        <v>44</v>
      </c>
      <c r="B472" s="7" t="s">
        <v>565</v>
      </c>
      <c r="C472" s="7" t="s">
        <v>67</v>
      </c>
      <c r="D472" s="8">
        <v>45384</v>
      </c>
      <c r="E472" s="8" t="s">
        <v>0</v>
      </c>
      <c r="F472" s="16" t="s">
        <v>653</v>
      </c>
      <c r="G472" s="7" t="s">
        <v>567</v>
      </c>
      <c r="H472" s="7" t="s">
        <v>651</v>
      </c>
      <c r="I472" s="7" t="s">
        <v>0</v>
      </c>
      <c r="J472" s="7" t="s">
        <v>51</v>
      </c>
      <c r="K472" s="7" t="s">
        <v>85</v>
      </c>
      <c r="L472" s="7" t="s">
        <v>48</v>
      </c>
      <c r="M472" s="7" t="s">
        <v>2373</v>
      </c>
      <c r="N472" s="7" t="s">
        <v>2910</v>
      </c>
      <c r="O472" s="7" t="s">
        <v>0</v>
      </c>
      <c r="P472" s="7" t="s">
        <v>2911</v>
      </c>
      <c r="Q472" s="7" t="s">
        <v>2711</v>
      </c>
      <c r="R472" s="7" t="s">
        <v>422</v>
      </c>
      <c r="S472" s="7" t="s">
        <v>0</v>
      </c>
      <c r="T472" s="7" t="s">
        <v>54</v>
      </c>
      <c r="U472" s="7" t="s">
        <v>55</v>
      </c>
      <c r="V472" s="7" t="s">
        <v>56</v>
      </c>
      <c r="W472" s="7" t="s">
        <v>74</v>
      </c>
      <c r="X472" s="7" t="s">
        <v>103</v>
      </c>
      <c r="Y472" s="8">
        <v>45384</v>
      </c>
      <c r="Z472" s="8">
        <v>47118</v>
      </c>
      <c r="AA472" s="7" t="s">
        <v>0</v>
      </c>
      <c r="AB472" s="7" t="s">
        <v>130</v>
      </c>
      <c r="AC472" s="7" t="s">
        <v>65</v>
      </c>
      <c r="AD472" s="7" t="s">
        <v>144</v>
      </c>
      <c r="AE472" s="7" t="s">
        <v>0</v>
      </c>
      <c r="AF472" s="7" t="s">
        <v>0</v>
      </c>
      <c r="AG472" s="7" t="s">
        <v>0</v>
      </c>
      <c r="AH472" s="9" t="s">
        <v>0</v>
      </c>
      <c r="AI472" s="9" t="s">
        <v>0</v>
      </c>
      <c r="AJ472" s="9" t="s">
        <v>0</v>
      </c>
      <c r="AK472" s="7" t="s">
        <v>61</v>
      </c>
      <c r="AL472" s="7" t="s">
        <v>61</v>
      </c>
      <c r="AM472" s="7" t="s">
        <v>0</v>
      </c>
      <c r="AN472" s="7" t="s">
        <v>0</v>
      </c>
      <c r="AO472" s="7" t="s">
        <v>0</v>
      </c>
      <c r="AP472" s="7" t="s">
        <v>0</v>
      </c>
      <c r="AQ472" s="7" t="s">
        <v>61</v>
      </c>
      <c r="AR472" s="7" t="s">
        <v>0</v>
      </c>
      <c r="AS472" s="10" t="str">
        <f>HYPERLINK("https://tessa.gazprom-neft.local/edo/card/2b4671b9-cad1-4b29-8765-4871e44a3d75", "https://tessa.gazprom-neft.local/edo/card/2b4671b9-cad1-4b29-8765-4871e44a3d75")</f>
        <v>https://tessa.gazprom-neft.local/edo/card/2b4671b9-cad1-4b29-8765-4871e44a3d75</v>
      </c>
    </row>
    <row r="473" spans="1:45" hidden="1" x14ac:dyDescent="0.25">
      <c r="A473" s="6" t="s">
        <v>44</v>
      </c>
      <c r="B473" s="7" t="s">
        <v>2132</v>
      </c>
      <c r="C473" s="7" t="s">
        <v>67</v>
      </c>
      <c r="D473" s="8">
        <v>45383</v>
      </c>
      <c r="E473" s="8" t="s">
        <v>0</v>
      </c>
      <c r="F473" s="16" t="s">
        <v>2133</v>
      </c>
      <c r="G473" s="7" t="s">
        <v>739</v>
      </c>
      <c r="H473" s="7" t="s">
        <v>0</v>
      </c>
      <c r="I473" s="7" t="s">
        <v>2329</v>
      </c>
      <c r="J473" s="7" t="s">
        <v>2329</v>
      </c>
      <c r="K473" s="7" t="s">
        <v>85</v>
      </c>
      <c r="L473" s="7" t="s">
        <v>86</v>
      </c>
      <c r="M473" s="7" t="s">
        <v>216</v>
      </c>
      <c r="N473" s="7" t="s">
        <v>2328</v>
      </c>
      <c r="O473" s="7" t="s">
        <v>0</v>
      </c>
      <c r="P473" s="7" t="s">
        <v>2330</v>
      </c>
      <c r="Q473" s="7" t="s">
        <v>2331</v>
      </c>
      <c r="R473" s="7" t="s">
        <v>1139</v>
      </c>
      <c r="S473" s="7" t="s">
        <v>1774</v>
      </c>
      <c r="T473" s="7" t="s">
        <v>54</v>
      </c>
      <c r="U473" s="7" t="s">
        <v>283</v>
      </c>
      <c r="V473" s="7" t="s">
        <v>308</v>
      </c>
      <c r="W473" s="7" t="s">
        <v>57</v>
      </c>
      <c r="X473" s="7" t="s">
        <v>103</v>
      </c>
      <c r="Y473" s="8">
        <v>45383</v>
      </c>
      <c r="Z473" s="8">
        <v>45688</v>
      </c>
      <c r="AA473" s="7" t="s">
        <v>309</v>
      </c>
      <c r="AB473" s="7" t="s">
        <v>228</v>
      </c>
      <c r="AC473" s="7" t="s">
        <v>65</v>
      </c>
      <c r="AD473" s="7" t="s">
        <v>0</v>
      </c>
      <c r="AE473" s="7" t="s">
        <v>0</v>
      </c>
      <c r="AF473" s="7" t="s">
        <v>0</v>
      </c>
      <c r="AG473" s="7" t="s">
        <v>0</v>
      </c>
      <c r="AH473" s="9" t="s">
        <v>0</v>
      </c>
      <c r="AI473" s="9" t="s">
        <v>0</v>
      </c>
      <c r="AJ473" s="9" t="s">
        <v>0</v>
      </c>
      <c r="AK473" s="7" t="s">
        <v>61</v>
      </c>
      <c r="AL473" s="7" t="s">
        <v>61</v>
      </c>
      <c r="AM473" s="7" t="s">
        <v>0</v>
      </c>
      <c r="AN473" s="7" t="s">
        <v>0</v>
      </c>
      <c r="AO473" s="7" t="s">
        <v>0</v>
      </c>
      <c r="AP473" s="7" t="s">
        <v>0</v>
      </c>
      <c r="AQ473" s="7" t="s">
        <v>61</v>
      </c>
      <c r="AR473" s="7" t="s">
        <v>0</v>
      </c>
      <c r="AS473" s="10" t="str">
        <f>HYPERLINK("https://tessa.gazprom-neft.local/edo/card/9329e52e-3243-417a-a4ab-bae2fa1d58e9", "https://tessa.gazprom-neft.local/edo/card/9329e52e-3243-417a-a4ab-bae2fa1d58e9")</f>
        <v>https://tessa.gazprom-neft.local/edo/card/9329e52e-3243-417a-a4ab-bae2fa1d58e9</v>
      </c>
    </row>
    <row r="474" spans="1:45" hidden="1" x14ac:dyDescent="0.25">
      <c r="A474" s="6" t="s">
        <v>44</v>
      </c>
      <c r="B474" s="7" t="s">
        <v>2132</v>
      </c>
      <c r="C474" s="7" t="s">
        <v>67</v>
      </c>
      <c r="D474" s="8">
        <v>45383</v>
      </c>
      <c r="E474" s="8" t="s">
        <v>0</v>
      </c>
      <c r="F474" s="16" t="s">
        <v>2133</v>
      </c>
      <c r="G474" s="7" t="s">
        <v>739</v>
      </c>
      <c r="H474" s="7" t="s">
        <v>0</v>
      </c>
      <c r="I474" s="7" t="s">
        <v>2599</v>
      </c>
      <c r="J474" s="7" t="s">
        <v>2599</v>
      </c>
      <c r="K474" s="7" t="s">
        <v>47</v>
      </c>
      <c r="L474" s="7" t="s">
        <v>96</v>
      </c>
      <c r="M474" s="7" t="s">
        <v>0</v>
      </c>
      <c r="N474" s="7" t="s">
        <v>2598</v>
      </c>
      <c r="O474" s="7" t="s">
        <v>0</v>
      </c>
      <c r="P474" s="7" t="s">
        <v>2600</v>
      </c>
      <c r="Q474" s="7" t="s">
        <v>2601</v>
      </c>
      <c r="R474" s="7" t="s">
        <v>1139</v>
      </c>
      <c r="S474" s="7" t="s">
        <v>1774</v>
      </c>
      <c r="T474" s="7" t="s">
        <v>54</v>
      </c>
      <c r="U474" s="7" t="s">
        <v>125</v>
      </c>
      <c r="V474" s="7" t="s">
        <v>126</v>
      </c>
      <c r="W474" s="7" t="s">
        <v>57</v>
      </c>
      <c r="X474" s="7" t="s">
        <v>103</v>
      </c>
      <c r="Y474" s="8">
        <v>45383</v>
      </c>
      <c r="Z474" s="8">
        <v>45688</v>
      </c>
      <c r="AA474" s="7" t="s">
        <v>200</v>
      </c>
      <c r="AB474" s="7" t="s">
        <v>130</v>
      </c>
      <c r="AC474" s="7" t="s">
        <v>79</v>
      </c>
      <c r="AD474" s="7" t="s">
        <v>144</v>
      </c>
      <c r="AE474" s="7" t="s">
        <v>82</v>
      </c>
      <c r="AF474" s="7" t="s">
        <v>0</v>
      </c>
      <c r="AG474" s="7" t="s">
        <v>2602</v>
      </c>
      <c r="AH474" s="9" t="s">
        <v>11399</v>
      </c>
      <c r="AI474" s="9" t="s">
        <v>11400</v>
      </c>
      <c r="AJ474" s="9" t="s">
        <v>11401</v>
      </c>
      <c r="AK474" s="7" t="s">
        <v>81</v>
      </c>
      <c r="AL474" s="7" t="s">
        <v>61</v>
      </c>
      <c r="AM474" s="7" t="s">
        <v>0</v>
      </c>
      <c r="AN474" s="7" t="s">
        <v>0</v>
      </c>
      <c r="AO474" s="7" t="s">
        <v>0</v>
      </c>
      <c r="AP474" s="7" t="s">
        <v>0</v>
      </c>
      <c r="AQ474" s="7" t="s">
        <v>61</v>
      </c>
      <c r="AR474" s="7" t="s">
        <v>0</v>
      </c>
      <c r="AS474" s="10" t="str">
        <f>HYPERLINK("https://tessa.gazprom-neft.local/edo/card/211d775c-a150-458f-92a8-c860a400c038", "https://tessa.gazprom-neft.local/edo/card/211d775c-a150-458f-92a8-c860a400c038")</f>
        <v>https://tessa.gazprom-neft.local/edo/card/211d775c-a150-458f-92a8-c860a400c038</v>
      </c>
    </row>
    <row r="475" spans="1:45" hidden="1" x14ac:dyDescent="0.25">
      <c r="A475" s="6" t="s">
        <v>44</v>
      </c>
      <c r="B475" s="7" t="s">
        <v>2928</v>
      </c>
      <c r="C475" s="7" t="s">
        <v>67</v>
      </c>
      <c r="D475" s="8">
        <v>45383</v>
      </c>
      <c r="E475" s="8" t="s">
        <v>0</v>
      </c>
      <c r="F475" s="16" t="s">
        <v>2929</v>
      </c>
      <c r="G475" s="7" t="s">
        <v>2930</v>
      </c>
      <c r="H475" s="7" t="s">
        <v>0</v>
      </c>
      <c r="I475" s="7" t="s">
        <v>2927</v>
      </c>
      <c r="J475" s="7" t="s">
        <v>2927</v>
      </c>
      <c r="K475" s="7" t="s">
        <v>85</v>
      </c>
      <c r="L475" s="7" t="s">
        <v>86</v>
      </c>
      <c r="M475" s="7" t="s">
        <v>289</v>
      </c>
      <c r="N475" s="7" t="s">
        <v>2926</v>
      </c>
      <c r="O475" s="7" t="s">
        <v>0</v>
      </c>
      <c r="P475" s="7" t="s">
        <v>289</v>
      </c>
      <c r="Q475" s="7" t="s">
        <v>426</v>
      </c>
      <c r="R475" s="7" t="s">
        <v>53</v>
      </c>
      <c r="S475" s="7" t="s">
        <v>0</v>
      </c>
      <c r="T475" s="7" t="s">
        <v>54</v>
      </c>
      <c r="U475" s="7" t="s">
        <v>55</v>
      </c>
      <c r="V475" s="7" t="s">
        <v>56</v>
      </c>
      <c r="W475" s="7" t="s">
        <v>57</v>
      </c>
      <c r="X475" s="7" t="s">
        <v>223</v>
      </c>
      <c r="Y475" s="8">
        <v>45383</v>
      </c>
      <c r="Z475" s="8" t="s">
        <v>0</v>
      </c>
      <c r="AA475" s="7" t="s">
        <v>59</v>
      </c>
      <c r="AB475" s="7" t="s">
        <v>300</v>
      </c>
      <c r="AC475" s="7" t="s">
        <v>65</v>
      </c>
      <c r="AD475" s="7" t="s">
        <v>0</v>
      </c>
      <c r="AE475" s="7" t="s">
        <v>0</v>
      </c>
      <c r="AF475" s="7" t="s">
        <v>0</v>
      </c>
      <c r="AG475" s="7" t="s">
        <v>0</v>
      </c>
      <c r="AH475" s="9" t="s">
        <v>0</v>
      </c>
      <c r="AI475" s="9" t="s">
        <v>0</v>
      </c>
      <c r="AJ475" s="9" t="s">
        <v>0</v>
      </c>
      <c r="AK475" s="7" t="s">
        <v>61</v>
      </c>
      <c r="AL475" s="7" t="s">
        <v>61</v>
      </c>
      <c r="AM475" s="7" t="s">
        <v>0</v>
      </c>
      <c r="AN475" s="7" t="s">
        <v>0</v>
      </c>
      <c r="AO475" s="7" t="s">
        <v>0</v>
      </c>
      <c r="AP475" s="7" t="s">
        <v>0</v>
      </c>
      <c r="AQ475" s="7" t="s">
        <v>61</v>
      </c>
      <c r="AR475" s="7" t="s">
        <v>0</v>
      </c>
      <c r="AS475" s="10" t="str">
        <f>HYPERLINK("https://tessa.gazprom-neft.local/edo/card/1a5b30e5-9b70-4644-a957-1c9f0dc9e6e3", "https://tessa.gazprom-neft.local/edo/card/1a5b30e5-9b70-4644-a957-1c9f0dc9e6e3")</f>
        <v>https://tessa.gazprom-neft.local/edo/card/1a5b30e5-9b70-4644-a957-1c9f0dc9e6e3</v>
      </c>
    </row>
    <row r="476" spans="1:45" x14ac:dyDescent="0.25">
      <c r="A476" s="6" t="s">
        <v>44</v>
      </c>
      <c r="B476" s="7" t="s">
        <v>2001</v>
      </c>
      <c r="C476" s="7" t="s">
        <v>67</v>
      </c>
      <c r="D476" s="8">
        <v>45383</v>
      </c>
      <c r="E476" s="8" t="s">
        <v>0</v>
      </c>
      <c r="F476" s="16" t="s">
        <v>2002</v>
      </c>
      <c r="G476" s="7" t="s">
        <v>2003</v>
      </c>
      <c r="H476" s="7" t="s">
        <v>1998</v>
      </c>
      <c r="I476" s="7" t="s">
        <v>0</v>
      </c>
      <c r="J476" s="7" t="s">
        <v>872</v>
      </c>
      <c r="K476" s="7" t="s">
        <v>47</v>
      </c>
      <c r="L476" s="7" t="s">
        <v>48</v>
      </c>
      <c r="M476" s="7" t="s">
        <v>0</v>
      </c>
      <c r="N476" s="7" t="s">
        <v>3001</v>
      </c>
      <c r="O476" s="7" t="s">
        <v>0</v>
      </c>
      <c r="P476" s="7" t="s">
        <v>3002</v>
      </c>
      <c r="Q476" s="7" t="s">
        <v>3003</v>
      </c>
      <c r="R476" s="7" t="s">
        <v>393</v>
      </c>
      <c r="S476" s="7" t="s">
        <v>1503</v>
      </c>
      <c r="T476" s="7" t="s">
        <v>54</v>
      </c>
      <c r="U476" s="7" t="s">
        <v>283</v>
      </c>
      <c r="V476" s="7" t="s">
        <v>168</v>
      </c>
      <c r="W476" s="7" t="s">
        <v>74</v>
      </c>
      <c r="X476" s="7" t="s">
        <v>58</v>
      </c>
      <c r="Y476" s="8">
        <v>45383</v>
      </c>
      <c r="Z476" s="8" t="s">
        <v>0</v>
      </c>
      <c r="AA476" s="7" t="s">
        <v>169</v>
      </c>
      <c r="AB476" s="7" t="s">
        <v>130</v>
      </c>
      <c r="AC476" s="7" t="s">
        <v>65</v>
      </c>
      <c r="AD476" s="7" t="s">
        <v>144</v>
      </c>
      <c r="AE476" s="7" t="s">
        <v>0</v>
      </c>
      <c r="AF476" s="7" t="s">
        <v>0</v>
      </c>
      <c r="AG476" s="7" t="s">
        <v>0</v>
      </c>
      <c r="AH476" s="9" t="s">
        <v>0</v>
      </c>
      <c r="AI476" s="9" t="s">
        <v>0</v>
      </c>
      <c r="AJ476" s="9" t="s">
        <v>0</v>
      </c>
      <c r="AK476" s="7" t="s">
        <v>61</v>
      </c>
      <c r="AL476" s="7" t="s">
        <v>61</v>
      </c>
      <c r="AM476" s="7" t="s">
        <v>0</v>
      </c>
      <c r="AN476" s="7" t="s">
        <v>0</v>
      </c>
      <c r="AO476" s="7" t="s">
        <v>0</v>
      </c>
      <c r="AP476" s="7" t="s">
        <v>0</v>
      </c>
      <c r="AQ476" s="7" t="s">
        <v>61</v>
      </c>
      <c r="AR476" s="7" t="s">
        <v>0</v>
      </c>
      <c r="AS476" s="10" t="str">
        <f>HYPERLINK("https://tessa.gazprom-neft.local/edo/card/846e596b-36c6-4dd9-8b64-74739bab06bb", "https://tessa.gazprom-neft.local/edo/card/846e596b-36c6-4dd9-8b64-74739bab06bb")</f>
        <v>https://tessa.gazprom-neft.local/edo/card/846e596b-36c6-4dd9-8b64-74739bab06bb</v>
      </c>
    </row>
    <row r="477" spans="1:45" hidden="1" x14ac:dyDescent="0.25">
      <c r="A477" s="6" t="s">
        <v>44</v>
      </c>
      <c r="B477" s="7" t="s">
        <v>350</v>
      </c>
      <c r="C477" s="7" t="s">
        <v>67</v>
      </c>
      <c r="D477" s="8">
        <v>45383</v>
      </c>
      <c r="E477" s="8" t="s">
        <v>0</v>
      </c>
      <c r="F477" s="16" t="s">
        <v>1027</v>
      </c>
      <c r="G477" s="7" t="s">
        <v>352</v>
      </c>
      <c r="H477" s="7" t="s">
        <v>1024</v>
      </c>
      <c r="I477" s="7" t="s">
        <v>0</v>
      </c>
      <c r="J477" s="7" t="s">
        <v>70</v>
      </c>
      <c r="K477" s="7" t="s">
        <v>47</v>
      </c>
      <c r="L477" s="7" t="s">
        <v>763</v>
      </c>
      <c r="M477" s="7" t="s">
        <v>0</v>
      </c>
      <c r="N477" s="7" t="s">
        <v>3472</v>
      </c>
      <c r="O477" s="7" t="s">
        <v>0</v>
      </c>
      <c r="P477" s="7" t="s">
        <v>3473</v>
      </c>
      <c r="Q477" s="7" t="s">
        <v>3474</v>
      </c>
      <c r="R477" s="7" t="s">
        <v>124</v>
      </c>
      <c r="S477" s="7" t="s">
        <v>0</v>
      </c>
      <c r="T477" s="7" t="s">
        <v>54</v>
      </c>
      <c r="U477" s="7" t="s">
        <v>101</v>
      </c>
      <c r="V477" s="7" t="s">
        <v>308</v>
      </c>
      <c r="W477" s="7" t="s">
        <v>74</v>
      </c>
      <c r="X477" s="7" t="s">
        <v>58</v>
      </c>
      <c r="Y477" s="8">
        <v>45383</v>
      </c>
      <c r="Z477" s="8" t="s">
        <v>0</v>
      </c>
      <c r="AA477" s="7" t="s">
        <v>309</v>
      </c>
      <c r="AB477" s="7" t="s">
        <v>64</v>
      </c>
      <c r="AC477" s="7" t="s">
        <v>79</v>
      </c>
      <c r="AD477" s="7" t="s">
        <v>80</v>
      </c>
      <c r="AE477" s="7" t="s">
        <v>82</v>
      </c>
      <c r="AF477" s="7" t="s">
        <v>0</v>
      </c>
      <c r="AG477" s="7" t="s">
        <v>0</v>
      </c>
      <c r="AH477" s="9" t="s">
        <v>11689</v>
      </c>
      <c r="AI477" s="9" t="s">
        <v>11690</v>
      </c>
      <c r="AJ477" s="9" t="s">
        <v>11691</v>
      </c>
      <c r="AK477" s="7" t="s">
        <v>61</v>
      </c>
      <c r="AL477" s="7" t="s">
        <v>61</v>
      </c>
      <c r="AM477" s="7" t="s">
        <v>0</v>
      </c>
      <c r="AN477" s="7" t="s">
        <v>0</v>
      </c>
      <c r="AO477" s="7" t="s">
        <v>0</v>
      </c>
      <c r="AP477" s="7" t="s">
        <v>0</v>
      </c>
      <c r="AQ477" s="7" t="s">
        <v>61</v>
      </c>
      <c r="AR477" s="7" t="s">
        <v>0</v>
      </c>
      <c r="AS477" s="10" t="str">
        <f>HYPERLINK("https://tessa.gazprom-neft.local/edo/card/074fc665-f274-4a94-8c92-6aa546aef9fd", "https://tessa.gazprom-neft.local/edo/card/074fc665-f274-4a94-8c92-6aa546aef9fd")</f>
        <v>https://tessa.gazprom-neft.local/edo/card/074fc665-f274-4a94-8c92-6aa546aef9fd</v>
      </c>
    </row>
    <row r="478" spans="1:45" x14ac:dyDescent="0.25">
      <c r="A478" s="6" t="s">
        <v>44</v>
      </c>
      <c r="B478" s="7" t="s">
        <v>2495</v>
      </c>
      <c r="C478" s="7" t="s">
        <v>67</v>
      </c>
      <c r="D478" s="8">
        <v>45382</v>
      </c>
      <c r="E478" s="8" t="s">
        <v>0</v>
      </c>
      <c r="F478" s="16" t="s">
        <v>2496</v>
      </c>
      <c r="G478" s="7" t="s">
        <v>2497</v>
      </c>
      <c r="H478" s="7" t="s">
        <v>2856</v>
      </c>
      <c r="I478" s="7" t="s">
        <v>0</v>
      </c>
      <c r="J478" s="7" t="s">
        <v>355</v>
      </c>
      <c r="K478" s="7" t="s">
        <v>47</v>
      </c>
      <c r="L478" s="7" t="s">
        <v>48</v>
      </c>
      <c r="M478" s="7" t="s">
        <v>0</v>
      </c>
      <c r="N478" s="7" t="s">
        <v>2855</v>
      </c>
      <c r="O478" s="7" t="s">
        <v>0</v>
      </c>
      <c r="P478" s="7" t="s">
        <v>2857</v>
      </c>
      <c r="Q478" s="7" t="s">
        <v>2858</v>
      </c>
      <c r="R478" s="7" t="s">
        <v>393</v>
      </c>
      <c r="S478" s="7" t="s">
        <v>2859</v>
      </c>
      <c r="T478" s="7" t="s">
        <v>54</v>
      </c>
      <c r="U478" s="7" t="s">
        <v>210</v>
      </c>
      <c r="V478" s="7" t="s">
        <v>126</v>
      </c>
      <c r="W478" s="7" t="s">
        <v>57</v>
      </c>
      <c r="X478" s="7" t="s">
        <v>58</v>
      </c>
      <c r="Y478" s="8">
        <v>45382</v>
      </c>
      <c r="Z478" s="8" t="s">
        <v>0</v>
      </c>
      <c r="AA478" s="7" t="s">
        <v>200</v>
      </c>
      <c r="AB478" s="7" t="s">
        <v>130</v>
      </c>
      <c r="AC478" s="7" t="s">
        <v>65</v>
      </c>
      <c r="AD478" s="7" t="s">
        <v>0</v>
      </c>
      <c r="AE478" s="7" t="s">
        <v>0</v>
      </c>
      <c r="AF478" s="7" t="s">
        <v>0</v>
      </c>
      <c r="AG478" s="7" t="s">
        <v>0</v>
      </c>
      <c r="AH478" s="9" t="s">
        <v>0</v>
      </c>
      <c r="AI478" s="9" t="s">
        <v>0</v>
      </c>
      <c r="AJ478" s="9" t="s">
        <v>0</v>
      </c>
      <c r="AK478" s="7" t="s">
        <v>61</v>
      </c>
      <c r="AL478" s="7" t="s">
        <v>61</v>
      </c>
      <c r="AM478" s="7" t="s">
        <v>0</v>
      </c>
      <c r="AN478" s="7" t="s">
        <v>0</v>
      </c>
      <c r="AO478" s="7" t="s">
        <v>0</v>
      </c>
      <c r="AP478" s="7" t="s">
        <v>0</v>
      </c>
      <c r="AQ478" s="7" t="s">
        <v>61</v>
      </c>
      <c r="AR478" s="7" t="s">
        <v>0</v>
      </c>
      <c r="AS478" s="10" t="str">
        <f>HYPERLINK("https://tessa.gazprom-neft.local/edo/card/125b879a-2293-483a-a7bd-e138496d743d", "https://tessa.gazprom-neft.local/edo/card/125b879a-2293-483a-a7bd-e138496d743d")</f>
        <v>https://tessa.gazprom-neft.local/edo/card/125b879a-2293-483a-a7bd-e138496d743d</v>
      </c>
    </row>
    <row r="479" spans="1:45" hidden="1" x14ac:dyDescent="0.25">
      <c r="A479" s="6" t="s">
        <v>44</v>
      </c>
      <c r="B479" s="7" t="s">
        <v>342</v>
      </c>
      <c r="C479" s="7" t="s">
        <v>67</v>
      </c>
      <c r="D479" s="8">
        <v>45380</v>
      </c>
      <c r="E479" s="8" t="s">
        <v>0</v>
      </c>
      <c r="F479" s="16" t="s">
        <v>343</v>
      </c>
      <c r="G479" s="7" t="s">
        <v>344</v>
      </c>
      <c r="H479" s="7" t="s">
        <v>0</v>
      </c>
      <c r="I479" s="7" t="s">
        <v>2691</v>
      </c>
      <c r="J479" s="7" t="s">
        <v>2691</v>
      </c>
      <c r="K479" s="7" t="s">
        <v>85</v>
      </c>
      <c r="L479" s="7" t="s">
        <v>86</v>
      </c>
      <c r="M479" s="7" t="s">
        <v>83</v>
      </c>
      <c r="N479" s="7" t="s">
        <v>2690</v>
      </c>
      <c r="O479" s="7" t="s">
        <v>0</v>
      </c>
      <c r="P479" s="7" t="s">
        <v>83</v>
      </c>
      <c r="Q479" s="7" t="s">
        <v>2575</v>
      </c>
      <c r="R479" s="7" t="s">
        <v>549</v>
      </c>
      <c r="S479" s="7" t="s">
        <v>549</v>
      </c>
      <c r="T479" s="7" t="s">
        <v>54</v>
      </c>
      <c r="U479" s="7" t="s">
        <v>303</v>
      </c>
      <c r="V479" s="7" t="s">
        <v>91</v>
      </c>
      <c r="W479" s="7" t="s">
        <v>74</v>
      </c>
      <c r="X479" s="7" t="s">
        <v>103</v>
      </c>
      <c r="Y479" s="8">
        <v>45380</v>
      </c>
      <c r="Z479" s="8">
        <v>46387</v>
      </c>
      <c r="AA479" s="7" t="s">
        <v>92</v>
      </c>
      <c r="AB479" s="7" t="s">
        <v>94</v>
      </c>
      <c r="AC479" s="7" t="s">
        <v>65</v>
      </c>
      <c r="AD479" s="7" t="s">
        <v>0</v>
      </c>
      <c r="AE479" s="7" t="s">
        <v>0</v>
      </c>
      <c r="AF479" s="7" t="s">
        <v>0</v>
      </c>
      <c r="AG479" s="7" t="s">
        <v>0</v>
      </c>
      <c r="AH479" s="9" t="s">
        <v>0</v>
      </c>
      <c r="AI479" s="9" t="s">
        <v>0</v>
      </c>
      <c r="AJ479" s="9" t="s">
        <v>0</v>
      </c>
      <c r="AK479" s="7" t="s">
        <v>61</v>
      </c>
      <c r="AL479" s="7" t="s">
        <v>61</v>
      </c>
      <c r="AM479" s="7" t="s">
        <v>0</v>
      </c>
      <c r="AN479" s="7" t="s">
        <v>0</v>
      </c>
      <c r="AO479" s="7" t="s">
        <v>0</v>
      </c>
      <c r="AP479" s="7" t="s">
        <v>0</v>
      </c>
      <c r="AQ479" s="7" t="s">
        <v>61</v>
      </c>
      <c r="AR479" s="7" t="s">
        <v>0</v>
      </c>
      <c r="AS479" s="10" t="str">
        <f>HYPERLINK("https://tessa.gazprom-neft.local/edo/card/b50a2e26-7eef-4415-b921-dfc8615a8a21", "https://tessa.gazprom-neft.local/edo/card/b50a2e26-7eef-4415-b921-dfc8615a8a21")</f>
        <v>https://tessa.gazprom-neft.local/edo/card/b50a2e26-7eef-4415-b921-dfc8615a8a21</v>
      </c>
    </row>
    <row r="480" spans="1:45" x14ac:dyDescent="0.25">
      <c r="A480" s="6" t="s">
        <v>44</v>
      </c>
      <c r="B480" s="7" t="s">
        <v>2781</v>
      </c>
      <c r="C480" s="7" t="s">
        <v>67</v>
      </c>
      <c r="D480" s="8">
        <v>45380</v>
      </c>
      <c r="E480" s="8" t="s">
        <v>0</v>
      </c>
      <c r="F480" s="16" t="s">
        <v>2782</v>
      </c>
      <c r="G480" s="7" t="s">
        <v>2783</v>
      </c>
      <c r="H480" s="7" t="s">
        <v>2778</v>
      </c>
      <c r="I480" s="7" t="s">
        <v>0</v>
      </c>
      <c r="J480" s="7" t="s">
        <v>156</v>
      </c>
      <c r="K480" s="7" t="s">
        <v>47</v>
      </c>
      <c r="L480" s="7" t="s">
        <v>48</v>
      </c>
      <c r="M480" s="7" t="s">
        <v>0</v>
      </c>
      <c r="N480" s="7" t="s">
        <v>2777</v>
      </c>
      <c r="O480" s="7" t="s">
        <v>0</v>
      </c>
      <c r="P480" s="7" t="s">
        <v>2779</v>
      </c>
      <c r="Q480" s="7" t="s">
        <v>2780</v>
      </c>
      <c r="R480" s="7" t="s">
        <v>646</v>
      </c>
      <c r="S480" s="7" t="s">
        <v>2768</v>
      </c>
      <c r="T480" s="7" t="s">
        <v>54</v>
      </c>
      <c r="U480" s="7" t="s">
        <v>55</v>
      </c>
      <c r="V480" s="7" t="s">
        <v>56</v>
      </c>
      <c r="W480" s="7" t="s">
        <v>57</v>
      </c>
      <c r="X480" s="7" t="s">
        <v>58</v>
      </c>
      <c r="Y480" s="8">
        <v>45380</v>
      </c>
      <c r="Z480" s="8" t="s">
        <v>0</v>
      </c>
      <c r="AA480" s="7" t="s">
        <v>59</v>
      </c>
      <c r="AB480" s="7" t="s">
        <v>2784</v>
      </c>
      <c r="AC480" s="7" t="s">
        <v>65</v>
      </c>
      <c r="AD480" s="7" t="s">
        <v>0</v>
      </c>
      <c r="AE480" s="7" t="s">
        <v>0</v>
      </c>
      <c r="AF480" s="7" t="s">
        <v>0</v>
      </c>
      <c r="AG480" s="7" t="s">
        <v>0</v>
      </c>
      <c r="AH480" s="9" t="s">
        <v>0</v>
      </c>
      <c r="AI480" s="9" t="s">
        <v>0</v>
      </c>
      <c r="AJ480" s="9" t="s">
        <v>0</v>
      </c>
      <c r="AK480" s="7" t="s">
        <v>61</v>
      </c>
      <c r="AL480" s="7" t="s">
        <v>61</v>
      </c>
      <c r="AM480" s="7" t="s">
        <v>0</v>
      </c>
      <c r="AN480" s="7" t="s">
        <v>0</v>
      </c>
      <c r="AO480" s="7" t="s">
        <v>0</v>
      </c>
      <c r="AP480" s="7" t="s">
        <v>0</v>
      </c>
      <c r="AQ480" s="7" t="s">
        <v>61</v>
      </c>
      <c r="AR480" s="7" t="s">
        <v>0</v>
      </c>
      <c r="AS480" s="10" t="str">
        <f>HYPERLINK("https://tessa.gazprom-neft.local/edo/card/839823dd-7855-4c69-b952-0c1c0429dcd2", "https://tessa.gazprom-neft.local/edo/card/839823dd-7855-4c69-b952-0c1c0429dcd2")</f>
        <v>https://tessa.gazprom-neft.local/edo/card/839823dd-7855-4c69-b952-0c1c0429dcd2</v>
      </c>
    </row>
    <row r="481" spans="1:45" x14ac:dyDescent="0.25">
      <c r="A481" s="6" t="s">
        <v>44</v>
      </c>
      <c r="B481" s="7" t="s">
        <v>127</v>
      </c>
      <c r="C481" s="7" t="s">
        <v>67</v>
      </c>
      <c r="D481" s="8">
        <v>45380</v>
      </c>
      <c r="E481" s="8" t="s">
        <v>0</v>
      </c>
      <c r="F481" s="16" t="s">
        <v>128</v>
      </c>
      <c r="G481" s="7" t="s">
        <v>129</v>
      </c>
      <c r="H481" s="7" t="s">
        <v>1661</v>
      </c>
      <c r="I481" s="7" t="s">
        <v>0</v>
      </c>
      <c r="J481" s="7" t="s">
        <v>538</v>
      </c>
      <c r="K481" s="7" t="s">
        <v>47</v>
      </c>
      <c r="L481" s="7" t="s">
        <v>48</v>
      </c>
      <c r="M481" s="7" t="s">
        <v>0</v>
      </c>
      <c r="N481" s="7" t="s">
        <v>2791</v>
      </c>
      <c r="O481" s="7" t="s">
        <v>0</v>
      </c>
      <c r="P481" s="7" t="s">
        <v>2792</v>
      </c>
      <c r="Q481" s="7" t="s">
        <v>2793</v>
      </c>
      <c r="R481" s="7" t="s">
        <v>124</v>
      </c>
      <c r="S481" s="7" t="s">
        <v>0</v>
      </c>
      <c r="T481" s="7" t="s">
        <v>54</v>
      </c>
      <c r="U481" s="7" t="s">
        <v>125</v>
      </c>
      <c r="V481" s="7" t="s">
        <v>126</v>
      </c>
      <c r="W481" s="7" t="s">
        <v>57</v>
      </c>
      <c r="X481" s="7" t="s">
        <v>58</v>
      </c>
      <c r="Y481" s="8">
        <v>45380</v>
      </c>
      <c r="Z481" s="8" t="s">
        <v>0</v>
      </c>
      <c r="AA481" s="7" t="s">
        <v>0</v>
      </c>
      <c r="AB481" s="7" t="s">
        <v>1698</v>
      </c>
      <c r="AC481" s="7" t="s">
        <v>65</v>
      </c>
      <c r="AD481" s="7" t="s">
        <v>514</v>
      </c>
      <c r="AE481" s="7" t="s">
        <v>0</v>
      </c>
      <c r="AF481" s="7" t="s">
        <v>0</v>
      </c>
      <c r="AG481" s="7" t="s">
        <v>0</v>
      </c>
      <c r="AH481" s="9" t="s">
        <v>0</v>
      </c>
      <c r="AI481" s="9" t="s">
        <v>0</v>
      </c>
      <c r="AJ481" s="9" t="s">
        <v>0</v>
      </c>
      <c r="AK481" s="7" t="s">
        <v>61</v>
      </c>
      <c r="AL481" s="7" t="s">
        <v>61</v>
      </c>
      <c r="AM481" s="7" t="s">
        <v>0</v>
      </c>
      <c r="AN481" s="7" t="s">
        <v>0</v>
      </c>
      <c r="AO481" s="7" t="s">
        <v>0</v>
      </c>
      <c r="AP481" s="7" t="s">
        <v>0</v>
      </c>
      <c r="AQ481" s="7" t="s">
        <v>61</v>
      </c>
      <c r="AR481" s="7" t="s">
        <v>0</v>
      </c>
      <c r="AS481" s="10" t="str">
        <f>HYPERLINK("https://tessa.gazprom-neft.local/edo/card/fd2a3bd5-f5e8-496e-befa-dadfd919e0de", "https://tessa.gazprom-neft.local/edo/card/fd2a3bd5-f5e8-496e-befa-dadfd919e0de")</f>
        <v>https://tessa.gazprom-neft.local/edo/card/fd2a3bd5-f5e8-496e-befa-dadfd919e0de</v>
      </c>
    </row>
    <row r="482" spans="1:45" x14ac:dyDescent="0.25">
      <c r="A482" s="6" t="s">
        <v>44</v>
      </c>
      <c r="B482" s="7" t="s">
        <v>114</v>
      </c>
      <c r="C482" s="7" t="s">
        <v>67</v>
      </c>
      <c r="D482" s="8">
        <v>45380</v>
      </c>
      <c r="E482" s="8" t="s">
        <v>0</v>
      </c>
      <c r="F482" s="16" t="s">
        <v>115</v>
      </c>
      <c r="G482" s="7" t="s">
        <v>116</v>
      </c>
      <c r="H482" s="7" t="s">
        <v>2817</v>
      </c>
      <c r="I482" s="7" t="s">
        <v>0</v>
      </c>
      <c r="J482" s="7" t="s">
        <v>156</v>
      </c>
      <c r="K482" s="7" t="s">
        <v>47</v>
      </c>
      <c r="L482" s="7" t="s">
        <v>48</v>
      </c>
      <c r="M482" s="7" t="s">
        <v>0</v>
      </c>
      <c r="N482" s="7" t="s">
        <v>2816</v>
      </c>
      <c r="O482" s="7" t="s">
        <v>0</v>
      </c>
      <c r="P482" s="7" t="s">
        <v>2818</v>
      </c>
      <c r="Q482" s="7" t="s">
        <v>2819</v>
      </c>
      <c r="R482" s="7" t="s">
        <v>459</v>
      </c>
      <c r="S482" s="7" t="s">
        <v>0</v>
      </c>
      <c r="T482" s="7" t="s">
        <v>54</v>
      </c>
      <c r="U482" s="7" t="s">
        <v>111</v>
      </c>
      <c r="V482" s="7" t="s">
        <v>112</v>
      </c>
      <c r="W482" s="7" t="s">
        <v>57</v>
      </c>
      <c r="X482" s="7" t="s">
        <v>103</v>
      </c>
      <c r="Y482" s="8">
        <v>45383</v>
      </c>
      <c r="Z482" s="8">
        <v>45747</v>
      </c>
      <c r="AA482" s="7" t="s">
        <v>113</v>
      </c>
      <c r="AB482" s="7" t="s">
        <v>117</v>
      </c>
      <c r="AC482" s="7" t="s">
        <v>79</v>
      </c>
      <c r="AD482" s="7" t="s">
        <v>144</v>
      </c>
      <c r="AE482" s="7" t="s">
        <v>118</v>
      </c>
      <c r="AF482" s="7" t="s">
        <v>0</v>
      </c>
      <c r="AG482" s="7" t="s">
        <v>0</v>
      </c>
      <c r="AH482" s="9" t="s">
        <v>11458</v>
      </c>
      <c r="AI482" s="9" t="s">
        <v>11458</v>
      </c>
      <c r="AJ482" s="9">
        <v>0</v>
      </c>
      <c r="AK482" s="7" t="s">
        <v>61</v>
      </c>
      <c r="AL482" s="7" t="s">
        <v>61</v>
      </c>
      <c r="AM482" s="7" t="s">
        <v>0</v>
      </c>
      <c r="AN482" s="7" t="s">
        <v>0</v>
      </c>
      <c r="AO482" s="7" t="s">
        <v>0</v>
      </c>
      <c r="AP482" s="7" t="s">
        <v>0</v>
      </c>
      <c r="AQ482" s="7" t="s">
        <v>61</v>
      </c>
      <c r="AR482" s="7" t="s">
        <v>0</v>
      </c>
      <c r="AS482" s="10" t="str">
        <f>HYPERLINK("https://tessa.gazprom-neft.local/edo/card/81cea487-5ec6-45ee-9cde-85ffe46a031e", "https://tessa.gazprom-neft.local/edo/card/81cea487-5ec6-45ee-9cde-85ffe46a031e")</f>
        <v>https://tessa.gazprom-neft.local/edo/card/81cea487-5ec6-45ee-9cde-85ffe46a031e</v>
      </c>
    </row>
    <row r="483" spans="1:45" x14ac:dyDescent="0.25">
      <c r="A483" s="6" t="s">
        <v>44</v>
      </c>
      <c r="B483" s="7" t="s">
        <v>363</v>
      </c>
      <c r="C483" s="7" t="s">
        <v>67</v>
      </c>
      <c r="D483" s="8">
        <v>45380</v>
      </c>
      <c r="E483" s="8" t="s">
        <v>0</v>
      </c>
      <c r="F483" s="16" t="s">
        <v>364</v>
      </c>
      <c r="G483" s="7" t="s">
        <v>365</v>
      </c>
      <c r="H483" s="7" t="s">
        <v>502</v>
      </c>
      <c r="I483" s="7" t="s">
        <v>0</v>
      </c>
      <c r="J483" s="7" t="s">
        <v>872</v>
      </c>
      <c r="K483" s="7" t="s">
        <v>47</v>
      </c>
      <c r="L483" s="7" t="s">
        <v>48</v>
      </c>
      <c r="M483" s="7" t="s">
        <v>0</v>
      </c>
      <c r="N483" s="7" t="s">
        <v>2875</v>
      </c>
      <c r="O483" s="7" t="s">
        <v>0</v>
      </c>
      <c r="P483" s="7" t="s">
        <v>2876</v>
      </c>
      <c r="Q483" s="7" t="s">
        <v>2877</v>
      </c>
      <c r="R483" s="7" t="s">
        <v>282</v>
      </c>
      <c r="S483" s="7" t="s">
        <v>0</v>
      </c>
      <c r="T483" s="7" t="s">
        <v>54</v>
      </c>
      <c r="U483" s="7" t="s">
        <v>55</v>
      </c>
      <c r="V483" s="7" t="s">
        <v>56</v>
      </c>
      <c r="W483" s="7" t="s">
        <v>74</v>
      </c>
      <c r="X483" s="7" t="s">
        <v>103</v>
      </c>
      <c r="Y483" s="8">
        <v>45380</v>
      </c>
      <c r="Z483" s="8">
        <v>46022</v>
      </c>
      <c r="AA483" s="7" t="s">
        <v>0</v>
      </c>
      <c r="AB483" s="7" t="s">
        <v>507</v>
      </c>
      <c r="AC483" s="7" t="s">
        <v>79</v>
      </c>
      <c r="AD483" s="7" t="s">
        <v>144</v>
      </c>
      <c r="AE483" s="7" t="s">
        <v>82</v>
      </c>
      <c r="AF483" s="7" t="s">
        <v>0</v>
      </c>
      <c r="AG483" s="7" t="s">
        <v>0</v>
      </c>
      <c r="AH483" s="9" t="s">
        <v>11471</v>
      </c>
      <c r="AI483" s="9" t="s">
        <v>11472</v>
      </c>
      <c r="AJ483" s="9" t="s">
        <v>11473</v>
      </c>
      <c r="AK483" s="7" t="s">
        <v>61</v>
      </c>
      <c r="AL483" s="7" t="s">
        <v>61</v>
      </c>
      <c r="AM483" s="7" t="s">
        <v>0</v>
      </c>
      <c r="AN483" s="7" t="s">
        <v>0</v>
      </c>
      <c r="AO483" s="7" t="s">
        <v>0</v>
      </c>
      <c r="AP483" s="7" t="s">
        <v>0</v>
      </c>
      <c r="AQ483" s="7" t="s">
        <v>61</v>
      </c>
      <c r="AR483" s="7" t="s">
        <v>0</v>
      </c>
      <c r="AS483" s="10" t="str">
        <f>HYPERLINK("https://tessa.gazprom-neft.local/edo/card/89cdcbcb-44f8-464b-92c4-37a137d2f8a8", "https://tessa.gazprom-neft.local/edo/card/89cdcbcb-44f8-464b-92c4-37a137d2f8a8")</f>
        <v>https://tessa.gazprom-neft.local/edo/card/89cdcbcb-44f8-464b-92c4-37a137d2f8a8</v>
      </c>
    </row>
    <row r="484" spans="1:45" x14ac:dyDescent="0.25">
      <c r="A484" s="6" t="s">
        <v>44</v>
      </c>
      <c r="B484" s="7" t="s">
        <v>234</v>
      </c>
      <c r="C484" s="7" t="s">
        <v>67</v>
      </c>
      <c r="D484" s="8">
        <v>45379</v>
      </c>
      <c r="E484" s="8" t="s">
        <v>0</v>
      </c>
      <c r="F484" s="16" t="s">
        <v>235</v>
      </c>
      <c r="G484" s="7" t="s">
        <v>236</v>
      </c>
      <c r="H484" s="7" t="s">
        <v>2119</v>
      </c>
      <c r="I484" s="7" t="s">
        <v>0</v>
      </c>
      <c r="J484" s="7" t="s">
        <v>271</v>
      </c>
      <c r="K484" s="7" t="s">
        <v>85</v>
      </c>
      <c r="L484" s="7" t="s">
        <v>48</v>
      </c>
      <c r="M484" s="7" t="s">
        <v>2373</v>
      </c>
      <c r="N484" s="7" t="s">
        <v>2607</v>
      </c>
      <c r="O484" s="7" t="s">
        <v>0</v>
      </c>
      <c r="P484" s="7" t="s">
        <v>2608</v>
      </c>
      <c r="Q484" s="7" t="s">
        <v>2465</v>
      </c>
      <c r="R484" s="7" t="s">
        <v>282</v>
      </c>
      <c r="S484" s="7" t="s">
        <v>0</v>
      </c>
      <c r="T484" s="7" t="s">
        <v>54</v>
      </c>
      <c r="U484" s="7" t="s">
        <v>55</v>
      </c>
      <c r="V484" s="7" t="s">
        <v>56</v>
      </c>
      <c r="W484" s="7" t="s">
        <v>74</v>
      </c>
      <c r="X484" s="7" t="s">
        <v>103</v>
      </c>
      <c r="Y484" s="8">
        <v>45379</v>
      </c>
      <c r="Z484" s="8">
        <v>46022</v>
      </c>
      <c r="AA484" s="7" t="s">
        <v>0</v>
      </c>
      <c r="AB484" s="7" t="s">
        <v>130</v>
      </c>
      <c r="AC484" s="7" t="s">
        <v>65</v>
      </c>
      <c r="AD484" s="7" t="s">
        <v>0</v>
      </c>
      <c r="AE484" s="7" t="s">
        <v>0</v>
      </c>
      <c r="AF484" s="7" t="s">
        <v>0</v>
      </c>
      <c r="AG484" s="7" t="s">
        <v>0</v>
      </c>
      <c r="AH484" s="9" t="s">
        <v>0</v>
      </c>
      <c r="AI484" s="9" t="s">
        <v>0</v>
      </c>
      <c r="AJ484" s="9" t="s">
        <v>0</v>
      </c>
      <c r="AK484" s="7" t="s">
        <v>61</v>
      </c>
      <c r="AL484" s="7" t="s">
        <v>61</v>
      </c>
      <c r="AM484" s="7" t="s">
        <v>0</v>
      </c>
      <c r="AN484" s="7" t="s">
        <v>0</v>
      </c>
      <c r="AO484" s="7" t="s">
        <v>0</v>
      </c>
      <c r="AP484" s="7" t="s">
        <v>0</v>
      </c>
      <c r="AQ484" s="7" t="s">
        <v>61</v>
      </c>
      <c r="AR484" s="7" t="s">
        <v>0</v>
      </c>
      <c r="AS484" s="10" t="str">
        <f>HYPERLINK("https://tessa.gazprom-neft.local/edo/card/fc55a8f8-108a-449d-b7aa-9a4af619e591", "https://tessa.gazprom-neft.local/edo/card/fc55a8f8-108a-449d-b7aa-9a4af619e591")</f>
        <v>https://tessa.gazprom-neft.local/edo/card/fc55a8f8-108a-449d-b7aa-9a4af619e591</v>
      </c>
    </row>
    <row r="485" spans="1:45" hidden="1" x14ac:dyDescent="0.25">
      <c r="A485" s="6" t="s">
        <v>44</v>
      </c>
      <c r="B485" s="7" t="s">
        <v>971</v>
      </c>
      <c r="C485" s="7" t="s">
        <v>67</v>
      </c>
      <c r="D485" s="8">
        <v>45379</v>
      </c>
      <c r="E485" s="8">
        <v>45485</v>
      </c>
      <c r="F485" s="16" t="s">
        <v>972</v>
      </c>
      <c r="G485" s="7" t="s">
        <v>973</v>
      </c>
      <c r="H485" s="7" t="s">
        <v>0</v>
      </c>
      <c r="I485" s="7" t="s">
        <v>2685</v>
      </c>
      <c r="J485" s="7" t="s">
        <v>2685</v>
      </c>
      <c r="K485" s="7" t="s">
        <v>47</v>
      </c>
      <c r="L485" s="7" t="s">
        <v>96</v>
      </c>
      <c r="M485" s="7" t="s">
        <v>0</v>
      </c>
      <c r="N485" s="7" t="s">
        <v>2684</v>
      </c>
      <c r="O485" s="7" t="s">
        <v>0</v>
      </c>
      <c r="P485" s="7" t="s">
        <v>434</v>
      </c>
      <c r="Q485" s="7" t="s">
        <v>2686</v>
      </c>
      <c r="R485" s="7" t="s">
        <v>549</v>
      </c>
      <c r="S485" s="7" t="s">
        <v>549</v>
      </c>
      <c r="T485" s="7" t="s">
        <v>54</v>
      </c>
      <c r="U485" s="7" t="s">
        <v>303</v>
      </c>
      <c r="V485" s="7" t="s">
        <v>91</v>
      </c>
      <c r="W485" s="7" t="s">
        <v>74</v>
      </c>
      <c r="X485" s="7" t="s">
        <v>103</v>
      </c>
      <c r="Y485" s="8">
        <v>45379</v>
      </c>
      <c r="Z485" s="8">
        <v>45716</v>
      </c>
      <c r="AA485" s="7" t="s">
        <v>92</v>
      </c>
      <c r="AB485" s="7" t="s">
        <v>434</v>
      </c>
      <c r="AC485" s="7" t="s">
        <v>65</v>
      </c>
      <c r="AD485" s="7" t="s">
        <v>0</v>
      </c>
      <c r="AE485" s="7" t="s">
        <v>0</v>
      </c>
      <c r="AF485" s="7" t="s">
        <v>0</v>
      </c>
      <c r="AG485" s="7" t="s">
        <v>0</v>
      </c>
      <c r="AH485" s="9" t="s">
        <v>0</v>
      </c>
      <c r="AI485" s="9" t="s">
        <v>0</v>
      </c>
      <c r="AJ485" s="9" t="s">
        <v>0</v>
      </c>
      <c r="AK485" s="7" t="s">
        <v>61</v>
      </c>
      <c r="AL485" s="7" t="s">
        <v>61</v>
      </c>
      <c r="AM485" s="7" t="s">
        <v>0</v>
      </c>
      <c r="AN485" s="7" t="s">
        <v>0</v>
      </c>
      <c r="AO485" s="7" t="s">
        <v>0</v>
      </c>
      <c r="AP485" s="7" t="s">
        <v>0</v>
      </c>
      <c r="AQ485" s="7" t="s">
        <v>61</v>
      </c>
      <c r="AR485" s="7" t="s">
        <v>0</v>
      </c>
      <c r="AS485" s="10" t="str">
        <f>HYPERLINK("https://tessa.gazprom-neft.local/edo/card/3346890a-3e89-42b7-b632-e51799639dc6", "https://tessa.gazprom-neft.local/edo/card/3346890a-3e89-42b7-b632-e51799639dc6")</f>
        <v>https://tessa.gazprom-neft.local/edo/card/3346890a-3e89-42b7-b632-e51799639dc6</v>
      </c>
    </row>
    <row r="486" spans="1:45" x14ac:dyDescent="0.25">
      <c r="A486" s="6" t="s">
        <v>44</v>
      </c>
      <c r="B486" s="7" t="s">
        <v>639</v>
      </c>
      <c r="C486" s="7" t="s">
        <v>2030</v>
      </c>
      <c r="D486" s="8">
        <v>45379</v>
      </c>
      <c r="E486" s="8" t="s">
        <v>0</v>
      </c>
      <c r="F486" s="16" t="s">
        <v>640</v>
      </c>
      <c r="G486" s="7" t="s">
        <v>641</v>
      </c>
      <c r="H486" s="7" t="s">
        <v>1813</v>
      </c>
      <c r="I486" s="7" t="s">
        <v>0</v>
      </c>
      <c r="J486" s="7" t="s">
        <v>156</v>
      </c>
      <c r="K486" s="7" t="s">
        <v>85</v>
      </c>
      <c r="L486" s="7" t="s">
        <v>48</v>
      </c>
      <c r="M486" s="7" t="s">
        <v>2373</v>
      </c>
      <c r="N486" s="7" t="s">
        <v>2709</v>
      </c>
      <c r="O486" s="7" t="s">
        <v>0</v>
      </c>
      <c r="P486" s="7" t="s">
        <v>2710</v>
      </c>
      <c r="Q486" s="7" t="s">
        <v>2711</v>
      </c>
      <c r="R486" s="7" t="s">
        <v>422</v>
      </c>
      <c r="S486" s="7" t="s">
        <v>0</v>
      </c>
      <c r="T486" s="7" t="s">
        <v>54</v>
      </c>
      <c r="U486" s="7" t="s">
        <v>55</v>
      </c>
      <c r="V486" s="7" t="s">
        <v>126</v>
      </c>
      <c r="W486" s="7" t="s">
        <v>74</v>
      </c>
      <c r="X486" s="7" t="s">
        <v>103</v>
      </c>
      <c r="Y486" s="8">
        <v>45379</v>
      </c>
      <c r="Z486" s="8">
        <v>46022</v>
      </c>
      <c r="AA486" s="7" t="s">
        <v>200</v>
      </c>
      <c r="AB486" s="7" t="s">
        <v>130</v>
      </c>
      <c r="AC486" s="7" t="s">
        <v>65</v>
      </c>
      <c r="AD486" s="7" t="s">
        <v>0</v>
      </c>
      <c r="AE486" s="7" t="s">
        <v>0</v>
      </c>
      <c r="AF486" s="7" t="s">
        <v>0</v>
      </c>
      <c r="AG486" s="7" t="s">
        <v>0</v>
      </c>
      <c r="AH486" s="9" t="s">
        <v>0</v>
      </c>
      <c r="AI486" s="9" t="s">
        <v>0</v>
      </c>
      <c r="AJ486" s="9" t="s">
        <v>0</v>
      </c>
      <c r="AK486" s="7" t="s">
        <v>61</v>
      </c>
      <c r="AL486" s="7" t="s">
        <v>61</v>
      </c>
      <c r="AM486" s="7" t="s">
        <v>0</v>
      </c>
      <c r="AN486" s="7" t="s">
        <v>0</v>
      </c>
      <c r="AO486" s="7" t="s">
        <v>0</v>
      </c>
      <c r="AP486" s="7" t="s">
        <v>0</v>
      </c>
      <c r="AQ486" s="7" t="s">
        <v>61</v>
      </c>
      <c r="AR486" s="7" t="s">
        <v>0</v>
      </c>
      <c r="AS486" s="10" t="str">
        <f>HYPERLINK("https://tessa.gazprom-neft.local/edo/card/5a8d3d66-4256-4501-9708-f20ff78b9445", "https://tessa.gazprom-neft.local/edo/card/5a8d3d66-4256-4501-9708-f20ff78b9445")</f>
        <v>https://tessa.gazprom-neft.local/edo/card/5a8d3d66-4256-4501-9708-f20ff78b9445</v>
      </c>
    </row>
    <row r="487" spans="1:45" x14ac:dyDescent="0.25">
      <c r="A487" s="6" t="s">
        <v>44</v>
      </c>
      <c r="B487" s="7" t="s">
        <v>639</v>
      </c>
      <c r="C487" s="7" t="s">
        <v>67</v>
      </c>
      <c r="D487" s="8">
        <v>45379</v>
      </c>
      <c r="E487" s="8">
        <v>45475</v>
      </c>
      <c r="F487" s="16" t="s">
        <v>640</v>
      </c>
      <c r="G487" s="7" t="s">
        <v>641</v>
      </c>
      <c r="H487" s="7" t="s">
        <v>637</v>
      </c>
      <c r="I487" s="7" t="s">
        <v>0</v>
      </c>
      <c r="J487" s="7" t="s">
        <v>51</v>
      </c>
      <c r="K487" s="7" t="s">
        <v>85</v>
      </c>
      <c r="L487" s="7" t="s">
        <v>48</v>
      </c>
      <c r="M487" s="7" t="s">
        <v>2373</v>
      </c>
      <c r="N487" s="7" t="s">
        <v>2726</v>
      </c>
      <c r="O487" s="7" t="s">
        <v>0</v>
      </c>
      <c r="P487" s="7" t="s">
        <v>2727</v>
      </c>
      <c r="Q487" s="7" t="s">
        <v>2711</v>
      </c>
      <c r="R487" s="7" t="s">
        <v>422</v>
      </c>
      <c r="S487" s="7" t="s">
        <v>0</v>
      </c>
      <c r="T487" s="7" t="s">
        <v>54</v>
      </c>
      <c r="U487" s="7" t="s">
        <v>55</v>
      </c>
      <c r="V487" s="7" t="s">
        <v>56</v>
      </c>
      <c r="W487" s="7" t="s">
        <v>74</v>
      </c>
      <c r="X487" s="7" t="s">
        <v>103</v>
      </c>
      <c r="Y487" s="8">
        <v>45379</v>
      </c>
      <c r="Z487" s="8">
        <v>47118</v>
      </c>
      <c r="AA487" s="7" t="s">
        <v>0</v>
      </c>
      <c r="AB487" s="7" t="s">
        <v>130</v>
      </c>
      <c r="AC487" s="7" t="s">
        <v>65</v>
      </c>
      <c r="AD487" s="7" t="s">
        <v>144</v>
      </c>
      <c r="AE487" s="7" t="s">
        <v>0</v>
      </c>
      <c r="AF487" s="7" t="s">
        <v>0</v>
      </c>
      <c r="AG487" s="7" t="s">
        <v>0</v>
      </c>
      <c r="AH487" s="9" t="s">
        <v>0</v>
      </c>
      <c r="AI487" s="9" t="s">
        <v>0</v>
      </c>
      <c r="AJ487" s="9" t="s">
        <v>0</v>
      </c>
      <c r="AK487" s="7" t="s">
        <v>61</v>
      </c>
      <c r="AL487" s="7" t="s">
        <v>61</v>
      </c>
      <c r="AM487" s="7" t="s">
        <v>0</v>
      </c>
      <c r="AN487" s="7" t="s">
        <v>0</v>
      </c>
      <c r="AO487" s="7" t="s">
        <v>0</v>
      </c>
      <c r="AP487" s="7" t="s">
        <v>0</v>
      </c>
      <c r="AQ487" s="7" t="s">
        <v>61</v>
      </c>
      <c r="AR487" s="7" t="s">
        <v>0</v>
      </c>
      <c r="AS487" s="10" t="str">
        <f>HYPERLINK("https://tessa.gazprom-neft.local/edo/card/741ab5eb-ee28-4fb7-953d-9256ae4933e9", "https://tessa.gazprom-neft.local/edo/card/741ab5eb-ee28-4fb7-953d-9256ae4933e9")</f>
        <v>https://tessa.gazprom-neft.local/edo/card/741ab5eb-ee28-4fb7-953d-9256ae4933e9</v>
      </c>
    </row>
    <row r="488" spans="1:45" hidden="1" x14ac:dyDescent="0.25">
      <c r="A488" s="6" t="s">
        <v>44</v>
      </c>
      <c r="B488" s="7" t="s">
        <v>1784</v>
      </c>
      <c r="C488" s="7" t="s">
        <v>67</v>
      </c>
      <c r="D488" s="8">
        <v>45377</v>
      </c>
      <c r="E488" s="8" t="s">
        <v>0</v>
      </c>
      <c r="F488" s="16" t="s">
        <v>1785</v>
      </c>
      <c r="G488" s="7" t="s">
        <v>1786</v>
      </c>
      <c r="H488" s="7" t="s">
        <v>0</v>
      </c>
      <c r="I488" s="7" t="s">
        <v>2314</v>
      </c>
      <c r="J488" s="7" t="s">
        <v>2314</v>
      </c>
      <c r="K488" s="7" t="s">
        <v>85</v>
      </c>
      <c r="L488" s="7" t="s">
        <v>86</v>
      </c>
      <c r="M488" s="7" t="s">
        <v>289</v>
      </c>
      <c r="N488" s="7" t="s">
        <v>2313</v>
      </c>
      <c r="O488" s="7" t="s">
        <v>0</v>
      </c>
      <c r="P488" s="7" t="s">
        <v>289</v>
      </c>
      <c r="Q488" s="7" t="s">
        <v>2315</v>
      </c>
      <c r="R488" s="7" t="s">
        <v>1139</v>
      </c>
      <c r="S488" s="7" t="s">
        <v>1066</v>
      </c>
      <c r="T488" s="7" t="s">
        <v>54</v>
      </c>
      <c r="U488" s="7" t="s">
        <v>283</v>
      </c>
      <c r="V488" s="7" t="s">
        <v>126</v>
      </c>
      <c r="W488" s="7" t="s">
        <v>74</v>
      </c>
      <c r="X488" s="7" t="s">
        <v>103</v>
      </c>
      <c r="Y488" s="8">
        <v>45377</v>
      </c>
      <c r="Z488" s="8">
        <v>47483</v>
      </c>
      <c r="AA488" s="7" t="s">
        <v>200</v>
      </c>
      <c r="AB488" s="7" t="s">
        <v>300</v>
      </c>
      <c r="AC488" s="7" t="s">
        <v>65</v>
      </c>
      <c r="AD488" s="7" t="s">
        <v>0</v>
      </c>
      <c r="AE488" s="7" t="s">
        <v>0</v>
      </c>
      <c r="AF488" s="7" t="s">
        <v>0</v>
      </c>
      <c r="AG488" s="7" t="s">
        <v>0</v>
      </c>
      <c r="AH488" s="9" t="s">
        <v>0</v>
      </c>
      <c r="AI488" s="9" t="s">
        <v>0</v>
      </c>
      <c r="AJ488" s="9" t="s">
        <v>0</v>
      </c>
      <c r="AK488" s="7" t="s">
        <v>61</v>
      </c>
      <c r="AL488" s="7" t="s">
        <v>61</v>
      </c>
      <c r="AM488" s="7" t="s">
        <v>0</v>
      </c>
      <c r="AN488" s="7" t="s">
        <v>0</v>
      </c>
      <c r="AO488" s="7" t="s">
        <v>0</v>
      </c>
      <c r="AP488" s="7" t="s">
        <v>0</v>
      </c>
      <c r="AQ488" s="7" t="s">
        <v>61</v>
      </c>
      <c r="AR488" s="7" t="s">
        <v>0</v>
      </c>
      <c r="AS488" s="10" t="str">
        <f>HYPERLINK("https://tessa.gazprom-neft.local/edo/card/c1fbc412-0ee0-4d5c-ab8c-f5b7c3a16416", "https://tessa.gazprom-neft.local/edo/card/c1fbc412-0ee0-4d5c-ab8c-f5b7c3a16416")</f>
        <v>https://tessa.gazprom-neft.local/edo/card/c1fbc412-0ee0-4d5c-ab8c-f5b7c3a16416</v>
      </c>
    </row>
    <row r="489" spans="1:45" hidden="1" x14ac:dyDescent="0.25">
      <c r="A489" s="6" t="s">
        <v>44</v>
      </c>
      <c r="B489" s="7" t="s">
        <v>1784</v>
      </c>
      <c r="C489" s="7" t="s">
        <v>67</v>
      </c>
      <c r="D489" s="8">
        <v>45377</v>
      </c>
      <c r="E489" s="8" t="s">
        <v>0</v>
      </c>
      <c r="F489" s="16" t="s">
        <v>1785</v>
      </c>
      <c r="G489" s="7" t="s">
        <v>1786</v>
      </c>
      <c r="H489" s="7" t="s">
        <v>0</v>
      </c>
      <c r="I489" s="7" t="s">
        <v>2417</v>
      </c>
      <c r="J489" s="7" t="s">
        <v>2417</v>
      </c>
      <c r="K489" s="7" t="s">
        <v>85</v>
      </c>
      <c r="L489" s="7" t="s">
        <v>86</v>
      </c>
      <c r="M489" s="7" t="s">
        <v>216</v>
      </c>
      <c r="N489" s="7" t="s">
        <v>2416</v>
      </c>
      <c r="O489" s="7" t="s">
        <v>0</v>
      </c>
      <c r="P489" s="7" t="s">
        <v>216</v>
      </c>
      <c r="Q489" s="7" t="s">
        <v>2418</v>
      </c>
      <c r="R489" s="7" t="s">
        <v>1139</v>
      </c>
      <c r="S489" s="7" t="s">
        <v>1066</v>
      </c>
      <c r="T489" s="7" t="s">
        <v>54</v>
      </c>
      <c r="U489" s="7" t="s">
        <v>283</v>
      </c>
      <c r="V489" s="7" t="s">
        <v>308</v>
      </c>
      <c r="W489" s="7" t="s">
        <v>74</v>
      </c>
      <c r="X489" s="7" t="s">
        <v>103</v>
      </c>
      <c r="Y489" s="8">
        <v>45377</v>
      </c>
      <c r="Z489" s="8">
        <v>47483</v>
      </c>
      <c r="AA489" s="7" t="s">
        <v>309</v>
      </c>
      <c r="AB489" s="7" t="s">
        <v>228</v>
      </c>
      <c r="AC489" s="7" t="s">
        <v>65</v>
      </c>
      <c r="AD489" s="7" t="s">
        <v>0</v>
      </c>
      <c r="AE489" s="7" t="s">
        <v>0</v>
      </c>
      <c r="AF489" s="7" t="s">
        <v>0</v>
      </c>
      <c r="AG489" s="7" t="s">
        <v>0</v>
      </c>
      <c r="AH489" s="9" t="s">
        <v>0</v>
      </c>
      <c r="AI489" s="9" t="s">
        <v>0</v>
      </c>
      <c r="AJ489" s="9" t="s">
        <v>0</v>
      </c>
      <c r="AK489" s="7" t="s">
        <v>61</v>
      </c>
      <c r="AL489" s="7" t="s">
        <v>61</v>
      </c>
      <c r="AM489" s="7" t="s">
        <v>0</v>
      </c>
      <c r="AN489" s="7" t="s">
        <v>0</v>
      </c>
      <c r="AO489" s="7" t="s">
        <v>0</v>
      </c>
      <c r="AP489" s="7" t="s">
        <v>0</v>
      </c>
      <c r="AQ489" s="7" t="s">
        <v>61</v>
      </c>
      <c r="AR489" s="7" t="s">
        <v>0</v>
      </c>
      <c r="AS489" s="10" t="str">
        <f>HYPERLINK("https://tessa.gazprom-neft.local/edo/card/f5e99d23-fb3d-4752-97f1-273b321a0b32", "https://tessa.gazprom-neft.local/edo/card/f5e99d23-fb3d-4752-97f1-273b321a0b32")</f>
        <v>https://tessa.gazprom-neft.local/edo/card/f5e99d23-fb3d-4752-97f1-273b321a0b32</v>
      </c>
    </row>
    <row r="490" spans="1:45" x14ac:dyDescent="0.25">
      <c r="A490" s="6" t="s">
        <v>44</v>
      </c>
      <c r="B490" s="7" t="s">
        <v>1101</v>
      </c>
      <c r="C490" s="7" t="s">
        <v>67</v>
      </c>
      <c r="D490" s="8">
        <v>45377</v>
      </c>
      <c r="E490" s="8" t="s">
        <v>0</v>
      </c>
      <c r="F490" s="16" t="s">
        <v>1102</v>
      </c>
      <c r="G490" s="7" t="s">
        <v>1103</v>
      </c>
      <c r="H490" s="7" t="s">
        <v>2522</v>
      </c>
      <c r="I490" s="7" t="s">
        <v>0</v>
      </c>
      <c r="J490" s="7" t="s">
        <v>936</v>
      </c>
      <c r="K490" s="7" t="s">
        <v>85</v>
      </c>
      <c r="L490" s="7" t="s">
        <v>48</v>
      </c>
      <c r="M490" s="7" t="s">
        <v>2373</v>
      </c>
      <c r="N490" s="7" t="s">
        <v>2521</v>
      </c>
      <c r="O490" s="7" t="s">
        <v>0</v>
      </c>
      <c r="P490" s="7" t="s">
        <v>2523</v>
      </c>
      <c r="Q490" s="7" t="s">
        <v>2524</v>
      </c>
      <c r="R490" s="7" t="s">
        <v>339</v>
      </c>
      <c r="S490" s="7" t="s">
        <v>339</v>
      </c>
      <c r="T490" s="7" t="s">
        <v>54</v>
      </c>
      <c r="U490" s="7" t="s">
        <v>303</v>
      </c>
      <c r="V490" s="7" t="s">
        <v>91</v>
      </c>
      <c r="W490" s="7" t="s">
        <v>74</v>
      </c>
      <c r="X490" s="7" t="s">
        <v>103</v>
      </c>
      <c r="Y490" s="8">
        <v>45377</v>
      </c>
      <c r="Z490" s="8">
        <v>45427</v>
      </c>
      <c r="AA490" s="7" t="s">
        <v>92</v>
      </c>
      <c r="AB490" s="7" t="s">
        <v>64</v>
      </c>
      <c r="AC490" s="7" t="s">
        <v>79</v>
      </c>
      <c r="AD490" s="7" t="s">
        <v>144</v>
      </c>
      <c r="AE490" s="7" t="s">
        <v>118</v>
      </c>
      <c r="AF490" s="7" t="s">
        <v>0</v>
      </c>
      <c r="AG490" s="7" t="s">
        <v>0</v>
      </c>
      <c r="AH490" s="9" t="s">
        <v>10922</v>
      </c>
      <c r="AI490" s="9" t="s">
        <v>10922</v>
      </c>
      <c r="AJ490" s="9">
        <v>0</v>
      </c>
      <c r="AK490" s="7" t="s">
        <v>61</v>
      </c>
      <c r="AL490" s="7" t="s">
        <v>61</v>
      </c>
      <c r="AM490" s="7" t="s">
        <v>0</v>
      </c>
      <c r="AN490" s="7" t="s">
        <v>0</v>
      </c>
      <c r="AO490" s="7" t="s">
        <v>0</v>
      </c>
      <c r="AP490" s="7" t="s">
        <v>0</v>
      </c>
      <c r="AQ490" s="7" t="s">
        <v>61</v>
      </c>
      <c r="AR490" s="7" t="s">
        <v>0</v>
      </c>
      <c r="AS490" s="10" t="str">
        <f>HYPERLINK("https://tessa.gazprom-neft.local/edo/card/418584ba-1ceb-466d-90e9-4fdaf4d271bc", "https://tessa.gazprom-neft.local/edo/card/418584ba-1ceb-466d-90e9-4fdaf4d271bc")</f>
        <v>https://tessa.gazprom-neft.local/edo/card/418584ba-1ceb-466d-90e9-4fdaf4d271bc</v>
      </c>
    </row>
    <row r="491" spans="1:45" hidden="1" x14ac:dyDescent="0.25">
      <c r="A491" s="6" t="s">
        <v>44</v>
      </c>
      <c r="B491" s="7" t="s">
        <v>971</v>
      </c>
      <c r="C491" s="7" t="s">
        <v>67</v>
      </c>
      <c r="D491" s="8">
        <v>45377</v>
      </c>
      <c r="E491" s="8" t="s">
        <v>0</v>
      </c>
      <c r="F491" s="16" t="s">
        <v>972</v>
      </c>
      <c r="G491" s="7" t="s">
        <v>973</v>
      </c>
      <c r="H491" s="7" t="s">
        <v>0</v>
      </c>
      <c r="I491" s="7" t="s">
        <v>2574</v>
      </c>
      <c r="J491" s="7" t="s">
        <v>2574</v>
      </c>
      <c r="K491" s="7" t="s">
        <v>85</v>
      </c>
      <c r="L491" s="7" t="s">
        <v>86</v>
      </c>
      <c r="M491" s="7" t="s">
        <v>83</v>
      </c>
      <c r="N491" s="7" t="s">
        <v>2573</v>
      </c>
      <c r="O491" s="7" t="s">
        <v>0</v>
      </c>
      <c r="P491" s="7" t="s">
        <v>83</v>
      </c>
      <c r="Q491" s="7" t="s">
        <v>2575</v>
      </c>
      <c r="R491" s="7" t="s">
        <v>549</v>
      </c>
      <c r="S491" s="7" t="s">
        <v>549</v>
      </c>
      <c r="T491" s="7" t="s">
        <v>54</v>
      </c>
      <c r="U491" s="7" t="s">
        <v>303</v>
      </c>
      <c r="V491" s="7" t="s">
        <v>91</v>
      </c>
      <c r="W491" s="7" t="s">
        <v>74</v>
      </c>
      <c r="X491" s="7" t="s">
        <v>103</v>
      </c>
      <c r="Y491" s="8">
        <v>45377</v>
      </c>
      <c r="Z491" s="8">
        <v>45716</v>
      </c>
      <c r="AA491" s="7" t="s">
        <v>92</v>
      </c>
      <c r="AB491" s="7" t="s">
        <v>94</v>
      </c>
      <c r="AC491" s="7" t="s">
        <v>65</v>
      </c>
      <c r="AD491" s="7" t="s">
        <v>0</v>
      </c>
      <c r="AE491" s="7" t="s">
        <v>0</v>
      </c>
      <c r="AF491" s="7" t="s">
        <v>0</v>
      </c>
      <c r="AG491" s="7" t="s">
        <v>0</v>
      </c>
      <c r="AH491" s="9" t="s">
        <v>0</v>
      </c>
      <c r="AI491" s="9" t="s">
        <v>0</v>
      </c>
      <c r="AJ491" s="9" t="s">
        <v>0</v>
      </c>
      <c r="AK491" s="7" t="s">
        <v>61</v>
      </c>
      <c r="AL491" s="7" t="s">
        <v>61</v>
      </c>
      <c r="AM491" s="7" t="s">
        <v>0</v>
      </c>
      <c r="AN491" s="7" t="s">
        <v>0</v>
      </c>
      <c r="AO491" s="7" t="s">
        <v>0</v>
      </c>
      <c r="AP491" s="7" t="s">
        <v>0</v>
      </c>
      <c r="AQ491" s="7" t="s">
        <v>61</v>
      </c>
      <c r="AR491" s="7" t="s">
        <v>0</v>
      </c>
      <c r="AS491" s="10" t="str">
        <f>HYPERLINK("https://tessa.gazprom-neft.local/edo/card/81013298-859e-49b8-9317-dde0a8635afc", "https://tessa.gazprom-neft.local/edo/card/81013298-859e-49b8-9317-dde0a8635afc")</f>
        <v>https://tessa.gazprom-neft.local/edo/card/81013298-859e-49b8-9317-dde0a8635afc</v>
      </c>
    </row>
    <row r="492" spans="1:45" hidden="1" x14ac:dyDescent="0.25">
      <c r="A492" s="6" t="s">
        <v>44</v>
      </c>
      <c r="B492" s="7" t="s">
        <v>1950</v>
      </c>
      <c r="C492" s="7" t="s">
        <v>67</v>
      </c>
      <c r="D492" s="8">
        <v>45376</v>
      </c>
      <c r="E492" s="8" t="s">
        <v>0</v>
      </c>
      <c r="F492" s="16" t="s">
        <v>1951</v>
      </c>
      <c r="G492" s="7" t="s">
        <v>1952</v>
      </c>
      <c r="H492" s="7" t="s">
        <v>1947</v>
      </c>
      <c r="I492" s="7" t="s">
        <v>0</v>
      </c>
      <c r="J492" s="7" t="s">
        <v>1098</v>
      </c>
      <c r="K492" s="7" t="s">
        <v>47</v>
      </c>
      <c r="L492" s="7" t="s">
        <v>239</v>
      </c>
      <c r="M492" s="7" t="s">
        <v>0</v>
      </c>
      <c r="N492" s="7" t="s">
        <v>2354</v>
      </c>
      <c r="O492" s="7" t="s">
        <v>0</v>
      </c>
      <c r="P492" s="7" t="s">
        <v>2355</v>
      </c>
      <c r="Q492" s="7" t="s">
        <v>2356</v>
      </c>
      <c r="R492" s="7" t="s">
        <v>1711</v>
      </c>
      <c r="S492" s="7" t="s">
        <v>1711</v>
      </c>
      <c r="T492" s="7" t="s">
        <v>54</v>
      </c>
      <c r="U492" s="7" t="s">
        <v>605</v>
      </c>
      <c r="V492" s="7" t="s">
        <v>126</v>
      </c>
      <c r="W492" s="7" t="s">
        <v>74</v>
      </c>
      <c r="X492" s="7" t="s">
        <v>103</v>
      </c>
      <c r="Y492" s="8">
        <v>45376</v>
      </c>
      <c r="Z492" s="8">
        <v>45533</v>
      </c>
      <c r="AA492" s="7" t="s">
        <v>200</v>
      </c>
      <c r="AB492" s="7" t="s">
        <v>1893</v>
      </c>
      <c r="AC492" s="7" t="s">
        <v>79</v>
      </c>
      <c r="AD492" s="7" t="s">
        <v>144</v>
      </c>
      <c r="AE492" s="7" t="s">
        <v>118</v>
      </c>
      <c r="AF492" s="7" t="s">
        <v>0</v>
      </c>
      <c r="AG492" s="7" t="s">
        <v>0</v>
      </c>
      <c r="AH492" s="9" t="s">
        <v>11327</v>
      </c>
      <c r="AI492" s="9" t="s">
        <v>11327</v>
      </c>
      <c r="AJ492" s="9">
        <v>0</v>
      </c>
      <c r="AK492" s="7" t="s">
        <v>61</v>
      </c>
      <c r="AL492" s="7" t="s">
        <v>61</v>
      </c>
      <c r="AM492" s="7" t="s">
        <v>0</v>
      </c>
      <c r="AN492" s="7" t="s">
        <v>0</v>
      </c>
      <c r="AO492" s="7" t="s">
        <v>0</v>
      </c>
      <c r="AP492" s="7" t="s">
        <v>0</v>
      </c>
      <c r="AQ492" s="7" t="s">
        <v>61</v>
      </c>
      <c r="AR492" s="7" t="s">
        <v>0</v>
      </c>
      <c r="AS492" s="10" t="str">
        <f>HYPERLINK("https://tessa.gazprom-neft.local/edo/card/5d396b4d-0c56-4cb1-b97b-0a4a4706dec0", "https://tessa.gazprom-neft.local/edo/card/5d396b4d-0c56-4cb1-b97b-0a4a4706dec0")</f>
        <v>https://tessa.gazprom-neft.local/edo/card/5d396b4d-0c56-4cb1-b97b-0a4a4706dec0</v>
      </c>
    </row>
    <row r="493" spans="1:45" x14ac:dyDescent="0.25">
      <c r="A493" s="6" t="s">
        <v>44</v>
      </c>
      <c r="B493" s="7" t="s">
        <v>403</v>
      </c>
      <c r="C493" s="7" t="s">
        <v>67</v>
      </c>
      <c r="D493" s="8">
        <v>45376</v>
      </c>
      <c r="E493" s="8" t="s">
        <v>0</v>
      </c>
      <c r="F493" s="16" t="s">
        <v>404</v>
      </c>
      <c r="G493" s="7" t="s">
        <v>405</v>
      </c>
      <c r="H493" s="7" t="s">
        <v>1805</v>
      </c>
      <c r="I493" s="7" t="s">
        <v>0</v>
      </c>
      <c r="J493" s="7" t="s">
        <v>355</v>
      </c>
      <c r="K493" s="7" t="s">
        <v>85</v>
      </c>
      <c r="L493" s="7" t="s">
        <v>48</v>
      </c>
      <c r="M493" s="7" t="s">
        <v>2373</v>
      </c>
      <c r="N493" s="7" t="s">
        <v>2395</v>
      </c>
      <c r="O493" s="7" t="s">
        <v>0</v>
      </c>
      <c r="P493" s="7" t="s">
        <v>2396</v>
      </c>
      <c r="Q493" s="7" t="s">
        <v>2397</v>
      </c>
      <c r="R493" s="7" t="s">
        <v>282</v>
      </c>
      <c r="S493" s="7" t="s">
        <v>0</v>
      </c>
      <c r="T493" s="7" t="s">
        <v>54</v>
      </c>
      <c r="U493" s="7" t="s">
        <v>55</v>
      </c>
      <c r="V493" s="7" t="s">
        <v>126</v>
      </c>
      <c r="W493" s="7" t="s">
        <v>74</v>
      </c>
      <c r="X493" s="7" t="s">
        <v>103</v>
      </c>
      <c r="Y493" s="8">
        <v>45376</v>
      </c>
      <c r="Z493" s="8">
        <v>46387</v>
      </c>
      <c r="AA493" s="7" t="s">
        <v>200</v>
      </c>
      <c r="AB493" s="7" t="s">
        <v>130</v>
      </c>
      <c r="AC493" s="7" t="s">
        <v>65</v>
      </c>
      <c r="AD493" s="7" t="s">
        <v>144</v>
      </c>
      <c r="AE493" s="7" t="s">
        <v>0</v>
      </c>
      <c r="AF493" s="7" t="s">
        <v>0</v>
      </c>
      <c r="AG493" s="7" t="s">
        <v>0</v>
      </c>
      <c r="AH493" s="9" t="s">
        <v>0</v>
      </c>
      <c r="AI493" s="9" t="s">
        <v>0</v>
      </c>
      <c r="AJ493" s="9" t="s">
        <v>0</v>
      </c>
      <c r="AK493" s="7" t="s">
        <v>61</v>
      </c>
      <c r="AL493" s="7" t="s">
        <v>61</v>
      </c>
      <c r="AM493" s="7" t="s">
        <v>0</v>
      </c>
      <c r="AN493" s="7" t="s">
        <v>0</v>
      </c>
      <c r="AO493" s="7" t="s">
        <v>0</v>
      </c>
      <c r="AP493" s="7" t="s">
        <v>0</v>
      </c>
      <c r="AQ493" s="7" t="s">
        <v>61</v>
      </c>
      <c r="AR493" s="7" t="s">
        <v>0</v>
      </c>
      <c r="AS493" s="10" t="str">
        <f>HYPERLINK("https://tessa.gazprom-neft.local/edo/card/d8ebfeac-f8c5-47d0-b9da-a037f0dc307f", "https://tessa.gazprom-neft.local/edo/card/d8ebfeac-f8c5-47d0-b9da-a037f0dc307f")</f>
        <v>https://tessa.gazprom-neft.local/edo/card/d8ebfeac-f8c5-47d0-b9da-a037f0dc307f</v>
      </c>
    </row>
    <row r="494" spans="1:45" x14ac:dyDescent="0.25">
      <c r="A494" s="6" t="s">
        <v>44</v>
      </c>
      <c r="B494" s="7" t="s">
        <v>727</v>
      </c>
      <c r="C494" s="7" t="s">
        <v>67</v>
      </c>
      <c r="D494" s="8">
        <v>45376</v>
      </c>
      <c r="E494" s="8" t="s">
        <v>0</v>
      </c>
      <c r="F494" s="16" t="s">
        <v>728</v>
      </c>
      <c r="G494" s="7" t="s">
        <v>729</v>
      </c>
      <c r="H494" s="7" t="s">
        <v>725</v>
      </c>
      <c r="I494" s="7" t="s">
        <v>0</v>
      </c>
      <c r="J494" s="7" t="s">
        <v>156</v>
      </c>
      <c r="K494" s="7" t="s">
        <v>85</v>
      </c>
      <c r="L494" s="7" t="s">
        <v>48</v>
      </c>
      <c r="M494" s="7" t="s">
        <v>2373</v>
      </c>
      <c r="N494" s="7" t="s">
        <v>2438</v>
      </c>
      <c r="O494" s="7" t="s">
        <v>0</v>
      </c>
      <c r="P494" s="7" t="s">
        <v>2439</v>
      </c>
      <c r="Q494" s="7" t="s">
        <v>2397</v>
      </c>
      <c r="R494" s="7" t="s">
        <v>282</v>
      </c>
      <c r="S494" s="7" t="s">
        <v>0</v>
      </c>
      <c r="T494" s="7" t="s">
        <v>54</v>
      </c>
      <c r="U494" s="7" t="s">
        <v>55</v>
      </c>
      <c r="V494" s="7" t="s">
        <v>126</v>
      </c>
      <c r="W494" s="7" t="s">
        <v>74</v>
      </c>
      <c r="X494" s="7" t="s">
        <v>103</v>
      </c>
      <c r="Y494" s="8">
        <v>45376</v>
      </c>
      <c r="Z494" s="8">
        <v>46387</v>
      </c>
      <c r="AA494" s="7" t="s">
        <v>200</v>
      </c>
      <c r="AB494" s="7" t="s">
        <v>130</v>
      </c>
      <c r="AC494" s="7" t="s">
        <v>65</v>
      </c>
      <c r="AD494" s="7" t="s">
        <v>144</v>
      </c>
      <c r="AE494" s="7" t="s">
        <v>0</v>
      </c>
      <c r="AF494" s="7" t="s">
        <v>0</v>
      </c>
      <c r="AG494" s="7" t="s">
        <v>0</v>
      </c>
      <c r="AH494" s="9" t="s">
        <v>0</v>
      </c>
      <c r="AI494" s="9" t="s">
        <v>0</v>
      </c>
      <c r="AJ494" s="9" t="s">
        <v>0</v>
      </c>
      <c r="AK494" s="7" t="s">
        <v>61</v>
      </c>
      <c r="AL494" s="7" t="s">
        <v>61</v>
      </c>
      <c r="AM494" s="7" t="s">
        <v>0</v>
      </c>
      <c r="AN494" s="7" t="s">
        <v>0</v>
      </c>
      <c r="AO494" s="7" t="s">
        <v>0</v>
      </c>
      <c r="AP494" s="7" t="s">
        <v>0</v>
      </c>
      <c r="AQ494" s="7" t="s">
        <v>61</v>
      </c>
      <c r="AR494" s="7" t="s">
        <v>0</v>
      </c>
      <c r="AS494" s="10" t="str">
        <f>HYPERLINK("https://tessa.gazprom-neft.local/edo/card/38073a21-b006-4c42-9a76-5012e30667c8", "https://tessa.gazprom-neft.local/edo/card/38073a21-b006-4c42-9a76-5012e30667c8")</f>
        <v>https://tessa.gazprom-neft.local/edo/card/38073a21-b006-4c42-9a76-5012e30667c8</v>
      </c>
    </row>
    <row r="495" spans="1:45" x14ac:dyDescent="0.25">
      <c r="A495" s="6" t="s">
        <v>44</v>
      </c>
      <c r="B495" s="7" t="s">
        <v>705</v>
      </c>
      <c r="C495" s="7" t="s">
        <v>67</v>
      </c>
      <c r="D495" s="8">
        <v>45376</v>
      </c>
      <c r="E495" s="8" t="s">
        <v>0</v>
      </c>
      <c r="F495" s="16" t="s">
        <v>2466</v>
      </c>
      <c r="G495" s="7" t="s">
        <v>707</v>
      </c>
      <c r="H495" s="7" t="s">
        <v>703</v>
      </c>
      <c r="I495" s="7" t="s">
        <v>0</v>
      </c>
      <c r="J495" s="7" t="s">
        <v>271</v>
      </c>
      <c r="K495" s="7" t="s">
        <v>85</v>
      </c>
      <c r="L495" s="7" t="s">
        <v>48</v>
      </c>
      <c r="M495" s="7" t="s">
        <v>2373</v>
      </c>
      <c r="N495" s="7" t="s">
        <v>2463</v>
      </c>
      <c r="O495" s="7" t="s">
        <v>0</v>
      </c>
      <c r="P495" s="7" t="s">
        <v>2464</v>
      </c>
      <c r="Q495" s="7" t="s">
        <v>2465</v>
      </c>
      <c r="R495" s="7" t="s">
        <v>282</v>
      </c>
      <c r="S495" s="7" t="s">
        <v>0</v>
      </c>
      <c r="T495" s="7" t="s">
        <v>54</v>
      </c>
      <c r="U495" s="7" t="s">
        <v>55</v>
      </c>
      <c r="V495" s="7" t="s">
        <v>126</v>
      </c>
      <c r="W495" s="7" t="s">
        <v>74</v>
      </c>
      <c r="X495" s="7" t="s">
        <v>103</v>
      </c>
      <c r="Y495" s="8">
        <v>45376</v>
      </c>
      <c r="Z495" s="8">
        <v>46387</v>
      </c>
      <c r="AA495" s="7" t="s">
        <v>200</v>
      </c>
      <c r="AB495" s="7" t="s">
        <v>130</v>
      </c>
      <c r="AC495" s="7" t="s">
        <v>65</v>
      </c>
      <c r="AD495" s="7" t="s">
        <v>144</v>
      </c>
      <c r="AE495" s="7" t="s">
        <v>0</v>
      </c>
      <c r="AF495" s="7" t="s">
        <v>0</v>
      </c>
      <c r="AG495" s="7" t="s">
        <v>0</v>
      </c>
      <c r="AH495" s="9" t="s">
        <v>0</v>
      </c>
      <c r="AI495" s="9" t="s">
        <v>0</v>
      </c>
      <c r="AJ495" s="9" t="s">
        <v>0</v>
      </c>
      <c r="AK495" s="7" t="s">
        <v>61</v>
      </c>
      <c r="AL495" s="7" t="s">
        <v>61</v>
      </c>
      <c r="AM495" s="7" t="s">
        <v>0</v>
      </c>
      <c r="AN495" s="7" t="s">
        <v>0</v>
      </c>
      <c r="AO495" s="7" t="s">
        <v>0</v>
      </c>
      <c r="AP495" s="7" t="s">
        <v>0</v>
      </c>
      <c r="AQ495" s="7" t="s">
        <v>61</v>
      </c>
      <c r="AR495" s="7" t="s">
        <v>0</v>
      </c>
      <c r="AS495" s="10" t="str">
        <f>HYPERLINK("https://tessa.gazprom-neft.local/edo/card/dd6ab81e-a4bd-44c7-b842-2cd67c942629", "https://tessa.gazprom-neft.local/edo/card/dd6ab81e-a4bd-44c7-b842-2cd67c942629")</f>
        <v>https://tessa.gazprom-neft.local/edo/card/dd6ab81e-a4bd-44c7-b842-2cd67c942629</v>
      </c>
    </row>
    <row r="496" spans="1:45" x14ac:dyDescent="0.25">
      <c r="A496" s="6" t="s">
        <v>44</v>
      </c>
      <c r="B496" s="7" t="s">
        <v>971</v>
      </c>
      <c r="C496" s="7" t="s">
        <v>67</v>
      </c>
      <c r="D496" s="8">
        <v>45376</v>
      </c>
      <c r="E496" s="8" t="s">
        <v>0</v>
      </c>
      <c r="F496" s="16" t="s">
        <v>972</v>
      </c>
      <c r="G496" s="7" t="s">
        <v>973</v>
      </c>
      <c r="H496" s="7" t="s">
        <v>968</v>
      </c>
      <c r="I496" s="7" t="s">
        <v>0</v>
      </c>
      <c r="J496" s="7" t="s">
        <v>872</v>
      </c>
      <c r="K496" s="7" t="s">
        <v>85</v>
      </c>
      <c r="L496" s="7" t="s">
        <v>48</v>
      </c>
      <c r="M496" s="7" t="s">
        <v>2373</v>
      </c>
      <c r="N496" s="7" t="s">
        <v>2479</v>
      </c>
      <c r="O496" s="7" t="s">
        <v>0</v>
      </c>
      <c r="P496" s="7" t="s">
        <v>2480</v>
      </c>
      <c r="Q496" s="7" t="s">
        <v>2481</v>
      </c>
      <c r="R496" s="7" t="s">
        <v>339</v>
      </c>
      <c r="S496" s="7" t="s">
        <v>339</v>
      </c>
      <c r="T496" s="7" t="s">
        <v>54</v>
      </c>
      <c r="U496" s="7" t="s">
        <v>303</v>
      </c>
      <c r="V496" s="7" t="s">
        <v>91</v>
      </c>
      <c r="W496" s="7" t="s">
        <v>74</v>
      </c>
      <c r="X496" s="7" t="s">
        <v>103</v>
      </c>
      <c r="Y496" s="8">
        <v>45376</v>
      </c>
      <c r="Z496" s="8">
        <v>45716</v>
      </c>
      <c r="AA496" s="7" t="s">
        <v>92</v>
      </c>
      <c r="AB496" s="7" t="s">
        <v>64</v>
      </c>
      <c r="AC496" s="7" t="s">
        <v>79</v>
      </c>
      <c r="AD496" s="7" t="s">
        <v>80</v>
      </c>
      <c r="AE496" s="7" t="s">
        <v>118</v>
      </c>
      <c r="AF496" s="7" t="s">
        <v>0</v>
      </c>
      <c r="AG496" s="7" t="s">
        <v>0</v>
      </c>
      <c r="AH496" s="9" t="s">
        <v>10984</v>
      </c>
      <c r="AI496" s="9" t="s">
        <v>10984</v>
      </c>
      <c r="AJ496" s="9">
        <v>0</v>
      </c>
      <c r="AK496" s="7" t="s">
        <v>61</v>
      </c>
      <c r="AL496" s="7" t="s">
        <v>61</v>
      </c>
      <c r="AM496" s="7" t="s">
        <v>0</v>
      </c>
      <c r="AN496" s="7" t="s">
        <v>0</v>
      </c>
      <c r="AO496" s="7" t="s">
        <v>0</v>
      </c>
      <c r="AP496" s="7" t="s">
        <v>0</v>
      </c>
      <c r="AQ496" s="7" t="s">
        <v>61</v>
      </c>
      <c r="AR496" s="7" t="s">
        <v>0</v>
      </c>
      <c r="AS496" s="10" t="str">
        <f>HYPERLINK("https://tessa.gazprom-neft.local/edo/card/534be23a-8f1b-4ade-bec7-c4eaf6f1a772", "https://tessa.gazprom-neft.local/edo/card/534be23a-8f1b-4ade-bec7-c4eaf6f1a772")</f>
        <v>https://tessa.gazprom-neft.local/edo/card/534be23a-8f1b-4ade-bec7-c4eaf6f1a772</v>
      </c>
    </row>
    <row r="497" spans="1:45" x14ac:dyDescent="0.25">
      <c r="A497" s="6" t="s">
        <v>44</v>
      </c>
      <c r="B497" s="7" t="s">
        <v>582</v>
      </c>
      <c r="C497" s="7" t="s">
        <v>67</v>
      </c>
      <c r="D497" s="8">
        <v>45376</v>
      </c>
      <c r="E497" s="8" t="s">
        <v>0</v>
      </c>
      <c r="F497" s="16" t="s">
        <v>583</v>
      </c>
      <c r="G497" s="7" t="s">
        <v>584</v>
      </c>
      <c r="H497" s="7" t="s">
        <v>580</v>
      </c>
      <c r="I497" s="7" t="s">
        <v>0</v>
      </c>
      <c r="J497" s="7" t="s">
        <v>355</v>
      </c>
      <c r="K497" s="7" t="s">
        <v>85</v>
      </c>
      <c r="L497" s="7" t="s">
        <v>48</v>
      </c>
      <c r="M497" s="7" t="s">
        <v>2373</v>
      </c>
      <c r="N497" s="7" t="s">
        <v>2498</v>
      </c>
      <c r="O497" s="7" t="s">
        <v>0</v>
      </c>
      <c r="P497" s="7" t="s">
        <v>2499</v>
      </c>
      <c r="Q497" s="7" t="s">
        <v>2465</v>
      </c>
      <c r="R497" s="7" t="s">
        <v>282</v>
      </c>
      <c r="S497" s="7" t="s">
        <v>0</v>
      </c>
      <c r="T497" s="7" t="s">
        <v>54</v>
      </c>
      <c r="U497" s="7" t="s">
        <v>55</v>
      </c>
      <c r="V497" s="7" t="s">
        <v>126</v>
      </c>
      <c r="W497" s="7" t="s">
        <v>74</v>
      </c>
      <c r="X497" s="7" t="s">
        <v>103</v>
      </c>
      <c r="Y497" s="8">
        <v>45376</v>
      </c>
      <c r="Z497" s="8">
        <v>46022</v>
      </c>
      <c r="AA497" s="7" t="s">
        <v>200</v>
      </c>
      <c r="AB497" s="7" t="s">
        <v>585</v>
      </c>
      <c r="AC497" s="7" t="s">
        <v>65</v>
      </c>
      <c r="AD497" s="7" t="s">
        <v>144</v>
      </c>
      <c r="AE497" s="7" t="s">
        <v>0</v>
      </c>
      <c r="AF497" s="7" t="s">
        <v>0</v>
      </c>
      <c r="AG497" s="7" t="s">
        <v>0</v>
      </c>
      <c r="AH497" s="9" t="s">
        <v>0</v>
      </c>
      <c r="AI497" s="9" t="s">
        <v>0</v>
      </c>
      <c r="AJ497" s="9" t="s">
        <v>0</v>
      </c>
      <c r="AK497" s="7" t="s">
        <v>61</v>
      </c>
      <c r="AL497" s="7" t="s">
        <v>61</v>
      </c>
      <c r="AM497" s="7" t="s">
        <v>0</v>
      </c>
      <c r="AN497" s="7" t="s">
        <v>0</v>
      </c>
      <c r="AO497" s="7" t="s">
        <v>0</v>
      </c>
      <c r="AP497" s="7" t="s">
        <v>0</v>
      </c>
      <c r="AQ497" s="7" t="s">
        <v>61</v>
      </c>
      <c r="AR497" s="7" t="s">
        <v>0</v>
      </c>
      <c r="AS497" s="10" t="str">
        <f>HYPERLINK("https://tessa.gazprom-neft.local/edo/card/880cf098-a45e-47da-9048-fd9bd69b36a8", "https://tessa.gazprom-neft.local/edo/card/880cf098-a45e-47da-9048-fd9bd69b36a8")</f>
        <v>https://tessa.gazprom-neft.local/edo/card/880cf098-a45e-47da-9048-fd9bd69b36a8</v>
      </c>
    </row>
    <row r="498" spans="1:45" hidden="1" x14ac:dyDescent="0.25">
      <c r="A498" s="6" t="s">
        <v>44</v>
      </c>
      <c r="B498" s="7" t="s">
        <v>661</v>
      </c>
      <c r="C498" s="7" t="s">
        <v>67</v>
      </c>
      <c r="D498" s="8">
        <v>45376</v>
      </c>
      <c r="E498" s="8" t="s">
        <v>0</v>
      </c>
      <c r="F498" s="16" t="s">
        <v>662</v>
      </c>
      <c r="G498" s="7" t="s">
        <v>663</v>
      </c>
      <c r="H498" s="7" t="s">
        <v>2557</v>
      </c>
      <c r="I498" s="7" t="s">
        <v>0</v>
      </c>
      <c r="J498" s="7" t="s">
        <v>51</v>
      </c>
      <c r="K498" s="7" t="s">
        <v>47</v>
      </c>
      <c r="L498" s="7" t="s">
        <v>389</v>
      </c>
      <c r="M498" s="7" t="s">
        <v>0</v>
      </c>
      <c r="N498" s="7" t="s">
        <v>2555</v>
      </c>
      <c r="O498" s="7" t="s">
        <v>2556</v>
      </c>
      <c r="P498" s="7" t="s">
        <v>2558</v>
      </c>
      <c r="Q498" s="7" t="s">
        <v>2559</v>
      </c>
      <c r="R498" s="7" t="s">
        <v>393</v>
      </c>
      <c r="S498" s="7" t="s">
        <v>714</v>
      </c>
      <c r="T498" s="7" t="s">
        <v>54</v>
      </c>
      <c r="U498" s="7" t="s">
        <v>283</v>
      </c>
      <c r="V498" s="7" t="s">
        <v>168</v>
      </c>
      <c r="W498" s="7" t="s">
        <v>74</v>
      </c>
      <c r="X498" s="7" t="s">
        <v>58</v>
      </c>
      <c r="Y498" s="8">
        <v>45376</v>
      </c>
      <c r="Z498" s="8" t="s">
        <v>0</v>
      </c>
      <c r="AA498" s="7" t="s">
        <v>169</v>
      </c>
      <c r="AB498" s="7" t="s">
        <v>130</v>
      </c>
      <c r="AC498" s="7" t="s">
        <v>79</v>
      </c>
      <c r="AD498" s="7" t="s">
        <v>80</v>
      </c>
      <c r="AE498" s="7" t="s">
        <v>82</v>
      </c>
      <c r="AF498" s="7" t="s">
        <v>0</v>
      </c>
      <c r="AG498" s="7" t="s">
        <v>0</v>
      </c>
      <c r="AH498" s="9">
        <v>0</v>
      </c>
      <c r="AI498" s="9">
        <v>0</v>
      </c>
      <c r="AJ498" s="9">
        <v>0</v>
      </c>
      <c r="AK498" s="7" t="s">
        <v>61</v>
      </c>
      <c r="AL498" s="7" t="s">
        <v>61</v>
      </c>
      <c r="AM498" s="7" t="s">
        <v>0</v>
      </c>
      <c r="AN498" s="7" t="s">
        <v>0</v>
      </c>
      <c r="AO498" s="7" t="s">
        <v>0</v>
      </c>
      <c r="AP498" s="7" t="s">
        <v>0</v>
      </c>
      <c r="AQ498" s="7" t="s">
        <v>61</v>
      </c>
      <c r="AR498" s="7" t="s">
        <v>0</v>
      </c>
      <c r="AS498" s="10" t="str">
        <f>HYPERLINK("https://tessa.gazprom-neft.local/edo/card/d945820c-8b36-4a07-bf06-c7175b8c5d7a", "https://tessa.gazprom-neft.local/edo/card/d945820c-8b36-4a07-bf06-c7175b8c5d7a")</f>
        <v>https://tessa.gazprom-neft.local/edo/card/d945820c-8b36-4a07-bf06-c7175b8c5d7a</v>
      </c>
    </row>
    <row r="499" spans="1:45" hidden="1" x14ac:dyDescent="0.25">
      <c r="A499" s="6" t="s">
        <v>44</v>
      </c>
      <c r="B499" s="7" t="s">
        <v>542</v>
      </c>
      <c r="C499" s="7" t="s">
        <v>67</v>
      </c>
      <c r="D499" s="8">
        <v>45376</v>
      </c>
      <c r="E499" s="8" t="s">
        <v>0</v>
      </c>
      <c r="F499" s="16" t="s">
        <v>543</v>
      </c>
      <c r="G499" s="7" t="s">
        <v>544</v>
      </c>
      <c r="H499" s="7" t="s">
        <v>2668</v>
      </c>
      <c r="I499" s="7" t="s">
        <v>0</v>
      </c>
      <c r="J499" s="7" t="s">
        <v>51</v>
      </c>
      <c r="K499" s="7" t="s">
        <v>47</v>
      </c>
      <c r="L499" s="7" t="s">
        <v>389</v>
      </c>
      <c r="M499" s="7" t="s">
        <v>0</v>
      </c>
      <c r="N499" s="7" t="s">
        <v>2666</v>
      </c>
      <c r="O499" s="7" t="s">
        <v>2667</v>
      </c>
      <c r="P499" s="7" t="s">
        <v>2669</v>
      </c>
      <c r="Q499" s="7" t="s">
        <v>2670</v>
      </c>
      <c r="R499" s="7" t="s">
        <v>646</v>
      </c>
      <c r="S499" s="7" t="s">
        <v>1791</v>
      </c>
      <c r="T499" s="7" t="s">
        <v>54</v>
      </c>
      <c r="U499" s="7" t="s">
        <v>55</v>
      </c>
      <c r="V499" s="7" t="s">
        <v>56</v>
      </c>
      <c r="W499" s="7" t="s">
        <v>74</v>
      </c>
      <c r="X499" s="7" t="s">
        <v>58</v>
      </c>
      <c r="Y499" s="8">
        <v>45376</v>
      </c>
      <c r="Z499" s="8" t="s">
        <v>0</v>
      </c>
      <c r="AA499" s="7" t="s">
        <v>59</v>
      </c>
      <c r="AB499" s="7" t="s">
        <v>130</v>
      </c>
      <c r="AC499" s="7" t="s">
        <v>65</v>
      </c>
      <c r="AD499" s="7" t="s">
        <v>0</v>
      </c>
      <c r="AE499" s="7" t="s">
        <v>0</v>
      </c>
      <c r="AF499" s="7" t="s">
        <v>0</v>
      </c>
      <c r="AG499" s="7" t="s">
        <v>0</v>
      </c>
      <c r="AH499" s="9" t="s">
        <v>0</v>
      </c>
      <c r="AI499" s="9" t="s">
        <v>0</v>
      </c>
      <c r="AJ499" s="9" t="s">
        <v>0</v>
      </c>
      <c r="AK499" s="7" t="s">
        <v>61</v>
      </c>
      <c r="AL499" s="7" t="s">
        <v>61</v>
      </c>
      <c r="AM499" s="7" t="s">
        <v>0</v>
      </c>
      <c r="AN499" s="7" t="s">
        <v>0</v>
      </c>
      <c r="AO499" s="7" t="s">
        <v>0</v>
      </c>
      <c r="AP499" s="7" t="s">
        <v>0</v>
      </c>
      <c r="AQ499" s="7" t="s">
        <v>61</v>
      </c>
      <c r="AR499" s="7" t="s">
        <v>0</v>
      </c>
      <c r="AS499" s="10" t="str">
        <f>HYPERLINK("https://tessa.gazprom-neft.local/edo/card/bc7f28d2-d74f-4f38-9fc6-5408895514cf", "https://tessa.gazprom-neft.local/edo/card/bc7f28d2-d74f-4f38-9fc6-5408895514cf")</f>
        <v>https://tessa.gazprom-neft.local/edo/card/bc7f28d2-d74f-4f38-9fc6-5408895514cf</v>
      </c>
    </row>
    <row r="500" spans="1:45" hidden="1" x14ac:dyDescent="0.25">
      <c r="A500" s="6" t="s">
        <v>44</v>
      </c>
      <c r="B500" s="7" t="s">
        <v>2209</v>
      </c>
      <c r="C500" s="7" t="s">
        <v>67</v>
      </c>
      <c r="D500" s="8">
        <v>45373</v>
      </c>
      <c r="E500" s="8" t="s">
        <v>0</v>
      </c>
      <c r="F500" s="16" t="s">
        <v>2210</v>
      </c>
      <c r="G500" s="7" t="s">
        <v>2211</v>
      </c>
      <c r="H500" s="7" t="s">
        <v>0</v>
      </c>
      <c r="I500" s="7" t="s">
        <v>2207</v>
      </c>
      <c r="J500" s="7" t="s">
        <v>2207</v>
      </c>
      <c r="K500" s="7" t="s">
        <v>47</v>
      </c>
      <c r="L500" s="7" t="s">
        <v>96</v>
      </c>
      <c r="M500" s="7" t="s">
        <v>0</v>
      </c>
      <c r="N500" s="7" t="s">
        <v>2206</v>
      </c>
      <c r="O500" s="7" t="s">
        <v>0</v>
      </c>
      <c r="P500" s="7" t="s">
        <v>2208</v>
      </c>
      <c r="Q500" s="7" t="s">
        <v>2208</v>
      </c>
      <c r="R500" s="7" t="s">
        <v>2079</v>
      </c>
      <c r="S500" s="7" t="s">
        <v>0</v>
      </c>
      <c r="T500" s="7" t="s">
        <v>54</v>
      </c>
      <c r="U500" s="7" t="s">
        <v>55</v>
      </c>
      <c r="V500" s="7" t="s">
        <v>56</v>
      </c>
      <c r="W500" s="7" t="s">
        <v>57</v>
      </c>
      <c r="X500" s="7" t="s">
        <v>103</v>
      </c>
      <c r="Y500" s="8">
        <v>45373</v>
      </c>
      <c r="Z500" s="8">
        <v>45921</v>
      </c>
      <c r="AA500" s="7" t="s">
        <v>59</v>
      </c>
      <c r="AB500" s="7" t="s">
        <v>1408</v>
      </c>
      <c r="AC500" s="7" t="s">
        <v>79</v>
      </c>
      <c r="AD500" s="7" t="s">
        <v>80</v>
      </c>
      <c r="AE500" s="7" t="s">
        <v>118</v>
      </c>
      <c r="AF500" s="7" t="s">
        <v>0</v>
      </c>
      <c r="AG500" s="7" t="s">
        <v>0</v>
      </c>
      <c r="AH500" s="9" t="s">
        <v>11280</v>
      </c>
      <c r="AI500" s="9" t="s">
        <v>11280</v>
      </c>
      <c r="AJ500" s="9">
        <v>0</v>
      </c>
      <c r="AK500" s="7" t="s">
        <v>61</v>
      </c>
      <c r="AL500" s="7" t="s">
        <v>61</v>
      </c>
      <c r="AM500" s="7" t="s">
        <v>0</v>
      </c>
      <c r="AN500" s="7" t="s">
        <v>0</v>
      </c>
      <c r="AO500" s="7" t="s">
        <v>0</v>
      </c>
      <c r="AP500" s="7" t="s">
        <v>0</v>
      </c>
      <c r="AQ500" s="7" t="s">
        <v>61</v>
      </c>
      <c r="AR500" s="7" t="s">
        <v>0</v>
      </c>
      <c r="AS500" s="10" t="str">
        <f>HYPERLINK("https://tessa.gazprom-neft.local/edo/card/23bbca3d-1bdb-4639-b82d-a92f23401520", "https://tessa.gazprom-neft.local/edo/card/23bbca3d-1bdb-4639-b82d-a92f23401520")</f>
        <v>https://tessa.gazprom-neft.local/edo/card/23bbca3d-1bdb-4639-b82d-a92f23401520</v>
      </c>
    </row>
    <row r="501" spans="1:45" hidden="1" x14ac:dyDescent="0.25">
      <c r="A501" s="6" t="s">
        <v>44</v>
      </c>
      <c r="B501" s="7" t="s">
        <v>582</v>
      </c>
      <c r="C501" s="7" t="s">
        <v>67</v>
      </c>
      <c r="D501" s="8">
        <v>45373</v>
      </c>
      <c r="E501" s="8" t="s">
        <v>0</v>
      </c>
      <c r="F501" s="16" t="s">
        <v>583</v>
      </c>
      <c r="G501" s="7" t="s">
        <v>584</v>
      </c>
      <c r="H501" s="7" t="s">
        <v>0</v>
      </c>
      <c r="I501" s="7" t="s">
        <v>2253</v>
      </c>
      <c r="J501" s="7" t="s">
        <v>2253</v>
      </c>
      <c r="K501" s="7" t="s">
        <v>85</v>
      </c>
      <c r="L501" s="7" t="s">
        <v>96</v>
      </c>
      <c r="M501" s="7" t="s">
        <v>578</v>
      </c>
      <c r="N501" s="7" t="s">
        <v>2252</v>
      </c>
      <c r="O501" s="7" t="s">
        <v>0</v>
      </c>
      <c r="P501" s="7" t="s">
        <v>578</v>
      </c>
      <c r="Q501" s="7" t="s">
        <v>2254</v>
      </c>
      <c r="R501" s="7" t="s">
        <v>422</v>
      </c>
      <c r="S501" s="7" t="s">
        <v>0</v>
      </c>
      <c r="T501" s="7" t="s">
        <v>54</v>
      </c>
      <c r="U501" s="7" t="s">
        <v>55</v>
      </c>
      <c r="V501" s="7" t="s">
        <v>126</v>
      </c>
      <c r="W501" s="7" t="s">
        <v>74</v>
      </c>
      <c r="X501" s="7" t="s">
        <v>103</v>
      </c>
      <c r="Y501" s="8">
        <v>45373</v>
      </c>
      <c r="Z501" s="8">
        <v>47118</v>
      </c>
      <c r="AA501" s="7" t="s">
        <v>200</v>
      </c>
      <c r="AB501" s="7" t="s">
        <v>585</v>
      </c>
      <c r="AC501" s="7" t="s">
        <v>79</v>
      </c>
      <c r="AD501" s="7" t="s">
        <v>144</v>
      </c>
      <c r="AE501" s="7" t="s">
        <v>82</v>
      </c>
      <c r="AF501" s="7" t="s">
        <v>0</v>
      </c>
      <c r="AG501" s="7" t="s">
        <v>0</v>
      </c>
      <c r="AH501" s="9" t="s">
        <v>11296</v>
      </c>
      <c r="AI501" s="9" t="s">
        <v>11297</v>
      </c>
      <c r="AJ501" s="9" t="s">
        <v>11298</v>
      </c>
      <c r="AK501" s="7" t="s">
        <v>61</v>
      </c>
      <c r="AL501" s="7" t="s">
        <v>61</v>
      </c>
      <c r="AM501" s="7" t="s">
        <v>0</v>
      </c>
      <c r="AN501" s="7" t="s">
        <v>0</v>
      </c>
      <c r="AO501" s="7" t="s">
        <v>0</v>
      </c>
      <c r="AP501" s="7" t="s">
        <v>0</v>
      </c>
      <c r="AQ501" s="7" t="s">
        <v>81</v>
      </c>
      <c r="AR501" s="7" t="s">
        <v>0</v>
      </c>
      <c r="AS501" s="10" t="str">
        <f>HYPERLINK("https://tessa.gazprom-neft.local/edo/card/484249b2-ccdb-4960-b1dd-48ac92182129", "https://tessa.gazprom-neft.local/edo/card/484249b2-ccdb-4960-b1dd-48ac92182129")</f>
        <v>https://tessa.gazprom-neft.local/edo/card/484249b2-ccdb-4960-b1dd-48ac92182129</v>
      </c>
    </row>
    <row r="502" spans="1:45" x14ac:dyDescent="0.25">
      <c r="A502" s="6" t="s">
        <v>44</v>
      </c>
      <c r="B502" s="7" t="s">
        <v>0</v>
      </c>
      <c r="C502" s="7" t="s">
        <v>218</v>
      </c>
      <c r="D502" s="8">
        <v>45373</v>
      </c>
      <c r="E502" s="8" t="s">
        <v>0</v>
      </c>
      <c r="F502" s="16" t="s">
        <v>0</v>
      </c>
      <c r="G502" s="7" t="s">
        <v>0</v>
      </c>
      <c r="H502" s="7" t="s">
        <v>0</v>
      </c>
      <c r="I502" s="7" t="s">
        <v>0</v>
      </c>
      <c r="J502" s="7" t="s">
        <v>51</v>
      </c>
      <c r="K502" s="7" t="s">
        <v>85</v>
      </c>
      <c r="L502" s="7" t="s">
        <v>48</v>
      </c>
      <c r="M502" s="7" t="s">
        <v>2373</v>
      </c>
      <c r="N502" s="7" t="s">
        <v>2374</v>
      </c>
      <c r="O502" s="7" t="s">
        <v>2375</v>
      </c>
      <c r="P502" s="7" t="s">
        <v>2373</v>
      </c>
      <c r="Q502" s="7" t="s">
        <v>2376</v>
      </c>
      <c r="R502" s="7" t="s">
        <v>339</v>
      </c>
      <c r="S502" s="7" t="s">
        <v>339</v>
      </c>
      <c r="T502" s="7" t="s">
        <v>54</v>
      </c>
      <c r="U502" s="7" t="s">
        <v>303</v>
      </c>
      <c r="V502" s="7" t="s">
        <v>91</v>
      </c>
      <c r="W502" s="7" t="s">
        <v>74</v>
      </c>
      <c r="X502" s="7" t="s">
        <v>58</v>
      </c>
      <c r="Y502" s="8" t="s">
        <v>0</v>
      </c>
      <c r="Z502" s="8" t="s">
        <v>0</v>
      </c>
      <c r="AA502" s="7" t="s">
        <v>92</v>
      </c>
      <c r="AB502" s="7" t="s">
        <v>0</v>
      </c>
      <c r="AC502" s="7" t="s">
        <v>79</v>
      </c>
      <c r="AD502" s="7" t="s">
        <v>80</v>
      </c>
      <c r="AE502" s="7" t="s">
        <v>82</v>
      </c>
      <c r="AF502" s="7" t="s">
        <v>0</v>
      </c>
      <c r="AG502" s="7" t="s">
        <v>0</v>
      </c>
      <c r="AH502" s="9" t="s">
        <v>11332</v>
      </c>
      <c r="AI502" s="9" t="s">
        <v>11333</v>
      </c>
      <c r="AJ502" s="9" t="s">
        <v>11334</v>
      </c>
      <c r="AK502" s="7" t="s">
        <v>61</v>
      </c>
      <c r="AL502" s="7" t="s">
        <v>61</v>
      </c>
      <c r="AM502" s="7" t="s">
        <v>0</v>
      </c>
      <c r="AN502" s="7" t="s">
        <v>0</v>
      </c>
      <c r="AO502" s="7" t="s">
        <v>0</v>
      </c>
      <c r="AP502" s="7" t="s">
        <v>0</v>
      </c>
      <c r="AQ502" s="7" t="s">
        <v>61</v>
      </c>
      <c r="AR502" s="7" t="s">
        <v>0</v>
      </c>
      <c r="AS502" s="10" t="str">
        <f>HYPERLINK("https://tessa.gazprom-neft.local/edo/card/58238574-923f-4f53-8565-9522df7d8886", "https://tessa.gazprom-neft.local/edo/card/58238574-923f-4f53-8565-9522df7d8886")</f>
        <v>https://tessa.gazprom-neft.local/edo/card/58238574-923f-4f53-8565-9522df7d8886</v>
      </c>
    </row>
    <row r="503" spans="1:45" x14ac:dyDescent="0.25">
      <c r="A503" s="6" t="s">
        <v>44</v>
      </c>
      <c r="B503" s="7" t="s">
        <v>550</v>
      </c>
      <c r="C503" s="7" t="s">
        <v>67</v>
      </c>
      <c r="D503" s="8">
        <v>45373</v>
      </c>
      <c r="E503" s="8" t="s">
        <v>0</v>
      </c>
      <c r="F503" s="16" t="s">
        <v>551</v>
      </c>
      <c r="G503" s="7" t="s">
        <v>552</v>
      </c>
      <c r="H503" s="7" t="s">
        <v>2390</v>
      </c>
      <c r="I503" s="7" t="s">
        <v>0</v>
      </c>
      <c r="J503" s="7" t="s">
        <v>51</v>
      </c>
      <c r="K503" s="7" t="s">
        <v>85</v>
      </c>
      <c r="L503" s="7" t="s">
        <v>48</v>
      </c>
      <c r="M503" s="7" t="s">
        <v>2373</v>
      </c>
      <c r="N503" s="7" t="s">
        <v>2389</v>
      </c>
      <c r="O503" s="7" t="s">
        <v>0</v>
      </c>
      <c r="P503" s="7" t="s">
        <v>2373</v>
      </c>
      <c r="Q503" s="7" t="s">
        <v>2391</v>
      </c>
      <c r="R503" s="7" t="s">
        <v>339</v>
      </c>
      <c r="S503" s="7" t="s">
        <v>339</v>
      </c>
      <c r="T503" s="7" t="s">
        <v>54</v>
      </c>
      <c r="U503" s="7" t="s">
        <v>303</v>
      </c>
      <c r="V503" s="7" t="s">
        <v>91</v>
      </c>
      <c r="W503" s="7" t="s">
        <v>74</v>
      </c>
      <c r="X503" s="7" t="s">
        <v>103</v>
      </c>
      <c r="Y503" s="8">
        <v>45373</v>
      </c>
      <c r="Z503" s="8">
        <v>46022</v>
      </c>
      <c r="AA503" s="7" t="s">
        <v>92</v>
      </c>
      <c r="AB503" s="7" t="s">
        <v>130</v>
      </c>
      <c r="AC503" s="7" t="s">
        <v>79</v>
      </c>
      <c r="AD503" s="7" t="s">
        <v>80</v>
      </c>
      <c r="AE503" s="7" t="s">
        <v>82</v>
      </c>
      <c r="AF503" s="7" t="s">
        <v>0</v>
      </c>
      <c r="AG503" s="7" t="s">
        <v>0</v>
      </c>
      <c r="AH503" s="9" t="s">
        <v>11332</v>
      </c>
      <c r="AI503" s="9" t="s">
        <v>11333</v>
      </c>
      <c r="AJ503" s="9" t="s">
        <v>11334</v>
      </c>
      <c r="AK503" s="7" t="s">
        <v>61</v>
      </c>
      <c r="AL503" s="7" t="s">
        <v>61</v>
      </c>
      <c r="AM503" s="7" t="s">
        <v>0</v>
      </c>
      <c r="AN503" s="7" t="s">
        <v>0</v>
      </c>
      <c r="AO503" s="7" t="s">
        <v>0</v>
      </c>
      <c r="AP503" s="7" t="s">
        <v>0</v>
      </c>
      <c r="AQ503" s="7" t="s">
        <v>61</v>
      </c>
      <c r="AR503" s="7" t="s">
        <v>0</v>
      </c>
      <c r="AS503" s="10" t="str">
        <f>HYPERLINK("https://tessa.gazprom-neft.local/edo/card/db067c0a-c46b-4422-9b55-a4820f3b8403", "https://tessa.gazprom-neft.local/edo/card/db067c0a-c46b-4422-9b55-a4820f3b8403")</f>
        <v>https://tessa.gazprom-neft.local/edo/card/db067c0a-c46b-4422-9b55-a4820f3b8403</v>
      </c>
    </row>
    <row r="504" spans="1:45" hidden="1" x14ac:dyDescent="0.25">
      <c r="A504" s="6" t="s">
        <v>44</v>
      </c>
      <c r="B504" s="7" t="s">
        <v>813</v>
      </c>
      <c r="C504" s="7" t="s">
        <v>67</v>
      </c>
      <c r="D504" s="8">
        <v>45373</v>
      </c>
      <c r="E504" s="8" t="s">
        <v>0</v>
      </c>
      <c r="F504" s="16" t="s">
        <v>814</v>
      </c>
      <c r="G504" s="7" t="s">
        <v>815</v>
      </c>
      <c r="H504" s="7" t="s">
        <v>809</v>
      </c>
      <c r="I504" s="7" t="s">
        <v>0</v>
      </c>
      <c r="J504" s="7" t="s">
        <v>2508</v>
      </c>
      <c r="K504" s="7" t="s">
        <v>47</v>
      </c>
      <c r="L504" s="7" t="s">
        <v>709</v>
      </c>
      <c r="M504" s="7" t="s">
        <v>0</v>
      </c>
      <c r="N504" s="7" t="s">
        <v>2506</v>
      </c>
      <c r="O504" s="7" t="s">
        <v>0</v>
      </c>
      <c r="P504" s="7" t="s">
        <v>2507</v>
      </c>
      <c r="Q504" s="7" t="s">
        <v>2509</v>
      </c>
      <c r="R504" s="7" t="s">
        <v>393</v>
      </c>
      <c r="S504" s="7" t="s">
        <v>812</v>
      </c>
      <c r="T504" s="7" t="s">
        <v>54</v>
      </c>
      <c r="U504" s="7" t="s">
        <v>55</v>
      </c>
      <c r="V504" s="7" t="s">
        <v>126</v>
      </c>
      <c r="W504" s="7" t="s">
        <v>74</v>
      </c>
      <c r="X504" s="7" t="s">
        <v>58</v>
      </c>
      <c r="Y504" s="8">
        <v>45373</v>
      </c>
      <c r="Z504" s="8" t="s">
        <v>0</v>
      </c>
      <c r="AA504" s="7" t="s">
        <v>200</v>
      </c>
      <c r="AB504" s="7" t="s">
        <v>256</v>
      </c>
      <c r="AC504" s="7" t="s">
        <v>79</v>
      </c>
      <c r="AD504" s="7" t="s">
        <v>80</v>
      </c>
      <c r="AE504" s="7" t="s">
        <v>82</v>
      </c>
      <c r="AF504" s="7" t="s">
        <v>0</v>
      </c>
      <c r="AG504" s="7" t="s">
        <v>0</v>
      </c>
      <c r="AH504" s="9" t="s">
        <v>11364</v>
      </c>
      <c r="AI504" s="9" t="s">
        <v>11365</v>
      </c>
      <c r="AJ504" s="9" t="s">
        <v>11366</v>
      </c>
      <c r="AK504" s="7" t="s">
        <v>61</v>
      </c>
      <c r="AL504" s="7" t="s">
        <v>61</v>
      </c>
      <c r="AM504" s="7" t="s">
        <v>0</v>
      </c>
      <c r="AN504" s="7" t="s">
        <v>0</v>
      </c>
      <c r="AO504" s="7" t="s">
        <v>0</v>
      </c>
      <c r="AP504" s="7" t="s">
        <v>0</v>
      </c>
      <c r="AQ504" s="7" t="s">
        <v>61</v>
      </c>
      <c r="AR504" s="7" t="s">
        <v>0</v>
      </c>
      <c r="AS504" s="10" t="str">
        <f>HYPERLINK("https://tessa.gazprom-neft.local/edo/card/7e09979a-4ad8-49dc-9a6a-619e97ddf2e7", "https://tessa.gazprom-neft.local/edo/card/7e09979a-4ad8-49dc-9a6a-619e97ddf2e7")</f>
        <v>https://tessa.gazprom-neft.local/edo/card/7e09979a-4ad8-49dc-9a6a-619e97ddf2e7</v>
      </c>
    </row>
    <row r="505" spans="1:45" x14ac:dyDescent="0.25">
      <c r="A505" s="6" t="s">
        <v>44</v>
      </c>
      <c r="B505" s="7" t="s">
        <v>813</v>
      </c>
      <c r="C505" s="7" t="s">
        <v>67</v>
      </c>
      <c r="D505" s="8">
        <v>45372</v>
      </c>
      <c r="E505" s="8" t="s">
        <v>0</v>
      </c>
      <c r="F505" s="16" t="s">
        <v>814</v>
      </c>
      <c r="G505" s="7" t="s">
        <v>815</v>
      </c>
      <c r="H505" s="7" t="s">
        <v>809</v>
      </c>
      <c r="I505" s="7" t="s">
        <v>0</v>
      </c>
      <c r="J505" s="7" t="s">
        <v>316</v>
      </c>
      <c r="K505" s="7" t="s">
        <v>47</v>
      </c>
      <c r="L505" s="7" t="s">
        <v>48</v>
      </c>
      <c r="M505" s="7" t="s">
        <v>0</v>
      </c>
      <c r="N505" s="7" t="s">
        <v>2451</v>
      </c>
      <c r="O505" s="7" t="s">
        <v>0</v>
      </c>
      <c r="P505" s="7" t="s">
        <v>2452</v>
      </c>
      <c r="Q505" s="7" t="s">
        <v>2453</v>
      </c>
      <c r="R505" s="7" t="s">
        <v>393</v>
      </c>
      <c r="S505" s="7" t="s">
        <v>812</v>
      </c>
      <c r="T505" s="7" t="s">
        <v>54</v>
      </c>
      <c r="U505" s="7" t="s">
        <v>55</v>
      </c>
      <c r="V505" s="7" t="s">
        <v>126</v>
      </c>
      <c r="W505" s="7" t="s">
        <v>74</v>
      </c>
      <c r="X505" s="7" t="s">
        <v>58</v>
      </c>
      <c r="Y505" s="8">
        <v>45372</v>
      </c>
      <c r="Z505" s="8" t="s">
        <v>0</v>
      </c>
      <c r="AA505" s="7" t="s">
        <v>200</v>
      </c>
      <c r="AB505" s="7" t="s">
        <v>256</v>
      </c>
      <c r="AC505" s="7" t="s">
        <v>65</v>
      </c>
      <c r="AD505" s="7" t="s">
        <v>80</v>
      </c>
      <c r="AE505" s="7" t="s">
        <v>0</v>
      </c>
      <c r="AF505" s="7" t="s">
        <v>0</v>
      </c>
      <c r="AG505" s="7" t="s">
        <v>0</v>
      </c>
      <c r="AH505" s="9" t="s">
        <v>0</v>
      </c>
      <c r="AI505" s="9" t="s">
        <v>0</v>
      </c>
      <c r="AJ505" s="9" t="s">
        <v>0</v>
      </c>
      <c r="AK505" s="7" t="s">
        <v>61</v>
      </c>
      <c r="AL505" s="7" t="s">
        <v>61</v>
      </c>
      <c r="AM505" s="7" t="s">
        <v>0</v>
      </c>
      <c r="AN505" s="7" t="s">
        <v>0</v>
      </c>
      <c r="AO505" s="7" t="s">
        <v>0</v>
      </c>
      <c r="AP505" s="7" t="s">
        <v>0</v>
      </c>
      <c r="AQ505" s="7" t="s">
        <v>61</v>
      </c>
      <c r="AR505" s="7" t="s">
        <v>0</v>
      </c>
      <c r="AS505" s="10" t="str">
        <f>HYPERLINK("https://tessa.gazprom-neft.local/edo/card/cb552342-cc17-43a9-9f4c-dc04b5ca9e21", "https://tessa.gazprom-neft.local/edo/card/cb552342-cc17-43a9-9f4c-dc04b5ca9e21")</f>
        <v>https://tessa.gazprom-neft.local/edo/card/cb552342-cc17-43a9-9f4c-dc04b5ca9e21</v>
      </c>
    </row>
    <row r="506" spans="1:45" x14ac:dyDescent="0.25">
      <c r="A506" s="6" t="s">
        <v>44</v>
      </c>
      <c r="B506" s="7" t="s">
        <v>395</v>
      </c>
      <c r="C506" s="7" t="s">
        <v>67</v>
      </c>
      <c r="D506" s="8">
        <v>45372</v>
      </c>
      <c r="E506" s="8" t="s">
        <v>0</v>
      </c>
      <c r="F506" s="16" t="s">
        <v>396</v>
      </c>
      <c r="G506" s="7" t="s">
        <v>397</v>
      </c>
      <c r="H506" s="7" t="s">
        <v>2846</v>
      </c>
      <c r="I506" s="7" t="s">
        <v>0</v>
      </c>
      <c r="J506" s="7" t="s">
        <v>271</v>
      </c>
      <c r="K506" s="7" t="s">
        <v>85</v>
      </c>
      <c r="L506" s="7" t="s">
        <v>48</v>
      </c>
      <c r="M506" s="7" t="s">
        <v>1183</v>
      </c>
      <c r="N506" s="7" t="s">
        <v>2845</v>
      </c>
      <c r="O506" s="7" t="s">
        <v>0</v>
      </c>
      <c r="P506" s="7" t="s">
        <v>1183</v>
      </c>
      <c r="Q506" s="7" t="s">
        <v>2847</v>
      </c>
      <c r="R506" s="7" t="s">
        <v>590</v>
      </c>
      <c r="S506" s="7" t="s">
        <v>394</v>
      </c>
      <c r="T506" s="7" t="s">
        <v>54</v>
      </c>
      <c r="U506" s="7" t="s">
        <v>591</v>
      </c>
      <c r="V506" s="7" t="s">
        <v>382</v>
      </c>
      <c r="W506" s="7" t="s">
        <v>74</v>
      </c>
      <c r="X506" s="7" t="s">
        <v>58</v>
      </c>
      <c r="Y506" s="8">
        <v>45372</v>
      </c>
      <c r="Z506" s="8" t="s">
        <v>0</v>
      </c>
      <c r="AA506" s="7" t="s">
        <v>383</v>
      </c>
      <c r="AB506" s="7" t="s">
        <v>228</v>
      </c>
      <c r="AC506" s="7" t="s">
        <v>65</v>
      </c>
      <c r="AD506" s="7" t="s">
        <v>0</v>
      </c>
      <c r="AE506" s="7" t="s">
        <v>0</v>
      </c>
      <c r="AF506" s="7" t="s">
        <v>0</v>
      </c>
      <c r="AG506" s="7" t="s">
        <v>0</v>
      </c>
      <c r="AH506" s="9" t="s">
        <v>0</v>
      </c>
      <c r="AI506" s="9" t="s">
        <v>0</v>
      </c>
      <c r="AJ506" s="9" t="s">
        <v>0</v>
      </c>
      <c r="AK506" s="7" t="s">
        <v>61</v>
      </c>
      <c r="AL506" s="7" t="s">
        <v>61</v>
      </c>
      <c r="AM506" s="7" t="s">
        <v>0</v>
      </c>
      <c r="AN506" s="7" t="s">
        <v>0</v>
      </c>
      <c r="AO506" s="7" t="s">
        <v>0</v>
      </c>
      <c r="AP506" s="7" t="s">
        <v>0</v>
      </c>
      <c r="AQ506" s="7" t="s">
        <v>61</v>
      </c>
      <c r="AR506" s="7" t="s">
        <v>0</v>
      </c>
      <c r="AS506" s="10" t="str">
        <f>HYPERLINK("https://tessa.gazprom-neft.local/edo/card/0e15c3ec-86f8-469c-835b-faef36b77647", "https://tessa.gazprom-neft.local/edo/card/0e15c3ec-86f8-469c-835b-faef36b77647")</f>
        <v>https://tessa.gazprom-neft.local/edo/card/0e15c3ec-86f8-469c-835b-faef36b77647</v>
      </c>
    </row>
    <row r="507" spans="1:45" x14ac:dyDescent="0.25">
      <c r="A507" s="6" t="s">
        <v>44</v>
      </c>
      <c r="B507" s="7" t="s">
        <v>395</v>
      </c>
      <c r="C507" s="7" t="s">
        <v>67</v>
      </c>
      <c r="D507" s="8">
        <v>45372</v>
      </c>
      <c r="E507" s="8" t="s">
        <v>0</v>
      </c>
      <c r="F507" s="16" t="s">
        <v>396</v>
      </c>
      <c r="G507" s="7" t="s">
        <v>397</v>
      </c>
      <c r="H507" s="7" t="s">
        <v>390</v>
      </c>
      <c r="I507" s="7" t="s">
        <v>0</v>
      </c>
      <c r="J507" s="7" t="s">
        <v>355</v>
      </c>
      <c r="K507" s="7" t="s">
        <v>85</v>
      </c>
      <c r="L507" s="7" t="s">
        <v>48</v>
      </c>
      <c r="M507" s="7" t="s">
        <v>2373</v>
      </c>
      <c r="N507" s="7" t="s">
        <v>2884</v>
      </c>
      <c r="O507" s="7" t="s">
        <v>0</v>
      </c>
      <c r="P507" s="7" t="s">
        <v>2885</v>
      </c>
      <c r="Q507" s="7" t="s">
        <v>2886</v>
      </c>
      <c r="R507" s="7" t="s">
        <v>590</v>
      </c>
      <c r="S507" s="7" t="s">
        <v>394</v>
      </c>
      <c r="T507" s="7" t="s">
        <v>54</v>
      </c>
      <c r="U507" s="7" t="s">
        <v>591</v>
      </c>
      <c r="V507" s="7" t="s">
        <v>382</v>
      </c>
      <c r="W507" s="7" t="s">
        <v>74</v>
      </c>
      <c r="X507" s="7" t="s">
        <v>103</v>
      </c>
      <c r="Y507" s="8">
        <v>45372</v>
      </c>
      <c r="Z507" s="8">
        <v>46112</v>
      </c>
      <c r="AA507" s="7" t="s">
        <v>383</v>
      </c>
      <c r="AB507" s="7" t="s">
        <v>387</v>
      </c>
      <c r="AC507" s="7" t="s">
        <v>65</v>
      </c>
      <c r="AD507" s="7" t="s">
        <v>0</v>
      </c>
      <c r="AE507" s="7" t="s">
        <v>0</v>
      </c>
      <c r="AF507" s="7" t="s">
        <v>0</v>
      </c>
      <c r="AG507" s="7" t="s">
        <v>0</v>
      </c>
      <c r="AH507" s="9" t="s">
        <v>0</v>
      </c>
      <c r="AI507" s="9" t="s">
        <v>0</v>
      </c>
      <c r="AJ507" s="9" t="s">
        <v>0</v>
      </c>
      <c r="AK507" s="7" t="s">
        <v>61</v>
      </c>
      <c r="AL507" s="7" t="s">
        <v>61</v>
      </c>
      <c r="AM507" s="7" t="s">
        <v>0</v>
      </c>
      <c r="AN507" s="7" t="s">
        <v>0</v>
      </c>
      <c r="AO507" s="7" t="s">
        <v>0</v>
      </c>
      <c r="AP507" s="7" t="s">
        <v>0</v>
      </c>
      <c r="AQ507" s="7" t="s">
        <v>61</v>
      </c>
      <c r="AR507" s="7" t="s">
        <v>0</v>
      </c>
      <c r="AS507" s="10" t="str">
        <f>HYPERLINK("https://tessa.gazprom-neft.local/edo/card/bfb03117-52c2-4fd5-bdd0-1ec23a9b7167", "https://tessa.gazprom-neft.local/edo/card/bfb03117-52c2-4fd5-bdd0-1ec23a9b7167")</f>
        <v>https://tessa.gazprom-neft.local/edo/card/bfb03117-52c2-4fd5-bdd0-1ec23a9b7167</v>
      </c>
    </row>
    <row r="508" spans="1:45" x14ac:dyDescent="0.25">
      <c r="A508" s="6" t="s">
        <v>44</v>
      </c>
      <c r="B508" s="7" t="s">
        <v>592</v>
      </c>
      <c r="C508" s="7" t="s">
        <v>67</v>
      </c>
      <c r="D508" s="8">
        <v>45372</v>
      </c>
      <c r="E508" s="8" t="s">
        <v>0</v>
      </c>
      <c r="F508" s="16" t="s">
        <v>593</v>
      </c>
      <c r="G508" s="7" t="s">
        <v>594</v>
      </c>
      <c r="H508" s="7" t="s">
        <v>3120</v>
      </c>
      <c r="I508" s="7" t="s">
        <v>0</v>
      </c>
      <c r="J508" s="7" t="s">
        <v>271</v>
      </c>
      <c r="K508" s="7" t="s">
        <v>85</v>
      </c>
      <c r="L508" s="7" t="s">
        <v>48</v>
      </c>
      <c r="M508" s="7" t="s">
        <v>1183</v>
      </c>
      <c r="N508" s="7" t="s">
        <v>3119</v>
      </c>
      <c r="O508" s="7" t="s">
        <v>0</v>
      </c>
      <c r="P508" s="7" t="s">
        <v>3121</v>
      </c>
      <c r="Q508" s="7" t="s">
        <v>2847</v>
      </c>
      <c r="R508" s="7" t="s">
        <v>590</v>
      </c>
      <c r="S508" s="7" t="s">
        <v>394</v>
      </c>
      <c r="T508" s="7" t="s">
        <v>54</v>
      </c>
      <c r="U508" s="7" t="s">
        <v>591</v>
      </c>
      <c r="V508" s="7" t="s">
        <v>126</v>
      </c>
      <c r="W508" s="7" t="s">
        <v>74</v>
      </c>
      <c r="X508" s="7" t="s">
        <v>103</v>
      </c>
      <c r="Y508" s="8">
        <v>44848</v>
      </c>
      <c r="Z508" s="8">
        <v>46112</v>
      </c>
      <c r="AA508" s="7" t="s">
        <v>200</v>
      </c>
      <c r="AB508" s="7" t="s">
        <v>228</v>
      </c>
      <c r="AC508" s="7" t="s">
        <v>65</v>
      </c>
      <c r="AD508" s="7" t="s">
        <v>0</v>
      </c>
      <c r="AE508" s="7" t="s">
        <v>0</v>
      </c>
      <c r="AF508" s="7" t="s">
        <v>0</v>
      </c>
      <c r="AG508" s="7" t="s">
        <v>0</v>
      </c>
      <c r="AH508" s="9" t="s">
        <v>0</v>
      </c>
      <c r="AI508" s="9" t="s">
        <v>0</v>
      </c>
      <c r="AJ508" s="9" t="s">
        <v>0</v>
      </c>
      <c r="AK508" s="7" t="s">
        <v>61</v>
      </c>
      <c r="AL508" s="7" t="s">
        <v>61</v>
      </c>
      <c r="AM508" s="7" t="s">
        <v>0</v>
      </c>
      <c r="AN508" s="7" t="s">
        <v>0</v>
      </c>
      <c r="AO508" s="7" t="s">
        <v>0</v>
      </c>
      <c r="AP508" s="7" t="s">
        <v>0</v>
      </c>
      <c r="AQ508" s="7" t="s">
        <v>61</v>
      </c>
      <c r="AR508" s="7" t="s">
        <v>0</v>
      </c>
      <c r="AS508" s="10" t="str">
        <f>HYPERLINK("https://tessa.gazprom-neft.local/edo/card/44d27f64-1312-4b62-908e-deaacfedddf8", "https://tessa.gazprom-neft.local/edo/card/44d27f64-1312-4b62-908e-deaacfedddf8")</f>
        <v>https://tessa.gazprom-neft.local/edo/card/44d27f64-1312-4b62-908e-deaacfedddf8</v>
      </c>
    </row>
    <row r="509" spans="1:45" x14ac:dyDescent="0.25">
      <c r="A509" s="6" t="s">
        <v>44</v>
      </c>
      <c r="B509" s="7" t="s">
        <v>592</v>
      </c>
      <c r="C509" s="7" t="s">
        <v>67</v>
      </c>
      <c r="D509" s="8">
        <v>45372</v>
      </c>
      <c r="E509" s="8" t="s">
        <v>0</v>
      </c>
      <c r="F509" s="16" t="s">
        <v>593</v>
      </c>
      <c r="G509" s="7" t="s">
        <v>594</v>
      </c>
      <c r="H509" s="7" t="s">
        <v>953</v>
      </c>
      <c r="I509" s="7" t="s">
        <v>0</v>
      </c>
      <c r="J509" s="7" t="s">
        <v>355</v>
      </c>
      <c r="K509" s="7" t="s">
        <v>85</v>
      </c>
      <c r="L509" s="7" t="s">
        <v>48</v>
      </c>
      <c r="M509" s="7" t="s">
        <v>2373</v>
      </c>
      <c r="N509" s="7" t="s">
        <v>3126</v>
      </c>
      <c r="O509" s="7" t="s">
        <v>0</v>
      </c>
      <c r="P509" s="7" t="s">
        <v>3127</v>
      </c>
      <c r="Q509" s="7" t="s">
        <v>2524</v>
      </c>
      <c r="R509" s="7" t="s">
        <v>590</v>
      </c>
      <c r="S509" s="7" t="s">
        <v>394</v>
      </c>
      <c r="T509" s="7" t="s">
        <v>54</v>
      </c>
      <c r="U509" s="7" t="s">
        <v>591</v>
      </c>
      <c r="V509" s="7" t="s">
        <v>126</v>
      </c>
      <c r="W509" s="7" t="s">
        <v>74</v>
      </c>
      <c r="X509" s="7" t="s">
        <v>103</v>
      </c>
      <c r="Y509" s="8">
        <v>45372</v>
      </c>
      <c r="Z509" s="8">
        <v>46112</v>
      </c>
      <c r="AA509" s="7" t="s">
        <v>200</v>
      </c>
      <c r="AB509" s="7" t="s">
        <v>387</v>
      </c>
      <c r="AC509" s="7" t="s">
        <v>65</v>
      </c>
      <c r="AD509" s="7" t="s">
        <v>144</v>
      </c>
      <c r="AE509" s="7" t="s">
        <v>0</v>
      </c>
      <c r="AF509" s="7" t="s">
        <v>0</v>
      </c>
      <c r="AG509" s="7" t="s">
        <v>0</v>
      </c>
      <c r="AH509" s="9" t="s">
        <v>0</v>
      </c>
      <c r="AI509" s="9" t="s">
        <v>0</v>
      </c>
      <c r="AJ509" s="9" t="s">
        <v>0</v>
      </c>
      <c r="AK509" s="7" t="s">
        <v>61</v>
      </c>
      <c r="AL509" s="7" t="s">
        <v>61</v>
      </c>
      <c r="AM509" s="7" t="s">
        <v>0</v>
      </c>
      <c r="AN509" s="7" t="s">
        <v>0</v>
      </c>
      <c r="AO509" s="7" t="s">
        <v>0</v>
      </c>
      <c r="AP509" s="7" t="s">
        <v>0</v>
      </c>
      <c r="AQ509" s="7" t="s">
        <v>61</v>
      </c>
      <c r="AR509" s="7" t="s">
        <v>0</v>
      </c>
      <c r="AS509" s="10" t="str">
        <f>HYPERLINK("https://tessa.gazprom-neft.local/edo/card/663a9fe1-4788-4e47-b457-28ca348629aa", "https://tessa.gazprom-neft.local/edo/card/663a9fe1-4788-4e47-b457-28ca348629aa")</f>
        <v>https://tessa.gazprom-neft.local/edo/card/663a9fe1-4788-4e47-b457-28ca348629aa</v>
      </c>
    </row>
    <row r="510" spans="1:45" hidden="1" x14ac:dyDescent="0.25">
      <c r="A510" s="6" t="s">
        <v>44</v>
      </c>
      <c r="B510" s="7" t="s">
        <v>2297</v>
      </c>
      <c r="C510" s="7" t="s">
        <v>67</v>
      </c>
      <c r="D510" s="8">
        <v>45371</v>
      </c>
      <c r="E510" s="8" t="s">
        <v>0</v>
      </c>
      <c r="F510" s="16" t="s">
        <v>2298</v>
      </c>
      <c r="G510" s="7" t="s">
        <v>2299</v>
      </c>
      <c r="H510" s="7" t="s">
        <v>0</v>
      </c>
      <c r="I510" s="7" t="s">
        <v>2295</v>
      </c>
      <c r="J510" s="7" t="s">
        <v>2295</v>
      </c>
      <c r="K510" s="7" t="s">
        <v>85</v>
      </c>
      <c r="L510" s="7" t="s">
        <v>96</v>
      </c>
      <c r="M510" s="7" t="s">
        <v>1931</v>
      </c>
      <c r="N510" s="7" t="s">
        <v>2294</v>
      </c>
      <c r="O510" s="7" t="s">
        <v>0</v>
      </c>
      <c r="P510" s="7" t="s">
        <v>1931</v>
      </c>
      <c r="Q510" s="7" t="s">
        <v>2296</v>
      </c>
      <c r="R510" s="7" t="s">
        <v>1199</v>
      </c>
      <c r="S510" s="7" t="s">
        <v>1199</v>
      </c>
      <c r="T510" s="7" t="s">
        <v>54</v>
      </c>
      <c r="U510" s="7" t="s">
        <v>605</v>
      </c>
      <c r="V510" s="7" t="s">
        <v>126</v>
      </c>
      <c r="W510" s="7" t="s">
        <v>57</v>
      </c>
      <c r="X510" s="7" t="s">
        <v>103</v>
      </c>
      <c r="Y510" s="8">
        <v>45377</v>
      </c>
      <c r="Z510" s="8">
        <v>45713</v>
      </c>
      <c r="AA510" s="7" t="s">
        <v>200</v>
      </c>
      <c r="AB510" s="7" t="s">
        <v>1203</v>
      </c>
      <c r="AC510" s="7" t="s">
        <v>79</v>
      </c>
      <c r="AD510" s="7" t="s">
        <v>80</v>
      </c>
      <c r="AE510" s="7" t="s">
        <v>193</v>
      </c>
      <c r="AF510" s="7" t="s">
        <v>0</v>
      </c>
      <c r="AG510" s="7" t="s">
        <v>0</v>
      </c>
      <c r="AH510" s="9" t="s">
        <v>11311</v>
      </c>
      <c r="AI510" s="9" t="s">
        <v>11312</v>
      </c>
      <c r="AJ510" s="9" t="s">
        <v>11313</v>
      </c>
      <c r="AK510" s="7" t="s">
        <v>61</v>
      </c>
      <c r="AL510" s="7" t="s">
        <v>61</v>
      </c>
      <c r="AM510" s="7" t="s">
        <v>0</v>
      </c>
      <c r="AN510" s="7" t="s">
        <v>0</v>
      </c>
      <c r="AO510" s="7" t="s">
        <v>0</v>
      </c>
      <c r="AP510" s="7" t="s">
        <v>0</v>
      </c>
      <c r="AQ510" s="7" t="s">
        <v>61</v>
      </c>
      <c r="AR510" s="7" t="s">
        <v>0</v>
      </c>
      <c r="AS510" s="10" t="str">
        <f>HYPERLINK("https://tessa.gazprom-neft.local/edo/card/93aa4a8a-cad5-467b-895b-2775860be532", "https://tessa.gazprom-neft.local/edo/card/93aa4a8a-cad5-467b-895b-2775860be532")</f>
        <v>https://tessa.gazprom-neft.local/edo/card/93aa4a8a-cad5-467b-895b-2775860be532</v>
      </c>
    </row>
    <row r="511" spans="1:45" hidden="1" x14ac:dyDescent="0.25">
      <c r="A511" s="6" t="s">
        <v>44</v>
      </c>
      <c r="B511" s="7" t="s">
        <v>1784</v>
      </c>
      <c r="C511" s="7" t="s">
        <v>67</v>
      </c>
      <c r="D511" s="8">
        <v>45370</v>
      </c>
      <c r="E511" s="8" t="s">
        <v>0</v>
      </c>
      <c r="F511" s="16" t="s">
        <v>1785</v>
      </c>
      <c r="G511" s="7" t="s">
        <v>1786</v>
      </c>
      <c r="H511" s="7" t="s">
        <v>0</v>
      </c>
      <c r="I511" s="7" t="s">
        <v>2278</v>
      </c>
      <c r="J511" s="7" t="s">
        <v>2278</v>
      </c>
      <c r="K511" s="7" t="s">
        <v>47</v>
      </c>
      <c r="L511" s="7" t="s">
        <v>96</v>
      </c>
      <c r="M511" s="7" t="s">
        <v>0</v>
      </c>
      <c r="N511" s="7" t="s">
        <v>2277</v>
      </c>
      <c r="O511" s="7" t="s">
        <v>0</v>
      </c>
      <c r="P511" s="7" t="s">
        <v>2279</v>
      </c>
      <c r="Q511" s="7" t="s">
        <v>2280</v>
      </c>
      <c r="R511" s="7" t="s">
        <v>1139</v>
      </c>
      <c r="S511" s="7" t="s">
        <v>1066</v>
      </c>
      <c r="T511" s="7" t="s">
        <v>54</v>
      </c>
      <c r="U511" s="7" t="s">
        <v>283</v>
      </c>
      <c r="V511" s="7" t="s">
        <v>308</v>
      </c>
      <c r="W511" s="7" t="s">
        <v>74</v>
      </c>
      <c r="X511" s="7" t="s">
        <v>103</v>
      </c>
      <c r="Y511" s="8">
        <v>45376</v>
      </c>
      <c r="Z511" s="8">
        <v>47483</v>
      </c>
      <c r="AA511" s="7" t="s">
        <v>309</v>
      </c>
      <c r="AB511" s="7" t="s">
        <v>64</v>
      </c>
      <c r="AC511" s="7" t="s">
        <v>79</v>
      </c>
      <c r="AD511" s="7" t="s">
        <v>144</v>
      </c>
      <c r="AE511" s="7" t="s">
        <v>82</v>
      </c>
      <c r="AF511" s="7" t="s">
        <v>0</v>
      </c>
      <c r="AG511" s="7" t="s">
        <v>0</v>
      </c>
      <c r="AH511" s="9" t="s">
        <v>11305</v>
      </c>
      <c r="AI511" s="9" t="s">
        <v>11306</v>
      </c>
      <c r="AJ511" s="9" t="s">
        <v>11307</v>
      </c>
      <c r="AK511" s="7" t="s">
        <v>61</v>
      </c>
      <c r="AL511" s="7" t="s">
        <v>61</v>
      </c>
      <c r="AM511" s="7" t="s">
        <v>0</v>
      </c>
      <c r="AN511" s="7" t="s">
        <v>0</v>
      </c>
      <c r="AO511" s="7" t="s">
        <v>0</v>
      </c>
      <c r="AP511" s="7" t="s">
        <v>0</v>
      </c>
      <c r="AQ511" s="7" t="s">
        <v>81</v>
      </c>
      <c r="AR511" s="7" t="s">
        <v>0</v>
      </c>
      <c r="AS511" s="10" t="str">
        <f>HYPERLINK("https://tessa.gazprom-neft.local/edo/card/df2ebf32-4c4a-421d-91b7-1cf77a18aa8c", "https://tessa.gazprom-neft.local/edo/card/df2ebf32-4c4a-421d-91b7-1cf77a18aa8c")</f>
        <v>https://tessa.gazprom-neft.local/edo/card/df2ebf32-4c4a-421d-91b7-1cf77a18aa8c</v>
      </c>
    </row>
    <row r="512" spans="1:45" hidden="1" x14ac:dyDescent="0.25">
      <c r="A512" s="6" t="s">
        <v>44</v>
      </c>
      <c r="B512" s="7" t="s">
        <v>542</v>
      </c>
      <c r="C512" s="7" t="s">
        <v>67</v>
      </c>
      <c r="D512" s="8">
        <v>45369</v>
      </c>
      <c r="E512" s="8" t="s">
        <v>0</v>
      </c>
      <c r="F512" s="16" t="s">
        <v>543</v>
      </c>
      <c r="G512" s="7" t="s">
        <v>544</v>
      </c>
      <c r="H512" s="7" t="s">
        <v>0</v>
      </c>
      <c r="I512" s="7" t="s">
        <v>2148</v>
      </c>
      <c r="J512" s="7" t="s">
        <v>2148</v>
      </c>
      <c r="K512" s="7" t="s">
        <v>47</v>
      </c>
      <c r="L512" s="7" t="s">
        <v>96</v>
      </c>
      <c r="M512" s="7" t="s">
        <v>0</v>
      </c>
      <c r="N512" s="7" t="s">
        <v>2147</v>
      </c>
      <c r="O512" s="7" t="s">
        <v>0</v>
      </c>
      <c r="P512" s="7" t="s">
        <v>2149</v>
      </c>
      <c r="Q512" s="7" t="s">
        <v>2150</v>
      </c>
      <c r="R512" s="7" t="s">
        <v>1139</v>
      </c>
      <c r="S512" s="7" t="s">
        <v>540</v>
      </c>
      <c r="T512" s="7" t="s">
        <v>54</v>
      </c>
      <c r="U512" s="7" t="s">
        <v>55</v>
      </c>
      <c r="V512" s="7" t="s">
        <v>126</v>
      </c>
      <c r="W512" s="7" t="s">
        <v>57</v>
      </c>
      <c r="X512" s="7" t="s">
        <v>103</v>
      </c>
      <c r="Y512" s="8">
        <v>45369</v>
      </c>
      <c r="Z512" s="8">
        <v>46022</v>
      </c>
      <c r="AA512" s="7" t="s">
        <v>200</v>
      </c>
      <c r="AB512" s="7" t="s">
        <v>130</v>
      </c>
      <c r="AC512" s="7" t="s">
        <v>79</v>
      </c>
      <c r="AD512" s="7" t="s">
        <v>144</v>
      </c>
      <c r="AE512" s="7" t="s">
        <v>82</v>
      </c>
      <c r="AF512" s="7" t="s">
        <v>0</v>
      </c>
      <c r="AG512" s="7" t="s">
        <v>0</v>
      </c>
      <c r="AH512" s="9" t="s">
        <v>11255</v>
      </c>
      <c r="AI512" s="9" t="s">
        <v>11256</v>
      </c>
      <c r="AJ512" s="9" t="s">
        <v>11257</v>
      </c>
      <c r="AK512" s="7" t="s">
        <v>61</v>
      </c>
      <c r="AL512" s="7" t="s">
        <v>61</v>
      </c>
      <c r="AM512" s="7" t="s">
        <v>0</v>
      </c>
      <c r="AN512" s="7" t="s">
        <v>0</v>
      </c>
      <c r="AO512" s="7" t="s">
        <v>0</v>
      </c>
      <c r="AP512" s="7" t="s">
        <v>0</v>
      </c>
      <c r="AQ512" s="7" t="s">
        <v>81</v>
      </c>
      <c r="AR512" s="7" t="s">
        <v>0</v>
      </c>
      <c r="AS512" s="10" t="str">
        <f>HYPERLINK("https://tessa.gazprom-neft.local/edo/card/274a90e4-6080-42e2-9782-b1e9b565ee85", "https://tessa.gazprom-neft.local/edo/card/274a90e4-6080-42e2-9782-b1e9b565ee85")</f>
        <v>https://tessa.gazprom-neft.local/edo/card/274a90e4-6080-42e2-9782-b1e9b565ee85</v>
      </c>
    </row>
    <row r="513" spans="1:45" x14ac:dyDescent="0.25">
      <c r="A513" s="6" t="s">
        <v>44</v>
      </c>
      <c r="B513" s="7" t="s">
        <v>2179</v>
      </c>
      <c r="C513" s="7" t="s">
        <v>67</v>
      </c>
      <c r="D513" s="8">
        <v>45369</v>
      </c>
      <c r="E513" s="8" t="s">
        <v>0</v>
      </c>
      <c r="F513" s="16" t="s">
        <v>2180</v>
      </c>
      <c r="G513" s="7" t="s">
        <v>2181</v>
      </c>
      <c r="H513" s="7" t="s">
        <v>2176</v>
      </c>
      <c r="I513" s="7" t="s">
        <v>0</v>
      </c>
      <c r="J513" s="7" t="s">
        <v>51</v>
      </c>
      <c r="K513" s="7" t="s">
        <v>85</v>
      </c>
      <c r="L513" s="7" t="s">
        <v>48</v>
      </c>
      <c r="M513" s="7" t="s">
        <v>2128</v>
      </c>
      <c r="N513" s="7" t="s">
        <v>2175</v>
      </c>
      <c r="O513" s="7" t="s">
        <v>0</v>
      </c>
      <c r="P513" s="7" t="s">
        <v>2128</v>
      </c>
      <c r="Q513" s="7" t="s">
        <v>2177</v>
      </c>
      <c r="R513" s="7" t="s">
        <v>2178</v>
      </c>
      <c r="S513" s="7" t="s">
        <v>0</v>
      </c>
      <c r="T513" s="7" t="s">
        <v>54</v>
      </c>
      <c r="U513" s="7" t="s">
        <v>605</v>
      </c>
      <c r="V513" s="7" t="s">
        <v>126</v>
      </c>
      <c r="W513" s="7" t="s">
        <v>57</v>
      </c>
      <c r="X513" s="7" t="s">
        <v>103</v>
      </c>
      <c r="Y513" s="8">
        <v>45369</v>
      </c>
      <c r="Z513" s="8">
        <v>46022</v>
      </c>
      <c r="AA513" s="7" t="s">
        <v>200</v>
      </c>
      <c r="AB513" s="7" t="s">
        <v>130</v>
      </c>
      <c r="AC513" s="7" t="s">
        <v>65</v>
      </c>
      <c r="AD513" s="7" t="s">
        <v>144</v>
      </c>
      <c r="AE513" s="7" t="s">
        <v>0</v>
      </c>
      <c r="AF513" s="7" t="s">
        <v>0</v>
      </c>
      <c r="AG513" s="7" t="s">
        <v>0</v>
      </c>
      <c r="AH513" s="9" t="s">
        <v>0</v>
      </c>
      <c r="AI513" s="9" t="s">
        <v>0</v>
      </c>
      <c r="AJ513" s="9" t="s">
        <v>0</v>
      </c>
      <c r="AK513" s="7" t="s">
        <v>61</v>
      </c>
      <c r="AL513" s="7" t="s">
        <v>61</v>
      </c>
      <c r="AM513" s="7" t="s">
        <v>0</v>
      </c>
      <c r="AN513" s="7" t="s">
        <v>0</v>
      </c>
      <c r="AO513" s="7" t="s">
        <v>0</v>
      </c>
      <c r="AP513" s="7" t="s">
        <v>0</v>
      </c>
      <c r="AQ513" s="7" t="s">
        <v>61</v>
      </c>
      <c r="AR513" s="7" t="s">
        <v>0</v>
      </c>
      <c r="AS513" s="10" t="str">
        <f>HYPERLINK("https://tessa.gazprom-neft.local/edo/card/bab19454-a49c-4e2d-842d-66d7fc12d4f5", "https://tessa.gazprom-neft.local/edo/card/bab19454-a49c-4e2d-842d-66d7fc12d4f5")</f>
        <v>https://tessa.gazprom-neft.local/edo/card/bab19454-a49c-4e2d-842d-66d7fc12d4f5</v>
      </c>
    </row>
    <row r="514" spans="1:45" hidden="1" x14ac:dyDescent="0.25">
      <c r="A514" s="6" t="s">
        <v>44</v>
      </c>
      <c r="B514" s="7" t="s">
        <v>284</v>
      </c>
      <c r="C514" s="7" t="s">
        <v>67</v>
      </c>
      <c r="D514" s="8">
        <v>45369</v>
      </c>
      <c r="E514" s="8" t="s">
        <v>0</v>
      </c>
      <c r="F514" s="16" t="s">
        <v>285</v>
      </c>
      <c r="G514" s="7" t="s">
        <v>286</v>
      </c>
      <c r="H514" s="7" t="s">
        <v>419</v>
      </c>
      <c r="I514" s="7" t="s">
        <v>0</v>
      </c>
      <c r="J514" s="7" t="s">
        <v>271</v>
      </c>
      <c r="K514" s="7" t="s">
        <v>47</v>
      </c>
      <c r="L514" s="7" t="s">
        <v>389</v>
      </c>
      <c r="M514" s="7" t="s">
        <v>0</v>
      </c>
      <c r="N514" s="7" t="s">
        <v>2238</v>
      </c>
      <c r="O514" s="7" t="s">
        <v>51</v>
      </c>
      <c r="P514" s="7" t="s">
        <v>2239</v>
      </c>
      <c r="Q514" s="7" t="s">
        <v>2240</v>
      </c>
      <c r="R514" s="7" t="s">
        <v>282</v>
      </c>
      <c r="S514" s="7" t="s">
        <v>0</v>
      </c>
      <c r="T514" s="7" t="s">
        <v>54</v>
      </c>
      <c r="U514" s="7" t="s">
        <v>55</v>
      </c>
      <c r="V514" s="7" t="s">
        <v>126</v>
      </c>
      <c r="W514" s="7" t="s">
        <v>74</v>
      </c>
      <c r="X514" s="7" t="s">
        <v>103</v>
      </c>
      <c r="Y514" s="8">
        <v>45369</v>
      </c>
      <c r="Z514" s="8">
        <v>46752</v>
      </c>
      <c r="AA514" s="7" t="s">
        <v>200</v>
      </c>
      <c r="AB514" s="7" t="s">
        <v>423</v>
      </c>
      <c r="AC514" s="7" t="s">
        <v>79</v>
      </c>
      <c r="AD514" s="7" t="s">
        <v>144</v>
      </c>
      <c r="AE514" s="7" t="s">
        <v>82</v>
      </c>
      <c r="AF514" s="7" t="s">
        <v>0</v>
      </c>
      <c r="AG514" s="7" t="s">
        <v>0</v>
      </c>
      <c r="AH514" s="9" t="s">
        <v>11287</v>
      </c>
      <c r="AI514" s="9" t="s">
        <v>11288</v>
      </c>
      <c r="AJ514" s="9" t="s">
        <v>11289</v>
      </c>
      <c r="AK514" s="7" t="s">
        <v>61</v>
      </c>
      <c r="AL514" s="7" t="s">
        <v>61</v>
      </c>
      <c r="AM514" s="7" t="s">
        <v>0</v>
      </c>
      <c r="AN514" s="7" t="s">
        <v>0</v>
      </c>
      <c r="AO514" s="7" t="s">
        <v>0</v>
      </c>
      <c r="AP514" s="7" t="s">
        <v>0</v>
      </c>
      <c r="AQ514" s="7" t="s">
        <v>61</v>
      </c>
      <c r="AR514" s="7" t="s">
        <v>0</v>
      </c>
      <c r="AS514" s="10" t="str">
        <f>HYPERLINK("https://tessa.gazprom-neft.local/edo/card/4aacfc40-ac61-44e7-94d5-15448515f6c8", "https://tessa.gazprom-neft.local/edo/card/4aacfc40-ac61-44e7-94d5-15448515f6c8")</f>
        <v>https://tessa.gazprom-neft.local/edo/card/4aacfc40-ac61-44e7-94d5-15448515f6c8</v>
      </c>
    </row>
    <row r="515" spans="1:45" hidden="1" x14ac:dyDescent="0.25">
      <c r="A515" s="6" t="s">
        <v>44</v>
      </c>
      <c r="B515" s="7" t="s">
        <v>1935</v>
      </c>
      <c r="C515" s="7" t="s">
        <v>67</v>
      </c>
      <c r="D515" s="8">
        <v>45368</v>
      </c>
      <c r="E515" s="8" t="s">
        <v>0</v>
      </c>
      <c r="F515" s="16" t="s">
        <v>1936</v>
      </c>
      <c r="G515" s="7" t="s">
        <v>1937</v>
      </c>
      <c r="H515" s="7" t="s">
        <v>0</v>
      </c>
      <c r="I515" s="7" t="s">
        <v>1933</v>
      </c>
      <c r="J515" s="7" t="s">
        <v>1933</v>
      </c>
      <c r="K515" s="7" t="s">
        <v>85</v>
      </c>
      <c r="L515" s="7" t="s">
        <v>96</v>
      </c>
      <c r="M515" s="7" t="s">
        <v>1931</v>
      </c>
      <c r="N515" s="7" t="s">
        <v>1932</v>
      </c>
      <c r="O515" s="7" t="s">
        <v>0</v>
      </c>
      <c r="P515" s="7" t="s">
        <v>1931</v>
      </c>
      <c r="Q515" s="7" t="s">
        <v>1934</v>
      </c>
      <c r="R515" s="7" t="s">
        <v>1199</v>
      </c>
      <c r="S515" s="7" t="s">
        <v>1199</v>
      </c>
      <c r="T515" s="7" t="s">
        <v>54</v>
      </c>
      <c r="U515" s="7" t="s">
        <v>605</v>
      </c>
      <c r="V515" s="7" t="s">
        <v>126</v>
      </c>
      <c r="W515" s="7" t="s">
        <v>57</v>
      </c>
      <c r="X515" s="7" t="s">
        <v>103</v>
      </c>
      <c r="Y515" s="8">
        <v>45368</v>
      </c>
      <c r="Z515" s="8">
        <v>45704</v>
      </c>
      <c r="AA515" s="7" t="s">
        <v>200</v>
      </c>
      <c r="AB515" s="7" t="s">
        <v>1203</v>
      </c>
      <c r="AC515" s="7" t="s">
        <v>79</v>
      </c>
      <c r="AD515" s="7" t="s">
        <v>80</v>
      </c>
      <c r="AE515" s="7" t="s">
        <v>193</v>
      </c>
      <c r="AF515" s="7" t="s">
        <v>0</v>
      </c>
      <c r="AG515" s="7" t="s">
        <v>0</v>
      </c>
      <c r="AH515" s="9" t="s">
        <v>11185</v>
      </c>
      <c r="AI515" s="9" t="s">
        <v>11186</v>
      </c>
      <c r="AJ515" s="9" t="s">
        <v>11187</v>
      </c>
      <c r="AK515" s="7" t="s">
        <v>61</v>
      </c>
      <c r="AL515" s="7" t="s">
        <v>61</v>
      </c>
      <c r="AM515" s="7" t="s">
        <v>0</v>
      </c>
      <c r="AN515" s="7" t="s">
        <v>0</v>
      </c>
      <c r="AO515" s="7" t="s">
        <v>0</v>
      </c>
      <c r="AP515" s="7" t="s">
        <v>0</v>
      </c>
      <c r="AQ515" s="7" t="s">
        <v>61</v>
      </c>
      <c r="AR515" s="7" t="s">
        <v>0</v>
      </c>
      <c r="AS515" s="10" t="str">
        <f>HYPERLINK("https://tessa.gazprom-neft.local/edo/card/958c3397-679d-4bf5-adaf-2710ab87d25b", "https://tessa.gazprom-neft.local/edo/card/958c3397-679d-4bf5-adaf-2710ab87d25b")</f>
        <v>https://tessa.gazprom-neft.local/edo/card/958c3397-679d-4bf5-adaf-2710ab87d25b</v>
      </c>
    </row>
    <row r="516" spans="1:45" hidden="1" x14ac:dyDescent="0.25">
      <c r="A516" s="6" t="s">
        <v>44</v>
      </c>
      <c r="B516" s="7" t="s">
        <v>1588</v>
      </c>
      <c r="C516" s="7" t="s">
        <v>67</v>
      </c>
      <c r="D516" s="8">
        <v>45366</v>
      </c>
      <c r="E516" s="8" t="s">
        <v>0</v>
      </c>
      <c r="F516" s="16" t="s">
        <v>1589</v>
      </c>
      <c r="G516" s="7" t="s">
        <v>1590</v>
      </c>
      <c r="H516" s="7" t="s">
        <v>0</v>
      </c>
      <c r="I516" s="7" t="s">
        <v>2259</v>
      </c>
      <c r="J516" s="7" t="s">
        <v>2259</v>
      </c>
      <c r="K516" s="7" t="s">
        <v>85</v>
      </c>
      <c r="L516" s="7" t="s">
        <v>86</v>
      </c>
      <c r="M516" s="7" t="s">
        <v>83</v>
      </c>
      <c r="N516" s="7" t="s">
        <v>2258</v>
      </c>
      <c r="O516" s="7" t="s">
        <v>0</v>
      </c>
      <c r="P516" s="7" t="s">
        <v>83</v>
      </c>
      <c r="Q516" s="7" t="s">
        <v>2260</v>
      </c>
      <c r="R516" s="7" t="s">
        <v>2261</v>
      </c>
      <c r="S516" s="7" t="s">
        <v>2261</v>
      </c>
      <c r="T516" s="7" t="s">
        <v>54</v>
      </c>
      <c r="U516" s="7" t="s">
        <v>428</v>
      </c>
      <c r="V516" s="7" t="s">
        <v>91</v>
      </c>
      <c r="W516" s="7" t="s">
        <v>74</v>
      </c>
      <c r="X516" s="7" t="s">
        <v>103</v>
      </c>
      <c r="Y516" s="8">
        <v>45366</v>
      </c>
      <c r="Z516" s="8">
        <v>46460</v>
      </c>
      <c r="AA516" s="7" t="s">
        <v>92</v>
      </c>
      <c r="AB516" s="7" t="s">
        <v>94</v>
      </c>
      <c r="AC516" s="7" t="s">
        <v>65</v>
      </c>
      <c r="AD516" s="7" t="s">
        <v>0</v>
      </c>
      <c r="AE516" s="7" t="s">
        <v>0</v>
      </c>
      <c r="AF516" s="7" t="s">
        <v>0</v>
      </c>
      <c r="AG516" s="7" t="s">
        <v>0</v>
      </c>
      <c r="AH516" s="9" t="s">
        <v>0</v>
      </c>
      <c r="AI516" s="9" t="s">
        <v>0</v>
      </c>
      <c r="AJ516" s="9" t="s">
        <v>0</v>
      </c>
      <c r="AK516" s="7" t="s">
        <v>61</v>
      </c>
      <c r="AL516" s="7" t="s">
        <v>61</v>
      </c>
      <c r="AM516" s="7" t="s">
        <v>0</v>
      </c>
      <c r="AN516" s="7" t="s">
        <v>0</v>
      </c>
      <c r="AO516" s="7" t="s">
        <v>0</v>
      </c>
      <c r="AP516" s="7" t="s">
        <v>0</v>
      </c>
      <c r="AQ516" s="7" t="s">
        <v>61</v>
      </c>
      <c r="AR516" s="7" t="s">
        <v>0</v>
      </c>
      <c r="AS516" s="10" t="str">
        <f>HYPERLINK("https://tessa.gazprom-neft.local/edo/card/bbe8ce61-6d14-4a86-9909-0ed69a1c5683", "https://tessa.gazprom-neft.local/edo/card/bbe8ce61-6d14-4a86-9909-0ed69a1c5683")</f>
        <v>https://tessa.gazprom-neft.local/edo/card/bbe8ce61-6d14-4a86-9909-0ed69a1c5683</v>
      </c>
    </row>
    <row r="517" spans="1:45" hidden="1" x14ac:dyDescent="0.25">
      <c r="A517" s="6" t="s">
        <v>44</v>
      </c>
      <c r="B517" s="7" t="s">
        <v>620</v>
      </c>
      <c r="C517" s="7" t="s">
        <v>67</v>
      </c>
      <c r="D517" s="8">
        <v>45364</v>
      </c>
      <c r="E517" s="8" t="s">
        <v>0</v>
      </c>
      <c r="F517" s="16" t="s">
        <v>621</v>
      </c>
      <c r="G517" s="7" t="s">
        <v>622</v>
      </c>
      <c r="H517" s="7" t="s">
        <v>0</v>
      </c>
      <c r="I517" s="7" t="s">
        <v>2135</v>
      </c>
      <c r="J517" s="7" t="s">
        <v>2135</v>
      </c>
      <c r="K517" s="7" t="s">
        <v>85</v>
      </c>
      <c r="L517" s="7" t="s">
        <v>96</v>
      </c>
      <c r="M517" s="7" t="s">
        <v>398</v>
      </c>
      <c r="N517" s="7" t="s">
        <v>2134</v>
      </c>
      <c r="O517" s="7" t="s">
        <v>0</v>
      </c>
      <c r="P517" s="7" t="s">
        <v>1871</v>
      </c>
      <c r="Q517" s="7" t="s">
        <v>402</v>
      </c>
      <c r="R517" s="7" t="s">
        <v>361</v>
      </c>
      <c r="S517" s="7" t="s">
        <v>361</v>
      </c>
      <c r="T517" s="7" t="s">
        <v>54</v>
      </c>
      <c r="U517" s="7" t="s">
        <v>362</v>
      </c>
      <c r="V517" s="7" t="s">
        <v>295</v>
      </c>
      <c r="W517" s="7" t="s">
        <v>74</v>
      </c>
      <c r="X517" s="7" t="s">
        <v>103</v>
      </c>
      <c r="Y517" s="8">
        <v>45383</v>
      </c>
      <c r="Z517" s="8">
        <v>45747</v>
      </c>
      <c r="AA517" s="7" t="s">
        <v>296</v>
      </c>
      <c r="AB517" s="7" t="s">
        <v>366</v>
      </c>
      <c r="AC517" s="7" t="s">
        <v>278</v>
      </c>
      <c r="AD517" s="7" t="s">
        <v>367</v>
      </c>
      <c r="AE517" s="7" t="s">
        <v>82</v>
      </c>
      <c r="AF517" s="7" t="s">
        <v>0</v>
      </c>
      <c r="AG517" s="7" t="s">
        <v>0</v>
      </c>
      <c r="AH517" s="9" t="s">
        <v>11251</v>
      </c>
      <c r="AI517" s="9" t="s">
        <v>11252</v>
      </c>
      <c r="AJ517" s="9" t="s">
        <v>11253</v>
      </c>
      <c r="AK517" s="7" t="s">
        <v>61</v>
      </c>
      <c r="AL517" s="7" t="s">
        <v>61</v>
      </c>
      <c r="AM517" s="7" t="s">
        <v>0</v>
      </c>
      <c r="AN517" s="7" t="s">
        <v>0</v>
      </c>
      <c r="AO517" s="7" t="s">
        <v>0</v>
      </c>
      <c r="AP517" s="7" t="s">
        <v>0</v>
      </c>
      <c r="AQ517" s="7" t="s">
        <v>61</v>
      </c>
      <c r="AR517" s="7" t="s">
        <v>0</v>
      </c>
      <c r="AS517" s="10" t="str">
        <f>HYPERLINK("https://tessa.gazprom-neft.local/edo/card/d06b7edb-6530-40bb-86ec-75793b9ec329", "https://tessa.gazprom-neft.local/edo/card/d06b7edb-6530-40bb-86ec-75793b9ec329")</f>
        <v>https://tessa.gazprom-neft.local/edo/card/d06b7edb-6530-40bb-86ec-75793b9ec329</v>
      </c>
    </row>
    <row r="518" spans="1:45" hidden="1" x14ac:dyDescent="0.25">
      <c r="A518" s="6" t="s">
        <v>44</v>
      </c>
      <c r="B518" s="7" t="s">
        <v>0</v>
      </c>
      <c r="C518" s="7" t="s">
        <v>67</v>
      </c>
      <c r="D518" s="8">
        <v>45363</v>
      </c>
      <c r="E518" s="8" t="s">
        <v>0</v>
      </c>
      <c r="F518" s="16" t="s">
        <v>1044</v>
      </c>
      <c r="G518" s="7" t="s">
        <v>0</v>
      </c>
      <c r="H518" s="7" t="s">
        <v>0</v>
      </c>
      <c r="I518" s="7" t="s">
        <v>1039</v>
      </c>
      <c r="J518" s="7" t="s">
        <v>1039</v>
      </c>
      <c r="K518" s="7" t="s">
        <v>47</v>
      </c>
      <c r="L518" s="7" t="s">
        <v>96</v>
      </c>
      <c r="M518" s="7" t="s">
        <v>0</v>
      </c>
      <c r="N518" s="7" t="s">
        <v>1038</v>
      </c>
      <c r="O518" s="7" t="s">
        <v>0</v>
      </c>
      <c r="P518" s="7" t="s">
        <v>1040</v>
      </c>
      <c r="Q518" s="7" t="s">
        <v>1041</v>
      </c>
      <c r="R518" s="7" t="s">
        <v>1042</v>
      </c>
      <c r="S518" s="7" t="s">
        <v>1042</v>
      </c>
      <c r="T518" s="7" t="s">
        <v>54</v>
      </c>
      <c r="U518" s="7" t="s">
        <v>1043</v>
      </c>
      <c r="V518" s="7" t="s">
        <v>112</v>
      </c>
      <c r="W518" s="7" t="s">
        <v>57</v>
      </c>
      <c r="X518" s="7" t="s">
        <v>103</v>
      </c>
      <c r="Y518" s="8">
        <v>45386</v>
      </c>
      <c r="Z518" s="8">
        <v>45429</v>
      </c>
      <c r="AA518" s="7" t="s">
        <v>113</v>
      </c>
      <c r="AB518" s="7" t="s">
        <v>979</v>
      </c>
      <c r="AC518" s="7" t="s">
        <v>65</v>
      </c>
      <c r="AD518" s="7" t="s">
        <v>0</v>
      </c>
      <c r="AE518" s="7" t="s">
        <v>0</v>
      </c>
      <c r="AF518" s="7" t="s">
        <v>0</v>
      </c>
      <c r="AG518" s="7" t="s">
        <v>0</v>
      </c>
      <c r="AH518" s="9" t="s">
        <v>0</v>
      </c>
      <c r="AI518" s="9" t="s">
        <v>0</v>
      </c>
      <c r="AJ518" s="9" t="s">
        <v>0</v>
      </c>
      <c r="AK518" s="7" t="s">
        <v>61</v>
      </c>
      <c r="AL518" s="7" t="s">
        <v>61</v>
      </c>
      <c r="AM518" s="7" t="s">
        <v>0</v>
      </c>
      <c r="AN518" s="7" t="s">
        <v>0</v>
      </c>
      <c r="AO518" s="7" t="s">
        <v>0</v>
      </c>
      <c r="AP518" s="7" t="s">
        <v>0</v>
      </c>
      <c r="AQ518" s="7" t="s">
        <v>61</v>
      </c>
      <c r="AR518" s="7" t="s">
        <v>0</v>
      </c>
      <c r="AS518" s="10" t="str">
        <f>HYPERLINK("https://tessa.gazprom-neft.local/edo/card/b1f10cbc-a0e3-4bf2-a8b3-0521ac82b250", "https://tessa.gazprom-neft.local/edo/card/b1f10cbc-a0e3-4bf2-a8b3-0521ac82b250")</f>
        <v>https://tessa.gazprom-neft.local/edo/card/b1f10cbc-a0e3-4bf2-a8b3-0521ac82b250</v>
      </c>
    </row>
    <row r="519" spans="1:45" hidden="1" x14ac:dyDescent="0.25">
      <c r="A519" s="6" t="s">
        <v>44</v>
      </c>
      <c r="B519" s="7" t="s">
        <v>0</v>
      </c>
      <c r="C519" s="7" t="s">
        <v>67</v>
      </c>
      <c r="D519" s="8">
        <v>45363</v>
      </c>
      <c r="E519" s="8" t="s">
        <v>0</v>
      </c>
      <c r="F519" s="16" t="s">
        <v>1887</v>
      </c>
      <c r="G519" s="7" t="s">
        <v>0</v>
      </c>
      <c r="H519" s="7" t="s">
        <v>0</v>
      </c>
      <c r="I519" s="7" t="s">
        <v>1884</v>
      </c>
      <c r="J519" s="7" t="s">
        <v>1884</v>
      </c>
      <c r="K519" s="7" t="s">
        <v>47</v>
      </c>
      <c r="L519" s="7" t="s">
        <v>96</v>
      </c>
      <c r="M519" s="7" t="s">
        <v>0</v>
      </c>
      <c r="N519" s="7" t="s">
        <v>1883</v>
      </c>
      <c r="O519" s="7" t="s">
        <v>0</v>
      </c>
      <c r="P519" s="7" t="s">
        <v>1885</v>
      </c>
      <c r="Q519" s="7" t="s">
        <v>1886</v>
      </c>
      <c r="R519" s="7" t="s">
        <v>1434</v>
      </c>
      <c r="S519" s="7" t="s">
        <v>0</v>
      </c>
      <c r="T519" s="7" t="s">
        <v>54</v>
      </c>
      <c r="U519" s="7" t="s">
        <v>362</v>
      </c>
      <c r="V519" s="7" t="s">
        <v>295</v>
      </c>
      <c r="W519" s="7" t="s">
        <v>57</v>
      </c>
      <c r="X519" s="7" t="s">
        <v>103</v>
      </c>
      <c r="Y519" s="8">
        <v>45366</v>
      </c>
      <c r="Z519" s="8">
        <v>45428</v>
      </c>
      <c r="AA519" s="7" t="s">
        <v>296</v>
      </c>
      <c r="AB519" s="7" t="s">
        <v>979</v>
      </c>
      <c r="AC519" s="7" t="s">
        <v>65</v>
      </c>
      <c r="AD519" s="7" t="s">
        <v>0</v>
      </c>
      <c r="AE519" s="7" t="s">
        <v>0</v>
      </c>
      <c r="AF519" s="7" t="s">
        <v>0</v>
      </c>
      <c r="AG519" s="7" t="s">
        <v>0</v>
      </c>
      <c r="AH519" s="9" t="s">
        <v>0</v>
      </c>
      <c r="AI519" s="9" t="s">
        <v>0</v>
      </c>
      <c r="AJ519" s="9" t="s">
        <v>0</v>
      </c>
      <c r="AK519" s="7" t="s">
        <v>61</v>
      </c>
      <c r="AL519" s="7" t="s">
        <v>61</v>
      </c>
      <c r="AM519" s="7" t="s">
        <v>0</v>
      </c>
      <c r="AN519" s="7" t="s">
        <v>0</v>
      </c>
      <c r="AO519" s="7" t="s">
        <v>0</v>
      </c>
      <c r="AP519" s="7" t="s">
        <v>0</v>
      </c>
      <c r="AQ519" s="7" t="s">
        <v>61</v>
      </c>
      <c r="AR519" s="7" t="s">
        <v>0</v>
      </c>
      <c r="AS519" s="10" t="str">
        <f>HYPERLINK("https://tessa.gazprom-neft.local/edo/card/bf50c542-9e4c-4c06-88d5-6a7ac1f08878", "https://tessa.gazprom-neft.local/edo/card/bf50c542-9e4c-4c06-88d5-6a7ac1f08878")</f>
        <v>https://tessa.gazprom-neft.local/edo/card/bf50c542-9e4c-4c06-88d5-6a7ac1f08878</v>
      </c>
    </row>
    <row r="520" spans="1:45" hidden="1" x14ac:dyDescent="0.25">
      <c r="A520" s="6" t="s">
        <v>44</v>
      </c>
      <c r="B520" s="7" t="s">
        <v>715</v>
      </c>
      <c r="C520" s="7" t="s">
        <v>67</v>
      </c>
      <c r="D520" s="8">
        <v>45363</v>
      </c>
      <c r="E520" s="8" t="s">
        <v>0</v>
      </c>
      <c r="F520" s="16" t="s">
        <v>716</v>
      </c>
      <c r="G520" s="7" t="s">
        <v>717</v>
      </c>
      <c r="H520" s="7" t="s">
        <v>710</v>
      </c>
      <c r="I520" s="7" t="s">
        <v>0</v>
      </c>
      <c r="J520" s="7" t="s">
        <v>51</v>
      </c>
      <c r="K520" s="7" t="s">
        <v>47</v>
      </c>
      <c r="L520" s="7" t="s">
        <v>389</v>
      </c>
      <c r="M520" s="7" t="s">
        <v>0</v>
      </c>
      <c r="N520" s="7" t="s">
        <v>1902</v>
      </c>
      <c r="O520" s="7" t="s">
        <v>316</v>
      </c>
      <c r="P520" s="7" t="s">
        <v>1903</v>
      </c>
      <c r="Q520" s="7" t="s">
        <v>1904</v>
      </c>
      <c r="R520" s="7" t="s">
        <v>714</v>
      </c>
      <c r="S520" s="7" t="s">
        <v>714</v>
      </c>
      <c r="T520" s="7" t="s">
        <v>54</v>
      </c>
      <c r="U520" s="7" t="s">
        <v>101</v>
      </c>
      <c r="V520" s="7" t="s">
        <v>308</v>
      </c>
      <c r="W520" s="7" t="s">
        <v>74</v>
      </c>
      <c r="X520" s="7" t="s">
        <v>103</v>
      </c>
      <c r="Y520" s="8">
        <v>45363</v>
      </c>
      <c r="Z520" s="8">
        <v>45473</v>
      </c>
      <c r="AA520" s="7" t="s">
        <v>309</v>
      </c>
      <c r="AB520" s="7" t="s">
        <v>64</v>
      </c>
      <c r="AC520" s="7" t="s">
        <v>65</v>
      </c>
      <c r="AD520" s="7" t="s">
        <v>144</v>
      </c>
      <c r="AE520" s="7" t="s">
        <v>0</v>
      </c>
      <c r="AF520" s="7" t="s">
        <v>0</v>
      </c>
      <c r="AG520" s="7" t="s">
        <v>0</v>
      </c>
      <c r="AH520" s="9" t="s">
        <v>0</v>
      </c>
      <c r="AI520" s="9" t="s">
        <v>0</v>
      </c>
      <c r="AJ520" s="9" t="s">
        <v>0</v>
      </c>
      <c r="AK520" s="7" t="s">
        <v>61</v>
      </c>
      <c r="AL520" s="7" t="s">
        <v>61</v>
      </c>
      <c r="AM520" s="7" t="s">
        <v>0</v>
      </c>
      <c r="AN520" s="7" t="s">
        <v>0</v>
      </c>
      <c r="AO520" s="7" t="s">
        <v>0</v>
      </c>
      <c r="AP520" s="7" t="s">
        <v>0</v>
      </c>
      <c r="AQ520" s="7" t="s">
        <v>61</v>
      </c>
      <c r="AR520" s="7" t="s">
        <v>0</v>
      </c>
      <c r="AS520" s="10" t="str">
        <f>HYPERLINK("https://tessa.gazprom-neft.local/edo/card/72617964-dd69-471a-9227-ee44766bfd44", "https://tessa.gazprom-neft.local/edo/card/72617964-dd69-471a-9227-ee44766bfd44")</f>
        <v>https://tessa.gazprom-neft.local/edo/card/72617964-dd69-471a-9227-ee44766bfd44</v>
      </c>
    </row>
    <row r="521" spans="1:45" hidden="1" x14ac:dyDescent="0.25">
      <c r="A521" s="6" t="s">
        <v>44</v>
      </c>
      <c r="B521" s="7" t="s">
        <v>673</v>
      </c>
      <c r="C521" s="7" t="s">
        <v>67</v>
      </c>
      <c r="D521" s="8">
        <v>45363</v>
      </c>
      <c r="E521" s="8" t="s">
        <v>0</v>
      </c>
      <c r="F521" s="16" t="s">
        <v>674</v>
      </c>
      <c r="G521" s="7" t="s">
        <v>675</v>
      </c>
      <c r="H521" s="7" t="s">
        <v>668</v>
      </c>
      <c r="I521" s="7" t="s">
        <v>0</v>
      </c>
      <c r="J521" s="7" t="s">
        <v>156</v>
      </c>
      <c r="K521" s="7" t="s">
        <v>47</v>
      </c>
      <c r="L521" s="7" t="s">
        <v>389</v>
      </c>
      <c r="M521" s="7" t="s">
        <v>0</v>
      </c>
      <c r="N521" s="7" t="s">
        <v>2222</v>
      </c>
      <c r="O521" s="7" t="s">
        <v>271</v>
      </c>
      <c r="P521" s="7" t="s">
        <v>2223</v>
      </c>
      <c r="Q521" s="7" t="s">
        <v>670</v>
      </c>
      <c r="R521" s="7" t="s">
        <v>671</v>
      </c>
      <c r="S521" s="7" t="s">
        <v>671</v>
      </c>
      <c r="T521" s="7" t="s">
        <v>54</v>
      </c>
      <c r="U521" s="7" t="s">
        <v>672</v>
      </c>
      <c r="V521" s="7" t="s">
        <v>126</v>
      </c>
      <c r="W521" s="7" t="s">
        <v>74</v>
      </c>
      <c r="X521" s="7" t="s">
        <v>103</v>
      </c>
      <c r="Y521" s="8">
        <v>45363</v>
      </c>
      <c r="Z521" s="8">
        <v>45412</v>
      </c>
      <c r="AA521" s="7" t="s">
        <v>200</v>
      </c>
      <c r="AB521" s="7" t="s">
        <v>130</v>
      </c>
      <c r="AC521" s="7" t="s">
        <v>79</v>
      </c>
      <c r="AD521" s="7" t="s">
        <v>144</v>
      </c>
      <c r="AE521" s="7" t="s">
        <v>82</v>
      </c>
      <c r="AF521" s="7" t="s">
        <v>0</v>
      </c>
      <c r="AG521" s="7" t="s">
        <v>0</v>
      </c>
      <c r="AH521" s="9" t="s">
        <v>11284</v>
      </c>
      <c r="AI521" s="9" t="s">
        <v>11285</v>
      </c>
      <c r="AJ521" s="9" t="s">
        <v>11286</v>
      </c>
      <c r="AK521" s="7" t="s">
        <v>61</v>
      </c>
      <c r="AL521" s="7" t="s">
        <v>61</v>
      </c>
      <c r="AM521" s="7" t="s">
        <v>0</v>
      </c>
      <c r="AN521" s="7" t="s">
        <v>0</v>
      </c>
      <c r="AO521" s="7" t="s">
        <v>0</v>
      </c>
      <c r="AP521" s="7" t="s">
        <v>0</v>
      </c>
      <c r="AQ521" s="7" t="s">
        <v>61</v>
      </c>
      <c r="AR521" s="7" t="s">
        <v>0</v>
      </c>
      <c r="AS521" s="10" t="str">
        <f>HYPERLINK("https://tessa.gazprom-neft.local/edo/card/ba06d78f-889c-4de9-a4e2-0c5d7e0774c5", "https://tessa.gazprom-neft.local/edo/card/ba06d78f-889c-4de9-a4e2-0c5d7e0774c5")</f>
        <v>https://tessa.gazprom-neft.local/edo/card/ba06d78f-889c-4de9-a4e2-0c5d7e0774c5</v>
      </c>
    </row>
    <row r="522" spans="1:45" hidden="1" x14ac:dyDescent="0.25">
      <c r="A522" s="6" t="s">
        <v>44</v>
      </c>
      <c r="B522" s="7" t="s">
        <v>1240</v>
      </c>
      <c r="C522" s="7" t="s">
        <v>67</v>
      </c>
      <c r="D522" s="8">
        <v>45362</v>
      </c>
      <c r="E522" s="8" t="s">
        <v>0</v>
      </c>
      <c r="F522" s="16" t="s">
        <v>1241</v>
      </c>
      <c r="G522" s="7" t="s">
        <v>1242</v>
      </c>
      <c r="H522" s="7" t="s">
        <v>2042</v>
      </c>
      <c r="I522" s="7" t="s">
        <v>0</v>
      </c>
      <c r="J522" s="7" t="s">
        <v>156</v>
      </c>
      <c r="K522" s="7" t="s">
        <v>47</v>
      </c>
      <c r="L522" s="7" t="s">
        <v>493</v>
      </c>
      <c r="M522" s="7" t="s">
        <v>0</v>
      </c>
      <c r="N522" s="7" t="s">
        <v>2041</v>
      </c>
      <c r="O522" s="7" t="s">
        <v>0</v>
      </c>
      <c r="P522" s="7" t="s">
        <v>2043</v>
      </c>
      <c r="Q522" s="7" t="s">
        <v>2044</v>
      </c>
      <c r="R522" s="7" t="s">
        <v>1120</v>
      </c>
      <c r="S522" s="7" t="s">
        <v>1120</v>
      </c>
      <c r="T522" s="7" t="s">
        <v>54</v>
      </c>
      <c r="U522" s="7" t="s">
        <v>294</v>
      </c>
      <c r="V522" s="7" t="s">
        <v>340</v>
      </c>
      <c r="W522" s="7" t="s">
        <v>74</v>
      </c>
      <c r="X522" s="7" t="s">
        <v>58</v>
      </c>
      <c r="Y522" s="8">
        <v>45362</v>
      </c>
      <c r="Z522" s="8" t="s">
        <v>0</v>
      </c>
      <c r="AA522" s="7" t="s">
        <v>341</v>
      </c>
      <c r="AB522" s="7" t="s">
        <v>1354</v>
      </c>
      <c r="AC522" s="7" t="s">
        <v>278</v>
      </c>
      <c r="AD522" s="7" t="s">
        <v>80</v>
      </c>
      <c r="AE522" s="7" t="s">
        <v>82</v>
      </c>
      <c r="AF522" s="7" t="s">
        <v>0</v>
      </c>
      <c r="AG522" s="7" t="s">
        <v>0</v>
      </c>
      <c r="AH522" s="9" t="s">
        <v>11223</v>
      </c>
      <c r="AI522" s="9" t="s">
        <v>11224</v>
      </c>
      <c r="AJ522" s="9" t="s">
        <v>11225</v>
      </c>
      <c r="AK522" s="7" t="s">
        <v>61</v>
      </c>
      <c r="AL522" s="7" t="s">
        <v>61</v>
      </c>
      <c r="AM522" s="7" t="s">
        <v>0</v>
      </c>
      <c r="AN522" s="7" t="s">
        <v>0</v>
      </c>
      <c r="AO522" s="7" t="s">
        <v>0</v>
      </c>
      <c r="AP522" s="7" t="s">
        <v>0</v>
      </c>
      <c r="AQ522" s="7" t="s">
        <v>61</v>
      </c>
      <c r="AR522" s="7" t="s">
        <v>0</v>
      </c>
      <c r="AS522" s="10" t="str">
        <f>HYPERLINK("https://tessa.gazprom-neft.local/edo/card/3708a70e-43e7-4b68-bb65-4f603092c8a4", "https://tessa.gazprom-neft.local/edo/card/3708a70e-43e7-4b68-bb65-4f603092c8a4")</f>
        <v>https://tessa.gazprom-neft.local/edo/card/3708a70e-43e7-4b68-bb65-4f603092c8a4</v>
      </c>
    </row>
    <row r="523" spans="1:45" hidden="1" x14ac:dyDescent="0.25">
      <c r="A523" s="6" t="s">
        <v>44</v>
      </c>
      <c r="B523" s="7" t="s">
        <v>2098</v>
      </c>
      <c r="C523" s="7" t="s">
        <v>67</v>
      </c>
      <c r="D523" s="8">
        <v>45362</v>
      </c>
      <c r="E523" s="8" t="s">
        <v>0</v>
      </c>
      <c r="F523" s="16" t="s">
        <v>2099</v>
      </c>
      <c r="G523" s="7" t="s">
        <v>2100</v>
      </c>
      <c r="H523" s="7" t="s">
        <v>0</v>
      </c>
      <c r="I523" s="7" t="s">
        <v>2095</v>
      </c>
      <c r="J523" s="7" t="s">
        <v>2095</v>
      </c>
      <c r="K523" s="7" t="s">
        <v>47</v>
      </c>
      <c r="L523" s="7" t="s">
        <v>96</v>
      </c>
      <c r="M523" s="7" t="s">
        <v>0</v>
      </c>
      <c r="N523" s="7" t="s">
        <v>2094</v>
      </c>
      <c r="O523" s="7" t="s">
        <v>0</v>
      </c>
      <c r="P523" s="7" t="s">
        <v>2096</v>
      </c>
      <c r="Q523" s="7" t="s">
        <v>2097</v>
      </c>
      <c r="R523" s="7" t="s">
        <v>1286</v>
      </c>
      <c r="S523" s="7" t="s">
        <v>168</v>
      </c>
      <c r="T523" s="7" t="s">
        <v>54</v>
      </c>
      <c r="U523" s="7" t="s">
        <v>1287</v>
      </c>
      <c r="V523" s="7" t="s">
        <v>308</v>
      </c>
      <c r="W523" s="7" t="s">
        <v>57</v>
      </c>
      <c r="X523" s="7" t="s">
        <v>103</v>
      </c>
      <c r="Y523" s="8">
        <v>45362</v>
      </c>
      <c r="Z523" s="8">
        <v>46387</v>
      </c>
      <c r="AA523" s="7" t="s">
        <v>309</v>
      </c>
      <c r="AB523" s="7" t="s">
        <v>64</v>
      </c>
      <c r="AC523" s="7" t="s">
        <v>79</v>
      </c>
      <c r="AD523" s="7" t="s">
        <v>80</v>
      </c>
      <c r="AE523" s="7" t="s">
        <v>118</v>
      </c>
      <c r="AF523" s="7" t="s">
        <v>0</v>
      </c>
      <c r="AG523" s="7" t="s">
        <v>0</v>
      </c>
      <c r="AH523" s="9" t="s">
        <v>11240</v>
      </c>
      <c r="AI523" s="9" t="s">
        <v>11240</v>
      </c>
      <c r="AJ523" s="9">
        <v>0</v>
      </c>
      <c r="AK523" s="7" t="s">
        <v>61</v>
      </c>
      <c r="AL523" s="7" t="s">
        <v>61</v>
      </c>
      <c r="AM523" s="7" t="s">
        <v>0</v>
      </c>
      <c r="AN523" s="7" t="s">
        <v>0</v>
      </c>
      <c r="AO523" s="7" t="s">
        <v>0</v>
      </c>
      <c r="AP523" s="7" t="s">
        <v>0</v>
      </c>
      <c r="AQ523" s="7" t="s">
        <v>61</v>
      </c>
      <c r="AR523" s="7" t="s">
        <v>0</v>
      </c>
      <c r="AS523" s="10" t="str">
        <f>HYPERLINK("https://tessa.gazprom-neft.local/edo/card/440ef741-e5e5-42b0-b65f-7dcbe9306891", "https://tessa.gazprom-neft.local/edo/card/440ef741-e5e5-42b0-b65f-7dcbe9306891")</f>
        <v>https://tessa.gazprom-neft.local/edo/card/440ef741-e5e5-42b0-b65f-7dcbe9306891</v>
      </c>
    </row>
    <row r="524" spans="1:45" x14ac:dyDescent="0.25">
      <c r="A524" s="6" t="s">
        <v>44</v>
      </c>
      <c r="B524" s="7" t="s">
        <v>234</v>
      </c>
      <c r="C524" s="7" t="s">
        <v>67</v>
      </c>
      <c r="D524" s="8">
        <v>45362</v>
      </c>
      <c r="E524" s="8" t="s">
        <v>0</v>
      </c>
      <c r="F524" s="16" t="s">
        <v>235</v>
      </c>
      <c r="G524" s="7" t="s">
        <v>236</v>
      </c>
      <c r="H524" s="7" t="s">
        <v>2119</v>
      </c>
      <c r="I524" s="7" t="s">
        <v>0</v>
      </c>
      <c r="J524" s="7" t="s">
        <v>51</v>
      </c>
      <c r="K524" s="7" t="s">
        <v>47</v>
      </c>
      <c r="L524" s="7" t="s">
        <v>48</v>
      </c>
      <c r="M524" s="7" t="s">
        <v>0</v>
      </c>
      <c r="N524" s="7" t="s">
        <v>2118</v>
      </c>
      <c r="O524" s="7" t="s">
        <v>0</v>
      </c>
      <c r="P524" s="7" t="s">
        <v>2120</v>
      </c>
      <c r="Q524" s="7" t="s">
        <v>50</v>
      </c>
      <c r="R524" s="7" t="s">
        <v>233</v>
      </c>
      <c r="S524" s="7" t="s">
        <v>233</v>
      </c>
      <c r="T524" s="7" t="s">
        <v>54</v>
      </c>
      <c r="U524" s="7" t="s">
        <v>55</v>
      </c>
      <c r="V524" s="7" t="s">
        <v>126</v>
      </c>
      <c r="W524" s="7" t="s">
        <v>74</v>
      </c>
      <c r="X524" s="7" t="s">
        <v>103</v>
      </c>
      <c r="Y524" s="8">
        <v>45362</v>
      </c>
      <c r="Z524" s="8">
        <v>46022</v>
      </c>
      <c r="AA524" s="7" t="s">
        <v>200</v>
      </c>
      <c r="AB524" s="7" t="s">
        <v>130</v>
      </c>
      <c r="AC524" s="7" t="s">
        <v>65</v>
      </c>
      <c r="AD524" s="7" t="s">
        <v>0</v>
      </c>
      <c r="AE524" s="7" t="s">
        <v>0</v>
      </c>
      <c r="AF524" s="7" t="s">
        <v>0</v>
      </c>
      <c r="AG524" s="7" t="s">
        <v>0</v>
      </c>
      <c r="AH524" s="9" t="s">
        <v>0</v>
      </c>
      <c r="AI524" s="9" t="s">
        <v>0</v>
      </c>
      <c r="AJ524" s="9" t="s">
        <v>0</v>
      </c>
      <c r="AK524" s="7" t="s">
        <v>61</v>
      </c>
      <c r="AL524" s="7" t="s">
        <v>61</v>
      </c>
      <c r="AM524" s="7" t="s">
        <v>0</v>
      </c>
      <c r="AN524" s="7" t="s">
        <v>0</v>
      </c>
      <c r="AO524" s="7" t="s">
        <v>0</v>
      </c>
      <c r="AP524" s="7" t="s">
        <v>0</v>
      </c>
      <c r="AQ524" s="7" t="s">
        <v>81</v>
      </c>
      <c r="AR524" s="7" t="s">
        <v>0</v>
      </c>
      <c r="AS524" s="10" t="str">
        <f>HYPERLINK("https://tessa.gazprom-neft.local/edo/card/80e1c41d-18d3-40a2-960a-73d39bd0b19e", "https://tessa.gazprom-neft.local/edo/card/80e1c41d-18d3-40a2-960a-73d39bd0b19e")</f>
        <v>https://tessa.gazprom-neft.local/edo/card/80e1c41d-18d3-40a2-960a-73d39bd0b19e</v>
      </c>
    </row>
    <row r="525" spans="1:45" x14ac:dyDescent="0.25">
      <c r="A525" s="6" t="s">
        <v>44</v>
      </c>
      <c r="B525" s="7" t="s">
        <v>170</v>
      </c>
      <c r="C525" s="7" t="s">
        <v>67</v>
      </c>
      <c r="D525" s="8">
        <v>45358</v>
      </c>
      <c r="E525" s="8" t="s">
        <v>0</v>
      </c>
      <c r="F525" s="16" t="s">
        <v>171</v>
      </c>
      <c r="G525" s="7" t="s">
        <v>172</v>
      </c>
      <c r="H525" s="7" t="s">
        <v>1109</v>
      </c>
      <c r="I525" s="7" t="s">
        <v>0</v>
      </c>
      <c r="J525" s="7" t="s">
        <v>271</v>
      </c>
      <c r="K525" s="7" t="s">
        <v>47</v>
      </c>
      <c r="L525" s="7" t="s">
        <v>48</v>
      </c>
      <c r="M525" s="7" t="s">
        <v>0</v>
      </c>
      <c r="N525" s="7" t="s">
        <v>1988</v>
      </c>
      <c r="O525" s="7" t="s">
        <v>0</v>
      </c>
      <c r="P525" s="7" t="s">
        <v>1989</v>
      </c>
      <c r="Q525" s="7" t="s">
        <v>1990</v>
      </c>
      <c r="R525" s="7" t="s">
        <v>124</v>
      </c>
      <c r="S525" s="7" t="s">
        <v>0</v>
      </c>
      <c r="T525" s="7" t="s">
        <v>54</v>
      </c>
      <c r="U525" s="7" t="s">
        <v>101</v>
      </c>
      <c r="V525" s="7" t="s">
        <v>308</v>
      </c>
      <c r="W525" s="7" t="s">
        <v>74</v>
      </c>
      <c r="X525" s="7" t="s">
        <v>58</v>
      </c>
      <c r="Y525" s="8">
        <v>45358</v>
      </c>
      <c r="Z525" s="8" t="s">
        <v>0</v>
      </c>
      <c r="AA525" s="7" t="s">
        <v>309</v>
      </c>
      <c r="AB525" s="7" t="s">
        <v>64</v>
      </c>
      <c r="AC525" s="7" t="s">
        <v>65</v>
      </c>
      <c r="AD525" s="7" t="s">
        <v>80</v>
      </c>
      <c r="AE525" s="7" t="s">
        <v>82</v>
      </c>
      <c r="AF525" s="7" t="s">
        <v>0</v>
      </c>
      <c r="AG525" s="7" t="s">
        <v>0</v>
      </c>
      <c r="AH525" s="9" t="s">
        <v>0</v>
      </c>
      <c r="AI525" s="9" t="s">
        <v>0</v>
      </c>
      <c r="AJ525" s="9" t="s">
        <v>0</v>
      </c>
      <c r="AK525" s="7" t="s">
        <v>61</v>
      </c>
      <c r="AL525" s="7" t="s">
        <v>61</v>
      </c>
      <c r="AM525" s="7" t="s">
        <v>0</v>
      </c>
      <c r="AN525" s="7" t="s">
        <v>0</v>
      </c>
      <c r="AO525" s="7" t="s">
        <v>0</v>
      </c>
      <c r="AP525" s="7" t="s">
        <v>0</v>
      </c>
      <c r="AQ525" s="7" t="s">
        <v>61</v>
      </c>
      <c r="AR525" s="7" t="s">
        <v>0</v>
      </c>
      <c r="AS525" s="10" t="str">
        <f>HYPERLINK("https://tessa.gazprom-neft.local/edo/card/09077785-7b11-4cac-8014-03f1e9850973", "https://tessa.gazprom-neft.local/edo/card/09077785-7b11-4cac-8014-03f1e9850973")</f>
        <v>https://tessa.gazprom-neft.local/edo/card/09077785-7b11-4cac-8014-03f1e9850973</v>
      </c>
    </row>
    <row r="526" spans="1:45" hidden="1" x14ac:dyDescent="0.25">
      <c r="A526" s="6" t="s">
        <v>44</v>
      </c>
      <c r="B526" s="7" t="s">
        <v>1140</v>
      </c>
      <c r="C526" s="7" t="s">
        <v>67</v>
      </c>
      <c r="D526" s="8">
        <v>45358</v>
      </c>
      <c r="E526" s="8" t="s">
        <v>0</v>
      </c>
      <c r="F526" s="16" t="s">
        <v>1141</v>
      </c>
      <c r="G526" s="7" t="s">
        <v>1142</v>
      </c>
      <c r="H526" s="7" t="s">
        <v>1136</v>
      </c>
      <c r="I526" s="7" t="s">
        <v>0</v>
      </c>
      <c r="J526" s="7" t="s">
        <v>156</v>
      </c>
      <c r="K526" s="7" t="s">
        <v>47</v>
      </c>
      <c r="L526" s="7" t="s">
        <v>239</v>
      </c>
      <c r="M526" s="7" t="s">
        <v>0</v>
      </c>
      <c r="N526" s="7" t="s">
        <v>2004</v>
      </c>
      <c r="O526" s="7" t="s">
        <v>0</v>
      </c>
      <c r="P526" s="7" t="s">
        <v>2005</v>
      </c>
      <c r="Q526" s="7" t="s">
        <v>1874</v>
      </c>
      <c r="R526" s="7" t="s">
        <v>124</v>
      </c>
      <c r="S526" s="7" t="s">
        <v>0</v>
      </c>
      <c r="T526" s="7" t="s">
        <v>54</v>
      </c>
      <c r="U526" s="7" t="s">
        <v>101</v>
      </c>
      <c r="V526" s="7" t="s">
        <v>308</v>
      </c>
      <c r="W526" s="7" t="s">
        <v>74</v>
      </c>
      <c r="X526" s="7" t="s">
        <v>58</v>
      </c>
      <c r="Y526" s="8">
        <v>45358</v>
      </c>
      <c r="Z526" s="8" t="s">
        <v>0</v>
      </c>
      <c r="AA526" s="7" t="s">
        <v>309</v>
      </c>
      <c r="AB526" s="7" t="s">
        <v>1143</v>
      </c>
      <c r="AC526" s="7" t="s">
        <v>79</v>
      </c>
      <c r="AD526" s="7" t="s">
        <v>144</v>
      </c>
      <c r="AE526" s="7" t="s">
        <v>82</v>
      </c>
      <c r="AF526" s="7" t="s">
        <v>0</v>
      </c>
      <c r="AG526" s="7" t="s">
        <v>0</v>
      </c>
      <c r="AH526" s="9" t="s">
        <v>11210</v>
      </c>
      <c r="AI526" s="9" t="s">
        <v>11211</v>
      </c>
      <c r="AJ526" s="9" t="s">
        <v>11212</v>
      </c>
      <c r="AK526" s="7" t="s">
        <v>61</v>
      </c>
      <c r="AL526" s="7" t="s">
        <v>61</v>
      </c>
      <c r="AM526" s="7" t="s">
        <v>0</v>
      </c>
      <c r="AN526" s="7" t="s">
        <v>0</v>
      </c>
      <c r="AO526" s="7" t="s">
        <v>0</v>
      </c>
      <c r="AP526" s="7" t="s">
        <v>0</v>
      </c>
      <c r="AQ526" s="7" t="s">
        <v>61</v>
      </c>
      <c r="AR526" s="7" t="s">
        <v>0</v>
      </c>
      <c r="AS526" s="10" t="str">
        <f>HYPERLINK("https://tessa.gazprom-neft.local/edo/card/9a28ff5b-05f8-407e-97b6-4d009ac1f881", "https://tessa.gazprom-neft.local/edo/card/9a28ff5b-05f8-407e-97b6-4d009ac1f881")</f>
        <v>https://tessa.gazprom-neft.local/edo/card/9a28ff5b-05f8-407e-97b6-4d009ac1f881</v>
      </c>
    </row>
    <row r="527" spans="1:45" hidden="1" x14ac:dyDescent="0.25">
      <c r="A527" s="6" t="s">
        <v>44</v>
      </c>
      <c r="B527" s="7" t="s">
        <v>1240</v>
      </c>
      <c r="C527" s="7" t="s">
        <v>67</v>
      </c>
      <c r="D527" s="8">
        <v>45358</v>
      </c>
      <c r="E527" s="8" t="s">
        <v>0</v>
      </c>
      <c r="F527" s="16" t="s">
        <v>1241</v>
      </c>
      <c r="G527" s="7" t="s">
        <v>1242</v>
      </c>
      <c r="H527" s="7" t="s">
        <v>1237</v>
      </c>
      <c r="I527" s="7" t="s">
        <v>0</v>
      </c>
      <c r="J527" s="7" t="s">
        <v>271</v>
      </c>
      <c r="K527" s="7" t="s">
        <v>47</v>
      </c>
      <c r="L527" s="7" t="s">
        <v>389</v>
      </c>
      <c r="M527" s="7" t="s">
        <v>0</v>
      </c>
      <c r="N527" s="7" t="s">
        <v>2019</v>
      </c>
      <c r="O527" s="7" t="s">
        <v>872</v>
      </c>
      <c r="P527" s="7" t="s">
        <v>2020</v>
      </c>
      <c r="Q527" s="7" t="s">
        <v>2021</v>
      </c>
      <c r="R527" s="7" t="s">
        <v>393</v>
      </c>
      <c r="S527" s="7" t="s">
        <v>1261</v>
      </c>
      <c r="T527" s="7" t="s">
        <v>54</v>
      </c>
      <c r="U527" s="7" t="s">
        <v>222</v>
      </c>
      <c r="V527" s="7" t="s">
        <v>126</v>
      </c>
      <c r="W527" s="7" t="s">
        <v>74</v>
      </c>
      <c r="X527" s="7" t="s">
        <v>58</v>
      </c>
      <c r="Y527" s="8">
        <v>45358</v>
      </c>
      <c r="Z527" s="8" t="s">
        <v>0</v>
      </c>
      <c r="AA527" s="7" t="s">
        <v>200</v>
      </c>
      <c r="AB527" s="7" t="s">
        <v>1243</v>
      </c>
      <c r="AC527" s="7" t="s">
        <v>79</v>
      </c>
      <c r="AD527" s="7" t="s">
        <v>144</v>
      </c>
      <c r="AE527" s="7" t="s">
        <v>82</v>
      </c>
      <c r="AF527" s="7" t="s">
        <v>0</v>
      </c>
      <c r="AG527" s="7" t="s">
        <v>0</v>
      </c>
      <c r="AH527" s="9" t="s">
        <v>11216</v>
      </c>
      <c r="AI527" s="9" t="s">
        <v>11217</v>
      </c>
      <c r="AJ527" s="9" t="s">
        <v>11218</v>
      </c>
      <c r="AK527" s="7" t="s">
        <v>61</v>
      </c>
      <c r="AL527" s="7" t="s">
        <v>61</v>
      </c>
      <c r="AM527" s="7" t="s">
        <v>0</v>
      </c>
      <c r="AN527" s="7" t="s">
        <v>0</v>
      </c>
      <c r="AO527" s="7" t="s">
        <v>0</v>
      </c>
      <c r="AP527" s="7" t="s">
        <v>0</v>
      </c>
      <c r="AQ527" s="7" t="s">
        <v>61</v>
      </c>
      <c r="AR527" s="7" t="s">
        <v>0</v>
      </c>
      <c r="AS527" s="10" t="str">
        <f>HYPERLINK("https://tessa.gazprom-neft.local/edo/card/3b939c93-6771-49f5-88ce-32e02441b557", "https://tessa.gazprom-neft.local/edo/card/3b939c93-6771-49f5-88ce-32e02441b557")</f>
        <v>https://tessa.gazprom-neft.local/edo/card/3b939c93-6771-49f5-88ce-32e02441b557</v>
      </c>
    </row>
    <row r="528" spans="1:45" hidden="1" x14ac:dyDescent="0.25">
      <c r="A528" s="6" t="s">
        <v>44</v>
      </c>
      <c r="B528" s="7" t="s">
        <v>1240</v>
      </c>
      <c r="C528" s="7" t="s">
        <v>2030</v>
      </c>
      <c r="D528" s="8">
        <v>45358</v>
      </c>
      <c r="E528" s="8" t="s">
        <v>0</v>
      </c>
      <c r="F528" s="16" t="s">
        <v>1241</v>
      </c>
      <c r="G528" s="7" t="s">
        <v>1242</v>
      </c>
      <c r="H528" s="7" t="s">
        <v>1237</v>
      </c>
      <c r="I528" s="7" t="s">
        <v>0</v>
      </c>
      <c r="J528" s="7" t="s">
        <v>70</v>
      </c>
      <c r="K528" s="7" t="s">
        <v>47</v>
      </c>
      <c r="L528" s="7" t="s">
        <v>239</v>
      </c>
      <c r="M528" s="7" t="s">
        <v>0</v>
      </c>
      <c r="N528" s="7" t="s">
        <v>2029</v>
      </c>
      <c r="O528" s="7" t="s">
        <v>0</v>
      </c>
      <c r="P528" s="7" t="s">
        <v>2031</v>
      </c>
      <c r="Q528" s="7" t="s">
        <v>2032</v>
      </c>
      <c r="R528" s="7" t="s">
        <v>393</v>
      </c>
      <c r="S528" s="7" t="s">
        <v>1261</v>
      </c>
      <c r="T528" s="7" t="s">
        <v>54</v>
      </c>
      <c r="U528" s="7" t="s">
        <v>222</v>
      </c>
      <c r="V528" s="7" t="s">
        <v>126</v>
      </c>
      <c r="W528" s="7" t="s">
        <v>74</v>
      </c>
      <c r="X528" s="7" t="s">
        <v>58</v>
      </c>
      <c r="Y528" s="8">
        <v>45358</v>
      </c>
      <c r="Z528" s="8" t="s">
        <v>0</v>
      </c>
      <c r="AA528" s="7" t="s">
        <v>200</v>
      </c>
      <c r="AB528" s="7" t="s">
        <v>1243</v>
      </c>
      <c r="AC528" s="7" t="s">
        <v>79</v>
      </c>
      <c r="AD528" s="7" t="s">
        <v>144</v>
      </c>
      <c r="AE528" s="7" t="s">
        <v>82</v>
      </c>
      <c r="AF528" s="7" t="s">
        <v>0</v>
      </c>
      <c r="AG528" s="7" t="s">
        <v>0</v>
      </c>
      <c r="AH528" s="9" t="s">
        <v>11219</v>
      </c>
      <c r="AI528" s="9" t="s">
        <v>11220</v>
      </c>
      <c r="AJ528" s="9" t="s">
        <v>11221</v>
      </c>
      <c r="AK528" s="7" t="s">
        <v>61</v>
      </c>
      <c r="AL528" s="7" t="s">
        <v>61</v>
      </c>
      <c r="AM528" s="7" t="s">
        <v>0</v>
      </c>
      <c r="AN528" s="7" t="s">
        <v>0</v>
      </c>
      <c r="AO528" s="7" t="s">
        <v>0</v>
      </c>
      <c r="AP528" s="7" t="s">
        <v>0</v>
      </c>
      <c r="AQ528" s="7" t="s">
        <v>61</v>
      </c>
      <c r="AR528" s="7" t="s">
        <v>0</v>
      </c>
      <c r="AS528" s="10" t="str">
        <f>HYPERLINK("https://tessa.gazprom-neft.local/edo/card/1736f660-461b-4566-9cfa-2c8e341549c4", "https://tessa.gazprom-neft.local/edo/card/1736f660-461b-4566-9cfa-2c8e341549c4")</f>
        <v>https://tessa.gazprom-neft.local/edo/card/1736f660-461b-4566-9cfa-2c8e341549c4</v>
      </c>
    </row>
    <row r="529" spans="1:45" x14ac:dyDescent="0.25">
      <c r="A529" s="6" t="s">
        <v>44</v>
      </c>
      <c r="B529" s="7" t="s">
        <v>673</v>
      </c>
      <c r="C529" s="7" t="s">
        <v>67</v>
      </c>
      <c r="D529" s="8">
        <v>45358</v>
      </c>
      <c r="E529" s="8" t="s">
        <v>0</v>
      </c>
      <c r="F529" s="16" t="s">
        <v>674</v>
      </c>
      <c r="G529" s="7" t="s">
        <v>675</v>
      </c>
      <c r="H529" s="7" t="s">
        <v>668</v>
      </c>
      <c r="I529" s="7" t="s">
        <v>0</v>
      </c>
      <c r="J529" s="7" t="s">
        <v>872</v>
      </c>
      <c r="K529" s="7" t="s">
        <v>47</v>
      </c>
      <c r="L529" s="7" t="s">
        <v>48</v>
      </c>
      <c r="M529" s="7" t="s">
        <v>0</v>
      </c>
      <c r="N529" s="7" t="s">
        <v>2061</v>
      </c>
      <c r="O529" s="7" t="s">
        <v>0</v>
      </c>
      <c r="P529" s="7" t="s">
        <v>2062</v>
      </c>
      <c r="Q529" s="7" t="s">
        <v>2063</v>
      </c>
      <c r="R529" s="7" t="s">
        <v>671</v>
      </c>
      <c r="S529" s="7" t="s">
        <v>671</v>
      </c>
      <c r="T529" s="7" t="s">
        <v>54</v>
      </c>
      <c r="U529" s="7" t="s">
        <v>672</v>
      </c>
      <c r="V529" s="7" t="s">
        <v>126</v>
      </c>
      <c r="W529" s="7" t="s">
        <v>74</v>
      </c>
      <c r="X529" s="7" t="s">
        <v>103</v>
      </c>
      <c r="Y529" s="8">
        <v>45358</v>
      </c>
      <c r="Z529" s="8">
        <v>46022</v>
      </c>
      <c r="AA529" s="7" t="s">
        <v>200</v>
      </c>
      <c r="AB529" s="7" t="s">
        <v>130</v>
      </c>
      <c r="AC529" s="7" t="s">
        <v>79</v>
      </c>
      <c r="AD529" s="7" t="s">
        <v>144</v>
      </c>
      <c r="AE529" s="7" t="s">
        <v>82</v>
      </c>
      <c r="AF529" s="7" t="s">
        <v>0</v>
      </c>
      <c r="AG529" s="7" t="s">
        <v>0</v>
      </c>
      <c r="AH529" s="9" t="s">
        <v>11229</v>
      </c>
      <c r="AI529" s="9" t="s">
        <v>11230</v>
      </c>
      <c r="AJ529" s="9" t="s">
        <v>11231</v>
      </c>
      <c r="AK529" s="7" t="s">
        <v>61</v>
      </c>
      <c r="AL529" s="7" t="s">
        <v>61</v>
      </c>
      <c r="AM529" s="7" t="s">
        <v>0</v>
      </c>
      <c r="AN529" s="7" t="s">
        <v>0</v>
      </c>
      <c r="AO529" s="7" t="s">
        <v>0</v>
      </c>
      <c r="AP529" s="7" t="s">
        <v>0</v>
      </c>
      <c r="AQ529" s="7" t="s">
        <v>61</v>
      </c>
      <c r="AR529" s="7" t="s">
        <v>0</v>
      </c>
      <c r="AS529" s="10" t="str">
        <f>HYPERLINK("https://tessa.gazprom-neft.local/edo/card/78385341-7a91-44db-9009-f6442d78c9fe", "https://tessa.gazprom-neft.local/edo/card/78385341-7a91-44db-9009-f6442d78c9fe")</f>
        <v>https://tessa.gazprom-neft.local/edo/card/78385341-7a91-44db-9009-f6442d78c9fe</v>
      </c>
    </row>
    <row r="530" spans="1:45" hidden="1" x14ac:dyDescent="0.25">
      <c r="A530" s="6" t="s">
        <v>44</v>
      </c>
      <c r="B530" s="7" t="s">
        <v>737</v>
      </c>
      <c r="C530" s="7" t="s">
        <v>67</v>
      </c>
      <c r="D530" s="8">
        <v>45356</v>
      </c>
      <c r="E530" s="8" t="s">
        <v>0</v>
      </c>
      <c r="F530" s="16" t="s">
        <v>738</v>
      </c>
      <c r="G530" s="7" t="s">
        <v>739</v>
      </c>
      <c r="H530" s="7" t="s">
        <v>1973</v>
      </c>
      <c r="I530" s="7" t="s">
        <v>0</v>
      </c>
      <c r="J530" s="7" t="s">
        <v>657</v>
      </c>
      <c r="K530" s="7" t="s">
        <v>47</v>
      </c>
      <c r="L530" s="7" t="s">
        <v>239</v>
      </c>
      <c r="M530" s="7" t="s">
        <v>0</v>
      </c>
      <c r="N530" s="7" t="s">
        <v>1972</v>
      </c>
      <c r="O530" s="7" t="s">
        <v>0</v>
      </c>
      <c r="P530" s="7" t="s">
        <v>1974</v>
      </c>
      <c r="Q530" s="7" t="s">
        <v>1975</v>
      </c>
      <c r="R530" s="7" t="s">
        <v>646</v>
      </c>
      <c r="S530" s="7" t="s">
        <v>1976</v>
      </c>
      <c r="T530" s="7" t="s">
        <v>54</v>
      </c>
      <c r="U530" s="7" t="s">
        <v>55</v>
      </c>
      <c r="V530" s="7" t="s">
        <v>56</v>
      </c>
      <c r="W530" s="7" t="s">
        <v>57</v>
      </c>
      <c r="X530" s="7" t="s">
        <v>58</v>
      </c>
      <c r="Y530" s="8">
        <v>45356</v>
      </c>
      <c r="Z530" s="8" t="s">
        <v>0</v>
      </c>
      <c r="AA530" s="7" t="s">
        <v>59</v>
      </c>
      <c r="AB530" s="7" t="s">
        <v>130</v>
      </c>
      <c r="AC530" s="7" t="s">
        <v>79</v>
      </c>
      <c r="AD530" s="7" t="s">
        <v>144</v>
      </c>
      <c r="AE530" s="7" t="s">
        <v>82</v>
      </c>
      <c r="AF530" s="7" t="s">
        <v>0</v>
      </c>
      <c r="AG530" s="7" t="s">
        <v>0</v>
      </c>
      <c r="AH530" s="9" t="s">
        <v>11198</v>
      </c>
      <c r="AI530" s="9" t="s">
        <v>11199</v>
      </c>
      <c r="AJ530" s="9" t="s">
        <v>11200</v>
      </c>
      <c r="AK530" s="7" t="s">
        <v>61</v>
      </c>
      <c r="AL530" s="7" t="s">
        <v>61</v>
      </c>
      <c r="AM530" s="7" t="s">
        <v>0</v>
      </c>
      <c r="AN530" s="7" t="s">
        <v>0</v>
      </c>
      <c r="AO530" s="7" t="s">
        <v>0</v>
      </c>
      <c r="AP530" s="7" t="s">
        <v>0</v>
      </c>
      <c r="AQ530" s="7" t="s">
        <v>61</v>
      </c>
      <c r="AR530" s="7" t="s">
        <v>0</v>
      </c>
      <c r="AS530" s="10" t="str">
        <f>HYPERLINK("https://tessa.gazprom-neft.local/edo/card/48162c01-07ae-4950-ab91-d255a1b36b1c", "https://tessa.gazprom-neft.local/edo/card/48162c01-07ae-4950-ab91-d255a1b36b1c")</f>
        <v>https://tessa.gazprom-neft.local/edo/card/48162c01-07ae-4950-ab91-d255a1b36b1c</v>
      </c>
    </row>
    <row r="531" spans="1:45" hidden="1" x14ac:dyDescent="0.25">
      <c r="A531" s="6" t="s">
        <v>44</v>
      </c>
      <c r="B531" s="7" t="s">
        <v>201</v>
      </c>
      <c r="C531" s="7" t="s">
        <v>67</v>
      </c>
      <c r="D531" s="8">
        <v>45355</v>
      </c>
      <c r="E531" s="8" t="s">
        <v>0</v>
      </c>
      <c r="F531" s="16" t="s">
        <v>202</v>
      </c>
      <c r="G531" s="7" t="s">
        <v>203</v>
      </c>
      <c r="H531" s="7" t="s">
        <v>195</v>
      </c>
      <c r="I531" s="7" t="s">
        <v>0</v>
      </c>
      <c r="J531" s="7" t="s">
        <v>51</v>
      </c>
      <c r="K531" s="7" t="s">
        <v>47</v>
      </c>
      <c r="L531" s="7" t="s">
        <v>389</v>
      </c>
      <c r="M531" s="7" t="s">
        <v>0</v>
      </c>
      <c r="N531" s="7" t="s">
        <v>1838</v>
      </c>
      <c r="O531" s="7" t="s">
        <v>355</v>
      </c>
      <c r="P531" s="7" t="s">
        <v>1839</v>
      </c>
      <c r="Q531" s="7" t="s">
        <v>772</v>
      </c>
      <c r="R531" s="7" t="s">
        <v>198</v>
      </c>
      <c r="S531" s="7" t="s">
        <v>198</v>
      </c>
      <c r="T531" s="7" t="s">
        <v>54</v>
      </c>
      <c r="U531" s="7" t="s">
        <v>199</v>
      </c>
      <c r="V531" s="7" t="s">
        <v>126</v>
      </c>
      <c r="W531" s="7" t="s">
        <v>74</v>
      </c>
      <c r="X531" s="7" t="s">
        <v>103</v>
      </c>
      <c r="Y531" s="8">
        <v>45189</v>
      </c>
      <c r="Z531" s="8">
        <v>45473</v>
      </c>
      <c r="AA531" s="7" t="s">
        <v>200</v>
      </c>
      <c r="AB531" s="7" t="s">
        <v>204</v>
      </c>
      <c r="AC531" s="7" t="s">
        <v>65</v>
      </c>
      <c r="AD531" s="7" t="s">
        <v>0</v>
      </c>
      <c r="AE531" s="7" t="s">
        <v>0</v>
      </c>
      <c r="AF531" s="7" t="s">
        <v>0</v>
      </c>
      <c r="AG531" s="7" t="s">
        <v>0</v>
      </c>
      <c r="AH531" s="9" t="s">
        <v>0</v>
      </c>
      <c r="AI531" s="9" t="s">
        <v>0</v>
      </c>
      <c r="AJ531" s="9" t="s">
        <v>0</v>
      </c>
      <c r="AK531" s="7" t="s">
        <v>61</v>
      </c>
      <c r="AL531" s="7" t="s">
        <v>61</v>
      </c>
      <c r="AM531" s="7" t="s">
        <v>0</v>
      </c>
      <c r="AN531" s="7" t="s">
        <v>0</v>
      </c>
      <c r="AO531" s="7" t="s">
        <v>0</v>
      </c>
      <c r="AP531" s="7" t="s">
        <v>0</v>
      </c>
      <c r="AQ531" s="7" t="s">
        <v>61</v>
      </c>
      <c r="AR531" s="7" t="s">
        <v>0</v>
      </c>
      <c r="AS531" s="10" t="str">
        <f>HYPERLINK("https://tessa.gazprom-neft.local/edo/card/9e496fc4-7a32-4969-9862-3e6940079201", "https://tessa.gazprom-neft.local/edo/card/9e496fc4-7a32-4969-9862-3e6940079201")</f>
        <v>https://tessa.gazprom-neft.local/edo/card/9e496fc4-7a32-4969-9862-3e6940079201</v>
      </c>
    </row>
    <row r="532" spans="1:45" hidden="1" x14ac:dyDescent="0.25">
      <c r="A532" s="6" t="s">
        <v>44</v>
      </c>
      <c r="B532" s="7" t="s">
        <v>1377</v>
      </c>
      <c r="C532" s="7" t="s">
        <v>67</v>
      </c>
      <c r="D532" s="8">
        <v>45352</v>
      </c>
      <c r="E532" s="8" t="s">
        <v>0</v>
      </c>
      <c r="F532" s="16" t="s">
        <v>1378</v>
      </c>
      <c r="G532" s="7" t="s">
        <v>1379</v>
      </c>
      <c r="H532" s="7" t="s">
        <v>0</v>
      </c>
      <c r="I532" s="7" t="s">
        <v>1374</v>
      </c>
      <c r="J532" s="7" t="s">
        <v>1374</v>
      </c>
      <c r="K532" s="7" t="s">
        <v>85</v>
      </c>
      <c r="L532" s="7" t="s">
        <v>96</v>
      </c>
      <c r="M532" s="7" t="s">
        <v>183</v>
      </c>
      <c r="N532" s="7" t="s">
        <v>1373</v>
      </c>
      <c r="O532" s="7" t="s">
        <v>0</v>
      </c>
      <c r="P532" s="7" t="s">
        <v>183</v>
      </c>
      <c r="Q532" s="7" t="s">
        <v>1375</v>
      </c>
      <c r="R532" s="7" t="s">
        <v>1376</v>
      </c>
      <c r="S532" s="7" t="s">
        <v>1376</v>
      </c>
      <c r="T532" s="7" t="s">
        <v>54</v>
      </c>
      <c r="U532" s="7" t="s">
        <v>274</v>
      </c>
      <c r="V532" s="7" t="s">
        <v>137</v>
      </c>
      <c r="W532" s="7" t="s">
        <v>57</v>
      </c>
      <c r="X532" s="7" t="s">
        <v>58</v>
      </c>
      <c r="Y532" s="8">
        <v>45352</v>
      </c>
      <c r="Z532" s="8" t="s">
        <v>0</v>
      </c>
      <c r="AA532" s="7" t="s">
        <v>0</v>
      </c>
      <c r="AB532" s="7" t="s">
        <v>192</v>
      </c>
      <c r="AC532" s="7" t="s">
        <v>79</v>
      </c>
      <c r="AD532" s="7" t="s">
        <v>80</v>
      </c>
      <c r="AE532" s="7" t="s">
        <v>193</v>
      </c>
      <c r="AF532" s="7" t="s">
        <v>0</v>
      </c>
      <c r="AG532" s="7" t="s">
        <v>0</v>
      </c>
      <c r="AH532" s="9" t="s">
        <v>11010</v>
      </c>
      <c r="AI532" s="9" t="s">
        <v>11011</v>
      </c>
      <c r="AJ532" s="9" t="s">
        <v>11012</v>
      </c>
      <c r="AK532" s="7" t="s">
        <v>61</v>
      </c>
      <c r="AL532" s="7" t="s">
        <v>61</v>
      </c>
      <c r="AM532" s="7" t="s">
        <v>0</v>
      </c>
      <c r="AN532" s="7" t="s">
        <v>0</v>
      </c>
      <c r="AO532" s="7" t="s">
        <v>0</v>
      </c>
      <c r="AP532" s="7" t="s">
        <v>0</v>
      </c>
      <c r="AQ532" s="7" t="s">
        <v>61</v>
      </c>
      <c r="AR532" s="7" t="s">
        <v>0</v>
      </c>
      <c r="AS532" s="10" t="str">
        <f>HYPERLINK("https://tessa.gazprom-neft.local/edo/card/67e43011-6c9b-4d9f-b1a4-4bd047d65f3f", "https://tessa.gazprom-neft.local/edo/card/67e43011-6c9b-4d9f-b1a4-4bd047d65f3f")</f>
        <v>https://tessa.gazprom-neft.local/edo/card/67e43011-6c9b-4d9f-b1a4-4bd047d65f3f</v>
      </c>
    </row>
    <row r="533" spans="1:45" hidden="1" x14ac:dyDescent="0.25">
      <c r="A533" s="6" t="s">
        <v>44</v>
      </c>
      <c r="B533" s="7" t="s">
        <v>1504</v>
      </c>
      <c r="C533" s="7" t="s">
        <v>67</v>
      </c>
      <c r="D533" s="8">
        <v>45352</v>
      </c>
      <c r="E533" s="8" t="s">
        <v>0</v>
      </c>
      <c r="F533" s="16" t="s">
        <v>1505</v>
      </c>
      <c r="G533" s="7" t="s">
        <v>1506</v>
      </c>
      <c r="H533" s="7" t="s">
        <v>0</v>
      </c>
      <c r="I533" s="7" t="s">
        <v>1500</v>
      </c>
      <c r="J533" s="7" t="s">
        <v>1500</v>
      </c>
      <c r="K533" s="7" t="s">
        <v>47</v>
      </c>
      <c r="L533" s="7" t="s">
        <v>96</v>
      </c>
      <c r="M533" s="7" t="s">
        <v>0</v>
      </c>
      <c r="N533" s="7" t="s">
        <v>1499</v>
      </c>
      <c r="O533" s="7" t="s">
        <v>0</v>
      </c>
      <c r="P533" s="7" t="s">
        <v>1501</v>
      </c>
      <c r="Q533" s="7" t="s">
        <v>1502</v>
      </c>
      <c r="R533" s="7" t="s">
        <v>1139</v>
      </c>
      <c r="S533" s="7" t="s">
        <v>1503</v>
      </c>
      <c r="T533" s="7" t="s">
        <v>54</v>
      </c>
      <c r="U533" s="7" t="s">
        <v>283</v>
      </c>
      <c r="V533" s="7" t="s">
        <v>308</v>
      </c>
      <c r="W533" s="7" t="s">
        <v>74</v>
      </c>
      <c r="X533" s="7" t="s">
        <v>103</v>
      </c>
      <c r="Y533" s="8">
        <v>45352</v>
      </c>
      <c r="Z533" s="8">
        <v>45657</v>
      </c>
      <c r="AA533" s="7" t="s">
        <v>309</v>
      </c>
      <c r="AB533" s="7" t="s">
        <v>64</v>
      </c>
      <c r="AC533" s="7" t="s">
        <v>79</v>
      </c>
      <c r="AD533" s="7" t="s">
        <v>80</v>
      </c>
      <c r="AE533" s="7" t="s">
        <v>118</v>
      </c>
      <c r="AF533" s="7" t="s">
        <v>0</v>
      </c>
      <c r="AG533" s="7" t="s">
        <v>0</v>
      </c>
      <c r="AH533" s="9" t="s">
        <v>11044</v>
      </c>
      <c r="AI533" s="9" t="s">
        <v>11044</v>
      </c>
      <c r="AJ533" s="9">
        <v>0</v>
      </c>
      <c r="AK533" s="7" t="s">
        <v>61</v>
      </c>
      <c r="AL533" s="7" t="s">
        <v>61</v>
      </c>
      <c r="AM533" s="7" t="s">
        <v>0</v>
      </c>
      <c r="AN533" s="7" t="s">
        <v>0</v>
      </c>
      <c r="AO533" s="7" t="s">
        <v>0</v>
      </c>
      <c r="AP533" s="7" t="s">
        <v>0</v>
      </c>
      <c r="AQ533" s="7" t="s">
        <v>61</v>
      </c>
      <c r="AR533" s="7" t="s">
        <v>0</v>
      </c>
      <c r="AS533" s="10" t="str">
        <f>HYPERLINK("https://tessa.gazprom-neft.local/edo/card/080b9144-8640-4abe-b732-1fd85925a1c5", "https://tessa.gazprom-neft.local/edo/card/080b9144-8640-4abe-b732-1fd85925a1c5")</f>
        <v>https://tessa.gazprom-neft.local/edo/card/080b9144-8640-4abe-b732-1fd85925a1c5</v>
      </c>
    </row>
    <row r="534" spans="1:45" hidden="1" x14ac:dyDescent="0.25">
      <c r="A534" s="6" t="s">
        <v>44</v>
      </c>
      <c r="B534" s="7" t="s">
        <v>715</v>
      </c>
      <c r="C534" s="7" t="s">
        <v>67</v>
      </c>
      <c r="D534" s="8">
        <v>45352</v>
      </c>
      <c r="E534" s="8" t="s">
        <v>0</v>
      </c>
      <c r="F534" s="16" t="s">
        <v>716</v>
      </c>
      <c r="G534" s="7" t="s">
        <v>717</v>
      </c>
      <c r="H534" s="7" t="s">
        <v>710</v>
      </c>
      <c r="I534" s="7" t="s">
        <v>0</v>
      </c>
      <c r="J534" s="7" t="s">
        <v>122</v>
      </c>
      <c r="K534" s="7" t="s">
        <v>47</v>
      </c>
      <c r="L534" s="7" t="s">
        <v>709</v>
      </c>
      <c r="M534" s="7" t="s">
        <v>0</v>
      </c>
      <c r="N534" s="7" t="s">
        <v>1524</v>
      </c>
      <c r="O534" s="7" t="s">
        <v>0</v>
      </c>
      <c r="P534" s="7" t="s">
        <v>1525</v>
      </c>
      <c r="Q534" s="7" t="s">
        <v>1526</v>
      </c>
      <c r="R534" s="7" t="s">
        <v>714</v>
      </c>
      <c r="S534" s="7" t="s">
        <v>714</v>
      </c>
      <c r="T534" s="7" t="s">
        <v>54</v>
      </c>
      <c r="U534" s="7" t="s">
        <v>101</v>
      </c>
      <c r="V534" s="7" t="s">
        <v>308</v>
      </c>
      <c r="W534" s="7" t="s">
        <v>74</v>
      </c>
      <c r="X534" s="7" t="s">
        <v>103</v>
      </c>
      <c r="Y534" s="8">
        <v>45352</v>
      </c>
      <c r="Z534" s="8">
        <v>45443</v>
      </c>
      <c r="AA534" s="7" t="s">
        <v>309</v>
      </c>
      <c r="AB534" s="7" t="s">
        <v>64</v>
      </c>
      <c r="AC534" s="7" t="s">
        <v>79</v>
      </c>
      <c r="AD534" s="7" t="s">
        <v>144</v>
      </c>
      <c r="AE534" s="7" t="s">
        <v>82</v>
      </c>
      <c r="AF534" s="7" t="s">
        <v>0</v>
      </c>
      <c r="AG534" s="7" t="s">
        <v>0</v>
      </c>
      <c r="AH534" s="9" t="s">
        <v>11051</v>
      </c>
      <c r="AI534" s="9" t="s">
        <v>11052</v>
      </c>
      <c r="AJ534" s="9" t="s">
        <v>11053</v>
      </c>
      <c r="AK534" s="7" t="s">
        <v>61</v>
      </c>
      <c r="AL534" s="7" t="s">
        <v>61</v>
      </c>
      <c r="AM534" s="7" t="s">
        <v>0</v>
      </c>
      <c r="AN534" s="7" t="s">
        <v>0</v>
      </c>
      <c r="AO534" s="7" t="s">
        <v>0</v>
      </c>
      <c r="AP534" s="7" t="s">
        <v>0</v>
      </c>
      <c r="AQ534" s="7" t="s">
        <v>61</v>
      </c>
      <c r="AR534" s="7" t="s">
        <v>0</v>
      </c>
      <c r="AS534" s="10" t="str">
        <f>HYPERLINK("https://tessa.gazprom-neft.local/edo/card/aae5d279-1576-409f-996d-77ddf3c2dfad", "https://tessa.gazprom-neft.local/edo/card/aae5d279-1576-409f-996d-77ddf3c2dfad")</f>
        <v>https://tessa.gazprom-neft.local/edo/card/aae5d279-1576-409f-996d-77ddf3c2dfad</v>
      </c>
    </row>
    <row r="535" spans="1:45" x14ac:dyDescent="0.25">
      <c r="A535" s="6" t="s">
        <v>44</v>
      </c>
      <c r="B535" s="7" t="s">
        <v>1165</v>
      </c>
      <c r="C535" s="7" t="s">
        <v>67</v>
      </c>
      <c r="D535" s="8">
        <v>45352</v>
      </c>
      <c r="E535" s="8" t="s">
        <v>0</v>
      </c>
      <c r="F535" s="16" t="s">
        <v>1166</v>
      </c>
      <c r="G535" s="7" t="s">
        <v>1167</v>
      </c>
      <c r="H535" s="7" t="s">
        <v>1847</v>
      </c>
      <c r="I535" s="7" t="s">
        <v>0</v>
      </c>
      <c r="J535" s="7" t="s">
        <v>70</v>
      </c>
      <c r="K535" s="7" t="s">
        <v>47</v>
      </c>
      <c r="L535" s="7" t="s">
        <v>48</v>
      </c>
      <c r="M535" s="7" t="s">
        <v>0</v>
      </c>
      <c r="N535" s="7" t="s">
        <v>1846</v>
      </c>
      <c r="O535" s="7" t="s">
        <v>0</v>
      </c>
      <c r="P535" s="7" t="s">
        <v>1848</v>
      </c>
      <c r="Q535" s="7" t="s">
        <v>1849</v>
      </c>
      <c r="R535" s="7" t="s">
        <v>1139</v>
      </c>
      <c r="S535" s="7" t="s">
        <v>244</v>
      </c>
      <c r="T535" s="7" t="s">
        <v>54</v>
      </c>
      <c r="U535" s="7" t="s">
        <v>55</v>
      </c>
      <c r="V535" s="7" t="s">
        <v>56</v>
      </c>
      <c r="W535" s="7" t="s">
        <v>74</v>
      </c>
      <c r="X535" s="7" t="s">
        <v>58</v>
      </c>
      <c r="Y535" s="8">
        <v>45352</v>
      </c>
      <c r="Z535" s="8" t="s">
        <v>0</v>
      </c>
      <c r="AA535" s="7" t="s">
        <v>59</v>
      </c>
      <c r="AB535" s="7" t="s">
        <v>256</v>
      </c>
      <c r="AC535" s="7" t="s">
        <v>65</v>
      </c>
      <c r="AD535" s="7" t="s">
        <v>80</v>
      </c>
      <c r="AE535" s="7" t="s">
        <v>0</v>
      </c>
      <c r="AF535" s="7" t="s">
        <v>0</v>
      </c>
      <c r="AG535" s="7" t="s">
        <v>0</v>
      </c>
      <c r="AH535" s="9" t="s">
        <v>0</v>
      </c>
      <c r="AI535" s="9" t="s">
        <v>0</v>
      </c>
      <c r="AJ535" s="9" t="s">
        <v>0</v>
      </c>
      <c r="AK535" s="7" t="s">
        <v>61</v>
      </c>
      <c r="AL535" s="7" t="s">
        <v>61</v>
      </c>
      <c r="AM535" s="7" t="s">
        <v>0</v>
      </c>
      <c r="AN535" s="7" t="s">
        <v>0</v>
      </c>
      <c r="AO535" s="7" t="s">
        <v>0</v>
      </c>
      <c r="AP535" s="7" t="s">
        <v>0</v>
      </c>
      <c r="AQ535" s="7" t="s">
        <v>61</v>
      </c>
      <c r="AR535" s="7" t="s">
        <v>0</v>
      </c>
      <c r="AS535" s="10" t="str">
        <f>HYPERLINK("https://tessa.gazprom-neft.local/edo/card/83b492ed-409a-4dae-9d19-d6d17c43954e", "https://tessa.gazprom-neft.local/edo/card/83b492ed-409a-4dae-9d19-d6d17c43954e")</f>
        <v>https://tessa.gazprom-neft.local/edo/card/83b492ed-409a-4dae-9d19-d6d17c43954e</v>
      </c>
    </row>
    <row r="536" spans="1:45" hidden="1" x14ac:dyDescent="0.25">
      <c r="A536" s="6" t="s">
        <v>44</v>
      </c>
      <c r="B536" s="7" t="s">
        <v>460</v>
      </c>
      <c r="C536" s="7" t="s">
        <v>67</v>
      </c>
      <c r="D536" s="8">
        <v>45352</v>
      </c>
      <c r="E536" s="8" t="s">
        <v>0</v>
      </c>
      <c r="F536" s="16" t="s">
        <v>461</v>
      </c>
      <c r="G536" s="7" t="s">
        <v>462</v>
      </c>
      <c r="H536" s="7" t="s">
        <v>457</v>
      </c>
      <c r="I536" s="7" t="s">
        <v>0</v>
      </c>
      <c r="J536" s="7" t="s">
        <v>51</v>
      </c>
      <c r="K536" s="7" t="s">
        <v>47</v>
      </c>
      <c r="L536" s="7" t="s">
        <v>1858</v>
      </c>
      <c r="M536" s="7" t="s">
        <v>0</v>
      </c>
      <c r="N536" s="7" t="s">
        <v>1857</v>
      </c>
      <c r="O536" s="7" t="s">
        <v>0</v>
      </c>
      <c r="P536" s="7" t="s">
        <v>1859</v>
      </c>
      <c r="Q536" s="7" t="s">
        <v>1860</v>
      </c>
      <c r="R536" s="7" t="s">
        <v>459</v>
      </c>
      <c r="S536" s="7" t="s">
        <v>459</v>
      </c>
      <c r="T536" s="7" t="s">
        <v>54</v>
      </c>
      <c r="U536" s="7" t="s">
        <v>111</v>
      </c>
      <c r="V536" s="7" t="s">
        <v>137</v>
      </c>
      <c r="W536" s="7" t="s">
        <v>57</v>
      </c>
      <c r="X536" s="7" t="s">
        <v>58</v>
      </c>
      <c r="Y536" s="8">
        <v>45352</v>
      </c>
      <c r="Z536" s="8" t="s">
        <v>0</v>
      </c>
      <c r="AA536" s="7" t="s">
        <v>0</v>
      </c>
      <c r="AB536" s="7" t="s">
        <v>192</v>
      </c>
      <c r="AC536" s="7" t="s">
        <v>79</v>
      </c>
      <c r="AD536" s="7" t="s">
        <v>80</v>
      </c>
      <c r="AE536" s="7" t="s">
        <v>193</v>
      </c>
      <c r="AF536" s="7" t="s">
        <v>0</v>
      </c>
      <c r="AG536" s="7" t="s">
        <v>0</v>
      </c>
      <c r="AH536" s="9" t="s">
        <v>11149</v>
      </c>
      <c r="AI536" s="9" t="s">
        <v>11150</v>
      </c>
      <c r="AJ536" s="9" t="s">
        <v>11151</v>
      </c>
      <c r="AK536" s="7" t="s">
        <v>61</v>
      </c>
      <c r="AL536" s="7" t="s">
        <v>61</v>
      </c>
      <c r="AM536" s="7" t="s">
        <v>0</v>
      </c>
      <c r="AN536" s="7" t="s">
        <v>0</v>
      </c>
      <c r="AO536" s="7" t="s">
        <v>0</v>
      </c>
      <c r="AP536" s="7" t="s">
        <v>0</v>
      </c>
      <c r="AQ536" s="7" t="s">
        <v>61</v>
      </c>
      <c r="AR536" s="7" t="s">
        <v>0</v>
      </c>
      <c r="AS536" s="10" t="str">
        <f>HYPERLINK("https://tessa.gazprom-neft.local/edo/card/3e918e6b-0c56-4d23-96b4-1211eb9ebfa0", "https://tessa.gazprom-neft.local/edo/card/3e918e6b-0c56-4d23-96b4-1211eb9ebfa0")</f>
        <v>https://tessa.gazprom-neft.local/edo/card/3e918e6b-0c56-4d23-96b4-1211eb9ebfa0</v>
      </c>
    </row>
    <row r="537" spans="1:45" hidden="1" x14ac:dyDescent="0.25">
      <c r="A537" s="6" t="s">
        <v>44</v>
      </c>
      <c r="B537" s="7" t="s">
        <v>542</v>
      </c>
      <c r="C537" s="7" t="s">
        <v>67</v>
      </c>
      <c r="D537" s="8">
        <v>45352</v>
      </c>
      <c r="E537" s="8" t="s">
        <v>0</v>
      </c>
      <c r="F537" s="16" t="s">
        <v>543</v>
      </c>
      <c r="G537" s="7" t="s">
        <v>544</v>
      </c>
      <c r="H537" s="7" t="s">
        <v>536</v>
      </c>
      <c r="I537" s="7" t="s">
        <v>0</v>
      </c>
      <c r="J537" s="7" t="s">
        <v>1955</v>
      </c>
      <c r="K537" s="7" t="s">
        <v>47</v>
      </c>
      <c r="L537" s="7" t="s">
        <v>239</v>
      </c>
      <c r="M537" s="7" t="s">
        <v>0</v>
      </c>
      <c r="N537" s="7" t="s">
        <v>1953</v>
      </c>
      <c r="O537" s="7" t="s">
        <v>0</v>
      </c>
      <c r="P537" s="7" t="s">
        <v>1954</v>
      </c>
      <c r="Q537" s="7" t="s">
        <v>1956</v>
      </c>
      <c r="R537" s="7" t="s">
        <v>646</v>
      </c>
      <c r="S537" s="7" t="s">
        <v>1957</v>
      </c>
      <c r="T537" s="7" t="s">
        <v>54</v>
      </c>
      <c r="U537" s="7" t="s">
        <v>55</v>
      </c>
      <c r="V537" s="7" t="s">
        <v>56</v>
      </c>
      <c r="W537" s="7" t="s">
        <v>74</v>
      </c>
      <c r="X537" s="7" t="s">
        <v>58</v>
      </c>
      <c r="Y537" s="8">
        <v>45352</v>
      </c>
      <c r="Z537" s="8" t="s">
        <v>0</v>
      </c>
      <c r="AA537" s="7" t="s">
        <v>59</v>
      </c>
      <c r="AB537" s="7" t="s">
        <v>545</v>
      </c>
      <c r="AC537" s="7" t="s">
        <v>79</v>
      </c>
      <c r="AD537" s="7" t="s">
        <v>144</v>
      </c>
      <c r="AE537" s="7" t="s">
        <v>82</v>
      </c>
      <c r="AF537" s="7" t="s">
        <v>0</v>
      </c>
      <c r="AG537" s="7" t="s">
        <v>0</v>
      </c>
      <c r="AH537" s="9" t="s">
        <v>11189</v>
      </c>
      <c r="AI537" s="9" t="s">
        <v>11190</v>
      </c>
      <c r="AJ537" s="9" t="s">
        <v>11191</v>
      </c>
      <c r="AK537" s="7" t="s">
        <v>61</v>
      </c>
      <c r="AL537" s="7" t="s">
        <v>61</v>
      </c>
      <c r="AM537" s="7" t="s">
        <v>0</v>
      </c>
      <c r="AN537" s="7" t="s">
        <v>0</v>
      </c>
      <c r="AO537" s="7" t="s">
        <v>0</v>
      </c>
      <c r="AP537" s="7" t="s">
        <v>0</v>
      </c>
      <c r="AQ537" s="7" t="s">
        <v>61</v>
      </c>
      <c r="AR537" s="7" t="s">
        <v>0</v>
      </c>
      <c r="AS537" s="10" t="str">
        <f>HYPERLINK("https://tessa.gazprom-neft.local/edo/card/adb55456-db9d-4baf-9531-043b30f4d9b1", "https://tessa.gazprom-neft.local/edo/card/adb55456-db9d-4baf-9531-043b30f4d9b1")</f>
        <v>https://tessa.gazprom-neft.local/edo/card/adb55456-db9d-4baf-9531-043b30f4d9b1</v>
      </c>
    </row>
    <row r="538" spans="1:45" hidden="1" x14ac:dyDescent="0.25">
      <c r="A538" s="6" t="s">
        <v>44</v>
      </c>
      <c r="B538" s="7" t="s">
        <v>2080</v>
      </c>
      <c r="C538" s="7" t="s">
        <v>67</v>
      </c>
      <c r="D538" s="8">
        <v>45352</v>
      </c>
      <c r="E538" s="8" t="s">
        <v>0</v>
      </c>
      <c r="F538" s="16" t="s">
        <v>2081</v>
      </c>
      <c r="G538" s="7" t="s">
        <v>2082</v>
      </c>
      <c r="H538" s="7" t="s">
        <v>0</v>
      </c>
      <c r="I538" s="7" t="s">
        <v>2076</v>
      </c>
      <c r="J538" s="7" t="s">
        <v>2076</v>
      </c>
      <c r="K538" s="7" t="s">
        <v>47</v>
      </c>
      <c r="L538" s="7" t="s">
        <v>96</v>
      </c>
      <c r="M538" s="7" t="s">
        <v>0</v>
      </c>
      <c r="N538" s="7" t="s">
        <v>2075</v>
      </c>
      <c r="O538" s="7" t="s">
        <v>0</v>
      </c>
      <c r="P538" s="7" t="s">
        <v>2077</v>
      </c>
      <c r="Q538" s="7" t="s">
        <v>2078</v>
      </c>
      <c r="R538" s="7" t="s">
        <v>2079</v>
      </c>
      <c r="S538" s="7" t="s">
        <v>2079</v>
      </c>
      <c r="T538" s="7" t="s">
        <v>54</v>
      </c>
      <c r="U538" s="7" t="s">
        <v>55</v>
      </c>
      <c r="V538" s="7" t="s">
        <v>56</v>
      </c>
      <c r="W538" s="7" t="s">
        <v>57</v>
      </c>
      <c r="X538" s="7" t="s">
        <v>103</v>
      </c>
      <c r="Y538" s="8">
        <v>45352</v>
      </c>
      <c r="Z538" s="8">
        <v>45716</v>
      </c>
      <c r="AA538" s="7" t="s">
        <v>59</v>
      </c>
      <c r="AB538" s="7" t="s">
        <v>1408</v>
      </c>
      <c r="AC538" s="7" t="s">
        <v>79</v>
      </c>
      <c r="AD538" s="7" t="s">
        <v>514</v>
      </c>
      <c r="AE538" s="7" t="s">
        <v>118</v>
      </c>
      <c r="AF538" s="7" t="s">
        <v>0</v>
      </c>
      <c r="AG538" s="7" t="s">
        <v>0</v>
      </c>
      <c r="AH538" s="9" t="s">
        <v>11235</v>
      </c>
      <c r="AI538" s="9" t="s">
        <v>11235</v>
      </c>
      <c r="AJ538" s="9">
        <v>0</v>
      </c>
      <c r="AK538" s="7" t="s">
        <v>61</v>
      </c>
      <c r="AL538" s="7" t="s">
        <v>61</v>
      </c>
      <c r="AM538" s="7" t="s">
        <v>0</v>
      </c>
      <c r="AN538" s="7" t="s">
        <v>0</v>
      </c>
      <c r="AO538" s="7" t="s">
        <v>0</v>
      </c>
      <c r="AP538" s="7" t="s">
        <v>0</v>
      </c>
      <c r="AQ538" s="7" t="s">
        <v>61</v>
      </c>
      <c r="AR538" s="7" t="s">
        <v>0</v>
      </c>
      <c r="AS538" s="10" t="str">
        <f>HYPERLINK("https://tessa.gazprom-neft.local/edo/card/e414bbff-a636-40f9-b720-16b8f18e389c", "https://tessa.gazprom-neft.local/edo/card/e414bbff-a636-40f9-b720-16b8f18e389c")</f>
        <v>https://tessa.gazprom-neft.local/edo/card/e414bbff-a636-40f9-b720-16b8f18e389c</v>
      </c>
    </row>
    <row r="539" spans="1:45" hidden="1" x14ac:dyDescent="0.25">
      <c r="A539" s="6" t="s">
        <v>44</v>
      </c>
      <c r="B539" s="7" t="s">
        <v>450</v>
      </c>
      <c r="C539" s="7" t="s">
        <v>67</v>
      </c>
      <c r="D539" s="8">
        <v>45352</v>
      </c>
      <c r="E539" s="8" t="s">
        <v>0</v>
      </c>
      <c r="F539" s="16" t="s">
        <v>451</v>
      </c>
      <c r="G539" s="7" t="s">
        <v>452</v>
      </c>
      <c r="H539" s="7" t="s">
        <v>0</v>
      </c>
      <c r="I539" s="7" t="s">
        <v>8735</v>
      </c>
      <c r="J539" s="7" t="s">
        <v>8735</v>
      </c>
      <c r="K539" s="7" t="s">
        <v>85</v>
      </c>
      <c r="L539" s="7" t="s">
        <v>96</v>
      </c>
      <c r="M539" s="7" t="s">
        <v>398</v>
      </c>
      <c r="N539" s="7" t="s">
        <v>8734</v>
      </c>
      <c r="O539" s="7" t="s">
        <v>0</v>
      </c>
      <c r="P539" s="7" t="s">
        <v>8736</v>
      </c>
      <c r="Q539" s="7" t="s">
        <v>402</v>
      </c>
      <c r="R539" s="7" t="s">
        <v>361</v>
      </c>
      <c r="S539" s="7" t="s">
        <v>361</v>
      </c>
      <c r="T539" s="7" t="s">
        <v>54</v>
      </c>
      <c r="U539" s="7" t="s">
        <v>362</v>
      </c>
      <c r="V539" s="7" t="s">
        <v>295</v>
      </c>
      <c r="W539" s="7" t="s">
        <v>74</v>
      </c>
      <c r="X539" s="7" t="s">
        <v>103</v>
      </c>
      <c r="Y539" s="8">
        <v>45352</v>
      </c>
      <c r="Z539" s="8">
        <v>45657</v>
      </c>
      <c r="AA539" s="7" t="s">
        <v>296</v>
      </c>
      <c r="AB539" s="7" t="s">
        <v>366</v>
      </c>
      <c r="AC539" s="7" t="s">
        <v>278</v>
      </c>
      <c r="AD539" s="7" t="s">
        <v>367</v>
      </c>
      <c r="AE539" s="7" t="s">
        <v>82</v>
      </c>
      <c r="AF539" s="7" t="s">
        <v>0</v>
      </c>
      <c r="AG539" s="7" t="s">
        <v>0</v>
      </c>
      <c r="AH539" s="9" t="s">
        <v>13671</v>
      </c>
      <c r="AI539" s="9" t="s">
        <v>13672</v>
      </c>
      <c r="AJ539" s="9" t="s">
        <v>13673</v>
      </c>
      <c r="AK539" s="7" t="s">
        <v>61</v>
      </c>
      <c r="AL539" s="7" t="s">
        <v>61</v>
      </c>
      <c r="AM539" s="7" t="s">
        <v>0</v>
      </c>
      <c r="AN539" s="7" t="s">
        <v>0</v>
      </c>
      <c r="AO539" s="7" t="s">
        <v>0</v>
      </c>
      <c r="AP539" s="7" t="s">
        <v>0</v>
      </c>
      <c r="AQ539" s="7" t="s">
        <v>61</v>
      </c>
      <c r="AR539" s="7" t="s">
        <v>0</v>
      </c>
      <c r="AS539" s="10" t="str">
        <f>HYPERLINK("https://tessa.gazprom-neft.local/edo/card/f8989703-6a24-43d9-aaad-d696e849f62f", "https://tessa.gazprom-neft.local/edo/card/f8989703-6a24-43d9-aaad-d696e849f62f")</f>
        <v>https://tessa.gazprom-neft.local/edo/card/f8989703-6a24-43d9-aaad-d696e849f62f</v>
      </c>
    </row>
    <row r="540" spans="1:45" x14ac:dyDescent="0.25">
      <c r="A540" s="6" t="s">
        <v>44</v>
      </c>
      <c r="B540" s="7" t="s">
        <v>1675</v>
      </c>
      <c r="C540" s="7" t="s">
        <v>67</v>
      </c>
      <c r="D540" s="8">
        <v>45350</v>
      </c>
      <c r="E540" s="8" t="s">
        <v>0</v>
      </c>
      <c r="F540" s="16" t="s">
        <v>1676</v>
      </c>
      <c r="G540" s="7" t="s">
        <v>1677</v>
      </c>
      <c r="H540" s="7" t="s">
        <v>1672</v>
      </c>
      <c r="I540" s="7" t="s">
        <v>0</v>
      </c>
      <c r="J540" s="7" t="s">
        <v>51</v>
      </c>
      <c r="K540" s="7" t="s">
        <v>47</v>
      </c>
      <c r="L540" s="7" t="s">
        <v>48</v>
      </c>
      <c r="M540" s="7" t="s">
        <v>0</v>
      </c>
      <c r="N540" s="7" t="s">
        <v>1671</v>
      </c>
      <c r="O540" s="7" t="s">
        <v>0</v>
      </c>
      <c r="P540" s="7" t="s">
        <v>1673</v>
      </c>
      <c r="Q540" s="7" t="s">
        <v>1674</v>
      </c>
      <c r="R540" s="7" t="s">
        <v>282</v>
      </c>
      <c r="S540" s="7" t="s">
        <v>0</v>
      </c>
      <c r="T540" s="7" t="s">
        <v>54</v>
      </c>
      <c r="U540" s="7" t="s">
        <v>55</v>
      </c>
      <c r="V540" s="7" t="s">
        <v>56</v>
      </c>
      <c r="W540" s="7" t="s">
        <v>57</v>
      </c>
      <c r="X540" s="7" t="s">
        <v>103</v>
      </c>
      <c r="Y540" s="8">
        <v>45350</v>
      </c>
      <c r="Z540" s="8">
        <v>46752</v>
      </c>
      <c r="AA540" s="7" t="s">
        <v>0</v>
      </c>
      <c r="AB540" s="7" t="s">
        <v>130</v>
      </c>
      <c r="AC540" s="7" t="s">
        <v>278</v>
      </c>
      <c r="AD540" s="7" t="s">
        <v>144</v>
      </c>
      <c r="AE540" s="7" t="s">
        <v>82</v>
      </c>
      <c r="AF540" s="7" t="s">
        <v>0</v>
      </c>
      <c r="AG540" s="7" t="s">
        <v>0</v>
      </c>
      <c r="AH540" s="9" t="s">
        <v>11087</v>
      </c>
      <c r="AI540" s="9" t="s">
        <v>11088</v>
      </c>
      <c r="AJ540" s="9" t="s">
        <v>11089</v>
      </c>
      <c r="AK540" s="7" t="s">
        <v>61</v>
      </c>
      <c r="AL540" s="7" t="s">
        <v>61</v>
      </c>
      <c r="AM540" s="7" t="s">
        <v>0</v>
      </c>
      <c r="AN540" s="7" t="s">
        <v>0</v>
      </c>
      <c r="AO540" s="7" t="s">
        <v>0</v>
      </c>
      <c r="AP540" s="7" t="s">
        <v>0</v>
      </c>
      <c r="AQ540" s="7" t="s">
        <v>61</v>
      </c>
      <c r="AR540" s="7" t="s">
        <v>0</v>
      </c>
      <c r="AS540" s="10" t="str">
        <f>HYPERLINK("https://tessa.gazprom-neft.local/edo/card/0e2eefc7-c91e-4c62-aa7e-10d15422dfc2", "https://tessa.gazprom-neft.local/edo/card/0e2eefc7-c91e-4c62-aa7e-10d15422dfc2")</f>
        <v>https://tessa.gazprom-neft.local/edo/card/0e2eefc7-c91e-4c62-aa7e-10d15422dfc2</v>
      </c>
    </row>
    <row r="541" spans="1:45" hidden="1" x14ac:dyDescent="0.25">
      <c r="A541" s="6" t="s">
        <v>44</v>
      </c>
      <c r="B541" s="7" t="s">
        <v>1396</v>
      </c>
      <c r="C541" s="7" t="s">
        <v>67</v>
      </c>
      <c r="D541" s="8">
        <v>45350</v>
      </c>
      <c r="E541" s="8" t="s">
        <v>0</v>
      </c>
      <c r="F541" s="16" t="s">
        <v>1397</v>
      </c>
      <c r="G541" s="7" t="s">
        <v>1398</v>
      </c>
      <c r="H541" s="7" t="s">
        <v>1735</v>
      </c>
      <c r="I541" s="7" t="s">
        <v>0</v>
      </c>
      <c r="J541" s="7" t="s">
        <v>955</v>
      </c>
      <c r="K541" s="7" t="s">
        <v>47</v>
      </c>
      <c r="L541" s="7" t="s">
        <v>239</v>
      </c>
      <c r="M541" s="7" t="s">
        <v>0</v>
      </c>
      <c r="N541" s="7" t="s">
        <v>1778</v>
      </c>
      <c r="O541" s="7" t="s">
        <v>0</v>
      </c>
      <c r="P541" s="7" t="s">
        <v>1779</v>
      </c>
      <c r="Q541" s="7" t="s">
        <v>1780</v>
      </c>
      <c r="R541" s="7" t="s">
        <v>135</v>
      </c>
      <c r="S541" s="7" t="s">
        <v>0</v>
      </c>
      <c r="T541" s="7" t="s">
        <v>54</v>
      </c>
      <c r="U541" s="7" t="s">
        <v>136</v>
      </c>
      <c r="V541" s="7" t="s">
        <v>308</v>
      </c>
      <c r="W541" s="7" t="s">
        <v>74</v>
      </c>
      <c r="X541" s="7" t="s">
        <v>103</v>
      </c>
      <c r="Y541" s="8">
        <v>45350</v>
      </c>
      <c r="Z541" s="8">
        <v>45657</v>
      </c>
      <c r="AA541" s="7" t="s">
        <v>309</v>
      </c>
      <c r="AB541" s="7" t="s">
        <v>1738</v>
      </c>
      <c r="AC541" s="7" t="s">
        <v>79</v>
      </c>
      <c r="AD541" s="7" t="s">
        <v>144</v>
      </c>
      <c r="AE541" s="7" t="s">
        <v>118</v>
      </c>
      <c r="AF541" s="7" t="s">
        <v>0</v>
      </c>
      <c r="AG541" s="7" t="s">
        <v>0</v>
      </c>
      <c r="AH541" s="9" t="s">
        <v>11108</v>
      </c>
      <c r="AI541" s="9" t="s">
        <v>11108</v>
      </c>
      <c r="AJ541" s="9">
        <v>0</v>
      </c>
      <c r="AK541" s="7" t="s">
        <v>61</v>
      </c>
      <c r="AL541" s="7" t="s">
        <v>61</v>
      </c>
      <c r="AM541" s="7" t="s">
        <v>0</v>
      </c>
      <c r="AN541" s="7" t="s">
        <v>0</v>
      </c>
      <c r="AO541" s="7" t="s">
        <v>0</v>
      </c>
      <c r="AP541" s="7" t="s">
        <v>0</v>
      </c>
      <c r="AQ541" s="7" t="s">
        <v>61</v>
      </c>
      <c r="AR541" s="7" t="s">
        <v>0</v>
      </c>
      <c r="AS541" s="10" t="str">
        <f>HYPERLINK("https://tessa.gazprom-neft.local/edo/card/f99a7d79-08cd-4018-815d-fe357f05dd22", "https://tessa.gazprom-neft.local/edo/card/f99a7d79-08cd-4018-815d-fe357f05dd22")</f>
        <v>https://tessa.gazprom-neft.local/edo/card/f99a7d79-08cd-4018-815d-fe357f05dd22</v>
      </c>
    </row>
    <row r="542" spans="1:45" x14ac:dyDescent="0.25">
      <c r="A542" s="6" t="s">
        <v>44</v>
      </c>
      <c r="B542" s="7" t="s">
        <v>403</v>
      </c>
      <c r="C542" s="7" t="s">
        <v>67</v>
      </c>
      <c r="D542" s="8">
        <v>45350</v>
      </c>
      <c r="E542" s="8" t="s">
        <v>0</v>
      </c>
      <c r="F542" s="16" t="s">
        <v>404</v>
      </c>
      <c r="G542" s="7" t="s">
        <v>405</v>
      </c>
      <c r="H542" s="7" t="s">
        <v>1805</v>
      </c>
      <c r="I542" s="7" t="s">
        <v>0</v>
      </c>
      <c r="J542" s="7" t="s">
        <v>156</v>
      </c>
      <c r="K542" s="7" t="s">
        <v>85</v>
      </c>
      <c r="L542" s="7" t="s">
        <v>48</v>
      </c>
      <c r="M542" s="7" t="s">
        <v>1134</v>
      </c>
      <c r="N542" s="7" t="s">
        <v>1804</v>
      </c>
      <c r="O542" s="7" t="s">
        <v>0</v>
      </c>
      <c r="P542" s="7" t="s">
        <v>1134</v>
      </c>
      <c r="Q542" s="7" t="s">
        <v>1806</v>
      </c>
      <c r="R542" s="7" t="s">
        <v>282</v>
      </c>
      <c r="S542" s="7" t="s">
        <v>0</v>
      </c>
      <c r="T542" s="7" t="s">
        <v>54</v>
      </c>
      <c r="U542" s="7" t="s">
        <v>55</v>
      </c>
      <c r="V542" s="7" t="s">
        <v>56</v>
      </c>
      <c r="W542" s="7" t="s">
        <v>74</v>
      </c>
      <c r="X542" s="7" t="s">
        <v>103</v>
      </c>
      <c r="Y542" s="8">
        <v>45350</v>
      </c>
      <c r="Z542" s="8">
        <v>46387</v>
      </c>
      <c r="AA542" s="7" t="s">
        <v>0</v>
      </c>
      <c r="AB542" s="7" t="s">
        <v>130</v>
      </c>
      <c r="AC542" s="7" t="s">
        <v>65</v>
      </c>
      <c r="AD542" s="7" t="s">
        <v>144</v>
      </c>
      <c r="AE542" s="7" t="s">
        <v>0</v>
      </c>
      <c r="AF542" s="7" t="s">
        <v>0</v>
      </c>
      <c r="AG542" s="7" t="s">
        <v>0</v>
      </c>
      <c r="AH542" s="9" t="s">
        <v>0</v>
      </c>
      <c r="AI542" s="9" t="s">
        <v>0</v>
      </c>
      <c r="AJ542" s="9" t="s">
        <v>0</v>
      </c>
      <c r="AK542" s="7" t="s">
        <v>61</v>
      </c>
      <c r="AL542" s="7" t="s">
        <v>61</v>
      </c>
      <c r="AM542" s="7" t="s">
        <v>0</v>
      </c>
      <c r="AN542" s="7" t="s">
        <v>0</v>
      </c>
      <c r="AO542" s="7" t="s">
        <v>0</v>
      </c>
      <c r="AP542" s="7" t="s">
        <v>0</v>
      </c>
      <c r="AQ542" s="7" t="s">
        <v>61</v>
      </c>
      <c r="AR542" s="7" t="s">
        <v>0</v>
      </c>
      <c r="AS542" s="10" t="str">
        <f>HYPERLINK("https://tessa.gazprom-neft.local/edo/card/6a45fb4e-3a65-4988-bd94-09b1acce83e9", "https://tessa.gazprom-neft.local/edo/card/6a45fb4e-3a65-4988-bd94-09b1acce83e9")</f>
        <v>https://tessa.gazprom-neft.local/edo/card/6a45fb4e-3a65-4988-bd94-09b1acce83e9</v>
      </c>
    </row>
    <row r="543" spans="1:45" x14ac:dyDescent="0.25">
      <c r="A543" s="6" t="s">
        <v>44</v>
      </c>
      <c r="B543" s="7" t="s">
        <v>1351</v>
      </c>
      <c r="C543" s="7" t="s">
        <v>67</v>
      </c>
      <c r="D543" s="8">
        <v>45350</v>
      </c>
      <c r="E543" s="8" t="s">
        <v>0</v>
      </c>
      <c r="F543" s="16" t="s">
        <v>1352</v>
      </c>
      <c r="G543" s="7" t="s">
        <v>1353</v>
      </c>
      <c r="H543" s="7" t="s">
        <v>1818</v>
      </c>
      <c r="I543" s="7" t="s">
        <v>0</v>
      </c>
      <c r="J543" s="7" t="s">
        <v>872</v>
      </c>
      <c r="K543" s="7" t="s">
        <v>47</v>
      </c>
      <c r="L543" s="7" t="s">
        <v>48</v>
      </c>
      <c r="M543" s="7" t="s">
        <v>0</v>
      </c>
      <c r="N543" s="7" t="s">
        <v>1817</v>
      </c>
      <c r="O543" s="7" t="s">
        <v>0</v>
      </c>
      <c r="P543" s="7" t="s">
        <v>1819</v>
      </c>
      <c r="Q543" s="7" t="s">
        <v>1820</v>
      </c>
      <c r="R543" s="7" t="s">
        <v>124</v>
      </c>
      <c r="S543" s="7" t="s">
        <v>124</v>
      </c>
      <c r="T543" s="7" t="s">
        <v>54</v>
      </c>
      <c r="U543" s="7" t="s">
        <v>125</v>
      </c>
      <c r="V543" s="7" t="s">
        <v>126</v>
      </c>
      <c r="W543" s="7" t="s">
        <v>74</v>
      </c>
      <c r="X543" s="7" t="s">
        <v>58</v>
      </c>
      <c r="Y543" s="8">
        <v>45350</v>
      </c>
      <c r="Z543" s="8" t="s">
        <v>0</v>
      </c>
      <c r="AA543" s="7" t="s">
        <v>200</v>
      </c>
      <c r="AB543" s="7" t="s">
        <v>804</v>
      </c>
      <c r="AC543" s="7" t="s">
        <v>65</v>
      </c>
      <c r="AD543" s="7" t="s">
        <v>0</v>
      </c>
      <c r="AE543" s="7" t="s">
        <v>0</v>
      </c>
      <c r="AF543" s="7" t="s">
        <v>0</v>
      </c>
      <c r="AG543" s="7" t="s">
        <v>0</v>
      </c>
      <c r="AH543" s="9" t="s">
        <v>0</v>
      </c>
      <c r="AI543" s="9" t="s">
        <v>0</v>
      </c>
      <c r="AJ543" s="9" t="s">
        <v>0</v>
      </c>
      <c r="AK543" s="7" t="s">
        <v>61</v>
      </c>
      <c r="AL543" s="7" t="s">
        <v>61</v>
      </c>
      <c r="AM543" s="7" t="s">
        <v>0</v>
      </c>
      <c r="AN543" s="7" t="s">
        <v>0</v>
      </c>
      <c r="AO543" s="7" t="s">
        <v>0</v>
      </c>
      <c r="AP543" s="7" t="s">
        <v>0</v>
      </c>
      <c r="AQ543" s="7" t="s">
        <v>61</v>
      </c>
      <c r="AR543" s="7" t="s">
        <v>0</v>
      </c>
      <c r="AS543" s="10" t="str">
        <f>HYPERLINK("https://tessa.gazprom-neft.local/edo/card/cbc71d7c-bc0c-4276-880c-a603debc5a12", "https://tessa.gazprom-neft.local/edo/card/cbc71d7c-bc0c-4276-880c-a603debc5a12")</f>
        <v>https://tessa.gazprom-neft.local/edo/card/cbc71d7c-bc0c-4276-880c-a603debc5a12</v>
      </c>
    </row>
    <row r="544" spans="1:45" x14ac:dyDescent="0.25">
      <c r="A544" s="6" t="s">
        <v>44</v>
      </c>
      <c r="B544" s="7" t="s">
        <v>1396</v>
      </c>
      <c r="C544" s="7" t="s">
        <v>67</v>
      </c>
      <c r="D544" s="8">
        <v>45349</v>
      </c>
      <c r="E544" s="8" t="s">
        <v>0</v>
      </c>
      <c r="F544" s="16" t="s">
        <v>1397</v>
      </c>
      <c r="G544" s="7" t="s">
        <v>1398</v>
      </c>
      <c r="H544" s="7" t="s">
        <v>1735</v>
      </c>
      <c r="I544" s="7" t="s">
        <v>0</v>
      </c>
      <c r="J544" s="7" t="s">
        <v>936</v>
      </c>
      <c r="K544" s="7" t="s">
        <v>47</v>
      </c>
      <c r="L544" s="7" t="s">
        <v>48</v>
      </c>
      <c r="M544" s="7" t="s">
        <v>0</v>
      </c>
      <c r="N544" s="7" t="s">
        <v>1734</v>
      </c>
      <c r="O544" s="7" t="s">
        <v>0</v>
      </c>
      <c r="P544" s="7" t="s">
        <v>1736</v>
      </c>
      <c r="Q544" s="7" t="s">
        <v>1737</v>
      </c>
      <c r="R544" s="7" t="s">
        <v>135</v>
      </c>
      <c r="S544" s="7" t="s">
        <v>0</v>
      </c>
      <c r="T544" s="7" t="s">
        <v>54</v>
      </c>
      <c r="U544" s="7" t="s">
        <v>136</v>
      </c>
      <c r="V544" s="7" t="s">
        <v>308</v>
      </c>
      <c r="W544" s="7" t="s">
        <v>74</v>
      </c>
      <c r="X544" s="7" t="s">
        <v>103</v>
      </c>
      <c r="Y544" s="8">
        <v>45349</v>
      </c>
      <c r="Z544" s="8">
        <v>45657</v>
      </c>
      <c r="AA544" s="7" t="s">
        <v>309</v>
      </c>
      <c r="AB544" s="7" t="s">
        <v>1738</v>
      </c>
      <c r="AC544" s="7" t="s">
        <v>79</v>
      </c>
      <c r="AD544" s="7" t="s">
        <v>144</v>
      </c>
      <c r="AE544" s="7" t="s">
        <v>118</v>
      </c>
      <c r="AF544" s="7" t="s">
        <v>0</v>
      </c>
      <c r="AG544" s="7" t="s">
        <v>0</v>
      </c>
      <c r="AH544" s="9" t="s">
        <v>11108</v>
      </c>
      <c r="AI544" s="9" t="s">
        <v>11108</v>
      </c>
      <c r="AJ544" s="9">
        <v>0</v>
      </c>
      <c r="AK544" s="7" t="s">
        <v>61</v>
      </c>
      <c r="AL544" s="7" t="s">
        <v>61</v>
      </c>
      <c r="AM544" s="7" t="s">
        <v>0</v>
      </c>
      <c r="AN544" s="7" t="s">
        <v>0</v>
      </c>
      <c r="AO544" s="7" t="s">
        <v>0</v>
      </c>
      <c r="AP544" s="7" t="s">
        <v>0</v>
      </c>
      <c r="AQ544" s="7" t="s">
        <v>61</v>
      </c>
      <c r="AR544" s="7" t="s">
        <v>0</v>
      </c>
      <c r="AS544" s="10" t="str">
        <f>HYPERLINK("https://tessa.gazprom-neft.local/edo/card/0cc15765-635d-4f75-9018-dbb6e06f5cec", "https://tessa.gazprom-neft.local/edo/card/0cc15765-635d-4f75-9018-dbb6e06f5cec")</f>
        <v>https://tessa.gazprom-neft.local/edo/card/0cc15765-635d-4f75-9018-dbb6e06f5cec</v>
      </c>
    </row>
    <row r="545" spans="1:45" hidden="1" x14ac:dyDescent="0.25">
      <c r="A545" s="6" t="s">
        <v>44</v>
      </c>
      <c r="B545" s="7" t="s">
        <v>715</v>
      </c>
      <c r="C545" s="7" t="s">
        <v>67</v>
      </c>
      <c r="D545" s="8">
        <v>45348</v>
      </c>
      <c r="E545" s="8" t="s">
        <v>0</v>
      </c>
      <c r="F545" s="16" t="s">
        <v>716</v>
      </c>
      <c r="G545" s="7" t="s">
        <v>717</v>
      </c>
      <c r="H545" s="7" t="s">
        <v>710</v>
      </c>
      <c r="I545" s="7" t="s">
        <v>0</v>
      </c>
      <c r="J545" s="7" t="s">
        <v>51</v>
      </c>
      <c r="K545" s="7" t="s">
        <v>47</v>
      </c>
      <c r="L545" s="7" t="s">
        <v>389</v>
      </c>
      <c r="M545" s="7" t="s">
        <v>0</v>
      </c>
      <c r="N545" s="7" t="s">
        <v>1514</v>
      </c>
      <c r="O545" s="7" t="s">
        <v>712</v>
      </c>
      <c r="P545" s="7" t="s">
        <v>1515</v>
      </c>
      <c r="Q545" s="7" t="s">
        <v>1516</v>
      </c>
      <c r="R545" s="7" t="s">
        <v>714</v>
      </c>
      <c r="S545" s="7" t="s">
        <v>714</v>
      </c>
      <c r="T545" s="7" t="s">
        <v>54</v>
      </c>
      <c r="U545" s="7" t="s">
        <v>101</v>
      </c>
      <c r="V545" s="7" t="s">
        <v>308</v>
      </c>
      <c r="W545" s="7" t="s">
        <v>74</v>
      </c>
      <c r="X545" s="7" t="s">
        <v>103</v>
      </c>
      <c r="Y545" s="8">
        <v>45348</v>
      </c>
      <c r="Z545" s="8">
        <v>45565</v>
      </c>
      <c r="AA545" s="7" t="s">
        <v>309</v>
      </c>
      <c r="AB545" s="7" t="s">
        <v>64</v>
      </c>
      <c r="AC545" s="7" t="s">
        <v>65</v>
      </c>
      <c r="AD545" s="7" t="s">
        <v>144</v>
      </c>
      <c r="AE545" s="7" t="s">
        <v>0</v>
      </c>
      <c r="AF545" s="7" t="s">
        <v>0</v>
      </c>
      <c r="AG545" s="7" t="s">
        <v>0</v>
      </c>
      <c r="AH545" s="9" t="s">
        <v>0</v>
      </c>
      <c r="AI545" s="9" t="s">
        <v>0</v>
      </c>
      <c r="AJ545" s="9" t="s">
        <v>0</v>
      </c>
      <c r="AK545" s="7" t="s">
        <v>61</v>
      </c>
      <c r="AL545" s="7" t="s">
        <v>61</v>
      </c>
      <c r="AM545" s="7" t="s">
        <v>0</v>
      </c>
      <c r="AN545" s="7" t="s">
        <v>0</v>
      </c>
      <c r="AO545" s="7" t="s">
        <v>0</v>
      </c>
      <c r="AP545" s="7" t="s">
        <v>0</v>
      </c>
      <c r="AQ545" s="7" t="s">
        <v>61</v>
      </c>
      <c r="AR545" s="7" t="s">
        <v>0</v>
      </c>
      <c r="AS545" s="10" t="str">
        <f>HYPERLINK("https://tessa.gazprom-neft.local/edo/card/5bb5627c-f39b-4843-8f96-203fc998e259", "https://tessa.gazprom-neft.local/edo/card/5bb5627c-f39b-4843-8f96-203fc998e259")</f>
        <v>https://tessa.gazprom-neft.local/edo/card/5bb5627c-f39b-4843-8f96-203fc998e259</v>
      </c>
    </row>
    <row r="546" spans="1:45" x14ac:dyDescent="0.25">
      <c r="A546" s="6" t="s">
        <v>44</v>
      </c>
      <c r="B546" s="7" t="s">
        <v>570</v>
      </c>
      <c r="C546" s="7" t="s">
        <v>67</v>
      </c>
      <c r="D546" s="8">
        <v>45348</v>
      </c>
      <c r="E546" s="8" t="s">
        <v>0</v>
      </c>
      <c r="F546" s="16" t="s">
        <v>571</v>
      </c>
      <c r="G546" s="7" t="s">
        <v>572</v>
      </c>
      <c r="H546" s="7" t="s">
        <v>1601</v>
      </c>
      <c r="I546" s="7" t="s">
        <v>0</v>
      </c>
      <c r="J546" s="7" t="s">
        <v>51</v>
      </c>
      <c r="K546" s="7" t="s">
        <v>47</v>
      </c>
      <c r="L546" s="7" t="s">
        <v>48</v>
      </c>
      <c r="M546" s="7" t="s">
        <v>0</v>
      </c>
      <c r="N546" s="7" t="s">
        <v>1600</v>
      </c>
      <c r="O546" s="7" t="s">
        <v>0</v>
      </c>
      <c r="P546" s="7" t="s">
        <v>1602</v>
      </c>
      <c r="Q546" s="7" t="s">
        <v>1603</v>
      </c>
      <c r="R546" s="7" t="s">
        <v>1604</v>
      </c>
      <c r="S546" s="7" t="s">
        <v>0</v>
      </c>
      <c r="T546" s="7" t="s">
        <v>54</v>
      </c>
      <c r="U546" s="7" t="s">
        <v>188</v>
      </c>
      <c r="V546" s="7" t="s">
        <v>187</v>
      </c>
      <c r="W546" s="7" t="s">
        <v>74</v>
      </c>
      <c r="X546" s="7" t="s">
        <v>103</v>
      </c>
      <c r="Y546" s="8">
        <v>45391</v>
      </c>
      <c r="Z546" s="8">
        <v>46478</v>
      </c>
      <c r="AA546" s="7" t="s">
        <v>224</v>
      </c>
      <c r="AB546" s="7" t="s">
        <v>500</v>
      </c>
      <c r="AC546" s="7" t="s">
        <v>65</v>
      </c>
      <c r="AD546" s="7" t="s">
        <v>0</v>
      </c>
      <c r="AE546" s="7" t="s">
        <v>0</v>
      </c>
      <c r="AF546" s="7" t="s">
        <v>0</v>
      </c>
      <c r="AG546" s="7" t="s">
        <v>0</v>
      </c>
      <c r="AH546" s="9" t="s">
        <v>0</v>
      </c>
      <c r="AI546" s="9" t="s">
        <v>0</v>
      </c>
      <c r="AJ546" s="9" t="s">
        <v>0</v>
      </c>
      <c r="AK546" s="7" t="s">
        <v>61</v>
      </c>
      <c r="AL546" s="7" t="s">
        <v>61</v>
      </c>
      <c r="AM546" s="7" t="s">
        <v>0</v>
      </c>
      <c r="AN546" s="7" t="s">
        <v>0</v>
      </c>
      <c r="AO546" s="7" t="s">
        <v>0</v>
      </c>
      <c r="AP546" s="7" t="s">
        <v>0</v>
      </c>
      <c r="AQ546" s="7" t="s">
        <v>61</v>
      </c>
      <c r="AR546" s="7" t="s">
        <v>0</v>
      </c>
      <c r="AS546" s="10" t="str">
        <f>HYPERLINK("https://tessa.gazprom-neft.local/edo/card/98907173-cd6a-4819-bb64-865c684a5294", "https://tessa.gazprom-neft.local/edo/card/98907173-cd6a-4819-bb64-865c684a5294")</f>
        <v>https://tessa.gazprom-neft.local/edo/card/98907173-cd6a-4819-bb64-865c684a5294</v>
      </c>
    </row>
    <row r="547" spans="1:45" hidden="1" x14ac:dyDescent="0.25">
      <c r="A547" s="6" t="s">
        <v>44</v>
      </c>
      <c r="B547" s="7" t="s">
        <v>1504</v>
      </c>
      <c r="C547" s="7" t="s">
        <v>67</v>
      </c>
      <c r="D547" s="8">
        <v>45344</v>
      </c>
      <c r="E547" s="8" t="s">
        <v>0</v>
      </c>
      <c r="F547" s="16" t="s">
        <v>1505</v>
      </c>
      <c r="G547" s="7" t="s">
        <v>1506</v>
      </c>
      <c r="H547" s="7" t="s">
        <v>0</v>
      </c>
      <c r="I547" s="7" t="s">
        <v>1539</v>
      </c>
      <c r="J547" s="7" t="s">
        <v>1539</v>
      </c>
      <c r="K547" s="7" t="s">
        <v>85</v>
      </c>
      <c r="L547" s="7" t="s">
        <v>86</v>
      </c>
      <c r="M547" s="7" t="s">
        <v>289</v>
      </c>
      <c r="N547" s="7" t="s">
        <v>1538</v>
      </c>
      <c r="O547" s="7" t="s">
        <v>0</v>
      </c>
      <c r="P547" s="7" t="s">
        <v>289</v>
      </c>
      <c r="Q547" s="7" t="s">
        <v>1540</v>
      </c>
      <c r="R547" s="7" t="s">
        <v>1139</v>
      </c>
      <c r="S547" s="7" t="s">
        <v>1503</v>
      </c>
      <c r="T547" s="7" t="s">
        <v>54</v>
      </c>
      <c r="U547" s="7" t="s">
        <v>283</v>
      </c>
      <c r="V547" s="7" t="s">
        <v>340</v>
      </c>
      <c r="W547" s="7" t="s">
        <v>74</v>
      </c>
      <c r="X547" s="7" t="s">
        <v>103</v>
      </c>
      <c r="Y547" s="8">
        <v>45344</v>
      </c>
      <c r="Z547" s="8">
        <v>45657</v>
      </c>
      <c r="AA547" s="7" t="s">
        <v>341</v>
      </c>
      <c r="AB547" s="7" t="s">
        <v>300</v>
      </c>
      <c r="AC547" s="7" t="s">
        <v>65</v>
      </c>
      <c r="AD547" s="7" t="s">
        <v>0</v>
      </c>
      <c r="AE547" s="7" t="s">
        <v>0</v>
      </c>
      <c r="AF547" s="7" t="s">
        <v>0</v>
      </c>
      <c r="AG547" s="7" t="s">
        <v>0</v>
      </c>
      <c r="AH547" s="9" t="s">
        <v>0</v>
      </c>
      <c r="AI547" s="9" t="s">
        <v>0</v>
      </c>
      <c r="AJ547" s="9" t="s">
        <v>0</v>
      </c>
      <c r="AK547" s="7" t="s">
        <v>61</v>
      </c>
      <c r="AL547" s="7" t="s">
        <v>61</v>
      </c>
      <c r="AM547" s="7" t="s">
        <v>0</v>
      </c>
      <c r="AN547" s="7" t="s">
        <v>0</v>
      </c>
      <c r="AO547" s="7" t="s">
        <v>0</v>
      </c>
      <c r="AP547" s="7" t="s">
        <v>0</v>
      </c>
      <c r="AQ547" s="7" t="s">
        <v>61</v>
      </c>
      <c r="AR547" s="7" t="s">
        <v>0</v>
      </c>
      <c r="AS547" s="10" t="str">
        <f>HYPERLINK("https://tessa.gazprom-neft.local/edo/card/ccc3bbc3-8d16-445c-b6c7-fc31a59054c5", "https://tessa.gazprom-neft.local/edo/card/ccc3bbc3-8d16-445c-b6c7-fc31a59054c5")</f>
        <v>https://tessa.gazprom-neft.local/edo/card/ccc3bbc3-8d16-445c-b6c7-fc31a59054c5</v>
      </c>
    </row>
    <row r="548" spans="1:45" hidden="1" x14ac:dyDescent="0.25">
      <c r="A548" s="6" t="s">
        <v>44</v>
      </c>
      <c r="B548" s="7" t="s">
        <v>1351</v>
      </c>
      <c r="C548" s="7" t="s">
        <v>67</v>
      </c>
      <c r="D548" s="8">
        <v>45343</v>
      </c>
      <c r="E548" s="8" t="s">
        <v>0</v>
      </c>
      <c r="F548" s="16" t="s">
        <v>1352</v>
      </c>
      <c r="G548" s="7" t="s">
        <v>1353</v>
      </c>
      <c r="H548" s="7" t="s">
        <v>0</v>
      </c>
      <c r="I548" s="7" t="s">
        <v>1348</v>
      </c>
      <c r="J548" s="7" t="s">
        <v>1348</v>
      </c>
      <c r="K548" s="7" t="s">
        <v>47</v>
      </c>
      <c r="L548" s="7" t="s">
        <v>96</v>
      </c>
      <c r="M548" s="7" t="s">
        <v>0</v>
      </c>
      <c r="N548" s="7" t="s">
        <v>1347</v>
      </c>
      <c r="O548" s="7" t="s">
        <v>0</v>
      </c>
      <c r="P548" s="7" t="s">
        <v>1349</v>
      </c>
      <c r="Q548" s="7" t="s">
        <v>1350</v>
      </c>
      <c r="R548" s="7" t="s">
        <v>1120</v>
      </c>
      <c r="S548" s="7" t="s">
        <v>1120</v>
      </c>
      <c r="T548" s="7" t="s">
        <v>54</v>
      </c>
      <c r="U548" s="7" t="s">
        <v>294</v>
      </c>
      <c r="V548" s="7" t="s">
        <v>340</v>
      </c>
      <c r="W548" s="7" t="s">
        <v>74</v>
      </c>
      <c r="X548" s="7" t="s">
        <v>103</v>
      </c>
      <c r="Y548" s="8">
        <v>45352</v>
      </c>
      <c r="Z548" s="8">
        <v>45657</v>
      </c>
      <c r="AA548" s="7" t="s">
        <v>341</v>
      </c>
      <c r="AB548" s="7" t="s">
        <v>1354</v>
      </c>
      <c r="AC548" s="7" t="s">
        <v>278</v>
      </c>
      <c r="AD548" s="7" t="s">
        <v>80</v>
      </c>
      <c r="AE548" s="7" t="s">
        <v>82</v>
      </c>
      <c r="AF548" s="7" t="s">
        <v>0</v>
      </c>
      <c r="AG548" s="7" t="s">
        <v>0</v>
      </c>
      <c r="AH548" s="9" t="s">
        <v>11000</v>
      </c>
      <c r="AI548" s="9" t="s">
        <v>11001</v>
      </c>
      <c r="AJ548" s="9" t="s">
        <v>11002</v>
      </c>
      <c r="AK548" s="7" t="s">
        <v>61</v>
      </c>
      <c r="AL548" s="7" t="s">
        <v>61</v>
      </c>
      <c r="AM548" s="7" t="s">
        <v>0</v>
      </c>
      <c r="AN548" s="7" t="s">
        <v>0</v>
      </c>
      <c r="AO548" s="7" t="s">
        <v>0</v>
      </c>
      <c r="AP548" s="7" t="s">
        <v>0</v>
      </c>
      <c r="AQ548" s="7" t="s">
        <v>61</v>
      </c>
      <c r="AR548" s="7" t="s">
        <v>0</v>
      </c>
      <c r="AS548" s="10" t="str">
        <f>HYPERLINK("https://tessa.gazprom-neft.local/edo/card/23ec8884-3cb8-4dae-8ecd-f74a921378de", "https://tessa.gazprom-neft.local/edo/card/23ec8884-3cb8-4dae-8ecd-f74a921378de")</f>
        <v>https://tessa.gazprom-neft.local/edo/card/23ec8884-3cb8-4dae-8ecd-f74a921378de</v>
      </c>
    </row>
    <row r="549" spans="1:45" hidden="1" x14ac:dyDescent="0.25">
      <c r="A549" s="6" t="s">
        <v>44</v>
      </c>
      <c r="B549" s="7" t="s">
        <v>1240</v>
      </c>
      <c r="C549" s="7" t="s">
        <v>67</v>
      </c>
      <c r="D549" s="8">
        <v>45343</v>
      </c>
      <c r="E549" s="8" t="s">
        <v>0</v>
      </c>
      <c r="F549" s="16" t="s">
        <v>1241</v>
      </c>
      <c r="G549" s="7" t="s">
        <v>1242</v>
      </c>
      <c r="H549" s="7" t="s">
        <v>1237</v>
      </c>
      <c r="I549" s="7" t="s">
        <v>0</v>
      </c>
      <c r="J549" s="7" t="s">
        <v>355</v>
      </c>
      <c r="K549" s="7" t="s">
        <v>47</v>
      </c>
      <c r="L549" s="7" t="s">
        <v>389</v>
      </c>
      <c r="M549" s="7" t="s">
        <v>0</v>
      </c>
      <c r="N549" s="7" t="s">
        <v>1563</v>
      </c>
      <c r="O549" s="7" t="s">
        <v>51</v>
      </c>
      <c r="P549" s="7" t="s">
        <v>1564</v>
      </c>
      <c r="Q549" s="7" t="s">
        <v>1565</v>
      </c>
      <c r="R549" s="7" t="s">
        <v>393</v>
      </c>
      <c r="S549" s="7" t="s">
        <v>0</v>
      </c>
      <c r="T549" s="7" t="s">
        <v>54</v>
      </c>
      <c r="U549" s="7" t="s">
        <v>222</v>
      </c>
      <c r="V549" s="7" t="s">
        <v>126</v>
      </c>
      <c r="W549" s="7" t="s">
        <v>74</v>
      </c>
      <c r="X549" s="7" t="s">
        <v>58</v>
      </c>
      <c r="Y549" s="8">
        <v>45343</v>
      </c>
      <c r="Z549" s="8" t="s">
        <v>0</v>
      </c>
      <c r="AA549" s="7" t="s">
        <v>200</v>
      </c>
      <c r="AB549" s="7" t="s">
        <v>1243</v>
      </c>
      <c r="AC549" s="7" t="s">
        <v>79</v>
      </c>
      <c r="AD549" s="7" t="s">
        <v>144</v>
      </c>
      <c r="AE549" s="7" t="s">
        <v>82</v>
      </c>
      <c r="AF549" s="7" t="s">
        <v>0</v>
      </c>
      <c r="AG549" s="7" t="s">
        <v>0</v>
      </c>
      <c r="AH549" s="9" t="s">
        <v>11064</v>
      </c>
      <c r="AI549" s="9" t="s">
        <v>11065</v>
      </c>
      <c r="AJ549" s="9" t="s">
        <v>11066</v>
      </c>
      <c r="AK549" s="7" t="s">
        <v>61</v>
      </c>
      <c r="AL549" s="7" t="s">
        <v>61</v>
      </c>
      <c r="AM549" s="7" t="s">
        <v>0</v>
      </c>
      <c r="AN549" s="7" t="s">
        <v>0</v>
      </c>
      <c r="AO549" s="7" t="s">
        <v>0</v>
      </c>
      <c r="AP549" s="7" t="s">
        <v>0</v>
      </c>
      <c r="AQ549" s="7" t="s">
        <v>61</v>
      </c>
      <c r="AR549" s="7" t="s">
        <v>0</v>
      </c>
      <c r="AS549" s="10" t="str">
        <f>HYPERLINK("https://tessa.gazprom-neft.local/edo/card/84addbb2-739f-4fe4-9e1a-d5597419dfea", "https://tessa.gazprom-neft.local/edo/card/84addbb2-739f-4fe4-9e1a-d5597419dfea")</f>
        <v>https://tessa.gazprom-neft.local/edo/card/84addbb2-739f-4fe4-9e1a-d5597419dfea</v>
      </c>
    </row>
    <row r="550" spans="1:45" hidden="1" x14ac:dyDescent="0.25">
      <c r="A550" s="6" t="s">
        <v>44</v>
      </c>
      <c r="B550" s="7" t="s">
        <v>1240</v>
      </c>
      <c r="C550" s="7" t="s">
        <v>67</v>
      </c>
      <c r="D550" s="8">
        <v>45343</v>
      </c>
      <c r="E550" s="8" t="s">
        <v>0</v>
      </c>
      <c r="F550" s="16" t="s">
        <v>1241</v>
      </c>
      <c r="G550" s="7" t="s">
        <v>1242</v>
      </c>
      <c r="H550" s="7" t="s">
        <v>1237</v>
      </c>
      <c r="I550" s="7" t="s">
        <v>0</v>
      </c>
      <c r="J550" s="7" t="s">
        <v>156</v>
      </c>
      <c r="K550" s="7" t="s">
        <v>47</v>
      </c>
      <c r="L550" s="7" t="s">
        <v>389</v>
      </c>
      <c r="M550" s="7" t="s">
        <v>0</v>
      </c>
      <c r="N550" s="7" t="s">
        <v>1631</v>
      </c>
      <c r="O550" s="7" t="s">
        <v>271</v>
      </c>
      <c r="P550" s="7" t="s">
        <v>1632</v>
      </c>
      <c r="Q550" s="7" t="s">
        <v>1633</v>
      </c>
      <c r="R550" s="7" t="s">
        <v>393</v>
      </c>
      <c r="S550" s="7" t="s">
        <v>1261</v>
      </c>
      <c r="T550" s="7" t="s">
        <v>54</v>
      </c>
      <c r="U550" s="7" t="s">
        <v>222</v>
      </c>
      <c r="V550" s="7" t="s">
        <v>126</v>
      </c>
      <c r="W550" s="7" t="s">
        <v>74</v>
      </c>
      <c r="X550" s="7" t="s">
        <v>58</v>
      </c>
      <c r="Y550" s="8">
        <v>45343</v>
      </c>
      <c r="Z550" s="8" t="s">
        <v>0</v>
      </c>
      <c r="AA550" s="7" t="s">
        <v>200</v>
      </c>
      <c r="AB550" s="7" t="s">
        <v>1243</v>
      </c>
      <c r="AC550" s="7" t="s">
        <v>79</v>
      </c>
      <c r="AD550" s="7" t="s">
        <v>144</v>
      </c>
      <c r="AE550" s="7" t="s">
        <v>82</v>
      </c>
      <c r="AF550" s="7" t="s">
        <v>0</v>
      </c>
      <c r="AG550" s="7" t="s">
        <v>0</v>
      </c>
      <c r="AH550" s="9" t="s">
        <v>11072</v>
      </c>
      <c r="AI550" s="9" t="s">
        <v>11073</v>
      </c>
      <c r="AJ550" s="9" t="s">
        <v>11074</v>
      </c>
      <c r="AK550" s="7" t="s">
        <v>61</v>
      </c>
      <c r="AL550" s="7" t="s">
        <v>61</v>
      </c>
      <c r="AM550" s="7" t="s">
        <v>0</v>
      </c>
      <c r="AN550" s="7" t="s">
        <v>0</v>
      </c>
      <c r="AO550" s="7" t="s">
        <v>0</v>
      </c>
      <c r="AP550" s="7" t="s">
        <v>0</v>
      </c>
      <c r="AQ550" s="7" t="s">
        <v>61</v>
      </c>
      <c r="AR550" s="7" t="s">
        <v>0</v>
      </c>
      <c r="AS550" s="10" t="str">
        <f>HYPERLINK("https://tessa.gazprom-neft.local/edo/card/db704618-ee37-49a6-8b6d-0c33b28c20e1", "https://tessa.gazprom-neft.local/edo/card/db704618-ee37-49a6-8b6d-0c33b28c20e1")</f>
        <v>https://tessa.gazprom-neft.local/edo/card/db704618-ee37-49a6-8b6d-0c33b28c20e1</v>
      </c>
    </row>
    <row r="551" spans="1:45" hidden="1" x14ac:dyDescent="0.25">
      <c r="A551" s="6" t="s">
        <v>44</v>
      </c>
      <c r="B551" s="7" t="s">
        <v>1240</v>
      </c>
      <c r="C551" s="7" t="s">
        <v>67</v>
      </c>
      <c r="D551" s="8">
        <v>45343</v>
      </c>
      <c r="E551" s="8" t="s">
        <v>0</v>
      </c>
      <c r="F551" s="16" t="s">
        <v>1241</v>
      </c>
      <c r="G551" s="7" t="s">
        <v>1242</v>
      </c>
      <c r="H551" s="7" t="s">
        <v>1237</v>
      </c>
      <c r="I551" s="7" t="s">
        <v>0</v>
      </c>
      <c r="J551" s="7" t="s">
        <v>51</v>
      </c>
      <c r="K551" s="7" t="s">
        <v>47</v>
      </c>
      <c r="L551" s="7" t="s">
        <v>389</v>
      </c>
      <c r="M551" s="7" t="s">
        <v>0</v>
      </c>
      <c r="N551" s="7" t="s">
        <v>1647</v>
      </c>
      <c r="O551" s="7" t="s">
        <v>156</v>
      </c>
      <c r="P551" s="7" t="s">
        <v>1648</v>
      </c>
      <c r="Q551" s="7" t="s">
        <v>1649</v>
      </c>
      <c r="R551" s="7" t="s">
        <v>393</v>
      </c>
      <c r="S551" s="7" t="s">
        <v>1261</v>
      </c>
      <c r="T551" s="7" t="s">
        <v>54</v>
      </c>
      <c r="U551" s="7" t="s">
        <v>222</v>
      </c>
      <c r="V551" s="7" t="s">
        <v>126</v>
      </c>
      <c r="W551" s="7" t="s">
        <v>74</v>
      </c>
      <c r="X551" s="7" t="s">
        <v>58</v>
      </c>
      <c r="Y551" s="8">
        <v>45343</v>
      </c>
      <c r="Z551" s="8" t="s">
        <v>0</v>
      </c>
      <c r="AA551" s="7" t="s">
        <v>200</v>
      </c>
      <c r="AB551" s="7" t="s">
        <v>1243</v>
      </c>
      <c r="AC551" s="7" t="s">
        <v>79</v>
      </c>
      <c r="AD551" s="7" t="s">
        <v>144</v>
      </c>
      <c r="AE551" s="7" t="s">
        <v>82</v>
      </c>
      <c r="AF551" s="7" t="s">
        <v>0</v>
      </c>
      <c r="AG551" s="7" t="s">
        <v>0</v>
      </c>
      <c r="AH551" s="9" t="s">
        <v>11078</v>
      </c>
      <c r="AI551" s="9" t="s">
        <v>11079</v>
      </c>
      <c r="AJ551" s="9" t="s">
        <v>11080</v>
      </c>
      <c r="AK551" s="7" t="s">
        <v>61</v>
      </c>
      <c r="AL551" s="7" t="s">
        <v>61</v>
      </c>
      <c r="AM551" s="7" t="s">
        <v>0</v>
      </c>
      <c r="AN551" s="7" t="s">
        <v>0</v>
      </c>
      <c r="AO551" s="7" t="s">
        <v>0</v>
      </c>
      <c r="AP551" s="7" t="s">
        <v>0</v>
      </c>
      <c r="AQ551" s="7" t="s">
        <v>61</v>
      </c>
      <c r="AR551" s="7" t="s">
        <v>0</v>
      </c>
      <c r="AS551" s="10" t="str">
        <f>HYPERLINK("https://tessa.gazprom-neft.local/edo/card/828d1301-e2e5-435c-b44a-4ec6945ac071", "https://tessa.gazprom-neft.local/edo/card/828d1301-e2e5-435c-b44a-4ec6945ac071")</f>
        <v>https://tessa.gazprom-neft.local/edo/card/828d1301-e2e5-435c-b44a-4ec6945ac071</v>
      </c>
    </row>
    <row r="552" spans="1:45" hidden="1" x14ac:dyDescent="0.25">
      <c r="A552" s="6" t="s">
        <v>44</v>
      </c>
      <c r="B552" s="7" t="s">
        <v>1240</v>
      </c>
      <c r="C552" s="7" t="s">
        <v>67</v>
      </c>
      <c r="D552" s="8">
        <v>45343</v>
      </c>
      <c r="E552" s="8" t="s">
        <v>0</v>
      </c>
      <c r="F552" s="16" t="s">
        <v>1241</v>
      </c>
      <c r="G552" s="7" t="s">
        <v>1242</v>
      </c>
      <c r="H552" s="7" t="s">
        <v>1237</v>
      </c>
      <c r="I552" s="7" t="s">
        <v>0</v>
      </c>
      <c r="J552" s="7" t="s">
        <v>51</v>
      </c>
      <c r="K552" s="7" t="s">
        <v>47</v>
      </c>
      <c r="L552" s="7" t="s">
        <v>389</v>
      </c>
      <c r="M552" s="7" t="s">
        <v>0</v>
      </c>
      <c r="N552" s="7" t="s">
        <v>1668</v>
      </c>
      <c r="O552" s="7" t="s">
        <v>355</v>
      </c>
      <c r="P552" s="7" t="s">
        <v>1669</v>
      </c>
      <c r="Q552" s="7" t="s">
        <v>1670</v>
      </c>
      <c r="R552" s="7" t="s">
        <v>393</v>
      </c>
      <c r="S552" s="7" t="s">
        <v>1261</v>
      </c>
      <c r="T552" s="7" t="s">
        <v>54</v>
      </c>
      <c r="U552" s="7" t="s">
        <v>222</v>
      </c>
      <c r="V552" s="7" t="s">
        <v>126</v>
      </c>
      <c r="W552" s="7" t="s">
        <v>74</v>
      </c>
      <c r="X552" s="7" t="s">
        <v>58</v>
      </c>
      <c r="Y552" s="8">
        <v>45343</v>
      </c>
      <c r="Z552" s="8" t="s">
        <v>0</v>
      </c>
      <c r="AA552" s="7" t="s">
        <v>200</v>
      </c>
      <c r="AB552" s="7" t="s">
        <v>1243</v>
      </c>
      <c r="AC552" s="7" t="s">
        <v>79</v>
      </c>
      <c r="AD552" s="7" t="s">
        <v>144</v>
      </c>
      <c r="AE552" s="7" t="s">
        <v>82</v>
      </c>
      <c r="AF552" s="7" t="s">
        <v>0</v>
      </c>
      <c r="AG552" s="7" t="s">
        <v>0</v>
      </c>
      <c r="AH552" s="9" t="s">
        <v>11084</v>
      </c>
      <c r="AI552" s="9" t="s">
        <v>11085</v>
      </c>
      <c r="AJ552" s="9" t="s">
        <v>11086</v>
      </c>
      <c r="AK552" s="7" t="s">
        <v>61</v>
      </c>
      <c r="AL552" s="7" t="s">
        <v>61</v>
      </c>
      <c r="AM552" s="7" t="s">
        <v>0</v>
      </c>
      <c r="AN552" s="7" t="s">
        <v>0</v>
      </c>
      <c r="AO552" s="7" t="s">
        <v>0</v>
      </c>
      <c r="AP552" s="7" t="s">
        <v>0</v>
      </c>
      <c r="AQ552" s="7" t="s">
        <v>61</v>
      </c>
      <c r="AR552" s="7" t="s">
        <v>0</v>
      </c>
      <c r="AS552" s="10" t="str">
        <f>HYPERLINK("https://tessa.gazprom-neft.local/edo/card/b997ab89-9abc-4dce-b920-74e45a47aeee", "https://tessa.gazprom-neft.local/edo/card/b997ab89-9abc-4dce-b920-74e45a47aeee")</f>
        <v>https://tessa.gazprom-neft.local/edo/card/b997ab89-9abc-4dce-b920-74e45a47aeee</v>
      </c>
    </row>
    <row r="553" spans="1:45" hidden="1" x14ac:dyDescent="0.25">
      <c r="A553" s="6" t="s">
        <v>44</v>
      </c>
      <c r="B553" s="7" t="s">
        <v>1396</v>
      </c>
      <c r="C553" s="7" t="s">
        <v>67</v>
      </c>
      <c r="D553" s="8">
        <v>45342</v>
      </c>
      <c r="E553" s="8" t="s">
        <v>0</v>
      </c>
      <c r="F553" s="16" t="s">
        <v>1397</v>
      </c>
      <c r="G553" s="7" t="s">
        <v>1398</v>
      </c>
      <c r="H553" s="7" t="s">
        <v>0</v>
      </c>
      <c r="I553" s="7" t="s">
        <v>1394</v>
      </c>
      <c r="J553" s="7" t="s">
        <v>1394</v>
      </c>
      <c r="K553" s="7" t="s">
        <v>47</v>
      </c>
      <c r="L553" s="7" t="s">
        <v>86</v>
      </c>
      <c r="M553" s="7" t="s">
        <v>0</v>
      </c>
      <c r="N553" s="7" t="s">
        <v>1393</v>
      </c>
      <c r="O553" s="7" t="s">
        <v>0</v>
      </c>
      <c r="P553" s="7" t="s">
        <v>231</v>
      </c>
      <c r="Q553" s="7" t="s">
        <v>1395</v>
      </c>
      <c r="R553" s="7" t="s">
        <v>135</v>
      </c>
      <c r="S553" s="7" t="s">
        <v>0</v>
      </c>
      <c r="T553" s="7" t="s">
        <v>54</v>
      </c>
      <c r="U553" s="7" t="s">
        <v>136</v>
      </c>
      <c r="V553" s="7" t="s">
        <v>91</v>
      </c>
      <c r="W553" s="7" t="s">
        <v>74</v>
      </c>
      <c r="X553" s="7" t="s">
        <v>103</v>
      </c>
      <c r="Y553" s="8">
        <v>45342</v>
      </c>
      <c r="Z553" s="8">
        <v>45657</v>
      </c>
      <c r="AA553" s="7" t="s">
        <v>92</v>
      </c>
      <c r="AB553" s="7" t="s">
        <v>237</v>
      </c>
      <c r="AC553" s="7" t="s">
        <v>65</v>
      </c>
      <c r="AD553" s="7" t="s">
        <v>0</v>
      </c>
      <c r="AE553" s="7" t="s">
        <v>0</v>
      </c>
      <c r="AF553" s="7" t="s">
        <v>0</v>
      </c>
      <c r="AG553" s="7" t="s">
        <v>0</v>
      </c>
      <c r="AH553" s="9" t="s">
        <v>0</v>
      </c>
      <c r="AI553" s="9" t="s">
        <v>0</v>
      </c>
      <c r="AJ553" s="9" t="s">
        <v>0</v>
      </c>
      <c r="AK553" s="7" t="s">
        <v>61</v>
      </c>
      <c r="AL553" s="7" t="s">
        <v>61</v>
      </c>
      <c r="AM553" s="7" t="s">
        <v>0</v>
      </c>
      <c r="AN553" s="7" t="s">
        <v>0</v>
      </c>
      <c r="AO553" s="7" t="s">
        <v>0</v>
      </c>
      <c r="AP553" s="7" t="s">
        <v>0</v>
      </c>
      <c r="AQ553" s="7" t="s">
        <v>61</v>
      </c>
      <c r="AR553" s="7" t="s">
        <v>0</v>
      </c>
      <c r="AS553" s="10" t="str">
        <f>HYPERLINK("https://tessa.gazprom-neft.local/edo/card/33cdf04a-58ba-4675-a5a4-100c80a51c98", "https://tessa.gazprom-neft.local/edo/card/33cdf04a-58ba-4675-a5a4-100c80a51c98")</f>
        <v>https://tessa.gazprom-neft.local/edo/card/33cdf04a-58ba-4675-a5a4-100c80a51c98</v>
      </c>
    </row>
    <row r="554" spans="1:45" hidden="1" x14ac:dyDescent="0.25">
      <c r="A554" s="6" t="s">
        <v>44</v>
      </c>
      <c r="B554" s="7" t="s">
        <v>852</v>
      </c>
      <c r="C554" s="7" t="s">
        <v>67</v>
      </c>
      <c r="D554" s="8">
        <v>45342</v>
      </c>
      <c r="E554" s="8" t="s">
        <v>0</v>
      </c>
      <c r="F554" s="16" t="s">
        <v>853</v>
      </c>
      <c r="G554" s="7" t="s">
        <v>854</v>
      </c>
      <c r="H554" s="7" t="s">
        <v>0</v>
      </c>
      <c r="I554" s="7" t="s">
        <v>1471</v>
      </c>
      <c r="J554" s="7" t="s">
        <v>1471</v>
      </c>
      <c r="K554" s="7" t="s">
        <v>85</v>
      </c>
      <c r="L554" s="7" t="s">
        <v>86</v>
      </c>
      <c r="M554" s="7" t="s">
        <v>289</v>
      </c>
      <c r="N554" s="7" t="s">
        <v>1470</v>
      </c>
      <c r="O554" s="7" t="s">
        <v>0</v>
      </c>
      <c r="P554" s="7" t="s">
        <v>289</v>
      </c>
      <c r="Q554" s="7" t="s">
        <v>1472</v>
      </c>
      <c r="R554" s="7" t="s">
        <v>338</v>
      </c>
      <c r="S554" s="7" t="s">
        <v>1004</v>
      </c>
      <c r="T554" s="7" t="s">
        <v>54</v>
      </c>
      <c r="U554" s="7" t="s">
        <v>111</v>
      </c>
      <c r="V554" s="7" t="s">
        <v>340</v>
      </c>
      <c r="W554" s="7" t="s">
        <v>74</v>
      </c>
      <c r="X554" s="7" t="s">
        <v>223</v>
      </c>
      <c r="Y554" s="8">
        <v>45342</v>
      </c>
      <c r="Z554" s="8" t="s">
        <v>0</v>
      </c>
      <c r="AA554" s="7" t="s">
        <v>341</v>
      </c>
      <c r="AB554" s="7" t="s">
        <v>300</v>
      </c>
      <c r="AC554" s="7" t="s">
        <v>65</v>
      </c>
      <c r="AD554" s="7" t="s">
        <v>0</v>
      </c>
      <c r="AE554" s="7" t="s">
        <v>0</v>
      </c>
      <c r="AF554" s="7" t="s">
        <v>0</v>
      </c>
      <c r="AG554" s="7" t="s">
        <v>0</v>
      </c>
      <c r="AH554" s="9" t="s">
        <v>0</v>
      </c>
      <c r="AI554" s="9" t="s">
        <v>0</v>
      </c>
      <c r="AJ554" s="9" t="s">
        <v>0</v>
      </c>
      <c r="AK554" s="7" t="s">
        <v>61</v>
      </c>
      <c r="AL554" s="7" t="s">
        <v>61</v>
      </c>
      <c r="AM554" s="7" t="s">
        <v>0</v>
      </c>
      <c r="AN554" s="7" t="s">
        <v>0</v>
      </c>
      <c r="AO554" s="7" t="s">
        <v>0</v>
      </c>
      <c r="AP554" s="7" t="s">
        <v>0</v>
      </c>
      <c r="AQ554" s="7" t="s">
        <v>61</v>
      </c>
      <c r="AR554" s="7" t="s">
        <v>0</v>
      </c>
      <c r="AS554" s="10" t="str">
        <f>HYPERLINK("https://tessa.gazprom-neft.local/edo/card/c1fdaf59-0137-4eb0-8282-b3352ef3c499", "https://tessa.gazprom-neft.local/edo/card/c1fdaf59-0137-4eb0-8282-b3352ef3c499")</f>
        <v>https://tessa.gazprom-neft.local/edo/card/c1fdaf59-0137-4eb0-8282-b3352ef3c499</v>
      </c>
    </row>
    <row r="555" spans="1:45" x14ac:dyDescent="0.25">
      <c r="A555" s="6" t="s">
        <v>44</v>
      </c>
      <c r="B555" s="7" t="s">
        <v>1623</v>
      </c>
      <c r="C555" s="7" t="s">
        <v>67</v>
      </c>
      <c r="D555" s="8">
        <v>45342</v>
      </c>
      <c r="E555" s="8" t="s">
        <v>0</v>
      </c>
      <c r="F555" s="16" t="s">
        <v>1624</v>
      </c>
      <c r="G555" s="7" t="s">
        <v>1625</v>
      </c>
      <c r="H555" s="7" t="s">
        <v>1621</v>
      </c>
      <c r="I555" s="7" t="s">
        <v>0</v>
      </c>
      <c r="J555" s="7" t="s">
        <v>271</v>
      </c>
      <c r="K555" s="7" t="s">
        <v>47</v>
      </c>
      <c r="L555" s="7" t="s">
        <v>48</v>
      </c>
      <c r="M555" s="7" t="s">
        <v>0</v>
      </c>
      <c r="N555" s="7" t="s">
        <v>1620</v>
      </c>
      <c r="O555" s="7" t="s">
        <v>0</v>
      </c>
      <c r="P555" s="7" t="s">
        <v>312</v>
      </c>
      <c r="Q555" s="7" t="s">
        <v>1622</v>
      </c>
      <c r="R555" s="7" t="s">
        <v>422</v>
      </c>
      <c r="S555" s="7" t="s">
        <v>0</v>
      </c>
      <c r="T555" s="7" t="s">
        <v>54</v>
      </c>
      <c r="U555" s="7" t="s">
        <v>55</v>
      </c>
      <c r="V555" s="7" t="s">
        <v>56</v>
      </c>
      <c r="W555" s="7" t="s">
        <v>74</v>
      </c>
      <c r="X555" s="7" t="s">
        <v>103</v>
      </c>
      <c r="Y555" s="8">
        <v>45342</v>
      </c>
      <c r="Z555" s="8">
        <v>45657</v>
      </c>
      <c r="AA555" s="7" t="s">
        <v>0</v>
      </c>
      <c r="AB555" s="7" t="s">
        <v>256</v>
      </c>
      <c r="AC555" s="7" t="s">
        <v>79</v>
      </c>
      <c r="AD555" s="7" t="s">
        <v>144</v>
      </c>
      <c r="AE555" s="7" t="s">
        <v>82</v>
      </c>
      <c r="AF555" s="7" t="s">
        <v>0</v>
      </c>
      <c r="AG555" s="7" t="s">
        <v>0</v>
      </c>
      <c r="AH555" s="9" t="s">
        <v>11069</v>
      </c>
      <c r="AI555" s="9" t="s">
        <v>11070</v>
      </c>
      <c r="AJ555" s="9" t="s">
        <v>11071</v>
      </c>
      <c r="AK555" s="7" t="s">
        <v>61</v>
      </c>
      <c r="AL555" s="7" t="s">
        <v>61</v>
      </c>
      <c r="AM555" s="7" t="s">
        <v>0</v>
      </c>
      <c r="AN555" s="7" t="s">
        <v>0</v>
      </c>
      <c r="AO555" s="7" t="s">
        <v>0</v>
      </c>
      <c r="AP555" s="7" t="s">
        <v>0</v>
      </c>
      <c r="AQ555" s="7" t="s">
        <v>61</v>
      </c>
      <c r="AR555" s="7" t="s">
        <v>0</v>
      </c>
      <c r="AS555" s="10" t="str">
        <f>HYPERLINK("https://tessa.gazprom-neft.local/edo/card/278c8287-abad-4934-93db-f4ab9a8514fe", "https://tessa.gazprom-neft.local/edo/card/278c8287-abad-4934-93db-f4ab9a8514fe")</f>
        <v>https://tessa.gazprom-neft.local/edo/card/278c8287-abad-4934-93db-f4ab9a8514fe</v>
      </c>
    </row>
    <row r="556" spans="1:45" hidden="1" x14ac:dyDescent="0.25">
      <c r="A556" s="6" t="s">
        <v>44</v>
      </c>
      <c r="B556" s="7" t="s">
        <v>592</v>
      </c>
      <c r="C556" s="7" t="s">
        <v>67</v>
      </c>
      <c r="D556" s="8">
        <v>45342</v>
      </c>
      <c r="E556" s="8" t="s">
        <v>0</v>
      </c>
      <c r="F556" s="16" t="s">
        <v>593</v>
      </c>
      <c r="G556" s="7" t="s">
        <v>594</v>
      </c>
      <c r="H556" s="7" t="s">
        <v>953</v>
      </c>
      <c r="I556" s="7" t="s">
        <v>0</v>
      </c>
      <c r="J556" s="7" t="s">
        <v>1098</v>
      </c>
      <c r="K556" s="7" t="s">
        <v>47</v>
      </c>
      <c r="L556" s="7" t="s">
        <v>239</v>
      </c>
      <c r="M556" s="7" t="s">
        <v>0</v>
      </c>
      <c r="N556" s="7" t="s">
        <v>1797</v>
      </c>
      <c r="O556" s="7" t="s">
        <v>0</v>
      </c>
      <c r="P556" s="7" t="s">
        <v>1798</v>
      </c>
      <c r="Q556" s="7" t="s">
        <v>1799</v>
      </c>
      <c r="R556" s="7" t="s">
        <v>590</v>
      </c>
      <c r="S556" s="7" t="s">
        <v>394</v>
      </c>
      <c r="T556" s="7" t="s">
        <v>54</v>
      </c>
      <c r="U556" s="7" t="s">
        <v>591</v>
      </c>
      <c r="V556" s="7" t="s">
        <v>126</v>
      </c>
      <c r="W556" s="7" t="s">
        <v>74</v>
      </c>
      <c r="X556" s="7" t="s">
        <v>58</v>
      </c>
      <c r="Y556" s="8">
        <v>45342</v>
      </c>
      <c r="Z556" s="8" t="s">
        <v>0</v>
      </c>
      <c r="AA556" s="7" t="s">
        <v>200</v>
      </c>
      <c r="AB556" s="7" t="s">
        <v>387</v>
      </c>
      <c r="AC556" s="7" t="s">
        <v>79</v>
      </c>
      <c r="AD556" s="7" t="s">
        <v>144</v>
      </c>
      <c r="AE556" s="7" t="s">
        <v>82</v>
      </c>
      <c r="AF556" s="7" t="s">
        <v>0</v>
      </c>
      <c r="AG556" s="7" t="s">
        <v>0</v>
      </c>
      <c r="AH556" s="9" t="s">
        <v>11128</v>
      </c>
      <c r="AI556" s="9" t="s">
        <v>11129</v>
      </c>
      <c r="AJ556" s="9" t="s">
        <v>11130</v>
      </c>
      <c r="AK556" s="7" t="s">
        <v>61</v>
      </c>
      <c r="AL556" s="7" t="s">
        <v>61</v>
      </c>
      <c r="AM556" s="7" t="s">
        <v>0</v>
      </c>
      <c r="AN556" s="7" t="s">
        <v>0</v>
      </c>
      <c r="AO556" s="7" t="s">
        <v>0</v>
      </c>
      <c r="AP556" s="7" t="s">
        <v>0</v>
      </c>
      <c r="AQ556" s="7" t="s">
        <v>61</v>
      </c>
      <c r="AR556" s="7" t="s">
        <v>0</v>
      </c>
      <c r="AS556" s="10" t="str">
        <f>HYPERLINK("https://tessa.gazprom-neft.local/edo/card/48e3f99e-6aca-45b6-a804-7869d0021b73", "https://tessa.gazprom-neft.local/edo/card/48e3f99e-6aca-45b6-a804-7869d0021b73")</f>
        <v>https://tessa.gazprom-neft.local/edo/card/48e3f99e-6aca-45b6-a804-7869d0021b73</v>
      </c>
    </row>
    <row r="557" spans="1:45" x14ac:dyDescent="0.25">
      <c r="A557" s="6" t="s">
        <v>44</v>
      </c>
      <c r="B557" s="7" t="s">
        <v>350</v>
      </c>
      <c r="C557" s="7" t="s">
        <v>67</v>
      </c>
      <c r="D557" s="8">
        <v>45341</v>
      </c>
      <c r="E557" s="8" t="s">
        <v>0</v>
      </c>
      <c r="F557" s="16" t="s">
        <v>1027</v>
      </c>
      <c r="G557" s="7" t="s">
        <v>352</v>
      </c>
      <c r="H557" s="7" t="s">
        <v>1283</v>
      </c>
      <c r="I557" s="7" t="s">
        <v>0</v>
      </c>
      <c r="J557" s="7" t="s">
        <v>872</v>
      </c>
      <c r="K557" s="7" t="s">
        <v>47</v>
      </c>
      <c r="L557" s="7" t="s">
        <v>48</v>
      </c>
      <c r="M557" s="7" t="s">
        <v>0</v>
      </c>
      <c r="N557" s="7" t="s">
        <v>1282</v>
      </c>
      <c r="O557" s="7" t="s">
        <v>0</v>
      </c>
      <c r="P557" s="7" t="s">
        <v>1284</v>
      </c>
      <c r="Q557" s="7" t="s">
        <v>1285</v>
      </c>
      <c r="R557" s="7" t="s">
        <v>1286</v>
      </c>
      <c r="S557" s="7" t="s">
        <v>168</v>
      </c>
      <c r="T557" s="7" t="s">
        <v>54</v>
      </c>
      <c r="U557" s="7" t="s">
        <v>1287</v>
      </c>
      <c r="V557" s="7" t="s">
        <v>308</v>
      </c>
      <c r="W557" s="7" t="s">
        <v>74</v>
      </c>
      <c r="X557" s="7" t="s">
        <v>103</v>
      </c>
      <c r="Y557" s="8">
        <v>45341</v>
      </c>
      <c r="Z557" s="8">
        <v>45657</v>
      </c>
      <c r="AA557" s="7" t="s">
        <v>309</v>
      </c>
      <c r="AB557" s="7" t="s">
        <v>64</v>
      </c>
      <c r="AC557" s="7" t="s">
        <v>79</v>
      </c>
      <c r="AD557" s="7" t="s">
        <v>80</v>
      </c>
      <c r="AE557" s="7" t="s">
        <v>889</v>
      </c>
      <c r="AF557" s="7" t="s">
        <v>0</v>
      </c>
      <c r="AG557" s="7" t="s">
        <v>0</v>
      </c>
      <c r="AH557" s="9" t="s">
        <v>10983</v>
      </c>
      <c r="AI557" s="9" t="s">
        <v>10983</v>
      </c>
      <c r="AJ557" s="9">
        <v>0</v>
      </c>
      <c r="AK557" s="7" t="s">
        <v>61</v>
      </c>
      <c r="AL557" s="7" t="s">
        <v>61</v>
      </c>
      <c r="AM557" s="7" t="s">
        <v>0</v>
      </c>
      <c r="AN557" s="7" t="s">
        <v>0</v>
      </c>
      <c r="AO557" s="7" t="s">
        <v>0</v>
      </c>
      <c r="AP557" s="7" t="s">
        <v>0</v>
      </c>
      <c r="AQ557" s="7" t="s">
        <v>61</v>
      </c>
      <c r="AR557" s="7" t="s">
        <v>0</v>
      </c>
      <c r="AS557" s="10" t="str">
        <f>HYPERLINK("https://tessa.gazprom-neft.local/edo/card/30a21e7f-2a7d-4d28-86e4-46adcc5132e6", "https://tessa.gazprom-neft.local/edo/card/30a21e7f-2a7d-4d28-86e4-46adcc5132e6")</f>
        <v>https://tessa.gazprom-neft.local/edo/card/30a21e7f-2a7d-4d28-86e4-46adcc5132e6</v>
      </c>
    </row>
    <row r="558" spans="1:45" hidden="1" x14ac:dyDescent="0.25">
      <c r="A558" s="6" t="s">
        <v>44</v>
      </c>
      <c r="B558" s="7" t="s">
        <v>1101</v>
      </c>
      <c r="C558" s="7" t="s">
        <v>67</v>
      </c>
      <c r="D558" s="8">
        <v>45341</v>
      </c>
      <c r="E558" s="8" t="s">
        <v>0</v>
      </c>
      <c r="F558" s="16" t="s">
        <v>1102</v>
      </c>
      <c r="G558" s="7" t="s">
        <v>1103</v>
      </c>
      <c r="H558" s="7" t="s">
        <v>1096</v>
      </c>
      <c r="I558" s="7" t="s">
        <v>0</v>
      </c>
      <c r="J558" s="7" t="s">
        <v>70</v>
      </c>
      <c r="K558" s="7" t="s">
        <v>47</v>
      </c>
      <c r="L558" s="7" t="s">
        <v>239</v>
      </c>
      <c r="M558" s="7" t="s">
        <v>0</v>
      </c>
      <c r="N558" s="7" t="s">
        <v>1364</v>
      </c>
      <c r="O558" s="7" t="s">
        <v>0</v>
      </c>
      <c r="P558" s="7" t="s">
        <v>1365</v>
      </c>
      <c r="Q558" s="7" t="s">
        <v>1099</v>
      </c>
      <c r="R558" s="7" t="s">
        <v>339</v>
      </c>
      <c r="S558" s="7" t="s">
        <v>0</v>
      </c>
      <c r="T558" s="7" t="s">
        <v>54</v>
      </c>
      <c r="U558" s="7" t="s">
        <v>303</v>
      </c>
      <c r="V558" s="7" t="s">
        <v>91</v>
      </c>
      <c r="W558" s="7" t="s">
        <v>74</v>
      </c>
      <c r="X558" s="7" t="s">
        <v>103</v>
      </c>
      <c r="Y558" s="8">
        <v>45352</v>
      </c>
      <c r="Z558" s="8">
        <v>45427</v>
      </c>
      <c r="AA558" s="7" t="s">
        <v>92</v>
      </c>
      <c r="AB558" s="7" t="s">
        <v>64</v>
      </c>
      <c r="AC558" s="7" t="s">
        <v>79</v>
      </c>
      <c r="AD558" s="7" t="s">
        <v>144</v>
      </c>
      <c r="AE558" s="7" t="s">
        <v>118</v>
      </c>
      <c r="AF558" s="7" t="s">
        <v>0</v>
      </c>
      <c r="AG558" s="7" t="s">
        <v>0</v>
      </c>
      <c r="AH558" s="9" t="s">
        <v>11009</v>
      </c>
      <c r="AI558" s="9" t="s">
        <v>11009</v>
      </c>
      <c r="AJ558" s="9">
        <v>0</v>
      </c>
      <c r="AK558" s="7" t="s">
        <v>61</v>
      </c>
      <c r="AL558" s="7" t="s">
        <v>61</v>
      </c>
      <c r="AM558" s="7" t="s">
        <v>0</v>
      </c>
      <c r="AN558" s="7" t="s">
        <v>0</v>
      </c>
      <c r="AO558" s="7" t="s">
        <v>0</v>
      </c>
      <c r="AP558" s="7" t="s">
        <v>0</v>
      </c>
      <c r="AQ558" s="7" t="s">
        <v>61</v>
      </c>
      <c r="AR558" s="7" t="s">
        <v>0</v>
      </c>
      <c r="AS558" s="10" t="str">
        <f>HYPERLINK("https://tessa.gazprom-neft.local/edo/card/4af1ae79-256f-4237-9222-00349e914b88", "https://tessa.gazprom-neft.local/edo/card/4af1ae79-256f-4237-9222-00349e914b88")</f>
        <v>https://tessa.gazprom-neft.local/edo/card/4af1ae79-256f-4237-9222-00349e914b88</v>
      </c>
    </row>
    <row r="559" spans="1:45" hidden="1" x14ac:dyDescent="0.25">
      <c r="A559" s="6" t="s">
        <v>44</v>
      </c>
      <c r="B559" s="7" t="s">
        <v>1101</v>
      </c>
      <c r="C559" s="7" t="s">
        <v>67</v>
      </c>
      <c r="D559" s="8">
        <v>45341</v>
      </c>
      <c r="E559" s="8" t="s">
        <v>0</v>
      </c>
      <c r="F559" s="16" t="s">
        <v>1102</v>
      </c>
      <c r="G559" s="7" t="s">
        <v>1103</v>
      </c>
      <c r="H559" s="7" t="s">
        <v>0</v>
      </c>
      <c r="I559" s="7" t="s">
        <v>1457</v>
      </c>
      <c r="J559" s="7" t="s">
        <v>1457</v>
      </c>
      <c r="K559" s="7" t="s">
        <v>85</v>
      </c>
      <c r="L559" s="7" t="s">
        <v>86</v>
      </c>
      <c r="M559" s="7" t="s">
        <v>216</v>
      </c>
      <c r="N559" s="7" t="s">
        <v>1456</v>
      </c>
      <c r="O559" s="7" t="s">
        <v>0</v>
      </c>
      <c r="P559" s="7" t="s">
        <v>216</v>
      </c>
      <c r="Q559" s="7" t="s">
        <v>259</v>
      </c>
      <c r="R559" s="7" t="s">
        <v>339</v>
      </c>
      <c r="S559" s="7" t="s">
        <v>339</v>
      </c>
      <c r="T559" s="7" t="s">
        <v>54</v>
      </c>
      <c r="U559" s="7" t="s">
        <v>303</v>
      </c>
      <c r="V559" s="7" t="s">
        <v>308</v>
      </c>
      <c r="W559" s="7" t="s">
        <v>74</v>
      </c>
      <c r="X559" s="7" t="s">
        <v>58</v>
      </c>
      <c r="Y559" s="8">
        <v>45341</v>
      </c>
      <c r="Z559" s="8" t="s">
        <v>0</v>
      </c>
      <c r="AA559" s="7" t="s">
        <v>309</v>
      </c>
      <c r="AB559" s="7" t="s">
        <v>228</v>
      </c>
      <c r="AC559" s="7" t="s">
        <v>65</v>
      </c>
      <c r="AD559" s="7" t="s">
        <v>0</v>
      </c>
      <c r="AE559" s="7" t="s">
        <v>0</v>
      </c>
      <c r="AF559" s="7" t="s">
        <v>0</v>
      </c>
      <c r="AG559" s="7" t="s">
        <v>0</v>
      </c>
      <c r="AH559" s="9" t="s">
        <v>0</v>
      </c>
      <c r="AI559" s="9" t="s">
        <v>0</v>
      </c>
      <c r="AJ559" s="9" t="s">
        <v>0</v>
      </c>
      <c r="AK559" s="7" t="s">
        <v>61</v>
      </c>
      <c r="AL559" s="7" t="s">
        <v>61</v>
      </c>
      <c r="AM559" s="7" t="s">
        <v>0</v>
      </c>
      <c r="AN559" s="7" t="s">
        <v>0</v>
      </c>
      <c r="AO559" s="7" t="s">
        <v>0</v>
      </c>
      <c r="AP559" s="7" t="s">
        <v>0</v>
      </c>
      <c r="AQ559" s="7" t="s">
        <v>61</v>
      </c>
      <c r="AR559" s="7" t="s">
        <v>0</v>
      </c>
      <c r="AS559" s="10" t="str">
        <f>HYPERLINK("https://tessa.gazprom-neft.local/edo/card/d82b6719-2f9f-44c6-8908-cae08b50bd18", "https://tessa.gazprom-neft.local/edo/card/d82b6719-2f9f-44c6-8908-cae08b50bd18")</f>
        <v>https://tessa.gazprom-neft.local/edo/card/d82b6719-2f9f-44c6-8908-cae08b50bd18</v>
      </c>
    </row>
    <row r="560" spans="1:45" x14ac:dyDescent="0.25">
      <c r="A560" s="6" t="s">
        <v>44</v>
      </c>
      <c r="B560" s="7" t="s">
        <v>1140</v>
      </c>
      <c r="C560" s="7" t="s">
        <v>67</v>
      </c>
      <c r="D560" s="8">
        <v>45338</v>
      </c>
      <c r="E560" s="8" t="s">
        <v>0</v>
      </c>
      <c r="F560" s="16" t="s">
        <v>1141</v>
      </c>
      <c r="G560" s="7" t="s">
        <v>1142</v>
      </c>
      <c r="H560" s="7" t="s">
        <v>1136</v>
      </c>
      <c r="I560" s="7" t="s">
        <v>0</v>
      </c>
      <c r="J560" s="7" t="s">
        <v>271</v>
      </c>
      <c r="K560" s="7" t="s">
        <v>85</v>
      </c>
      <c r="L560" s="7" t="s">
        <v>48</v>
      </c>
      <c r="M560" s="7" t="s">
        <v>1134</v>
      </c>
      <c r="N560" s="7" t="s">
        <v>1135</v>
      </c>
      <c r="O560" s="7" t="s">
        <v>0</v>
      </c>
      <c r="P560" s="7" t="s">
        <v>1137</v>
      </c>
      <c r="Q560" s="7" t="s">
        <v>1138</v>
      </c>
      <c r="R560" s="7" t="s">
        <v>1139</v>
      </c>
      <c r="S560" s="7" t="s">
        <v>1066</v>
      </c>
      <c r="T560" s="7" t="s">
        <v>54</v>
      </c>
      <c r="U560" s="7" t="s">
        <v>283</v>
      </c>
      <c r="V560" s="7" t="s">
        <v>308</v>
      </c>
      <c r="W560" s="7" t="s">
        <v>74</v>
      </c>
      <c r="X560" s="7" t="s">
        <v>58</v>
      </c>
      <c r="Y560" s="8">
        <v>45338</v>
      </c>
      <c r="Z560" s="8" t="s">
        <v>0</v>
      </c>
      <c r="AA560" s="7" t="s">
        <v>309</v>
      </c>
      <c r="AB560" s="7" t="s">
        <v>1143</v>
      </c>
      <c r="AC560" s="7" t="s">
        <v>65</v>
      </c>
      <c r="AD560" s="7" t="s">
        <v>0</v>
      </c>
      <c r="AE560" s="7" t="s">
        <v>0</v>
      </c>
      <c r="AF560" s="7" t="s">
        <v>0</v>
      </c>
      <c r="AG560" s="7" t="s">
        <v>0</v>
      </c>
      <c r="AH560" s="9" t="s">
        <v>0</v>
      </c>
      <c r="AI560" s="9" t="s">
        <v>0</v>
      </c>
      <c r="AJ560" s="9" t="s">
        <v>0</v>
      </c>
      <c r="AK560" s="7" t="s">
        <v>61</v>
      </c>
      <c r="AL560" s="7" t="s">
        <v>61</v>
      </c>
      <c r="AM560" s="7" t="s">
        <v>0</v>
      </c>
      <c r="AN560" s="7" t="s">
        <v>0</v>
      </c>
      <c r="AO560" s="7" t="s">
        <v>0</v>
      </c>
      <c r="AP560" s="7" t="s">
        <v>0</v>
      </c>
      <c r="AQ560" s="7" t="s">
        <v>61</v>
      </c>
      <c r="AR560" s="7" t="s">
        <v>0</v>
      </c>
      <c r="AS560" s="10" t="str">
        <f>HYPERLINK("https://tessa.gazprom-neft.local/edo/card/475c25cc-ab71-492f-9171-968dccd8db82", "https://tessa.gazprom-neft.local/edo/card/475c25cc-ab71-492f-9171-968dccd8db82")</f>
        <v>https://tessa.gazprom-neft.local/edo/card/475c25cc-ab71-492f-9171-968dccd8db82</v>
      </c>
    </row>
    <row r="561" spans="1:45" x14ac:dyDescent="0.25">
      <c r="A561" s="6" t="s">
        <v>44</v>
      </c>
      <c r="B561" s="7" t="s">
        <v>971</v>
      </c>
      <c r="C561" s="7" t="s">
        <v>218</v>
      </c>
      <c r="D561" s="8">
        <v>45338</v>
      </c>
      <c r="E561" s="8" t="s">
        <v>0</v>
      </c>
      <c r="F561" s="16" t="s">
        <v>972</v>
      </c>
      <c r="G561" s="7" t="s">
        <v>973</v>
      </c>
      <c r="H561" s="7" t="s">
        <v>1293</v>
      </c>
      <c r="I561" s="7" t="s">
        <v>0</v>
      </c>
      <c r="J561" s="7" t="s">
        <v>355</v>
      </c>
      <c r="K561" s="7" t="s">
        <v>47</v>
      </c>
      <c r="L561" s="7" t="s">
        <v>48</v>
      </c>
      <c r="M561" s="7" t="s">
        <v>0</v>
      </c>
      <c r="N561" s="7" t="s">
        <v>1292</v>
      </c>
      <c r="O561" s="7" t="s">
        <v>0</v>
      </c>
      <c r="P561" s="7" t="s">
        <v>1294</v>
      </c>
      <c r="Q561" s="7" t="s">
        <v>1295</v>
      </c>
      <c r="R561" s="7" t="s">
        <v>339</v>
      </c>
      <c r="S561" s="7" t="s">
        <v>339</v>
      </c>
      <c r="T561" s="7" t="s">
        <v>54</v>
      </c>
      <c r="U561" s="7" t="s">
        <v>1100</v>
      </c>
      <c r="V561" s="7" t="s">
        <v>91</v>
      </c>
      <c r="W561" s="7" t="s">
        <v>74</v>
      </c>
      <c r="X561" s="7" t="s">
        <v>103</v>
      </c>
      <c r="Y561" s="8">
        <v>45352</v>
      </c>
      <c r="Z561" s="8">
        <v>45716</v>
      </c>
      <c r="AA561" s="7" t="s">
        <v>92</v>
      </c>
      <c r="AB561" s="7" t="s">
        <v>0</v>
      </c>
      <c r="AC561" s="7" t="s">
        <v>0</v>
      </c>
      <c r="AD561" s="7" t="s">
        <v>0</v>
      </c>
      <c r="AE561" s="7" t="s">
        <v>0</v>
      </c>
      <c r="AF561" s="7" t="s">
        <v>0</v>
      </c>
      <c r="AG561" s="7" t="s">
        <v>0</v>
      </c>
      <c r="AH561" s="9" t="s">
        <v>0</v>
      </c>
      <c r="AI561" s="9" t="s">
        <v>0</v>
      </c>
      <c r="AJ561" s="9" t="s">
        <v>0</v>
      </c>
      <c r="AK561" s="7" t="s">
        <v>61</v>
      </c>
      <c r="AL561" s="7" t="s">
        <v>61</v>
      </c>
      <c r="AM561" s="7" t="s">
        <v>0</v>
      </c>
      <c r="AN561" s="7" t="s">
        <v>0</v>
      </c>
      <c r="AO561" s="7" t="s">
        <v>0</v>
      </c>
      <c r="AP561" s="7" t="s">
        <v>0</v>
      </c>
      <c r="AQ561" s="7" t="s">
        <v>61</v>
      </c>
      <c r="AR561" s="7" t="s">
        <v>0</v>
      </c>
      <c r="AS561" s="10" t="str">
        <f>HYPERLINK("https://tessa.gazprom-neft.local/edo/card/8751af3b-b4ff-4219-97bd-d36c6700b33e", "https://tessa.gazprom-neft.local/edo/card/8751af3b-b4ff-4219-97bd-d36c6700b33e")</f>
        <v>https://tessa.gazprom-neft.local/edo/card/8751af3b-b4ff-4219-97bd-d36c6700b33e</v>
      </c>
    </row>
    <row r="562" spans="1:45" x14ac:dyDescent="0.25">
      <c r="A562" s="6" t="s">
        <v>44</v>
      </c>
      <c r="B562" s="7" t="s">
        <v>971</v>
      </c>
      <c r="C562" s="7" t="s">
        <v>67</v>
      </c>
      <c r="D562" s="8">
        <v>45338</v>
      </c>
      <c r="E562" s="8" t="s">
        <v>0</v>
      </c>
      <c r="F562" s="16" t="s">
        <v>972</v>
      </c>
      <c r="G562" s="7" t="s">
        <v>973</v>
      </c>
      <c r="H562" s="7" t="s">
        <v>968</v>
      </c>
      <c r="I562" s="7" t="s">
        <v>0</v>
      </c>
      <c r="J562" s="7" t="s">
        <v>355</v>
      </c>
      <c r="K562" s="7" t="s">
        <v>47</v>
      </c>
      <c r="L562" s="7" t="s">
        <v>48</v>
      </c>
      <c r="M562" s="7" t="s">
        <v>0</v>
      </c>
      <c r="N562" s="7" t="s">
        <v>1305</v>
      </c>
      <c r="O562" s="7" t="s">
        <v>0</v>
      </c>
      <c r="P562" s="7" t="s">
        <v>1306</v>
      </c>
      <c r="Q562" s="7" t="s">
        <v>1307</v>
      </c>
      <c r="R562" s="7" t="s">
        <v>339</v>
      </c>
      <c r="S562" s="7" t="s">
        <v>339</v>
      </c>
      <c r="T562" s="7" t="s">
        <v>54</v>
      </c>
      <c r="U562" s="7" t="s">
        <v>303</v>
      </c>
      <c r="V562" s="7" t="s">
        <v>91</v>
      </c>
      <c r="W562" s="7" t="s">
        <v>74</v>
      </c>
      <c r="X562" s="7" t="s">
        <v>103</v>
      </c>
      <c r="Y562" s="8">
        <v>45352</v>
      </c>
      <c r="Z562" s="8">
        <v>45716</v>
      </c>
      <c r="AA562" s="7" t="s">
        <v>92</v>
      </c>
      <c r="AB562" s="7" t="s">
        <v>64</v>
      </c>
      <c r="AC562" s="7" t="s">
        <v>79</v>
      </c>
      <c r="AD562" s="7" t="s">
        <v>80</v>
      </c>
      <c r="AE562" s="7" t="s">
        <v>118</v>
      </c>
      <c r="AF562" s="7" t="s">
        <v>0</v>
      </c>
      <c r="AG562" s="7" t="s">
        <v>0</v>
      </c>
      <c r="AH562" s="9" t="s">
        <v>10984</v>
      </c>
      <c r="AI562" s="9" t="s">
        <v>10984</v>
      </c>
      <c r="AJ562" s="9">
        <v>0</v>
      </c>
      <c r="AK562" s="7" t="s">
        <v>61</v>
      </c>
      <c r="AL562" s="7" t="s">
        <v>61</v>
      </c>
      <c r="AM562" s="7" t="s">
        <v>0</v>
      </c>
      <c r="AN562" s="7" t="s">
        <v>0</v>
      </c>
      <c r="AO562" s="7" t="s">
        <v>0</v>
      </c>
      <c r="AP562" s="7" t="s">
        <v>0</v>
      </c>
      <c r="AQ562" s="7" t="s">
        <v>61</v>
      </c>
      <c r="AR562" s="7" t="s">
        <v>0</v>
      </c>
      <c r="AS562" s="10" t="str">
        <f>HYPERLINK("https://tessa.gazprom-neft.local/edo/card/b3e6f788-d40a-4044-9bd6-043c26756611", "https://tessa.gazprom-neft.local/edo/card/b3e6f788-d40a-4044-9bd6-043c26756611")</f>
        <v>https://tessa.gazprom-neft.local/edo/card/b3e6f788-d40a-4044-9bd6-043c26756611</v>
      </c>
    </row>
    <row r="563" spans="1:45" hidden="1" x14ac:dyDescent="0.25">
      <c r="A563" s="6" t="s">
        <v>44</v>
      </c>
      <c r="B563" s="7" t="s">
        <v>1075</v>
      </c>
      <c r="C563" s="7" t="s">
        <v>67</v>
      </c>
      <c r="D563" s="8">
        <v>45337</v>
      </c>
      <c r="E563" s="8" t="s">
        <v>0</v>
      </c>
      <c r="F563" s="16" t="s">
        <v>1076</v>
      </c>
      <c r="G563" s="7" t="s">
        <v>1077</v>
      </c>
      <c r="H563" s="7" t="s">
        <v>0</v>
      </c>
      <c r="I563" s="7" t="s">
        <v>1071</v>
      </c>
      <c r="J563" s="7" t="s">
        <v>1071</v>
      </c>
      <c r="K563" s="7" t="s">
        <v>85</v>
      </c>
      <c r="L563" s="7" t="s">
        <v>96</v>
      </c>
      <c r="M563" s="7" t="s">
        <v>183</v>
      </c>
      <c r="N563" s="7" t="s">
        <v>1070</v>
      </c>
      <c r="O563" s="7" t="s">
        <v>0</v>
      </c>
      <c r="P563" s="7" t="s">
        <v>183</v>
      </c>
      <c r="Q563" s="7" t="s">
        <v>1072</v>
      </c>
      <c r="R563" s="7" t="s">
        <v>1073</v>
      </c>
      <c r="S563" s="7" t="s">
        <v>0</v>
      </c>
      <c r="T563" s="7" t="s">
        <v>54</v>
      </c>
      <c r="U563" s="7" t="s">
        <v>1074</v>
      </c>
      <c r="V563" s="7" t="s">
        <v>137</v>
      </c>
      <c r="W563" s="7" t="s">
        <v>57</v>
      </c>
      <c r="X563" s="7" t="s">
        <v>103</v>
      </c>
      <c r="Y563" s="8">
        <v>45337</v>
      </c>
      <c r="Z563" s="8">
        <v>45654</v>
      </c>
      <c r="AA563" s="7" t="s">
        <v>0</v>
      </c>
      <c r="AB563" s="7" t="s">
        <v>192</v>
      </c>
      <c r="AC563" s="7" t="s">
        <v>79</v>
      </c>
      <c r="AD563" s="7" t="s">
        <v>80</v>
      </c>
      <c r="AE563" s="7" t="s">
        <v>193</v>
      </c>
      <c r="AF563" s="7" t="s">
        <v>0</v>
      </c>
      <c r="AG563" s="7" t="s">
        <v>0</v>
      </c>
      <c r="AH563" s="9" t="s">
        <v>10913</v>
      </c>
      <c r="AI563" s="9" t="s">
        <v>10914</v>
      </c>
      <c r="AJ563" s="9" t="s">
        <v>10915</v>
      </c>
      <c r="AK563" s="7" t="s">
        <v>61</v>
      </c>
      <c r="AL563" s="7" t="s">
        <v>61</v>
      </c>
      <c r="AM563" s="7" t="s">
        <v>0</v>
      </c>
      <c r="AN563" s="7" t="s">
        <v>0</v>
      </c>
      <c r="AO563" s="7" t="s">
        <v>0</v>
      </c>
      <c r="AP563" s="7" t="s">
        <v>0</v>
      </c>
      <c r="AQ563" s="7" t="s">
        <v>61</v>
      </c>
      <c r="AR563" s="7" t="s">
        <v>0</v>
      </c>
      <c r="AS563" s="10" t="str">
        <f>HYPERLINK("https://tessa.gazprom-neft.local/edo/card/ecf3ea4c-037b-47bd-ad35-c792679ef00e", "https://tessa.gazprom-neft.local/edo/card/ecf3ea4c-037b-47bd-ad35-c792679ef00e")</f>
        <v>https://tessa.gazprom-neft.local/edo/card/ecf3ea4c-037b-47bd-ad35-c792679ef00e</v>
      </c>
    </row>
    <row r="564" spans="1:45" hidden="1" x14ac:dyDescent="0.25">
      <c r="A564" s="6" t="s">
        <v>44</v>
      </c>
      <c r="B564" s="7" t="s">
        <v>1075</v>
      </c>
      <c r="C564" s="7" t="s">
        <v>67</v>
      </c>
      <c r="D564" s="8">
        <v>45337</v>
      </c>
      <c r="E564" s="8" t="s">
        <v>0</v>
      </c>
      <c r="F564" s="16" t="s">
        <v>1076</v>
      </c>
      <c r="G564" s="7" t="s">
        <v>1077</v>
      </c>
      <c r="H564" s="7" t="s">
        <v>0</v>
      </c>
      <c r="I564" s="7" t="s">
        <v>1443</v>
      </c>
      <c r="J564" s="7" t="s">
        <v>1443</v>
      </c>
      <c r="K564" s="7" t="s">
        <v>85</v>
      </c>
      <c r="L564" s="7" t="s">
        <v>86</v>
      </c>
      <c r="M564" s="7" t="s">
        <v>523</v>
      </c>
      <c r="N564" s="7" t="s">
        <v>1442</v>
      </c>
      <c r="O564" s="7" t="s">
        <v>0</v>
      </c>
      <c r="P564" s="7" t="s">
        <v>523</v>
      </c>
      <c r="Q564" s="7" t="s">
        <v>1444</v>
      </c>
      <c r="R564" s="7" t="s">
        <v>1073</v>
      </c>
      <c r="S564" s="7" t="s">
        <v>0</v>
      </c>
      <c r="T564" s="7" t="s">
        <v>54</v>
      </c>
      <c r="U564" s="7" t="s">
        <v>1074</v>
      </c>
      <c r="V564" s="7" t="s">
        <v>137</v>
      </c>
      <c r="W564" s="7" t="s">
        <v>57</v>
      </c>
      <c r="X564" s="7" t="s">
        <v>103</v>
      </c>
      <c r="Y564" s="8">
        <v>45337</v>
      </c>
      <c r="Z564" s="8">
        <v>45654</v>
      </c>
      <c r="AA564" s="7" t="s">
        <v>0</v>
      </c>
      <c r="AB564" s="7" t="s">
        <v>94</v>
      </c>
      <c r="AC564" s="7" t="s">
        <v>65</v>
      </c>
      <c r="AD564" s="7" t="s">
        <v>0</v>
      </c>
      <c r="AE564" s="7" t="s">
        <v>0</v>
      </c>
      <c r="AF564" s="7" t="s">
        <v>0</v>
      </c>
      <c r="AG564" s="7" t="s">
        <v>0</v>
      </c>
      <c r="AH564" s="9" t="s">
        <v>0</v>
      </c>
      <c r="AI564" s="9" t="s">
        <v>0</v>
      </c>
      <c r="AJ564" s="9" t="s">
        <v>0</v>
      </c>
      <c r="AK564" s="7" t="s">
        <v>61</v>
      </c>
      <c r="AL564" s="7" t="s">
        <v>61</v>
      </c>
      <c r="AM564" s="7" t="s">
        <v>0</v>
      </c>
      <c r="AN564" s="7" t="s">
        <v>0</v>
      </c>
      <c r="AO564" s="7" t="s">
        <v>0</v>
      </c>
      <c r="AP564" s="7" t="s">
        <v>0</v>
      </c>
      <c r="AQ564" s="7" t="s">
        <v>61</v>
      </c>
      <c r="AR564" s="7" t="s">
        <v>0</v>
      </c>
      <c r="AS564" s="10" t="str">
        <f>HYPERLINK("https://tessa.gazprom-neft.local/edo/card/96cb280d-b133-4585-b741-fd6b6f1fc190", "https://tessa.gazprom-neft.local/edo/card/96cb280d-b133-4585-b741-fd6b6f1fc190")</f>
        <v>https://tessa.gazprom-neft.local/edo/card/96cb280d-b133-4585-b741-fd6b6f1fc190</v>
      </c>
    </row>
    <row r="565" spans="1:45" hidden="1" x14ac:dyDescent="0.25">
      <c r="A565" s="6" t="s">
        <v>44</v>
      </c>
      <c r="B565" s="7" t="s">
        <v>0</v>
      </c>
      <c r="C565" s="7" t="s">
        <v>67</v>
      </c>
      <c r="D565" s="8">
        <v>45335</v>
      </c>
      <c r="E565" s="8" t="s">
        <v>0</v>
      </c>
      <c r="F565" s="16" t="s">
        <v>978</v>
      </c>
      <c r="G565" s="7" t="s">
        <v>0</v>
      </c>
      <c r="H565" s="7" t="s">
        <v>0</v>
      </c>
      <c r="I565" s="7" t="s">
        <v>975</v>
      </c>
      <c r="J565" s="7" t="s">
        <v>975</v>
      </c>
      <c r="K565" s="7" t="s">
        <v>47</v>
      </c>
      <c r="L565" s="7" t="s">
        <v>96</v>
      </c>
      <c r="M565" s="7" t="s">
        <v>0</v>
      </c>
      <c r="N565" s="7" t="s">
        <v>974</v>
      </c>
      <c r="O565" s="7" t="s">
        <v>0</v>
      </c>
      <c r="P565" s="7" t="s">
        <v>976</v>
      </c>
      <c r="Q565" s="7" t="s">
        <v>977</v>
      </c>
      <c r="R565" s="7" t="s">
        <v>187</v>
      </c>
      <c r="S565" s="7" t="s">
        <v>187</v>
      </c>
      <c r="T565" s="7" t="s">
        <v>54</v>
      </c>
      <c r="U565" s="7" t="s">
        <v>188</v>
      </c>
      <c r="V565" s="7" t="s">
        <v>112</v>
      </c>
      <c r="W565" s="7" t="s">
        <v>57</v>
      </c>
      <c r="X565" s="7" t="s">
        <v>223</v>
      </c>
      <c r="Y565" s="8">
        <v>45038</v>
      </c>
      <c r="Z565" s="8" t="s">
        <v>0</v>
      </c>
      <c r="AA565" s="7" t="s">
        <v>113</v>
      </c>
      <c r="AB565" s="7" t="s">
        <v>979</v>
      </c>
      <c r="AC565" s="7" t="s">
        <v>65</v>
      </c>
      <c r="AD565" s="7" t="s">
        <v>0</v>
      </c>
      <c r="AE565" s="7" t="s">
        <v>0</v>
      </c>
      <c r="AF565" s="7" t="s">
        <v>0</v>
      </c>
      <c r="AG565" s="7" t="s">
        <v>0</v>
      </c>
      <c r="AH565" s="9" t="s">
        <v>0</v>
      </c>
      <c r="AI565" s="9" t="s">
        <v>0</v>
      </c>
      <c r="AJ565" s="9" t="s">
        <v>0</v>
      </c>
      <c r="AK565" s="7" t="s">
        <v>61</v>
      </c>
      <c r="AL565" s="7" t="s">
        <v>61</v>
      </c>
      <c r="AM565" s="7" t="s">
        <v>0</v>
      </c>
      <c r="AN565" s="7" t="s">
        <v>0</v>
      </c>
      <c r="AO565" s="7" t="s">
        <v>0</v>
      </c>
      <c r="AP565" s="7" t="s">
        <v>0</v>
      </c>
      <c r="AQ565" s="7" t="s">
        <v>61</v>
      </c>
      <c r="AR565" s="7" t="s">
        <v>0</v>
      </c>
      <c r="AS565" s="10" t="str">
        <f>HYPERLINK("https://tessa.gazprom-neft.local/edo/card/679a6812-cffa-470b-b897-6c550a7efaaf", "https://tessa.gazprom-neft.local/edo/card/679a6812-cffa-470b-b897-6c550a7efaaf")</f>
        <v>https://tessa.gazprom-neft.local/edo/card/679a6812-cffa-470b-b897-6c550a7efaaf</v>
      </c>
    </row>
    <row r="566" spans="1:45" x14ac:dyDescent="0.25">
      <c r="A566" s="6" t="s">
        <v>44</v>
      </c>
      <c r="B566" s="7" t="s">
        <v>1101</v>
      </c>
      <c r="C566" s="7" t="s">
        <v>67</v>
      </c>
      <c r="D566" s="8">
        <v>45335</v>
      </c>
      <c r="E566" s="8" t="s">
        <v>0</v>
      </c>
      <c r="F566" s="16" t="s">
        <v>1102</v>
      </c>
      <c r="G566" s="7" t="s">
        <v>1103</v>
      </c>
      <c r="H566" s="7" t="s">
        <v>1096</v>
      </c>
      <c r="I566" s="7" t="s">
        <v>0</v>
      </c>
      <c r="J566" s="7" t="s">
        <v>1098</v>
      </c>
      <c r="K566" s="7" t="s">
        <v>47</v>
      </c>
      <c r="L566" s="7" t="s">
        <v>48</v>
      </c>
      <c r="M566" s="7" t="s">
        <v>0</v>
      </c>
      <c r="N566" s="7" t="s">
        <v>1095</v>
      </c>
      <c r="O566" s="7" t="s">
        <v>0</v>
      </c>
      <c r="P566" s="7" t="s">
        <v>1097</v>
      </c>
      <c r="Q566" s="7" t="s">
        <v>1099</v>
      </c>
      <c r="R566" s="7" t="s">
        <v>339</v>
      </c>
      <c r="S566" s="7" t="s">
        <v>339</v>
      </c>
      <c r="T566" s="7" t="s">
        <v>54</v>
      </c>
      <c r="U566" s="7" t="s">
        <v>1100</v>
      </c>
      <c r="V566" s="7" t="s">
        <v>91</v>
      </c>
      <c r="W566" s="7" t="s">
        <v>74</v>
      </c>
      <c r="X566" s="7" t="s">
        <v>103</v>
      </c>
      <c r="Y566" s="8">
        <v>45352</v>
      </c>
      <c r="Z566" s="8">
        <v>45427</v>
      </c>
      <c r="AA566" s="7" t="s">
        <v>92</v>
      </c>
      <c r="AB566" s="7" t="s">
        <v>64</v>
      </c>
      <c r="AC566" s="7" t="s">
        <v>79</v>
      </c>
      <c r="AD566" s="7" t="s">
        <v>144</v>
      </c>
      <c r="AE566" s="7" t="s">
        <v>118</v>
      </c>
      <c r="AF566" s="7" t="s">
        <v>0</v>
      </c>
      <c r="AG566" s="7" t="s">
        <v>0</v>
      </c>
      <c r="AH566" s="9" t="s">
        <v>10922</v>
      </c>
      <c r="AI566" s="9" t="s">
        <v>10922</v>
      </c>
      <c r="AJ566" s="9">
        <v>0</v>
      </c>
      <c r="AK566" s="7" t="s">
        <v>61</v>
      </c>
      <c r="AL566" s="7" t="s">
        <v>61</v>
      </c>
      <c r="AM566" s="7" t="s">
        <v>0</v>
      </c>
      <c r="AN566" s="7" t="s">
        <v>0</v>
      </c>
      <c r="AO566" s="7" t="s">
        <v>0</v>
      </c>
      <c r="AP566" s="7" t="s">
        <v>0</v>
      </c>
      <c r="AQ566" s="7" t="s">
        <v>61</v>
      </c>
      <c r="AR566" s="7" t="s">
        <v>0</v>
      </c>
      <c r="AS566" s="10" t="str">
        <f>HYPERLINK("https://tessa.gazprom-neft.local/edo/card/0d6ea7be-0404-4f42-b620-b0a5361c5791", "https://tessa.gazprom-neft.local/edo/card/0d6ea7be-0404-4f42-b620-b0a5361c5791")</f>
        <v>https://tessa.gazprom-neft.local/edo/card/0d6ea7be-0404-4f42-b620-b0a5361c5791</v>
      </c>
    </row>
    <row r="567" spans="1:45" hidden="1" x14ac:dyDescent="0.25">
      <c r="A567" s="6" t="s">
        <v>44</v>
      </c>
      <c r="B567" s="7" t="s">
        <v>565</v>
      </c>
      <c r="C567" s="7" t="s">
        <v>67</v>
      </c>
      <c r="D567" s="8">
        <v>45335</v>
      </c>
      <c r="E567" s="8" t="s">
        <v>0</v>
      </c>
      <c r="F567" s="16" t="s">
        <v>653</v>
      </c>
      <c r="G567" s="7" t="s">
        <v>567</v>
      </c>
      <c r="H567" s="7" t="s">
        <v>0</v>
      </c>
      <c r="I567" s="7" t="s">
        <v>1230</v>
      </c>
      <c r="J567" s="7" t="s">
        <v>1230</v>
      </c>
      <c r="K567" s="7" t="s">
        <v>85</v>
      </c>
      <c r="L567" s="7" t="s">
        <v>86</v>
      </c>
      <c r="M567" s="7" t="s">
        <v>289</v>
      </c>
      <c r="N567" s="7" t="s">
        <v>1229</v>
      </c>
      <c r="O567" s="7" t="s">
        <v>0</v>
      </c>
      <c r="P567" s="7" t="s">
        <v>289</v>
      </c>
      <c r="Q567" s="7" t="s">
        <v>1231</v>
      </c>
      <c r="R567" s="7" t="s">
        <v>422</v>
      </c>
      <c r="S567" s="7" t="s">
        <v>0</v>
      </c>
      <c r="T567" s="7" t="s">
        <v>54</v>
      </c>
      <c r="U567" s="7" t="s">
        <v>362</v>
      </c>
      <c r="V567" s="7" t="s">
        <v>56</v>
      </c>
      <c r="W567" s="7" t="s">
        <v>74</v>
      </c>
      <c r="X567" s="7" t="s">
        <v>223</v>
      </c>
      <c r="Y567" s="8">
        <v>45335</v>
      </c>
      <c r="Z567" s="8" t="s">
        <v>0</v>
      </c>
      <c r="AA567" s="7" t="s">
        <v>0</v>
      </c>
      <c r="AB567" s="7" t="s">
        <v>300</v>
      </c>
      <c r="AC567" s="7" t="s">
        <v>65</v>
      </c>
      <c r="AD567" s="7" t="s">
        <v>0</v>
      </c>
      <c r="AE567" s="7" t="s">
        <v>0</v>
      </c>
      <c r="AF567" s="7" t="s">
        <v>0</v>
      </c>
      <c r="AG567" s="7" t="s">
        <v>0</v>
      </c>
      <c r="AH567" s="9" t="s">
        <v>0</v>
      </c>
      <c r="AI567" s="9" t="s">
        <v>0</v>
      </c>
      <c r="AJ567" s="9" t="s">
        <v>0</v>
      </c>
      <c r="AK567" s="7" t="s">
        <v>61</v>
      </c>
      <c r="AL567" s="7" t="s">
        <v>61</v>
      </c>
      <c r="AM567" s="7" t="s">
        <v>0</v>
      </c>
      <c r="AN567" s="7" t="s">
        <v>0</v>
      </c>
      <c r="AO567" s="7" t="s">
        <v>0</v>
      </c>
      <c r="AP567" s="7" t="s">
        <v>0</v>
      </c>
      <c r="AQ567" s="7" t="s">
        <v>61</v>
      </c>
      <c r="AR567" s="7" t="s">
        <v>0</v>
      </c>
      <c r="AS567" s="10" t="str">
        <f>HYPERLINK("https://tessa.gazprom-neft.local/edo/card/71c244f1-1a70-460a-8f16-669eb27303f1", "https://tessa.gazprom-neft.local/edo/card/71c244f1-1a70-460a-8f16-669eb27303f1")</f>
        <v>https://tessa.gazprom-neft.local/edo/card/71c244f1-1a70-460a-8f16-669eb27303f1</v>
      </c>
    </row>
    <row r="568" spans="1:45" hidden="1" x14ac:dyDescent="0.25">
      <c r="A568" s="6" t="s">
        <v>44</v>
      </c>
      <c r="B568" s="7" t="s">
        <v>565</v>
      </c>
      <c r="C568" s="7" t="s">
        <v>67</v>
      </c>
      <c r="D568" s="8">
        <v>45335</v>
      </c>
      <c r="E568" s="8" t="s">
        <v>0</v>
      </c>
      <c r="F568" s="16" t="s">
        <v>653</v>
      </c>
      <c r="G568" s="7" t="s">
        <v>567</v>
      </c>
      <c r="H568" s="7" t="s">
        <v>0</v>
      </c>
      <c r="I568" s="7" t="s">
        <v>1245</v>
      </c>
      <c r="J568" s="7" t="s">
        <v>1245</v>
      </c>
      <c r="K568" s="7" t="s">
        <v>85</v>
      </c>
      <c r="L568" s="7" t="s">
        <v>86</v>
      </c>
      <c r="M568" s="7" t="s">
        <v>216</v>
      </c>
      <c r="N568" s="7" t="s">
        <v>1244</v>
      </c>
      <c r="O568" s="7" t="s">
        <v>0</v>
      </c>
      <c r="P568" s="7" t="s">
        <v>216</v>
      </c>
      <c r="Q568" s="7" t="s">
        <v>1246</v>
      </c>
      <c r="R568" s="7" t="s">
        <v>422</v>
      </c>
      <c r="S568" s="7" t="s">
        <v>0</v>
      </c>
      <c r="T568" s="7" t="s">
        <v>54</v>
      </c>
      <c r="U568" s="7" t="s">
        <v>362</v>
      </c>
      <c r="V568" s="7" t="s">
        <v>56</v>
      </c>
      <c r="W568" s="7" t="s">
        <v>74</v>
      </c>
      <c r="X568" s="7" t="s">
        <v>223</v>
      </c>
      <c r="Y568" s="8">
        <v>45335</v>
      </c>
      <c r="Z568" s="8" t="s">
        <v>0</v>
      </c>
      <c r="AA568" s="7" t="s">
        <v>0</v>
      </c>
      <c r="AB568" s="7" t="s">
        <v>228</v>
      </c>
      <c r="AC568" s="7" t="s">
        <v>65</v>
      </c>
      <c r="AD568" s="7" t="s">
        <v>0</v>
      </c>
      <c r="AE568" s="7" t="s">
        <v>0</v>
      </c>
      <c r="AF568" s="7" t="s">
        <v>0</v>
      </c>
      <c r="AG568" s="7" t="s">
        <v>0</v>
      </c>
      <c r="AH568" s="9" t="s">
        <v>0</v>
      </c>
      <c r="AI568" s="9" t="s">
        <v>0</v>
      </c>
      <c r="AJ568" s="9" t="s">
        <v>0</v>
      </c>
      <c r="AK568" s="7" t="s">
        <v>61</v>
      </c>
      <c r="AL568" s="7" t="s">
        <v>61</v>
      </c>
      <c r="AM568" s="7" t="s">
        <v>0</v>
      </c>
      <c r="AN568" s="7" t="s">
        <v>0</v>
      </c>
      <c r="AO568" s="7" t="s">
        <v>0</v>
      </c>
      <c r="AP568" s="7" t="s">
        <v>0</v>
      </c>
      <c r="AQ568" s="7" t="s">
        <v>61</v>
      </c>
      <c r="AR568" s="7" t="s">
        <v>0</v>
      </c>
      <c r="AS568" s="10" t="str">
        <f>HYPERLINK("https://tessa.gazprom-neft.local/edo/card/e6d406f9-58c7-471f-adb3-ec9de11880c1", "https://tessa.gazprom-neft.local/edo/card/e6d406f9-58c7-471f-adb3-ec9de11880c1")</f>
        <v>https://tessa.gazprom-neft.local/edo/card/e6d406f9-58c7-471f-adb3-ec9de11880c1</v>
      </c>
    </row>
    <row r="569" spans="1:45" hidden="1" x14ac:dyDescent="0.25">
      <c r="A569" s="6" t="s">
        <v>44</v>
      </c>
      <c r="B569" s="7" t="s">
        <v>565</v>
      </c>
      <c r="C569" s="7" t="s">
        <v>67</v>
      </c>
      <c r="D569" s="8">
        <v>45335</v>
      </c>
      <c r="E569" s="8" t="s">
        <v>0</v>
      </c>
      <c r="F569" s="16" t="s">
        <v>653</v>
      </c>
      <c r="G569" s="7" t="s">
        <v>567</v>
      </c>
      <c r="H569" s="7" t="s">
        <v>0</v>
      </c>
      <c r="I569" s="7" t="s">
        <v>1263</v>
      </c>
      <c r="J569" s="7" t="s">
        <v>1263</v>
      </c>
      <c r="K569" s="7" t="s">
        <v>85</v>
      </c>
      <c r="L569" s="7" t="s">
        <v>86</v>
      </c>
      <c r="M569" s="7" t="s">
        <v>83</v>
      </c>
      <c r="N569" s="7" t="s">
        <v>1262</v>
      </c>
      <c r="O569" s="7" t="s">
        <v>0</v>
      </c>
      <c r="P569" s="7" t="s">
        <v>83</v>
      </c>
      <c r="Q569" s="7" t="s">
        <v>1264</v>
      </c>
      <c r="R569" s="7" t="s">
        <v>422</v>
      </c>
      <c r="S569" s="7" t="s">
        <v>0</v>
      </c>
      <c r="T569" s="7" t="s">
        <v>54</v>
      </c>
      <c r="U569" s="7" t="s">
        <v>362</v>
      </c>
      <c r="V569" s="7" t="s">
        <v>91</v>
      </c>
      <c r="W569" s="7" t="s">
        <v>74</v>
      </c>
      <c r="X569" s="7" t="s">
        <v>223</v>
      </c>
      <c r="Y569" s="8">
        <v>45335</v>
      </c>
      <c r="Z569" s="8" t="s">
        <v>0</v>
      </c>
      <c r="AA569" s="7" t="s">
        <v>92</v>
      </c>
      <c r="AB569" s="7" t="s">
        <v>94</v>
      </c>
      <c r="AC569" s="7" t="s">
        <v>65</v>
      </c>
      <c r="AD569" s="7" t="s">
        <v>0</v>
      </c>
      <c r="AE569" s="7" t="s">
        <v>0</v>
      </c>
      <c r="AF569" s="7" t="s">
        <v>0</v>
      </c>
      <c r="AG569" s="7" t="s">
        <v>0</v>
      </c>
      <c r="AH569" s="9" t="s">
        <v>0</v>
      </c>
      <c r="AI569" s="9" t="s">
        <v>0</v>
      </c>
      <c r="AJ569" s="9" t="s">
        <v>0</v>
      </c>
      <c r="AK569" s="7" t="s">
        <v>61</v>
      </c>
      <c r="AL569" s="7" t="s">
        <v>61</v>
      </c>
      <c r="AM569" s="7" t="s">
        <v>0</v>
      </c>
      <c r="AN569" s="7" t="s">
        <v>0</v>
      </c>
      <c r="AO569" s="7" t="s">
        <v>0</v>
      </c>
      <c r="AP569" s="7" t="s">
        <v>0</v>
      </c>
      <c r="AQ569" s="7" t="s">
        <v>61</v>
      </c>
      <c r="AR569" s="7" t="s">
        <v>0</v>
      </c>
      <c r="AS569" s="10" t="str">
        <f>HYPERLINK("https://tessa.gazprom-neft.local/edo/card/d48e7bbb-f8a8-4c06-aea2-ba4571c8656e", "https://tessa.gazprom-neft.local/edo/card/d48e7bbb-f8a8-4c06-aea2-ba4571c8656e")</f>
        <v>https://tessa.gazprom-neft.local/edo/card/d48e7bbb-f8a8-4c06-aea2-ba4571c8656e</v>
      </c>
    </row>
    <row r="570" spans="1:45" hidden="1" x14ac:dyDescent="0.25">
      <c r="A570" s="6" t="s">
        <v>44</v>
      </c>
      <c r="B570" s="7" t="s">
        <v>565</v>
      </c>
      <c r="C570" s="7" t="s">
        <v>67</v>
      </c>
      <c r="D570" s="8">
        <v>45335</v>
      </c>
      <c r="E570" s="8" t="s">
        <v>0</v>
      </c>
      <c r="F570" s="16" t="s">
        <v>653</v>
      </c>
      <c r="G570" s="7" t="s">
        <v>567</v>
      </c>
      <c r="H570" s="7" t="s">
        <v>651</v>
      </c>
      <c r="I570" s="7" t="s">
        <v>0</v>
      </c>
      <c r="J570" s="7" t="s">
        <v>51</v>
      </c>
      <c r="K570" s="7" t="s">
        <v>47</v>
      </c>
      <c r="L570" s="7" t="s">
        <v>239</v>
      </c>
      <c r="M570" s="7" t="s">
        <v>0</v>
      </c>
      <c r="N570" s="7" t="s">
        <v>1320</v>
      </c>
      <c r="O570" s="7" t="s">
        <v>0</v>
      </c>
      <c r="P570" s="7" t="s">
        <v>1321</v>
      </c>
      <c r="Q570" s="7" t="s">
        <v>1322</v>
      </c>
      <c r="R570" s="7" t="s">
        <v>422</v>
      </c>
      <c r="S570" s="7" t="s">
        <v>0</v>
      </c>
      <c r="T570" s="7" t="s">
        <v>54</v>
      </c>
      <c r="U570" s="7" t="s">
        <v>362</v>
      </c>
      <c r="V570" s="7" t="s">
        <v>56</v>
      </c>
      <c r="W570" s="7" t="s">
        <v>74</v>
      </c>
      <c r="X570" s="7" t="s">
        <v>103</v>
      </c>
      <c r="Y570" s="8">
        <v>45337</v>
      </c>
      <c r="Z570" s="8">
        <v>45657</v>
      </c>
      <c r="AA570" s="7" t="s">
        <v>0</v>
      </c>
      <c r="AB570" s="7" t="s">
        <v>130</v>
      </c>
      <c r="AC570" s="7" t="s">
        <v>79</v>
      </c>
      <c r="AD570" s="7" t="s">
        <v>144</v>
      </c>
      <c r="AE570" s="7" t="s">
        <v>82</v>
      </c>
      <c r="AF570" s="7" t="s">
        <v>0</v>
      </c>
      <c r="AG570" s="7" t="s">
        <v>0</v>
      </c>
      <c r="AH570" s="9" t="s">
        <v>10988</v>
      </c>
      <c r="AI570" s="9" t="s">
        <v>10989</v>
      </c>
      <c r="AJ570" s="9" t="s">
        <v>10990</v>
      </c>
      <c r="AK570" s="7" t="s">
        <v>61</v>
      </c>
      <c r="AL570" s="7" t="s">
        <v>61</v>
      </c>
      <c r="AM570" s="7" t="s">
        <v>0</v>
      </c>
      <c r="AN570" s="7" t="s">
        <v>0</v>
      </c>
      <c r="AO570" s="7" t="s">
        <v>0</v>
      </c>
      <c r="AP570" s="7" t="s">
        <v>0</v>
      </c>
      <c r="AQ570" s="7" t="s">
        <v>61</v>
      </c>
      <c r="AR570" s="7" t="s">
        <v>0</v>
      </c>
      <c r="AS570" s="10" t="str">
        <f>HYPERLINK("https://tessa.gazprom-neft.local/edo/card/9b114e7d-8c97-4196-9a5c-47782b5dcb4d", "https://tessa.gazprom-neft.local/edo/card/9b114e7d-8c97-4196-9a5c-47782b5dcb4d")</f>
        <v>https://tessa.gazprom-neft.local/edo/card/9b114e7d-8c97-4196-9a5c-47782b5dcb4d</v>
      </c>
    </row>
    <row r="571" spans="1:45" x14ac:dyDescent="0.25">
      <c r="A571" s="6" t="s">
        <v>44</v>
      </c>
      <c r="B571" s="7" t="s">
        <v>0</v>
      </c>
      <c r="C571" s="7" t="s">
        <v>67</v>
      </c>
      <c r="D571" s="8">
        <v>45335</v>
      </c>
      <c r="E571" s="8" t="s">
        <v>0</v>
      </c>
      <c r="F571" s="16" t="s">
        <v>1334</v>
      </c>
      <c r="G571" s="7" t="s">
        <v>0</v>
      </c>
      <c r="H571" s="7" t="s">
        <v>975</v>
      </c>
      <c r="I571" s="7" t="s">
        <v>0</v>
      </c>
      <c r="J571" s="7" t="s">
        <v>51</v>
      </c>
      <c r="K571" s="7" t="s">
        <v>47</v>
      </c>
      <c r="L571" s="7" t="s">
        <v>48</v>
      </c>
      <c r="M571" s="7" t="s">
        <v>0</v>
      </c>
      <c r="N571" s="7" t="s">
        <v>1331</v>
      </c>
      <c r="O571" s="7" t="s">
        <v>0</v>
      </c>
      <c r="P571" s="7" t="s">
        <v>1332</v>
      </c>
      <c r="Q571" s="7" t="s">
        <v>1333</v>
      </c>
      <c r="R571" s="7" t="s">
        <v>187</v>
      </c>
      <c r="S571" s="7" t="s">
        <v>187</v>
      </c>
      <c r="T571" s="7" t="s">
        <v>54</v>
      </c>
      <c r="U571" s="7" t="s">
        <v>188</v>
      </c>
      <c r="V571" s="7" t="s">
        <v>112</v>
      </c>
      <c r="W571" s="7" t="s">
        <v>57</v>
      </c>
      <c r="X571" s="7" t="s">
        <v>103</v>
      </c>
      <c r="Y571" s="8">
        <v>45404</v>
      </c>
      <c r="Z571" s="8">
        <v>45430</v>
      </c>
      <c r="AA571" s="7" t="s">
        <v>113</v>
      </c>
      <c r="AB571" s="7" t="s">
        <v>979</v>
      </c>
      <c r="AC571" s="7" t="s">
        <v>65</v>
      </c>
      <c r="AD571" s="7" t="s">
        <v>0</v>
      </c>
      <c r="AE571" s="7" t="s">
        <v>0</v>
      </c>
      <c r="AF571" s="7" t="s">
        <v>0</v>
      </c>
      <c r="AG571" s="7" t="s">
        <v>0</v>
      </c>
      <c r="AH571" s="9" t="s">
        <v>0</v>
      </c>
      <c r="AI571" s="9" t="s">
        <v>0</v>
      </c>
      <c r="AJ571" s="9" t="s">
        <v>0</v>
      </c>
      <c r="AK571" s="7" t="s">
        <v>61</v>
      </c>
      <c r="AL571" s="7" t="s">
        <v>61</v>
      </c>
      <c r="AM571" s="7" t="s">
        <v>0</v>
      </c>
      <c r="AN571" s="7" t="s">
        <v>0</v>
      </c>
      <c r="AO571" s="7" t="s">
        <v>0</v>
      </c>
      <c r="AP571" s="7" t="s">
        <v>0</v>
      </c>
      <c r="AQ571" s="7" t="s">
        <v>61</v>
      </c>
      <c r="AR571" s="7" t="s">
        <v>0</v>
      </c>
      <c r="AS571" s="10" t="str">
        <f>HYPERLINK("https://tessa.gazprom-neft.local/edo/card/c093bdd3-06c1-40dd-8d77-f56a0e5b033c", "https://tessa.gazprom-neft.local/edo/card/c093bdd3-06c1-40dd-8d77-f56a0e5b033c")</f>
        <v>https://tessa.gazprom-neft.local/edo/card/c093bdd3-06c1-40dd-8d77-f56a0e5b033c</v>
      </c>
    </row>
    <row r="572" spans="1:45" hidden="1" x14ac:dyDescent="0.25">
      <c r="A572" s="6" t="s">
        <v>44</v>
      </c>
      <c r="B572" s="7" t="s">
        <v>350</v>
      </c>
      <c r="C572" s="7" t="s">
        <v>67</v>
      </c>
      <c r="D572" s="8">
        <v>45334</v>
      </c>
      <c r="E572" s="8" t="s">
        <v>0</v>
      </c>
      <c r="F572" s="16" t="s">
        <v>1027</v>
      </c>
      <c r="G572" s="7" t="s">
        <v>352</v>
      </c>
      <c r="H572" s="7" t="s">
        <v>1024</v>
      </c>
      <c r="I572" s="7" t="s">
        <v>0</v>
      </c>
      <c r="J572" s="7" t="s">
        <v>872</v>
      </c>
      <c r="K572" s="7" t="s">
        <v>47</v>
      </c>
      <c r="L572" s="7" t="s">
        <v>763</v>
      </c>
      <c r="M572" s="7" t="s">
        <v>0</v>
      </c>
      <c r="N572" s="7" t="s">
        <v>1023</v>
      </c>
      <c r="O572" s="7" t="s">
        <v>0</v>
      </c>
      <c r="P572" s="7" t="s">
        <v>1025</v>
      </c>
      <c r="Q572" s="7" t="s">
        <v>1026</v>
      </c>
      <c r="R572" s="7" t="s">
        <v>124</v>
      </c>
      <c r="S572" s="7" t="s">
        <v>0</v>
      </c>
      <c r="T572" s="7" t="s">
        <v>54</v>
      </c>
      <c r="U572" s="7" t="s">
        <v>101</v>
      </c>
      <c r="V572" s="7" t="s">
        <v>308</v>
      </c>
      <c r="W572" s="7" t="s">
        <v>74</v>
      </c>
      <c r="X572" s="7" t="s">
        <v>58</v>
      </c>
      <c r="Y572" s="8">
        <v>45352</v>
      </c>
      <c r="Z572" s="8" t="s">
        <v>0</v>
      </c>
      <c r="AA572" s="7" t="s">
        <v>309</v>
      </c>
      <c r="AB572" s="7" t="s">
        <v>64</v>
      </c>
      <c r="AC572" s="7" t="s">
        <v>79</v>
      </c>
      <c r="AD572" s="7" t="s">
        <v>80</v>
      </c>
      <c r="AE572" s="7" t="s">
        <v>82</v>
      </c>
      <c r="AF572" s="7" t="s">
        <v>0</v>
      </c>
      <c r="AG572" s="7" t="s">
        <v>0</v>
      </c>
      <c r="AH572" s="9" t="s">
        <v>10898</v>
      </c>
      <c r="AI572" s="9" t="s">
        <v>10899</v>
      </c>
      <c r="AJ572" s="9" t="s">
        <v>10900</v>
      </c>
      <c r="AK572" s="7" t="s">
        <v>61</v>
      </c>
      <c r="AL572" s="7" t="s">
        <v>61</v>
      </c>
      <c r="AM572" s="7" t="s">
        <v>0</v>
      </c>
      <c r="AN572" s="7" t="s">
        <v>0</v>
      </c>
      <c r="AO572" s="7" t="s">
        <v>0</v>
      </c>
      <c r="AP572" s="7" t="s">
        <v>0</v>
      </c>
      <c r="AQ572" s="7" t="s">
        <v>61</v>
      </c>
      <c r="AR572" s="7" t="s">
        <v>0</v>
      </c>
      <c r="AS572" s="10" t="str">
        <f>HYPERLINK("https://tessa.gazprom-neft.local/edo/card/2a48f656-bfe4-48d2-aa0d-c1766010dec2", "https://tessa.gazprom-neft.local/edo/card/2a48f656-bfe4-48d2-aa0d-c1766010dec2")</f>
        <v>https://tessa.gazprom-neft.local/edo/card/2a48f656-bfe4-48d2-aa0d-c1766010dec2</v>
      </c>
    </row>
    <row r="573" spans="1:45" hidden="1" x14ac:dyDescent="0.25">
      <c r="A573" s="6" t="s">
        <v>44</v>
      </c>
      <c r="B573" s="7" t="s">
        <v>715</v>
      </c>
      <c r="C573" s="7" t="s">
        <v>67</v>
      </c>
      <c r="D573" s="8">
        <v>45332</v>
      </c>
      <c r="E573" s="8" t="s">
        <v>0</v>
      </c>
      <c r="F573" s="16" t="s">
        <v>716</v>
      </c>
      <c r="G573" s="7" t="s">
        <v>717</v>
      </c>
      <c r="H573" s="7" t="s">
        <v>710</v>
      </c>
      <c r="I573" s="7" t="s">
        <v>0</v>
      </c>
      <c r="J573" s="7" t="s">
        <v>263</v>
      </c>
      <c r="K573" s="7" t="s">
        <v>47</v>
      </c>
      <c r="L573" s="7" t="s">
        <v>709</v>
      </c>
      <c r="M573" s="7" t="s">
        <v>0</v>
      </c>
      <c r="N573" s="7" t="s">
        <v>1035</v>
      </c>
      <c r="O573" s="7" t="s">
        <v>0</v>
      </c>
      <c r="P573" s="7" t="s">
        <v>1036</v>
      </c>
      <c r="Q573" s="7" t="s">
        <v>1037</v>
      </c>
      <c r="R573" s="7" t="s">
        <v>714</v>
      </c>
      <c r="S573" s="7" t="s">
        <v>714</v>
      </c>
      <c r="T573" s="7" t="s">
        <v>54</v>
      </c>
      <c r="U573" s="7" t="s">
        <v>101</v>
      </c>
      <c r="V573" s="7" t="s">
        <v>308</v>
      </c>
      <c r="W573" s="7" t="s">
        <v>74</v>
      </c>
      <c r="X573" s="7" t="s">
        <v>103</v>
      </c>
      <c r="Y573" s="8">
        <v>45332</v>
      </c>
      <c r="Z573" s="8">
        <v>45412</v>
      </c>
      <c r="AA573" s="7" t="s">
        <v>309</v>
      </c>
      <c r="AB573" s="7" t="s">
        <v>64</v>
      </c>
      <c r="AC573" s="7" t="s">
        <v>79</v>
      </c>
      <c r="AD573" s="7" t="s">
        <v>144</v>
      </c>
      <c r="AE573" s="7" t="s">
        <v>82</v>
      </c>
      <c r="AF573" s="7" t="s">
        <v>0</v>
      </c>
      <c r="AG573" s="7" t="s">
        <v>0</v>
      </c>
      <c r="AH573" s="9" t="s">
        <v>10904</v>
      </c>
      <c r="AI573" s="9" t="s">
        <v>10905</v>
      </c>
      <c r="AJ573" s="9" t="s">
        <v>10906</v>
      </c>
      <c r="AK573" s="7" t="s">
        <v>61</v>
      </c>
      <c r="AL573" s="7" t="s">
        <v>61</v>
      </c>
      <c r="AM573" s="7" t="s">
        <v>0</v>
      </c>
      <c r="AN573" s="7" t="s">
        <v>0</v>
      </c>
      <c r="AO573" s="7" t="s">
        <v>0</v>
      </c>
      <c r="AP573" s="7" t="s">
        <v>0</v>
      </c>
      <c r="AQ573" s="7" t="s">
        <v>61</v>
      </c>
      <c r="AR573" s="7" t="s">
        <v>0</v>
      </c>
      <c r="AS573" s="10" t="str">
        <f>HYPERLINK("https://tessa.gazprom-neft.local/edo/card/8cd82d28-2ed4-45dc-b21d-eb20efdf1105", "https://tessa.gazprom-neft.local/edo/card/8cd82d28-2ed4-45dc-b21d-eb20efdf1105")</f>
        <v>https://tessa.gazprom-neft.local/edo/card/8cd82d28-2ed4-45dc-b21d-eb20efdf1105</v>
      </c>
    </row>
    <row r="574" spans="1:45" x14ac:dyDescent="0.25">
      <c r="A574" s="6" t="s">
        <v>44</v>
      </c>
      <c r="B574" s="7" t="s">
        <v>284</v>
      </c>
      <c r="C574" s="7" t="s">
        <v>67</v>
      </c>
      <c r="D574" s="8">
        <v>45331</v>
      </c>
      <c r="E574" s="8" t="s">
        <v>0</v>
      </c>
      <c r="F574" s="16" t="s">
        <v>285</v>
      </c>
      <c r="G574" s="7" t="s">
        <v>286</v>
      </c>
      <c r="H574" s="7" t="s">
        <v>280</v>
      </c>
      <c r="I574" s="7" t="s">
        <v>0</v>
      </c>
      <c r="J574" s="7" t="s">
        <v>51</v>
      </c>
      <c r="K574" s="7" t="s">
        <v>85</v>
      </c>
      <c r="L574" s="7" t="s">
        <v>48</v>
      </c>
      <c r="M574" s="7" t="s">
        <v>1183</v>
      </c>
      <c r="N574" s="7" t="s">
        <v>1184</v>
      </c>
      <c r="O574" s="7" t="s">
        <v>0</v>
      </c>
      <c r="P574" s="7" t="s">
        <v>1183</v>
      </c>
      <c r="Q574" s="7" t="s">
        <v>1185</v>
      </c>
      <c r="R574" s="7" t="s">
        <v>282</v>
      </c>
      <c r="S574" s="7" t="s">
        <v>0</v>
      </c>
      <c r="T574" s="7" t="s">
        <v>54</v>
      </c>
      <c r="U574" s="7" t="s">
        <v>55</v>
      </c>
      <c r="V574" s="7" t="s">
        <v>308</v>
      </c>
      <c r="W574" s="7" t="s">
        <v>74</v>
      </c>
      <c r="X574" s="7" t="s">
        <v>103</v>
      </c>
      <c r="Y574" s="8">
        <v>45331</v>
      </c>
      <c r="Z574" s="8">
        <v>46752</v>
      </c>
      <c r="AA574" s="7" t="s">
        <v>309</v>
      </c>
      <c r="AB574" s="7" t="s">
        <v>228</v>
      </c>
      <c r="AC574" s="7" t="s">
        <v>65</v>
      </c>
      <c r="AD574" s="7" t="s">
        <v>0</v>
      </c>
      <c r="AE574" s="7" t="s">
        <v>0</v>
      </c>
      <c r="AF574" s="7" t="s">
        <v>0</v>
      </c>
      <c r="AG574" s="7" t="s">
        <v>0</v>
      </c>
      <c r="AH574" s="9" t="s">
        <v>0</v>
      </c>
      <c r="AI574" s="9" t="s">
        <v>0</v>
      </c>
      <c r="AJ574" s="9" t="s">
        <v>0</v>
      </c>
      <c r="AK574" s="7" t="s">
        <v>61</v>
      </c>
      <c r="AL574" s="7" t="s">
        <v>61</v>
      </c>
      <c r="AM574" s="7" t="s">
        <v>0</v>
      </c>
      <c r="AN574" s="7" t="s">
        <v>0</v>
      </c>
      <c r="AO574" s="7" t="s">
        <v>0</v>
      </c>
      <c r="AP574" s="7" t="s">
        <v>0</v>
      </c>
      <c r="AQ574" s="7" t="s">
        <v>61</v>
      </c>
      <c r="AR574" s="7" t="s">
        <v>0</v>
      </c>
      <c r="AS574" s="10" t="str">
        <f>HYPERLINK("https://tessa.gazprom-neft.local/edo/card/473c597e-6231-4c1e-878e-d6ea35a2b6a2", "https://tessa.gazprom-neft.local/edo/card/473c597e-6231-4c1e-878e-d6ea35a2b6a2")</f>
        <v>https://tessa.gazprom-neft.local/edo/card/473c597e-6231-4c1e-878e-d6ea35a2b6a2</v>
      </c>
    </row>
    <row r="575" spans="1:45" x14ac:dyDescent="0.25">
      <c r="A575" s="6" t="s">
        <v>44</v>
      </c>
      <c r="B575" s="7" t="s">
        <v>1200</v>
      </c>
      <c r="C575" s="7" t="s">
        <v>67</v>
      </c>
      <c r="D575" s="8">
        <v>45331</v>
      </c>
      <c r="E575" s="8" t="s">
        <v>0</v>
      </c>
      <c r="F575" s="16" t="s">
        <v>1201</v>
      </c>
      <c r="G575" s="7" t="s">
        <v>1202</v>
      </c>
      <c r="H575" s="7" t="s">
        <v>1196</v>
      </c>
      <c r="I575" s="7" t="s">
        <v>0</v>
      </c>
      <c r="J575" s="7" t="s">
        <v>51</v>
      </c>
      <c r="K575" s="7" t="s">
        <v>47</v>
      </c>
      <c r="L575" s="7" t="s">
        <v>48</v>
      </c>
      <c r="M575" s="7" t="s">
        <v>0</v>
      </c>
      <c r="N575" s="7" t="s">
        <v>1195</v>
      </c>
      <c r="O575" s="7" t="s">
        <v>0</v>
      </c>
      <c r="P575" s="7" t="s">
        <v>1197</v>
      </c>
      <c r="Q575" s="7" t="s">
        <v>1198</v>
      </c>
      <c r="R575" s="7" t="s">
        <v>1199</v>
      </c>
      <c r="S575" s="7" t="s">
        <v>1199</v>
      </c>
      <c r="T575" s="7" t="s">
        <v>54</v>
      </c>
      <c r="U575" s="7" t="s">
        <v>605</v>
      </c>
      <c r="V575" s="7" t="s">
        <v>126</v>
      </c>
      <c r="W575" s="7" t="s">
        <v>57</v>
      </c>
      <c r="X575" s="7" t="s">
        <v>103</v>
      </c>
      <c r="Y575" s="8">
        <v>45331</v>
      </c>
      <c r="Z575" s="8">
        <v>45533</v>
      </c>
      <c r="AA575" s="7" t="s">
        <v>200</v>
      </c>
      <c r="AB575" s="7" t="s">
        <v>1203</v>
      </c>
      <c r="AC575" s="7" t="s">
        <v>79</v>
      </c>
      <c r="AD575" s="7" t="s">
        <v>80</v>
      </c>
      <c r="AE575" s="7" t="s">
        <v>82</v>
      </c>
      <c r="AF575" s="7" t="s">
        <v>0</v>
      </c>
      <c r="AG575" s="7" t="s">
        <v>0</v>
      </c>
      <c r="AH575" s="9" t="s">
        <v>10949</v>
      </c>
      <c r="AI575" s="9" t="s">
        <v>10950</v>
      </c>
      <c r="AJ575" s="9" t="s">
        <v>10951</v>
      </c>
      <c r="AK575" s="7" t="s">
        <v>61</v>
      </c>
      <c r="AL575" s="7" t="s">
        <v>61</v>
      </c>
      <c r="AM575" s="7" t="s">
        <v>0</v>
      </c>
      <c r="AN575" s="7" t="s">
        <v>0</v>
      </c>
      <c r="AO575" s="7" t="s">
        <v>0</v>
      </c>
      <c r="AP575" s="7" t="s">
        <v>0</v>
      </c>
      <c r="AQ575" s="7" t="s">
        <v>61</v>
      </c>
      <c r="AR575" s="7" t="s">
        <v>0</v>
      </c>
      <c r="AS575" s="10" t="str">
        <f>HYPERLINK("https://tessa.gazprom-neft.local/edo/card/ed6189a1-773a-4dcd-be55-f3406ee3518a", "https://tessa.gazprom-neft.local/edo/card/ed6189a1-773a-4dcd-be55-f3406ee3518a")</f>
        <v>https://tessa.gazprom-neft.local/edo/card/ed6189a1-773a-4dcd-be55-f3406ee3518a</v>
      </c>
    </row>
    <row r="576" spans="1:45" hidden="1" x14ac:dyDescent="0.25">
      <c r="A576" s="6" t="s">
        <v>44</v>
      </c>
      <c r="B576" s="7" t="s">
        <v>852</v>
      </c>
      <c r="C576" s="7" t="s">
        <v>67</v>
      </c>
      <c r="D576" s="8">
        <v>45330</v>
      </c>
      <c r="E576" s="8" t="s">
        <v>0</v>
      </c>
      <c r="F576" s="16" t="s">
        <v>853</v>
      </c>
      <c r="G576" s="7" t="s">
        <v>854</v>
      </c>
      <c r="H576" s="7" t="s">
        <v>0</v>
      </c>
      <c r="I576" s="7" t="s">
        <v>1002</v>
      </c>
      <c r="J576" s="7" t="s">
        <v>1002</v>
      </c>
      <c r="K576" s="7" t="s">
        <v>85</v>
      </c>
      <c r="L576" s="7" t="s">
        <v>96</v>
      </c>
      <c r="M576" s="7" t="s">
        <v>1000</v>
      </c>
      <c r="N576" s="7" t="s">
        <v>1001</v>
      </c>
      <c r="O576" s="7" t="s">
        <v>0</v>
      </c>
      <c r="P576" s="7" t="s">
        <v>1000</v>
      </c>
      <c r="Q576" s="7" t="s">
        <v>1003</v>
      </c>
      <c r="R576" s="7" t="s">
        <v>338</v>
      </c>
      <c r="S576" s="7" t="s">
        <v>1004</v>
      </c>
      <c r="T576" s="7" t="s">
        <v>54</v>
      </c>
      <c r="U576" s="7" t="s">
        <v>111</v>
      </c>
      <c r="V576" s="7" t="s">
        <v>112</v>
      </c>
      <c r="W576" s="7" t="s">
        <v>74</v>
      </c>
      <c r="X576" s="7" t="s">
        <v>103</v>
      </c>
      <c r="Y576" s="8">
        <v>45330</v>
      </c>
      <c r="Z576" s="8">
        <v>46387</v>
      </c>
      <c r="AA576" s="7" t="s">
        <v>113</v>
      </c>
      <c r="AB576" s="7" t="s">
        <v>161</v>
      </c>
      <c r="AC576" s="7" t="s">
        <v>79</v>
      </c>
      <c r="AD576" s="7" t="s">
        <v>80</v>
      </c>
      <c r="AE576" s="7" t="s">
        <v>82</v>
      </c>
      <c r="AF576" s="7" t="s">
        <v>0</v>
      </c>
      <c r="AG576" s="7" t="s">
        <v>0</v>
      </c>
      <c r="AH576" s="9" t="s">
        <v>10889</v>
      </c>
      <c r="AI576" s="9" t="s">
        <v>10890</v>
      </c>
      <c r="AJ576" s="9" t="s">
        <v>10891</v>
      </c>
      <c r="AK576" s="7" t="s">
        <v>61</v>
      </c>
      <c r="AL576" s="7" t="s">
        <v>61</v>
      </c>
      <c r="AM576" s="7" t="s">
        <v>0</v>
      </c>
      <c r="AN576" s="7" t="s">
        <v>0</v>
      </c>
      <c r="AO576" s="7" t="s">
        <v>0</v>
      </c>
      <c r="AP576" s="7" t="s">
        <v>0</v>
      </c>
      <c r="AQ576" s="7" t="s">
        <v>61</v>
      </c>
      <c r="AR576" s="7" t="s">
        <v>0</v>
      </c>
      <c r="AS576" s="10" t="str">
        <f>HYPERLINK("https://tessa.gazprom-neft.local/edo/card/54fcf3ce-98ba-4696-be69-2c19390ad03b", "https://tessa.gazprom-neft.local/edo/card/54fcf3ce-98ba-4696-be69-2c19390ad03b")</f>
        <v>https://tessa.gazprom-neft.local/edo/card/54fcf3ce-98ba-4696-be69-2c19390ad03b</v>
      </c>
    </row>
    <row r="577" spans="1:45" hidden="1" x14ac:dyDescent="0.25">
      <c r="A577" s="6" t="s">
        <v>44</v>
      </c>
      <c r="B577" s="7" t="s">
        <v>852</v>
      </c>
      <c r="C577" s="7" t="s">
        <v>67</v>
      </c>
      <c r="D577" s="8">
        <v>45330</v>
      </c>
      <c r="E577" s="8" t="s">
        <v>0</v>
      </c>
      <c r="F577" s="16" t="s">
        <v>853</v>
      </c>
      <c r="G577" s="7" t="s">
        <v>854</v>
      </c>
      <c r="H577" s="7" t="s">
        <v>0</v>
      </c>
      <c r="I577" s="7" t="s">
        <v>1009</v>
      </c>
      <c r="J577" s="7" t="s">
        <v>1009</v>
      </c>
      <c r="K577" s="7" t="s">
        <v>85</v>
      </c>
      <c r="L577" s="7" t="s">
        <v>96</v>
      </c>
      <c r="M577" s="7" t="s">
        <v>1000</v>
      </c>
      <c r="N577" s="7" t="s">
        <v>1008</v>
      </c>
      <c r="O577" s="7" t="s">
        <v>0</v>
      </c>
      <c r="P577" s="7" t="s">
        <v>1000</v>
      </c>
      <c r="Q577" s="7" t="s">
        <v>1010</v>
      </c>
      <c r="R577" s="7" t="s">
        <v>338</v>
      </c>
      <c r="S577" s="7" t="s">
        <v>1011</v>
      </c>
      <c r="T577" s="7" t="s">
        <v>54</v>
      </c>
      <c r="U577" s="7" t="s">
        <v>1012</v>
      </c>
      <c r="V577" s="7" t="s">
        <v>340</v>
      </c>
      <c r="W577" s="7" t="s">
        <v>74</v>
      </c>
      <c r="X577" s="7" t="s">
        <v>103</v>
      </c>
      <c r="Y577" s="8">
        <v>45330</v>
      </c>
      <c r="Z577" s="8">
        <v>46022</v>
      </c>
      <c r="AA577" s="7" t="s">
        <v>341</v>
      </c>
      <c r="AB577" s="7" t="s">
        <v>161</v>
      </c>
      <c r="AC577" s="7" t="s">
        <v>79</v>
      </c>
      <c r="AD577" s="7" t="s">
        <v>80</v>
      </c>
      <c r="AE577" s="7" t="s">
        <v>82</v>
      </c>
      <c r="AF577" s="7" t="s">
        <v>0</v>
      </c>
      <c r="AG577" s="7" t="s">
        <v>0</v>
      </c>
      <c r="AH577" s="9" t="s">
        <v>10892</v>
      </c>
      <c r="AI577" s="9" t="s">
        <v>10893</v>
      </c>
      <c r="AJ577" s="9" t="s">
        <v>10894</v>
      </c>
      <c r="AK577" s="7" t="s">
        <v>61</v>
      </c>
      <c r="AL577" s="7" t="s">
        <v>61</v>
      </c>
      <c r="AM577" s="7" t="s">
        <v>0</v>
      </c>
      <c r="AN577" s="7" t="s">
        <v>0</v>
      </c>
      <c r="AO577" s="7" t="s">
        <v>0</v>
      </c>
      <c r="AP577" s="7" t="s">
        <v>0</v>
      </c>
      <c r="AQ577" s="7" t="s">
        <v>61</v>
      </c>
      <c r="AR577" s="7" t="s">
        <v>0</v>
      </c>
      <c r="AS577" s="10" t="str">
        <f>HYPERLINK("https://tessa.gazprom-neft.local/edo/card/ad5896a1-b76c-4800-a376-c62ed6a08850", "https://tessa.gazprom-neft.local/edo/card/ad5896a1-b76c-4800-a376-c62ed6a08850")</f>
        <v>https://tessa.gazprom-neft.local/edo/card/ad5896a1-b76c-4800-a376-c62ed6a08850</v>
      </c>
    </row>
    <row r="578" spans="1:45" hidden="1" x14ac:dyDescent="0.25">
      <c r="A578" s="6" t="s">
        <v>44</v>
      </c>
      <c r="B578" s="7" t="s">
        <v>1416</v>
      </c>
      <c r="C578" s="7" t="s">
        <v>67</v>
      </c>
      <c r="D578" s="8">
        <v>45330</v>
      </c>
      <c r="E578" s="8" t="s">
        <v>0</v>
      </c>
      <c r="F578" s="16" t="s">
        <v>1417</v>
      </c>
      <c r="G578" s="7" t="s">
        <v>1418</v>
      </c>
      <c r="H578" s="7" t="s">
        <v>0</v>
      </c>
      <c r="I578" s="7" t="s">
        <v>1413</v>
      </c>
      <c r="J578" s="7" t="s">
        <v>1413</v>
      </c>
      <c r="K578" s="7" t="s">
        <v>47</v>
      </c>
      <c r="L578" s="7" t="s">
        <v>86</v>
      </c>
      <c r="M578" s="7" t="s">
        <v>0</v>
      </c>
      <c r="N578" s="7" t="s">
        <v>1412</v>
      </c>
      <c r="O578" s="7" t="s">
        <v>0</v>
      </c>
      <c r="P578" s="7" t="s">
        <v>1414</v>
      </c>
      <c r="Q578" s="7" t="s">
        <v>1415</v>
      </c>
      <c r="R578" s="7" t="s">
        <v>282</v>
      </c>
      <c r="S578" s="7" t="s">
        <v>0</v>
      </c>
      <c r="T578" s="7" t="s">
        <v>54</v>
      </c>
      <c r="U578" s="7" t="s">
        <v>55</v>
      </c>
      <c r="V578" s="7" t="s">
        <v>56</v>
      </c>
      <c r="W578" s="7" t="s">
        <v>57</v>
      </c>
      <c r="X578" s="7" t="s">
        <v>103</v>
      </c>
      <c r="Y578" s="8">
        <v>45330</v>
      </c>
      <c r="Z578" s="8">
        <v>45657</v>
      </c>
      <c r="AA578" s="7" t="s">
        <v>0</v>
      </c>
      <c r="AB578" s="7" t="s">
        <v>1419</v>
      </c>
      <c r="AC578" s="7" t="s">
        <v>65</v>
      </c>
      <c r="AD578" s="7" t="s">
        <v>0</v>
      </c>
      <c r="AE578" s="7" t="s">
        <v>0</v>
      </c>
      <c r="AF578" s="7" t="s">
        <v>0</v>
      </c>
      <c r="AG578" s="7" t="s">
        <v>0</v>
      </c>
      <c r="AH578" s="9" t="s">
        <v>0</v>
      </c>
      <c r="AI578" s="9" t="s">
        <v>0</v>
      </c>
      <c r="AJ578" s="9" t="s">
        <v>0</v>
      </c>
      <c r="AK578" s="7" t="s">
        <v>61</v>
      </c>
      <c r="AL578" s="7" t="s">
        <v>61</v>
      </c>
      <c r="AM578" s="7" t="s">
        <v>0</v>
      </c>
      <c r="AN578" s="7" t="s">
        <v>0</v>
      </c>
      <c r="AO578" s="7" t="s">
        <v>0</v>
      </c>
      <c r="AP578" s="7" t="s">
        <v>0</v>
      </c>
      <c r="AQ578" s="7" t="s">
        <v>61</v>
      </c>
      <c r="AR578" s="7" t="s">
        <v>0</v>
      </c>
      <c r="AS578" s="10" t="str">
        <f>HYPERLINK("https://tessa.gazprom-neft.local/edo/card/9021a465-dece-47ad-99e8-638990bceee6", "https://tessa.gazprom-neft.local/edo/card/9021a465-dece-47ad-99e8-638990bceee6")</f>
        <v>https://tessa.gazprom-neft.local/edo/card/9021a465-dece-47ad-99e8-638990bceee6</v>
      </c>
    </row>
    <row r="579" spans="1:45" x14ac:dyDescent="0.25">
      <c r="A579" s="6" t="s">
        <v>44</v>
      </c>
      <c r="B579" s="7" t="s">
        <v>830</v>
      </c>
      <c r="C579" s="7" t="s">
        <v>67</v>
      </c>
      <c r="D579" s="8">
        <v>45328</v>
      </c>
      <c r="E579" s="8" t="s">
        <v>0</v>
      </c>
      <c r="F579" s="16" t="s">
        <v>831</v>
      </c>
      <c r="G579" s="7" t="s">
        <v>832</v>
      </c>
      <c r="H579" s="7" t="s">
        <v>825</v>
      </c>
      <c r="I579" s="7" t="s">
        <v>0</v>
      </c>
      <c r="J579" s="7" t="s">
        <v>271</v>
      </c>
      <c r="K579" s="7" t="s">
        <v>47</v>
      </c>
      <c r="L579" s="7" t="s">
        <v>48</v>
      </c>
      <c r="M579" s="7" t="s">
        <v>0</v>
      </c>
      <c r="N579" s="7" t="s">
        <v>824</v>
      </c>
      <c r="O579" s="7" t="s">
        <v>0</v>
      </c>
      <c r="P579" s="7" t="s">
        <v>826</v>
      </c>
      <c r="Q579" s="7" t="s">
        <v>827</v>
      </c>
      <c r="R579" s="7" t="s">
        <v>828</v>
      </c>
      <c r="S579" s="7" t="s">
        <v>0</v>
      </c>
      <c r="T579" s="7" t="s">
        <v>54</v>
      </c>
      <c r="U579" s="7" t="s">
        <v>188</v>
      </c>
      <c r="V579" s="7" t="s">
        <v>187</v>
      </c>
      <c r="W579" s="7" t="s">
        <v>829</v>
      </c>
      <c r="X579" s="7" t="s">
        <v>223</v>
      </c>
      <c r="Y579" s="8">
        <v>45328</v>
      </c>
      <c r="Z579" s="8" t="s">
        <v>0</v>
      </c>
      <c r="AA579" s="7" t="s">
        <v>224</v>
      </c>
      <c r="AB579" s="7" t="s">
        <v>64</v>
      </c>
      <c r="AC579" s="7" t="s">
        <v>65</v>
      </c>
      <c r="AD579" s="7" t="s">
        <v>0</v>
      </c>
      <c r="AE579" s="7" t="s">
        <v>0</v>
      </c>
      <c r="AF579" s="7" t="s">
        <v>0</v>
      </c>
      <c r="AG579" s="7" t="s">
        <v>0</v>
      </c>
      <c r="AH579" s="9" t="s">
        <v>0</v>
      </c>
      <c r="AI579" s="9" t="s">
        <v>0</v>
      </c>
      <c r="AJ579" s="9" t="s">
        <v>0</v>
      </c>
      <c r="AK579" s="7" t="s">
        <v>61</v>
      </c>
      <c r="AL579" s="7" t="s">
        <v>61</v>
      </c>
      <c r="AM579" s="7" t="s">
        <v>0</v>
      </c>
      <c r="AN579" s="7" t="s">
        <v>0</v>
      </c>
      <c r="AO579" s="7" t="s">
        <v>0</v>
      </c>
      <c r="AP579" s="7" t="s">
        <v>0</v>
      </c>
      <c r="AQ579" s="7" t="s">
        <v>61</v>
      </c>
      <c r="AR579" s="7" t="s">
        <v>0</v>
      </c>
      <c r="AS579" s="10" t="str">
        <f>HYPERLINK("https://tessa.gazprom-neft.local/edo/card/9c6c4721-fbe9-4c8b-81e6-acf3458c3b7a", "https://tessa.gazprom-neft.local/edo/card/9c6c4721-fbe9-4c8b-81e6-acf3458c3b7a")</f>
        <v>https://tessa.gazprom-neft.local/edo/card/9c6c4721-fbe9-4c8b-81e6-acf3458c3b7a</v>
      </c>
    </row>
    <row r="580" spans="1:45" hidden="1" x14ac:dyDescent="0.25">
      <c r="A580" s="6" t="s">
        <v>44</v>
      </c>
      <c r="B580" s="7" t="s">
        <v>8206</v>
      </c>
      <c r="C580" s="7" t="s">
        <v>67</v>
      </c>
      <c r="D580" s="8">
        <v>45328</v>
      </c>
      <c r="E580" s="8" t="s">
        <v>0</v>
      </c>
      <c r="F580" s="16" t="s">
        <v>8207</v>
      </c>
      <c r="G580" s="7" t="s">
        <v>8208</v>
      </c>
      <c r="H580" s="7" t="s">
        <v>0</v>
      </c>
      <c r="I580" s="7" t="s">
        <v>8204</v>
      </c>
      <c r="J580" s="7" t="s">
        <v>8204</v>
      </c>
      <c r="K580" s="7" t="s">
        <v>47</v>
      </c>
      <c r="L580" s="7" t="s">
        <v>96</v>
      </c>
      <c r="M580" s="7" t="s">
        <v>0</v>
      </c>
      <c r="N580" s="7" t="s">
        <v>8203</v>
      </c>
      <c r="O580" s="7" t="s">
        <v>0</v>
      </c>
      <c r="P580" s="7" t="s">
        <v>6539</v>
      </c>
      <c r="Q580" s="7" t="s">
        <v>8205</v>
      </c>
      <c r="R580" s="7" t="s">
        <v>53</v>
      </c>
      <c r="S580" s="7" t="s">
        <v>53</v>
      </c>
      <c r="T580" s="7" t="s">
        <v>54</v>
      </c>
      <c r="U580" s="7" t="s">
        <v>55</v>
      </c>
      <c r="V580" s="7" t="s">
        <v>56</v>
      </c>
      <c r="W580" s="7" t="s">
        <v>57</v>
      </c>
      <c r="X580" s="7" t="s">
        <v>58</v>
      </c>
      <c r="Y580" s="8">
        <v>45328</v>
      </c>
      <c r="Z580" s="8" t="s">
        <v>0</v>
      </c>
      <c r="AA580" s="7" t="s">
        <v>59</v>
      </c>
      <c r="AB580" s="7" t="s">
        <v>500</v>
      </c>
      <c r="AC580" s="7" t="s">
        <v>79</v>
      </c>
      <c r="AD580" s="7" t="s">
        <v>80</v>
      </c>
      <c r="AE580" s="7" t="s">
        <v>82</v>
      </c>
      <c r="AF580" s="7" t="s">
        <v>0</v>
      </c>
      <c r="AG580" s="7" t="s">
        <v>0</v>
      </c>
      <c r="AH580" s="9" t="s">
        <v>13474</v>
      </c>
      <c r="AI580" s="9" t="s">
        <v>13475</v>
      </c>
      <c r="AJ580" s="9" t="s">
        <v>13476</v>
      </c>
      <c r="AK580" s="7" t="s">
        <v>61</v>
      </c>
      <c r="AL580" s="7" t="s">
        <v>61</v>
      </c>
      <c r="AM580" s="7" t="s">
        <v>0</v>
      </c>
      <c r="AN580" s="7" t="s">
        <v>0</v>
      </c>
      <c r="AO580" s="7" t="s">
        <v>0</v>
      </c>
      <c r="AP580" s="7" t="s">
        <v>0</v>
      </c>
      <c r="AQ580" s="7" t="s">
        <v>61</v>
      </c>
      <c r="AR580" s="7" t="s">
        <v>0</v>
      </c>
      <c r="AS580" s="10" t="str">
        <f>HYPERLINK("https://tessa.gazprom-neft.local/edo/card/85c2f3e1-8adc-43b2-8502-a74423aa31cc", "https://tessa.gazprom-neft.local/edo/card/85c2f3e1-8adc-43b2-8502-a74423aa31cc")</f>
        <v>https://tessa.gazprom-neft.local/edo/card/85c2f3e1-8adc-43b2-8502-a74423aa31cc</v>
      </c>
    </row>
    <row r="581" spans="1:45" hidden="1" x14ac:dyDescent="0.25">
      <c r="A581" s="6" t="s">
        <v>44</v>
      </c>
      <c r="B581" s="7" t="s">
        <v>1153</v>
      </c>
      <c r="C581" s="7" t="s">
        <v>67</v>
      </c>
      <c r="D581" s="8">
        <v>45327</v>
      </c>
      <c r="E581" s="8" t="s">
        <v>0</v>
      </c>
      <c r="F581" s="16" t="s">
        <v>1154</v>
      </c>
      <c r="G581" s="7" t="s">
        <v>1155</v>
      </c>
      <c r="H581" s="7" t="s">
        <v>0</v>
      </c>
      <c r="I581" s="7" t="s">
        <v>1151</v>
      </c>
      <c r="J581" s="7" t="s">
        <v>1151</v>
      </c>
      <c r="K581" s="7" t="s">
        <v>47</v>
      </c>
      <c r="L581" s="7" t="s">
        <v>96</v>
      </c>
      <c r="M581" s="7" t="s">
        <v>0</v>
      </c>
      <c r="N581" s="7" t="s">
        <v>1150</v>
      </c>
      <c r="O581" s="7" t="s">
        <v>0</v>
      </c>
      <c r="P581" s="7" t="s">
        <v>1040</v>
      </c>
      <c r="Q581" s="7" t="s">
        <v>1152</v>
      </c>
      <c r="R581" s="7" t="s">
        <v>1139</v>
      </c>
      <c r="S581" s="7" t="s">
        <v>0</v>
      </c>
      <c r="T581" s="7" t="s">
        <v>54</v>
      </c>
      <c r="U581" s="7" t="s">
        <v>362</v>
      </c>
      <c r="V581" s="7" t="s">
        <v>112</v>
      </c>
      <c r="W581" s="7" t="s">
        <v>57</v>
      </c>
      <c r="X581" s="7" t="s">
        <v>103</v>
      </c>
      <c r="Y581" s="8">
        <v>45327</v>
      </c>
      <c r="Z581" s="8">
        <v>45534</v>
      </c>
      <c r="AA581" s="7" t="s">
        <v>113</v>
      </c>
      <c r="AB581" s="7" t="s">
        <v>979</v>
      </c>
      <c r="AC581" s="7" t="s">
        <v>65</v>
      </c>
      <c r="AD581" s="7" t="s">
        <v>0</v>
      </c>
      <c r="AE581" s="7" t="s">
        <v>0</v>
      </c>
      <c r="AF581" s="7" t="s">
        <v>0</v>
      </c>
      <c r="AG581" s="7" t="s">
        <v>0</v>
      </c>
      <c r="AH581" s="9" t="s">
        <v>0</v>
      </c>
      <c r="AI581" s="9" t="s">
        <v>0</v>
      </c>
      <c r="AJ581" s="9" t="s">
        <v>0</v>
      </c>
      <c r="AK581" s="7" t="s">
        <v>61</v>
      </c>
      <c r="AL581" s="7" t="s">
        <v>61</v>
      </c>
      <c r="AM581" s="7" t="s">
        <v>0</v>
      </c>
      <c r="AN581" s="7" t="s">
        <v>0</v>
      </c>
      <c r="AO581" s="7" t="s">
        <v>0</v>
      </c>
      <c r="AP581" s="7" t="s">
        <v>0</v>
      </c>
      <c r="AQ581" s="7" t="s">
        <v>61</v>
      </c>
      <c r="AR581" s="7" t="s">
        <v>0</v>
      </c>
      <c r="AS581" s="10" t="str">
        <f>HYPERLINK("https://tessa.gazprom-neft.local/edo/card/1d4918d5-3866-4a93-8b6b-5813eb219575", "https://tessa.gazprom-neft.local/edo/card/1d4918d5-3866-4a93-8b6b-5813eb219575")</f>
        <v>https://tessa.gazprom-neft.local/edo/card/1d4918d5-3866-4a93-8b6b-5813eb219575</v>
      </c>
    </row>
    <row r="582" spans="1:45" hidden="1" x14ac:dyDescent="0.25">
      <c r="A582" s="6" t="s">
        <v>44</v>
      </c>
      <c r="B582" s="7" t="s">
        <v>1173</v>
      </c>
      <c r="C582" s="7" t="s">
        <v>67</v>
      </c>
      <c r="D582" s="8">
        <v>45327</v>
      </c>
      <c r="E582" s="8" t="s">
        <v>0</v>
      </c>
      <c r="F582" s="16" t="s">
        <v>1174</v>
      </c>
      <c r="G582" s="7" t="s">
        <v>1175</v>
      </c>
      <c r="H582" s="7" t="s">
        <v>0</v>
      </c>
      <c r="I582" s="7" t="s">
        <v>1169</v>
      </c>
      <c r="J582" s="7" t="s">
        <v>1169</v>
      </c>
      <c r="K582" s="7" t="s">
        <v>47</v>
      </c>
      <c r="L582" s="7" t="s">
        <v>96</v>
      </c>
      <c r="M582" s="7" t="s">
        <v>0</v>
      </c>
      <c r="N582" s="7" t="s">
        <v>1168</v>
      </c>
      <c r="O582" s="7" t="s">
        <v>0</v>
      </c>
      <c r="P582" s="7" t="s">
        <v>1170</v>
      </c>
      <c r="Q582" s="7" t="s">
        <v>1171</v>
      </c>
      <c r="R582" s="7" t="s">
        <v>1172</v>
      </c>
      <c r="S582" s="7" t="s">
        <v>1172</v>
      </c>
      <c r="T582" s="7" t="s">
        <v>54</v>
      </c>
      <c r="U582" s="7" t="s">
        <v>307</v>
      </c>
      <c r="V582" s="7" t="s">
        <v>126</v>
      </c>
      <c r="W582" s="7" t="s">
        <v>57</v>
      </c>
      <c r="X582" s="7" t="s">
        <v>103</v>
      </c>
      <c r="Y582" s="8">
        <v>45327</v>
      </c>
      <c r="Z582" s="8">
        <v>45382</v>
      </c>
      <c r="AA582" s="7" t="s">
        <v>200</v>
      </c>
      <c r="AB582" s="7" t="s">
        <v>130</v>
      </c>
      <c r="AC582" s="7" t="s">
        <v>79</v>
      </c>
      <c r="AD582" s="7" t="s">
        <v>80</v>
      </c>
      <c r="AE582" s="7" t="s">
        <v>118</v>
      </c>
      <c r="AF582" s="7" t="s">
        <v>0</v>
      </c>
      <c r="AG582" s="7" t="s">
        <v>0</v>
      </c>
      <c r="AH582" s="9" t="s">
        <v>10942</v>
      </c>
      <c r="AI582" s="9" t="s">
        <v>10942</v>
      </c>
      <c r="AJ582" s="9">
        <v>0</v>
      </c>
      <c r="AK582" s="7" t="s">
        <v>61</v>
      </c>
      <c r="AL582" s="7" t="s">
        <v>61</v>
      </c>
      <c r="AM582" s="7" t="s">
        <v>0</v>
      </c>
      <c r="AN582" s="7" t="s">
        <v>0</v>
      </c>
      <c r="AO582" s="7" t="s">
        <v>0</v>
      </c>
      <c r="AP582" s="7" t="s">
        <v>0</v>
      </c>
      <c r="AQ582" s="7" t="s">
        <v>61</v>
      </c>
      <c r="AR582" s="7" t="s">
        <v>0</v>
      </c>
      <c r="AS582" s="10" t="str">
        <f>HYPERLINK("https://tessa.gazprom-neft.local/edo/card/b85c1930-7151-4ba9-b7a9-a609e6b003f6", "https://tessa.gazprom-neft.local/edo/card/b85c1930-7151-4ba9-b7a9-a609e6b003f6")</f>
        <v>https://tessa.gazprom-neft.local/edo/card/b85c1930-7151-4ba9-b7a9-a609e6b003f6</v>
      </c>
    </row>
    <row r="583" spans="1:45" hidden="1" x14ac:dyDescent="0.25">
      <c r="A583" s="6" t="s">
        <v>44</v>
      </c>
      <c r="B583" s="7" t="s">
        <v>1173</v>
      </c>
      <c r="C583" s="7" t="s">
        <v>67</v>
      </c>
      <c r="D583" s="8">
        <v>45327</v>
      </c>
      <c r="E583" s="8" t="s">
        <v>0</v>
      </c>
      <c r="F583" s="16" t="s">
        <v>1174</v>
      </c>
      <c r="G583" s="7" t="s">
        <v>1175</v>
      </c>
      <c r="H583" s="7" t="s">
        <v>0</v>
      </c>
      <c r="I583" s="7" t="s">
        <v>1220</v>
      </c>
      <c r="J583" s="7" t="s">
        <v>1220</v>
      </c>
      <c r="K583" s="7" t="s">
        <v>85</v>
      </c>
      <c r="L583" s="7" t="s">
        <v>86</v>
      </c>
      <c r="M583" s="7" t="s">
        <v>83</v>
      </c>
      <c r="N583" s="7" t="s">
        <v>1219</v>
      </c>
      <c r="O583" s="7" t="s">
        <v>0</v>
      </c>
      <c r="P583" s="7" t="s">
        <v>83</v>
      </c>
      <c r="Q583" s="7" t="s">
        <v>1221</v>
      </c>
      <c r="R583" s="7" t="s">
        <v>1172</v>
      </c>
      <c r="S583" s="7" t="s">
        <v>1172</v>
      </c>
      <c r="T583" s="7" t="s">
        <v>54</v>
      </c>
      <c r="U583" s="7" t="s">
        <v>307</v>
      </c>
      <c r="V583" s="7" t="s">
        <v>126</v>
      </c>
      <c r="W583" s="7" t="s">
        <v>57</v>
      </c>
      <c r="X583" s="7" t="s">
        <v>103</v>
      </c>
      <c r="Y583" s="8">
        <v>45327</v>
      </c>
      <c r="Z583" s="8">
        <v>46446</v>
      </c>
      <c r="AA583" s="7" t="s">
        <v>200</v>
      </c>
      <c r="AB583" s="7" t="s">
        <v>94</v>
      </c>
      <c r="AC583" s="7" t="s">
        <v>65</v>
      </c>
      <c r="AD583" s="7" t="s">
        <v>0</v>
      </c>
      <c r="AE583" s="7" t="s">
        <v>0</v>
      </c>
      <c r="AF583" s="7" t="s">
        <v>0</v>
      </c>
      <c r="AG583" s="7" t="s">
        <v>0</v>
      </c>
      <c r="AH583" s="9" t="s">
        <v>0</v>
      </c>
      <c r="AI583" s="9" t="s">
        <v>0</v>
      </c>
      <c r="AJ583" s="9" t="s">
        <v>0</v>
      </c>
      <c r="AK583" s="7" t="s">
        <v>61</v>
      </c>
      <c r="AL583" s="7" t="s">
        <v>61</v>
      </c>
      <c r="AM583" s="7" t="s">
        <v>0</v>
      </c>
      <c r="AN583" s="7" t="s">
        <v>0</v>
      </c>
      <c r="AO583" s="7" t="s">
        <v>0</v>
      </c>
      <c r="AP583" s="7" t="s">
        <v>0</v>
      </c>
      <c r="AQ583" s="7" t="s">
        <v>61</v>
      </c>
      <c r="AR583" s="7" t="s">
        <v>0</v>
      </c>
      <c r="AS583" s="10" t="str">
        <f>HYPERLINK("https://tessa.gazprom-neft.local/edo/card/24ba6e9d-0428-40b3-a01f-cc81149dfee6", "https://tessa.gazprom-neft.local/edo/card/24ba6e9d-0428-40b3-a01f-cc81149dfee6")</f>
        <v>https://tessa.gazprom-neft.local/edo/card/24ba6e9d-0428-40b3-a01f-cc81149dfee6</v>
      </c>
    </row>
    <row r="584" spans="1:45" hidden="1" x14ac:dyDescent="0.25">
      <c r="A584" s="6" t="s">
        <v>44</v>
      </c>
      <c r="B584" s="7" t="s">
        <v>715</v>
      </c>
      <c r="C584" s="7" t="s">
        <v>67</v>
      </c>
      <c r="D584" s="8">
        <v>45323</v>
      </c>
      <c r="E584" s="8" t="s">
        <v>0</v>
      </c>
      <c r="F584" s="16" t="s">
        <v>716</v>
      </c>
      <c r="G584" s="7" t="s">
        <v>717</v>
      </c>
      <c r="H584" s="7" t="s">
        <v>710</v>
      </c>
      <c r="I584" s="7" t="s">
        <v>0</v>
      </c>
      <c r="J584" s="7" t="s">
        <v>331</v>
      </c>
      <c r="K584" s="7" t="s">
        <v>47</v>
      </c>
      <c r="L584" s="7" t="s">
        <v>709</v>
      </c>
      <c r="M584" s="7" t="s">
        <v>0</v>
      </c>
      <c r="N584" s="7" t="s">
        <v>744</v>
      </c>
      <c r="O584" s="7" t="s">
        <v>0</v>
      </c>
      <c r="P584" s="7" t="s">
        <v>745</v>
      </c>
      <c r="Q584" s="7" t="s">
        <v>746</v>
      </c>
      <c r="R584" s="7" t="s">
        <v>714</v>
      </c>
      <c r="S584" s="7" t="s">
        <v>0</v>
      </c>
      <c r="T584" s="7" t="s">
        <v>54</v>
      </c>
      <c r="U584" s="7" t="s">
        <v>101</v>
      </c>
      <c r="V584" s="7" t="s">
        <v>168</v>
      </c>
      <c r="W584" s="7" t="s">
        <v>74</v>
      </c>
      <c r="X584" s="7" t="s">
        <v>103</v>
      </c>
      <c r="Y584" s="8">
        <v>45323</v>
      </c>
      <c r="Z584" s="8">
        <v>45382</v>
      </c>
      <c r="AA584" s="7" t="s">
        <v>169</v>
      </c>
      <c r="AB584" s="7" t="s">
        <v>64</v>
      </c>
      <c r="AC584" s="7" t="s">
        <v>79</v>
      </c>
      <c r="AD584" s="7" t="s">
        <v>144</v>
      </c>
      <c r="AE584" s="7" t="s">
        <v>82</v>
      </c>
      <c r="AF584" s="7" t="s">
        <v>0</v>
      </c>
      <c r="AG584" s="7" t="s">
        <v>0</v>
      </c>
      <c r="AH584" s="9" t="s">
        <v>10820</v>
      </c>
      <c r="AI584" s="9" t="s">
        <v>10821</v>
      </c>
      <c r="AJ584" s="9" t="s">
        <v>10822</v>
      </c>
      <c r="AK584" s="7" t="s">
        <v>61</v>
      </c>
      <c r="AL584" s="7" t="s">
        <v>61</v>
      </c>
      <c r="AM584" s="7" t="s">
        <v>0</v>
      </c>
      <c r="AN584" s="7" t="s">
        <v>0</v>
      </c>
      <c r="AO584" s="7" t="s">
        <v>0</v>
      </c>
      <c r="AP584" s="7" t="s">
        <v>0</v>
      </c>
      <c r="AQ584" s="7" t="s">
        <v>61</v>
      </c>
      <c r="AR584" s="7" t="s">
        <v>0</v>
      </c>
      <c r="AS584" s="10" t="str">
        <f>HYPERLINK("https://tessa.gazprom-neft.local/edo/card/84c2a5fe-4ff6-43d2-a6bb-ac34df253d98", "https://tessa.gazprom-neft.local/edo/card/84c2a5fe-4ff6-43d2-a6bb-ac34df253d98")</f>
        <v>https://tessa.gazprom-neft.local/edo/card/84c2a5fe-4ff6-43d2-a6bb-ac34df253d98</v>
      </c>
    </row>
    <row r="585" spans="1:45" hidden="1" x14ac:dyDescent="0.25">
      <c r="A585" s="6" t="s">
        <v>44</v>
      </c>
      <c r="B585" s="7" t="s">
        <v>661</v>
      </c>
      <c r="C585" s="7" t="s">
        <v>67</v>
      </c>
      <c r="D585" s="8">
        <v>45323</v>
      </c>
      <c r="E585" s="8" t="s">
        <v>0</v>
      </c>
      <c r="F585" s="16" t="s">
        <v>662</v>
      </c>
      <c r="G585" s="7" t="s">
        <v>663</v>
      </c>
      <c r="H585" s="7" t="s">
        <v>0</v>
      </c>
      <c r="I585" s="7" t="s">
        <v>876</v>
      </c>
      <c r="J585" s="7" t="s">
        <v>876</v>
      </c>
      <c r="K585" s="7" t="s">
        <v>47</v>
      </c>
      <c r="L585" s="7" t="s">
        <v>96</v>
      </c>
      <c r="M585" s="7" t="s">
        <v>0</v>
      </c>
      <c r="N585" s="7" t="s">
        <v>875</v>
      </c>
      <c r="O585" s="7" t="s">
        <v>0</v>
      </c>
      <c r="P585" s="7" t="s">
        <v>877</v>
      </c>
      <c r="Q585" s="7" t="s">
        <v>878</v>
      </c>
      <c r="R585" s="7" t="s">
        <v>338</v>
      </c>
      <c r="S585" s="7" t="s">
        <v>859</v>
      </c>
      <c r="T585" s="7" t="s">
        <v>54</v>
      </c>
      <c r="U585" s="7" t="s">
        <v>283</v>
      </c>
      <c r="V585" s="7" t="s">
        <v>308</v>
      </c>
      <c r="W585" s="7" t="s">
        <v>74</v>
      </c>
      <c r="X585" s="7" t="s">
        <v>103</v>
      </c>
      <c r="Y585" s="8">
        <v>45323</v>
      </c>
      <c r="Z585" s="8">
        <v>47118</v>
      </c>
      <c r="AA585" s="7" t="s">
        <v>309</v>
      </c>
      <c r="AB585" s="7" t="s">
        <v>64</v>
      </c>
      <c r="AC585" s="7" t="s">
        <v>79</v>
      </c>
      <c r="AD585" s="7" t="s">
        <v>80</v>
      </c>
      <c r="AE585" s="7" t="s">
        <v>82</v>
      </c>
      <c r="AF585" s="7" t="s">
        <v>0</v>
      </c>
      <c r="AG585" s="7" t="s">
        <v>879</v>
      </c>
      <c r="AH585" s="9" t="s">
        <v>10851</v>
      </c>
      <c r="AI585" s="9" t="s">
        <v>10852</v>
      </c>
      <c r="AJ585" s="9" t="s">
        <v>10853</v>
      </c>
      <c r="AK585" s="7" t="s">
        <v>81</v>
      </c>
      <c r="AL585" s="7" t="s">
        <v>61</v>
      </c>
      <c r="AM585" s="7" t="s">
        <v>0</v>
      </c>
      <c r="AN585" s="7" t="s">
        <v>0</v>
      </c>
      <c r="AO585" s="7" t="s">
        <v>0</v>
      </c>
      <c r="AP585" s="7" t="s">
        <v>0</v>
      </c>
      <c r="AQ585" s="7" t="s">
        <v>61</v>
      </c>
      <c r="AR585" s="7" t="s">
        <v>0</v>
      </c>
      <c r="AS585" s="10" t="str">
        <f>HYPERLINK("https://tessa.gazprom-neft.local/edo/card/41c014a5-0bcb-4295-a617-23498e78c8db", "https://tessa.gazprom-neft.local/edo/card/41c014a5-0bcb-4295-a617-23498e78c8db")</f>
        <v>https://tessa.gazprom-neft.local/edo/card/41c014a5-0bcb-4295-a617-23498e78c8db</v>
      </c>
    </row>
    <row r="586" spans="1:45" hidden="1" x14ac:dyDescent="0.25">
      <c r="A586" s="6" t="s">
        <v>44</v>
      </c>
      <c r="B586" s="7" t="s">
        <v>60</v>
      </c>
      <c r="C586" s="7" t="s">
        <v>67</v>
      </c>
      <c r="D586" s="8">
        <v>45323</v>
      </c>
      <c r="E586" s="8" t="s">
        <v>0</v>
      </c>
      <c r="F586" s="16" t="s">
        <v>62</v>
      </c>
      <c r="G586" s="7" t="s">
        <v>63</v>
      </c>
      <c r="H586" s="7" t="s">
        <v>0</v>
      </c>
      <c r="I586" s="7" t="s">
        <v>7586</v>
      </c>
      <c r="J586" s="7" t="s">
        <v>7586</v>
      </c>
      <c r="K586" s="7" t="s">
        <v>47</v>
      </c>
      <c r="L586" s="7" t="s">
        <v>96</v>
      </c>
      <c r="M586" s="7" t="s">
        <v>0</v>
      </c>
      <c r="N586" s="7" t="s">
        <v>7585</v>
      </c>
      <c r="O586" s="7" t="s">
        <v>0</v>
      </c>
      <c r="P586" s="7" t="s">
        <v>7587</v>
      </c>
      <c r="Q586" s="7" t="s">
        <v>7588</v>
      </c>
      <c r="R586" s="7" t="s">
        <v>2079</v>
      </c>
      <c r="S586" s="7" t="s">
        <v>2079</v>
      </c>
      <c r="T586" s="7" t="s">
        <v>54</v>
      </c>
      <c r="U586" s="7" t="s">
        <v>55</v>
      </c>
      <c r="V586" s="7" t="s">
        <v>56</v>
      </c>
      <c r="W586" s="7" t="s">
        <v>57</v>
      </c>
      <c r="X586" s="7" t="s">
        <v>103</v>
      </c>
      <c r="Y586" s="8">
        <v>45323</v>
      </c>
      <c r="Z586" s="8">
        <v>45380</v>
      </c>
      <c r="AA586" s="7" t="s">
        <v>59</v>
      </c>
      <c r="AB586" s="7" t="s">
        <v>64</v>
      </c>
      <c r="AC586" s="7" t="s">
        <v>79</v>
      </c>
      <c r="AD586" s="7" t="s">
        <v>80</v>
      </c>
      <c r="AE586" s="7" t="s">
        <v>82</v>
      </c>
      <c r="AF586" s="7" t="s">
        <v>0</v>
      </c>
      <c r="AG586" s="7" t="s">
        <v>0</v>
      </c>
      <c r="AH586" s="9" t="s">
        <v>13229</v>
      </c>
      <c r="AI586" s="9" t="s">
        <v>13230</v>
      </c>
      <c r="AJ586" s="9" t="s">
        <v>13231</v>
      </c>
      <c r="AK586" s="7" t="s">
        <v>81</v>
      </c>
      <c r="AL586" s="7" t="s">
        <v>61</v>
      </c>
      <c r="AM586" s="7" t="s">
        <v>0</v>
      </c>
      <c r="AN586" s="7" t="s">
        <v>0</v>
      </c>
      <c r="AO586" s="7" t="s">
        <v>0</v>
      </c>
      <c r="AP586" s="7" t="s">
        <v>0</v>
      </c>
      <c r="AQ586" s="7" t="s">
        <v>61</v>
      </c>
      <c r="AR586" s="7" t="s">
        <v>0</v>
      </c>
      <c r="AS586" s="10" t="str">
        <f>HYPERLINK("https://tessa.gazprom-neft.local/edo/card/60e41a83-6794-49dd-a316-d8c573063baa", "https://tessa.gazprom-neft.local/edo/card/60e41a83-6794-49dd-a316-d8c573063baa")</f>
        <v>https://tessa.gazprom-neft.local/edo/card/60e41a83-6794-49dd-a316-d8c573063baa</v>
      </c>
    </row>
    <row r="587" spans="1:45" x14ac:dyDescent="0.25">
      <c r="A587" s="6" t="s">
        <v>44</v>
      </c>
      <c r="B587" s="7" t="s">
        <v>8166</v>
      </c>
      <c r="C587" s="7" t="s">
        <v>67</v>
      </c>
      <c r="D587" s="8">
        <v>45323</v>
      </c>
      <c r="E587" s="8" t="s">
        <v>0</v>
      </c>
      <c r="F587" s="16" t="s">
        <v>8167</v>
      </c>
      <c r="G587" s="7" t="s">
        <v>8168</v>
      </c>
      <c r="H587" s="7" t="s">
        <v>8163</v>
      </c>
      <c r="I587" s="7" t="s">
        <v>0</v>
      </c>
      <c r="J587" s="7" t="s">
        <v>271</v>
      </c>
      <c r="K587" s="7" t="s">
        <v>47</v>
      </c>
      <c r="L587" s="7" t="s">
        <v>48</v>
      </c>
      <c r="M587" s="7" t="s">
        <v>0</v>
      </c>
      <c r="N587" s="7" t="s">
        <v>8615</v>
      </c>
      <c r="O587" s="7" t="s">
        <v>0</v>
      </c>
      <c r="P587" s="7" t="s">
        <v>8616</v>
      </c>
      <c r="Q587" s="7" t="s">
        <v>8165</v>
      </c>
      <c r="R587" s="7" t="s">
        <v>2178</v>
      </c>
      <c r="S587" s="7" t="s">
        <v>2178</v>
      </c>
      <c r="T587" s="7" t="s">
        <v>54</v>
      </c>
      <c r="U587" s="7" t="s">
        <v>605</v>
      </c>
      <c r="V587" s="7" t="s">
        <v>126</v>
      </c>
      <c r="W587" s="7" t="s">
        <v>57</v>
      </c>
      <c r="X587" s="7" t="s">
        <v>223</v>
      </c>
      <c r="Y587" s="8">
        <v>45323</v>
      </c>
      <c r="Z587" s="8" t="s">
        <v>0</v>
      </c>
      <c r="AA587" s="7" t="s">
        <v>224</v>
      </c>
      <c r="AB587" s="7" t="s">
        <v>3666</v>
      </c>
      <c r="AC587" s="7" t="s">
        <v>79</v>
      </c>
      <c r="AD587" s="7" t="s">
        <v>80</v>
      </c>
      <c r="AE587" s="7" t="s">
        <v>889</v>
      </c>
      <c r="AF587" s="7" t="s">
        <v>0</v>
      </c>
      <c r="AG587" s="7" t="s">
        <v>0</v>
      </c>
      <c r="AH587" s="9" t="s">
        <v>13622</v>
      </c>
      <c r="AI587" s="9" t="s">
        <v>13622</v>
      </c>
      <c r="AJ587" s="9">
        <v>0</v>
      </c>
      <c r="AK587" s="7" t="s">
        <v>61</v>
      </c>
      <c r="AL587" s="7" t="s">
        <v>61</v>
      </c>
      <c r="AM587" s="7" t="s">
        <v>0</v>
      </c>
      <c r="AN587" s="7" t="s">
        <v>0</v>
      </c>
      <c r="AO587" s="7" t="s">
        <v>0</v>
      </c>
      <c r="AP587" s="7" t="s">
        <v>0</v>
      </c>
      <c r="AQ587" s="7" t="s">
        <v>61</v>
      </c>
      <c r="AR587" s="7" t="s">
        <v>0</v>
      </c>
      <c r="AS587" s="10" t="str">
        <f>HYPERLINK("https://tessa.gazprom-neft.local/edo/card/4c7ebc2f-33c3-4e17-b04c-3d79dc47ca49", "https://tessa.gazprom-neft.local/edo/card/4c7ebc2f-33c3-4e17-b04c-3d79dc47ca49")</f>
        <v>https://tessa.gazprom-neft.local/edo/card/4c7ebc2f-33c3-4e17-b04c-3d79dc47ca49</v>
      </c>
    </row>
    <row r="588" spans="1:45" hidden="1" x14ac:dyDescent="0.25">
      <c r="A588" s="6" t="s">
        <v>44</v>
      </c>
      <c r="B588" s="7" t="s">
        <v>6342</v>
      </c>
      <c r="C588" s="7" t="s">
        <v>67</v>
      </c>
      <c r="D588" s="8">
        <v>45323</v>
      </c>
      <c r="E588" s="8" t="s">
        <v>0</v>
      </c>
      <c r="F588" s="16" t="s">
        <v>6343</v>
      </c>
      <c r="G588" s="7" t="s">
        <v>6344</v>
      </c>
      <c r="H588" s="7" t="s">
        <v>0</v>
      </c>
      <c r="I588" s="7" t="s">
        <v>6339</v>
      </c>
      <c r="J588" s="7" t="s">
        <v>6339</v>
      </c>
      <c r="K588" s="7" t="s">
        <v>85</v>
      </c>
      <c r="L588" s="7" t="s">
        <v>96</v>
      </c>
      <c r="M588" s="7" t="s">
        <v>183</v>
      </c>
      <c r="N588" s="7" t="s">
        <v>9050</v>
      </c>
      <c r="O588" s="7" t="s">
        <v>0</v>
      </c>
      <c r="P588" s="7" t="s">
        <v>183</v>
      </c>
      <c r="Q588" s="7" t="s">
        <v>9051</v>
      </c>
      <c r="R588" s="7" t="s">
        <v>799</v>
      </c>
      <c r="S588" s="7" t="s">
        <v>799</v>
      </c>
      <c r="T588" s="7" t="s">
        <v>54</v>
      </c>
      <c r="U588" s="7" t="s">
        <v>362</v>
      </c>
      <c r="V588" s="7" t="s">
        <v>137</v>
      </c>
      <c r="W588" s="7" t="s">
        <v>57</v>
      </c>
      <c r="X588" s="7" t="s">
        <v>103</v>
      </c>
      <c r="Y588" s="8">
        <v>45323</v>
      </c>
      <c r="Z588" s="8">
        <v>45653</v>
      </c>
      <c r="AA588" s="7" t="s">
        <v>0</v>
      </c>
      <c r="AB588" s="7" t="s">
        <v>192</v>
      </c>
      <c r="AC588" s="7" t="s">
        <v>79</v>
      </c>
      <c r="AD588" s="7" t="s">
        <v>80</v>
      </c>
      <c r="AE588" s="7" t="s">
        <v>193</v>
      </c>
      <c r="AF588" s="7" t="s">
        <v>0</v>
      </c>
      <c r="AG588" s="7" t="s">
        <v>0</v>
      </c>
      <c r="AH588" s="9" t="s">
        <v>13791</v>
      </c>
      <c r="AI588" s="9" t="s">
        <v>13792</v>
      </c>
      <c r="AJ588" s="9" t="s">
        <v>13793</v>
      </c>
      <c r="AK588" s="7" t="s">
        <v>61</v>
      </c>
      <c r="AL588" s="7" t="s">
        <v>61</v>
      </c>
      <c r="AM588" s="7" t="s">
        <v>0</v>
      </c>
      <c r="AN588" s="7" t="s">
        <v>0</v>
      </c>
      <c r="AO588" s="7" t="s">
        <v>0</v>
      </c>
      <c r="AP588" s="7" t="s">
        <v>0</v>
      </c>
      <c r="AQ588" s="7" t="s">
        <v>61</v>
      </c>
      <c r="AR588" s="7" t="s">
        <v>0</v>
      </c>
      <c r="AS588" s="10" t="str">
        <f>HYPERLINK("https://tessa.gazprom-neft.local/edo/card/2fbd90b4-8012-403c-84de-8a6077018189", "https://tessa.gazprom-neft.local/edo/card/2fbd90b4-8012-403c-84de-8a6077018189")</f>
        <v>https://tessa.gazprom-neft.local/edo/card/2fbd90b4-8012-403c-84de-8a6077018189</v>
      </c>
    </row>
    <row r="589" spans="1:45" hidden="1" x14ac:dyDescent="0.25">
      <c r="A589" s="6" t="s">
        <v>44</v>
      </c>
      <c r="B589" s="7" t="s">
        <v>0</v>
      </c>
      <c r="C589" s="7" t="s">
        <v>67</v>
      </c>
      <c r="D589" s="8">
        <v>45323</v>
      </c>
      <c r="E589" s="8" t="s">
        <v>0</v>
      </c>
      <c r="F589" s="16" t="s">
        <v>9065</v>
      </c>
      <c r="G589" s="7" t="s">
        <v>0</v>
      </c>
      <c r="H589" s="7" t="s">
        <v>0</v>
      </c>
      <c r="I589" s="7" t="s">
        <v>9063</v>
      </c>
      <c r="J589" s="7" t="s">
        <v>9063</v>
      </c>
      <c r="K589" s="7" t="s">
        <v>85</v>
      </c>
      <c r="L589" s="7" t="s">
        <v>86</v>
      </c>
      <c r="M589" s="7" t="s">
        <v>523</v>
      </c>
      <c r="N589" s="7" t="s">
        <v>9062</v>
      </c>
      <c r="O589" s="7" t="s">
        <v>0</v>
      </c>
      <c r="P589" s="7" t="s">
        <v>523</v>
      </c>
      <c r="Q589" s="7" t="s">
        <v>9064</v>
      </c>
      <c r="R589" s="7" t="s">
        <v>799</v>
      </c>
      <c r="S589" s="7" t="s">
        <v>0</v>
      </c>
      <c r="T589" s="7" t="s">
        <v>54</v>
      </c>
      <c r="U589" s="7" t="s">
        <v>303</v>
      </c>
      <c r="V589" s="7" t="s">
        <v>91</v>
      </c>
      <c r="W589" s="7" t="s">
        <v>57</v>
      </c>
      <c r="X589" s="7" t="s">
        <v>103</v>
      </c>
      <c r="Y589" s="8">
        <v>45323</v>
      </c>
      <c r="Z589" s="8">
        <v>45653</v>
      </c>
      <c r="AA589" s="7" t="s">
        <v>92</v>
      </c>
      <c r="AB589" s="7" t="s">
        <v>94</v>
      </c>
      <c r="AC589" s="7" t="s">
        <v>65</v>
      </c>
      <c r="AD589" s="7" t="s">
        <v>0</v>
      </c>
      <c r="AE589" s="7" t="s">
        <v>0</v>
      </c>
      <c r="AF589" s="7" t="s">
        <v>0</v>
      </c>
      <c r="AG589" s="7" t="s">
        <v>0</v>
      </c>
      <c r="AH589" s="9" t="s">
        <v>0</v>
      </c>
      <c r="AI589" s="9" t="s">
        <v>0</v>
      </c>
      <c r="AJ589" s="9" t="s">
        <v>0</v>
      </c>
      <c r="AK589" s="7" t="s">
        <v>61</v>
      </c>
      <c r="AL589" s="7" t="s">
        <v>61</v>
      </c>
      <c r="AM589" s="7" t="s">
        <v>0</v>
      </c>
      <c r="AN589" s="7" t="s">
        <v>0</v>
      </c>
      <c r="AO589" s="7" t="s">
        <v>0</v>
      </c>
      <c r="AP589" s="7" t="s">
        <v>0</v>
      </c>
      <c r="AQ589" s="7" t="s">
        <v>61</v>
      </c>
      <c r="AR589" s="7" t="s">
        <v>0</v>
      </c>
      <c r="AS589" s="10" t="str">
        <f>HYPERLINK("https://tessa.gazprom-neft.local/edo/card/29480971-d70f-493d-8211-6551b0c7e06d", "https://tessa.gazprom-neft.local/edo/card/29480971-d70f-493d-8211-6551b0c7e06d")</f>
        <v>https://tessa.gazprom-neft.local/edo/card/29480971-d70f-493d-8211-6551b0c7e06d</v>
      </c>
    </row>
    <row r="590" spans="1:45" hidden="1" x14ac:dyDescent="0.25">
      <c r="A590" s="6" t="s">
        <v>44</v>
      </c>
      <c r="B590" s="7" t="s">
        <v>0</v>
      </c>
      <c r="C590" s="7" t="s">
        <v>67</v>
      </c>
      <c r="D590" s="8">
        <v>45323</v>
      </c>
      <c r="E590" s="8" t="s">
        <v>0</v>
      </c>
      <c r="F590" s="16" t="s">
        <v>9065</v>
      </c>
      <c r="G590" s="7" t="s">
        <v>0</v>
      </c>
      <c r="H590" s="7" t="s">
        <v>0</v>
      </c>
      <c r="I590" s="7" t="s">
        <v>9072</v>
      </c>
      <c r="J590" s="7" t="s">
        <v>9072</v>
      </c>
      <c r="K590" s="7" t="s">
        <v>47</v>
      </c>
      <c r="L590" s="7" t="s">
        <v>86</v>
      </c>
      <c r="M590" s="7" t="s">
        <v>0</v>
      </c>
      <c r="N590" s="7" t="s">
        <v>9071</v>
      </c>
      <c r="O590" s="7" t="s">
        <v>0</v>
      </c>
      <c r="P590" s="7" t="s">
        <v>9073</v>
      </c>
      <c r="Q590" s="7" t="s">
        <v>9073</v>
      </c>
      <c r="R590" s="7" t="s">
        <v>799</v>
      </c>
      <c r="S590" s="7" t="s">
        <v>0</v>
      </c>
      <c r="T590" s="7" t="s">
        <v>54</v>
      </c>
      <c r="U590" s="7" t="s">
        <v>303</v>
      </c>
      <c r="V590" s="7" t="s">
        <v>91</v>
      </c>
      <c r="W590" s="7" t="s">
        <v>57</v>
      </c>
      <c r="X590" s="7" t="s">
        <v>103</v>
      </c>
      <c r="Y590" s="8">
        <v>45323</v>
      </c>
      <c r="Z590" s="8">
        <v>45653</v>
      </c>
      <c r="AA590" s="7" t="s">
        <v>92</v>
      </c>
      <c r="AB590" s="7" t="s">
        <v>139</v>
      </c>
      <c r="AC590" s="7" t="s">
        <v>65</v>
      </c>
      <c r="AD590" s="7" t="s">
        <v>0</v>
      </c>
      <c r="AE590" s="7" t="s">
        <v>0</v>
      </c>
      <c r="AF590" s="7" t="s">
        <v>0</v>
      </c>
      <c r="AG590" s="7" t="s">
        <v>0</v>
      </c>
      <c r="AH590" s="9" t="s">
        <v>0</v>
      </c>
      <c r="AI590" s="9" t="s">
        <v>0</v>
      </c>
      <c r="AJ590" s="9" t="s">
        <v>0</v>
      </c>
      <c r="AK590" s="7" t="s">
        <v>61</v>
      </c>
      <c r="AL590" s="7" t="s">
        <v>61</v>
      </c>
      <c r="AM590" s="7" t="s">
        <v>0</v>
      </c>
      <c r="AN590" s="7" t="s">
        <v>0</v>
      </c>
      <c r="AO590" s="7" t="s">
        <v>0</v>
      </c>
      <c r="AP590" s="7" t="s">
        <v>0</v>
      </c>
      <c r="AQ590" s="7" t="s">
        <v>61</v>
      </c>
      <c r="AR590" s="7" t="s">
        <v>0</v>
      </c>
      <c r="AS590" s="10" t="str">
        <f>HYPERLINK("https://tessa.gazprom-neft.local/edo/card/f57e3ff2-4590-4498-84d1-51326bd2c037", "https://tessa.gazprom-neft.local/edo/card/f57e3ff2-4590-4498-84d1-51326bd2c037")</f>
        <v>https://tessa.gazprom-neft.local/edo/card/f57e3ff2-4590-4498-84d1-51326bd2c037</v>
      </c>
    </row>
    <row r="591" spans="1:45" hidden="1" x14ac:dyDescent="0.25">
      <c r="A591" s="6" t="s">
        <v>44</v>
      </c>
      <c r="B591" s="7" t="s">
        <v>639</v>
      </c>
      <c r="C591" s="7" t="s">
        <v>67</v>
      </c>
      <c r="D591" s="8">
        <v>45322</v>
      </c>
      <c r="E591" s="8" t="s">
        <v>0</v>
      </c>
      <c r="F591" s="16" t="s">
        <v>640</v>
      </c>
      <c r="G591" s="7" t="s">
        <v>641</v>
      </c>
      <c r="H591" s="7" t="s">
        <v>0</v>
      </c>
      <c r="I591" s="7" t="s">
        <v>637</v>
      </c>
      <c r="J591" s="7" t="s">
        <v>637</v>
      </c>
      <c r="K591" s="7" t="s">
        <v>85</v>
      </c>
      <c r="L591" s="7" t="s">
        <v>96</v>
      </c>
      <c r="M591" s="7" t="s">
        <v>635</v>
      </c>
      <c r="N591" s="7" t="s">
        <v>636</v>
      </c>
      <c r="O591" s="7" t="s">
        <v>0</v>
      </c>
      <c r="P591" s="7" t="s">
        <v>635</v>
      </c>
      <c r="Q591" s="7" t="s">
        <v>638</v>
      </c>
      <c r="R591" s="7" t="s">
        <v>422</v>
      </c>
      <c r="S591" s="7" t="s">
        <v>0</v>
      </c>
      <c r="T591" s="7" t="s">
        <v>54</v>
      </c>
      <c r="U591" s="7" t="s">
        <v>362</v>
      </c>
      <c r="V591" s="7" t="s">
        <v>126</v>
      </c>
      <c r="W591" s="7" t="s">
        <v>74</v>
      </c>
      <c r="X591" s="7" t="s">
        <v>103</v>
      </c>
      <c r="Y591" s="8">
        <v>45322</v>
      </c>
      <c r="Z591" s="8">
        <v>47118</v>
      </c>
      <c r="AA591" s="7" t="s">
        <v>200</v>
      </c>
      <c r="AB591" s="7" t="s">
        <v>130</v>
      </c>
      <c r="AC591" s="7" t="s">
        <v>79</v>
      </c>
      <c r="AD591" s="7" t="s">
        <v>144</v>
      </c>
      <c r="AE591" s="7" t="s">
        <v>82</v>
      </c>
      <c r="AF591" s="7" t="s">
        <v>0</v>
      </c>
      <c r="AG591" s="7" t="s">
        <v>0</v>
      </c>
      <c r="AH591" s="9" t="s">
        <v>10795</v>
      </c>
      <c r="AI591" s="9" t="s">
        <v>10796</v>
      </c>
      <c r="AJ591" s="9" t="s">
        <v>10797</v>
      </c>
      <c r="AK591" s="7" t="s">
        <v>61</v>
      </c>
      <c r="AL591" s="7" t="s">
        <v>61</v>
      </c>
      <c r="AM591" s="7" t="s">
        <v>0</v>
      </c>
      <c r="AN591" s="7" t="s">
        <v>0</v>
      </c>
      <c r="AO591" s="7" t="s">
        <v>0</v>
      </c>
      <c r="AP591" s="7" t="s">
        <v>0</v>
      </c>
      <c r="AQ591" s="7" t="s">
        <v>61</v>
      </c>
      <c r="AR591" s="7" t="s">
        <v>0</v>
      </c>
      <c r="AS591" s="10" t="str">
        <f>HYPERLINK("https://tessa.gazprom-neft.local/edo/card/bd29757f-835c-41f5-a75d-a83415e0154a", "https://tessa.gazprom-neft.local/edo/card/bd29757f-835c-41f5-a75d-a83415e0154a")</f>
        <v>https://tessa.gazprom-neft.local/edo/card/bd29757f-835c-41f5-a75d-a83415e0154a</v>
      </c>
    </row>
    <row r="592" spans="1:45" hidden="1" x14ac:dyDescent="0.25">
      <c r="A592" s="6" t="s">
        <v>44</v>
      </c>
      <c r="B592" s="7" t="s">
        <v>565</v>
      </c>
      <c r="C592" s="7" t="s">
        <v>67</v>
      </c>
      <c r="D592" s="8">
        <v>45322</v>
      </c>
      <c r="E592" s="8" t="s">
        <v>0</v>
      </c>
      <c r="F592" s="16" t="s">
        <v>653</v>
      </c>
      <c r="G592" s="7" t="s">
        <v>567</v>
      </c>
      <c r="H592" s="7" t="s">
        <v>0</v>
      </c>
      <c r="I592" s="7" t="s">
        <v>651</v>
      </c>
      <c r="J592" s="7" t="s">
        <v>651</v>
      </c>
      <c r="K592" s="7" t="s">
        <v>85</v>
      </c>
      <c r="L592" s="7" t="s">
        <v>96</v>
      </c>
      <c r="M592" s="7" t="s">
        <v>635</v>
      </c>
      <c r="N592" s="7" t="s">
        <v>650</v>
      </c>
      <c r="O592" s="7" t="s">
        <v>0</v>
      </c>
      <c r="P592" s="7" t="s">
        <v>635</v>
      </c>
      <c r="Q592" s="7" t="s">
        <v>652</v>
      </c>
      <c r="R592" s="7" t="s">
        <v>422</v>
      </c>
      <c r="S592" s="7" t="s">
        <v>0</v>
      </c>
      <c r="T592" s="7" t="s">
        <v>54</v>
      </c>
      <c r="U592" s="7" t="s">
        <v>362</v>
      </c>
      <c r="V592" s="7" t="s">
        <v>126</v>
      </c>
      <c r="W592" s="7" t="s">
        <v>74</v>
      </c>
      <c r="X592" s="7" t="s">
        <v>103</v>
      </c>
      <c r="Y592" s="8">
        <v>44957</v>
      </c>
      <c r="Z592" s="8">
        <v>47118</v>
      </c>
      <c r="AA592" s="7" t="s">
        <v>200</v>
      </c>
      <c r="AB592" s="7" t="s">
        <v>130</v>
      </c>
      <c r="AC592" s="7" t="s">
        <v>79</v>
      </c>
      <c r="AD592" s="7" t="s">
        <v>144</v>
      </c>
      <c r="AE592" s="7" t="s">
        <v>82</v>
      </c>
      <c r="AF592" s="7" t="s">
        <v>0</v>
      </c>
      <c r="AG592" s="7" t="s">
        <v>0</v>
      </c>
      <c r="AH592" s="9" t="s">
        <v>10798</v>
      </c>
      <c r="AI592" s="9" t="s">
        <v>10799</v>
      </c>
      <c r="AJ592" s="9" t="s">
        <v>10800</v>
      </c>
      <c r="AK592" s="7" t="s">
        <v>61</v>
      </c>
      <c r="AL592" s="7" t="s">
        <v>61</v>
      </c>
      <c r="AM592" s="7" t="s">
        <v>0</v>
      </c>
      <c r="AN592" s="7" t="s">
        <v>0</v>
      </c>
      <c r="AO592" s="7" t="s">
        <v>0</v>
      </c>
      <c r="AP592" s="7" t="s">
        <v>0</v>
      </c>
      <c r="AQ592" s="7" t="s">
        <v>61</v>
      </c>
      <c r="AR592" s="7" t="s">
        <v>0</v>
      </c>
      <c r="AS592" s="10" t="str">
        <f>HYPERLINK("https://tessa.gazprom-neft.local/edo/card/922a1ff0-8f68-4a1b-8d74-0918b114a5c3", "https://tessa.gazprom-neft.local/edo/card/922a1ff0-8f68-4a1b-8d74-0918b114a5c3")</f>
        <v>https://tessa.gazprom-neft.local/edo/card/922a1ff0-8f68-4a1b-8d74-0918b114a5c3</v>
      </c>
    </row>
    <row r="593" spans="1:45" hidden="1" x14ac:dyDescent="0.25">
      <c r="A593" s="6" t="s">
        <v>44</v>
      </c>
      <c r="B593" s="7" t="s">
        <v>715</v>
      </c>
      <c r="C593" s="7" t="s">
        <v>67</v>
      </c>
      <c r="D593" s="8">
        <v>45320</v>
      </c>
      <c r="E593" s="8" t="s">
        <v>0</v>
      </c>
      <c r="F593" s="16" t="s">
        <v>716</v>
      </c>
      <c r="G593" s="7" t="s">
        <v>717</v>
      </c>
      <c r="H593" s="7" t="s">
        <v>710</v>
      </c>
      <c r="I593" s="7" t="s">
        <v>0</v>
      </c>
      <c r="J593" s="7" t="s">
        <v>712</v>
      </c>
      <c r="K593" s="7" t="s">
        <v>47</v>
      </c>
      <c r="L593" s="7" t="s">
        <v>709</v>
      </c>
      <c r="M593" s="7" t="s">
        <v>0</v>
      </c>
      <c r="N593" s="7" t="s">
        <v>708</v>
      </c>
      <c r="O593" s="7" t="s">
        <v>0</v>
      </c>
      <c r="P593" s="7" t="s">
        <v>711</v>
      </c>
      <c r="Q593" s="7" t="s">
        <v>713</v>
      </c>
      <c r="R593" s="7" t="s">
        <v>714</v>
      </c>
      <c r="S593" s="7" t="s">
        <v>714</v>
      </c>
      <c r="T593" s="7" t="s">
        <v>54</v>
      </c>
      <c r="U593" s="7" t="s">
        <v>101</v>
      </c>
      <c r="V593" s="7" t="s">
        <v>168</v>
      </c>
      <c r="W593" s="7" t="s">
        <v>74</v>
      </c>
      <c r="X593" s="7" t="s">
        <v>103</v>
      </c>
      <c r="Y593" s="8">
        <v>45320</v>
      </c>
      <c r="Z593" s="8">
        <v>45565</v>
      </c>
      <c r="AA593" s="7" t="s">
        <v>169</v>
      </c>
      <c r="AB593" s="7" t="s">
        <v>64</v>
      </c>
      <c r="AC593" s="7" t="s">
        <v>79</v>
      </c>
      <c r="AD593" s="7" t="s">
        <v>144</v>
      </c>
      <c r="AE593" s="7" t="s">
        <v>82</v>
      </c>
      <c r="AF593" s="7" t="s">
        <v>0</v>
      </c>
      <c r="AG593" s="7" t="s">
        <v>0</v>
      </c>
      <c r="AH593" s="9" t="s">
        <v>10814</v>
      </c>
      <c r="AI593" s="9" t="s">
        <v>10815</v>
      </c>
      <c r="AJ593" s="9" t="s">
        <v>10816</v>
      </c>
      <c r="AK593" s="7" t="s">
        <v>61</v>
      </c>
      <c r="AL593" s="7" t="s">
        <v>61</v>
      </c>
      <c r="AM593" s="7" t="s">
        <v>0</v>
      </c>
      <c r="AN593" s="7" t="s">
        <v>0</v>
      </c>
      <c r="AO593" s="7" t="s">
        <v>0</v>
      </c>
      <c r="AP593" s="7" t="s">
        <v>0</v>
      </c>
      <c r="AQ593" s="7" t="s">
        <v>61</v>
      </c>
      <c r="AR593" s="7" t="s">
        <v>0</v>
      </c>
      <c r="AS593" s="10" t="str">
        <f>HYPERLINK("https://tessa.gazprom-neft.local/edo/card/d9408220-224c-4e64-a6e7-c5d36f68ae70", "https://tessa.gazprom-neft.local/edo/card/d9408220-224c-4e64-a6e7-c5d36f68ae70")</f>
        <v>https://tessa.gazprom-neft.local/edo/card/d9408220-224c-4e64-a6e7-c5d36f68ae70</v>
      </c>
    </row>
    <row r="594" spans="1:45" hidden="1" x14ac:dyDescent="0.25">
      <c r="A594" s="6" t="s">
        <v>44</v>
      </c>
      <c r="B594" s="7" t="s">
        <v>715</v>
      </c>
      <c r="C594" s="7" t="s">
        <v>67</v>
      </c>
      <c r="D594" s="8">
        <v>45320</v>
      </c>
      <c r="E594" s="8" t="s">
        <v>0</v>
      </c>
      <c r="F594" s="16" t="s">
        <v>716</v>
      </c>
      <c r="G594" s="7" t="s">
        <v>717</v>
      </c>
      <c r="H594" s="7" t="s">
        <v>710</v>
      </c>
      <c r="I594" s="7" t="s">
        <v>0</v>
      </c>
      <c r="J594" s="7" t="s">
        <v>316</v>
      </c>
      <c r="K594" s="7" t="s">
        <v>47</v>
      </c>
      <c r="L594" s="7" t="s">
        <v>709</v>
      </c>
      <c r="M594" s="7" t="s">
        <v>0</v>
      </c>
      <c r="N594" s="7" t="s">
        <v>730</v>
      </c>
      <c r="O594" s="7" t="s">
        <v>0</v>
      </c>
      <c r="P594" s="7" t="s">
        <v>731</v>
      </c>
      <c r="Q594" s="7" t="s">
        <v>732</v>
      </c>
      <c r="R594" s="7" t="s">
        <v>714</v>
      </c>
      <c r="S594" s="7" t="s">
        <v>714</v>
      </c>
      <c r="T594" s="7" t="s">
        <v>54</v>
      </c>
      <c r="U594" s="7" t="s">
        <v>101</v>
      </c>
      <c r="V594" s="7" t="s">
        <v>168</v>
      </c>
      <c r="W594" s="7" t="s">
        <v>74</v>
      </c>
      <c r="X594" s="7" t="s">
        <v>103</v>
      </c>
      <c r="Y594" s="8">
        <v>45320</v>
      </c>
      <c r="Z594" s="8">
        <v>45473</v>
      </c>
      <c r="AA594" s="7" t="s">
        <v>169</v>
      </c>
      <c r="AB594" s="7" t="s">
        <v>64</v>
      </c>
      <c r="AC594" s="7" t="s">
        <v>79</v>
      </c>
      <c r="AD594" s="7" t="s">
        <v>144</v>
      </c>
      <c r="AE594" s="7" t="s">
        <v>82</v>
      </c>
      <c r="AF594" s="7" t="s">
        <v>0</v>
      </c>
      <c r="AG594" s="7" t="s">
        <v>0</v>
      </c>
      <c r="AH594" s="9" t="s">
        <v>10817</v>
      </c>
      <c r="AI594" s="9" t="s">
        <v>10818</v>
      </c>
      <c r="AJ594" s="9" t="s">
        <v>10819</v>
      </c>
      <c r="AK594" s="7" t="s">
        <v>61</v>
      </c>
      <c r="AL594" s="7" t="s">
        <v>61</v>
      </c>
      <c r="AM594" s="7" t="s">
        <v>0</v>
      </c>
      <c r="AN594" s="7" t="s">
        <v>0</v>
      </c>
      <c r="AO594" s="7" t="s">
        <v>0</v>
      </c>
      <c r="AP594" s="7" t="s">
        <v>0</v>
      </c>
      <c r="AQ594" s="7" t="s">
        <v>61</v>
      </c>
      <c r="AR594" s="7" t="s">
        <v>0</v>
      </c>
      <c r="AS594" s="10" t="str">
        <f>HYPERLINK("https://tessa.gazprom-neft.local/edo/card/04e07192-e6fe-449f-955a-70a2585adc7d", "https://tessa.gazprom-neft.local/edo/card/04e07192-e6fe-449f-955a-70a2585adc7d")</f>
        <v>https://tessa.gazprom-neft.local/edo/card/04e07192-e6fe-449f-955a-70a2585adc7d</v>
      </c>
    </row>
    <row r="595" spans="1:45" hidden="1" x14ac:dyDescent="0.25">
      <c r="A595" s="6" t="s">
        <v>44</v>
      </c>
      <c r="B595" s="7" t="s">
        <v>942</v>
      </c>
      <c r="C595" s="7" t="s">
        <v>67</v>
      </c>
      <c r="D595" s="8">
        <v>45320</v>
      </c>
      <c r="E595" s="8" t="s">
        <v>0</v>
      </c>
      <c r="F595" s="16" t="s">
        <v>943</v>
      </c>
      <c r="G595" s="7" t="s">
        <v>944</v>
      </c>
      <c r="H595" s="7" t="s">
        <v>0</v>
      </c>
      <c r="I595" s="7" t="s">
        <v>940</v>
      </c>
      <c r="J595" s="7" t="s">
        <v>940</v>
      </c>
      <c r="K595" s="7" t="s">
        <v>85</v>
      </c>
      <c r="L595" s="7" t="s">
        <v>86</v>
      </c>
      <c r="M595" s="7" t="s">
        <v>289</v>
      </c>
      <c r="N595" s="7" t="s">
        <v>939</v>
      </c>
      <c r="O595" s="7" t="s">
        <v>0</v>
      </c>
      <c r="P595" s="7" t="s">
        <v>289</v>
      </c>
      <c r="Q595" s="7" t="s">
        <v>941</v>
      </c>
      <c r="R595" s="7" t="s">
        <v>828</v>
      </c>
      <c r="S595" s="7" t="s">
        <v>0</v>
      </c>
      <c r="T595" s="7" t="s">
        <v>54</v>
      </c>
      <c r="U595" s="7" t="s">
        <v>188</v>
      </c>
      <c r="V595" s="7" t="s">
        <v>340</v>
      </c>
      <c r="W595" s="7" t="s">
        <v>74</v>
      </c>
      <c r="X595" s="7" t="s">
        <v>223</v>
      </c>
      <c r="Y595" s="8">
        <v>45320</v>
      </c>
      <c r="Z595" s="8" t="s">
        <v>0</v>
      </c>
      <c r="AA595" s="7" t="s">
        <v>341</v>
      </c>
      <c r="AB595" s="7" t="s">
        <v>300</v>
      </c>
      <c r="AC595" s="7" t="s">
        <v>65</v>
      </c>
      <c r="AD595" s="7" t="s">
        <v>0</v>
      </c>
      <c r="AE595" s="7" t="s">
        <v>0</v>
      </c>
      <c r="AF595" s="7" t="s">
        <v>0</v>
      </c>
      <c r="AG595" s="7" t="s">
        <v>0</v>
      </c>
      <c r="AH595" s="9" t="s">
        <v>0</v>
      </c>
      <c r="AI595" s="9" t="s">
        <v>0</v>
      </c>
      <c r="AJ595" s="9" t="s">
        <v>0</v>
      </c>
      <c r="AK595" s="7" t="s">
        <v>61</v>
      </c>
      <c r="AL595" s="7" t="s">
        <v>61</v>
      </c>
      <c r="AM595" s="7" t="s">
        <v>0</v>
      </c>
      <c r="AN595" s="7" t="s">
        <v>0</v>
      </c>
      <c r="AO595" s="7" t="s">
        <v>0</v>
      </c>
      <c r="AP595" s="7" t="s">
        <v>0</v>
      </c>
      <c r="AQ595" s="7" t="s">
        <v>61</v>
      </c>
      <c r="AR595" s="7" t="s">
        <v>0</v>
      </c>
      <c r="AS595" s="10" t="str">
        <f>HYPERLINK("https://tessa.gazprom-neft.local/edo/card/776b6480-0406-4535-8fb9-f12bb67d08af", "https://tessa.gazprom-neft.local/edo/card/776b6480-0406-4535-8fb9-f12bb67d08af")</f>
        <v>https://tessa.gazprom-neft.local/edo/card/776b6480-0406-4535-8fb9-f12bb67d08af</v>
      </c>
    </row>
    <row r="596" spans="1:45" hidden="1" x14ac:dyDescent="0.25">
      <c r="A596" s="6" t="s">
        <v>44</v>
      </c>
      <c r="B596" s="7" t="s">
        <v>592</v>
      </c>
      <c r="C596" s="7" t="s">
        <v>67</v>
      </c>
      <c r="D596" s="8">
        <v>45316</v>
      </c>
      <c r="E596" s="8" t="s">
        <v>0</v>
      </c>
      <c r="F596" s="16" t="s">
        <v>593</v>
      </c>
      <c r="G596" s="7" t="s">
        <v>594</v>
      </c>
      <c r="H596" s="7" t="s">
        <v>953</v>
      </c>
      <c r="I596" s="7" t="s">
        <v>0</v>
      </c>
      <c r="J596" s="7" t="s">
        <v>955</v>
      </c>
      <c r="K596" s="7" t="s">
        <v>47</v>
      </c>
      <c r="L596" s="7" t="s">
        <v>239</v>
      </c>
      <c r="M596" s="7" t="s">
        <v>0</v>
      </c>
      <c r="N596" s="7" t="s">
        <v>952</v>
      </c>
      <c r="O596" s="7" t="s">
        <v>0</v>
      </c>
      <c r="P596" s="7" t="s">
        <v>954</v>
      </c>
      <c r="Q596" s="7" t="s">
        <v>589</v>
      </c>
      <c r="R596" s="7" t="s">
        <v>590</v>
      </c>
      <c r="S596" s="7" t="s">
        <v>394</v>
      </c>
      <c r="T596" s="7" t="s">
        <v>54</v>
      </c>
      <c r="U596" s="7" t="s">
        <v>591</v>
      </c>
      <c r="V596" s="7" t="s">
        <v>126</v>
      </c>
      <c r="W596" s="7" t="s">
        <v>74</v>
      </c>
      <c r="X596" s="7" t="s">
        <v>58</v>
      </c>
      <c r="Y596" s="8">
        <v>45316</v>
      </c>
      <c r="Z596" s="8" t="s">
        <v>0</v>
      </c>
      <c r="AA596" s="7" t="s">
        <v>200</v>
      </c>
      <c r="AB596" s="7" t="s">
        <v>387</v>
      </c>
      <c r="AC596" s="7" t="s">
        <v>79</v>
      </c>
      <c r="AD596" s="7" t="s">
        <v>144</v>
      </c>
      <c r="AE596" s="7" t="s">
        <v>82</v>
      </c>
      <c r="AF596" s="7" t="s">
        <v>0</v>
      </c>
      <c r="AG596" s="7" t="s">
        <v>0</v>
      </c>
      <c r="AH596" s="9" t="s">
        <v>10868</v>
      </c>
      <c r="AI596" s="9" t="s">
        <v>10869</v>
      </c>
      <c r="AJ596" s="9" t="s">
        <v>10870</v>
      </c>
      <c r="AK596" s="7" t="s">
        <v>61</v>
      </c>
      <c r="AL596" s="7" t="s">
        <v>61</v>
      </c>
      <c r="AM596" s="7" t="s">
        <v>0</v>
      </c>
      <c r="AN596" s="7" t="s">
        <v>0</v>
      </c>
      <c r="AO596" s="7" t="s">
        <v>0</v>
      </c>
      <c r="AP596" s="7" t="s">
        <v>0</v>
      </c>
      <c r="AQ596" s="7" t="s">
        <v>61</v>
      </c>
      <c r="AR596" s="7" t="s">
        <v>0</v>
      </c>
      <c r="AS596" s="10" t="str">
        <f>HYPERLINK("https://tessa.gazprom-neft.local/edo/card/ab99a5be-3c5c-4293-93e1-80723708deb9", "https://tessa.gazprom-neft.local/edo/card/ab99a5be-3c5c-4293-93e1-80723708deb9")</f>
        <v>https://tessa.gazprom-neft.local/edo/card/ab99a5be-3c5c-4293-93e1-80723708deb9</v>
      </c>
    </row>
    <row r="597" spans="1:45" hidden="1" x14ac:dyDescent="0.25">
      <c r="A597" s="6" t="s">
        <v>44</v>
      </c>
      <c r="B597" s="7" t="s">
        <v>813</v>
      </c>
      <c r="C597" s="7" t="s">
        <v>67</v>
      </c>
      <c r="D597" s="8">
        <v>45314</v>
      </c>
      <c r="E597" s="8" t="s">
        <v>0</v>
      </c>
      <c r="F597" s="16" t="s">
        <v>814</v>
      </c>
      <c r="G597" s="7" t="s">
        <v>815</v>
      </c>
      <c r="H597" s="7" t="s">
        <v>809</v>
      </c>
      <c r="I597" s="7" t="s">
        <v>0</v>
      </c>
      <c r="J597" s="7" t="s">
        <v>51</v>
      </c>
      <c r="K597" s="7" t="s">
        <v>47</v>
      </c>
      <c r="L597" s="7" t="s">
        <v>389</v>
      </c>
      <c r="M597" s="7" t="s">
        <v>0</v>
      </c>
      <c r="N597" s="7" t="s">
        <v>808</v>
      </c>
      <c r="O597" s="7" t="s">
        <v>538</v>
      </c>
      <c r="P597" s="7" t="s">
        <v>810</v>
      </c>
      <c r="Q597" s="7" t="s">
        <v>811</v>
      </c>
      <c r="R597" s="7" t="s">
        <v>393</v>
      </c>
      <c r="S597" s="7" t="s">
        <v>812</v>
      </c>
      <c r="T597" s="7" t="s">
        <v>54</v>
      </c>
      <c r="U597" s="7" t="s">
        <v>55</v>
      </c>
      <c r="V597" s="7" t="s">
        <v>126</v>
      </c>
      <c r="W597" s="7" t="s">
        <v>74</v>
      </c>
      <c r="X597" s="7" t="s">
        <v>58</v>
      </c>
      <c r="Y597" s="8">
        <v>44949</v>
      </c>
      <c r="Z597" s="8" t="s">
        <v>0</v>
      </c>
      <c r="AA597" s="7" t="s">
        <v>200</v>
      </c>
      <c r="AB597" s="7" t="s">
        <v>256</v>
      </c>
      <c r="AC597" s="7" t="s">
        <v>65</v>
      </c>
      <c r="AD597" s="7" t="s">
        <v>80</v>
      </c>
      <c r="AE597" s="7" t="s">
        <v>0</v>
      </c>
      <c r="AF597" s="7" t="s">
        <v>0</v>
      </c>
      <c r="AG597" s="7" t="s">
        <v>0</v>
      </c>
      <c r="AH597" s="9" t="s">
        <v>0</v>
      </c>
      <c r="AI597" s="9" t="s">
        <v>0</v>
      </c>
      <c r="AJ597" s="9" t="s">
        <v>0</v>
      </c>
      <c r="AK597" s="7" t="s">
        <v>61</v>
      </c>
      <c r="AL597" s="7" t="s">
        <v>61</v>
      </c>
      <c r="AM597" s="7" t="s">
        <v>0</v>
      </c>
      <c r="AN597" s="7" t="s">
        <v>0</v>
      </c>
      <c r="AO597" s="7" t="s">
        <v>0</v>
      </c>
      <c r="AP597" s="7" t="s">
        <v>0</v>
      </c>
      <c r="AQ597" s="7" t="s">
        <v>61</v>
      </c>
      <c r="AR597" s="7" t="s">
        <v>0</v>
      </c>
      <c r="AS597" s="10" t="str">
        <f>HYPERLINK("https://tessa.gazprom-neft.local/edo/card/c3989a97-b5ce-46ef-ac77-75a59d92c77b", "https://tessa.gazprom-neft.local/edo/card/c3989a97-b5ce-46ef-ac77-75a59d92c77b")</f>
        <v>https://tessa.gazprom-neft.local/edo/card/c3989a97-b5ce-46ef-ac77-75a59d92c77b</v>
      </c>
    </row>
    <row r="598" spans="1:45" hidden="1" x14ac:dyDescent="0.25">
      <c r="A598" s="6" t="s">
        <v>44</v>
      </c>
      <c r="B598" s="7" t="s">
        <v>450</v>
      </c>
      <c r="C598" s="7" t="s">
        <v>67</v>
      </c>
      <c r="D598" s="8">
        <v>45314</v>
      </c>
      <c r="E598" s="8" t="s">
        <v>0</v>
      </c>
      <c r="F598" s="16" t="s">
        <v>451</v>
      </c>
      <c r="G598" s="7" t="s">
        <v>452</v>
      </c>
      <c r="H598" s="7" t="s">
        <v>861</v>
      </c>
      <c r="I598" s="7" t="s">
        <v>0</v>
      </c>
      <c r="J598" s="7" t="s">
        <v>51</v>
      </c>
      <c r="K598" s="7" t="s">
        <v>47</v>
      </c>
      <c r="L598" s="7" t="s">
        <v>239</v>
      </c>
      <c r="M598" s="7" t="s">
        <v>0</v>
      </c>
      <c r="N598" s="7" t="s">
        <v>860</v>
      </c>
      <c r="O598" s="7" t="s">
        <v>0</v>
      </c>
      <c r="P598" s="7" t="s">
        <v>862</v>
      </c>
      <c r="Q598" s="7" t="s">
        <v>863</v>
      </c>
      <c r="R598" s="7" t="s">
        <v>244</v>
      </c>
      <c r="S598" s="7" t="s">
        <v>0</v>
      </c>
      <c r="T598" s="7" t="s">
        <v>54</v>
      </c>
      <c r="U598" s="7" t="s">
        <v>55</v>
      </c>
      <c r="V598" s="7" t="s">
        <v>864</v>
      </c>
      <c r="W598" s="7" t="s">
        <v>74</v>
      </c>
      <c r="X598" s="7" t="s">
        <v>103</v>
      </c>
      <c r="Y598" s="8">
        <v>45314</v>
      </c>
      <c r="Z598" s="8">
        <v>45382</v>
      </c>
      <c r="AA598" s="7" t="s">
        <v>865</v>
      </c>
      <c r="AB598" s="7" t="s">
        <v>256</v>
      </c>
      <c r="AC598" s="7" t="s">
        <v>79</v>
      </c>
      <c r="AD598" s="7" t="s">
        <v>144</v>
      </c>
      <c r="AE598" s="7" t="s">
        <v>82</v>
      </c>
      <c r="AF598" s="7" t="s">
        <v>0</v>
      </c>
      <c r="AG598" s="7" t="s">
        <v>0</v>
      </c>
      <c r="AH598" s="9" t="s">
        <v>10844</v>
      </c>
      <c r="AI598" s="9" t="s">
        <v>10845</v>
      </c>
      <c r="AJ598" s="9" t="s">
        <v>10846</v>
      </c>
      <c r="AK598" s="7" t="s">
        <v>61</v>
      </c>
      <c r="AL598" s="7" t="s">
        <v>61</v>
      </c>
      <c r="AM598" s="7" t="s">
        <v>0</v>
      </c>
      <c r="AN598" s="7" t="s">
        <v>0</v>
      </c>
      <c r="AO598" s="7" t="s">
        <v>0</v>
      </c>
      <c r="AP598" s="7" t="s">
        <v>0</v>
      </c>
      <c r="AQ598" s="7" t="s">
        <v>61</v>
      </c>
      <c r="AR598" s="7" t="s">
        <v>0</v>
      </c>
      <c r="AS598" s="10" t="str">
        <f>HYPERLINK("https://tessa.gazprom-neft.local/edo/card/16e302ef-a523-4506-89f7-6b9154abc740", "https://tessa.gazprom-neft.local/edo/card/16e302ef-a523-4506-89f7-6b9154abc740")</f>
        <v>https://tessa.gazprom-neft.local/edo/card/16e302ef-a523-4506-89f7-6b9154abc740</v>
      </c>
    </row>
    <row r="599" spans="1:45" hidden="1" x14ac:dyDescent="0.25">
      <c r="A599" s="6" t="s">
        <v>44</v>
      </c>
      <c r="B599" s="7" t="s">
        <v>908</v>
      </c>
      <c r="C599" s="7" t="s">
        <v>67</v>
      </c>
      <c r="D599" s="8">
        <v>45313</v>
      </c>
      <c r="E599" s="8" t="s">
        <v>0</v>
      </c>
      <c r="F599" s="16" t="s">
        <v>909</v>
      </c>
      <c r="G599" s="7" t="s">
        <v>910</v>
      </c>
      <c r="H599" s="7" t="s">
        <v>0</v>
      </c>
      <c r="I599" s="7" t="s">
        <v>904</v>
      </c>
      <c r="J599" s="7" t="s">
        <v>904</v>
      </c>
      <c r="K599" s="7" t="s">
        <v>47</v>
      </c>
      <c r="L599" s="7" t="s">
        <v>96</v>
      </c>
      <c r="M599" s="7" t="s">
        <v>0</v>
      </c>
      <c r="N599" s="7" t="s">
        <v>903</v>
      </c>
      <c r="O599" s="7" t="s">
        <v>0</v>
      </c>
      <c r="P599" s="7" t="s">
        <v>905</v>
      </c>
      <c r="Q599" s="7" t="s">
        <v>906</v>
      </c>
      <c r="R599" s="7" t="s">
        <v>907</v>
      </c>
      <c r="S599" s="7" t="s">
        <v>907</v>
      </c>
      <c r="T599" s="7" t="s">
        <v>54</v>
      </c>
      <c r="U599" s="7" t="s">
        <v>111</v>
      </c>
      <c r="V599" s="7" t="s">
        <v>112</v>
      </c>
      <c r="W599" s="7" t="s">
        <v>57</v>
      </c>
      <c r="X599" s="7" t="s">
        <v>103</v>
      </c>
      <c r="Y599" s="8">
        <v>45267</v>
      </c>
      <c r="Z599" s="8">
        <v>45930</v>
      </c>
      <c r="AA599" s="7" t="s">
        <v>113</v>
      </c>
      <c r="AB599" s="7" t="s">
        <v>161</v>
      </c>
      <c r="AC599" s="7" t="s">
        <v>79</v>
      </c>
      <c r="AD599" s="7" t="s">
        <v>80</v>
      </c>
      <c r="AE599" s="7" t="s">
        <v>472</v>
      </c>
      <c r="AF599" s="7" t="s">
        <v>0</v>
      </c>
      <c r="AG599" s="7" t="s">
        <v>0</v>
      </c>
      <c r="AH599" s="9" t="s">
        <v>10855</v>
      </c>
      <c r="AI599" s="9" t="s">
        <v>10856</v>
      </c>
      <c r="AJ599" s="9" t="s">
        <v>10857</v>
      </c>
      <c r="AK599" s="7" t="s">
        <v>61</v>
      </c>
      <c r="AL599" s="7" t="s">
        <v>61</v>
      </c>
      <c r="AM599" s="7" t="s">
        <v>0</v>
      </c>
      <c r="AN599" s="7" t="s">
        <v>0</v>
      </c>
      <c r="AO599" s="7" t="s">
        <v>0</v>
      </c>
      <c r="AP599" s="7" t="s">
        <v>0</v>
      </c>
      <c r="AQ599" s="7" t="s">
        <v>61</v>
      </c>
      <c r="AR599" s="7" t="s">
        <v>0</v>
      </c>
      <c r="AS599" s="10" t="str">
        <f>HYPERLINK("https://tessa.gazprom-neft.local/edo/card/aff79d96-2c2d-4503-8a32-543d23c0104a", "https://tessa.gazprom-neft.local/edo/card/aff79d96-2c2d-4503-8a32-543d23c0104a")</f>
        <v>https://tessa.gazprom-neft.local/edo/card/aff79d96-2c2d-4503-8a32-543d23c0104a</v>
      </c>
    </row>
    <row r="600" spans="1:45" hidden="1" x14ac:dyDescent="0.25">
      <c r="A600" s="6" t="s">
        <v>44</v>
      </c>
      <c r="B600" s="7" t="s">
        <v>908</v>
      </c>
      <c r="C600" s="7" t="s">
        <v>1701</v>
      </c>
      <c r="D600" s="8">
        <v>45313</v>
      </c>
      <c r="E600" s="8" t="s">
        <v>0</v>
      </c>
      <c r="F600" s="16" t="s">
        <v>909</v>
      </c>
      <c r="G600" s="7" t="s">
        <v>910</v>
      </c>
      <c r="H600" s="7" t="s">
        <v>0</v>
      </c>
      <c r="I600" s="7" t="s">
        <v>1702</v>
      </c>
      <c r="J600" s="7" t="s">
        <v>1702</v>
      </c>
      <c r="K600" s="7" t="s">
        <v>85</v>
      </c>
      <c r="L600" s="7" t="s">
        <v>86</v>
      </c>
      <c r="M600" s="7" t="s">
        <v>289</v>
      </c>
      <c r="N600" s="7" t="s">
        <v>1700</v>
      </c>
      <c r="O600" s="7" t="s">
        <v>0</v>
      </c>
      <c r="P600" s="7" t="s">
        <v>1703</v>
      </c>
      <c r="Q600" s="7" t="s">
        <v>1704</v>
      </c>
      <c r="R600" s="7" t="s">
        <v>1705</v>
      </c>
      <c r="S600" s="7" t="s">
        <v>1705</v>
      </c>
      <c r="T600" s="7" t="s">
        <v>54</v>
      </c>
      <c r="U600" s="7" t="s">
        <v>111</v>
      </c>
      <c r="V600" s="7" t="s">
        <v>112</v>
      </c>
      <c r="W600" s="7" t="s">
        <v>57</v>
      </c>
      <c r="X600" s="7" t="s">
        <v>58</v>
      </c>
      <c r="Y600" s="8">
        <v>45313</v>
      </c>
      <c r="Z600" s="8" t="s">
        <v>0</v>
      </c>
      <c r="AA600" s="7" t="s">
        <v>113</v>
      </c>
      <c r="AB600" s="7" t="s">
        <v>300</v>
      </c>
      <c r="AC600" s="7" t="s">
        <v>65</v>
      </c>
      <c r="AD600" s="7" t="s">
        <v>0</v>
      </c>
      <c r="AE600" s="7" t="s">
        <v>0</v>
      </c>
      <c r="AF600" s="7" t="s">
        <v>0</v>
      </c>
      <c r="AG600" s="7" t="s">
        <v>0</v>
      </c>
      <c r="AH600" s="9" t="s">
        <v>0</v>
      </c>
      <c r="AI600" s="9" t="s">
        <v>0</v>
      </c>
      <c r="AJ600" s="9" t="s">
        <v>0</v>
      </c>
      <c r="AK600" s="7" t="s">
        <v>61</v>
      </c>
      <c r="AL600" s="7" t="s">
        <v>61</v>
      </c>
      <c r="AM600" s="7" t="s">
        <v>0</v>
      </c>
      <c r="AN600" s="7" t="s">
        <v>0</v>
      </c>
      <c r="AO600" s="7" t="s">
        <v>0</v>
      </c>
      <c r="AP600" s="7" t="s">
        <v>0</v>
      </c>
      <c r="AQ600" s="7" t="s">
        <v>61</v>
      </c>
      <c r="AR600" s="7" t="s">
        <v>0</v>
      </c>
      <c r="AS600" s="10" t="str">
        <f>HYPERLINK("https://tessa.gazprom-neft.local/edo/card/ca231887-f2c4-463a-bbd4-81764661f710", "https://tessa.gazprom-neft.local/edo/card/ca231887-f2c4-463a-bbd4-81764661f710")</f>
        <v>https://tessa.gazprom-neft.local/edo/card/ca231887-f2c4-463a-bbd4-81764661f710</v>
      </c>
    </row>
    <row r="601" spans="1:45" hidden="1" x14ac:dyDescent="0.25">
      <c r="A601" s="6" t="s">
        <v>44</v>
      </c>
      <c r="B601" s="7" t="s">
        <v>179</v>
      </c>
      <c r="C601" s="7" t="s">
        <v>67</v>
      </c>
      <c r="D601" s="8">
        <v>45311</v>
      </c>
      <c r="E601" s="8" t="s">
        <v>0</v>
      </c>
      <c r="F601" s="16" t="s">
        <v>180</v>
      </c>
      <c r="G601" s="7" t="s">
        <v>181</v>
      </c>
      <c r="H601" s="7" t="s">
        <v>174</v>
      </c>
      <c r="I601" s="7" t="s">
        <v>0</v>
      </c>
      <c r="J601" s="7" t="s">
        <v>51</v>
      </c>
      <c r="K601" s="7" t="s">
        <v>47</v>
      </c>
      <c r="L601" s="7" t="s">
        <v>239</v>
      </c>
      <c r="M601" s="7" t="s">
        <v>0</v>
      </c>
      <c r="N601" s="7" t="s">
        <v>991</v>
      </c>
      <c r="O601" s="7" t="s">
        <v>0</v>
      </c>
      <c r="P601" s="7" t="s">
        <v>992</v>
      </c>
      <c r="Q601" s="7" t="s">
        <v>993</v>
      </c>
      <c r="R601" s="7" t="s">
        <v>178</v>
      </c>
      <c r="S601" s="7" t="s">
        <v>178</v>
      </c>
      <c r="T601" s="7" t="s">
        <v>54</v>
      </c>
      <c r="U601" s="7" t="s">
        <v>307</v>
      </c>
      <c r="V601" s="7" t="s">
        <v>126</v>
      </c>
      <c r="W601" s="7" t="s">
        <v>74</v>
      </c>
      <c r="X601" s="7" t="s">
        <v>103</v>
      </c>
      <c r="Y601" s="8">
        <v>45311</v>
      </c>
      <c r="Z601" s="8">
        <v>45473</v>
      </c>
      <c r="AA601" s="7" t="s">
        <v>200</v>
      </c>
      <c r="AB601" s="7" t="s">
        <v>130</v>
      </c>
      <c r="AC601" s="7" t="s">
        <v>79</v>
      </c>
      <c r="AD601" s="7" t="s">
        <v>514</v>
      </c>
      <c r="AE601" s="7" t="s">
        <v>82</v>
      </c>
      <c r="AF601" s="7" t="s">
        <v>0</v>
      </c>
      <c r="AG601" s="7" t="s">
        <v>0</v>
      </c>
      <c r="AH601" s="9" t="s">
        <v>10883</v>
      </c>
      <c r="AI601" s="9" t="s">
        <v>10884</v>
      </c>
      <c r="AJ601" s="9" t="s">
        <v>10885</v>
      </c>
      <c r="AK601" s="7" t="s">
        <v>61</v>
      </c>
      <c r="AL601" s="7" t="s">
        <v>61</v>
      </c>
      <c r="AM601" s="7" t="s">
        <v>0</v>
      </c>
      <c r="AN601" s="7" t="s">
        <v>0</v>
      </c>
      <c r="AO601" s="7" t="s">
        <v>0</v>
      </c>
      <c r="AP601" s="7" t="s">
        <v>0</v>
      </c>
      <c r="AQ601" s="7" t="s">
        <v>61</v>
      </c>
      <c r="AR601" s="7" t="s">
        <v>0</v>
      </c>
      <c r="AS601" s="10" t="str">
        <f>HYPERLINK("https://tessa.gazprom-neft.local/edo/card/e85299c5-e9f3-431d-ab20-8405b6508aaa", "https://tessa.gazprom-neft.local/edo/card/e85299c5-e9f3-431d-ab20-8405b6508aaa")</f>
        <v>https://tessa.gazprom-neft.local/edo/card/e85299c5-e9f3-431d-ab20-8405b6508aaa</v>
      </c>
    </row>
    <row r="602" spans="1:45" hidden="1" x14ac:dyDescent="0.25">
      <c r="A602" s="6" t="s">
        <v>44</v>
      </c>
      <c r="B602" s="7" t="s">
        <v>403</v>
      </c>
      <c r="C602" s="7" t="s">
        <v>67</v>
      </c>
      <c r="D602" s="8">
        <v>45310</v>
      </c>
      <c r="E602" s="8" t="s">
        <v>0</v>
      </c>
      <c r="F602" s="16" t="s">
        <v>404</v>
      </c>
      <c r="G602" s="7" t="s">
        <v>405</v>
      </c>
      <c r="H602" s="7" t="s">
        <v>0</v>
      </c>
      <c r="I602" s="7" t="s">
        <v>400</v>
      </c>
      <c r="J602" s="7" t="s">
        <v>400</v>
      </c>
      <c r="K602" s="7" t="s">
        <v>85</v>
      </c>
      <c r="L602" s="7" t="s">
        <v>96</v>
      </c>
      <c r="M602" s="7" t="s">
        <v>398</v>
      </c>
      <c r="N602" s="7" t="s">
        <v>399</v>
      </c>
      <c r="O602" s="7" t="s">
        <v>0</v>
      </c>
      <c r="P602" s="7" t="s">
        <v>401</v>
      </c>
      <c r="Q602" s="7" t="s">
        <v>402</v>
      </c>
      <c r="R602" s="7" t="s">
        <v>361</v>
      </c>
      <c r="S602" s="7" t="s">
        <v>361</v>
      </c>
      <c r="T602" s="7" t="s">
        <v>54</v>
      </c>
      <c r="U602" s="7" t="s">
        <v>362</v>
      </c>
      <c r="V602" s="7" t="s">
        <v>295</v>
      </c>
      <c r="W602" s="7" t="s">
        <v>74</v>
      </c>
      <c r="X602" s="7" t="s">
        <v>103</v>
      </c>
      <c r="Y602" s="8">
        <v>45310</v>
      </c>
      <c r="Z602" s="8">
        <v>45657</v>
      </c>
      <c r="AA602" s="7" t="s">
        <v>296</v>
      </c>
      <c r="AB602" s="7" t="s">
        <v>366</v>
      </c>
      <c r="AC602" s="7" t="s">
        <v>278</v>
      </c>
      <c r="AD602" s="7" t="s">
        <v>367</v>
      </c>
      <c r="AE602" s="7" t="s">
        <v>82</v>
      </c>
      <c r="AF602" s="7" t="s">
        <v>0</v>
      </c>
      <c r="AG602" s="7" t="s">
        <v>0</v>
      </c>
      <c r="AH602" s="9" t="s">
        <v>10734</v>
      </c>
      <c r="AI602" s="9" t="s">
        <v>10735</v>
      </c>
      <c r="AJ602" s="9" t="s">
        <v>10736</v>
      </c>
      <c r="AK602" s="7" t="s">
        <v>61</v>
      </c>
      <c r="AL602" s="7" t="s">
        <v>61</v>
      </c>
      <c r="AM602" s="7" t="s">
        <v>0</v>
      </c>
      <c r="AN602" s="7" t="s">
        <v>0</v>
      </c>
      <c r="AO602" s="7" t="s">
        <v>0</v>
      </c>
      <c r="AP602" s="7" t="s">
        <v>0</v>
      </c>
      <c r="AQ602" s="7" t="s">
        <v>61</v>
      </c>
      <c r="AR602" s="7" t="s">
        <v>0</v>
      </c>
      <c r="AS602" s="10" t="str">
        <f>HYPERLINK("https://tessa.gazprom-neft.local/edo/card/2276f6ba-2555-446c-87a0-01a6a5d0f614", "https://tessa.gazprom-neft.local/edo/card/2276f6ba-2555-446c-87a0-01a6a5d0f614")</f>
        <v>https://tessa.gazprom-neft.local/edo/card/2276f6ba-2555-446c-87a0-01a6a5d0f614</v>
      </c>
    </row>
    <row r="603" spans="1:45" hidden="1" x14ac:dyDescent="0.25">
      <c r="A603" s="6" t="s">
        <v>44</v>
      </c>
      <c r="B603" s="7" t="s">
        <v>460</v>
      </c>
      <c r="C603" s="7" t="s">
        <v>67</v>
      </c>
      <c r="D603" s="8">
        <v>45310</v>
      </c>
      <c r="E603" s="8" t="s">
        <v>0</v>
      </c>
      <c r="F603" s="16" t="s">
        <v>461</v>
      </c>
      <c r="G603" s="7" t="s">
        <v>462</v>
      </c>
      <c r="H603" s="7" t="s">
        <v>0</v>
      </c>
      <c r="I603" s="7" t="s">
        <v>457</v>
      </c>
      <c r="J603" s="7" t="s">
        <v>457</v>
      </c>
      <c r="K603" s="7" t="s">
        <v>85</v>
      </c>
      <c r="L603" s="7" t="s">
        <v>96</v>
      </c>
      <c r="M603" s="7" t="s">
        <v>183</v>
      </c>
      <c r="N603" s="7" t="s">
        <v>456</v>
      </c>
      <c r="O603" s="7" t="s">
        <v>0</v>
      </c>
      <c r="P603" s="7" t="s">
        <v>183</v>
      </c>
      <c r="Q603" s="7" t="s">
        <v>458</v>
      </c>
      <c r="R603" s="7" t="s">
        <v>459</v>
      </c>
      <c r="S603" s="7" t="s">
        <v>459</v>
      </c>
      <c r="T603" s="7" t="s">
        <v>54</v>
      </c>
      <c r="U603" s="7" t="s">
        <v>111</v>
      </c>
      <c r="V603" s="7" t="s">
        <v>137</v>
      </c>
      <c r="W603" s="7" t="s">
        <v>57</v>
      </c>
      <c r="X603" s="7" t="s">
        <v>103</v>
      </c>
      <c r="Y603" s="8">
        <v>45310</v>
      </c>
      <c r="Z603" s="8">
        <v>45596</v>
      </c>
      <c r="AA603" s="7" t="s">
        <v>0</v>
      </c>
      <c r="AB603" s="7" t="s">
        <v>192</v>
      </c>
      <c r="AC603" s="7" t="s">
        <v>79</v>
      </c>
      <c r="AD603" s="7" t="s">
        <v>80</v>
      </c>
      <c r="AE603" s="7" t="s">
        <v>193</v>
      </c>
      <c r="AF603" s="7" t="s">
        <v>0</v>
      </c>
      <c r="AG603" s="7" t="s">
        <v>0</v>
      </c>
      <c r="AH603" s="9" t="s">
        <v>10749</v>
      </c>
      <c r="AI603" s="9" t="s">
        <v>10750</v>
      </c>
      <c r="AJ603" s="9" t="s">
        <v>10751</v>
      </c>
      <c r="AK603" s="7" t="s">
        <v>61</v>
      </c>
      <c r="AL603" s="7" t="s">
        <v>61</v>
      </c>
      <c r="AM603" s="7" t="s">
        <v>0</v>
      </c>
      <c r="AN603" s="7" t="s">
        <v>0</v>
      </c>
      <c r="AO603" s="7" t="s">
        <v>0</v>
      </c>
      <c r="AP603" s="7" t="s">
        <v>0</v>
      </c>
      <c r="AQ603" s="7" t="s">
        <v>61</v>
      </c>
      <c r="AR603" s="7" t="s">
        <v>0</v>
      </c>
      <c r="AS603" s="10" t="str">
        <f>HYPERLINK("https://tessa.gazprom-neft.local/edo/card/0669a346-9905-4d32-9625-52c1b0f21f5f", "https://tessa.gazprom-neft.local/edo/card/0669a346-9905-4d32-9625-52c1b0f21f5f")</f>
        <v>https://tessa.gazprom-neft.local/edo/card/0669a346-9905-4d32-9625-52c1b0f21f5f</v>
      </c>
    </row>
    <row r="604" spans="1:45" hidden="1" x14ac:dyDescent="0.25">
      <c r="A604" s="6" t="s">
        <v>44</v>
      </c>
      <c r="B604" s="7" t="s">
        <v>460</v>
      </c>
      <c r="C604" s="7" t="s">
        <v>67</v>
      </c>
      <c r="D604" s="8">
        <v>45310</v>
      </c>
      <c r="E604" s="8" t="s">
        <v>0</v>
      </c>
      <c r="F604" s="16" t="s">
        <v>461</v>
      </c>
      <c r="G604" s="7" t="s">
        <v>462</v>
      </c>
      <c r="H604" s="7" t="s">
        <v>0</v>
      </c>
      <c r="I604" s="7" t="s">
        <v>528</v>
      </c>
      <c r="J604" s="7" t="s">
        <v>528</v>
      </c>
      <c r="K604" s="7" t="s">
        <v>85</v>
      </c>
      <c r="L604" s="7" t="s">
        <v>86</v>
      </c>
      <c r="M604" s="7" t="s">
        <v>523</v>
      </c>
      <c r="N604" s="7" t="s">
        <v>527</v>
      </c>
      <c r="O604" s="7" t="s">
        <v>0</v>
      </c>
      <c r="P604" s="7" t="s">
        <v>523</v>
      </c>
      <c r="Q604" s="7" t="s">
        <v>529</v>
      </c>
      <c r="R604" s="7" t="s">
        <v>459</v>
      </c>
      <c r="S604" s="7" t="s">
        <v>459</v>
      </c>
      <c r="T604" s="7" t="s">
        <v>54</v>
      </c>
      <c r="U604" s="7" t="s">
        <v>111</v>
      </c>
      <c r="V604" s="7" t="s">
        <v>137</v>
      </c>
      <c r="W604" s="7" t="s">
        <v>57</v>
      </c>
      <c r="X604" s="7" t="s">
        <v>103</v>
      </c>
      <c r="Y604" s="8">
        <v>45310</v>
      </c>
      <c r="Z604" s="8">
        <v>45596</v>
      </c>
      <c r="AA604" s="7" t="s">
        <v>0</v>
      </c>
      <c r="AB604" s="7" t="s">
        <v>94</v>
      </c>
      <c r="AC604" s="7" t="s">
        <v>65</v>
      </c>
      <c r="AD604" s="7" t="s">
        <v>0</v>
      </c>
      <c r="AE604" s="7" t="s">
        <v>0</v>
      </c>
      <c r="AF604" s="7" t="s">
        <v>0</v>
      </c>
      <c r="AG604" s="7" t="s">
        <v>0</v>
      </c>
      <c r="AH604" s="9" t="s">
        <v>0</v>
      </c>
      <c r="AI604" s="9" t="s">
        <v>0</v>
      </c>
      <c r="AJ604" s="9" t="s">
        <v>0</v>
      </c>
      <c r="AK604" s="7" t="s">
        <v>61</v>
      </c>
      <c r="AL604" s="7" t="s">
        <v>61</v>
      </c>
      <c r="AM604" s="7" t="s">
        <v>0</v>
      </c>
      <c r="AN604" s="7" t="s">
        <v>0</v>
      </c>
      <c r="AO604" s="7" t="s">
        <v>0</v>
      </c>
      <c r="AP604" s="7" t="s">
        <v>0</v>
      </c>
      <c r="AQ604" s="7" t="s">
        <v>61</v>
      </c>
      <c r="AR604" s="7" t="s">
        <v>0</v>
      </c>
      <c r="AS604" s="10" t="str">
        <f>HYPERLINK("https://tessa.gazprom-neft.local/edo/card/4419f253-14ac-40dd-b0e1-df7e8efd8d8c", "https://tessa.gazprom-neft.local/edo/card/4419f253-14ac-40dd-b0e1-df7e8efd8d8c")</f>
        <v>https://tessa.gazprom-neft.local/edo/card/4419f253-14ac-40dd-b0e1-df7e8efd8d8c</v>
      </c>
    </row>
    <row r="605" spans="1:45" hidden="1" x14ac:dyDescent="0.25">
      <c r="A605" s="6" t="s">
        <v>44</v>
      </c>
      <c r="B605" s="7" t="s">
        <v>673</v>
      </c>
      <c r="C605" s="7" t="s">
        <v>67</v>
      </c>
      <c r="D605" s="8">
        <v>45310</v>
      </c>
      <c r="E605" s="8" t="s">
        <v>0</v>
      </c>
      <c r="F605" s="16" t="s">
        <v>674</v>
      </c>
      <c r="G605" s="7" t="s">
        <v>675</v>
      </c>
      <c r="H605" s="7" t="s">
        <v>668</v>
      </c>
      <c r="I605" s="7" t="s">
        <v>0</v>
      </c>
      <c r="J605" s="7" t="s">
        <v>51</v>
      </c>
      <c r="K605" s="7" t="s">
        <v>47</v>
      </c>
      <c r="L605" s="7" t="s">
        <v>389</v>
      </c>
      <c r="M605" s="7" t="s">
        <v>0</v>
      </c>
      <c r="N605" s="7" t="s">
        <v>667</v>
      </c>
      <c r="O605" s="7" t="s">
        <v>51</v>
      </c>
      <c r="P605" s="7" t="s">
        <v>669</v>
      </c>
      <c r="Q605" s="7" t="s">
        <v>670</v>
      </c>
      <c r="R605" s="7" t="s">
        <v>671</v>
      </c>
      <c r="S605" s="7" t="s">
        <v>671</v>
      </c>
      <c r="T605" s="7" t="s">
        <v>54</v>
      </c>
      <c r="U605" s="7" t="s">
        <v>672</v>
      </c>
      <c r="V605" s="7" t="s">
        <v>126</v>
      </c>
      <c r="W605" s="7" t="s">
        <v>74</v>
      </c>
      <c r="X605" s="7" t="s">
        <v>103</v>
      </c>
      <c r="Y605" s="8">
        <v>45310</v>
      </c>
      <c r="Z605" s="8">
        <v>45657</v>
      </c>
      <c r="AA605" s="7" t="s">
        <v>200</v>
      </c>
      <c r="AB605" s="7" t="s">
        <v>130</v>
      </c>
      <c r="AC605" s="7" t="s">
        <v>79</v>
      </c>
      <c r="AD605" s="7" t="s">
        <v>144</v>
      </c>
      <c r="AE605" s="7" t="s">
        <v>82</v>
      </c>
      <c r="AF605" s="7" t="s">
        <v>0</v>
      </c>
      <c r="AG605" s="7" t="s">
        <v>0</v>
      </c>
      <c r="AH605" s="9" t="s">
        <v>10804</v>
      </c>
      <c r="AI605" s="9" t="s">
        <v>10805</v>
      </c>
      <c r="AJ605" s="9" t="s">
        <v>10806</v>
      </c>
      <c r="AK605" s="7" t="s">
        <v>61</v>
      </c>
      <c r="AL605" s="7" t="s">
        <v>61</v>
      </c>
      <c r="AM605" s="7" t="s">
        <v>0</v>
      </c>
      <c r="AN605" s="7" t="s">
        <v>0</v>
      </c>
      <c r="AO605" s="7" t="s">
        <v>0</v>
      </c>
      <c r="AP605" s="7" t="s">
        <v>0</v>
      </c>
      <c r="AQ605" s="7" t="s">
        <v>61</v>
      </c>
      <c r="AR605" s="7" t="s">
        <v>0</v>
      </c>
      <c r="AS605" s="10" t="str">
        <f>HYPERLINK("https://tessa.gazprom-neft.local/edo/card/34f52a8e-8cc3-494e-8ceb-80fa6b4a013b", "https://tessa.gazprom-neft.local/edo/card/34f52a8e-8cc3-494e-8ceb-80fa6b4a013b")</f>
        <v>https://tessa.gazprom-neft.local/edo/card/34f52a8e-8cc3-494e-8ceb-80fa6b4a013b</v>
      </c>
    </row>
    <row r="606" spans="1:45" hidden="1" x14ac:dyDescent="0.25">
      <c r="A606" s="6" t="s">
        <v>44</v>
      </c>
      <c r="B606" s="7" t="s">
        <v>673</v>
      </c>
      <c r="C606" s="7" t="s">
        <v>67</v>
      </c>
      <c r="D606" s="8">
        <v>45310</v>
      </c>
      <c r="E606" s="8" t="s">
        <v>0</v>
      </c>
      <c r="F606" s="16" t="s">
        <v>674</v>
      </c>
      <c r="G606" s="7" t="s">
        <v>675</v>
      </c>
      <c r="H606" s="7" t="s">
        <v>668</v>
      </c>
      <c r="I606" s="7" t="s">
        <v>0</v>
      </c>
      <c r="J606" s="7" t="s">
        <v>271</v>
      </c>
      <c r="K606" s="7" t="s">
        <v>47</v>
      </c>
      <c r="L606" s="7" t="s">
        <v>389</v>
      </c>
      <c r="M606" s="7" t="s">
        <v>0</v>
      </c>
      <c r="N606" s="7" t="s">
        <v>700</v>
      </c>
      <c r="O606" s="7" t="s">
        <v>271</v>
      </c>
      <c r="P606" s="7" t="s">
        <v>701</v>
      </c>
      <c r="Q606" s="7" t="s">
        <v>670</v>
      </c>
      <c r="R606" s="7" t="s">
        <v>671</v>
      </c>
      <c r="S606" s="7" t="s">
        <v>671</v>
      </c>
      <c r="T606" s="7" t="s">
        <v>54</v>
      </c>
      <c r="U606" s="7" t="s">
        <v>672</v>
      </c>
      <c r="V606" s="7" t="s">
        <v>126</v>
      </c>
      <c r="W606" s="7" t="s">
        <v>74</v>
      </c>
      <c r="X606" s="7" t="s">
        <v>103</v>
      </c>
      <c r="Y606" s="8">
        <v>45310</v>
      </c>
      <c r="Z606" s="8">
        <v>45382</v>
      </c>
      <c r="AA606" s="7" t="s">
        <v>200</v>
      </c>
      <c r="AB606" s="7" t="s">
        <v>130</v>
      </c>
      <c r="AC606" s="7" t="s">
        <v>79</v>
      </c>
      <c r="AD606" s="7" t="s">
        <v>144</v>
      </c>
      <c r="AE606" s="7" t="s">
        <v>82</v>
      </c>
      <c r="AF606" s="7" t="s">
        <v>0</v>
      </c>
      <c r="AG606" s="7" t="s">
        <v>0</v>
      </c>
      <c r="AH606" s="9" t="s">
        <v>10811</v>
      </c>
      <c r="AI606" s="9" t="s">
        <v>10812</v>
      </c>
      <c r="AJ606" s="9" t="s">
        <v>10813</v>
      </c>
      <c r="AK606" s="7" t="s">
        <v>61</v>
      </c>
      <c r="AL606" s="7" t="s">
        <v>61</v>
      </c>
      <c r="AM606" s="7" t="s">
        <v>0</v>
      </c>
      <c r="AN606" s="7" t="s">
        <v>0</v>
      </c>
      <c r="AO606" s="7" t="s">
        <v>0</v>
      </c>
      <c r="AP606" s="7" t="s">
        <v>0</v>
      </c>
      <c r="AQ606" s="7" t="s">
        <v>61</v>
      </c>
      <c r="AR606" s="7" t="s">
        <v>0</v>
      </c>
      <c r="AS606" s="10" t="str">
        <f>HYPERLINK("https://tessa.gazprom-neft.local/edo/card/c6716b10-a5e9-4fff-b665-fbc22610a119", "https://tessa.gazprom-neft.local/edo/card/c6716b10-a5e9-4fff-b665-fbc22610a119")</f>
        <v>https://tessa.gazprom-neft.local/edo/card/c6716b10-a5e9-4fff-b665-fbc22610a119</v>
      </c>
    </row>
    <row r="607" spans="1:45" x14ac:dyDescent="0.25">
      <c r="A607" s="6" t="s">
        <v>44</v>
      </c>
      <c r="B607" s="7" t="s">
        <v>363</v>
      </c>
      <c r="C607" s="7" t="s">
        <v>67</v>
      </c>
      <c r="D607" s="8">
        <v>45308</v>
      </c>
      <c r="E607" s="8" t="s">
        <v>0</v>
      </c>
      <c r="F607" s="16" t="s">
        <v>364</v>
      </c>
      <c r="G607" s="7" t="s">
        <v>365</v>
      </c>
      <c r="H607" s="7" t="s">
        <v>358</v>
      </c>
      <c r="I607" s="7" t="s">
        <v>0</v>
      </c>
      <c r="J607" s="7" t="s">
        <v>156</v>
      </c>
      <c r="K607" s="7" t="s">
        <v>47</v>
      </c>
      <c r="L607" s="7" t="s">
        <v>48</v>
      </c>
      <c r="M607" s="7" t="s">
        <v>0</v>
      </c>
      <c r="N607" s="7" t="s">
        <v>357</v>
      </c>
      <c r="O607" s="7" t="s">
        <v>0</v>
      </c>
      <c r="P607" s="7" t="s">
        <v>359</v>
      </c>
      <c r="Q607" s="7" t="s">
        <v>360</v>
      </c>
      <c r="R607" s="7" t="s">
        <v>361</v>
      </c>
      <c r="S607" s="7" t="s">
        <v>361</v>
      </c>
      <c r="T607" s="7" t="s">
        <v>54</v>
      </c>
      <c r="U607" s="7" t="s">
        <v>362</v>
      </c>
      <c r="V607" s="7" t="s">
        <v>295</v>
      </c>
      <c r="W607" s="7" t="s">
        <v>74</v>
      </c>
      <c r="X607" s="7" t="s">
        <v>103</v>
      </c>
      <c r="Y607" s="8">
        <v>45308</v>
      </c>
      <c r="Z607" s="8">
        <v>45412</v>
      </c>
      <c r="AA607" s="7" t="s">
        <v>296</v>
      </c>
      <c r="AB607" s="7" t="s">
        <v>366</v>
      </c>
      <c r="AC607" s="7" t="s">
        <v>278</v>
      </c>
      <c r="AD607" s="7" t="s">
        <v>367</v>
      </c>
      <c r="AE607" s="7" t="s">
        <v>82</v>
      </c>
      <c r="AF607" s="7" t="s">
        <v>0</v>
      </c>
      <c r="AG607" s="7" t="s">
        <v>0</v>
      </c>
      <c r="AH607" s="9" t="s">
        <v>10728</v>
      </c>
      <c r="AI607" s="9" t="s">
        <v>10729</v>
      </c>
      <c r="AJ607" s="9" t="s">
        <v>10730</v>
      </c>
      <c r="AK607" s="7" t="s">
        <v>61</v>
      </c>
      <c r="AL607" s="7" t="s">
        <v>61</v>
      </c>
      <c r="AM607" s="7" t="s">
        <v>0</v>
      </c>
      <c r="AN607" s="7" t="s">
        <v>0</v>
      </c>
      <c r="AO607" s="7" t="s">
        <v>0</v>
      </c>
      <c r="AP607" s="7" t="s">
        <v>0</v>
      </c>
      <c r="AQ607" s="7" t="s">
        <v>61</v>
      </c>
      <c r="AR607" s="7" t="s">
        <v>0</v>
      </c>
      <c r="AS607" s="10" t="str">
        <f>HYPERLINK("https://tessa.gazprom-neft.local/edo/card/cbb99f4f-eb64-459d-a71b-46f7f5bd0263", "https://tessa.gazprom-neft.local/edo/card/cbb99f4f-eb64-459d-a71b-46f7f5bd0263")</f>
        <v>https://tessa.gazprom-neft.local/edo/card/cbb99f4f-eb64-459d-a71b-46f7f5bd0263</v>
      </c>
    </row>
    <row r="608" spans="1:45" hidden="1" x14ac:dyDescent="0.25">
      <c r="A608" s="6" t="s">
        <v>44</v>
      </c>
      <c r="B608" s="7" t="s">
        <v>342</v>
      </c>
      <c r="C608" s="7" t="s">
        <v>67</v>
      </c>
      <c r="D608" s="8">
        <v>45307</v>
      </c>
      <c r="E608" s="8" t="s">
        <v>0</v>
      </c>
      <c r="F608" s="16" t="s">
        <v>343</v>
      </c>
      <c r="G608" s="7" t="s">
        <v>344</v>
      </c>
      <c r="H608" s="7" t="s">
        <v>0</v>
      </c>
      <c r="I608" s="7" t="s">
        <v>336</v>
      </c>
      <c r="J608" s="7" t="s">
        <v>336</v>
      </c>
      <c r="K608" s="7" t="s">
        <v>85</v>
      </c>
      <c r="L608" s="7" t="s">
        <v>86</v>
      </c>
      <c r="M608" s="7" t="s">
        <v>289</v>
      </c>
      <c r="N608" s="7" t="s">
        <v>335</v>
      </c>
      <c r="O608" s="7" t="s">
        <v>0</v>
      </c>
      <c r="P608" s="7" t="s">
        <v>289</v>
      </c>
      <c r="Q608" s="7" t="s">
        <v>337</v>
      </c>
      <c r="R608" s="7" t="s">
        <v>338</v>
      </c>
      <c r="S608" s="7" t="s">
        <v>339</v>
      </c>
      <c r="T608" s="7" t="s">
        <v>54</v>
      </c>
      <c r="U608" s="7" t="s">
        <v>303</v>
      </c>
      <c r="V608" s="7" t="s">
        <v>340</v>
      </c>
      <c r="W608" s="7" t="s">
        <v>74</v>
      </c>
      <c r="X608" s="7" t="s">
        <v>223</v>
      </c>
      <c r="Y608" s="8">
        <v>45307</v>
      </c>
      <c r="Z608" s="8" t="s">
        <v>0</v>
      </c>
      <c r="AA608" s="7" t="s">
        <v>341</v>
      </c>
      <c r="AB608" s="7" t="s">
        <v>300</v>
      </c>
      <c r="AC608" s="7" t="s">
        <v>65</v>
      </c>
      <c r="AD608" s="7" t="s">
        <v>0</v>
      </c>
      <c r="AE608" s="7" t="s">
        <v>0</v>
      </c>
      <c r="AF608" s="7" t="s">
        <v>0</v>
      </c>
      <c r="AG608" s="7" t="s">
        <v>0</v>
      </c>
      <c r="AH608" s="9" t="s">
        <v>0</v>
      </c>
      <c r="AI608" s="9" t="s">
        <v>0</v>
      </c>
      <c r="AJ608" s="9" t="s">
        <v>0</v>
      </c>
      <c r="AK608" s="7" t="s">
        <v>61</v>
      </c>
      <c r="AL608" s="7" t="s">
        <v>61</v>
      </c>
      <c r="AM608" s="7" t="s">
        <v>0</v>
      </c>
      <c r="AN608" s="7" t="s">
        <v>0</v>
      </c>
      <c r="AO608" s="7" t="s">
        <v>0</v>
      </c>
      <c r="AP608" s="7" t="s">
        <v>0</v>
      </c>
      <c r="AQ608" s="7" t="s">
        <v>61</v>
      </c>
      <c r="AR608" s="7" t="s">
        <v>0</v>
      </c>
      <c r="AS608" s="10" t="str">
        <f>HYPERLINK("https://tessa.gazprom-neft.local/edo/card/4dbc19ac-e7bd-4666-bdc6-c58b253bc7d2", "https://tessa.gazprom-neft.local/edo/card/4dbc19ac-e7bd-4666-bdc6-c58b253bc7d2")</f>
        <v>https://tessa.gazprom-neft.local/edo/card/4dbc19ac-e7bd-4666-bdc6-c58b253bc7d2</v>
      </c>
    </row>
    <row r="609" spans="1:45" hidden="1" x14ac:dyDescent="0.25">
      <c r="A609" s="6" t="s">
        <v>44</v>
      </c>
      <c r="B609" s="7" t="s">
        <v>450</v>
      </c>
      <c r="C609" s="7" t="s">
        <v>67</v>
      </c>
      <c r="D609" s="8">
        <v>45307</v>
      </c>
      <c r="E609" s="8" t="s">
        <v>0</v>
      </c>
      <c r="F609" s="16" t="s">
        <v>451</v>
      </c>
      <c r="G609" s="7" t="s">
        <v>452</v>
      </c>
      <c r="H609" s="7" t="s">
        <v>0</v>
      </c>
      <c r="I609" s="7" t="s">
        <v>448</v>
      </c>
      <c r="J609" s="7" t="s">
        <v>448</v>
      </c>
      <c r="K609" s="7" t="s">
        <v>85</v>
      </c>
      <c r="L609" s="7" t="s">
        <v>86</v>
      </c>
      <c r="M609" s="7" t="s">
        <v>289</v>
      </c>
      <c r="N609" s="7" t="s">
        <v>447</v>
      </c>
      <c r="O609" s="7" t="s">
        <v>0</v>
      </c>
      <c r="P609" s="7" t="s">
        <v>289</v>
      </c>
      <c r="Q609" s="7" t="s">
        <v>449</v>
      </c>
      <c r="R609" s="7" t="s">
        <v>422</v>
      </c>
      <c r="S609" s="7" t="s">
        <v>0</v>
      </c>
      <c r="T609" s="7" t="s">
        <v>54</v>
      </c>
      <c r="U609" s="7" t="s">
        <v>362</v>
      </c>
      <c r="V609" s="7" t="s">
        <v>56</v>
      </c>
      <c r="W609" s="7" t="s">
        <v>74</v>
      </c>
      <c r="X609" s="7" t="s">
        <v>223</v>
      </c>
      <c r="Y609" s="8">
        <v>44942</v>
      </c>
      <c r="Z609" s="8" t="s">
        <v>0</v>
      </c>
      <c r="AA609" s="7" t="s">
        <v>0</v>
      </c>
      <c r="AB609" s="7" t="s">
        <v>300</v>
      </c>
      <c r="AC609" s="7" t="s">
        <v>65</v>
      </c>
      <c r="AD609" s="7" t="s">
        <v>0</v>
      </c>
      <c r="AE609" s="7" t="s">
        <v>0</v>
      </c>
      <c r="AF609" s="7" t="s">
        <v>0</v>
      </c>
      <c r="AG609" s="7" t="s">
        <v>0</v>
      </c>
      <c r="AH609" s="9" t="s">
        <v>0</v>
      </c>
      <c r="AI609" s="9" t="s">
        <v>0</v>
      </c>
      <c r="AJ609" s="9" t="s">
        <v>0</v>
      </c>
      <c r="AK609" s="7" t="s">
        <v>61</v>
      </c>
      <c r="AL609" s="7" t="s">
        <v>61</v>
      </c>
      <c r="AM609" s="7" t="s">
        <v>0</v>
      </c>
      <c r="AN609" s="7" t="s">
        <v>0</v>
      </c>
      <c r="AO609" s="7" t="s">
        <v>0</v>
      </c>
      <c r="AP609" s="7" t="s">
        <v>0</v>
      </c>
      <c r="AQ609" s="7" t="s">
        <v>61</v>
      </c>
      <c r="AR609" s="7" t="s">
        <v>0</v>
      </c>
      <c r="AS609" s="10" t="str">
        <f>HYPERLINK("https://tessa.gazprom-neft.local/edo/card/eb6718f3-b8eb-4317-9b55-fc6f51de173f", "https://tessa.gazprom-neft.local/edo/card/eb6718f3-b8eb-4317-9b55-fc6f51de173f")</f>
        <v>https://tessa.gazprom-neft.local/edo/card/eb6718f3-b8eb-4317-9b55-fc6f51de173f</v>
      </c>
    </row>
    <row r="610" spans="1:45" hidden="1" x14ac:dyDescent="0.25">
      <c r="A610" s="6" t="s">
        <v>44</v>
      </c>
      <c r="B610" s="7" t="s">
        <v>592</v>
      </c>
      <c r="C610" s="7" t="s">
        <v>67</v>
      </c>
      <c r="D610" s="8">
        <v>45307</v>
      </c>
      <c r="E610" s="8" t="s">
        <v>0</v>
      </c>
      <c r="F610" s="16" t="s">
        <v>593</v>
      </c>
      <c r="G610" s="7" t="s">
        <v>594</v>
      </c>
      <c r="H610" s="7" t="s">
        <v>587</v>
      </c>
      <c r="I610" s="7" t="s">
        <v>0</v>
      </c>
      <c r="J610" s="7" t="s">
        <v>70</v>
      </c>
      <c r="K610" s="7" t="s">
        <v>47</v>
      </c>
      <c r="L610" s="7" t="s">
        <v>239</v>
      </c>
      <c r="M610" s="7" t="s">
        <v>0</v>
      </c>
      <c r="N610" s="7" t="s">
        <v>586</v>
      </c>
      <c r="O610" s="7" t="s">
        <v>0</v>
      </c>
      <c r="P610" s="7" t="s">
        <v>588</v>
      </c>
      <c r="Q610" s="7" t="s">
        <v>589</v>
      </c>
      <c r="R610" s="7" t="s">
        <v>590</v>
      </c>
      <c r="S610" s="7" t="s">
        <v>394</v>
      </c>
      <c r="T610" s="7" t="s">
        <v>54</v>
      </c>
      <c r="U610" s="7" t="s">
        <v>591</v>
      </c>
      <c r="V610" s="7" t="s">
        <v>126</v>
      </c>
      <c r="W610" s="7" t="s">
        <v>74</v>
      </c>
      <c r="X610" s="7" t="s">
        <v>58</v>
      </c>
      <c r="Y610" s="8">
        <v>45307</v>
      </c>
      <c r="Z610" s="8" t="s">
        <v>0</v>
      </c>
      <c r="AA610" s="7" t="s">
        <v>224</v>
      </c>
      <c r="AB610" s="7" t="s">
        <v>387</v>
      </c>
      <c r="AC610" s="7" t="s">
        <v>79</v>
      </c>
      <c r="AD610" s="7" t="s">
        <v>144</v>
      </c>
      <c r="AE610" s="7" t="s">
        <v>82</v>
      </c>
      <c r="AF610" s="7" t="s">
        <v>0</v>
      </c>
      <c r="AG610" s="7" t="s">
        <v>0</v>
      </c>
      <c r="AH610" s="9" t="s">
        <v>10771</v>
      </c>
      <c r="AI610" s="9" t="s">
        <v>10772</v>
      </c>
      <c r="AJ610" s="9" t="s">
        <v>10773</v>
      </c>
      <c r="AK610" s="7" t="s">
        <v>61</v>
      </c>
      <c r="AL610" s="7" t="s">
        <v>61</v>
      </c>
      <c r="AM610" s="7" t="s">
        <v>0</v>
      </c>
      <c r="AN610" s="7" t="s">
        <v>0</v>
      </c>
      <c r="AO610" s="7" t="s">
        <v>0</v>
      </c>
      <c r="AP610" s="7" t="s">
        <v>0</v>
      </c>
      <c r="AQ610" s="7" t="s">
        <v>61</v>
      </c>
      <c r="AR610" s="7" t="s">
        <v>0</v>
      </c>
      <c r="AS610" s="10" t="str">
        <f>HYPERLINK("https://tessa.gazprom-neft.local/edo/card/2c1c518a-3357-4e1f-a09e-da12c888ff1f", "https://tessa.gazprom-neft.local/edo/card/2c1c518a-3357-4e1f-a09e-da12c888ff1f")</f>
        <v>https://tessa.gazprom-neft.local/edo/card/2c1c518a-3357-4e1f-a09e-da12c888ff1f</v>
      </c>
    </row>
    <row r="611" spans="1:45" hidden="1" x14ac:dyDescent="0.25">
      <c r="A611" s="6" t="s">
        <v>44</v>
      </c>
      <c r="B611" s="7" t="s">
        <v>715</v>
      </c>
      <c r="C611" s="7" t="s">
        <v>67</v>
      </c>
      <c r="D611" s="8">
        <v>45307</v>
      </c>
      <c r="E611" s="8" t="s">
        <v>0</v>
      </c>
      <c r="F611" s="16" t="s">
        <v>716</v>
      </c>
      <c r="G611" s="7" t="s">
        <v>717</v>
      </c>
      <c r="H611" s="7" t="s">
        <v>710</v>
      </c>
      <c r="I611" s="7" t="s">
        <v>0</v>
      </c>
      <c r="J611" s="7" t="s">
        <v>271</v>
      </c>
      <c r="K611" s="7" t="s">
        <v>47</v>
      </c>
      <c r="L611" s="7" t="s">
        <v>389</v>
      </c>
      <c r="M611" s="7" t="s">
        <v>0</v>
      </c>
      <c r="N611" s="7" t="s">
        <v>9032</v>
      </c>
      <c r="O611" s="7" t="s">
        <v>156</v>
      </c>
      <c r="P611" s="7" t="s">
        <v>9033</v>
      </c>
      <c r="Q611" s="7" t="s">
        <v>9034</v>
      </c>
      <c r="R611" s="7" t="s">
        <v>714</v>
      </c>
      <c r="S611" s="7" t="s">
        <v>714</v>
      </c>
      <c r="T611" s="7" t="s">
        <v>54</v>
      </c>
      <c r="U611" s="7" t="s">
        <v>101</v>
      </c>
      <c r="V611" s="7" t="s">
        <v>308</v>
      </c>
      <c r="W611" s="7" t="s">
        <v>74</v>
      </c>
      <c r="X611" s="7" t="s">
        <v>103</v>
      </c>
      <c r="Y611" s="8">
        <v>45273</v>
      </c>
      <c r="Z611" s="8">
        <v>45351</v>
      </c>
      <c r="AA611" s="7" t="s">
        <v>309</v>
      </c>
      <c r="AB611" s="7" t="s">
        <v>64</v>
      </c>
      <c r="AC611" s="7" t="s">
        <v>79</v>
      </c>
      <c r="AD611" s="7" t="s">
        <v>144</v>
      </c>
      <c r="AE611" s="7" t="s">
        <v>82</v>
      </c>
      <c r="AF611" s="7" t="s">
        <v>0</v>
      </c>
      <c r="AG611" s="7" t="s">
        <v>0</v>
      </c>
      <c r="AH611" s="9" t="s">
        <v>13785</v>
      </c>
      <c r="AI611" s="9" t="s">
        <v>13786</v>
      </c>
      <c r="AJ611" s="9" t="s">
        <v>13787</v>
      </c>
      <c r="AK611" s="7" t="s">
        <v>61</v>
      </c>
      <c r="AL611" s="7" t="s">
        <v>61</v>
      </c>
      <c r="AM611" s="7" t="s">
        <v>0</v>
      </c>
      <c r="AN611" s="7" t="s">
        <v>0</v>
      </c>
      <c r="AO611" s="7" t="s">
        <v>0</v>
      </c>
      <c r="AP611" s="7" t="s">
        <v>0</v>
      </c>
      <c r="AQ611" s="7" t="s">
        <v>61</v>
      </c>
      <c r="AR611" s="7" t="s">
        <v>0</v>
      </c>
      <c r="AS611" s="10" t="str">
        <f>HYPERLINK("https://tessa.gazprom-neft.local/edo/card/8007e206-52fd-4a4e-83a9-17c62104d8cf", "https://tessa.gazprom-neft.local/edo/card/8007e206-52fd-4a4e-83a9-17c62104d8cf")</f>
        <v>https://tessa.gazprom-neft.local/edo/card/8007e206-52fd-4a4e-83a9-17c62104d8cf</v>
      </c>
    </row>
    <row r="612" spans="1:45" hidden="1" x14ac:dyDescent="0.25">
      <c r="A612" s="6" t="s">
        <v>44</v>
      </c>
      <c r="B612" s="7" t="s">
        <v>179</v>
      </c>
      <c r="C612" s="7" t="s">
        <v>67</v>
      </c>
      <c r="D612" s="8">
        <v>45306</v>
      </c>
      <c r="E612" s="8" t="s">
        <v>0</v>
      </c>
      <c r="F612" s="16" t="s">
        <v>180</v>
      </c>
      <c r="G612" s="7" t="s">
        <v>181</v>
      </c>
      <c r="H612" s="7" t="s">
        <v>0</v>
      </c>
      <c r="I612" s="7" t="s">
        <v>174</v>
      </c>
      <c r="J612" s="7" t="s">
        <v>174</v>
      </c>
      <c r="K612" s="7" t="s">
        <v>47</v>
      </c>
      <c r="L612" s="7" t="s">
        <v>96</v>
      </c>
      <c r="M612" s="7" t="s">
        <v>0</v>
      </c>
      <c r="N612" s="7" t="s">
        <v>173</v>
      </c>
      <c r="O612" s="7" t="s">
        <v>0</v>
      </c>
      <c r="P612" s="7" t="s">
        <v>175</v>
      </c>
      <c r="Q612" s="7" t="s">
        <v>176</v>
      </c>
      <c r="R612" s="7" t="s">
        <v>177</v>
      </c>
      <c r="S612" s="7" t="s">
        <v>178</v>
      </c>
      <c r="T612" s="7" t="s">
        <v>54</v>
      </c>
      <c r="U612" s="7" t="s">
        <v>125</v>
      </c>
      <c r="V612" s="7" t="s">
        <v>126</v>
      </c>
      <c r="W612" s="7" t="s">
        <v>57</v>
      </c>
      <c r="X612" s="7" t="s">
        <v>103</v>
      </c>
      <c r="Y612" s="8">
        <v>45306</v>
      </c>
      <c r="Z612" s="8">
        <v>46387</v>
      </c>
      <c r="AA612" s="7" t="s">
        <v>0</v>
      </c>
      <c r="AB612" s="7" t="s">
        <v>130</v>
      </c>
      <c r="AC612" s="7" t="s">
        <v>79</v>
      </c>
      <c r="AD612" s="7" t="s">
        <v>80</v>
      </c>
      <c r="AE612" s="7" t="s">
        <v>82</v>
      </c>
      <c r="AF612" s="7" t="s">
        <v>0</v>
      </c>
      <c r="AG612" s="7" t="s">
        <v>182</v>
      </c>
      <c r="AH612" s="9" t="s">
        <v>10705</v>
      </c>
      <c r="AI612" s="9" t="s">
        <v>10706</v>
      </c>
      <c r="AJ612" s="9" t="s">
        <v>10707</v>
      </c>
      <c r="AK612" s="7" t="s">
        <v>81</v>
      </c>
      <c r="AL612" s="7" t="s">
        <v>61</v>
      </c>
      <c r="AM612" s="7" t="s">
        <v>0</v>
      </c>
      <c r="AN612" s="7" t="s">
        <v>0</v>
      </c>
      <c r="AO612" s="7" t="s">
        <v>0</v>
      </c>
      <c r="AP612" s="7" t="s">
        <v>0</v>
      </c>
      <c r="AQ612" s="7" t="s">
        <v>61</v>
      </c>
      <c r="AR612" s="7" t="s">
        <v>0</v>
      </c>
      <c r="AS612" s="10" t="str">
        <f>HYPERLINK("https://tessa.gazprom-neft.local/edo/card/6667c6aa-a96e-43f6-848c-3f88dbae71f8", "https://tessa.gazprom-neft.local/edo/card/6667c6aa-a96e-43f6-848c-3f88dbae71f8")</f>
        <v>https://tessa.gazprom-neft.local/edo/card/6667c6aa-a96e-43f6-848c-3f88dbae71f8</v>
      </c>
    </row>
    <row r="613" spans="1:45" hidden="1" x14ac:dyDescent="0.25">
      <c r="A613" s="6" t="s">
        <v>44</v>
      </c>
      <c r="B613" s="7" t="s">
        <v>179</v>
      </c>
      <c r="C613" s="7" t="s">
        <v>67</v>
      </c>
      <c r="D613" s="8">
        <v>45306</v>
      </c>
      <c r="E613" s="8" t="s">
        <v>0</v>
      </c>
      <c r="F613" s="16" t="s">
        <v>180</v>
      </c>
      <c r="G613" s="7" t="s">
        <v>181</v>
      </c>
      <c r="H613" s="7" t="s">
        <v>0</v>
      </c>
      <c r="I613" s="7" t="s">
        <v>305</v>
      </c>
      <c r="J613" s="7" t="s">
        <v>305</v>
      </c>
      <c r="K613" s="7" t="s">
        <v>85</v>
      </c>
      <c r="L613" s="7" t="s">
        <v>86</v>
      </c>
      <c r="M613" s="7" t="s">
        <v>216</v>
      </c>
      <c r="N613" s="7" t="s">
        <v>304</v>
      </c>
      <c r="O613" s="7" t="s">
        <v>0</v>
      </c>
      <c r="P613" s="7" t="s">
        <v>216</v>
      </c>
      <c r="Q613" s="7" t="s">
        <v>306</v>
      </c>
      <c r="R613" s="7" t="s">
        <v>178</v>
      </c>
      <c r="S613" s="7" t="s">
        <v>178</v>
      </c>
      <c r="T613" s="7" t="s">
        <v>54</v>
      </c>
      <c r="U613" s="7" t="s">
        <v>307</v>
      </c>
      <c r="V613" s="7" t="s">
        <v>308</v>
      </c>
      <c r="W613" s="7" t="s">
        <v>74</v>
      </c>
      <c r="X613" s="7" t="s">
        <v>58</v>
      </c>
      <c r="Y613" s="8">
        <v>45306</v>
      </c>
      <c r="Z613" s="8" t="s">
        <v>0</v>
      </c>
      <c r="AA613" s="7" t="s">
        <v>309</v>
      </c>
      <c r="AB613" s="7" t="s">
        <v>228</v>
      </c>
      <c r="AC613" s="7" t="s">
        <v>65</v>
      </c>
      <c r="AD613" s="7" t="s">
        <v>0</v>
      </c>
      <c r="AE613" s="7" t="s">
        <v>0</v>
      </c>
      <c r="AF613" s="7" t="s">
        <v>0</v>
      </c>
      <c r="AG613" s="7" t="s">
        <v>0</v>
      </c>
      <c r="AH613" s="9" t="s">
        <v>0</v>
      </c>
      <c r="AI613" s="9" t="s">
        <v>0</v>
      </c>
      <c r="AJ613" s="9" t="s">
        <v>0</v>
      </c>
      <c r="AK613" s="7" t="s">
        <v>61</v>
      </c>
      <c r="AL613" s="7" t="s">
        <v>61</v>
      </c>
      <c r="AM613" s="7" t="s">
        <v>0</v>
      </c>
      <c r="AN613" s="7" t="s">
        <v>0</v>
      </c>
      <c r="AO613" s="7" t="s">
        <v>0</v>
      </c>
      <c r="AP613" s="7" t="s">
        <v>0</v>
      </c>
      <c r="AQ613" s="7" t="s">
        <v>61</v>
      </c>
      <c r="AR613" s="7" t="s">
        <v>0</v>
      </c>
      <c r="AS613" s="10" t="str">
        <f>HYPERLINK("https://tessa.gazprom-neft.local/edo/card/72d91296-2efc-4f77-9651-de38dde67b3e", "https://tessa.gazprom-neft.local/edo/card/72d91296-2efc-4f77-9651-de38dde67b3e")</f>
        <v>https://tessa.gazprom-neft.local/edo/card/72d91296-2efc-4f77-9651-de38dde67b3e</v>
      </c>
    </row>
    <row r="614" spans="1:45" hidden="1" x14ac:dyDescent="0.25">
      <c r="A614" s="6" t="s">
        <v>44</v>
      </c>
      <c r="B614" s="7" t="s">
        <v>179</v>
      </c>
      <c r="C614" s="7" t="s">
        <v>67</v>
      </c>
      <c r="D614" s="8">
        <v>45306</v>
      </c>
      <c r="E614" s="8" t="s">
        <v>0</v>
      </c>
      <c r="F614" s="16" t="s">
        <v>180</v>
      </c>
      <c r="G614" s="7" t="s">
        <v>181</v>
      </c>
      <c r="H614" s="7" t="s">
        <v>0</v>
      </c>
      <c r="I614" s="7" t="s">
        <v>319</v>
      </c>
      <c r="J614" s="7" t="s">
        <v>319</v>
      </c>
      <c r="K614" s="7" t="s">
        <v>85</v>
      </c>
      <c r="L614" s="7" t="s">
        <v>86</v>
      </c>
      <c r="M614" s="7" t="s">
        <v>289</v>
      </c>
      <c r="N614" s="7" t="s">
        <v>318</v>
      </c>
      <c r="O614" s="7" t="s">
        <v>0</v>
      </c>
      <c r="P614" s="7" t="s">
        <v>289</v>
      </c>
      <c r="Q614" s="7" t="s">
        <v>320</v>
      </c>
      <c r="R614" s="7" t="s">
        <v>178</v>
      </c>
      <c r="S614" s="7" t="s">
        <v>0</v>
      </c>
      <c r="T614" s="7" t="s">
        <v>54</v>
      </c>
      <c r="U614" s="7" t="s">
        <v>307</v>
      </c>
      <c r="V614" s="7" t="s">
        <v>126</v>
      </c>
      <c r="W614" s="7" t="s">
        <v>74</v>
      </c>
      <c r="X614" s="7" t="s">
        <v>58</v>
      </c>
      <c r="Y614" s="8">
        <v>45302</v>
      </c>
      <c r="Z614" s="8" t="s">
        <v>0</v>
      </c>
      <c r="AA614" s="7" t="s">
        <v>200</v>
      </c>
      <c r="AB614" s="7" t="s">
        <v>300</v>
      </c>
      <c r="AC614" s="7" t="s">
        <v>65</v>
      </c>
      <c r="AD614" s="7" t="s">
        <v>0</v>
      </c>
      <c r="AE614" s="7" t="s">
        <v>0</v>
      </c>
      <c r="AF614" s="7" t="s">
        <v>0</v>
      </c>
      <c r="AG614" s="7" t="s">
        <v>0</v>
      </c>
      <c r="AH614" s="9" t="s">
        <v>0</v>
      </c>
      <c r="AI614" s="9" t="s">
        <v>0</v>
      </c>
      <c r="AJ614" s="9" t="s">
        <v>0</v>
      </c>
      <c r="AK614" s="7" t="s">
        <v>61</v>
      </c>
      <c r="AL614" s="7" t="s">
        <v>61</v>
      </c>
      <c r="AM614" s="7" t="s">
        <v>0</v>
      </c>
      <c r="AN614" s="7" t="s">
        <v>0</v>
      </c>
      <c r="AO614" s="7" t="s">
        <v>0</v>
      </c>
      <c r="AP614" s="7" t="s">
        <v>0</v>
      </c>
      <c r="AQ614" s="7" t="s">
        <v>61</v>
      </c>
      <c r="AR614" s="7" t="s">
        <v>0</v>
      </c>
      <c r="AS614" s="10" t="str">
        <f>HYPERLINK("https://tessa.gazprom-neft.local/edo/card/bb259c58-5579-4cff-a76c-9fc7dd8d3a42", "https://tessa.gazprom-neft.local/edo/card/bb259c58-5579-4cff-a76c-9fc7dd8d3a42")</f>
        <v>https://tessa.gazprom-neft.local/edo/card/bb259c58-5579-4cff-a76c-9fc7dd8d3a42</v>
      </c>
    </row>
    <row r="615" spans="1:45" hidden="1" x14ac:dyDescent="0.25">
      <c r="A615" s="6" t="s">
        <v>44</v>
      </c>
      <c r="B615" s="7" t="s">
        <v>179</v>
      </c>
      <c r="C615" s="7" t="s">
        <v>67</v>
      </c>
      <c r="D615" s="8">
        <v>45306</v>
      </c>
      <c r="E615" s="8" t="s">
        <v>0</v>
      </c>
      <c r="F615" s="16" t="s">
        <v>180</v>
      </c>
      <c r="G615" s="7" t="s">
        <v>181</v>
      </c>
      <c r="H615" s="7" t="s">
        <v>0</v>
      </c>
      <c r="I615" s="7" t="s">
        <v>334</v>
      </c>
      <c r="J615" s="7" t="s">
        <v>334</v>
      </c>
      <c r="K615" s="7" t="s">
        <v>85</v>
      </c>
      <c r="L615" s="7" t="s">
        <v>86</v>
      </c>
      <c r="M615" s="7" t="s">
        <v>83</v>
      </c>
      <c r="N615" s="7" t="s">
        <v>333</v>
      </c>
      <c r="O615" s="7" t="s">
        <v>0</v>
      </c>
      <c r="P615" s="7" t="s">
        <v>83</v>
      </c>
      <c r="Q615" s="7" t="s">
        <v>94</v>
      </c>
      <c r="R615" s="7" t="s">
        <v>178</v>
      </c>
      <c r="S615" s="7" t="s">
        <v>178</v>
      </c>
      <c r="T615" s="7" t="s">
        <v>54</v>
      </c>
      <c r="U615" s="7" t="s">
        <v>307</v>
      </c>
      <c r="V615" s="7" t="s">
        <v>91</v>
      </c>
      <c r="W615" s="7" t="s">
        <v>74</v>
      </c>
      <c r="X615" s="7" t="s">
        <v>103</v>
      </c>
      <c r="Y615" s="8">
        <v>45306</v>
      </c>
      <c r="Z615" s="8">
        <v>48213</v>
      </c>
      <c r="AA615" s="7" t="s">
        <v>92</v>
      </c>
      <c r="AB615" s="7" t="s">
        <v>94</v>
      </c>
      <c r="AC615" s="7" t="s">
        <v>65</v>
      </c>
      <c r="AD615" s="7" t="s">
        <v>0</v>
      </c>
      <c r="AE615" s="7" t="s">
        <v>0</v>
      </c>
      <c r="AF615" s="7" t="s">
        <v>0</v>
      </c>
      <c r="AG615" s="7" t="s">
        <v>0</v>
      </c>
      <c r="AH615" s="9" t="s">
        <v>0</v>
      </c>
      <c r="AI615" s="9" t="s">
        <v>0</v>
      </c>
      <c r="AJ615" s="9" t="s">
        <v>0</v>
      </c>
      <c r="AK615" s="7" t="s">
        <v>61</v>
      </c>
      <c r="AL615" s="7" t="s">
        <v>61</v>
      </c>
      <c r="AM615" s="7" t="s">
        <v>0</v>
      </c>
      <c r="AN615" s="7" t="s">
        <v>0</v>
      </c>
      <c r="AO615" s="7" t="s">
        <v>0</v>
      </c>
      <c r="AP615" s="7" t="s">
        <v>0</v>
      </c>
      <c r="AQ615" s="7" t="s">
        <v>61</v>
      </c>
      <c r="AR615" s="7" t="s">
        <v>0</v>
      </c>
      <c r="AS615" s="10" t="str">
        <f>HYPERLINK("https://tessa.gazprom-neft.local/edo/card/1378330b-3ccb-4173-b905-15a92d17292a", "https://tessa.gazprom-neft.local/edo/card/1378330b-3ccb-4173-b905-15a92d17292a")</f>
        <v>https://tessa.gazprom-neft.local/edo/card/1378330b-3ccb-4173-b905-15a92d17292a</v>
      </c>
    </row>
    <row r="616" spans="1:45" hidden="1" x14ac:dyDescent="0.25">
      <c r="A616" s="6" t="s">
        <v>44</v>
      </c>
      <c r="B616" s="7" t="s">
        <v>234</v>
      </c>
      <c r="C616" s="7" t="s">
        <v>67</v>
      </c>
      <c r="D616" s="8">
        <v>45301</v>
      </c>
      <c r="E616" s="8" t="s">
        <v>0</v>
      </c>
      <c r="F616" s="16" t="s">
        <v>235</v>
      </c>
      <c r="G616" s="7" t="s">
        <v>236</v>
      </c>
      <c r="H616" s="7" t="s">
        <v>0</v>
      </c>
      <c r="I616" s="7" t="s">
        <v>230</v>
      </c>
      <c r="J616" s="7" t="s">
        <v>230</v>
      </c>
      <c r="K616" s="7" t="s">
        <v>47</v>
      </c>
      <c r="L616" s="7" t="s">
        <v>86</v>
      </c>
      <c r="M616" s="7" t="s">
        <v>0</v>
      </c>
      <c r="N616" s="7" t="s">
        <v>229</v>
      </c>
      <c r="O616" s="7" t="s">
        <v>0</v>
      </c>
      <c r="P616" s="7" t="s">
        <v>231</v>
      </c>
      <c r="Q616" s="7" t="s">
        <v>232</v>
      </c>
      <c r="R616" s="7" t="s">
        <v>233</v>
      </c>
      <c r="S616" s="7" t="s">
        <v>233</v>
      </c>
      <c r="T616" s="7" t="s">
        <v>54</v>
      </c>
      <c r="U616" s="7" t="s">
        <v>55</v>
      </c>
      <c r="V616" s="7" t="s">
        <v>56</v>
      </c>
      <c r="W616" s="7" t="s">
        <v>74</v>
      </c>
      <c r="X616" s="7" t="s">
        <v>103</v>
      </c>
      <c r="Y616" s="8">
        <v>45301</v>
      </c>
      <c r="Z616" s="8">
        <v>46022</v>
      </c>
      <c r="AA616" s="7" t="s">
        <v>59</v>
      </c>
      <c r="AB616" s="7" t="s">
        <v>237</v>
      </c>
      <c r="AC616" s="7" t="s">
        <v>65</v>
      </c>
      <c r="AD616" s="7" t="s">
        <v>0</v>
      </c>
      <c r="AE616" s="7" t="s">
        <v>0</v>
      </c>
      <c r="AF616" s="7" t="s">
        <v>0</v>
      </c>
      <c r="AG616" s="7" t="s">
        <v>0</v>
      </c>
      <c r="AH616" s="9" t="s">
        <v>0</v>
      </c>
      <c r="AI616" s="9" t="s">
        <v>0</v>
      </c>
      <c r="AJ616" s="9" t="s">
        <v>0</v>
      </c>
      <c r="AK616" s="7" t="s">
        <v>61</v>
      </c>
      <c r="AL616" s="7" t="s">
        <v>61</v>
      </c>
      <c r="AM616" s="7" t="s">
        <v>0</v>
      </c>
      <c r="AN616" s="7" t="s">
        <v>0</v>
      </c>
      <c r="AO616" s="7" t="s">
        <v>0</v>
      </c>
      <c r="AP616" s="7" t="s">
        <v>0</v>
      </c>
      <c r="AQ616" s="7" t="s">
        <v>61</v>
      </c>
      <c r="AR616" s="7" t="s">
        <v>0</v>
      </c>
      <c r="AS616" s="10" t="str">
        <f>HYPERLINK("https://tessa.gazprom-neft.local/edo/card/72cf8559-d3f8-4e50-8ba9-b6ce90bb7662", "https://tessa.gazprom-neft.local/edo/card/72cf8559-d3f8-4e50-8ba9-b6ce90bb7662")</f>
        <v>https://tessa.gazprom-neft.local/edo/card/72cf8559-d3f8-4e50-8ba9-b6ce90bb7662</v>
      </c>
    </row>
    <row r="617" spans="1:45" hidden="1" x14ac:dyDescent="0.25">
      <c r="A617" s="6" t="s">
        <v>44</v>
      </c>
      <c r="B617" s="7" t="s">
        <v>8574</v>
      </c>
      <c r="C617" s="7" t="s">
        <v>67</v>
      </c>
      <c r="D617" s="8">
        <v>45301</v>
      </c>
      <c r="E617" s="8" t="s">
        <v>0</v>
      </c>
      <c r="F617" s="16" t="s">
        <v>8575</v>
      </c>
      <c r="G617" s="7" t="s">
        <v>8576</v>
      </c>
      <c r="H617" s="7" t="s">
        <v>0</v>
      </c>
      <c r="I617" s="7" t="s">
        <v>8573</v>
      </c>
      <c r="J617" s="7" t="s">
        <v>8573</v>
      </c>
      <c r="K617" s="7" t="s">
        <v>47</v>
      </c>
      <c r="L617" s="7" t="s">
        <v>96</v>
      </c>
      <c r="M617" s="7" t="s">
        <v>0</v>
      </c>
      <c r="N617" s="7" t="s">
        <v>8572</v>
      </c>
      <c r="O617" s="7" t="s">
        <v>0</v>
      </c>
      <c r="P617" s="7" t="s">
        <v>8429</v>
      </c>
      <c r="Q617" s="7" t="s">
        <v>8430</v>
      </c>
      <c r="R617" s="7" t="s">
        <v>6940</v>
      </c>
      <c r="S617" s="7" t="s">
        <v>6940</v>
      </c>
      <c r="T617" s="7" t="s">
        <v>54</v>
      </c>
      <c r="U617" s="7" t="s">
        <v>136</v>
      </c>
      <c r="V617" s="7" t="s">
        <v>137</v>
      </c>
      <c r="W617" s="7" t="s">
        <v>57</v>
      </c>
      <c r="X617" s="7" t="s">
        <v>103</v>
      </c>
      <c r="Y617" s="8">
        <v>45301</v>
      </c>
      <c r="Z617" s="8">
        <v>45381</v>
      </c>
      <c r="AA617" s="7" t="s">
        <v>0</v>
      </c>
      <c r="AB617" s="7" t="s">
        <v>64</v>
      </c>
      <c r="AC617" s="7" t="s">
        <v>79</v>
      </c>
      <c r="AD617" s="7" t="s">
        <v>514</v>
      </c>
      <c r="AE617" s="7" t="s">
        <v>118</v>
      </c>
      <c r="AF617" s="7" t="s">
        <v>0</v>
      </c>
      <c r="AG617" s="7" t="s">
        <v>0</v>
      </c>
      <c r="AH617" s="9" t="s">
        <v>13601</v>
      </c>
      <c r="AI617" s="9" t="s">
        <v>13601</v>
      </c>
      <c r="AJ617" s="9">
        <v>0</v>
      </c>
      <c r="AK617" s="7" t="s">
        <v>61</v>
      </c>
      <c r="AL617" s="7" t="s">
        <v>61</v>
      </c>
      <c r="AM617" s="7" t="s">
        <v>0</v>
      </c>
      <c r="AN617" s="7" t="s">
        <v>0</v>
      </c>
      <c r="AO617" s="7" t="s">
        <v>0</v>
      </c>
      <c r="AP617" s="7" t="s">
        <v>0</v>
      </c>
      <c r="AQ617" s="7" t="s">
        <v>61</v>
      </c>
      <c r="AR617" s="7" t="s">
        <v>0</v>
      </c>
      <c r="AS617" s="10" t="str">
        <f>HYPERLINK("https://tessa.gazprom-neft.local/edo/card/b8bf7189-6ac8-4ce2-9bd0-8dc1ef1a0a01", "https://tessa.gazprom-neft.local/edo/card/b8bf7189-6ac8-4ce2-9bd0-8dc1ef1a0a01")</f>
        <v>https://tessa.gazprom-neft.local/edo/card/b8bf7189-6ac8-4ce2-9bd0-8dc1ef1a0a01</v>
      </c>
    </row>
    <row r="618" spans="1:45" hidden="1" x14ac:dyDescent="0.25">
      <c r="A618" s="6" t="s">
        <v>44</v>
      </c>
      <c r="B618" s="7" t="s">
        <v>6400</v>
      </c>
      <c r="C618" s="7" t="s">
        <v>67</v>
      </c>
      <c r="D618" s="8">
        <v>45301</v>
      </c>
      <c r="E618" s="8" t="s">
        <v>0</v>
      </c>
      <c r="F618" s="16" t="s">
        <v>6401</v>
      </c>
      <c r="G618" s="7" t="s">
        <v>6402</v>
      </c>
      <c r="H618" s="7" t="s">
        <v>0</v>
      </c>
      <c r="I618" s="7" t="s">
        <v>6398</v>
      </c>
      <c r="J618" s="7" t="s">
        <v>6398</v>
      </c>
      <c r="K618" s="7" t="s">
        <v>85</v>
      </c>
      <c r="L618" s="7" t="s">
        <v>96</v>
      </c>
      <c r="M618" s="7" t="s">
        <v>183</v>
      </c>
      <c r="N618" s="7" t="s">
        <v>8976</v>
      </c>
      <c r="O618" s="7" t="s">
        <v>0</v>
      </c>
      <c r="P618" s="7" t="s">
        <v>183</v>
      </c>
      <c r="Q618" s="7" t="s">
        <v>8977</v>
      </c>
      <c r="R618" s="7" t="s">
        <v>679</v>
      </c>
      <c r="S618" s="7" t="s">
        <v>679</v>
      </c>
      <c r="T618" s="7" t="s">
        <v>54</v>
      </c>
      <c r="U618" s="7" t="s">
        <v>4582</v>
      </c>
      <c r="V618" s="7" t="s">
        <v>137</v>
      </c>
      <c r="W618" s="7" t="s">
        <v>57</v>
      </c>
      <c r="X618" s="7" t="s">
        <v>103</v>
      </c>
      <c r="Y618" s="8">
        <v>45301</v>
      </c>
      <c r="Z618" s="8">
        <v>45657</v>
      </c>
      <c r="AA618" s="7" t="s">
        <v>0</v>
      </c>
      <c r="AB618" s="7" t="s">
        <v>192</v>
      </c>
      <c r="AC618" s="7" t="s">
        <v>79</v>
      </c>
      <c r="AD618" s="7" t="s">
        <v>514</v>
      </c>
      <c r="AE618" s="7" t="s">
        <v>193</v>
      </c>
      <c r="AF618" s="7" t="s">
        <v>0</v>
      </c>
      <c r="AG618" s="7" t="s">
        <v>0</v>
      </c>
      <c r="AH618" s="9" t="s">
        <v>13766</v>
      </c>
      <c r="AI618" s="9" t="s">
        <v>13767</v>
      </c>
      <c r="AJ618" s="9" t="s">
        <v>13768</v>
      </c>
      <c r="AK618" s="7" t="s">
        <v>61</v>
      </c>
      <c r="AL618" s="7" t="s">
        <v>61</v>
      </c>
      <c r="AM618" s="7" t="s">
        <v>0</v>
      </c>
      <c r="AN618" s="7" t="s">
        <v>0</v>
      </c>
      <c r="AO618" s="7" t="s">
        <v>0</v>
      </c>
      <c r="AP618" s="7" t="s">
        <v>0</v>
      </c>
      <c r="AQ618" s="7" t="s">
        <v>61</v>
      </c>
      <c r="AR618" s="7" t="s">
        <v>0</v>
      </c>
      <c r="AS618" s="10" t="str">
        <f>HYPERLINK("https://tessa.gazprom-neft.local/edo/card/a1e05a40-04a6-4d92-82a9-094268afe081", "https://tessa.gazprom-neft.local/edo/card/a1e05a40-04a6-4d92-82a9-094268afe081")</f>
        <v>https://tessa.gazprom-neft.local/edo/card/a1e05a40-04a6-4d92-82a9-094268afe081</v>
      </c>
    </row>
    <row r="619" spans="1:45" hidden="1" x14ac:dyDescent="0.25">
      <c r="A619" s="6" t="s">
        <v>44</v>
      </c>
      <c r="B619" s="7" t="s">
        <v>4864</v>
      </c>
      <c r="C619" s="7" t="s">
        <v>67</v>
      </c>
      <c r="D619" s="8">
        <v>45300</v>
      </c>
      <c r="E619" s="8" t="s">
        <v>0</v>
      </c>
      <c r="F619" s="16" t="s">
        <v>4865</v>
      </c>
      <c r="G619" s="7" t="s">
        <v>4866</v>
      </c>
      <c r="H619" s="7" t="s">
        <v>0</v>
      </c>
      <c r="I619" s="7" t="s">
        <v>5062</v>
      </c>
      <c r="J619" s="7" t="s">
        <v>5062</v>
      </c>
      <c r="K619" s="7" t="s">
        <v>85</v>
      </c>
      <c r="L619" s="7" t="s">
        <v>96</v>
      </c>
      <c r="M619" s="7" t="s">
        <v>183</v>
      </c>
      <c r="N619" s="7" t="s">
        <v>8646</v>
      </c>
      <c r="O619" s="7" t="s">
        <v>0</v>
      </c>
      <c r="P619" s="7" t="s">
        <v>183</v>
      </c>
      <c r="Q619" s="7" t="s">
        <v>8647</v>
      </c>
      <c r="R619" s="7" t="s">
        <v>4863</v>
      </c>
      <c r="S619" s="7" t="s">
        <v>0</v>
      </c>
      <c r="T619" s="7" t="s">
        <v>54</v>
      </c>
      <c r="U619" s="7" t="s">
        <v>1012</v>
      </c>
      <c r="V619" s="7" t="s">
        <v>137</v>
      </c>
      <c r="W619" s="7" t="s">
        <v>57</v>
      </c>
      <c r="X619" s="7" t="s">
        <v>103</v>
      </c>
      <c r="Y619" s="8">
        <v>45300</v>
      </c>
      <c r="Z619" s="8">
        <v>45493</v>
      </c>
      <c r="AA619" s="7" t="s">
        <v>0</v>
      </c>
      <c r="AB619" s="7" t="s">
        <v>192</v>
      </c>
      <c r="AC619" s="7" t="s">
        <v>79</v>
      </c>
      <c r="AD619" s="7" t="s">
        <v>80</v>
      </c>
      <c r="AE619" s="7" t="s">
        <v>193</v>
      </c>
      <c r="AF619" s="7" t="s">
        <v>0</v>
      </c>
      <c r="AG619" s="7" t="s">
        <v>0</v>
      </c>
      <c r="AH619" s="9" t="s">
        <v>13639</v>
      </c>
      <c r="AI619" s="9" t="s">
        <v>13640</v>
      </c>
      <c r="AJ619" s="9" t="s">
        <v>13641</v>
      </c>
      <c r="AK619" s="7" t="s">
        <v>61</v>
      </c>
      <c r="AL619" s="7" t="s">
        <v>61</v>
      </c>
      <c r="AM619" s="7" t="s">
        <v>0</v>
      </c>
      <c r="AN619" s="7" t="s">
        <v>0</v>
      </c>
      <c r="AO619" s="7" t="s">
        <v>0</v>
      </c>
      <c r="AP619" s="7" t="s">
        <v>0</v>
      </c>
      <c r="AQ619" s="7" t="s">
        <v>61</v>
      </c>
      <c r="AR619" s="7" t="s">
        <v>0</v>
      </c>
      <c r="AS619" s="10" t="str">
        <f>HYPERLINK("https://tessa.gazprom-neft.local/edo/card/2d33c54c-d781-4414-8260-daca4c87712c", "https://tessa.gazprom-neft.local/edo/card/2d33c54c-d781-4414-8260-daca4c87712c")</f>
        <v>https://tessa.gazprom-neft.local/edo/card/2d33c54c-d781-4414-8260-daca4c87712c</v>
      </c>
    </row>
    <row r="620" spans="1:45" hidden="1" x14ac:dyDescent="0.25">
      <c r="A620" s="6" t="s">
        <v>44</v>
      </c>
      <c r="B620" s="7" t="s">
        <v>715</v>
      </c>
      <c r="C620" s="7" t="s">
        <v>67</v>
      </c>
      <c r="D620" s="8">
        <v>45300</v>
      </c>
      <c r="E620" s="8" t="s">
        <v>0</v>
      </c>
      <c r="F620" s="16" t="s">
        <v>716</v>
      </c>
      <c r="G620" s="7" t="s">
        <v>717</v>
      </c>
      <c r="H620" s="7" t="s">
        <v>710</v>
      </c>
      <c r="I620" s="7" t="s">
        <v>0</v>
      </c>
      <c r="J620" s="7" t="s">
        <v>936</v>
      </c>
      <c r="K620" s="7" t="s">
        <v>47</v>
      </c>
      <c r="L620" s="7" t="s">
        <v>709</v>
      </c>
      <c r="M620" s="7" t="s">
        <v>0</v>
      </c>
      <c r="N620" s="7" t="s">
        <v>8720</v>
      </c>
      <c r="O620" s="7" t="s">
        <v>0</v>
      </c>
      <c r="P620" s="7" t="s">
        <v>8721</v>
      </c>
      <c r="Q620" s="7" t="s">
        <v>6502</v>
      </c>
      <c r="R620" s="7" t="s">
        <v>714</v>
      </c>
      <c r="S620" s="7" t="s">
        <v>714</v>
      </c>
      <c r="T620" s="7" t="s">
        <v>54</v>
      </c>
      <c r="U620" s="7" t="s">
        <v>101</v>
      </c>
      <c r="V620" s="7" t="s">
        <v>308</v>
      </c>
      <c r="W620" s="7" t="s">
        <v>74</v>
      </c>
      <c r="X620" s="7" t="s">
        <v>103</v>
      </c>
      <c r="Y620" s="8">
        <v>45300</v>
      </c>
      <c r="Z620" s="8">
        <v>45565</v>
      </c>
      <c r="AA620" s="7" t="s">
        <v>309</v>
      </c>
      <c r="AB620" s="7" t="s">
        <v>64</v>
      </c>
      <c r="AC620" s="7" t="s">
        <v>79</v>
      </c>
      <c r="AD620" s="7" t="s">
        <v>144</v>
      </c>
      <c r="AE620" s="7" t="s">
        <v>82</v>
      </c>
      <c r="AF620" s="7" t="s">
        <v>0</v>
      </c>
      <c r="AG620" s="7" t="s">
        <v>0</v>
      </c>
      <c r="AH620" s="9" t="s">
        <v>13668</v>
      </c>
      <c r="AI620" s="9" t="s">
        <v>13669</v>
      </c>
      <c r="AJ620" s="9" t="s">
        <v>13670</v>
      </c>
      <c r="AK620" s="7" t="s">
        <v>61</v>
      </c>
      <c r="AL620" s="7" t="s">
        <v>61</v>
      </c>
      <c r="AM620" s="7" t="s">
        <v>0</v>
      </c>
      <c r="AN620" s="7" t="s">
        <v>0</v>
      </c>
      <c r="AO620" s="7" t="s">
        <v>0</v>
      </c>
      <c r="AP620" s="7" t="s">
        <v>0</v>
      </c>
      <c r="AQ620" s="7" t="s">
        <v>61</v>
      </c>
      <c r="AR620" s="7" t="s">
        <v>0</v>
      </c>
      <c r="AS620" s="10" t="str">
        <f>HYPERLINK("https://tessa.gazprom-neft.local/edo/card/640e8911-3bc6-49a3-b3f4-0b54fba45ad2", "https://tessa.gazprom-neft.local/edo/card/640e8911-3bc6-49a3-b3f4-0b54fba45ad2")</f>
        <v>https://tessa.gazprom-neft.local/edo/card/640e8911-3bc6-49a3-b3f4-0b54fba45ad2</v>
      </c>
    </row>
    <row r="621" spans="1:45" hidden="1" x14ac:dyDescent="0.25">
      <c r="A621" s="6" t="s">
        <v>44</v>
      </c>
      <c r="B621" s="7" t="s">
        <v>715</v>
      </c>
      <c r="C621" s="7" t="s">
        <v>67</v>
      </c>
      <c r="D621" s="8">
        <v>45300</v>
      </c>
      <c r="E621" s="8" t="s">
        <v>0</v>
      </c>
      <c r="F621" s="16" t="s">
        <v>716</v>
      </c>
      <c r="G621" s="7" t="s">
        <v>717</v>
      </c>
      <c r="H621" s="7" t="s">
        <v>710</v>
      </c>
      <c r="I621" s="7" t="s">
        <v>0</v>
      </c>
      <c r="J621" s="7" t="s">
        <v>1098</v>
      </c>
      <c r="K621" s="7" t="s">
        <v>47</v>
      </c>
      <c r="L621" s="7" t="s">
        <v>709</v>
      </c>
      <c r="M621" s="7" t="s">
        <v>0</v>
      </c>
      <c r="N621" s="7" t="s">
        <v>8826</v>
      </c>
      <c r="O621" s="7" t="s">
        <v>0</v>
      </c>
      <c r="P621" s="7" t="s">
        <v>8827</v>
      </c>
      <c r="Q621" s="7" t="s">
        <v>8828</v>
      </c>
      <c r="R621" s="7" t="s">
        <v>714</v>
      </c>
      <c r="S621" s="7" t="s">
        <v>714</v>
      </c>
      <c r="T621" s="7" t="s">
        <v>54</v>
      </c>
      <c r="U621" s="7" t="s">
        <v>101</v>
      </c>
      <c r="V621" s="7" t="s">
        <v>168</v>
      </c>
      <c r="W621" s="7" t="s">
        <v>74</v>
      </c>
      <c r="X621" s="7" t="s">
        <v>103</v>
      </c>
      <c r="Y621" s="8">
        <v>45300</v>
      </c>
      <c r="Z621" s="8">
        <v>45565</v>
      </c>
      <c r="AA621" s="7" t="s">
        <v>169</v>
      </c>
      <c r="AB621" s="7" t="s">
        <v>64</v>
      </c>
      <c r="AC621" s="7" t="s">
        <v>79</v>
      </c>
      <c r="AD621" s="7" t="s">
        <v>144</v>
      </c>
      <c r="AE621" s="7" t="s">
        <v>82</v>
      </c>
      <c r="AF621" s="7" t="s">
        <v>0</v>
      </c>
      <c r="AG621" s="7" t="s">
        <v>0</v>
      </c>
      <c r="AH621" s="9" t="s">
        <v>13707</v>
      </c>
      <c r="AI621" s="9" t="s">
        <v>13708</v>
      </c>
      <c r="AJ621" s="9" t="s">
        <v>13709</v>
      </c>
      <c r="AK621" s="7" t="s">
        <v>61</v>
      </c>
      <c r="AL621" s="7" t="s">
        <v>61</v>
      </c>
      <c r="AM621" s="7" t="s">
        <v>0</v>
      </c>
      <c r="AN621" s="7" t="s">
        <v>0</v>
      </c>
      <c r="AO621" s="7" t="s">
        <v>0</v>
      </c>
      <c r="AP621" s="7" t="s">
        <v>0</v>
      </c>
      <c r="AQ621" s="7" t="s">
        <v>61</v>
      </c>
      <c r="AR621" s="7" t="s">
        <v>0</v>
      </c>
      <c r="AS621" s="10" t="str">
        <f>HYPERLINK("https://tessa.gazprom-neft.local/edo/card/1901ab53-713a-4b0d-9393-c5bd4631d124", "https://tessa.gazprom-neft.local/edo/card/1901ab53-713a-4b0d-9393-c5bd4631d124")</f>
        <v>https://tessa.gazprom-neft.local/edo/card/1901ab53-713a-4b0d-9393-c5bd4631d124</v>
      </c>
    </row>
    <row r="622" spans="1:45" x14ac:dyDescent="0.25">
      <c r="A622" s="6" t="s">
        <v>44</v>
      </c>
      <c r="B622" s="7" t="s">
        <v>6400</v>
      </c>
      <c r="C622" s="7" t="s">
        <v>67</v>
      </c>
      <c r="D622" s="8">
        <v>45300</v>
      </c>
      <c r="E622" s="8" t="s">
        <v>0</v>
      </c>
      <c r="F622" s="16" t="s">
        <v>6401</v>
      </c>
      <c r="G622" s="7" t="s">
        <v>6402</v>
      </c>
      <c r="H622" s="7" t="s">
        <v>3674</v>
      </c>
      <c r="I622" s="7" t="s">
        <v>0</v>
      </c>
      <c r="J622" s="7" t="s">
        <v>271</v>
      </c>
      <c r="K622" s="7" t="s">
        <v>47</v>
      </c>
      <c r="L622" s="7" t="s">
        <v>48</v>
      </c>
      <c r="M622" s="7" t="s">
        <v>0</v>
      </c>
      <c r="N622" s="7" t="s">
        <v>9084</v>
      </c>
      <c r="O622" s="7" t="s">
        <v>0</v>
      </c>
      <c r="P622" s="7" t="s">
        <v>9085</v>
      </c>
      <c r="Q622" s="7" t="s">
        <v>2897</v>
      </c>
      <c r="R622" s="7" t="s">
        <v>679</v>
      </c>
      <c r="S622" s="7" t="s">
        <v>679</v>
      </c>
      <c r="T622" s="7" t="s">
        <v>54</v>
      </c>
      <c r="U622" s="7" t="s">
        <v>4582</v>
      </c>
      <c r="V622" s="7" t="s">
        <v>137</v>
      </c>
      <c r="W622" s="7" t="s">
        <v>57</v>
      </c>
      <c r="X622" s="7" t="s">
        <v>58</v>
      </c>
      <c r="Y622" s="8">
        <v>45292</v>
      </c>
      <c r="Z622" s="8" t="s">
        <v>0</v>
      </c>
      <c r="AA622" s="7" t="s">
        <v>0</v>
      </c>
      <c r="AB622" s="7" t="s">
        <v>192</v>
      </c>
      <c r="AC622" s="7" t="s">
        <v>79</v>
      </c>
      <c r="AD622" s="7" t="s">
        <v>514</v>
      </c>
      <c r="AE622" s="7" t="s">
        <v>193</v>
      </c>
      <c r="AF622" s="7" t="s">
        <v>0</v>
      </c>
      <c r="AG622" s="7" t="s">
        <v>0</v>
      </c>
      <c r="AH622" s="9">
        <v>0</v>
      </c>
      <c r="AI622" s="9">
        <v>0</v>
      </c>
      <c r="AJ622" s="9">
        <v>0</v>
      </c>
      <c r="AK622" s="7" t="s">
        <v>61</v>
      </c>
      <c r="AL622" s="7" t="s">
        <v>61</v>
      </c>
      <c r="AM622" s="7" t="s">
        <v>0</v>
      </c>
      <c r="AN622" s="7" t="s">
        <v>0</v>
      </c>
      <c r="AO622" s="7" t="s">
        <v>0</v>
      </c>
      <c r="AP622" s="7" t="s">
        <v>0</v>
      </c>
      <c r="AQ622" s="7" t="s">
        <v>61</v>
      </c>
      <c r="AR622" s="7" t="s">
        <v>0</v>
      </c>
      <c r="AS622" s="10" t="str">
        <f>HYPERLINK("https://tessa.gazprom-neft.local/edo/card/1d9f0d41-a74a-4c3d-8cec-b379ee11a1b3", "https://tessa.gazprom-neft.local/edo/card/1d9f0d41-a74a-4c3d-8cec-b379ee11a1b3")</f>
        <v>https://tessa.gazprom-neft.local/edo/card/1d9f0d41-a74a-4c3d-8cec-b379ee11a1b3</v>
      </c>
    </row>
    <row r="623" spans="1:45" hidden="1" x14ac:dyDescent="0.25">
      <c r="A623" s="6" t="s">
        <v>44</v>
      </c>
      <c r="B623" s="7" t="s">
        <v>4496</v>
      </c>
      <c r="C623" s="7" t="s">
        <v>67</v>
      </c>
      <c r="D623" s="8">
        <v>45292</v>
      </c>
      <c r="E623" s="8" t="s">
        <v>0</v>
      </c>
      <c r="F623" s="16" t="s">
        <v>4497</v>
      </c>
      <c r="G623" s="7" t="s">
        <v>4498</v>
      </c>
      <c r="H623" s="7" t="s">
        <v>0</v>
      </c>
      <c r="I623" s="7" t="s">
        <v>9018</v>
      </c>
      <c r="J623" s="7" t="s">
        <v>9018</v>
      </c>
      <c r="K623" s="7" t="s">
        <v>85</v>
      </c>
      <c r="L623" s="7" t="s">
        <v>86</v>
      </c>
      <c r="M623" s="7" t="s">
        <v>289</v>
      </c>
      <c r="N623" s="7" t="s">
        <v>9017</v>
      </c>
      <c r="O623" s="7" t="s">
        <v>0</v>
      </c>
      <c r="P623" s="7" t="s">
        <v>289</v>
      </c>
      <c r="Q623" s="7" t="s">
        <v>4652</v>
      </c>
      <c r="R623" s="7" t="s">
        <v>1199</v>
      </c>
      <c r="S623" s="7" t="s">
        <v>1199</v>
      </c>
      <c r="T623" s="7" t="s">
        <v>54</v>
      </c>
      <c r="U623" s="7" t="s">
        <v>605</v>
      </c>
      <c r="V623" s="7" t="s">
        <v>340</v>
      </c>
      <c r="W623" s="7" t="s">
        <v>57</v>
      </c>
      <c r="X623" s="7" t="s">
        <v>223</v>
      </c>
      <c r="Y623" s="8">
        <v>45292</v>
      </c>
      <c r="Z623" s="8" t="s">
        <v>0</v>
      </c>
      <c r="AA623" s="7" t="s">
        <v>341</v>
      </c>
      <c r="AB623" s="7" t="s">
        <v>300</v>
      </c>
      <c r="AC623" s="7" t="s">
        <v>65</v>
      </c>
      <c r="AD623" s="7" t="s">
        <v>0</v>
      </c>
      <c r="AE623" s="7" t="s">
        <v>0</v>
      </c>
      <c r="AF623" s="7" t="s">
        <v>0</v>
      </c>
      <c r="AG623" s="7" t="s">
        <v>0</v>
      </c>
      <c r="AH623" s="9" t="s">
        <v>0</v>
      </c>
      <c r="AI623" s="9" t="s">
        <v>0</v>
      </c>
      <c r="AJ623" s="9" t="s">
        <v>0</v>
      </c>
      <c r="AK623" s="7" t="s">
        <v>61</v>
      </c>
      <c r="AL623" s="7" t="s">
        <v>61</v>
      </c>
      <c r="AM623" s="7" t="s">
        <v>0</v>
      </c>
      <c r="AN623" s="7" t="s">
        <v>0</v>
      </c>
      <c r="AO623" s="7" t="s">
        <v>0</v>
      </c>
      <c r="AP623" s="7" t="s">
        <v>0</v>
      </c>
      <c r="AQ623" s="7" t="s">
        <v>61</v>
      </c>
      <c r="AR623" s="7" t="s">
        <v>0</v>
      </c>
      <c r="AS623" s="10" t="str">
        <f>HYPERLINK("https://tessa.gazprom-neft.local/edo/card/44525f97-7274-4075-83dd-9fe0c8d3b9f8", "https://tessa.gazprom-neft.local/edo/card/44525f97-7274-4075-83dd-9fe0c8d3b9f8")</f>
        <v>https://tessa.gazprom-neft.local/edo/card/44525f97-7274-4075-83dd-9fe0c8d3b9f8</v>
      </c>
    </row>
    <row r="624" spans="1:45" hidden="1" x14ac:dyDescent="0.25">
      <c r="A624" s="6" t="s">
        <v>44</v>
      </c>
      <c r="B624" s="7" t="s">
        <v>1240</v>
      </c>
      <c r="C624" s="7" t="s">
        <v>67</v>
      </c>
      <c r="D624" s="8">
        <v>45290</v>
      </c>
      <c r="E624" s="8" t="s">
        <v>0</v>
      </c>
      <c r="F624" s="16" t="s">
        <v>1241</v>
      </c>
      <c r="G624" s="7" t="s">
        <v>1242</v>
      </c>
      <c r="H624" s="7" t="s">
        <v>1237</v>
      </c>
      <c r="I624" s="7" t="s">
        <v>0</v>
      </c>
      <c r="J624" s="7" t="s">
        <v>51</v>
      </c>
      <c r="K624" s="7" t="s">
        <v>47</v>
      </c>
      <c r="L624" s="7" t="s">
        <v>389</v>
      </c>
      <c r="M624" s="7" t="s">
        <v>0</v>
      </c>
      <c r="N624" s="7" t="s">
        <v>8919</v>
      </c>
      <c r="O624" s="7" t="s">
        <v>872</v>
      </c>
      <c r="P624" s="7" t="s">
        <v>8920</v>
      </c>
      <c r="Q624" s="7" t="s">
        <v>8921</v>
      </c>
      <c r="R624" s="7" t="s">
        <v>393</v>
      </c>
      <c r="S624" s="7" t="s">
        <v>8922</v>
      </c>
      <c r="T624" s="7" t="s">
        <v>54</v>
      </c>
      <c r="U624" s="7" t="s">
        <v>125</v>
      </c>
      <c r="V624" s="7" t="s">
        <v>126</v>
      </c>
      <c r="W624" s="7" t="s">
        <v>74</v>
      </c>
      <c r="X624" s="7" t="s">
        <v>58</v>
      </c>
      <c r="Y624" s="8">
        <v>45290</v>
      </c>
      <c r="Z624" s="8" t="s">
        <v>0</v>
      </c>
      <c r="AA624" s="7" t="s">
        <v>224</v>
      </c>
      <c r="AB624" s="7" t="s">
        <v>1243</v>
      </c>
      <c r="AC624" s="7" t="s">
        <v>79</v>
      </c>
      <c r="AD624" s="7" t="s">
        <v>144</v>
      </c>
      <c r="AE624" s="7" t="s">
        <v>82</v>
      </c>
      <c r="AF624" s="7" t="s">
        <v>0</v>
      </c>
      <c r="AG624" s="7" t="s">
        <v>0</v>
      </c>
      <c r="AH624" s="9" t="s">
        <v>13746</v>
      </c>
      <c r="AI624" s="9" t="s">
        <v>13747</v>
      </c>
      <c r="AJ624" s="9" t="s">
        <v>13748</v>
      </c>
      <c r="AK624" s="7" t="s">
        <v>61</v>
      </c>
      <c r="AL624" s="7" t="s">
        <v>61</v>
      </c>
      <c r="AM624" s="7" t="s">
        <v>0</v>
      </c>
      <c r="AN624" s="7" t="s">
        <v>0</v>
      </c>
      <c r="AO624" s="7" t="s">
        <v>0</v>
      </c>
      <c r="AP624" s="7" t="s">
        <v>0</v>
      </c>
      <c r="AQ624" s="7" t="s">
        <v>61</v>
      </c>
      <c r="AR624" s="7" t="s">
        <v>0</v>
      </c>
      <c r="AS624" s="10" t="str">
        <f>HYPERLINK("https://tessa.gazprom-neft.local/edo/card/b5c3716b-2eb0-4181-b621-173cbe2626ac", "https://tessa.gazprom-neft.local/edo/card/b5c3716b-2eb0-4181-b621-173cbe2626ac")</f>
        <v>https://tessa.gazprom-neft.local/edo/card/b5c3716b-2eb0-4181-b621-173cbe2626ac</v>
      </c>
    </row>
    <row r="625" spans="1:45" hidden="1" x14ac:dyDescent="0.25">
      <c r="A625" s="6" t="s">
        <v>44</v>
      </c>
      <c r="B625" s="7" t="s">
        <v>813</v>
      </c>
      <c r="C625" s="7" t="s">
        <v>67</v>
      </c>
      <c r="D625" s="8">
        <v>45290</v>
      </c>
      <c r="E625" s="8" t="s">
        <v>0</v>
      </c>
      <c r="F625" s="16" t="s">
        <v>814</v>
      </c>
      <c r="G625" s="7" t="s">
        <v>815</v>
      </c>
      <c r="H625" s="7" t="s">
        <v>809</v>
      </c>
      <c r="I625" s="7" t="s">
        <v>0</v>
      </c>
      <c r="J625" s="7" t="s">
        <v>1428</v>
      </c>
      <c r="K625" s="7" t="s">
        <v>47</v>
      </c>
      <c r="L625" s="7" t="s">
        <v>709</v>
      </c>
      <c r="M625" s="7" t="s">
        <v>0</v>
      </c>
      <c r="N625" s="7" t="s">
        <v>8961</v>
      </c>
      <c r="O625" s="7" t="s">
        <v>0</v>
      </c>
      <c r="P625" s="7" t="s">
        <v>8962</v>
      </c>
      <c r="Q625" s="7" t="s">
        <v>8963</v>
      </c>
      <c r="R625" s="7" t="s">
        <v>393</v>
      </c>
      <c r="S625" s="7" t="s">
        <v>812</v>
      </c>
      <c r="T625" s="7" t="s">
        <v>54</v>
      </c>
      <c r="U625" s="7" t="s">
        <v>55</v>
      </c>
      <c r="V625" s="7" t="s">
        <v>56</v>
      </c>
      <c r="W625" s="7" t="s">
        <v>74</v>
      </c>
      <c r="X625" s="7" t="s">
        <v>58</v>
      </c>
      <c r="Y625" s="8">
        <v>45290</v>
      </c>
      <c r="Z625" s="8" t="s">
        <v>0</v>
      </c>
      <c r="AA625" s="7" t="s">
        <v>212</v>
      </c>
      <c r="AB625" s="7" t="s">
        <v>256</v>
      </c>
      <c r="AC625" s="7" t="s">
        <v>79</v>
      </c>
      <c r="AD625" s="7" t="s">
        <v>80</v>
      </c>
      <c r="AE625" s="7" t="s">
        <v>82</v>
      </c>
      <c r="AF625" s="7" t="s">
        <v>0</v>
      </c>
      <c r="AG625" s="7" t="s">
        <v>0</v>
      </c>
      <c r="AH625" s="9" t="s">
        <v>13760</v>
      </c>
      <c r="AI625" s="9" t="s">
        <v>13761</v>
      </c>
      <c r="AJ625" s="9" t="s">
        <v>13762</v>
      </c>
      <c r="AK625" s="7" t="s">
        <v>61</v>
      </c>
      <c r="AL625" s="7" t="s">
        <v>61</v>
      </c>
      <c r="AM625" s="7" t="s">
        <v>0</v>
      </c>
      <c r="AN625" s="7" t="s">
        <v>0</v>
      </c>
      <c r="AO625" s="7" t="s">
        <v>0</v>
      </c>
      <c r="AP625" s="7" t="s">
        <v>0</v>
      </c>
      <c r="AQ625" s="7" t="s">
        <v>61</v>
      </c>
      <c r="AR625" s="7" t="s">
        <v>0</v>
      </c>
      <c r="AS625" s="10" t="str">
        <f>HYPERLINK("https://tessa.gazprom-neft.local/edo/card/05de8c3d-6415-4bc0-8da0-4222bf11c368", "https://tessa.gazprom-neft.local/edo/card/05de8c3d-6415-4bc0-8da0-4222bf11c368")</f>
        <v>https://tessa.gazprom-neft.local/edo/card/05de8c3d-6415-4bc0-8da0-4222bf11c368</v>
      </c>
    </row>
    <row r="626" spans="1:45" x14ac:dyDescent="0.25">
      <c r="A626" s="6" t="s">
        <v>44</v>
      </c>
      <c r="B626" s="7" t="s">
        <v>201</v>
      </c>
      <c r="C626" s="7" t="s">
        <v>67</v>
      </c>
      <c r="D626" s="8">
        <v>45289</v>
      </c>
      <c r="E626" s="8" t="s">
        <v>0</v>
      </c>
      <c r="F626" s="16" t="s">
        <v>202</v>
      </c>
      <c r="G626" s="7" t="s">
        <v>203</v>
      </c>
      <c r="H626" s="7" t="s">
        <v>195</v>
      </c>
      <c r="I626" s="7" t="s">
        <v>0</v>
      </c>
      <c r="J626" s="7" t="s">
        <v>70</v>
      </c>
      <c r="K626" s="7" t="s">
        <v>47</v>
      </c>
      <c r="L626" s="7" t="s">
        <v>48</v>
      </c>
      <c r="M626" s="7" t="s">
        <v>0</v>
      </c>
      <c r="N626" s="7" t="s">
        <v>194</v>
      </c>
      <c r="O626" s="7" t="s">
        <v>0</v>
      </c>
      <c r="P626" s="7" t="s">
        <v>196</v>
      </c>
      <c r="Q626" s="7" t="s">
        <v>197</v>
      </c>
      <c r="R626" s="7" t="s">
        <v>198</v>
      </c>
      <c r="S626" s="7" t="s">
        <v>198</v>
      </c>
      <c r="T626" s="7" t="s">
        <v>54</v>
      </c>
      <c r="U626" s="7" t="s">
        <v>199</v>
      </c>
      <c r="V626" s="7" t="s">
        <v>126</v>
      </c>
      <c r="W626" s="7" t="s">
        <v>74</v>
      </c>
      <c r="X626" s="7" t="s">
        <v>58</v>
      </c>
      <c r="Y626" s="8">
        <v>45289</v>
      </c>
      <c r="Z626" s="8" t="s">
        <v>0</v>
      </c>
      <c r="AA626" s="7" t="s">
        <v>200</v>
      </c>
      <c r="AB626" s="7" t="s">
        <v>204</v>
      </c>
      <c r="AC626" s="7" t="s">
        <v>65</v>
      </c>
      <c r="AD626" s="7" t="s">
        <v>0</v>
      </c>
      <c r="AE626" s="7" t="s">
        <v>0</v>
      </c>
      <c r="AF626" s="7" t="s">
        <v>0</v>
      </c>
      <c r="AG626" s="7" t="s">
        <v>0</v>
      </c>
      <c r="AH626" s="9" t="s">
        <v>0</v>
      </c>
      <c r="AI626" s="9" t="s">
        <v>0</v>
      </c>
      <c r="AJ626" s="9" t="s">
        <v>0</v>
      </c>
      <c r="AK626" s="7" t="s">
        <v>61</v>
      </c>
      <c r="AL626" s="7" t="s">
        <v>61</v>
      </c>
      <c r="AM626" s="7" t="s">
        <v>0</v>
      </c>
      <c r="AN626" s="7" t="s">
        <v>0</v>
      </c>
      <c r="AO626" s="7" t="s">
        <v>0</v>
      </c>
      <c r="AP626" s="7" t="s">
        <v>0</v>
      </c>
      <c r="AQ626" s="7" t="s">
        <v>61</v>
      </c>
      <c r="AR626" s="7" t="s">
        <v>0</v>
      </c>
      <c r="AS626" s="10" t="str">
        <f>HYPERLINK("https://tessa.gazprom-neft.local/edo/card/6abf5435-5249-49e3-9e28-367c703f0e49", "https://tessa.gazprom-neft.local/edo/card/6abf5435-5249-49e3-9e28-367c703f0e49")</f>
        <v>https://tessa.gazprom-neft.local/edo/card/6abf5435-5249-49e3-9e28-367c703f0e49</v>
      </c>
    </row>
    <row r="627" spans="1:45" x14ac:dyDescent="0.25">
      <c r="A627" s="6" t="s">
        <v>44</v>
      </c>
      <c r="B627" s="7" t="s">
        <v>265</v>
      </c>
      <c r="C627" s="7" t="s">
        <v>67</v>
      </c>
      <c r="D627" s="8">
        <v>45289</v>
      </c>
      <c r="E627" s="8" t="s">
        <v>0</v>
      </c>
      <c r="F627" s="16" t="s">
        <v>266</v>
      </c>
      <c r="G627" s="7" t="s">
        <v>267</v>
      </c>
      <c r="H627" s="7" t="s">
        <v>261</v>
      </c>
      <c r="I627" s="7" t="s">
        <v>0</v>
      </c>
      <c r="J627" s="7" t="s">
        <v>263</v>
      </c>
      <c r="K627" s="7" t="s">
        <v>47</v>
      </c>
      <c r="L627" s="7" t="s">
        <v>48</v>
      </c>
      <c r="M627" s="7" t="s">
        <v>0</v>
      </c>
      <c r="N627" s="7" t="s">
        <v>260</v>
      </c>
      <c r="O627" s="7" t="s">
        <v>0</v>
      </c>
      <c r="P627" s="7" t="s">
        <v>262</v>
      </c>
      <c r="Q627" s="7" t="s">
        <v>264</v>
      </c>
      <c r="R627" s="7" t="s">
        <v>198</v>
      </c>
      <c r="S627" s="7" t="s">
        <v>198</v>
      </c>
      <c r="T627" s="7" t="s">
        <v>54</v>
      </c>
      <c r="U627" s="7" t="s">
        <v>199</v>
      </c>
      <c r="V627" s="7" t="s">
        <v>126</v>
      </c>
      <c r="W627" s="7" t="s">
        <v>74</v>
      </c>
      <c r="X627" s="7" t="s">
        <v>58</v>
      </c>
      <c r="Y627" s="8">
        <v>45289</v>
      </c>
      <c r="Z627" s="8" t="s">
        <v>0</v>
      </c>
      <c r="AA627" s="7" t="s">
        <v>200</v>
      </c>
      <c r="AB627" s="7" t="s">
        <v>130</v>
      </c>
      <c r="AC627" s="7" t="s">
        <v>65</v>
      </c>
      <c r="AD627" s="7" t="s">
        <v>0</v>
      </c>
      <c r="AE627" s="7" t="s">
        <v>0</v>
      </c>
      <c r="AF627" s="7" t="s">
        <v>0</v>
      </c>
      <c r="AG627" s="7" t="s">
        <v>0</v>
      </c>
      <c r="AH627" s="9" t="s">
        <v>0</v>
      </c>
      <c r="AI627" s="9" t="s">
        <v>0</v>
      </c>
      <c r="AJ627" s="9" t="s">
        <v>0</v>
      </c>
      <c r="AK627" s="7" t="s">
        <v>61</v>
      </c>
      <c r="AL627" s="7" t="s">
        <v>61</v>
      </c>
      <c r="AM627" s="7" t="s">
        <v>0</v>
      </c>
      <c r="AN627" s="7" t="s">
        <v>0</v>
      </c>
      <c r="AO627" s="7" t="s">
        <v>0</v>
      </c>
      <c r="AP627" s="7" t="s">
        <v>0</v>
      </c>
      <c r="AQ627" s="7" t="s">
        <v>61</v>
      </c>
      <c r="AR627" s="7" t="s">
        <v>0</v>
      </c>
      <c r="AS627" s="10" t="str">
        <f>HYPERLINK("https://tessa.gazprom-neft.local/edo/card/551b060c-e780-4fd0-b9e1-3780e32ec344", "https://tessa.gazprom-neft.local/edo/card/551b060c-e780-4fd0-b9e1-3780e32ec344")</f>
        <v>https://tessa.gazprom-neft.local/edo/card/551b060c-e780-4fd0-b9e1-3780e32ec344</v>
      </c>
    </row>
    <row r="628" spans="1:45" x14ac:dyDescent="0.25">
      <c r="A628" s="6" t="s">
        <v>44</v>
      </c>
      <c r="B628" s="7" t="s">
        <v>213</v>
      </c>
      <c r="C628" s="7" t="s">
        <v>67</v>
      </c>
      <c r="D628" s="8">
        <v>45289</v>
      </c>
      <c r="E628" s="8" t="s">
        <v>0</v>
      </c>
      <c r="F628" s="16" t="s">
        <v>214</v>
      </c>
      <c r="G628" s="7" t="s">
        <v>215</v>
      </c>
      <c r="H628" s="7" t="s">
        <v>207</v>
      </c>
      <c r="I628" s="7" t="s">
        <v>0</v>
      </c>
      <c r="J628" s="7" t="s">
        <v>70</v>
      </c>
      <c r="K628" s="7" t="s">
        <v>47</v>
      </c>
      <c r="L628" s="7" t="s">
        <v>48</v>
      </c>
      <c r="M628" s="7" t="s">
        <v>0</v>
      </c>
      <c r="N628" s="7" t="s">
        <v>287</v>
      </c>
      <c r="O628" s="7" t="s">
        <v>0</v>
      </c>
      <c r="P628" s="7" t="s">
        <v>288</v>
      </c>
      <c r="Q628" s="7" t="s">
        <v>197</v>
      </c>
      <c r="R628" s="7" t="s">
        <v>198</v>
      </c>
      <c r="S628" s="7" t="s">
        <v>198</v>
      </c>
      <c r="T628" s="7" t="s">
        <v>54</v>
      </c>
      <c r="U628" s="7" t="s">
        <v>199</v>
      </c>
      <c r="V628" s="7" t="s">
        <v>126</v>
      </c>
      <c r="W628" s="7" t="s">
        <v>74</v>
      </c>
      <c r="X628" s="7" t="s">
        <v>58</v>
      </c>
      <c r="Y628" s="8">
        <v>45289</v>
      </c>
      <c r="Z628" s="8" t="s">
        <v>0</v>
      </c>
      <c r="AA628" s="7" t="s">
        <v>200</v>
      </c>
      <c r="AB628" s="7" t="s">
        <v>64</v>
      </c>
      <c r="AC628" s="7" t="s">
        <v>65</v>
      </c>
      <c r="AD628" s="7" t="s">
        <v>0</v>
      </c>
      <c r="AE628" s="7" t="s">
        <v>0</v>
      </c>
      <c r="AF628" s="7" t="s">
        <v>0</v>
      </c>
      <c r="AG628" s="7" t="s">
        <v>0</v>
      </c>
      <c r="AH628" s="9" t="s">
        <v>0</v>
      </c>
      <c r="AI628" s="9" t="s">
        <v>0</v>
      </c>
      <c r="AJ628" s="9" t="s">
        <v>0</v>
      </c>
      <c r="AK628" s="7" t="s">
        <v>61</v>
      </c>
      <c r="AL628" s="7" t="s">
        <v>61</v>
      </c>
      <c r="AM628" s="7" t="s">
        <v>0</v>
      </c>
      <c r="AN628" s="7" t="s">
        <v>0</v>
      </c>
      <c r="AO628" s="7" t="s">
        <v>0</v>
      </c>
      <c r="AP628" s="7" t="s">
        <v>0</v>
      </c>
      <c r="AQ628" s="7" t="s">
        <v>61</v>
      </c>
      <c r="AR628" s="7" t="s">
        <v>0</v>
      </c>
      <c r="AS628" s="10" t="str">
        <f>HYPERLINK("https://tessa.gazprom-neft.local/edo/card/fa02fc22-400c-43b2-8773-de6ea479167e", "https://tessa.gazprom-neft.local/edo/card/fa02fc22-400c-43b2-8773-de6ea479167e")</f>
        <v>https://tessa.gazprom-neft.local/edo/card/fa02fc22-400c-43b2-8773-de6ea479167e</v>
      </c>
    </row>
    <row r="629" spans="1:45" hidden="1" x14ac:dyDescent="0.25">
      <c r="A629" s="6" t="s">
        <v>44</v>
      </c>
      <c r="B629" s="7" t="s">
        <v>284</v>
      </c>
      <c r="C629" s="7" t="s">
        <v>67</v>
      </c>
      <c r="D629" s="8">
        <v>45289</v>
      </c>
      <c r="E629" s="8" t="s">
        <v>0</v>
      </c>
      <c r="F629" s="16" t="s">
        <v>285</v>
      </c>
      <c r="G629" s="7" t="s">
        <v>286</v>
      </c>
      <c r="H629" s="7" t="s">
        <v>770</v>
      </c>
      <c r="I629" s="7" t="s">
        <v>0</v>
      </c>
      <c r="J629" s="7" t="s">
        <v>51</v>
      </c>
      <c r="K629" s="7" t="s">
        <v>47</v>
      </c>
      <c r="L629" s="7" t="s">
        <v>389</v>
      </c>
      <c r="M629" s="7" t="s">
        <v>0</v>
      </c>
      <c r="N629" s="7" t="s">
        <v>769</v>
      </c>
      <c r="O629" s="7" t="s">
        <v>271</v>
      </c>
      <c r="P629" s="7" t="s">
        <v>771</v>
      </c>
      <c r="Q629" s="7" t="s">
        <v>772</v>
      </c>
      <c r="R629" s="7" t="s">
        <v>198</v>
      </c>
      <c r="S629" s="7" t="s">
        <v>198</v>
      </c>
      <c r="T629" s="7" t="s">
        <v>54</v>
      </c>
      <c r="U629" s="7" t="s">
        <v>199</v>
      </c>
      <c r="V629" s="7" t="s">
        <v>126</v>
      </c>
      <c r="W629" s="7" t="s">
        <v>74</v>
      </c>
      <c r="X629" s="7" t="s">
        <v>103</v>
      </c>
      <c r="Y629" s="8">
        <v>45189</v>
      </c>
      <c r="Z629" s="8">
        <v>45657</v>
      </c>
      <c r="AA629" s="7" t="s">
        <v>200</v>
      </c>
      <c r="AB629" s="7" t="s">
        <v>423</v>
      </c>
      <c r="AC629" s="7" t="s">
        <v>65</v>
      </c>
      <c r="AD629" s="7" t="s">
        <v>144</v>
      </c>
      <c r="AE629" s="7" t="s">
        <v>0</v>
      </c>
      <c r="AF629" s="7" t="s">
        <v>0</v>
      </c>
      <c r="AG629" s="7" t="s">
        <v>0</v>
      </c>
      <c r="AH629" s="9" t="s">
        <v>0</v>
      </c>
      <c r="AI629" s="9" t="s">
        <v>0</v>
      </c>
      <c r="AJ629" s="9" t="s">
        <v>0</v>
      </c>
      <c r="AK629" s="7" t="s">
        <v>61</v>
      </c>
      <c r="AL629" s="7" t="s">
        <v>61</v>
      </c>
      <c r="AM629" s="7" t="s">
        <v>0</v>
      </c>
      <c r="AN629" s="7" t="s">
        <v>0</v>
      </c>
      <c r="AO629" s="7" t="s">
        <v>0</v>
      </c>
      <c r="AP629" s="7" t="s">
        <v>0</v>
      </c>
      <c r="AQ629" s="7" t="s">
        <v>61</v>
      </c>
      <c r="AR629" s="7" t="s">
        <v>0</v>
      </c>
      <c r="AS629" s="10" t="str">
        <f>HYPERLINK("https://tessa.gazprom-neft.local/edo/card/c7d3ac05-ab7d-48a7-80b7-09fc75d14830", "https://tessa.gazprom-neft.local/edo/card/c7d3ac05-ab7d-48a7-80b7-09fc75d14830")</f>
        <v>https://tessa.gazprom-neft.local/edo/card/c7d3ac05-ab7d-48a7-80b7-09fc75d14830</v>
      </c>
    </row>
    <row r="630" spans="1:45" hidden="1" x14ac:dyDescent="0.25">
      <c r="A630" s="6" t="s">
        <v>44</v>
      </c>
      <c r="B630" s="7" t="s">
        <v>2001</v>
      </c>
      <c r="C630" s="7" t="s">
        <v>67</v>
      </c>
      <c r="D630" s="8">
        <v>45289</v>
      </c>
      <c r="E630" s="8" t="s">
        <v>0</v>
      </c>
      <c r="F630" s="16" t="s">
        <v>2002</v>
      </c>
      <c r="G630" s="7" t="s">
        <v>2003</v>
      </c>
      <c r="H630" s="7" t="s">
        <v>1998</v>
      </c>
      <c r="I630" s="7" t="s">
        <v>0</v>
      </c>
      <c r="J630" s="7" t="s">
        <v>316</v>
      </c>
      <c r="K630" s="7" t="s">
        <v>47</v>
      </c>
      <c r="L630" s="7" t="s">
        <v>239</v>
      </c>
      <c r="M630" s="7" t="s">
        <v>0</v>
      </c>
      <c r="N630" s="7" t="s">
        <v>8691</v>
      </c>
      <c r="O630" s="7" t="s">
        <v>0</v>
      </c>
      <c r="P630" s="7" t="s">
        <v>8692</v>
      </c>
      <c r="Q630" s="7" t="s">
        <v>8693</v>
      </c>
      <c r="R630" s="7" t="s">
        <v>393</v>
      </c>
      <c r="S630" s="7" t="s">
        <v>1503</v>
      </c>
      <c r="T630" s="7" t="s">
        <v>54</v>
      </c>
      <c r="U630" s="7" t="s">
        <v>283</v>
      </c>
      <c r="V630" s="7" t="s">
        <v>168</v>
      </c>
      <c r="W630" s="7" t="s">
        <v>74</v>
      </c>
      <c r="X630" s="7" t="s">
        <v>58</v>
      </c>
      <c r="Y630" s="8">
        <v>45292</v>
      </c>
      <c r="Z630" s="8" t="s">
        <v>0</v>
      </c>
      <c r="AA630" s="7" t="s">
        <v>169</v>
      </c>
      <c r="AB630" s="7" t="s">
        <v>130</v>
      </c>
      <c r="AC630" s="7" t="s">
        <v>79</v>
      </c>
      <c r="AD630" s="7" t="s">
        <v>144</v>
      </c>
      <c r="AE630" s="7" t="s">
        <v>82</v>
      </c>
      <c r="AF630" s="7" t="s">
        <v>0</v>
      </c>
      <c r="AG630" s="7" t="s">
        <v>0</v>
      </c>
      <c r="AH630" s="9" t="s">
        <v>13653</v>
      </c>
      <c r="AI630" s="9" t="s">
        <v>13654</v>
      </c>
      <c r="AJ630" s="9" t="s">
        <v>13655</v>
      </c>
      <c r="AK630" s="7" t="s">
        <v>61</v>
      </c>
      <c r="AL630" s="7" t="s">
        <v>61</v>
      </c>
      <c r="AM630" s="7" t="s">
        <v>0</v>
      </c>
      <c r="AN630" s="7" t="s">
        <v>0</v>
      </c>
      <c r="AO630" s="7" t="s">
        <v>0</v>
      </c>
      <c r="AP630" s="7" t="s">
        <v>0</v>
      </c>
      <c r="AQ630" s="7" t="s">
        <v>61</v>
      </c>
      <c r="AR630" s="7" t="s">
        <v>0</v>
      </c>
      <c r="AS630" s="10" t="str">
        <f>HYPERLINK("https://tessa.gazprom-neft.local/edo/card/1ec9ea67-896e-4854-979b-fcf1c1fa1991", "https://tessa.gazprom-neft.local/edo/card/1ec9ea67-896e-4854-979b-fcf1c1fa1991")</f>
        <v>https://tessa.gazprom-neft.local/edo/card/1ec9ea67-896e-4854-979b-fcf1c1fa1991</v>
      </c>
    </row>
    <row r="631" spans="1:45" hidden="1" x14ac:dyDescent="0.25">
      <c r="A631" s="6" t="s">
        <v>44</v>
      </c>
      <c r="B631" s="7" t="s">
        <v>2001</v>
      </c>
      <c r="C631" s="7" t="s">
        <v>67</v>
      </c>
      <c r="D631" s="8">
        <v>45289</v>
      </c>
      <c r="E631" s="8" t="s">
        <v>0</v>
      </c>
      <c r="F631" s="16" t="s">
        <v>2002</v>
      </c>
      <c r="G631" s="7" t="s">
        <v>2003</v>
      </c>
      <c r="H631" s="7" t="s">
        <v>1998</v>
      </c>
      <c r="I631" s="7" t="s">
        <v>0</v>
      </c>
      <c r="J631" s="7" t="s">
        <v>331</v>
      </c>
      <c r="K631" s="7" t="s">
        <v>47</v>
      </c>
      <c r="L631" s="7" t="s">
        <v>239</v>
      </c>
      <c r="M631" s="7" t="s">
        <v>0</v>
      </c>
      <c r="N631" s="7" t="s">
        <v>8760</v>
      </c>
      <c r="O631" s="7" t="s">
        <v>0</v>
      </c>
      <c r="P631" s="7" t="s">
        <v>8761</v>
      </c>
      <c r="Q631" s="7" t="s">
        <v>8762</v>
      </c>
      <c r="R631" s="7" t="s">
        <v>393</v>
      </c>
      <c r="S631" s="7" t="s">
        <v>1503</v>
      </c>
      <c r="T631" s="7" t="s">
        <v>54</v>
      </c>
      <c r="U631" s="7" t="s">
        <v>283</v>
      </c>
      <c r="V631" s="7" t="s">
        <v>168</v>
      </c>
      <c r="W631" s="7" t="s">
        <v>74</v>
      </c>
      <c r="X631" s="7" t="s">
        <v>58</v>
      </c>
      <c r="Y631" s="8">
        <v>44927</v>
      </c>
      <c r="Z631" s="8" t="s">
        <v>0</v>
      </c>
      <c r="AA631" s="7" t="s">
        <v>169</v>
      </c>
      <c r="AB631" s="7" t="s">
        <v>130</v>
      </c>
      <c r="AC631" s="7" t="s">
        <v>79</v>
      </c>
      <c r="AD631" s="7" t="s">
        <v>144</v>
      </c>
      <c r="AE631" s="7" t="s">
        <v>82</v>
      </c>
      <c r="AF631" s="7" t="s">
        <v>0</v>
      </c>
      <c r="AG631" s="7" t="s">
        <v>0</v>
      </c>
      <c r="AH631" s="9" t="s">
        <v>13678</v>
      </c>
      <c r="AI631" s="9" t="s">
        <v>13679</v>
      </c>
      <c r="AJ631" s="9" t="s">
        <v>13680</v>
      </c>
      <c r="AK631" s="7" t="s">
        <v>61</v>
      </c>
      <c r="AL631" s="7" t="s">
        <v>61</v>
      </c>
      <c r="AM631" s="7" t="s">
        <v>0</v>
      </c>
      <c r="AN631" s="7" t="s">
        <v>0</v>
      </c>
      <c r="AO631" s="7" t="s">
        <v>0</v>
      </c>
      <c r="AP631" s="7" t="s">
        <v>0</v>
      </c>
      <c r="AQ631" s="7" t="s">
        <v>61</v>
      </c>
      <c r="AR631" s="7" t="s">
        <v>0</v>
      </c>
      <c r="AS631" s="10" t="str">
        <f>HYPERLINK("https://tessa.gazprom-neft.local/edo/card/6bbebf44-fe1b-4115-8799-579db4030092", "https://tessa.gazprom-neft.local/edo/card/6bbebf44-fe1b-4115-8799-579db4030092")</f>
        <v>https://tessa.gazprom-neft.local/edo/card/6bbebf44-fe1b-4115-8799-579db4030092</v>
      </c>
    </row>
    <row r="632" spans="1:45" hidden="1" x14ac:dyDescent="0.25">
      <c r="A632" s="6" t="s">
        <v>44</v>
      </c>
      <c r="B632" s="7" t="s">
        <v>2001</v>
      </c>
      <c r="C632" s="7" t="s">
        <v>67</v>
      </c>
      <c r="D632" s="8">
        <v>45289</v>
      </c>
      <c r="E632" s="8" t="s">
        <v>0</v>
      </c>
      <c r="F632" s="16" t="s">
        <v>2002</v>
      </c>
      <c r="G632" s="7" t="s">
        <v>2003</v>
      </c>
      <c r="H632" s="7" t="s">
        <v>1998</v>
      </c>
      <c r="I632" s="7" t="s">
        <v>0</v>
      </c>
      <c r="J632" s="7" t="s">
        <v>263</v>
      </c>
      <c r="K632" s="7" t="s">
        <v>47</v>
      </c>
      <c r="L632" s="7" t="s">
        <v>239</v>
      </c>
      <c r="M632" s="7" t="s">
        <v>0</v>
      </c>
      <c r="N632" s="7" t="s">
        <v>8770</v>
      </c>
      <c r="O632" s="7" t="s">
        <v>0</v>
      </c>
      <c r="P632" s="7" t="s">
        <v>8771</v>
      </c>
      <c r="Q632" s="7" t="s">
        <v>8772</v>
      </c>
      <c r="R632" s="7" t="s">
        <v>393</v>
      </c>
      <c r="S632" s="7" t="s">
        <v>1503</v>
      </c>
      <c r="T632" s="7" t="s">
        <v>54</v>
      </c>
      <c r="U632" s="7" t="s">
        <v>283</v>
      </c>
      <c r="V632" s="7" t="s">
        <v>168</v>
      </c>
      <c r="W632" s="7" t="s">
        <v>74</v>
      </c>
      <c r="X632" s="7" t="s">
        <v>58</v>
      </c>
      <c r="Y632" s="8">
        <v>45292</v>
      </c>
      <c r="Z632" s="8" t="s">
        <v>0</v>
      </c>
      <c r="AA632" s="7" t="s">
        <v>169</v>
      </c>
      <c r="AB632" s="7" t="s">
        <v>130</v>
      </c>
      <c r="AC632" s="7" t="s">
        <v>79</v>
      </c>
      <c r="AD632" s="7" t="s">
        <v>144</v>
      </c>
      <c r="AE632" s="7" t="s">
        <v>82</v>
      </c>
      <c r="AF632" s="7" t="s">
        <v>0</v>
      </c>
      <c r="AG632" s="7" t="s">
        <v>0</v>
      </c>
      <c r="AH632" s="9" t="s">
        <v>13687</v>
      </c>
      <c r="AI632" s="9" t="s">
        <v>13688</v>
      </c>
      <c r="AJ632" s="9" t="s">
        <v>13689</v>
      </c>
      <c r="AK632" s="7" t="s">
        <v>61</v>
      </c>
      <c r="AL632" s="7" t="s">
        <v>61</v>
      </c>
      <c r="AM632" s="7" t="s">
        <v>0</v>
      </c>
      <c r="AN632" s="7" t="s">
        <v>0</v>
      </c>
      <c r="AO632" s="7" t="s">
        <v>0</v>
      </c>
      <c r="AP632" s="7" t="s">
        <v>0</v>
      </c>
      <c r="AQ632" s="7" t="s">
        <v>61</v>
      </c>
      <c r="AR632" s="7" t="s">
        <v>0</v>
      </c>
      <c r="AS632" s="10" t="str">
        <f>HYPERLINK("https://tessa.gazprom-neft.local/edo/card/670d3be9-3806-4d43-8a75-7e1efec9ce0d", "https://tessa.gazprom-neft.local/edo/card/670d3be9-3806-4d43-8a75-7e1efec9ce0d")</f>
        <v>https://tessa.gazprom-neft.local/edo/card/670d3be9-3806-4d43-8a75-7e1efec9ce0d</v>
      </c>
    </row>
    <row r="633" spans="1:45" hidden="1" x14ac:dyDescent="0.25">
      <c r="A633" s="6" t="s">
        <v>44</v>
      </c>
      <c r="B633" s="7" t="s">
        <v>8792</v>
      </c>
      <c r="C633" s="7" t="s">
        <v>67</v>
      </c>
      <c r="D633" s="8">
        <v>45289</v>
      </c>
      <c r="E633" s="8" t="s">
        <v>0</v>
      </c>
      <c r="F633" s="16" t="s">
        <v>8793</v>
      </c>
      <c r="G633" s="7" t="s">
        <v>8794</v>
      </c>
      <c r="H633" s="7" t="s">
        <v>0</v>
      </c>
      <c r="I633" s="7" t="s">
        <v>8789</v>
      </c>
      <c r="J633" s="7" t="s">
        <v>8789</v>
      </c>
      <c r="K633" s="7" t="s">
        <v>47</v>
      </c>
      <c r="L633" s="7" t="s">
        <v>96</v>
      </c>
      <c r="M633" s="7" t="s">
        <v>0</v>
      </c>
      <c r="N633" s="7" t="s">
        <v>8788</v>
      </c>
      <c r="O633" s="7" t="s">
        <v>0</v>
      </c>
      <c r="P633" s="7" t="s">
        <v>8790</v>
      </c>
      <c r="Q633" s="7" t="s">
        <v>8791</v>
      </c>
      <c r="R633" s="7" t="s">
        <v>2788</v>
      </c>
      <c r="S633" s="7" t="s">
        <v>2788</v>
      </c>
      <c r="T633" s="7" t="s">
        <v>54</v>
      </c>
      <c r="U633" s="7" t="s">
        <v>55</v>
      </c>
      <c r="V633" s="7" t="s">
        <v>56</v>
      </c>
      <c r="W633" s="7" t="s">
        <v>57</v>
      </c>
      <c r="X633" s="7" t="s">
        <v>58</v>
      </c>
      <c r="Y633" s="8">
        <v>45292</v>
      </c>
      <c r="Z633" s="8" t="s">
        <v>0</v>
      </c>
      <c r="AA633" s="7" t="s">
        <v>59</v>
      </c>
      <c r="AB633" s="7" t="s">
        <v>1408</v>
      </c>
      <c r="AC633" s="7" t="s">
        <v>79</v>
      </c>
      <c r="AD633" s="7" t="s">
        <v>80</v>
      </c>
      <c r="AE633" s="7" t="s">
        <v>118</v>
      </c>
      <c r="AF633" s="7" t="s">
        <v>0</v>
      </c>
      <c r="AG633" s="7" t="s">
        <v>0</v>
      </c>
      <c r="AH633" s="9" t="s">
        <v>13693</v>
      </c>
      <c r="AI633" s="9" t="s">
        <v>13693</v>
      </c>
      <c r="AJ633" s="9">
        <v>0</v>
      </c>
      <c r="AK633" s="7" t="s">
        <v>61</v>
      </c>
      <c r="AL633" s="7" t="s">
        <v>61</v>
      </c>
      <c r="AM633" s="7" t="s">
        <v>0</v>
      </c>
      <c r="AN633" s="7" t="s">
        <v>0</v>
      </c>
      <c r="AO633" s="7" t="s">
        <v>0</v>
      </c>
      <c r="AP633" s="7" t="s">
        <v>0</v>
      </c>
      <c r="AQ633" s="7" t="s">
        <v>61</v>
      </c>
      <c r="AR633" s="7" t="s">
        <v>0</v>
      </c>
      <c r="AS633" s="10" t="str">
        <f>HYPERLINK("https://tessa.gazprom-neft.local/edo/card/46664002-8e10-4cc8-a3f6-7c8bfffc75c2", "https://tessa.gazprom-neft.local/edo/card/46664002-8e10-4cc8-a3f6-7c8bfffc75c2")</f>
        <v>https://tessa.gazprom-neft.local/edo/card/46664002-8e10-4cc8-a3f6-7c8bfffc75c2</v>
      </c>
    </row>
    <row r="634" spans="1:45" x14ac:dyDescent="0.25">
      <c r="A634" s="6" t="s">
        <v>44</v>
      </c>
      <c r="B634" s="7" t="s">
        <v>4071</v>
      </c>
      <c r="C634" s="7" t="s">
        <v>67</v>
      </c>
      <c r="D634" s="8">
        <v>45289</v>
      </c>
      <c r="E634" s="8" t="s">
        <v>0</v>
      </c>
      <c r="F634" s="16" t="s">
        <v>4072</v>
      </c>
      <c r="G634" s="7" t="s">
        <v>4073</v>
      </c>
      <c r="H634" s="7" t="s">
        <v>4580</v>
      </c>
      <c r="I634" s="7" t="s">
        <v>0</v>
      </c>
      <c r="J634" s="7" t="s">
        <v>316</v>
      </c>
      <c r="K634" s="7" t="s">
        <v>47</v>
      </c>
      <c r="L634" s="7" t="s">
        <v>48</v>
      </c>
      <c r="M634" s="7" t="s">
        <v>0</v>
      </c>
      <c r="N634" s="7" t="s">
        <v>8804</v>
      </c>
      <c r="O634" s="7" t="s">
        <v>0</v>
      </c>
      <c r="P634" s="7" t="s">
        <v>8805</v>
      </c>
      <c r="Q634" s="7" t="s">
        <v>8806</v>
      </c>
      <c r="R634" s="7" t="s">
        <v>519</v>
      </c>
      <c r="S634" s="7" t="s">
        <v>519</v>
      </c>
      <c r="T634" s="7" t="s">
        <v>54</v>
      </c>
      <c r="U634" s="7" t="s">
        <v>4582</v>
      </c>
      <c r="V634" s="7" t="s">
        <v>295</v>
      </c>
      <c r="W634" s="7" t="s">
        <v>74</v>
      </c>
      <c r="X634" s="7" t="s">
        <v>103</v>
      </c>
      <c r="Y634" s="8">
        <v>45289</v>
      </c>
      <c r="Z634" s="8">
        <v>45657</v>
      </c>
      <c r="AA634" s="7" t="s">
        <v>296</v>
      </c>
      <c r="AB634" s="7" t="s">
        <v>130</v>
      </c>
      <c r="AC634" s="7" t="s">
        <v>79</v>
      </c>
      <c r="AD634" s="7" t="s">
        <v>514</v>
      </c>
      <c r="AE634" s="7" t="s">
        <v>82</v>
      </c>
      <c r="AF634" s="7" t="s">
        <v>0</v>
      </c>
      <c r="AG634" s="7" t="s">
        <v>0</v>
      </c>
      <c r="AH634" s="9" t="s">
        <v>13700</v>
      </c>
      <c r="AI634" s="9" t="s">
        <v>13701</v>
      </c>
      <c r="AJ634" s="9" t="s">
        <v>13702</v>
      </c>
      <c r="AK634" s="7" t="s">
        <v>61</v>
      </c>
      <c r="AL634" s="7" t="s">
        <v>61</v>
      </c>
      <c r="AM634" s="7" t="s">
        <v>0</v>
      </c>
      <c r="AN634" s="7" t="s">
        <v>0</v>
      </c>
      <c r="AO634" s="7" t="s">
        <v>0</v>
      </c>
      <c r="AP634" s="7" t="s">
        <v>0</v>
      </c>
      <c r="AQ634" s="7" t="s">
        <v>61</v>
      </c>
      <c r="AR634" s="7" t="s">
        <v>0</v>
      </c>
      <c r="AS634" s="10" t="str">
        <f>HYPERLINK("https://tessa.gazprom-neft.local/edo/card/65cf31aa-c304-460b-9f76-85d486972eaa", "https://tessa.gazprom-neft.local/edo/card/65cf31aa-c304-460b-9f76-85d486972eaa")</f>
        <v>https://tessa.gazprom-neft.local/edo/card/65cf31aa-c304-460b-9f76-85d486972eaa</v>
      </c>
    </row>
    <row r="635" spans="1:45" hidden="1" x14ac:dyDescent="0.25">
      <c r="A635" s="6" t="s">
        <v>44</v>
      </c>
      <c r="B635" s="7" t="s">
        <v>114</v>
      </c>
      <c r="C635" s="7" t="s">
        <v>67</v>
      </c>
      <c r="D635" s="8">
        <v>45289</v>
      </c>
      <c r="E635" s="8" t="s">
        <v>0</v>
      </c>
      <c r="F635" s="16" t="s">
        <v>115</v>
      </c>
      <c r="G635" s="7" t="s">
        <v>116</v>
      </c>
      <c r="H635" s="7" t="s">
        <v>0</v>
      </c>
      <c r="I635" s="7" t="s">
        <v>4046</v>
      </c>
      <c r="J635" s="7" t="s">
        <v>4046</v>
      </c>
      <c r="K635" s="7" t="s">
        <v>47</v>
      </c>
      <c r="L635" s="7" t="s">
        <v>96</v>
      </c>
      <c r="M635" s="7" t="s">
        <v>0</v>
      </c>
      <c r="N635" s="7" t="s">
        <v>8835</v>
      </c>
      <c r="O635" s="7" t="s">
        <v>0</v>
      </c>
      <c r="P635" s="7" t="s">
        <v>8836</v>
      </c>
      <c r="Q635" s="7" t="s">
        <v>8837</v>
      </c>
      <c r="R635" s="7" t="s">
        <v>907</v>
      </c>
      <c r="S635" s="7" t="s">
        <v>907</v>
      </c>
      <c r="T635" s="7" t="s">
        <v>54</v>
      </c>
      <c r="U635" s="7" t="s">
        <v>111</v>
      </c>
      <c r="V635" s="7" t="s">
        <v>112</v>
      </c>
      <c r="W635" s="7" t="s">
        <v>57</v>
      </c>
      <c r="X635" s="7" t="s">
        <v>103</v>
      </c>
      <c r="Y635" s="8">
        <v>45292</v>
      </c>
      <c r="Z635" s="8">
        <v>45657</v>
      </c>
      <c r="AA635" s="7" t="s">
        <v>113</v>
      </c>
      <c r="AB635" s="7" t="s">
        <v>117</v>
      </c>
      <c r="AC635" s="7" t="s">
        <v>79</v>
      </c>
      <c r="AD635" s="7" t="s">
        <v>367</v>
      </c>
      <c r="AE635" s="7" t="s">
        <v>118</v>
      </c>
      <c r="AF635" s="7" t="s">
        <v>0</v>
      </c>
      <c r="AG635" s="7" t="s">
        <v>0</v>
      </c>
      <c r="AH635" s="9" t="s">
        <v>13710</v>
      </c>
      <c r="AI635" s="9" t="s">
        <v>13710</v>
      </c>
      <c r="AJ635" s="9">
        <v>0</v>
      </c>
      <c r="AK635" s="7" t="s">
        <v>61</v>
      </c>
      <c r="AL635" s="7" t="s">
        <v>61</v>
      </c>
      <c r="AM635" s="7" t="s">
        <v>0</v>
      </c>
      <c r="AN635" s="7" t="s">
        <v>0</v>
      </c>
      <c r="AO635" s="7" t="s">
        <v>0</v>
      </c>
      <c r="AP635" s="7" t="s">
        <v>0</v>
      </c>
      <c r="AQ635" s="7" t="s">
        <v>61</v>
      </c>
      <c r="AR635" s="7" t="s">
        <v>0</v>
      </c>
      <c r="AS635" s="10" t="str">
        <f>HYPERLINK("https://tessa.gazprom-neft.local/edo/card/5aa219c5-9614-4278-9a54-2da90c1cc007", "https://tessa.gazprom-neft.local/edo/card/5aa219c5-9614-4278-9a54-2da90c1cc007")</f>
        <v>https://tessa.gazprom-neft.local/edo/card/5aa219c5-9614-4278-9a54-2da90c1cc007</v>
      </c>
    </row>
    <row r="636" spans="1:45" hidden="1" x14ac:dyDescent="0.25">
      <c r="A636" s="6" t="s">
        <v>44</v>
      </c>
      <c r="B636" s="7" t="s">
        <v>170</v>
      </c>
      <c r="C636" s="7" t="s">
        <v>67</v>
      </c>
      <c r="D636" s="8">
        <v>45289</v>
      </c>
      <c r="E636" s="8" t="s">
        <v>0</v>
      </c>
      <c r="F636" s="16" t="s">
        <v>171</v>
      </c>
      <c r="G636" s="7" t="s">
        <v>172</v>
      </c>
      <c r="H636" s="7" t="s">
        <v>1109</v>
      </c>
      <c r="I636" s="7" t="s">
        <v>0</v>
      </c>
      <c r="J636" s="7" t="s">
        <v>70</v>
      </c>
      <c r="K636" s="7" t="s">
        <v>47</v>
      </c>
      <c r="L636" s="7" t="s">
        <v>763</v>
      </c>
      <c r="M636" s="7" t="s">
        <v>0</v>
      </c>
      <c r="N636" s="7" t="s">
        <v>8907</v>
      </c>
      <c r="O636" s="7" t="s">
        <v>0</v>
      </c>
      <c r="P636" s="7" t="s">
        <v>8908</v>
      </c>
      <c r="Q636" s="7" t="s">
        <v>8909</v>
      </c>
      <c r="R636" s="7" t="s">
        <v>124</v>
      </c>
      <c r="S636" s="7" t="s">
        <v>0</v>
      </c>
      <c r="T636" s="7" t="s">
        <v>54</v>
      </c>
      <c r="U636" s="7" t="s">
        <v>101</v>
      </c>
      <c r="V636" s="7" t="s">
        <v>168</v>
      </c>
      <c r="W636" s="7" t="s">
        <v>74</v>
      </c>
      <c r="X636" s="7" t="s">
        <v>58</v>
      </c>
      <c r="Y636" s="8">
        <v>45289</v>
      </c>
      <c r="Z636" s="8" t="s">
        <v>0</v>
      </c>
      <c r="AA636" s="7" t="s">
        <v>169</v>
      </c>
      <c r="AB636" s="7" t="s">
        <v>64</v>
      </c>
      <c r="AC636" s="7" t="s">
        <v>79</v>
      </c>
      <c r="AD636" s="7" t="s">
        <v>80</v>
      </c>
      <c r="AE636" s="7" t="s">
        <v>82</v>
      </c>
      <c r="AF636" s="7" t="s">
        <v>0</v>
      </c>
      <c r="AG636" s="7" t="s">
        <v>0</v>
      </c>
      <c r="AH636" s="9" t="s">
        <v>13743</v>
      </c>
      <c r="AI636" s="9" t="s">
        <v>13744</v>
      </c>
      <c r="AJ636" s="9" t="s">
        <v>13745</v>
      </c>
      <c r="AK636" s="7" t="s">
        <v>61</v>
      </c>
      <c r="AL636" s="7" t="s">
        <v>61</v>
      </c>
      <c r="AM636" s="7" t="s">
        <v>0</v>
      </c>
      <c r="AN636" s="7" t="s">
        <v>0</v>
      </c>
      <c r="AO636" s="7" t="s">
        <v>0</v>
      </c>
      <c r="AP636" s="7" t="s">
        <v>0</v>
      </c>
      <c r="AQ636" s="7" t="s">
        <v>61</v>
      </c>
      <c r="AR636" s="7" t="s">
        <v>0</v>
      </c>
      <c r="AS636" s="10" t="str">
        <f>HYPERLINK("https://tessa.gazprom-neft.local/edo/card/df08f1ab-e9b6-4adc-ab91-1ca7d7609fb0", "https://tessa.gazprom-neft.local/edo/card/df08f1ab-e9b6-4adc-ab91-1ca7d7609fb0")</f>
        <v>https://tessa.gazprom-neft.local/edo/card/df08f1ab-e9b6-4adc-ab91-1ca7d7609fb0</v>
      </c>
    </row>
    <row r="637" spans="1:45" x14ac:dyDescent="0.25">
      <c r="A637" s="6" t="s">
        <v>44</v>
      </c>
      <c r="B637" s="7" t="s">
        <v>582</v>
      </c>
      <c r="C637" s="7" t="s">
        <v>67</v>
      </c>
      <c r="D637" s="8">
        <v>45289</v>
      </c>
      <c r="E637" s="8" t="s">
        <v>0</v>
      </c>
      <c r="F637" s="16" t="s">
        <v>583</v>
      </c>
      <c r="G637" s="7" t="s">
        <v>584</v>
      </c>
      <c r="H637" s="7" t="s">
        <v>822</v>
      </c>
      <c r="I637" s="7" t="s">
        <v>0</v>
      </c>
      <c r="J637" s="7" t="s">
        <v>51</v>
      </c>
      <c r="K637" s="7" t="s">
        <v>47</v>
      </c>
      <c r="L637" s="7" t="s">
        <v>48</v>
      </c>
      <c r="M637" s="7" t="s">
        <v>0</v>
      </c>
      <c r="N637" s="7" t="s">
        <v>8987</v>
      </c>
      <c r="O637" s="7" t="s">
        <v>0</v>
      </c>
      <c r="P637" s="7" t="s">
        <v>8988</v>
      </c>
      <c r="Q637" s="7" t="s">
        <v>8363</v>
      </c>
      <c r="R637" s="7" t="s">
        <v>361</v>
      </c>
      <c r="S637" s="7" t="s">
        <v>361</v>
      </c>
      <c r="T637" s="7" t="s">
        <v>54</v>
      </c>
      <c r="U637" s="7" t="s">
        <v>362</v>
      </c>
      <c r="V637" s="7" t="s">
        <v>295</v>
      </c>
      <c r="W637" s="7" t="s">
        <v>74</v>
      </c>
      <c r="X637" s="7" t="s">
        <v>103</v>
      </c>
      <c r="Y637" s="8">
        <v>45292</v>
      </c>
      <c r="Z637" s="8">
        <v>45657</v>
      </c>
      <c r="AA637" s="7" t="s">
        <v>296</v>
      </c>
      <c r="AB637" s="7" t="s">
        <v>366</v>
      </c>
      <c r="AC637" s="7" t="s">
        <v>65</v>
      </c>
      <c r="AD637" s="7" t="s">
        <v>367</v>
      </c>
      <c r="AE637" s="7" t="s">
        <v>0</v>
      </c>
      <c r="AF637" s="7" t="s">
        <v>0</v>
      </c>
      <c r="AG637" s="7" t="s">
        <v>0</v>
      </c>
      <c r="AH637" s="9" t="s">
        <v>0</v>
      </c>
      <c r="AI637" s="9" t="s">
        <v>0</v>
      </c>
      <c r="AJ637" s="9" t="s">
        <v>0</v>
      </c>
      <c r="AK637" s="7" t="s">
        <v>61</v>
      </c>
      <c r="AL637" s="7" t="s">
        <v>61</v>
      </c>
      <c r="AM637" s="7" t="s">
        <v>0</v>
      </c>
      <c r="AN637" s="7" t="s">
        <v>0</v>
      </c>
      <c r="AO637" s="7" t="s">
        <v>0</v>
      </c>
      <c r="AP637" s="7" t="s">
        <v>0</v>
      </c>
      <c r="AQ637" s="7" t="s">
        <v>61</v>
      </c>
      <c r="AR637" s="7" t="s">
        <v>0</v>
      </c>
      <c r="AS637" s="10" t="str">
        <f>HYPERLINK("https://tessa.gazprom-neft.local/edo/card/118b9070-0d5b-4acc-a039-6cc82e914131", "https://tessa.gazprom-neft.local/edo/card/118b9070-0d5b-4acc-a039-6cc82e914131")</f>
        <v>https://tessa.gazprom-neft.local/edo/card/118b9070-0d5b-4acc-a039-6cc82e914131</v>
      </c>
    </row>
    <row r="638" spans="1:45" x14ac:dyDescent="0.25">
      <c r="A638" s="6" t="s">
        <v>44</v>
      </c>
      <c r="B638" s="7" t="s">
        <v>350</v>
      </c>
      <c r="C638" s="7" t="s">
        <v>67</v>
      </c>
      <c r="D638" s="8">
        <v>45289</v>
      </c>
      <c r="E638" s="8" t="s">
        <v>0</v>
      </c>
      <c r="F638" s="16" t="s">
        <v>1027</v>
      </c>
      <c r="G638" s="7" t="s">
        <v>352</v>
      </c>
      <c r="H638" s="7" t="s">
        <v>1024</v>
      </c>
      <c r="I638" s="7" t="s">
        <v>0</v>
      </c>
      <c r="J638" s="7" t="s">
        <v>936</v>
      </c>
      <c r="K638" s="7" t="s">
        <v>47</v>
      </c>
      <c r="L638" s="7" t="s">
        <v>48</v>
      </c>
      <c r="M638" s="7" t="s">
        <v>0</v>
      </c>
      <c r="N638" s="7" t="s">
        <v>9042</v>
      </c>
      <c r="O638" s="7" t="s">
        <v>0</v>
      </c>
      <c r="P638" s="7" t="s">
        <v>9043</v>
      </c>
      <c r="Q638" s="7" t="s">
        <v>9044</v>
      </c>
      <c r="R638" s="7" t="s">
        <v>124</v>
      </c>
      <c r="S638" s="7" t="s">
        <v>0</v>
      </c>
      <c r="T638" s="7" t="s">
        <v>54</v>
      </c>
      <c r="U638" s="7" t="s">
        <v>101</v>
      </c>
      <c r="V638" s="7" t="s">
        <v>308</v>
      </c>
      <c r="W638" s="7" t="s">
        <v>57</v>
      </c>
      <c r="X638" s="7" t="s">
        <v>58</v>
      </c>
      <c r="Y638" s="8">
        <v>45289</v>
      </c>
      <c r="Z638" s="8" t="s">
        <v>0</v>
      </c>
      <c r="AA638" s="7" t="s">
        <v>309</v>
      </c>
      <c r="AB638" s="7" t="s">
        <v>64</v>
      </c>
      <c r="AC638" s="7" t="s">
        <v>79</v>
      </c>
      <c r="AD638" s="7" t="s">
        <v>80</v>
      </c>
      <c r="AE638" s="7" t="s">
        <v>82</v>
      </c>
      <c r="AF638" s="7" t="s">
        <v>0</v>
      </c>
      <c r="AG638" s="7" t="s">
        <v>0</v>
      </c>
      <c r="AH638" s="9" t="s">
        <v>12768</v>
      </c>
      <c r="AI638" s="9" t="s">
        <v>12769</v>
      </c>
      <c r="AJ638" s="9" t="s">
        <v>12770</v>
      </c>
      <c r="AK638" s="7" t="s">
        <v>61</v>
      </c>
      <c r="AL638" s="7" t="s">
        <v>61</v>
      </c>
      <c r="AM638" s="7" t="s">
        <v>0</v>
      </c>
      <c r="AN638" s="7" t="s">
        <v>0</v>
      </c>
      <c r="AO638" s="7" t="s">
        <v>0</v>
      </c>
      <c r="AP638" s="7" t="s">
        <v>0</v>
      </c>
      <c r="AQ638" s="7" t="s">
        <v>61</v>
      </c>
      <c r="AR638" s="7" t="s">
        <v>0</v>
      </c>
      <c r="AS638" s="10" t="str">
        <f>HYPERLINK("https://tessa.gazprom-neft.local/edo/card/91ff01a8-a52b-4e44-aa29-621990f4bf60", "https://tessa.gazprom-neft.local/edo/card/91ff01a8-a52b-4e44-aa29-621990f4bf60")</f>
        <v>https://tessa.gazprom-neft.local/edo/card/91ff01a8-a52b-4e44-aa29-621990f4bf60</v>
      </c>
    </row>
    <row r="639" spans="1:45" x14ac:dyDescent="0.25">
      <c r="A639" s="6" t="s">
        <v>44</v>
      </c>
      <c r="B639" s="7" t="s">
        <v>673</v>
      </c>
      <c r="C639" s="7" t="s">
        <v>67</v>
      </c>
      <c r="D639" s="8">
        <v>45289</v>
      </c>
      <c r="E639" s="8" t="s">
        <v>0</v>
      </c>
      <c r="F639" s="16" t="s">
        <v>674</v>
      </c>
      <c r="G639" s="7" t="s">
        <v>675</v>
      </c>
      <c r="H639" s="7" t="s">
        <v>668</v>
      </c>
      <c r="I639" s="7" t="s">
        <v>0</v>
      </c>
      <c r="J639" s="7" t="s">
        <v>355</v>
      </c>
      <c r="K639" s="7" t="s">
        <v>47</v>
      </c>
      <c r="L639" s="7" t="s">
        <v>48</v>
      </c>
      <c r="M639" s="7" t="s">
        <v>0</v>
      </c>
      <c r="N639" s="7" t="s">
        <v>9057</v>
      </c>
      <c r="O639" s="7" t="s">
        <v>0</v>
      </c>
      <c r="P639" s="7" t="s">
        <v>1092</v>
      </c>
      <c r="Q639" s="7" t="s">
        <v>9058</v>
      </c>
      <c r="R639" s="7" t="s">
        <v>671</v>
      </c>
      <c r="S639" s="7" t="s">
        <v>671</v>
      </c>
      <c r="T639" s="7" t="s">
        <v>54</v>
      </c>
      <c r="U639" s="7" t="s">
        <v>672</v>
      </c>
      <c r="V639" s="7" t="s">
        <v>126</v>
      </c>
      <c r="W639" s="7" t="s">
        <v>57</v>
      </c>
      <c r="X639" s="7" t="s">
        <v>103</v>
      </c>
      <c r="Y639" s="8">
        <v>45289</v>
      </c>
      <c r="Z639" s="8">
        <v>46022</v>
      </c>
      <c r="AA639" s="7" t="s">
        <v>200</v>
      </c>
      <c r="AB639" s="7" t="s">
        <v>130</v>
      </c>
      <c r="AC639" s="7" t="s">
        <v>79</v>
      </c>
      <c r="AD639" s="7" t="s">
        <v>144</v>
      </c>
      <c r="AE639" s="7" t="s">
        <v>82</v>
      </c>
      <c r="AF639" s="7" t="s">
        <v>0</v>
      </c>
      <c r="AG639" s="7" t="s">
        <v>9059</v>
      </c>
      <c r="AH639" s="9" t="s">
        <v>11229</v>
      </c>
      <c r="AI639" s="9" t="s">
        <v>11230</v>
      </c>
      <c r="AJ639" s="9" t="s">
        <v>11231</v>
      </c>
      <c r="AK639" s="7" t="s">
        <v>81</v>
      </c>
      <c r="AL639" s="7" t="s">
        <v>61</v>
      </c>
      <c r="AM639" s="7" t="s">
        <v>0</v>
      </c>
      <c r="AN639" s="7" t="s">
        <v>0</v>
      </c>
      <c r="AO639" s="7" t="s">
        <v>0</v>
      </c>
      <c r="AP639" s="7" t="s">
        <v>0</v>
      </c>
      <c r="AQ639" s="7" t="s">
        <v>61</v>
      </c>
      <c r="AR639" s="7" t="s">
        <v>0</v>
      </c>
      <c r="AS639" s="10" t="str">
        <f>HYPERLINK("https://tessa.gazprom-neft.local/edo/card/8b15f1ce-ba04-4c51-b109-c835b6f6b58b", "https://tessa.gazprom-neft.local/edo/card/8b15f1ce-ba04-4c51-b109-c835b6f6b58b")</f>
        <v>https://tessa.gazprom-neft.local/edo/card/8b15f1ce-ba04-4c51-b109-c835b6f6b58b</v>
      </c>
    </row>
    <row r="640" spans="1:45" x14ac:dyDescent="0.25">
      <c r="A640" s="6" t="s">
        <v>44</v>
      </c>
      <c r="B640" s="7" t="s">
        <v>2266</v>
      </c>
      <c r="C640" s="7" t="s">
        <v>67</v>
      </c>
      <c r="D640" s="8">
        <v>45289</v>
      </c>
      <c r="E640" s="8" t="s">
        <v>0</v>
      </c>
      <c r="F640" s="16" t="s">
        <v>2267</v>
      </c>
      <c r="G640" s="7" t="s">
        <v>2268</v>
      </c>
      <c r="H640" s="7" t="s">
        <v>8106</v>
      </c>
      <c r="I640" s="7" t="s">
        <v>0</v>
      </c>
      <c r="J640" s="7" t="s">
        <v>51</v>
      </c>
      <c r="K640" s="7" t="s">
        <v>47</v>
      </c>
      <c r="L640" s="7" t="s">
        <v>48</v>
      </c>
      <c r="M640" s="7" t="s">
        <v>0</v>
      </c>
      <c r="N640" s="7" t="s">
        <v>9104</v>
      </c>
      <c r="O640" s="7" t="s">
        <v>0</v>
      </c>
      <c r="P640" s="7" t="s">
        <v>9105</v>
      </c>
      <c r="Q640" s="7" t="s">
        <v>9106</v>
      </c>
      <c r="R640" s="7" t="s">
        <v>506</v>
      </c>
      <c r="S640" s="7" t="s">
        <v>506</v>
      </c>
      <c r="T640" s="7" t="s">
        <v>54</v>
      </c>
      <c r="U640" s="7" t="s">
        <v>541</v>
      </c>
      <c r="V640" s="7" t="s">
        <v>56</v>
      </c>
      <c r="W640" s="7" t="s">
        <v>74</v>
      </c>
      <c r="X640" s="7" t="s">
        <v>103</v>
      </c>
      <c r="Y640" s="8">
        <v>45289</v>
      </c>
      <c r="Z640" s="8">
        <v>46022</v>
      </c>
      <c r="AA640" s="7" t="s">
        <v>59</v>
      </c>
      <c r="AB640" s="7" t="s">
        <v>8108</v>
      </c>
      <c r="AC640" s="7" t="s">
        <v>79</v>
      </c>
      <c r="AD640" s="7" t="s">
        <v>144</v>
      </c>
      <c r="AE640" s="7" t="s">
        <v>82</v>
      </c>
      <c r="AF640" s="7" t="s">
        <v>0</v>
      </c>
      <c r="AG640" s="7" t="s">
        <v>0</v>
      </c>
      <c r="AH640" s="9" t="s">
        <v>13439</v>
      </c>
      <c r="AI640" s="9" t="s">
        <v>13440</v>
      </c>
      <c r="AJ640" s="9" t="s">
        <v>13441</v>
      </c>
      <c r="AK640" s="7" t="s">
        <v>61</v>
      </c>
      <c r="AL640" s="7" t="s">
        <v>61</v>
      </c>
      <c r="AM640" s="7" t="s">
        <v>0</v>
      </c>
      <c r="AN640" s="7" t="s">
        <v>0</v>
      </c>
      <c r="AO640" s="7" t="s">
        <v>0</v>
      </c>
      <c r="AP640" s="7" t="s">
        <v>0</v>
      </c>
      <c r="AQ640" s="7" t="s">
        <v>61</v>
      </c>
      <c r="AR640" s="7" t="s">
        <v>0</v>
      </c>
      <c r="AS640" s="10" t="str">
        <f>HYPERLINK("https://tessa.gazprom-neft.local/edo/card/ff7101c7-1a5b-417f-91cb-2fff5f467779", "https://tessa.gazprom-neft.local/edo/card/ff7101c7-1a5b-417f-91cb-2fff5f467779")</f>
        <v>https://tessa.gazprom-neft.local/edo/card/ff7101c7-1a5b-417f-91cb-2fff5f467779</v>
      </c>
    </row>
    <row r="641" spans="1:45" x14ac:dyDescent="0.25">
      <c r="A641" s="6" t="s">
        <v>44</v>
      </c>
      <c r="B641" s="7" t="s">
        <v>284</v>
      </c>
      <c r="C641" s="7" t="s">
        <v>67</v>
      </c>
      <c r="D641" s="8">
        <v>45289</v>
      </c>
      <c r="E641" s="8" t="s">
        <v>0</v>
      </c>
      <c r="F641" s="16" t="s">
        <v>285</v>
      </c>
      <c r="G641" s="7" t="s">
        <v>286</v>
      </c>
      <c r="H641" s="7" t="s">
        <v>770</v>
      </c>
      <c r="I641" s="7" t="s">
        <v>0</v>
      </c>
      <c r="J641" s="7" t="s">
        <v>70</v>
      </c>
      <c r="K641" s="7" t="s">
        <v>85</v>
      </c>
      <c r="L641" s="7" t="s">
        <v>48</v>
      </c>
      <c r="M641" s="7" t="s">
        <v>3833</v>
      </c>
      <c r="N641" s="7" t="s">
        <v>9113</v>
      </c>
      <c r="O641" s="7" t="s">
        <v>0</v>
      </c>
      <c r="P641" s="7" t="s">
        <v>3833</v>
      </c>
      <c r="Q641" s="7" t="s">
        <v>9078</v>
      </c>
      <c r="R641" s="7" t="s">
        <v>198</v>
      </c>
      <c r="S641" s="7" t="s">
        <v>198</v>
      </c>
      <c r="T641" s="7" t="s">
        <v>54</v>
      </c>
      <c r="U641" s="7" t="s">
        <v>199</v>
      </c>
      <c r="V641" s="7" t="s">
        <v>126</v>
      </c>
      <c r="W641" s="7" t="s">
        <v>74</v>
      </c>
      <c r="X641" s="7" t="s">
        <v>58</v>
      </c>
      <c r="Y641" s="8">
        <v>45289</v>
      </c>
      <c r="Z641" s="8" t="s">
        <v>0</v>
      </c>
      <c r="AA641" s="7" t="s">
        <v>0</v>
      </c>
      <c r="AB641" s="7" t="s">
        <v>423</v>
      </c>
      <c r="AC641" s="7" t="s">
        <v>65</v>
      </c>
      <c r="AD641" s="7" t="s">
        <v>144</v>
      </c>
      <c r="AE641" s="7" t="s">
        <v>0</v>
      </c>
      <c r="AF641" s="7" t="s">
        <v>0</v>
      </c>
      <c r="AG641" s="7" t="s">
        <v>0</v>
      </c>
      <c r="AH641" s="9" t="s">
        <v>0</v>
      </c>
      <c r="AI641" s="9" t="s">
        <v>0</v>
      </c>
      <c r="AJ641" s="9" t="s">
        <v>0</v>
      </c>
      <c r="AK641" s="7" t="s">
        <v>61</v>
      </c>
      <c r="AL641" s="7" t="s">
        <v>61</v>
      </c>
      <c r="AM641" s="7" t="s">
        <v>0</v>
      </c>
      <c r="AN641" s="7" t="s">
        <v>0</v>
      </c>
      <c r="AO641" s="7" t="s">
        <v>0</v>
      </c>
      <c r="AP641" s="7" t="s">
        <v>0</v>
      </c>
      <c r="AQ641" s="7" t="s">
        <v>61</v>
      </c>
      <c r="AR641" s="7" t="s">
        <v>0</v>
      </c>
      <c r="AS641" s="10" t="str">
        <f>HYPERLINK("https://tessa.gazprom-neft.local/edo/card/ccb4525c-39e8-45fa-a999-0cdd84629117", "https://tessa.gazprom-neft.local/edo/card/ccb4525c-39e8-45fa-a999-0cdd84629117")</f>
        <v>https://tessa.gazprom-neft.local/edo/card/ccb4525c-39e8-45fa-a999-0cdd84629117</v>
      </c>
    </row>
    <row r="642" spans="1:45" x14ac:dyDescent="0.25">
      <c r="A642" s="6" t="s">
        <v>44</v>
      </c>
      <c r="B642" s="7" t="s">
        <v>284</v>
      </c>
      <c r="C642" s="7" t="s">
        <v>67</v>
      </c>
      <c r="D642" s="8">
        <v>45289</v>
      </c>
      <c r="E642" s="8" t="s">
        <v>0</v>
      </c>
      <c r="F642" s="16" t="s">
        <v>285</v>
      </c>
      <c r="G642" s="7" t="s">
        <v>286</v>
      </c>
      <c r="H642" s="7" t="s">
        <v>770</v>
      </c>
      <c r="I642" s="7" t="s">
        <v>0</v>
      </c>
      <c r="J642" s="7" t="s">
        <v>955</v>
      </c>
      <c r="K642" s="7" t="s">
        <v>47</v>
      </c>
      <c r="L642" s="7" t="s">
        <v>48</v>
      </c>
      <c r="M642" s="7" t="s">
        <v>0</v>
      </c>
      <c r="N642" s="7" t="s">
        <v>9117</v>
      </c>
      <c r="O642" s="7" t="s">
        <v>0</v>
      </c>
      <c r="P642" s="7" t="s">
        <v>9118</v>
      </c>
      <c r="Q642" s="7" t="s">
        <v>9119</v>
      </c>
      <c r="R642" s="7" t="s">
        <v>198</v>
      </c>
      <c r="S642" s="7" t="s">
        <v>198</v>
      </c>
      <c r="T642" s="7" t="s">
        <v>54</v>
      </c>
      <c r="U642" s="7" t="s">
        <v>199</v>
      </c>
      <c r="V642" s="7" t="s">
        <v>126</v>
      </c>
      <c r="W642" s="7" t="s">
        <v>74</v>
      </c>
      <c r="X642" s="7" t="s">
        <v>103</v>
      </c>
      <c r="Y642" s="8">
        <v>45289</v>
      </c>
      <c r="Z642" s="8">
        <v>45657</v>
      </c>
      <c r="AA642" s="7" t="s">
        <v>0</v>
      </c>
      <c r="AB642" s="7" t="s">
        <v>423</v>
      </c>
      <c r="AC642" s="7" t="s">
        <v>65</v>
      </c>
      <c r="AD642" s="7" t="s">
        <v>144</v>
      </c>
      <c r="AE642" s="7" t="s">
        <v>0</v>
      </c>
      <c r="AF642" s="7" t="s">
        <v>0</v>
      </c>
      <c r="AG642" s="7" t="s">
        <v>0</v>
      </c>
      <c r="AH642" s="9" t="s">
        <v>0</v>
      </c>
      <c r="AI642" s="9" t="s">
        <v>0</v>
      </c>
      <c r="AJ642" s="9" t="s">
        <v>0</v>
      </c>
      <c r="AK642" s="7" t="s">
        <v>61</v>
      </c>
      <c r="AL642" s="7" t="s">
        <v>61</v>
      </c>
      <c r="AM642" s="7" t="s">
        <v>0</v>
      </c>
      <c r="AN642" s="7" t="s">
        <v>0</v>
      </c>
      <c r="AO642" s="7" t="s">
        <v>0</v>
      </c>
      <c r="AP642" s="7" t="s">
        <v>0</v>
      </c>
      <c r="AQ642" s="7" t="s">
        <v>61</v>
      </c>
      <c r="AR642" s="7" t="s">
        <v>0</v>
      </c>
      <c r="AS642" s="10" t="str">
        <f>HYPERLINK("https://tessa.gazprom-neft.local/edo/card/68464ad6-15a2-4702-8e33-ba81ba8cc8f0", "https://tessa.gazprom-neft.local/edo/card/68464ad6-15a2-4702-8e33-ba81ba8cc8f0")</f>
        <v>https://tessa.gazprom-neft.local/edo/card/68464ad6-15a2-4702-8e33-ba81ba8cc8f0</v>
      </c>
    </row>
    <row r="643" spans="1:45" x14ac:dyDescent="0.25">
      <c r="A643" s="6" t="s">
        <v>44</v>
      </c>
      <c r="B643" s="7" t="s">
        <v>127</v>
      </c>
      <c r="C643" s="7" t="s">
        <v>67</v>
      </c>
      <c r="D643" s="8">
        <v>45288</v>
      </c>
      <c r="E643" s="8" t="s">
        <v>0</v>
      </c>
      <c r="F643" s="16" t="s">
        <v>128</v>
      </c>
      <c r="G643" s="7" t="s">
        <v>129</v>
      </c>
      <c r="H643" s="7" t="s">
        <v>0</v>
      </c>
      <c r="I643" s="7" t="s">
        <v>0</v>
      </c>
      <c r="J643" s="7" t="s">
        <v>122</v>
      </c>
      <c r="K643" s="7" t="s">
        <v>47</v>
      </c>
      <c r="L643" s="7" t="s">
        <v>48</v>
      </c>
      <c r="M643" s="7" t="s">
        <v>0</v>
      </c>
      <c r="N643" s="7" t="s">
        <v>120</v>
      </c>
      <c r="O643" s="7" t="s">
        <v>0</v>
      </c>
      <c r="P643" s="7" t="s">
        <v>121</v>
      </c>
      <c r="Q643" s="7" t="s">
        <v>123</v>
      </c>
      <c r="R643" s="7" t="s">
        <v>124</v>
      </c>
      <c r="S643" s="7" t="s">
        <v>0</v>
      </c>
      <c r="T643" s="7" t="s">
        <v>54</v>
      </c>
      <c r="U643" s="7" t="s">
        <v>125</v>
      </c>
      <c r="V643" s="7" t="s">
        <v>126</v>
      </c>
      <c r="W643" s="7" t="s">
        <v>74</v>
      </c>
      <c r="X643" s="7" t="s">
        <v>58</v>
      </c>
      <c r="Y643" s="8">
        <v>45288</v>
      </c>
      <c r="Z643" s="8" t="s">
        <v>0</v>
      </c>
      <c r="AA643" s="7" t="s">
        <v>0</v>
      </c>
      <c r="AB643" s="7" t="s">
        <v>130</v>
      </c>
      <c r="AC643" s="7" t="s">
        <v>79</v>
      </c>
      <c r="AD643" s="7" t="s">
        <v>80</v>
      </c>
      <c r="AE643" s="7" t="s">
        <v>82</v>
      </c>
      <c r="AF643" s="7" t="s">
        <v>0</v>
      </c>
      <c r="AG643" s="7" t="s">
        <v>0</v>
      </c>
      <c r="AH643" s="9" t="s">
        <v>10698</v>
      </c>
      <c r="AI643" s="9" t="s">
        <v>10699</v>
      </c>
      <c r="AJ643" s="9" t="s">
        <v>10700</v>
      </c>
      <c r="AK643" s="7" t="s">
        <v>61</v>
      </c>
      <c r="AL643" s="7" t="s">
        <v>61</v>
      </c>
      <c r="AM643" s="7" t="s">
        <v>0</v>
      </c>
      <c r="AN643" s="7" t="s">
        <v>0</v>
      </c>
      <c r="AO643" s="7" t="s">
        <v>0</v>
      </c>
      <c r="AP643" s="7" t="s">
        <v>0</v>
      </c>
      <c r="AQ643" s="7" t="s">
        <v>61</v>
      </c>
      <c r="AR643" s="7" t="s">
        <v>0</v>
      </c>
      <c r="AS643" s="10" t="str">
        <f>HYPERLINK("https://tessa.gazprom-neft.local/edo/card/36f70bee-2bbd-4480-a553-287afa96bb17", "https://tessa.gazprom-neft.local/edo/card/36f70bee-2bbd-4480-a553-287afa96bb17")</f>
        <v>https://tessa.gazprom-neft.local/edo/card/36f70bee-2bbd-4480-a553-287afa96bb17</v>
      </c>
    </row>
    <row r="644" spans="1:45" hidden="1" x14ac:dyDescent="0.25">
      <c r="A644" s="6" t="s">
        <v>44</v>
      </c>
      <c r="B644" s="7" t="s">
        <v>213</v>
      </c>
      <c r="C644" s="7" t="s">
        <v>67</v>
      </c>
      <c r="D644" s="8">
        <v>45288</v>
      </c>
      <c r="E644" s="8" t="s">
        <v>0</v>
      </c>
      <c r="F644" s="16" t="s">
        <v>214</v>
      </c>
      <c r="G644" s="7" t="s">
        <v>215</v>
      </c>
      <c r="H644" s="7" t="s">
        <v>207</v>
      </c>
      <c r="I644" s="7" t="s">
        <v>0</v>
      </c>
      <c r="J644" s="7" t="s">
        <v>51</v>
      </c>
      <c r="K644" s="7" t="s">
        <v>47</v>
      </c>
      <c r="L644" s="7" t="s">
        <v>389</v>
      </c>
      <c r="M644" s="7" t="s">
        <v>0</v>
      </c>
      <c r="N644" s="7" t="s">
        <v>609</v>
      </c>
      <c r="O644" s="7" t="s">
        <v>355</v>
      </c>
      <c r="P644" s="7" t="s">
        <v>610</v>
      </c>
      <c r="Q644" s="7" t="s">
        <v>611</v>
      </c>
      <c r="R644" s="7" t="s">
        <v>198</v>
      </c>
      <c r="S644" s="7" t="s">
        <v>198</v>
      </c>
      <c r="T644" s="7" t="s">
        <v>54</v>
      </c>
      <c r="U644" s="7" t="s">
        <v>199</v>
      </c>
      <c r="V644" s="7" t="s">
        <v>126</v>
      </c>
      <c r="W644" s="7" t="s">
        <v>74</v>
      </c>
      <c r="X644" s="7" t="s">
        <v>103</v>
      </c>
      <c r="Y644" s="8">
        <v>45288</v>
      </c>
      <c r="Z644" s="8">
        <v>45657</v>
      </c>
      <c r="AA644" s="7" t="s">
        <v>200</v>
      </c>
      <c r="AB644" s="7" t="s">
        <v>64</v>
      </c>
      <c r="AC644" s="7" t="s">
        <v>65</v>
      </c>
      <c r="AD644" s="7" t="s">
        <v>0</v>
      </c>
      <c r="AE644" s="7" t="s">
        <v>0</v>
      </c>
      <c r="AF644" s="7" t="s">
        <v>0</v>
      </c>
      <c r="AG644" s="7" t="s">
        <v>0</v>
      </c>
      <c r="AH644" s="9" t="s">
        <v>0</v>
      </c>
      <c r="AI644" s="9" t="s">
        <v>0</v>
      </c>
      <c r="AJ644" s="9" t="s">
        <v>0</v>
      </c>
      <c r="AK644" s="7" t="s">
        <v>61</v>
      </c>
      <c r="AL644" s="7" t="s">
        <v>61</v>
      </c>
      <c r="AM644" s="7" t="s">
        <v>0</v>
      </c>
      <c r="AN644" s="7" t="s">
        <v>0</v>
      </c>
      <c r="AO644" s="7" t="s">
        <v>0</v>
      </c>
      <c r="AP644" s="7" t="s">
        <v>0</v>
      </c>
      <c r="AQ644" s="7" t="s">
        <v>61</v>
      </c>
      <c r="AR644" s="7" t="s">
        <v>0</v>
      </c>
      <c r="AS644" s="10" t="str">
        <f>HYPERLINK("https://tessa.gazprom-neft.local/edo/card/4d1126b6-87d7-4bd5-8862-d47f14159289", "https://tessa.gazprom-neft.local/edo/card/4d1126b6-87d7-4bd5-8862-d47f14159289")</f>
        <v>https://tessa.gazprom-neft.local/edo/card/4d1126b6-87d7-4bd5-8862-d47f14159289</v>
      </c>
    </row>
    <row r="645" spans="1:45" hidden="1" x14ac:dyDescent="0.25">
      <c r="A645" s="6" t="s">
        <v>44</v>
      </c>
      <c r="B645" s="7" t="s">
        <v>7208</v>
      </c>
      <c r="C645" s="7" t="s">
        <v>67</v>
      </c>
      <c r="D645" s="8">
        <v>45288</v>
      </c>
      <c r="E645" s="8" t="s">
        <v>0</v>
      </c>
      <c r="F645" s="16" t="s">
        <v>7209</v>
      </c>
      <c r="G645" s="7" t="s">
        <v>7210</v>
      </c>
      <c r="H645" s="7" t="s">
        <v>0</v>
      </c>
      <c r="I645" s="7" t="s">
        <v>7378</v>
      </c>
      <c r="J645" s="7" t="s">
        <v>7378</v>
      </c>
      <c r="K645" s="7" t="s">
        <v>85</v>
      </c>
      <c r="L645" s="7" t="s">
        <v>96</v>
      </c>
      <c r="M645" s="7" t="s">
        <v>183</v>
      </c>
      <c r="N645" s="7" t="s">
        <v>8177</v>
      </c>
      <c r="O645" s="7" t="s">
        <v>0</v>
      </c>
      <c r="P645" s="7" t="s">
        <v>183</v>
      </c>
      <c r="Q645" s="7" t="s">
        <v>8178</v>
      </c>
      <c r="R645" s="7" t="s">
        <v>1711</v>
      </c>
      <c r="S645" s="7" t="s">
        <v>1711</v>
      </c>
      <c r="T645" s="7" t="s">
        <v>54</v>
      </c>
      <c r="U645" s="7" t="s">
        <v>605</v>
      </c>
      <c r="V645" s="7" t="s">
        <v>137</v>
      </c>
      <c r="W645" s="7" t="s">
        <v>57</v>
      </c>
      <c r="X645" s="7" t="s">
        <v>103</v>
      </c>
      <c r="Y645" s="8">
        <v>45292</v>
      </c>
      <c r="Z645" s="8">
        <v>45869</v>
      </c>
      <c r="AA645" s="7" t="s">
        <v>0</v>
      </c>
      <c r="AB645" s="7" t="s">
        <v>192</v>
      </c>
      <c r="AC645" s="7" t="s">
        <v>79</v>
      </c>
      <c r="AD645" s="7" t="s">
        <v>80</v>
      </c>
      <c r="AE645" s="7" t="s">
        <v>193</v>
      </c>
      <c r="AF645" s="7" t="s">
        <v>0</v>
      </c>
      <c r="AG645" s="7" t="s">
        <v>0</v>
      </c>
      <c r="AH645" s="9" t="s">
        <v>13459</v>
      </c>
      <c r="AI645" s="9" t="s">
        <v>13460</v>
      </c>
      <c r="AJ645" s="9" t="s">
        <v>13461</v>
      </c>
      <c r="AK645" s="7" t="s">
        <v>61</v>
      </c>
      <c r="AL645" s="7" t="s">
        <v>61</v>
      </c>
      <c r="AM645" s="7" t="s">
        <v>0</v>
      </c>
      <c r="AN645" s="7" t="s">
        <v>0</v>
      </c>
      <c r="AO645" s="7" t="s">
        <v>0</v>
      </c>
      <c r="AP645" s="7" t="s">
        <v>0</v>
      </c>
      <c r="AQ645" s="7" t="s">
        <v>61</v>
      </c>
      <c r="AR645" s="7" t="s">
        <v>0</v>
      </c>
      <c r="AS645" s="10" t="str">
        <f>HYPERLINK("https://tessa.gazprom-neft.local/edo/card/1dd2178c-41bb-45d0-9f2d-8facc8d6a4ef", "https://tessa.gazprom-neft.local/edo/card/1dd2178c-41bb-45d0-9f2d-8facc8d6a4ef")</f>
        <v>https://tessa.gazprom-neft.local/edo/card/1dd2178c-41bb-45d0-9f2d-8facc8d6a4ef</v>
      </c>
    </row>
    <row r="646" spans="1:45" hidden="1" x14ac:dyDescent="0.25">
      <c r="A646" s="6" t="s">
        <v>44</v>
      </c>
      <c r="B646" s="7" t="s">
        <v>7208</v>
      </c>
      <c r="C646" s="7" t="s">
        <v>67</v>
      </c>
      <c r="D646" s="8">
        <v>45288</v>
      </c>
      <c r="E646" s="8" t="s">
        <v>0</v>
      </c>
      <c r="F646" s="16" t="s">
        <v>7209</v>
      </c>
      <c r="G646" s="7" t="s">
        <v>7210</v>
      </c>
      <c r="H646" s="7" t="s">
        <v>0</v>
      </c>
      <c r="I646" s="7" t="s">
        <v>8368</v>
      </c>
      <c r="J646" s="7" t="s">
        <v>8368</v>
      </c>
      <c r="K646" s="7" t="s">
        <v>85</v>
      </c>
      <c r="L646" s="7" t="s">
        <v>86</v>
      </c>
      <c r="M646" s="7" t="s">
        <v>523</v>
      </c>
      <c r="N646" s="7" t="s">
        <v>8367</v>
      </c>
      <c r="O646" s="7" t="s">
        <v>0</v>
      </c>
      <c r="P646" s="7" t="s">
        <v>523</v>
      </c>
      <c r="Q646" s="7" t="s">
        <v>8369</v>
      </c>
      <c r="R646" s="7" t="s">
        <v>2178</v>
      </c>
      <c r="S646" s="7" t="s">
        <v>1711</v>
      </c>
      <c r="T646" s="7" t="s">
        <v>54</v>
      </c>
      <c r="U646" s="7" t="s">
        <v>605</v>
      </c>
      <c r="V646" s="7" t="s">
        <v>137</v>
      </c>
      <c r="W646" s="7" t="s">
        <v>57</v>
      </c>
      <c r="X646" s="7" t="s">
        <v>103</v>
      </c>
      <c r="Y646" s="8">
        <v>45292</v>
      </c>
      <c r="Z646" s="8">
        <v>45869</v>
      </c>
      <c r="AA646" s="7" t="s">
        <v>0</v>
      </c>
      <c r="AB646" s="7" t="s">
        <v>94</v>
      </c>
      <c r="AC646" s="7" t="s">
        <v>65</v>
      </c>
      <c r="AD646" s="7" t="s">
        <v>80</v>
      </c>
      <c r="AE646" s="7" t="s">
        <v>0</v>
      </c>
      <c r="AF646" s="7" t="s">
        <v>0</v>
      </c>
      <c r="AG646" s="7" t="s">
        <v>0</v>
      </c>
      <c r="AH646" s="9" t="s">
        <v>0</v>
      </c>
      <c r="AI646" s="9" t="s">
        <v>0</v>
      </c>
      <c r="AJ646" s="9" t="s">
        <v>0</v>
      </c>
      <c r="AK646" s="7" t="s">
        <v>61</v>
      </c>
      <c r="AL646" s="7" t="s">
        <v>61</v>
      </c>
      <c r="AM646" s="7" t="s">
        <v>0</v>
      </c>
      <c r="AN646" s="7" t="s">
        <v>0</v>
      </c>
      <c r="AO646" s="7" t="s">
        <v>0</v>
      </c>
      <c r="AP646" s="7" t="s">
        <v>0</v>
      </c>
      <c r="AQ646" s="7" t="s">
        <v>61</v>
      </c>
      <c r="AR646" s="7" t="s">
        <v>0</v>
      </c>
      <c r="AS646" s="10" t="str">
        <f>HYPERLINK("https://tessa.gazprom-neft.local/edo/card/36c3f12f-22ed-4d9b-ad92-30af497541e0", "https://tessa.gazprom-neft.local/edo/card/36c3f12f-22ed-4d9b-ad92-30af497541e0")</f>
        <v>https://tessa.gazprom-neft.local/edo/card/36c3f12f-22ed-4d9b-ad92-30af497541e0</v>
      </c>
    </row>
    <row r="647" spans="1:45" x14ac:dyDescent="0.25">
      <c r="A647" s="6" t="s">
        <v>44</v>
      </c>
      <c r="B647" s="7" t="s">
        <v>7208</v>
      </c>
      <c r="C647" s="7" t="s">
        <v>67</v>
      </c>
      <c r="D647" s="8">
        <v>45288</v>
      </c>
      <c r="E647" s="8" t="s">
        <v>0</v>
      </c>
      <c r="F647" s="16" t="s">
        <v>7209</v>
      </c>
      <c r="G647" s="7" t="s">
        <v>7210</v>
      </c>
      <c r="H647" s="7" t="s">
        <v>7223</v>
      </c>
      <c r="I647" s="7" t="s">
        <v>0</v>
      </c>
      <c r="J647" s="7" t="s">
        <v>51</v>
      </c>
      <c r="K647" s="7" t="s">
        <v>47</v>
      </c>
      <c r="L647" s="7" t="s">
        <v>48</v>
      </c>
      <c r="M647" s="7" t="s">
        <v>0</v>
      </c>
      <c r="N647" s="7" t="s">
        <v>8510</v>
      </c>
      <c r="O647" s="7" t="s">
        <v>0</v>
      </c>
      <c r="P647" s="7" t="s">
        <v>8511</v>
      </c>
      <c r="Q647" s="7" t="s">
        <v>8512</v>
      </c>
      <c r="R647" s="7" t="s">
        <v>938</v>
      </c>
      <c r="S647" s="7" t="s">
        <v>0</v>
      </c>
      <c r="T647" s="7" t="s">
        <v>54</v>
      </c>
      <c r="U647" s="7" t="s">
        <v>605</v>
      </c>
      <c r="V647" s="7" t="s">
        <v>137</v>
      </c>
      <c r="W647" s="7" t="s">
        <v>57</v>
      </c>
      <c r="X647" s="7" t="s">
        <v>103</v>
      </c>
      <c r="Y647" s="8">
        <v>45288</v>
      </c>
      <c r="Z647" s="8">
        <v>45288</v>
      </c>
      <c r="AA647" s="7" t="s">
        <v>0</v>
      </c>
      <c r="AB647" s="7" t="s">
        <v>94</v>
      </c>
      <c r="AC647" s="7" t="s">
        <v>65</v>
      </c>
      <c r="AD647" s="7" t="s">
        <v>0</v>
      </c>
      <c r="AE647" s="7" t="s">
        <v>0</v>
      </c>
      <c r="AF647" s="7" t="s">
        <v>0</v>
      </c>
      <c r="AG647" s="7" t="s">
        <v>0</v>
      </c>
      <c r="AH647" s="9" t="s">
        <v>0</v>
      </c>
      <c r="AI647" s="9" t="s">
        <v>0</v>
      </c>
      <c r="AJ647" s="9" t="s">
        <v>0</v>
      </c>
      <c r="AK647" s="7" t="s">
        <v>61</v>
      </c>
      <c r="AL647" s="7" t="s">
        <v>61</v>
      </c>
      <c r="AM647" s="7" t="s">
        <v>0</v>
      </c>
      <c r="AN647" s="7" t="s">
        <v>0</v>
      </c>
      <c r="AO647" s="7" t="s">
        <v>0</v>
      </c>
      <c r="AP647" s="7" t="s">
        <v>0</v>
      </c>
      <c r="AQ647" s="7" t="s">
        <v>61</v>
      </c>
      <c r="AR647" s="7" t="s">
        <v>0</v>
      </c>
      <c r="AS647" s="10" t="str">
        <f>HYPERLINK("https://tessa.gazprom-neft.local/edo/card/3b1d4880-edf7-4613-b722-234140058541", "https://tessa.gazprom-neft.local/edo/card/3b1d4880-edf7-4613-b722-234140058541")</f>
        <v>https://tessa.gazprom-neft.local/edo/card/3b1d4880-edf7-4613-b722-234140058541</v>
      </c>
    </row>
    <row r="648" spans="1:45" x14ac:dyDescent="0.25">
      <c r="A648" s="6" t="s">
        <v>44</v>
      </c>
      <c r="B648" s="7" t="s">
        <v>8542</v>
      </c>
      <c r="C648" s="7" t="s">
        <v>67</v>
      </c>
      <c r="D648" s="8">
        <v>45288</v>
      </c>
      <c r="E648" s="8" t="s">
        <v>0</v>
      </c>
      <c r="F648" s="16" t="s">
        <v>8543</v>
      </c>
      <c r="G648" s="7" t="s">
        <v>8544</v>
      </c>
      <c r="H648" s="7" t="s">
        <v>8539</v>
      </c>
      <c r="I648" s="7" t="s">
        <v>0</v>
      </c>
      <c r="J648" s="7" t="s">
        <v>51</v>
      </c>
      <c r="K648" s="7" t="s">
        <v>47</v>
      </c>
      <c r="L648" s="7" t="s">
        <v>48</v>
      </c>
      <c r="M648" s="7" t="s">
        <v>0</v>
      </c>
      <c r="N648" s="7" t="s">
        <v>8538</v>
      </c>
      <c r="O648" s="7" t="s">
        <v>0</v>
      </c>
      <c r="P648" s="7" t="s">
        <v>8540</v>
      </c>
      <c r="Q648" s="7" t="s">
        <v>8541</v>
      </c>
      <c r="R648" s="7" t="s">
        <v>646</v>
      </c>
      <c r="S648" s="7" t="s">
        <v>0</v>
      </c>
      <c r="T648" s="7" t="s">
        <v>54</v>
      </c>
      <c r="U648" s="7" t="s">
        <v>362</v>
      </c>
      <c r="V648" s="7" t="s">
        <v>137</v>
      </c>
      <c r="W648" s="7" t="s">
        <v>57</v>
      </c>
      <c r="X648" s="7" t="s">
        <v>58</v>
      </c>
      <c r="Y648" s="8">
        <v>45288</v>
      </c>
      <c r="Z648" s="8" t="s">
        <v>0</v>
      </c>
      <c r="AA648" s="7" t="s">
        <v>0</v>
      </c>
      <c r="AB648" s="7" t="s">
        <v>192</v>
      </c>
      <c r="AC648" s="7" t="s">
        <v>65</v>
      </c>
      <c r="AD648" s="7" t="s">
        <v>0</v>
      </c>
      <c r="AE648" s="7" t="s">
        <v>0</v>
      </c>
      <c r="AF648" s="7" t="s">
        <v>0</v>
      </c>
      <c r="AG648" s="7" t="s">
        <v>0</v>
      </c>
      <c r="AH648" s="9" t="s">
        <v>0</v>
      </c>
      <c r="AI648" s="9" t="s">
        <v>0</v>
      </c>
      <c r="AJ648" s="9" t="s">
        <v>0</v>
      </c>
      <c r="AK648" s="7" t="s">
        <v>61</v>
      </c>
      <c r="AL648" s="7" t="s">
        <v>61</v>
      </c>
      <c r="AM648" s="7" t="s">
        <v>0</v>
      </c>
      <c r="AN648" s="7" t="s">
        <v>0</v>
      </c>
      <c r="AO648" s="7" t="s">
        <v>0</v>
      </c>
      <c r="AP648" s="7" t="s">
        <v>0</v>
      </c>
      <c r="AQ648" s="7" t="s">
        <v>61</v>
      </c>
      <c r="AR648" s="7" t="s">
        <v>0</v>
      </c>
      <c r="AS648" s="10" t="str">
        <f>HYPERLINK("https://tessa.gazprom-neft.local/edo/card/e5d6ba01-f7c8-44e6-8e3e-0d2119c7e931", "https://tessa.gazprom-neft.local/edo/card/e5d6ba01-f7c8-44e6-8e3e-0d2119c7e931")</f>
        <v>https://tessa.gazprom-neft.local/edo/card/e5d6ba01-f7c8-44e6-8e3e-0d2119c7e931</v>
      </c>
    </row>
    <row r="649" spans="1:45" hidden="1" x14ac:dyDescent="0.25">
      <c r="A649" s="6" t="s">
        <v>44</v>
      </c>
      <c r="B649" s="7" t="s">
        <v>4864</v>
      </c>
      <c r="C649" s="7" t="s">
        <v>67</v>
      </c>
      <c r="D649" s="8">
        <v>45288</v>
      </c>
      <c r="E649" s="8" t="s">
        <v>0</v>
      </c>
      <c r="F649" s="16" t="s">
        <v>4865</v>
      </c>
      <c r="G649" s="7" t="s">
        <v>4866</v>
      </c>
      <c r="H649" s="7" t="s">
        <v>0</v>
      </c>
      <c r="I649" s="7" t="s">
        <v>8652</v>
      </c>
      <c r="J649" s="7" t="s">
        <v>8652</v>
      </c>
      <c r="K649" s="7" t="s">
        <v>85</v>
      </c>
      <c r="L649" s="7" t="s">
        <v>86</v>
      </c>
      <c r="M649" s="7" t="s">
        <v>523</v>
      </c>
      <c r="N649" s="7" t="s">
        <v>8651</v>
      </c>
      <c r="O649" s="7" t="s">
        <v>0</v>
      </c>
      <c r="P649" s="7" t="s">
        <v>523</v>
      </c>
      <c r="Q649" s="7" t="s">
        <v>4871</v>
      </c>
      <c r="R649" s="7" t="s">
        <v>4863</v>
      </c>
      <c r="S649" s="7" t="s">
        <v>4863</v>
      </c>
      <c r="T649" s="7" t="s">
        <v>54</v>
      </c>
      <c r="U649" s="7" t="s">
        <v>1012</v>
      </c>
      <c r="V649" s="7" t="s">
        <v>91</v>
      </c>
      <c r="W649" s="7" t="s">
        <v>57</v>
      </c>
      <c r="X649" s="7" t="s">
        <v>103</v>
      </c>
      <c r="Y649" s="8">
        <v>45300</v>
      </c>
      <c r="Z649" s="8">
        <v>45493</v>
      </c>
      <c r="AA649" s="7" t="s">
        <v>92</v>
      </c>
      <c r="AB649" s="7" t="s">
        <v>94</v>
      </c>
      <c r="AC649" s="7" t="s">
        <v>65</v>
      </c>
      <c r="AD649" s="7" t="s">
        <v>0</v>
      </c>
      <c r="AE649" s="7" t="s">
        <v>0</v>
      </c>
      <c r="AF649" s="7" t="s">
        <v>0</v>
      </c>
      <c r="AG649" s="7" t="s">
        <v>0</v>
      </c>
      <c r="AH649" s="9" t="s">
        <v>0</v>
      </c>
      <c r="AI649" s="9" t="s">
        <v>0</v>
      </c>
      <c r="AJ649" s="9" t="s">
        <v>0</v>
      </c>
      <c r="AK649" s="7" t="s">
        <v>61</v>
      </c>
      <c r="AL649" s="7" t="s">
        <v>61</v>
      </c>
      <c r="AM649" s="7" t="s">
        <v>0</v>
      </c>
      <c r="AN649" s="7" t="s">
        <v>0</v>
      </c>
      <c r="AO649" s="7" t="s">
        <v>0</v>
      </c>
      <c r="AP649" s="7" t="s">
        <v>0</v>
      </c>
      <c r="AQ649" s="7" t="s">
        <v>61</v>
      </c>
      <c r="AR649" s="7" t="s">
        <v>0</v>
      </c>
      <c r="AS649" s="10" t="str">
        <f>HYPERLINK("https://tessa.gazprom-neft.local/edo/card/f6051de5-58bc-4161-ab04-a82422863991", "https://tessa.gazprom-neft.local/edo/card/f6051de5-58bc-4161-ab04-a82422863991")</f>
        <v>https://tessa.gazprom-neft.local/edo/card/f6051de5-58bc-4161-ab04-a82422863991</v>
      </c>
    </row>
    <row r="650" spans="1:45" x14ac:dyDescent="0.25">
      <c r="A650" s="6" t="s">
        <v>44</v>
      </c>
      <c r="B650" s="7" t="s">
        <v>1075</v>
      </c>
      <c r="C650" s="7" t="s">
        <v>67</v>
      </c>
      <c r="D650" s="8">
        <v>45288</v>
      </c>
      <c r="E650" s="8" t="s">
        <v>0</v>
      </c>
      <c r="F650" s="16" t="s">
        <v>1076</v>
      </c>
      <c r="G650" s="7" t="s">
        <v>1077</v>
      </c>
      <c r="H650" s="7" t="s">
        <v>1469</v>
      </c>
      <c r="I650" s="7" t="s">
        <v>0</v>
      </c>
      <c r="J650" s="7" t="s">
        <v>51</v>
      </c>
      <c r="K650" s="7" t="s">
        <v>47</v>
      </c>
      <c r="L650" s="7" t="s">
        <v>48</v>
      </c>
      <c r="M650" s="7" t="s">
        <v>0</v>
      </c>
      <c r="N650" s="7" t="s">
        <v>8659</v>
      </c>
      <c r="O650" s="7" t="s">
        <v>0</v>
      </c>
      <c r="P650" s="7" t="s">
        <v>8660</v>
      </c>
      <c r="Q650" s="7" t="s">
        <v>1072</v>
      </c>
      <c r="R650" s="7" t="s">
        <v>1073</v>
      </c>
      <c r="S650" s="7" t="s">
        <v>0</v>
      </c>
      <c r="T650" s="7" t="s">
        <v>54</v>
      </c>
      <c r="U650" s="7" t="s">
        <v>1074</v>
      </c>
      <c r="V650" s="7" t="s">
        <v>8661</v>
      </c>
      <c r="W650" s="7" t="s">
        <v>57</v>
      </c>
      <c r="X650" s="7" t="s">
        <v>58</v>
      </c>
      <c r="Y650" s="8">
        <v>45288</v>
      </c>
      <c r="Z650" s="8" t="s">
        <v>0</v>
      </c>
      <c r="AA650" s="7" t="s">
        <v>8662</v>
      </c>
      <c r="AB650" s="7" t="s">
        <v>192</v>
      </c>
      <c r="AC650" s="7" t="s">
        <v>79</v>
      </c>
      <c r="AD650" s="7" t="s">
        <v>80</v>
      </c>
      <c r="AE650" s="7" t="s">
        <v>193</v>
      </c>
      <c r="AF650" s="7" t="s">
        <v>0</v>
      </c>
      <c r="AG650" s="7" t="s">
        <v>0</v>
      </c>
      <c r="AH650" s="9" t="s">
        <v>11035</v>
      </c>
      <c r="AI650" s="9" t="s">
        <v>11036</v>
      </c>
      <c r="AJ650" s="9" t="s">
        <v>11037</v>
      </c>
      <c r="AK650" s="7" t="s">
        <v>61</v>
      </c>
      <c r="AL650" s="7" t="s">
        <v>61</v>
      </c>
      <c r="AM650" s="7" t="s">
        <v>0</v>
      </c>
      <c r="AN650" s="7" t="s">
        <v>0</v>
      </c>
      <c r="AO650" s="7" t="s">
        <v>0</v>
      </c>
      <c r="AP650" s="7" t="s">
        <v>0</v>
      </c>
      <c r="AQ650" s="7" t="s">
        <v>61</v>
      </c>
      <c r="AR650" s="7" t="s">
        <v>0</v>
      </c>
      <c r="AS650" s="10" t="str">
        <f>HYPERLINK("https://tessa.gazprom-neft.local/edo/card/fb3e2536-10d8-4ffa-9cc5-f7dbae4adb87", "https://tessa.gazprom-neft.local/edo/card/fb3e2536-10d8-4ffa-9cc5-f7dbae4adb87")</f>
        <v>https://tessa.gazprom-neft.local/edo/card/fb3e2536-10d8-4ffa-9cc5-f7dbae4adb87</v>
      </c>
    </row>
    <row r="651" spans="1:45" x14ac:dyDescent="0.25">
      <c r="A651" s="6" t="s">
        <v>44</v>
      </c>
      <c r="B651" s="7" t="s">
        <v>1180</v>
      </c>
      <c r="C651" s="7" t="s">
        <v>67</v>
      </c>
      <c r="D651" s="8">
        <v>45288</v>
      </c>
      <c r="E651" s="8" t="s">
        <v>0</v>
      </c>
      <c r="F651" s="16" t="s">
        <v>1181</v>
      </c>
      <c r="G651" s="7" t="s">
        <v>1182</v>
      </c>
      <c r="H651" s="7" t="s">
        <v>1177</v>
      </c>
      <c r="I651" s="7" t="s">
        <v>0</v>
      </c>
      <c r="J651" s="7" t="s">
        <v>51</v>
      </c>
      <c r="K651" s="7" t="s">
        <v>47</v>
      </c>
      <c r="L651" s="7" t="s">
        <v>48</v>
      </c>
      <c r="M651" s="7" t="s">
        <v>0</v>
      </c>
      <c r="N651" s="7" t="s">
        <v>8722</v>
      </c>
      <c r="O651" s="7" t="s">
        <v>0</v>
      </c>
      <c r="P651" s="7" t="s">
        <v>8723</v>
      </c>
      <c r="Q651" s="7" t="s">
        <v>8724</v>
      </c>
      <c r="R651" s="7" t="s">
        <v>1179</v>
      </c>
      <c r="S651" s="7" t="s">
        <v>1179</v>
      </c>
      <c r="T651" s="7" t="s">
        <v>54</v>
      </c>
      <c r="U651" s="7" t="s">
        <v>167</v>
      </c>
      <c r="V651" s="7" t="s">
        <v>308</v>
      </c>
      <c r="W651" s="7" t="s">
        <v>57</v>
      </c>
      <c r="X651" s="7" t="s">
        <v>58</v>
      </c>
      <c r="Y651" s="8">
        <v>45288</v>
      </c>
      <c r="Z651" s="8" t="s">
        <v>0</v>
      </c>
      <c r="AA651" s="7" t="s">
        <v>309</v>
      </c>
      <c r="AB651" s="7" t="s">
        <v>192</v>
      </c>
      <c r="AC651" s="7" t="s">
        <v>65</v>
      </c>
      <c r="AD651" s="7" t="s">
        <v>0</v>
      </c>
      <c r="AE651" s="7" t="s">
        <v>0</v>
      </c>
      <c r="AF651" s="7" t="s">
        <v>0</v>
      </c>
      <c r="AG651" s="7" t="s">
        <v>0</v>
      </c>
      <c r="AH651" s="9" t="s">
        <v>0</v>
      </c>
      <c r="AI651" s="9" t="s">
        <v>0</v>
      </c>
      <c r="AJ651" s="9" t="s">
        <v>0</v>
      </c>
      <c r="AK651" s="7" t="s">
        <v>61</v>
      </c>
      <c r="AL651" s="7" t="s">
        <v>61</v>
      </c>
      <c r="AM651" s="7" t="s">
        <v>0</v>
      </c>
      <c r="AN651" s="7" t="s">
        <v>0</v>
      </c>
      <c r="AO651" s="7" t="s">
        <v>0</v>
      </c>
      <c r="AP651" s="7" t="s">
        <v>0</v>
      </c>
      <c r="AQ651" s="7" t="s">
        <v>61</v>
      </c>
      <c r="AR651" s="7" t="s">
        <v>0</v>
      </c>
      <c r="AS651" s="10" t="str">
        <f>HYPERLINK("https://tessa.gazprom-neft.local/edo/card/f75bf72e-23ad-4648-88c8-41c49b1c3842", "https://tessa.gazprom-neft.local/edo/card/f75bf72e-23ad-4648-88c8-41c49b1c3842")</f>
        <v>https://tessa.gazprom-neft.local/edo/card/f75bf72e-23ad-4648-88c8-41c49b1c3842</v>
      </c>
    </row>
    <row r="652" spans="1:45" x14ac:dyDescent="0.25">
      <c r="A652" s="6" t="s">
        <v>44</v>
      </c>
      <c r="B652" s="7" t="s">
        <v>2132</v>
      </c>
      <c r="C652" s="7" t="s">
        <v>67</v>
      </c>
      <c r="D652" s="8">
        <v>45288</v>
      </c>
      <c r="E652" s="8" t="s">
        <v>0</v>
      </c>
      <c r="F652" s="16" t="s">
        <v>2133</v>
      </c>
      <c r="G652" s="7" t="s">
        <v>739</v>
      </c>
      <c r="H652" s="7" t="s">
        <v>3446</v>
      </c>
      <c r="I652" s="7" t="s">
        <v>0</v>
      </c>
      <c r="J652" s="7" t="s">
        <v>156</v>
      </c>
      <c r="K652" s="7" t="s">
        <v>47</v>
      </c>
      <c r="L652" s="7" t="s">
        <v>48</v>
      </c>
      <c r="M652" s="7" t="s">
        <v>0</v>
      </c>
      <c r="N652" s="7" t="s">
        <v>8725</v>
      </c>
      <c r="O652" s="7" t="s">
        <v>0</v>
      </c>
      <c r="P652" s="7" t="s">
        <v>8726</v>
      </c>
      <c r="Q652" s="7" t="s">
        <v>8363</v>
      </c>
      <c r="R652" s="7" t="s">
        <v>361</v>
      </c>
      <c r="S652" s="7" t="s">
        <v>361</v>
      </c>
      <c r="T652" s="7" t="s">
        <v>54</v>
      </c>
      <c r="U652" s="7" t="s">
        <v>362</v>
      </c>
      <c r="V652" s="7" t="s">
        <v>295</v>
      </c>
      <c r="W652" s="7" t="s">
        <v>57</v>
      </c>
      <c r="X652" s="7" t="s">
        <v>103</v>
      </c>
      <c r="Y652" s="8">
        <v>45292</v>
      </c>
      <c r="Z652" s="8">
        <v>45657</v>
      </c>
      <c r="AA652" s="7" t="s">
        <v>296</v>
      </c>
      <c r="AB652" s="7" t="s">
        <v>366</v>
      </c>
      <c r="AC652" s="7" t="s">
        <v>65</v>
      </c>
      <c r="AD652" s="7" t="s">
        <v>367</v>
      </c>
      <c r="AE652" s="7" t="s">
        <v>0</v>
      </c>
      <c r="AF652" s="7" t="s">
        <v>0</v>
      </c>
      <c r="AG652" s="7" t="s">
        <v>0</v>
      </c>
      <c r="AH652" s="9" t="s">
        <v>0</v>
      </c>
      <c r="AI652" s="9" t="s">
        <v>0</v>
      </c>
      <c r="AJ652" s="9" t="s">
        <v>0</v>
      </c>
      <c r="AK652" s="7" t="s">
        <v>61</v>
      </c>
      <c r="AL652" s="7" t="s">
        <v>61</v>
      </c>
      <c r="AM652" s="7" t="s">
        <v>0</v>
      </c>
      <c r="AN652" s="7" t="s">
        <v>0</v>
      </c>
      <c r="AO652" s="7" t="s">
        <v>0</v>
      </c>
      <c r="AP652" s="7" t="s">
        <v>0</v>
      </c>
      <c r="AQ652" s="7" t="s">
        <v>61</v>
      </c>
      <c r="AR652" s="7" t="s">
        <v>0</v>
      </c>
      <c r="AS652" s="10" t="str">
        <f>HYPERLINK("https://tessa.gazprom-neft.local/edo/card/6a6644a5-d198-4a02-a1a2-f55bbd839a44", "https://tessa.gazprom-neft.local/edo/card/6a6644a5-d198-4a02-a1a2-f55bbd839a44")</f>
        <v>https://tessa.gazprom-neft.local/edo/card/6a6644a5-d198-4a02-a1a2-f55bbd839a44</v>
      </c>
    </row>
    <row r="653" spans="1:45" x14ac:dyDescent="0.25">
      <c r="A653" s="6" t="s">
        <v>44</v>
      </c>
      <c r="B653" s="7" t="s">
        <v>661</v>
      </c>
      <c r="C653" s="7" t="s">
        <v>67</v>
      </c>
      <c r="D653" s="8">
        <v>45288</v>
      </c>
      <c r="E653" s="8" t="s">
        <v>0</v>
      </c>
      <c r="F653" s="16" t="s">
        <v>662</v>
      </c>
      <c r="G653" s="7" t="s">
        <v>663</v>
      </c>
      <c r="H653" s="7" t="s">
        <v>8820</v>
      </c>
      <c r="I653" s="7" t="s">
        <v>0</v>
      </c>
      <c r="J653" s="7" t="s">
        <v>156</v>
      </c>
      <c r="K653" s="7" t="s">
        <v>47</v>
      </c>
      <c r="L653" s="7" t="s">
        <v>48</v>
      </c>
      <c r="M653" s="7" t="s">
        <v>0</v>
      </c>
      <c r="N653" s="7" t="s">
        <v>8819</v>
      </c>
      <c r="O653" s="7" t="s">
        <v>0</v>
      </c>
      <c r="P653" s="7" t="s">
        <v>1474</v>
      </c>
      <c r="Q653" s="7" t="s">
        <v>8821</v>
      </c>
      <c r="R653" s="7" t="s">
        <v>338</v>
      </c>
      <c r="S653" s="7" t="s">
        <v>1481</v>
      </c>
      <c r="T653" s="7" t="s">
        <v>54</v>
      </c>
      <c r="U653" s="7" t="s">
        <v>283</v>
      </c>
      <c r="V653" s="7" t="s">
        <v>168</v>
      </c>
      <c r="W653" s="7" t="s">
        <v>74</v>
      </c>
      <c r="X653" s="7" t="s">
        <v>103</v>
      </c>
      <c r="Y653" s="8">
        <v>45288</v>
      </c>
      <c r="Z653" s="8">
        <v>45322</v>
      </c>
      <c r="AA653" s="7" t="s">
        <v>169</v>
      </c>
      <c r="AB653" s="7" t="s">
        <v>64</v>
      </c>
      <c r="AC653" s="7" t="s">
        <v>79</v>
      </c>
      <c r="AD653" s="7" t="s">
        <v>80</v>
      </c>
      <c r="AE653" s="7" t="s">
        <v>82</v>
      </c>
      <c r="AF653" s="7" t="s">
        <v>0</v>
      </c>
      <c r="AG653" s="7" t="s">
        <v>0</v>
      </c>
      <c r="AH653" s="9">
        <v>0</v>
      </c>
      <c r="AI653" s="9">
        <v>0</v>
      </c>
      <c r="AJ653" s="9">
        <v>0</v>
      </c>
      <c r="AK653" s="7" t="s">
        <v>61</v>
      </c>
      <c r="AL653" s="7" t="s">
        <v>61</v>
      </c>
      <c r="AM653" s="7" t="s">
        <v>0</v>
      </c>
      <c r="AN653" s="7" t="s">
        <v>0</v>
      </c>
      <c r="AO653" s="7" t="s">
        <v>0</v>
      </c>
      <c r="AP653" s="7" t="s">
        <v>0</v>
      </c>
      <c r="AQ653" s="7" t="s">
        <v>61</v>
      </c>
      <c r="AR653" s="7" t="s">
        <v>0</v>
      </c>
      <c r="AS653" s="10" t="str">
        <f>HYPERLINK("https://tessa.gazprom-neft.local/edo/card/aca6136e-ed94-4c80-8f4c-0a79c4c5edb1", "https://tessa.gazprom-neft.local/edo/card/aca6136e-ed94-4c80-8f4c-0a79c4c5edb1")</f>
        <v>https://tessa.gazprom-neft.local/edo/card/aca6136e-ed94-4c80-8f4c-0a79c4c5edb1</v>
      </c>
    </row>
    <row r="654" spans="1:45" x14ac:dyDescent="0.25">
      <c r="A654" s="6" t="s">
        <v>44</v>
      </c>
      <c r="B654" s="7" t="s">
        <v>60</v>
      </c>
      <c r="C654" s="7" t="s">
        <v>67</v>
      </c>
      <c r="D654" s="8">
        <v>45288</v>
      </c>
      <c r="E654" s="8" t="s">
        <v>0</v>
      </c>
      <c r="F654" s="16" t="s">
        <v>62</v>
      </c>
      <c r="G654" s="7" t="s">
        <v>63</v>
      </c>
      <c r="H654" s="7" t="s">
        <v>4351</v>
      </c>
      <c r="I654" s="7" t="s">
        <v>0</v>
      </c>
      <c r="J654" s="7" t="s">
        <v>51</v>
      </c>
      <c r="K654" s="7" t="s">
        <v>47</v>
      </c>
      <c r="L654" s="7" t="s">
        <v>48</v>
      </c>
      <c r="M654" s="7" t="s">
        <v>0</v>
      </c>
      <c r="N654" s="7" t="s">
        <v>8867</v>
      </c>
      <c r="O654" s="7" t="s">
        <v>0</v>
      </c>
      <c r="P654" s="7" t="s">
        <v>8868</v>
      </c>
      <c r="Q654" s="7" t="s">
        <v>8869</v>
      </c>
      <c r="R654" s="7" t="s">
        <v>2788</v>
      </c>
      <c r="S654" s="7" t="s">
        <v>2788</v>
      </c>
      <c r="T654" s="7" t="s">
        <v>54</v>
      </c>
      <c r="U654" s="7" t="s">
        <v>55</v>
      </c>
      <c r="V654" s="7" t="s">
        <v>56</v>
      </c>
      <c r="W654" s="7" t="s">
        <v>57</v>
      </c>
      <c r="X654" s="7" t="s">
        <v>58</v>
      </c>
      <c r="Y654" s="8">
        <v>45288</v>
      </c>
      <c r="Z654" s="8" t="s">
        <v>0</v>
      </c>
      <c r="AA654" s="7" t="s">
        <v>59</v>
      </c>
      <c r="AB654" s="7" t="s">
        <v>64</v>
      </c>
      <c r="AC654" s="7" t="s">
        <v>79</v>
      </c>
      <c r="AD654" s="7" t="s">
        <v>80</v>
      </c>
      <c r="AE654" s="7" t="s">
        <v>82</v>
      </c>
      <c r="AF654" s="7" t="s">
        <v>0</v>
      </c>
      <c r="AG654" s="7" t="s">
        <v>0</v>
      </c>
      <c r="AH654" s="9" t="s">
        <v>12032</v>
      </c>
      <c r="AI654" s="9" t="s">
        <v>12033</v>
      </c>
      <c r="AJ654" s="9" t="s">
        <v>12034</v>
      </c>
      <c r="AK654" s="7" t="s">
        <v>61</v>
      </c>
      <c r="AL654" s="7" t="s">
        <v>61</v>
      </c>
      <c r="AM654" s="7" t="s">
        <v>0</v>
      </c>
      <c r="AN654" s="7" t="s">
        <v>0</v>
      </c>
      <c r="AO654" s="7" t="s">
        <v>0</v>
      </c>
      <c r="AP654" s="7" t="s">
        <v>0</v>
      </c>
      <c r="AQ654" s="7" t="s">
        <v>61</v>
      </c>
      <c r="AR654" s="7" t="s">
        <v>0</v>
      </c>
      <c r="AS654" s="10" t="str">
        <f>HYPERLINK("https://tessa.gazprom-neft.local/edo/card/035cf2a3-6b8f-450d-aaa5-8b295e600c3a", "https://tessa.gazprom-neft.local/edo/card/035cf2a3-6b8f-450d-aaa5-8b295e600c3a")</f>
        <v>https://tessa.gazprom-neft.local/edo/card/035cf2a3-6b8f-450d-aaa5-8b295e600c3a</v>
      </c>
    </row>
    <row r="655" spans="1:45" x14ac:dyDescent="0.25">
      <c r="A655" s="6" t="s">
        <v>44</v>
      </c>
      <c r="B655" s="7" t="s">
        <v>1192</v>
      </c>
      <c r="C655" s="7" t="s">
        <v>67</v>
      </c>
      <c r="D655" s="8">
        <v>45288</v>
      </c>
      <c r="E655" s="8" t="s">
        <v>0</v>
      </c>
      <c r="F655" s="16" t="s">
        <v>4005</v>
      </c>
      <c r="G655" s="7" t="s">
        <v>1194</v>
      </c>
      <c r="H655" s="7" t="s">
        <v>4003</v>
      </c>
      <c r="I655" s="7" t="s">
        <v>0</v>
      </c>
      <c r="J655" s="7" t="s">
        <v>156</v>
      </c>
      <c r="K655" s="7" t="s">
        <v>47</v>
      </c>
      <c r="L655" s="7" t="s">
        <v>48</v>
      </c>
      <c r="M655" s="7" t="s">
        <v>0</v>
      </c>
      <c r="N655" s="7" t="s">
        <v>8929</v>
      </c>
      <c r="O655" s="7" t="s">
        <v>0</v>
      </c>
      <c r="P655" s="7" t="s">
        <v>8930</v>
      </c>
      <c r="Q655" s="7" t="s">
        <v>8931</v>
      </c>
      <c r="R655" s="7" t="s">
        <v>393</v>
      </c>
      <c r="S655" s="7" t="s">
        <v>2349</v>
      </c>
      <c r="T655" s="7" t="s">
        <v>54</v>
      </c>
      <c r="U655" s="7" t="s">
        <v>362</v>
      </c>
      <c r="V655" s="7" t="s">
        <v>295</v>
      </c>
      <c r="W655" s="7" t="s">
        <v>74</v>
      </c>
      <c r="X655" s="7" t="s">
        <v>58</v>
      </c>
      <c r="Y655" s="8">
        <v>45288</v>
      </c>
      <c r="Z655" s="8" t="s">
        <v>0</v>
      </c>
      <c r="AA655" s="7" t="s">
        <v>296</v>
      </c>
      <c r="AB655" s="7" t="s">
        <v>1748</v>
      </c>
      <c r="AC655" s="7" t="s">
        <v>79</v>
      </c>
      <c r="AD655" s="7" t="s">
        <v>80</v>
      </c>
      <c r="AE655" s="7" t="s">
        <v>82</v>
      </c>
      <c r="AF655" s="7" t="s">
        <v>0</v>
      </c>
      <c r="AG655" s="7" t="s">
        <v>0</v>
      </c>
      <c r="AH655" s="9" t="s">
        <v>13749</v>
      </c>
      <c r="AI655" s="9" t="s">
        <v>13750</v>
      </c>
      <c r="AJ655" s="9" t="s">
        <v>13751</v>
      </c>
      <c r="AK655" s="7" t="s">
        <v>61</v>
      </c>
      <c r="AL655" s="7" t="s">
        <v>61</v>
      </c>
      <c r="AM655" s="7" t="s">
        <v>0</v>
      </c>
      <c r="AN655" s="7" t="s">
        <v>0</v>
      </c>
      <c r="AO655" s="7" t="s">
        <v>0</v>
      </c>
      <c r="AP655" s="7" t="s">
        <v>0</v>
      </c>
      <c r="AQ655" s="7" t="s">
        <v>61</v>
      </c>
      <c r="AR655" s="7" t="s">
        <v>0</v>
      </c>
      <c r="AS655" s="10" t="str">
        <f>HYPERLINK("https://tessa.gazprom-neft.local/edo/card/f1a2f923-d686-4c8f-bc48-8cd95db72c8c", "https://tessa.gazprom-neft.local/edo/card/f1a2f923-d686-4c8f-bc48-8cd95db72c8c")</f>
        <v>https://tessa.gazprom-neft.local/edo/card/f1a2f923-d686-4c8f-bc48-8cd95db72c8c</v>
      </c>
    </row>
    <row r="656" spans="1:45" hidden="1" x14ac:dyDescent="0.25">
      <c r="A656" s="6" t="s">
        <v>44</v>
      </c>
      <c r="B656" s="7" t="s">
        <v>661</v>
      </c>
      <c r="C656" s="7" t="s">
        <v>67</v>
      </c>
      <c r="D656" s="8">
        <v>45288</v>
      </c>
      <c r="E656" s="8" t="s">
        <v>0</v>
      </c>
      <c r="F656" s="16" t="s">
        <v>662</v>
      </c>
      <c r="G656" s="7" t="s">
        <v>663</v>
      </c>
      <c r="H656" s="7" t="s">
        <v>2557</v>
      </c>
      <c r="I656" s="7" t="s">
        <v>0</v>
      </c>
      <c r="J656" s="7" t="s">
        <v>2556</v>
      </c>
      <c r="K656" s="7" t="s">
        <v>47</v>
      </c>
      <c r="L656" s="7" t="s">
        <v>763</v>
      </c>
      <c r="M656" s="7" t="s">
        <v>0</v>
      </c>
      <c r="N656" s="7" t="s">
        <v>8934</v>
      </c>
      <c r="O656" s="7" t="s">
        <v>0</v>
      </c>
      <c r="P656" s="7" t="s">
        <v>8935</v>
      </c>
      <c r="Q656" s="7" t="s">
        <v>8936</v>
      </c>
      <c r="R656" s="7" t="s">
        <v>393</v>
      </c>
      <c r="S656" s="7" t="s">
        <v>1476</v>
      </c>
      <c r="T656" s="7" t="s">
        <v>54</v>
      </c>
      <c r="U656" s="7" t="s">
        <v>283</v>
      </c>
      <c r="V656" s="7" t="s">
        <v>168</v>
      </c>
      <c r="W656" s="7" t="s">
        <v>74</v>
      </c>
      <c r="X656" s="7" t="s">
        <v>58</v>
      </c>
      <c r="Y656" s="8">
        <v>45306</v>
      </c>
      <c r="Z656" s="8" t="s">
        <v>0</v>
      </c>
      <c r="AA656" s="7" t="s">
        <v>169</v>
      </c>
      <c r="AB656" s="7" t="s">
        <v>130</v>
      </c>
      <c r="AC656" s="7" t="s">
        <v>79</v>
      </c>
      <c r="AD656" s="7" t="s">
        <v>80</v>
      </c>
      <c r="AE656" s="7" t="s">
        <v>82</v>
      </c>
      <c r="AF656" s="7" t="s">
        <v>0</v>
      </c>
      <c r="AG656" s="7" t="s">
        <v>0</v>
      </c>
      <c r="AH656" s="9" t="s">
        <v>13752</v>
      </c>
      <c r="AI656" s="9" t="s">
        <v>13753</v>
      </c>
      <c r="AJ656" s="9" t="s">
        <v>13754</v>
      </c>
      <c r="AK656" s="7" t="s">
        <v>61</v>
      </c>
      <c r="AL656" s="7" t="s">
        <v>61</v>
      </c>
      <c r="AM656" s="7" t="s">
        <v>0</v>
      </c>
      <c r="AN656" s="7" t="s">
        <v>0</v>
      </c>
      <c r="AO656" s="7" t="s">
        <v>0</v>
      </c>
      <c r="AP656" s="7" t="s">
        <v>0</v>
      </c>
      <c r="AQ656" s="7" t="s">
        <v>61</v>
      </c>
      <c r="AR656" s="7" t="s">
        <v>0</v>
      </c>
      <c r="AS656" s="10" t="str">
        <f>HYPERLINK("https://tessa.gazprom-neft.local/edo/card/c010d1f8-45fb-4eb4-8ee6-8eb6119c46b4", "https://tessa.gazprom-neft.local/edo/card/c010d1f8-45fb-4eb4-8ee6-8eb6119c46b4")</f>
        <v>https://tessa.gazprom-neft.local/edo/card/c010d1f8-45fb-4eb4-8ee6-8eb6119c46b4</v>
      </c>
    </row>
    <row r="657" spans="1:45" hidden="1" x14ac:dyDescent="0.25">
      <c r="A657" s="6" t="s">
        <v>44</v>
      </c>
      <c r="B657" s="7" t="s">
        <v>661</v>
      </c>
      <c r="C657" s="7" t="s">
        <v>67</v>
      </c>
      <c r="D657" s="8">
        <v>45288</v>
      </c>
      <c r="E657" s="8" t="s">
        <v>0</v>
      </c>
      <c r="F657" s="16" t="s">
        <v>662</v>
      </c>
      <c r="G657" s="7" t="s">
        <v>663</v>
      </c>
      <c r="H657" s="7" t="s">
        <v>2557</v>
      </c>
      <c r="I657" s="7" t="s">
        <v>0</v>
      </c>
      <c r="J657" s="7" t="s">
        <v>8939</v>
      </c>
      <c r="K657" s="7" t="s">
        <v>47</v>
      </c>
      <c r="L657" s="7" t="s">
        <v>763</v>
      </c>
      <c r="M657" s="7" t="s">
        <v>0</v>
      </c>
      <c r="N657" s="7" t="s">
        <v>8937</v>
      </c>
      <c r="O657" s="7" t="s">
        <v>0</v>
      </c>
      <c r="P657" s="7" t="s">
        <v>8938</v>
      </c>
      <c r="Q657" s="7" t="s">
        <v>8940</v>
      </c>
      <c r="R657" s="7" t="s">
        <v>393</v>
      </c>
      <c r="S657" s="7" t="s">
        <v>1476</v>
      </c>
      <c r="T657" s="7" t="s">
        <v>54</v>
      </c>
      <c r="U657" s="7" t="s">
        <v>283</v>
      </c>
      <c r="V657" s="7" t="s">
        <v>168</v>
      </c>
      <c r="W657" s="7" t="s">
        <v>74</v>
      </c>
      <c r="X657" s="7" t="s">
        <v>58</v>
      </c>
      <c r="Y657" s="8">
        <v>45296</v>
      </c>
      <c r="Z657" s="8" t="s">
        <v>0</v>
      </c>
      <c r="AA657" s="7" t="s">
        <v>169</v>
      </c>
      <c r="AB657" s="7" t="s">
        <v>130</v>
      </c>
      <c r="AC657" s="7" t="s">
        <v>79</v>
      </c>
      <c r="AD657" s="7" t="s">
        <v>80</v>
      </c>
      <c r="AE657" s="7" t="s">
        <v>82</v>
      </c>
      <c r="AF657" s="7" t="s">
        <v>0</v>
      </c>
      <c r="AG657" s="7" t="s">
        <v>0</v>
      </c>
      <c r="AH657" s="9" t="s">
        <v>13755</v>
      </c>
      <c r="AI657" s="9" t="s">
        <v>13756</v>
      </c>
      <c r="AJ657" s="9" t="s">
        <v>13757</v>
      </c>
      <c r="AK657" s="7" t="s">
        <v>61</v>
      </c>
      <c r="AL657" s="7" t="s">
        <v>61</v>
      </c>
      <c r="AM657" s="7" t="s">
        <v>0</v>
      </c>
      <c r="AN657" s="7" t="s">
        <v>0</v>
      </c>
      <c r="AO657" s="7" t="s">
        <v>0</v>
      </c>
      <c r="AP657" s="7" t="s">
        <v>0</v>
      </c>
      <c r="AQ657" s="7" t="s">
        <v>61</v>
      </c>
      <c r="AR657" s="7" t="s">
        <v>0</v>
      </c>
      <c r="AS657" s="10" t="str">
        <f>HYPERLINK("https://tessa.gazprom-neft.local/edo/card/ee081c42-4b0f-43b3-bed6-f58dbfb599df", "https://tessa.gazprom-neft.local/edo/card/ee081c42-4b0f-43b3-bed6-f58dbfb599df")</f>
        <v>https://tessa.gazprom-neft.local/edo/card/ee081c42-4b0f-43b3-bed6-f58dbfb599df</v>
      </c>
    </row>
    <row r="658" spans="1:45" x14ac:dyDescent="0.25">
      <c r="A658" s="6" t="s">
        <v>44</v>
      </c>
      <c r="B658" s="7" t="s">
        <v>813</v>
      </c>
      <c r="C658" s="7" t="s">
        <v>67</v>
      </c>
      <c r="D658" s="8">
        <v>45288</v>
      </c>
      <c r="E658" s="8" t="s">
        <v>0</v>
      </c>
      <c r="F658" s="16" t="s">
        <v>814</v>
      </c>
      <c r="G658" s="7" t="s">
        <v>815</v>
      </c>
      <c r="H658" s="7" t="s">
        <v>809</v>
      </c>
      <c r="I658" s="7" t="s">
        <v>0</v>
      </c>
      <c r="J658" s="7" t="s">
        <v>712</v>
      </c>
      <c r="K658" s="7" t="s">
        <v>47</v>
      </c>
      <c r="L658" s="7" t="s">
        <v>48</v>
      </c>
      <c r="M658" s="7" t="s">
        <v>0</v>
      </c>
      <c r="N658" s="7" t="s">
        <v>8955</v>
      </c>
      <c r="O658" s="7" t="s">
        <v>0</v>
      </c>
      <c r="P658" s="7" t="s">
        <v>8956</v>
      </c>
      <c r="Q658" s="7" t="s">
        <v>7789</v>
      </c>
      <c r="R658" s="7" t="s">
        <v>393</v>
      </c>
      <c r="S658" s="7" t="s">
        <v>812</v>
      </c>
      <c r="T658" s="7" t="s">
        <v>54</v>
      </c>
      <c r="U658" s="7" t="s">
        <v>55</v>
      </c>
      <c r="V658" s="7" t="s">
        <v>56</v>
      </c>
      <c r="W658" s="7" t="s">
        <v>74</v>
      </c>
      <c r="X658" s="7" t="s">
        <v>58</v>
      </c>
      <c r="Y658" s="8">
        <v>45288</v>
      </c>
      <c r="Z658" s="8" t="s">
        <v>0</v>
      </c>
      <c r="AA658" s="7" t="s">
        <v>212</v>
      </c>
      <c r="AB658" s="7" t="s">
        <v>256</v>
      </c>
      <c r="AC658" s="7" t="s">
        <v>65</v>
      </c>
      <c r="AD658" s="7" t="s">
        <v>80</v>
      </c>
      <c r="AE658" s="7" t="s">
        <v>0</v>
      </c>
      <c r="AF658" s="7" t="s">
        <v>0</v>
      </c>
      <c r="AG658" s="7" t="s">
        <v>0</v>
      </c>
      <c r="AH658" s="9" t="s">
        <v>0</v>
      </c>
      <c r="AI658" s="9" t="s">
        <v>0</v>
      </c>
      <c r="AJ658" s="9" t="s">
        <v>0</v>
      </c>
      <c r="AK658" s="7" t="s">
        <v>61</v>
      </c>
      <c r="AL658" s="7" t="s">
        <v>61</v>
      </c>
      <c r="AM658" s="7" t="s">
        <v>0</v>
      </c>
      <c r="AN658" s="7" t="s">
        <v>0</v>
      </c>
      <c r="AO658" s="7" t="s">
        <v>0</v>
      </c>
      <c r="AP658" s="7" t="s">
        <v>0</v>
      </c>
      <c r="AQ658" s="7" t="s">
        <v>61</v>
      </c>
      <c r="AR658" s="7" t="s">
        <v>0</v>
      </c>
      <c r="AS658" s="10" t="str">
        <f>HYPERLINK("https://tessa.gazprom-neft.local/edo/card/1c0b25a5-7d94-4b72-9fb5-ed7984d0069e", "https://tessa.gazprom-neft.local/edo/card/1c0b25a5-7d94-4b72-9fb5-ed7984d0069e")</f>
        <v>https://tessa.gazprom-neft.local/edo/card/1c0b25a5-7d94-4b72-9fb5-ed7984d0069e</v>
      </c>
    </row>
    <row r="659" spans="1:45" x14ac:dyDescent="0.25">
      <c r="A659" s="6" t="s">
        <v>44</v>
      </c>
      <c r="B659" s="7" t="s">
        <v>927</v>
      </c>
      <c r="C659" s="7" t="s">
        <v>67</v>
      </c>
      <c r="D659" s="8">
        <v>45288</v>
      </c>
      <c r="E659" s="8" t="s">
        <v>0</v>
      </c>
      <c r="F659" s="16" t="s">
        <v>928</v>
      </c>
      <c r="G659" s="7" t="s">
        <v>929</v>
      </c>
      <c r="H659" s="7" t="s">
        <v>3224</v>
      </c>
      <c r="I659" s="7" t="s">
        <v>0</v>
      </c>
      <c r="J659" s="7" t="s">
        <v>70</v>
      </c>
      <c r="K659" s="7" t="s">
        <v>47</v>
      </c>
      <c r="L659" s="7" t="s">
        <v>48</v>
      </c>
      <c r="M659" s="7" t="s">
        <v>0</v>
      </c>
      <c r="N659" s="7" t="s">
        <v>9024</v>
      </c>
      <c r="O659" s="7" t="s">
        <v>0</v>
      </c>
      <c r="P659" s="7" t="s">
        <v>9025</v>
      </c>
      <c r="Q659" s="7" t="s">
        <v>9026</v>
      </c>
      <c r="R659" s="7" t="s">
        <v>198</v>
      </c>
      <c r="S659" s="7" t="s">
        <v>198</v>
      </c>
      <c r="T659" s="7" t="s">
        <v>54</v>
      </c>
      <c r="U659" s="7" t="s">
        <v>199</v>
      </c>
      <c r="V659" s="7" t="s">
        <v>126</v>
      </c>
      <c r="W659" s="7" t="s">
        <v>74</v>
      </c>
      <c r="X659" s="7" t="s">
        <v>103</v>
      </c>
      <c r="Y659" s="8">
        <v>45288</v>
      </c>
      <c r="Z659" s="8">
        <v>45657</v>
      </c>
      <c r="AA659" s="7" t="s">
        <v>0</v>
      </c>
      <c r="AB659" s="7" t="s">
        <v>804</v>
      </c>
      <c r="AC659" s="7" t="s">
        <v>65</v>
      </c>
      <c r="AD659" s="7" t="s">
        <v>0</v>
      </c>
      <c r="AE659" s="7" t="s">
        <v>0</v>
      </c>
      <c r="AF659" s="7" t="s">
        <v>0</v>
      </c>
      <c r="AG659" s="7" t="s">
        <v>0</v>
      </c>
      <c r="AH659" s="9" t="s">
        <v>0</v>
      </c>
      <c r="AI659" s="9" t="s">
        <v>0</v>
      </c>
      <c r="AJ659" s="9" t="s">
        <v>0</v>
      </c>
      <c r="AK659" s="7" t="s">
        <v>61</v>
      </c>
      <c r="AL659" s="7" t="s">
        <v>61</v>
      </c>
      <c r="AM659" s="7" t="s">
        <v>0</v>
      </c>
      <c r="AN659" s="7" t="s">
        <v>0</v>
      </c>
      <c r="AO659" s="7" t="s">
        <v>0</v>
      </c>
      <c r="AP659" s="7" t="s">
        <v>0</v>
      </c>
      <c r="AQ659" s="7" t="s">
        <v>61</v>
      </c>
      <c r="AR659" s="7" t="s">
        <v>0</v>
      </c>
      <c r="AS659" s="10" t="str">
        <f>HYPERLINK("https://tessa.gazprom-neft.local/edo/card/12df33cb-eed2-42cf-a0ec-b0ae896e42a4", "https://tessa.gazprom-neft.local/edo/card/12df33cb-eed2-42cf-a0ec-b0ae896e42a4")</f>
        <v>https://tessa.gazprom-neft.local/edo/card/12df33cb-eed2-42cf-a0ec-b0ae896e42a4</v>
      </c>
    </row>
    <row r="660" spans="1:45" hidden="1" x14ac:dyDescent="0.25">
      <c r="A660" s="6" t="s">
        <v>44</v>
      </c>
      <c r="B660" s="7" t="s">
        <v>284</v>
      </c>
      <c r="C660" s="7" t="s">
        <v>67</v>
      </c>
      <c r="D660" s="8">
        <v>45287</v>
      </c>
      <c r="E660" s="8" t="s">
        <v>0</v>
      </c>
      <c r="F660" s="16" t="s">
        <v>285</v>
      </c>
      <c r="G660" s="7" t="s">
        <v>286</v>
      </c>
      <c r="H660" s="7" t="s">
        <v>419</v>
      </c>
      <c r="I660" s="7" t="s">
        <v>0</v>
      </c>
      <c r="J660" s="7" t="s">
        <v>51</v>
      </c>
      <c r="K660" s="7" t="s">
        <v>47</v>
      </c>
      <c r="L660" s="7" t="s">
        <v>389</v>
      </c>
      <c r="M660" s="7" t="s">
        <v>0</v>
      </c>
      <c r="N660" s="7" t="s">
        <v>418</v>
      </c>
      <c r="O660" s="7" t="s">
        <v>51</v>
      </c>
      <c r="P660" s="7" t="s">
        <v>420</v>
      </c>
      <c r="Q660" s="7" t="s">
        <v>421</v>
      </c>
      <c r="R660" s="7" t="s">
        <v>422</v>
      </c>
      <c r="S660" s="7" t="s">
        <v>0</v>
      </c>
      <c r="T660" s="7" t="s">
        <v>54</v>
      </c>
      <c r="U660" s="7" t="s">
        <v>362</v>
      </c>
      <c r="V660" s="7" t="s">
        <v>56</v>
      </c>
      <c r="W660" s="7" t="s">
        <v>74</v>
      </c>
      <c r="X660" s="7" t="s">
        <v>103</v>
      </c>
      <c r="Y660" s="8">
        <v>45287</v>
      </c>
      <c r="Z660" s="8">
        <v>45443</v>
      </c>
      <c r="AA660" s="7" t="s">
        <v>0</v>
      </c>
      <c r="AB660" s="7" t="s">
        <v>423</v>
      </c>
      <c r="AC660" s="7" t="s">
        <v>79</v>
      </c>
      <c r="AD660" s="7" t="s">
        <v>144</v>
      </c>
      <c r="AE660" s="7" t="s">
        <v>82</v>
      </c>
      <c r="AF660" s="7" t="s">
        <v>0</v>
      </c>
      <c r="AG660" s="7" t="s">
        <v>0</v>
      </c>
      <c r="AH660" s="9" t="s">
        <v>10743</v>
      </c>
      <c r="AI660" s="9" t="s">
        <v>10744</v>
      </c>
      <c r="AJ660" s="9" t="s">
        <v>10745</v>
      </c>
      <c r="AK660" s="7" t="s">
        <v>61</v>
      </c>
      <c r="AL660" s="7" t="s">
        <v>61</v>
      </c>
      <c r="AM660" s="7" t="s">
        <v>0</v>
      </c>
      <c r="AN660" s="7" t="s">
        <v>0</v>
      </c>
      <c r="AO660" s="7" t="s">
        <v>0</v>
      </c>
      <c r="AP660" s="7" t="s">
        <v>0</v>
      </c>
      <c r="AQ660" s="7" t="s">
        <v>61</v>
      </c>
      <c r="AR660" s="7" t="s">
        <v>0</v>
      </c>
      <c r="AS660" s="10" t="str">
        <f>HYPERLINK("https://tessa.gazprom-neft.local/edo/card/68460851-d59b-437a-b33c-17fc420dd7fc", "https://tessa.gazprom-neft.local/edo/card/68460851-d59b-437a-b33c-17fc420dd7fc")</f>
        <v>https://tessa.gazprom-neft.local/edo/card/68460851-d59b-437a-b33c-17fc420dd7fc</v>
      </c>
    </row>
    <row r="661" spans="1:45" x14ac:dyDescent="0.25">
      <c r="A661" s="6" t="s">
        <v>44</v>
      </c>
      <c r="B661" s="7" t="s">
        <v>363</v>
      </c>
      <c r="C661" s="7" t="s">
        <v>67</v>
      </c>
      <c r="D661" s="8">
        <v>45287</v>
      </c>
      <c r="E661" s="8" t="s">
        <v>0</v>
      </c>
      <c r="F661" s="16" t="s">
        <v>364</v>
      </c>
      <c r="G661" s="7" t="s">
        <v>365</v>
      </c>
      <c r="H661" s="7" t="s">
        <v>502</v>
      </c>
      <c r="I661" s="7" t="s">
        <v>0</v>
      </c>
      <c r="J661" s="7" t="s">
        <v>355</v>
      </c>
      <c r="K661" s="7" t="s">
        <v>47</v>
      </c>
      <c r="L661" s="7" t="s">
        <v>48</v>
      </c>
      <c r="M661" s="7" t="s">
        <v>0</v>
      </c>
      <c r="N661" s="7" t="s">
        <v>501</v>
      </c>
      <c r="O661" s="7" t="s">
        <v>0</v>
      </c>
      <c r="P661" s="7" t="s">
        <v>503</v>
      </c>
      <c r="Q661" s="7" t="s">
        <v>504</v>
      </c>
      <c r="R661" s="7" t="s">
        <v>505</v>
      </c>
      <c r="S661" s="7" t="s">
        <v>506</v>
      </c>
      <c r="T661" s="7" t="s">
        <v>54</v>
      </c>
      <c r="U661" s="7" t="s">
        <v>55</v>
      </c>
      <c r="V661" s="7" t="s">
        <v>56</v>
      </c>
      <c r="W661" s="7" t="s">
        <v>74</v>
      </c>
      <c r="X661" s="7" t="s">
        <v>58</v>
      </c>
      <c r="Y661" s="8">
        <v>45287</v>
      </c>
      <c r="Z661" s="8" t="s">
        <v>0</v>
      </c>
      <c r="AA661" s="7" t="s">
        <v>0</v>
      </c>
      <c r="AB661" s="7" t="s">
        <v>507</v>
      </c>
      <c r="AC661" s="7" t="s">
        <v>79</v>
      </c>
      <c r="AD661" s="7" t="s">
        <v>80</v>
      </c>
      <c r="AE661" s="7" t="s">
        <v>82</v>
      </c>
      <c r="AF661" s="7" t="s">
        <v>0</v>
      </c>
      <c r="AG661" s="7" t="s">
        <v>0</v>
      </c>
      <c r="AH661" s="9" t="s">
        <v>10755</v>
      </c>
      <c r="AI661" s="9" t="s">
        <v>10756</v>
      </c>
      <c r="AJ661" s="9" t="s">
        <v>10757</v>
      </c>
      <c r="AK661" s="7" t="s">
        <v>61</v>
      </c>
      <c r="AL661" s="7" t="s">
        <v>61</v>
      </c>
      <c r="AM661" s="7" t="s">
        <v>0</v>
      </c>
      <c r="AN661" s="7" t="s">
        <v>0</v>
      </c>
      <c r="AO661" s="7" t="s">
        <v>0</v>
      </c>
      <c r="AP661" s="7" t="s">
        <v>0</v>
      </c>
      <c r="AQ661" s="7" t="s">
        <v>61</v>
      </c>
      <c r="AR661" s="7" t="s">
        <v>0</v>
      </c>
      <c r="AS661" s="10" t="str">
        <f>HYPERLINK("https://tessa.gazprom-neft.local/edo/card/d4cd22ca-f4f7-410f-88c6-37c759352041", "https://tessa.gazprom-neft.local/edo/card/d4cd22ca-f4f7-410f-88c6-37c759352041")</f>
        <v>https://tessa.gazprom-neft.local/edo/card/d4cd22ca-f4f7-410f-88c6-37c759352041</v>
      </c>
    </row>
    <row r="662" spans="1:45" x14ac:dyDescent="0.25">
      <c r="A662" s="6" t="s">
        <v>44</v>
      </c>
      <c r="B662" s="7" t="s">
        <v>582</v>
      </c>
      <c r="C662" s="7" t="s">
        <v>67</v>
      </c>
      <c r="D662" s="8">
        <v>45287</v>
      </c>
      <c r="E662" s="8" t="s">
        <v>0</v>
      </c>
      <c r="F662" s="16" t="s">
        <v>583</v>
      </c>
      <c r="G662" s="7" t="s">
        <v>584</v>
      </c>
      <c r="H662" s="7" t="s">
        <v>580</v>
      </c>
      <c r="I662" s="7" t="s">
        <v>0</v>
      </c>
      <c r="J662" s="7" t="s">
        <v>156</v>
      </c>
      <c r="K662" s="7" t="s">
        <v>47</v>
      </c>
      <c r="L662" s="7" t="s">
        <v>48</v>
      </c>
      <c r="M662" s="7" t="s">
        <v>0</v>
      </c>
      <c r="N662" s="7" t="s">
        <v>625</v>
      </c>
      <c r="O662" s="7" t="s">
        <v>0</v>
      </c>
      <c r="P662" s="7" t="s">
        <v>626</v>
      </c>
      <c r="Q662" s="7" t="s">
        <v>627</v>
      </c>
      <c r="R662" s="7" t="s">
        <v>505</v>
      </c>
      <c r="S662" s="7" t="s">
        <v>506</v>
      </c>
      <c r="T662" s="7" t="s">
        <v>54</v>
      </c>
      <c r="U662" s="7" t="s">
        <v>55</v>
      </c>
      <c r="V662" s="7" t="s">
        <v>56</v>
      </c>
      <c r="W662" s="7" t="s">
        <v>74</v>
      </c>
      <c r="X662" s="7" t="s">
        <v>58</v>
      </c>
      <c r="Y662" s="8">
        <v>45287</v>
      </c>
      <c r="Z662" s="8" t="s">
        <v>0</v>
      </c>
      <c r="AA662" s="7" t="s">
        <v>0</v>
      </c>
      <c r="AB662" s="7" t="s">
        <v>585</v>
      </c>
      <c r="AC662" s="7" t="s">
        <v>79</v>
      </c>
      <c r="AD662" s="7" t="s">
        <v>144</v>
      </c>
      <c r="AE662" s="7" t="s">
        <v>82</v>
      </c>
      <c r="AF662" s="7" t="s">
        <v>0</v>
      </c>
      <c r="AG662" s="7" t="s">
        <v>0</v>
      </c>
      <c r="AH662" s="9" t="s">
        <v>10786</v>
      </c>
      <c r="AI662" s="9" t="s">
        <v>10787</v>
      </c>
      <c r="AJ662" s="9" t="s">
        <v>10788</v>
      </c>
      <c r="AK662" s="7" t="s">
        <v>61</v>
      </c>
      <c r="AL662" s="7" t="s">
        <v>61</v>
      </c>
      <c r="AM662" s="7" t="s">
        <v>0</v>
      </c>
      <c r="AN662" s="7" t="s">
        <v>0</v>
      </c>
      <c r="AO662" s="7" t="s">
        <v>0</v>
      </c>
      <c r="AP662" s="7" t="s">
        <v>0</v>
      </c>
      <c r="AQ662" s="7" t="s">
        <v>61</v>
      </c>
      <c r="AR662" s="7" t="s">
        <v>0</v>
      </c>
      <c r="AS662" s="10" t="str">
        <f>HYPERLINK("https://tessa.gazprom-neft.local/edo/card/18e76453-36f4-4006-a79f-6295b314db67", "https://tessa.gazprom-neft.local/edo/card/18e76453-36f4-4006-a79f-6295b314db67")</f>
        <v>https://tessa.gazprom-neft.local/edo/card/18e76453-36f4-4006-a79f-6295b314db67</v>
      </c>
    </row>
    <row r="663" spans="1:45" hidden="1" x14ac:dyDescent="0.25">
      <c r="A663" s="6" t="s">
        <v>44</v>
      </c>
      <c r="B663" s="7" t="s">
        <v>582</v>
      </c>
      <c r="C663" s="7" t="s">
        <v>67</v>
      </c>
      <c r="D663" s="8">
        <v>45287</v>
      </c>
      <c r="E663" s="8" t="s">
        <v>0</v>
      </c>
      <c r="F663" s="16" t="s">
        <v>583</v>
      </c>
      <c r="G663" s="7" t="s">
        <v>584</v>
      </c>
      <c r="H663" s="7" t="s">
        <v>580</v>
      </c>
      <c r="I663" s="7" t="s">
        <v>0</v>
      </c>
      <c r="J663" s="7" t="s">
        <v>271</v>
      </c>
      <c r="K663" s="7" t="s">
        <v>47</v>
      </c>
      <c r="L663" s="7" t="s">
        <v>239</v>
      </c>
      <c r="M663" s="7" t="s">
        <v>0</v>
      </c>
      <c r="N663" s="7" t="s">
        <v>843</v>
      </c>
      <c r="O663" s="7" t="s">
        <v>0</v>
      </c>
      <c r="P663" s="7" t="s">
        <v>844</v>
      </c>
      <c r="Q663" s="7" t="s">
        <v>845</v>
      </c>
      <c r="R663" s="7" t="s">
        <v>505</v>
      </c>
      <c r="S663" s="7" t="s">
        <v>506</v>
      </c>
      <c r="T663" s="7" t="s">
        <v>54</v>
      </c>
      <c r="U663" s="7" t="s">
        <v>55</v>
      </c>
      <c r="V663" s="7" t="s">
        <v>846</v>
      </c>
      <c r="W663" s="7" t="s">
        <v>74</v>
      </c>
      <c r="X663" s="7" t="s">
        <v>103</v>
      </c>
      <c r="Y663" s="8">
        <v>45292</v>
      </c>
      <c r="Z663" s="8">
        <v>45342</v>
      </c>
      <c r="AA663" s="7" t="s">
        <v>847</v>
      </c>
      <c r="AB663" s="7" t="s">
        <v>585</v>
      </c>
      <c r="AC663" s="7" t="s">
        <v>79</v>
      </c>
      <c r="AD663" s="7" t="s">
        <v>144</v>
      </c>
      <c r="AE663" s="7" t="s">
        <v>82</v>
      </c>
      <c r="AF663" s="7" t="s">
        <v>0</v>
      </c>
      <c r="AG663" s="7" t="s">
        <v>0</v>
      </c>
      <c r="AH663" s="9" t="s">
        <v>10841</v>
      </c>
      <c r="AI663" s="9" t="s">
        <v>10842</v>
      </c>
      <c r="AJ663" s="9" t="s">
        <v>10843</v>
      </c>
      <c r="AK663" s="7" t="s">
        <v>61</v>
      </c>
      <c r="AL663" s="7" t="s">
        <v>61</v>
      </c>
      <c r="AM663" s="7" t="s">
        <v>0</v>
      </c>
      <c r="AN663" s="7" t="s">
        <v>0</v>
      </c>
      <c r="AO663" s="7" t="s">
        <v>0</v>
      </c>
      <c r="AP663" s="7" t="s">
        <v>0</v>
      </c>
      <c r="AQ663" s="7" t="s">
        <v>61</v>
      </c>
      <c r="AR663" s="7" t="s">
        <v>0</v>
      </c>
      <c r="AS663" s="10" t="str">
        <f>HYPERLINK("https://tessa.gazprom-neft.local/edo/card/6d0982b4-0f1a-4082-9a31-8d97c707f8a3", "https://tessa.gazprom-neft.local/edo/card/6d0982b4-0f1a-4082-9a31-8d97c707f8a3")</f>
        <v>https://tessa.gazprom-neft.local/edo/card/6d0982b4-0f1a-4082-9a31-8d97c707f8a3</v>
      </c>
    </row>
    <row r="664" spans="1:45" hidden="1" x14ac:dyDescent="0.25">
      <c r="A664" s="6" t="s">
        <v>44</v>
      </c>
      <c r="B664" s="7" t="s">
        <v>363</v>
      </c>
      <c r="C664" s="7" t="s">
        <v>67</v>
      </c>
      <c r="D664" s="8">
        <v>45287</v>
      </c>
      <c r="E664" s="8" t="s">
        <v>0</v>
      </c>
      <c r="F664" s="16" t="s">
        <v>364</v>
      </c>
      <c r="G664" s="7" t="s">
        <v>365</v>
      </c>
      <c r="H664" s="7" t="s">
        <v>502</v>
      </c>
      <c r="I664" s="7" t="s">
        <v>0</v>
      </c>
      <c r="J664" s="7" t="s">
        <v>271</v>
      </c>
      <c r="K664" s="7" t="s">
        <v>47</v>
      </c>
      <c r="L664" s="7" t="s">
        <v>239</v>
      </c>
      <c r="M664" s="7" t="s">
        <v>0</v>
      </c>
      <c r="N664" s="7" t="s">
        <v>931</v>
      </c>
      <c r="O664" s="7" t="s">
        <v>0</v>
      </c>
      <c r="P664" s="7" t="s">
        <v>932</v>
      </c>
      <c r="Q664" s="7" t="s">
        <v>845</v>
      </c>
      <c r="R664" s="7" t="s">
        <v>505</v>
      </c>
      <c r="S664" s="7" t="s">
        <v>506</v>
      </c>
      <c r="T664" s="7" t="s">
        <v>54</v>
      </c>
      <c r="U664" s="7" t="s">
        <v>55</v>
      </c>
      <c r="V664" s="7" t="s">
        <v>846</v>
      </c>
      <c r="W664" s="7" t="s">
        <v>74</v>
      </c>
      <c r="X664" s="7" t="s">
        <v>103</v>
      </c>
      <c r="Y664" s="8">
        <v>45287</v>
      </c>
      <c r="Z664" s="8">
        <v>45342</v>
      </c>
      <c r="AA664" s="7" t="s">
        <v>847</v>
      </c>
      <c r="AB664" s="7" t="s">
        <v>507</v>
      </c>
      <c r="AC664" s="7" t="s">
        <v>79</v>
      </c>
      <c r="AD664" s="7" t="s">
        <v>144</v>
      </c>
      <c r="AE664" s="7" t="s">
        <v>82</v>
      </c>
      <c r="AF664" s="7" t="s">
        <v>0</v>
      </c>
      <c r="AG664" s="7" t="s">
        <v>0</v>
      </c>
      <c r="AH664" s="9" t="s">
        <v>10755</v>
      </c>
      <c r="AI664" s="9" t="s">
        <v>10756</v>
      </c>
      <c r="AJ664" s="9" t="s">
        <v>10757</v>
      </c>
      <c r="AK664" s="7" t="s">
        <v>61</v>
      </c>
      <c r="AL664" s="7" t="s">
        <v>61</v>
      </c>
      <c r="AM664" s="7" t="s">
        <v>0</v>
      </c>
      <c r="AN664" s="7" t="s">
        <v>0</v>
      </c>
      <c r="AO664" s="7" t="s">
        <v>0</v>
      </c>
      <c r="AP664" s="7" t="s">
        <v>0</v>
      </c>
      <c r="AQ664" s="7" t="s">
        <v>61</v>
      </c>
      <c r="AR664" s="7" t="s">
        <v>0</v>
      </c>
      <c r="AS664" s="10" t="str">
        <f>HYPERLINK("https://tessa.gazprom-neft.local/edo/card/2ac5607d-e495-4585-872b-a1d048b6428b", "https://tessa.gazprom-neft.local/edo/card/2ac5607d-e495-4585-872b-a1d048b6428b")</f>
        <v>https://tessa.gazprom-neft.local/edo/card/2ac5607d-e495-4585-872b-a1d048b6428b</v>
      </c>
    </row>
    <row r="665" spans="1:45" hidden="1" x14ac:dyDescent="0.25">
      <c r="A665" s="6" t="s">
        <v>44</v>
      </c>
      <c r="B665" s="7" t="s">
        <v>395</v>
      </c>
      <c r="C665" s="7" t="s">
        <v>67</v>
      </c>
      <c r="D665" s="8">
        <v>45287</v>
      </c>
      <c r="E665" s="8" t="s">
        <v>0</v>
      </c>
      <c r="F665" s="16" t="s">
        <v>396</v>
      </c>
      <c r="G665" s="7" t="s">
        <v>397</v>
      </c>
      <c r="H665" s="7" t="s">
        <v>390</v>
      </c>
      <c r="I665" s="7" t="s">
        <v>0</v>
      </c>
      <c r="J665" s="7" t="s">
        <v>872</v>
      </c>
      <c r="K665" s="7" t="s">
        <v>47</v>
      </c>
      <c r="L665" s="7" t="s">
        <v>239</v>
      </c>
      <c r="M665" s="7" t="s">
        <v>0</v>
      </c>
      <c r="N665" s="7" t="s">
        <v>8681</v>
      </c>
      <c r="O665" s="7" t="s">
        <v>0</v>
      </c>
      <c r="P665" s="7" t="s">
        <v>8682</v>
      </c>
      <c r="Q665" s="7" t="s">
        <v>8683</v>
      </c>
      <c r="R665" s="7" t="s">
        <v>393</v>
      </c>
      <c r="S665" s="7" t="s">
        <v>590</v>
      </c>
      <c r="T665" s="7" t="s">
        <v>54</v>
      </c>
      <c r="U665" s="7" t="s">
        <v>125</v>
      </c>
      <c r="V665" s="7" t="s">
        <v>126</v>
      </c>
      <c r="W665" s="7" t="s">
        <v>74</v>
      </c>
      <c r="X665" s="7" t="s">
        <v>58</v>
      </c>
      <c r="Y665" s="8">
        <v>45287</v>
      </c>
      <c r="Z665" s="8" t="s">
        <v>0</v>
      </c>
      <c r="AA665" s="7" t="s">
        <v>224</v>
      </c>
      <c r="AB665" s="7" t="s">
        <v>387</v>
      </c>
      <c r="AC665" s="7" t="s">
        <v>79</v>
      </c>
      <c r="AD665" s="7" t="s">
        <v>80</v>
      </c>
      <c r="AE665" s="7" t="s">
        <v>82</v>
      </c>
      <c r="AF665" s="7" t="s">
        <v>0</v>
      </c>
      <c r="AG665" s="7" t="s">
        <v>4684</v>
      </c>
      <c r="AH665" s="9" t="s">
        <v>12169</v>
      </c>
      <c r="AI665" s="9" t="s">
        <v>12170</v>
      </c>
      <c r="AJ665" s="9" t="s">
        <v>12171</v>
      </c>
      <c r="AK665" s="7" t="s">
        <v>81</v>
      </c>
      <c r="AL665" s="7" t="s">
        <v>61</v>
      </c>
      <c r="AM665" s="7" t="s">
        <v>0</v>
      </c>
      <c r="AN665" s="7" t="s">
        <v>0</v>
      </c>
      <c r="AO665" s="7" t="s">
        <v>0</v>
      </c>
      <c r="AP665" s="7" t="s">
        <v>0</v>
      </c>
      <c r="AQ665" s="7" t="s">
        <v>61</v>
      </c>
      <c r="AR665" s="7" t="s">
        <v>0</v>
      </c>
      <c r="AS665" s="10" t="str">
        <f>HYPERLINK("https://tessa.gazprom-neft.local/edo/card/266b5f31-aeed-47bc-93ca-e0f66c5a06e7", "https://tessa.gazprom-neft.local/edo/card/266b5f31-aeed-47bc-93ca-e0f66c5a06e7")</f>
        <v>https://tessa.gazprom-neft.local/edo/card/266b5f31-aeed-47bc-93ca-e0f66c5a06e7</v>
      </c>
    </row>
    <row r="666" spans="1:45" hidden="1" x14ac:dyDescent="0.25">
      <c r="A666" s="6" t="s">
        <v>44</v>
      </c>
      <c r="B666" s="7" t="s">
        <v>75</v>
      </c>
      <c r="C666" s="7" t="s">
        <v>67</v>
      </c>
      <c r="D666" s="8">
        <v>45287</v>
      </c>
      <c r="E666" s="8" t="s">
        <v>0</v>
      </c>
      <c r="F666" s="16" t="s">
        <v>76</v>
      </c>
      <c r="G666" s="7" t="s">
        <v>77</v>
      </c>
      <c r="H666" s="7" t="s">
        <v>68</v>
      </c>
      <c r="I666" s="7" t="s">
        <v>0</v>
      </c>
      <c r="J666" s="7" t="s">
        <v>936</v>
      </c>
      <c r="K666" s="7" t="s">
        <v>47</v>
      </c>
      <c r="L666" s="7" t="s">
        <v>239</v>
      </c>
      <c r="M666" s="7" t="s">
        <v>0</v>
      </c>
      <c r="N666" s="7" t="s">
        <v>8968</v>
      </c>
      <c r="O666" s="7" t="s">
        <v>0</v>
      </c>
      <c r="P666" s="7" t="s">
        <v>8969</v>
      </c>
      <c r="Q666" s="7" t="s">
        <v>8970</v>
      </c>
      <c r="R666" s="7" t="s">
        <v>72</v>
      </c>
      <c r="S666" s="7" t="s">
        <v>0</v>
      </c>
      <c r="T666" s="7" t="s">
        <v>54</v>
      </c>
      <c r="U666" s="7" t="s">
        <v>73</v>
      </c>
      <c r="V666" s="7" t="s">
        <v>56</v>
      </c>
      <c r="W666" s="7" t="s">
        <v>74</v>
      </c>
      <c r="X666" s="7" t="s">
        <v>58</v>
      </c>
      <c r="Y666" s="8">
        <v>45287</v>
      </c>
      <c r="Z666" s="8" t="s">
        <v>0</v>
      </c>
      <c r="AA666" s="7" t="s">
        <v>0</v>
      </c>
      <c r="AB666" s="7" t="s">
        <v>78</v>
      </c>
      <c r="AC666" s="7" t="s">
        <v>79</v>
      </c>
      <c r="AD666" s="7" t="s">
        <v>80</v>
      </c>
      <c r="AE666" s="7" t="s">
        <v>82</v>
      </c>
      <c r="AF666" s="7" t="s">
        <v>0</v>
      </c>
      <c r="AG666" s="7" t="s">
        <v>0</v>
      </c>
      <c r="AH666" s="9" t="s">
        <v>13763</v>
      </c>
      <c r="AI666" s="9" t="s">
        <v>13764</v>
      </c>
      <c r="AJ666" s="9" t="s">
        <v>13765</v>
      </c>
      <c r="AK666" s="7" t="s">
        <v>61</v>
      </c>
      <c r="AL666" s="7" t="s">
        <v>61</v>
      </c>
      <c r="AM666" s="7" t="s">
        <v>0</v>
      </c>
      <c r="AN666" s="7" t="s">
        <v>0</v>
      </c>
      <c r="AO666" s="7" t="s">
        <v>0</v>
      </c>
      <c r="AP666" s="7" t="s">
        <v>0</v>
      </c>
      <c r="AQ666" s="7" t="s">
        <v>61</v>
      </c>
      <c r="AR666" s="7" t="s">
        <v>0</v>
      </c>
      <c r="AS666" s="10" t="str">
        <f>HYPERLINK("https://tessa.gazprom-neft.local/edo/card/d73819d2-b891-49a2-82dd-ea48f01c150b", "https://tessa.gazprom-neft.local/edo/card/d73819d2-b891-49a2-82dd-ea48f01c150b")</f>
        <v>https://tessa.gazprom-neft.local/edo/card/d73819d2-b891-49a2-82dd-ea48f01c150b</v>
      </c>
    </row>
    <row r="667" spans="1:45" x14ac:dyDescent="0.25">
      <c r="A667" s="6" t="s">
        <v>44</v>
      </c>
      <c r="B667" s="7" t="s">
        <v>2350</v>
      </c>
      <c r="C667" s="7" t="s">
        <v>67</v>
      </c>
      <c r="D667" s="8">
        <v>45287</v>
      </c>
      <c r="E667" s="8" t="s">
        <v>0</v>
      </c>
      <c r="F667" s="16" t="s">
        <v>2351</v>
      </c>
      <c r="G667" s="7" t="s">
        <v>2352</v>
      </c>
      <c r="H667" s="7" t="s">
        <v>2370</v>
      </c>
      <c r="I667" s="7" t="s">
        <v>0</v>
      </c>
      <c r="J667" s="7" t="s">
        <v>70</v>
      </c>
      <c r="K667" s="7" t="s">
        <v>47</v>
      </c>
      <c r="L667" s="7" t="s">
        <v>48</v>
      </c>
      <c r="M667" s="7" t="s">
        <v>0</v>
      </c>
      <c r="N667" s="7" t="s">
        <v>8998</v>
      </c>
      <c r="O667" s="7" t="s">
        <v>0</v>
      </c>
      <c r="P667" s="7" t="s">
        <v>8999</v>
      </c>
      <c r="Q667" s="7" t="s">
        <v>9000</v>
      </c>
      <c r="R667" s="7" t="s">
        <v>505</v>
      </c>
      <c r="S667" s="7" t="s">
        <v>2349</v>
      </c>
      <c r="T667" s="7" t="s">
        <v>54</v>
      </c>
      <c r="U667" s="7" t="s">
        <v>362</v>
      </c>
      <c r="V667" s="7" t="s">
        <v>295</v>
      </c>
      <c r="W667" s="7" t="s">
        <v>74</v>
      </c>
      <c r="X667" s="7" t="s">
        <v>58</v>
      </c>
      <c r="Y667" s="8">
        <v>45287</v>
      </c>
      <c r="Z667" s="8" t="s">
        <v>0</v>
      </c>
      <c r="AA667" s="7" t="s">
        <v>296</v>
      </c>
      <c r="AB667" s="7" t="s">
        <v>1748</v>
      </c>
      <c r="AC667" s="7" t="s">
        <v>79</v>
      </c>
      <c r="AD667" s="7" t="s">
        <v>144</v>
      </c>
      <c r="AE667" s="7" t="s">
        <v>82</v>
      </c>
      <c r="AF667" s="7" t="s">
        <v>0</v>
      </c>
      <c r="AG667" s="7" t="s">
        <v>0</v>
      </c>
      <c r="AH667" s="9" t="s">
        <v>13781</v>
      </c>
      <c r="AI667" s="9" t="s">
        <v>13782</v>
      </c>
      <c r="AJ667" s="9" t="s">
        <v>13783</v>
      </c>
      <c r="AK667" s="7" t="s">
        <v>61</v>
      </c>
      <c r="AL667" s="7" t="s">
        <v>61</v>
      </c>
      <c r="AM667" s="7" t="s">
        <v>0</v>
      </c>
      <c r="AN667" s="7" t="s">
        <v>0</v>
      </c>
      <c r="AO667" s="7" t="s">
        <v>0</v>
      </c>
      <c r="AP667" s="7" t="s">
        <v>0</v>
      </c>
      <c r="AQ667" s="7" t="s">
        <v>61</v>
      </c>
      <c r="AR667" s="7" t="s">
        <v>0</v>
      </c>
      <c r="AS667" s="10" t="str">
        <f>HYPERLINK("https://tessa.gazprom-neft.local/edo/card/49170851-6cea-412b-901c-58dfab227578", "https://tessa.gazprom-neft.local/edo/card/49170851-6cea-412b-901c-58dfab227578")</f>
        <v>https://tessa.gazprom-neft.local/edo/card/49170851-6cea-412b-901c-58dfab227578</v>
      </c>
    </row>
    <row r="668" spans="1:45" x14ac:dyDescent="0.25">
      <c r="A668" s="6" t="s">
        <v>44</v>
      </c>
      <c r="B668" s="7" t="s">
        <v>687</v>
      </c>
      <c r="C668" s="7" t="s">
        <v>67</v>
      </c>
      <c r="D668" s="8">
        <v>45287</v>
      </c>
      <c r="E668" s="8" t="s">
        <v>0</v>
      </c>
      <c r="F668" s="16" t="s">
        <v>688</v>
      </c>
      <c r="G668" s="7" t="s">
        <v>689</v>
      </c>
      <c r="H668" s="7" t="s">
        <v>6025</v>
      </c>
      <c r="I668" s="7" t="s">
        <v>0</v>
      </c>
      <c r="J668" s="7" t="s">
        <v>51</v>
      </c>
      <c r="K668" s="7" t="s">
        <v>47</v>
      </c>
      <c r="L668" s="7" t="s">
        <v>48</v>
      </c>
      <c r="M668" s="7" t="s">
        <v>0</v>
      </c>
      <c r="N668" s="7" t="s">
        <v>9011</v>
      </c>
      <c r="O668" s="7" t="s">
        <v>0</v>
      </c>
      <c r="P668" s="7" t="s">
        <v>9012</v>
      </c>
      <c r="Q668" s="7" t="s">
        <v>9013</v>
      </c>
      <c r="R668" s="7" t="s">
        <v>198</v>
      </c>
      <c r="S668" s="7" t="s">
        <v>198</v>
      </c>
      <c r="T668" s="7" t="s">
        <v>54</v>
      </c>
      <c r="U668" s="7" t="s">
        <v>199</v>
      </c>
      <c r="V668" s="7" t="s">
        <v>126</v>
      </c>
      <c r="W668" s="7" t="s">
        <v>74</v>
      </c>
      <c r="X668" s="7" t="s">
        <v>103</v>
      </c>
      <c r="Y668" s="8">
        <v>45217</v>
      </c>
      <c r="Z668" s="8">
        <v>45412</v>
      </c>
      <c r="AA668" s="7" t="s">
        <v>224</v>
      </c>
      <c r="AB668" s="7" t="s">
        <v>130</v>
      </c>
      <c r="AC668" s="7" t="s">
        <v>65</v>
      </c>
      <c r="AD668" s="7" t="s">
        <v>0</v>
      </c>
      <c r="AE668" s="7" t="s">
        <v>0</v>
      </c>
      <c r="AF668" s="7" t="s">
        <v>0</v>
      </c>
      <c r="AG668" s="7" t="s">
        <v>0</v>
      </c>
      <c r="AH668" s="9" t="s">
        <v>0</v>
      </c>
      <c r="AI668" s="9" t="s">
        <v>0</v>
      </c>
      <c r="AJ668" s="9" t="s">
        <v>0</v>
      </c>
      <c r="AK668" s="7" t="s">
        <v>61</v>
      </c>
      <c r="AL668" s="7" t="s">
        <v>61</v>
      </c>
      <c r="AM668" s="7" t="s">
        <v>0</v>
      </c>
      <c r="AN668" s="7" t="s">
        <v>0</v>
      </c>
      <c r="AO668" s="7" t="s">
        <v>0</v>
      </c>
      <c r="AP668" s="7" t="s">
        <v>0</v>
      </c>
      <c r="AQ668" s="7" t="s">
        <v>61</v>
      </c>
      <c r="AR668" s="7" t="s">
        <v>0</v>
      </c>
      <c r="AS668" s="10" t="str">
        <f>HYPERLINK("https://tessa.gazprom-neft.local/edo/card/cdfb0394-82f4-42e2-83a1-2bf0c73688d8", "https://tessa.gazprom-neft.local/edo/card/cdfb0394-82f4-42e2-83a1-2bf0c73688d8")</f>
        <v>https://tessa.gazprom-neft.local/edo/card/cdfb0394-82f4-42e2-83a1-2bf0c73688d8</v>
      </c>
    </row>
    <row r="669" spans="1:45" x14ac:dyDescent="0.25">
      <c r="A669" s="6" t="s">
        <v>44</v>
      </c>
      <c r="B669" s="7" t="s">
        <v>213</v>
      </c>
      <c r="C669" s="7" t="s">
        <v>67</v>
      </c>
      <c r="D669" s="8">
        <v>45287</v>
      </c>
      <c r="E669" s="8" t="s">
        <v>0</v>
      </c>
      <c r="F669" s="16" t="s">
        <v>214</v>
      </c>
      <c r="G669" s="7" t="s">
        <v>215</v>
      </c>
      <c r="H669" s="7" t="s">
        <v>207</v>
      </c>
      <c r="I669" s="7" t="s">
        <v>0</v>
      </c>
      <c r="J669" s="7" t="s">
        <v>872</v>
      </c>
      <c r="K669" s="7" t="s">
        <v>85</v>
      </c>
      <c r="L669" s="7" t="s">
        <v>48</v>
      </c>
      <c r="M669" s="7" t="s">
        <v>3833</v>
      </c>
      <c r="N669" s="7" t="s">
        <v>9077</v>
      </c>
      <c r="O669" s="7" t="s">
        <v>0</v>
      </c>
      <c r="P669" s="7" t="s">
        <v>3833</v>
      </c>
      <c r="Q669" s="7" t="s">
        <v>9078</v>
      </c>
      <c r="R669" s="7" t="s">
        <v>198</v>
      </c>
      <c r="S669" s="7" t="s">
        <v>198</v>
      </c>
      <c r="T669" s="7" t="s">
        <v>54</v>
      </c>
      <c r="U669" s="7" t="s">
        <v>199</v>
      </c>
      <c r="V669" s="7" t="s">
        <v>126</v>
      </c>
      <c r="W669" s="7" t="s">
        <v>74</v>
      </c>
      <c r="X669" s="7" t="s">
        <v>58</v>
      </c>
      <c r="Y669" s="8">
        <v>45287</v>
      </c>
      <c r="Z669" s="8" t="s">
        <v>0</v>
      </c>
      <c r="AA669" s="7" t="s">
        <v>200</v>
      </c>
      <c r="AB669" s="7" t="s">
        <v>64</v>
      </c>
      <c r="AC669" s="7" t="s">
        <v>65</v>
      </c>
      <c r="AD669" s="7" t="s">
        <v>0</v>
      </c>
      <c r="AE669" s="7" t="s">
        <v>0</v>
      </c>
      <c r="AF669" s="7" t="s">
        <v>0</v>
      </c>
      <c r="AG669" s="7" t="s">
        <v>0</v>
      </c>
      <c r="AH669" s="9" t="s">
        <v>0</v>
      </c>
      <c r="AI669" s="9" t="s">
        <v>0</v>
      </c>
      <c r="AJ669" s="9" t="s">
        <v>0</v>
      </c>
      <c r="AK669" s="7" t="s">
        <v>61</v>
      </c>
      <c r="AL669" s="7" t="s">
        <v>61</v>
      </c>
      <c r="AM669" s="7" t="s">
        <v>0</v>
      </c>
      <c r="AN669" s="7" t="s">
        <v>0</v>
      </c>
      <c r="AO669" s="7" t="s">
        <v>0</v>
      </c>
      <c r="AP669" s="7" t="s">
        <v>0</v>
      </c>
      <c r="AQ669" s="7" t="s">
        <v>61</v>
      </c>
      <c r="AR669" s="7" t="s">
        <v>0</v>
      </c>
      <c r="AS669" s="10" t="str">
        <f>HYPERLINK("https://tessa.gazprom-neft.local/edo/card/3938473b-5245-47d2-9356-fe63d5edf827", "https://tessa.gazprom-neft.local/edo/card/3938473b-5245-47d2-9356-fe63d5edf827")</f>
        <v>https://tessa.gazprom-neft.local/edo/card/3938473b-5245-47d2-9356-fe63d5edf827</v>
      </c>
    </row>
    <row r="670" spans="1:45" x14ac:dyDescent="0.25">
      <c r="A670" s="6" t="s">
        <v>44</v>
      </c>
      <c r="B670" s="7" t="s">
        <v>265</v>
      </c>
      <c r="C670" s="7" t="s">
        <v>67</v>
      </c>
      <c r="D670" s="8">
        <v>45286</v>
      </c>
      <c r="E670" s="8" t="s">
        <v>0</v>
      </c>
      <c r="F670" s="16" t="s">
        <v>266</v>
      </c>
      <c r="G670" s="7" t="s">
        <v>267</v>
      </c>
      <c r="H670" s="7" t="s">
        <v>0</v>
      </c>
      <c r="I670" s="7" t="s">
        <v>0</v>
      </c>
      <c r="J670" s="7" t="s">
        <v>331</v>
      </c>
      <c r="K670" s="7" t="s">
        <v>85</v>
      </c>
      <c r="L670" s="7" t="s">
        <v>48</v>
      </c>
      <c r="M670" s="7" t="s">
        <v>1134</v>
      </c>
      <c r="N670" s="7" t="s">
        <v>7762</v>
      </c>
      <c r="O670" s="7" t="s">
        <v>0</v>
      </c>
      <c r="P670" s="7" t="s">
        <v>7763</v>
      </c>
      <c r="Q670" s="7" t="s">
        <v>1134</v>
      </c>
      <c r="R670" s="7" t="s">
        <v>124</v>
      </c>
      <c r="S670" s="7" t="s">
        <v>0</v>
      </c>
      <c r="T670" s="7" t="s">
        <v>54</v>
      </c>
      <c r="U670" s="7" t="s">
        <v>125</v>
      </c>
      <c r="V670" s="7" t="s">
        <v>126</v>
      </c>
      <c r="W670" s="7" t="s">
        <v>74</v>
      </c>
      <c r="X670" s="7" t="s">
        <v>58</v>
      </c>
      <c r="Y670" s="8">
        <v>45286</v>
      </c>
      <c r="Z670" s="8" t="s">
        <v>0</v>
      </c>
      <c r="AA670" s="7" t="s">
        <v>224</v>
      </c>
      <c r="AB670" s="7" t="s">
        <v>130</v>
      </c>
      <c r="AC670" s="7" t="s">
        <v>65</v>
      </c>
      <c r="AD670" s="7" t="s">
        <v>0</v>
      </c>
      <c r="AE670" s="7" t="s">
        <v>0</v>
      </c>
      <c r="AF670" s="7" t="s">
        <v>0</v>
      </c>
      <c r="AG670" s="7" t="s">
        <v>0</v>
      </c>
      <c r="AH670" s="9" t="s">
        <v>0</v>
      </c>
      <c r="AI670" s="9" t="s">
        <v>0</v>
      </c>
      <c r="AJ670" s="9" t="s">
        <v>0</v>
      </c>
      <c r="AK670" s="7" t="s">
        <v>61</v>
      </c>
      <c r="AL670" s="7" t="s">
        <v>61</v>
      </c>
      <c r="AM670" s="7" t="s">
        <v>0</v>
      </c>
      <c r="AN670" s="7" t="s">
        <v>0</v>
      </c>
      <c r="AO670" s="7" t="s">
        <v>0</v>
      </c>
      <c r="AP670" s="7" t="s">
        <v>0</v>
      </c>
      <c r="AQ670" s="7" t="s">
        <v>61</v>
      </c>
      <c r="AR670" s="7" t="s">
        <v>0</v>
      </c>
      <c r="AS670" s="10" t="str">
        <f>HYPERLINK("https://tessa.gazprom-neft.local/edo/card/3d39a59e-75e5-447e-bfb1-32df829eb922", "https://tessa.gazprom-neft.local/edo/card/3d39a59e-75e5-447e-bfb1-32df829eb922")</f>
        <v>https://tessa.gazprom-neft.local/edo/card/3d39a59e-75e5-447e-bfb1-32df829eb922</v>
      </c>
    </row>
    <row r="671" spans="1:45" x14ac:dyDescent="0.25">
      <c r="A671" s="6" t="s">
        <v>44</v>
      </c>
      <c r="B671" s="7" t="s">
        <v>1386</v>
      </c>
      <c r="C671" s="7" t="s">
        <v>67</v>
      </c>
      <c r="D671" s="8">
        <v>45286</v>
      </c>
      <c r="E671" s="8" t="s">
        <v>0</v>
      </c>
      <c r="F671" s="16" t="s">
        <v>1387</v>
      </c>
      <c r="G671" s="7" t="s">
        <v>1388</v>
      </c>
      <c r="H671" s="7" t="s">
        <v>3881</v>
      </c>
      <c r="I671" s="7" t="s">
        <v>0</v>
      </c>
      <c r="J671" s="7" t="s">
        <v>331</v>
      </c>
      <c r="K671" s="7" t="s">
        <v>47</v>
      </c>
      <c r="L671" s="7" t="s">
        <v>48</v>
      </c>
      <c r="M671" s="7" t="s">
        <v>0</v>
      </c>
      <c r="N671" s="7" t="s">
        <v>8377</v>
      </c>
      <c r="O671" s="7" t="s">
        <v>0</v>
      </c>
      <c r="P671" s="7" t="s">
        <v>8378</v>
      </c>
      <c r="Q671" s="7" t="s">
        <v>8379</v>
      </c>
      <c r="R671" s="7" t="s">
        <v>484</v>
      </c>
      <c r="S671" s="7" t="s">
        <v>484</v>
      </c>
      <c r="T671" s="7" t="s">
        <v>54</v>
      </c>
      <c r="U671" s="7" t="s">
        <v>274</v>
      </c>
      <c r="V671" s="7" t="s">
        <v>340</v>
      </c>
      <c r="W671" s="7" t="s">
        <v>74</v>
      </c>
      <c r="X671" s="7" t="s">
        <v>103</v>
      </c>
      <c r="Y671" s="8">
        <v>45292</v>
      </c>
      <c r="Z671" s="8">
        <v>45657</v>
      </c>
      <c r="AA671" s="7" t="s">
        <v>341</v>
      </c>
      <c r="AB671" s="7" t="s">
        <v>64</v>
      </c>
      <c r="AC671" s="7" t="s">
        <v>278</v>
      </c>
      <c r="AD671" s="7" t="s">
        <v>80</v>
      </c>
      <c r="AE671" s="7" t="s">
        <v>82</v>
      </c>
      <c r="AF671" s="7" t="s">
        <v>0</v>
      </c>
      <c r="AG671" s="7" t="s">
        <v>0</v>
      </c>
      <c r="AH671" s="9" t="s">
        <v>13525</v>
      </c>
      <c r="AI671" s="9" t="s">
        <v>13526</v>
      </c>
      <c r="AJ671" s="9" t="s">
        <v>13527</v>
      </c>
      <c r="AK671" s="7" t="s">
        <v>61</v>
      </c>
      <c r="AL671" s="7" t="s">
        <v>61</v>
      </c>
      <c r="AM671" s="7" t="s">
        <v>0</v>
      </c>
      <c r="AN671" s="7" t="s">
        <v>0</v>
      </c>
      <c r="AO671" s="7" t="s">
        <v>0</v>
      </c>
      <c r="AP671" s="7" t="s">
        <v>0</v>
      </c>
      <c r="AQ671" s="7" t="s">
        <v>61</v>
      </c>
      <c r="AR671" s="7" t="s">
        <v>0</v>
      </c>
      <c r="AS671" s="10" t="str">
        <f>HYPERLINK("https://tessa.gazprom-neft.local/edo/card/e6f90bde-bb8d-4b94-acb8-e6c65db220be", "https://tessa.gazprom-neft.local/edo/card/e6f90bde-bb8d-4b94-acb8-e6c65db220be")</f>
        <v>https://tessa.gazprom-neft.local/edo/card/e6f90bde-bb8d-4b94-acb8-e6c65db220be</v>
      </c>
    </row>
    <row r="672" spans="1:45" x14ac:dyDescent="0.25">
      <c r="A672" s="6" t="s">
        <v>44</v>
      </c>
      <c r="B672" s="7" t="s">
        <v>2495</v>
      </c>
      <c r="C672" s="7" t="s">
        <v>67</v>
      </c>
      <c r="D672" s="8">
        <v>45286</v>
      </c>
      <c r="E672" s="8" t="s">
        <v>0</v>
      </c>
      <c r="F672" s="16" t="s">
        <v>2496</v>
      </c>
      <c r="G672" s="7" t="s">
        <v>2497</v>
      </c>
      <c r="H672" s="7" t="s">
        <v>2493</v>
      </c>
      <c r="I672" s="7" t="s">
        <v>0</v>
      </c>
      <c r="J672" s="7" t="s">
        <v>271</v>
      </c>
      <c r="K672" s="7" t="s">
        <v>47</v>
      </c>
      <c r="L672" s="7" t="s">
        <v>48</v>
      </c>
      <c r="M672" s="7" t="s">
        <v>0</v>
      </c>
      <c r="N672" s="7" t="s">
        <v>8699</v>
      </c>
      <c r="O672" s="7" t="s">
        <v>0</v>
      </c>
      <c r="P672" s="7" t="s">
        <v>8700</v>
      </c>
      <c r="Q672" s="7" t="s">
        <v>3272</v>
      </c>
      <c r="R672" s="7" t="s">
        <v>361</v>
      </c>
      <c r="S672" s="7" t="s">
        <v>361</v>
      </c>
      <c r="T672" s="7" t="s">
        <v>54</v>
      </c>
      <c r="U672" s="7" t="s">
        <v>362</v>
      </c>
      <c r="V672" s="7" t="s">
        <v>295</v>
      </c>
      <c r="W672" s="7" t="s">
        <v>57</v>
      </c>
      <c r="X672" s="7" t="s">
        <v>103</v>
      </c>
      <c r="Y672" s="8">
        <v>45292</v>
      </c>
      <c r="Z672" s="8">
        <v>45657</v>
      </c>
      <c r="AA672" s="7" t="s">
        <v>296</v>
      </c>
      <c r="AB672" s="7" t="s">
        <v>366</v>
      </c>
      <c r="AC672" s="7" t="s">
        <v>278</v>
      </c>
      <c r="AD672" s="7" t="s">
        <v>367</v>
      </c>
      <c r="AE672" s="7" t="s">
        <v>82</v>
      </c>
      <c r="AF672" s="7" t="s">
        <v>0</v>
      </c>
      <c r="AG672" s="7" t="s">
        <v>0</v>
      </c>
      <c r="AH672" s="9" t="s">
        <v>13659</v>
      </c>
      <c r="AI672" s="9" t="s">
        <v>13660</v>
      </c>
      <c r="AJ672" s="9" t="s">
        <v>13661</v>
      </c>
      <c r="AK672" s="7" t="s">
        <v>61</v>
      </c>
      <c r="AL672" s="7" t="s">
        <v>61</v>
      </c>
      <c r="AM672" s="7" t="s">
        <v>0</v>
      </c>
      <c r="AN672" s="7" t="s">
        <v>0</v>
      </c>
      <c r="AO672" s="7" t="s">
        <v>0</v>
      </c>
      <c r="AP672" s="7" t="s">
        <v>0</v>
      </c>
      <c r="AQ672" s="7" t="s">
        <v>61</v>
      </c>
      <c r="AR672" s="7" t="s">
        <v>0</v>
      </c>
      <c r="AS672" s="10" t="str">
        <f>HYPERLINK("https://tessa.gazprom-neft.local/edo/card/9fd083aa-bdf1-46d8-a1de-11a8b98a374d", "https://tessa.gazprom-neft.local/edo/card/9fd083aa-bdf1-46d8-a1de-11a8b98a374d")</f>
        <v>https://tessa.gazprom-neft.local/edo/card/9fd083aa-bdf1-46d8-a1de-11a8b98a374d</v>
      </c>
    </row>
    <row r="673" spans="1:45" hidden="1" x14ac:dyDescent="0.25">
      <c r="A673" s="6" t="s">
        <v>44</v>
      </c>
      <c r="B673" s="7" t="s">
        <v>592</v>
      </c>
      <c r="C673" s="7" t="s">
        <v>67</v>
      </c>
      <c r="D673" s="8">
        <v>45286</v>
      </c>
      <c r="E673" s="8" t="s">
        <v>0</v>
      </c>
      <c r="F673" s="16" t="s">
        <v>593</v>
      </c>
      <c r="G673" s="7" t="s">
        <v>594</v>
      </c>
      <c r="H673" s="7" t="s">
        <v>953</v>
      </c>
      <c r="I673" s="7" t="s">
        <v>0</v>
      </c>
      <c r="J673" s="7" t="s">
        <v>51</v>
      </c>
      <c r="K673" s="7" t="s">
        <v>47</v>
      </c>
      <c r="L673" s="7" t="s">
        <v>389</v>
      </c>
      <c r="M673" s="7" t="s">
        <v>0</v>
      </c>
      <c r="N673" s="7" t="s">
        <v>8992</v>
      </c>
      <c r="O673" s="7" t="s">
        <v>271</v>
      </c>
      <c r="P673" s="7" t="s">
        <v>8993</v>
      </c>
      <c r="Q673" s="7" t="s">
        <v>1799</v>
      </c>
      <c r="R673" s="7" t="s">
        <v>590</v>
      </c>
      <c r="S673" s="7" t="s">
        <v>394</v>
      </c>
      <c r="T673" s="7" t="s">
        <v>54</v>
      </c>
      <c r="U673" s="7" t="s">
        <v>591</v>
      </c>
      <c r="V673" s="7" t="s">
        <v>126</v>
      </c>
      <c r="W673" s="7" t="s">
        <v>74</v>
      </c>
      <c r="X673" s="7" t="s">
        <v>58</v>
      </c>
      <c r="Y673" s="8">
        <v>45286</v>
      </c>
      <c r="Z673" s="8" t="s">
        <v>0</v>
      </c>
      <c r="AA673" s="7" t="s">
        <v>224</v>
      </c>
      <c r="AB673" s="7" t="s">
        <v>387</v>
      </c>
      <c r="AC673" s="7" t="s">
        <v>79</v>
      </c>
      <c r="AD673" s="7" t="s">
        <v>144</v>
      </c>
      <c r="AE673" s="7" t="s">
        <v>82</v>
      </c>
      <c r="AF673" s="7" t="s">
        <v>0</v>
      </c>
      <c r="AG673" s="7" t="s">
        <v>0</v>
      </c>
      <c r="AH673" s="9" t="s">
        <v>13775</v>
      </c>
      <c r="AI673" s="9" t="s">
        <v>13776</v>
      </c>
      <c r="AJ673" s="9" t="s">
        <v>13777</v>
      </c>
      <c r="AK673" s="7" t="s">
        <v>61</v>
      </c>
      <c r="AL673" s="7" t="s">
        <v>61</v>
      </c>
      <c r="AM673" s="7" t="s">
        <v>0</v>
      </c>
      <c r="AN673" s="7" t="s">
        <v>0</v>
      </c>
      <c r="AO673" s="7" t="s">
        <v>0</v>
      </c>
      <c r="AP673" s="7" t="s">
        <v>0</v>
      </c>
      <c r="AQ673" s="7" t="s">
        <v>61</v>
      </c>
      <c r="AR673" s="7" t="s">
        <v>0</v>
      </c>
      <c r="AS673" s="10" t="str">
        <f>HYPERLINK("https://tessa.gazprom-neft.local/edo/card/c4b47f27-c992-46cb-87db-76294f3cc5fd", "https://tessa.gazprom-neft.local/edo/card/c4b47f27-c992-46cb-87db-76294f3cc5fd")</f>
        <v>https://tessa.gazprom-neft.local/edo/card/c4b47f27-c992-46cb-87db-76294f3cc5fd</v>
      </c>
    </row>
    <row r="674" spans="1:45" x14ac:dyDescent="0.25">
      <c r="A674" s="6" t="s">
        <v>44</v>
      </c>
      <c r="B674" s="7" t="s">
        <v>900</v>
      </c>
      <c r="C674" s="7" t="s">
        <v>67</v>
      </c>
      <c r="D674" s="8">
        <v>45286</v>
      </c>
      <c r="E674" s="8" t="s">
        <v>0</v>
      </c>
      <c r="F674" s="16" t="s">
        <v>901</v>
      </c>
      <c r="G674" s="7" t="s">
        <v>902</v>
      </c>
      <c r="H674" s="7" t="s">
        <v>894</v>
      </c>
      <c r="I674" s="7" t="s">
        <v>0</v>
      </c>
      <c r="J674" s="7" t="s">
        <v>955</v>
      </c>
      <c r="K674" s="7" t="s">
        <v>47</v>
      </c>
      <c r="L674" s="7" t="s">
        <v>48</v>
      </c>
      <c r="M674" s="7" t="s">
        <v>0</v>
      </c>
      <c r="N674" s="7" t="s">
        <v>9004</v>
      </c>
      <c r="O674" s="7" t="s">
        <v>0</v>
      </c>
      <c r="P674" s="7" t="s">
        <v>9005</v>
      </c>
      <c r="Q674" s="7" t="s">
        <v>9006</v>
      </c>
      <c r="R674" s="7" t="s">
        <v>198</v>
      </c>
      <c r="S674" s="7" t="s">
        <v>198</v>
      </c>
      <c r="T674" s="7" t="s">
        <v>54</v>
      </c>
      <c r="U674" s="7" t="s">
        <v>199</v>
      </c>
      <c r="V674" s="7" t="s">
        <v>126</v>
      </c>
      <c r="W674" s="7" t="s">
        <v>74</v>
      </c>
      <c r="X674" s="7" t="s">
        <v>103</v>
      </c>
      <c r="Y674" s="8">
        <v>45286</v>
      </c>
      <c r="Z674" s="8">
        <v>45657</v>
      </c>
      <c r="AA674" s="7" t="s">
        <v>224</v>
      </c>
      <c r="AB674" s="7" t="s">
        <v>130</v>
      </c>
      <c r="AC674" s="7" t="s">
        <v>65</v>
      </c>
      <c r="AD674" s="7" t="s">
        <v>0</v>
      </c>
      <c r="AE674" s="7" t="s">
        <v>0</v>
      </c>
      <c r="AF674" s="7" t="s">
        <v>0</v>
      </c>
      <c r="AG674" s="7" t="s">
        <v>0</v>
      </c>
      <c r="AH674" s="9" t="s">
        <v>0</v>
      </c>
      <c r="AI674" s="9" t="s">
        <v>0</v>
      </c>
      <c r="AJ674" s="9" t="s">
        <v>0</v>
      </c>
      <c r="AK674" s="7" t="s">
        <v>61</v>
      </c>
      <c r="AL674" s="7" t="s">
        <v>61</v>
      </c>
      <c r="AM674" s="7" t="s">
        <v>0</v>
      </c>
      <c r="AN674" s="7" t="s">
        <v>0</v>
      </c>
      <c r="AO674" s="7" t="s">
        <v>0</v>
      </c>
      <c r="AP674" s="7" t="s">
        <v>0</v>
      </c>
      <c r="AQ674" s="7" t="s">
        <v>61</v>
      </c>
      <c r="AR674" s="7" t="s">
        <v>0</v>
      </c>
      <c r="AS674" s="10" t="str">
        <f>HYPERLINK("https://tessa.gazprom-neft.local/edo/card/cb40de77-9758-4c9d-898b-a57f146cbbff", "https://tessa.gazprom-neft.local/edo/card/cb40de77-9758-4c9d-898b-a57f146cbbff")</f>
        <v>https://tessa.gazprom-neft.local/edo/card/cb40de77-9758-4c9d-898b-a57f146cbbff</v>
      </c>
    </row>
    <row r="675" spans="1:45" x14ac:dyDescent="0.25">
      <c r="A675" s="6" t="s">
        <v>44</v>
      </c>
      <c r="B675" s="7" t="s">
        <v>705</v>
      </c>
      <c r="C675" s="7" t="s">
        <v>67</v>
      </c>
      <c r="D675" s="8">
        <v>45285</v>
      </c>
      <c r="E675" s="8" t="s">
        <v>0</v>
      </c>
      <c r="F675" s="16" t="s">
        <v>2466</v>
      </c>
      <c r="G675" s="7" t="s">
        <v>707</v>
      </c>
      <c r="H675" s="7" t="s">
        <v>1597</v>
      </c>
      <c r="I675" s="7" t="s">
        <v>0</v>
      </c>
      <c r="J675" s="7" t="s">
        <v>355</v>
      </c>
      <c r="K675" s="7" t="s">
        <v>47</v>
      </c>
      <c r="L675" s="7" t="s">
        <v>48</v>
      </c>
      <c r="M675" s="7" t="s">
        <v>0</v>
      </c>
      <c r="N675" s="7" t="s">
        <v>7199</v>
      </c>
      <c r="O675" s="7" t="s">
        <v>0</v>
      </c>
      <c r="P675" s="7" t="s">
        <v>7200</v>
      </c>
      <c r="Q675" s="7" t="s">
        <v>7201</v>
      </c>
      <c r="R675" s="7" t="s">
        <v>282</v>
      </c>
      <c r="S675" s="7" t="s">
        <v>0</v>
      </c>
      <c r="T675" s="7" t="s">
        <v>54</v>
      </c>
      <c r="U675" s="7" t="s">
        <v>55</v>
      </c>
      <c r="V675" s="7" t="s">
        <v>56</v>
      </c>
      <c r="W675" s="7" t="s">
        <v>74</v>
      </c>
      <c r="X675" s="7" t="s">
        <v>103</v>
      </c>
      <c r="Y675" s="8">
        <v>45285</v>
      </c>
      <c r="Z675" s="8">
        <v>45657</v>
      </c>
      <c r="AA675" s="7" t="s">
        <v>0</v>
      </c>
      <c r="AB675" s="7" t="s">
        <v>130</v>
      </c>
      <c r="AC675" s="7" t="s">
        <v>79</v>
      </c>
      <c r="AD675" s="7" t="s">
        <v>80</v>
      </c>
      <c r="AE675" s="7" t="s">
        <v>82</v>
      </c>
      <c r="AF675" s="7" t="s">
        <v>0</v>
      </c>
      <c r="AG675" s="7" t="s">
        <v>0</v>
      </c>
      <c r="AH675" s="9" t="s">
        <v>13101</v>
      </c>
      <c r="AI675" s="9" t="s">
        <v>13102</v>
      </c>
      <c r="AJ675" s="9" t="s">
        <v>13103</v>
      </c>
      <c r="AK675" s="7" t="s">
        <v>61</v>
      </c>
      <c r="AL675" s="7" t="s">
        <v>61</v>
      </c>
      <c r="AM675" s="7" t="s">
        <v>0</v>
      </c>
      <c r="AN675" s="7" t="s">
        <v>0</v>
      </c>
      <c r="AO675" s="7" t="s">
        <v>0</v>
      </c>
      <c r="AP675" s="7" t="s">
        <v>0</v>
      </c>
      <c r="AQ675" s="7" t="s">
        <v>61</v>
      </c>
      <c r="AR675" s="7" t="s">
        <v>0</v>
      </c>
      <c r="AS675" s="10" t="str">
        <f>HYPERLINK("https://tessa.gazprom-neft.local/edo/card/e0701843-7e54-4334-8f20-e9438279600b", "https://tessa.gazprom-neft.local/edo/card/e0701843-7e54-4334-8f20-e9438279600b")</f>
        <v>https://tessa.gazprom-neft.local/edo/card/e0701843-7e54-4334-8f20-e9438279600b</v>
      </c>
    </row>
    <row r="676" spans="1:45" x14ac:dyDescent="0.25">
      <c r="A676" s="6" t="s">
        <v>44</v>
      </c>
      <c r="B676" s="7" t="s">
        <v>114</v>
      </c>
      <c r="C676" s="7" t="s">
        <v>67</v>
      </c>
      <c r="D676" s="8">
        <v>45285</v>
      </c>
      <c r="E676" s="8" t="s">
        <v>0</v>
      </c>
      <c r="F676" s="16" t="s">
        <v>115</v>
      </c>
      <c r="G676" s="7" t="s">
        <v>116</v>
      </c>
      <c r="H676" s="7" t="s">
        <v>107</v>
      </c>
      <c r="I676" s="7" t="s">
        <v>0</v>
      </c>
      <c r="J676" s="7" t="s">
        <v>271</v>
      </c>
      <c r="K676" s="7" t="s">
        <v>47</v>
      </c>
      <c r="L676" s="7" t="s">
        <v>48</v>
      </c>
      <c r="M676" s="7" t="s">
        <v>0</v>
      </c>
      <c r="N676" s="7" t="s">
        <v>8587</v>
      </c>
      <c r="O676" s="7" t="s">
        <v>0</v>
      </c>
      <c r="P676" s="7" t="s">
        <v>8588</v>
      </c>
      <c r="Q676" s="7" t="s">
        <v>8589</v>
      </c>
      <c r="R676" s="7" t="s">
        <v>459</v>
      </c>
      <c r="S676" s="7" t="s">
        <v>0</v>
      </c>
      <c r="T676" s="7" t="s">
        <v>54</v>
      </c>
      <c r="U676" s="7" t="s">
        <v>111</v>
      </c>
      <c r="V676" s="7" t="s">
        <v>137</v>
      </c>
      <c r="W676" s="7" t="s">
        <v>57</v>
      </c>
      <c r="X676" s="7" t="s">
        <v>103</v>
      </c>
      <c r="Y676" s="8">
        <v>45285</v>
      </c>
      <c r="Z676" s="8">
        <v>45291</v>
      </c>
      <c r="AA676" s="7" t="s">
        <v>0</v>
      </c>
      <c r="AB676" s="7" t="s">
        <v>117</v>
      </c>
      <c r="AC676" s="7" t="s">
        <v>79</v>
      </c>
      <c r="AD676" s="7" t="s">
        <v>80</v>
      </c>
      <c r="AE676" s="7" t="s">
        <v>118</v>
      </c>
      <c r="AF676" s="7" t="s">
        <v>0</v>
      </c>
      <c r="AG676" s="7" t="s">
        <v>0</v>
      </c>
      <c r="AH676" s="9" t="s">
        <v>13605</v>
      </c>
      <c r="AI676" s="9" t="s">
        <v>13605</v>
      </c>
      <c r="AJ676" s="9">
        <v>0</v>
      </c>
      <c r="AK676" s="7" t="s">
        <v>61</v>
      </c>
      <c r="AL676" s="7" t="s">
        <v>61</v>
      </c>
      <c r="AM676" s="7" t="s">
        <v>0</v>
      </c>
      <c r="AN676" s="7" t="s">
        <v>0</v>
      </c>
      <c r="AO676" s="7" t="s">
        <v>0</v>
      </c>
      <c r="AP676" s="7" t="s">
        <v>0</v>
      </c>
      <c r="AQ676" s="7" t="s">
        <v>61</v>
      </c>
      <c r="AR676" s="7" t="s">
        <v>0</v>
      </c>
      <c r="AS676" s="10" t="str">
        <f>HYPERLINK("https://tessa.gazprom-neft.local/edo/card/d2becc8d-535f-43a0-86ea-3e66ba2cace4", "https://tessa.gazprom-neft.local/edo/card/d2becc8d-535f-43a0-86ea-3e66ba2cace4")</f>
        <v>https://tessa.gazprom-neft.local/edo/card/d2becc8d-535f-43a0-86ea-3e66ba2cace4</v>
      </c>
    </row>
    <row r="677" spans="1:45" x14ac:dyDescent="0.25">
      <c r="A677" s="6" t="s">
        <v>44</v>
      </c>
      <c r="B677" s="7" t="s">
        <v>927</v>
      </c>
      <c r="C677" s="7" t="s">
        <v>67</v>
      </c>
      <c r="D677" s="8">
        <v>45285</v>
      </c>
      <c r="E677" s="8" t="s">
        <v>0</v>
      </c>
      <c r="F677" s="16" t="s">
        <v>928</v>
      </c>
      <c r="G677" s="7" t="s">
        <v>929</v>
      </c>
      <c r="H677" s="7" t="s">
        <v>1929</v>
      </c>
      <c r="I677" s="7" t="s">
        <v>0</v>
      </c>
      <c r="J677" s="7" t="s">
        <v>51</v>
      </c>
      <c r="K677" s="7" t="s">
        <v>47</v>
      </c>
      <c r="L677" s="7" t="s">
        <v>48</v>
      </c>
      <c r="M677" s="7" t="s">
        <v>0</v>
      </c>
      <c r="N677" s="7" t="s">
        <v>8708</v>
      </c>
      <c r="O677" s="7" t="s">
        <v>0</v>
      </c>
      <c r="P677" s="7" t="s">
        <v>8709</v>
      </c>
      <c r="Q677" s="7" t="s">
        <v>8363</v>
      </c>
      <c r="R677" s="7" t="s">
        <v>361</v>
      </c>
      <c r="S677" s="7" t="s">
        <v>361</v>
      </c>
      <c r="T677" s="7" t="s">
        <v>54</v>
      </c>
      <c r="U677" s="7" t="s">
        <v>362</v>
      </c>
      <c r="V677" s="7" t="s">
        <v>295</v>
      </c>
      <c r="W677" s="7" t="s">
        <v>74</v>
      </c>
      <c r="X677" s="7" t="s">
        <v>103</v>
      </c>
      <c r="Y677" s="8">
        <v>45292</v>
      </c>
      <c r="Z677" s="8">
        <v>45747</v>
      </c>
      <c r="AA677" s="7" t="s">
        <v>296</v>
      </c>
      <c r="AB677" s="7" t="s">
        <v>366</v>
      </c>
      <c r="AC677" s="7" t="s">
        <v>65</v>
      </c>
      <c r="AD677" s="7" t="s">
        <v>367</v>
      </c>
      <c r="AE677" s="7" t="s">
        <v>0</v>
      </c>
      <c r="AF677" s="7" t="s">
        <v>0</v>
      </c>
      <c r="AG677" s="7" t="s">
        <v>0</v>
      </c>
      <c r="AH677" s="9" t="s">
        <v>0</v>
      </c>
      <c r="AI677" s="9" t="s">
        <v>0</v>
      </c>
      <c r="AJ677" s="9" t="s">
        <v>0</v>
      </c>
      <c r="AK677" s="7" t="s">
        <v>61</v>
      </c>
      <c r="AL677" s="7" t="s">
        <v>61</v>
      </c>
      <c r="AM677" s="7" t="s">
        <v>0</v>
      </c>
      <c r="AN677" s="7" t="s">
        <v>0</v>
      </c>
      <c r="AO677" s="7" t="s">
        <v>0</v>
      </c>
      <c r="AP677" s="7" t="s">
        <v>0</v>
      </c>
      <c r="AQ677" s="7" t="s">
        <v>61</v>
      </c>
      <c r="AR677" s="7" t="s">
        <v>0</v>
      </c>
      <c r="AS677" s="10" t="str">
        <f>HYPERLINK("https://tessa.gazprom-neft.local/edo/card/9ec6be77-416a-4d4b-9f2b-60417e0126a8", "https://tessa.gazprom-neft.local/edo/card/9ec6be77-416a-4d4b-9f2b-60417e0126a8")</f>
        <v>https://tessa.gazprom-neft.local/edo/card/9ec6be77-416a-4d4b-9f2b-60417e0126a8</v>
      </c>
    </row>
    <row r="678" spans="1:45" hidden="1" x14ac:dyDescent="0.25">
      <c r="A678" s="6" t="s">
        <v>44</v>
      </c>
      <c r="B678" s="7" t="s">
        <v>715</v>
      </c>
      <c r="C678" s="7" t="s">
        <v>67</v>
      </c>
      <c r="D678" s="8">
        <v>45285</v>
      </c>
      <c r="E678" s="8" t="s">
        <v>0</v>
      </c>
      <c r="F678" s="16" t="s">
        <v>716</v>
      </c>
      <c r="G678" s="7" t="s">
        <v>717</v>
      </c>
      <c r="H678" s="7" t="s">
        <v>710</v>
      </c>
      <c r="I678" s="7" t="s">
        <v>0</v>
      </c>
      <c r="J678" s="7" t="s">
        <v>955</v>
      </c>
      <c r="K678" s="7" t="s">
        <v>47</v>
      </c>
      <c r="L678" s="7" t="s">
        <v>709</v>
      </c>
      <c r="M678" s="7" t="s">
        <v>0</v>
      </c>
      <c r="N678" s="7" t="s">
        <v>8715</v>
      </c>
      <c r="O678" s="7" t="s">
        <v>0</v>
      </c>
      <c r="P678" s="7" t="s">
        <v>8716</v>
      </c>
      <c r="Q678" s="7" t="s">
        <v>5334</v>
      </c>
      <c r="R678" s="7" t="s">
        <v>714</v>
      </c>
      <c r="S678" s="7" t="s">
        <v>714</v>
      </c>
      <c r="T678" s="7" t="s">
        <v>54</v>
      </c>
      <c r="U678" s="7" t="s">
        <v>101</v>
      </c>
      <c r="V678" s="7" t="s">
        <v>308</v>
      </c>
      <c r="W678" s="7" t="s">
        <v>74</v>
      </c>
      <c r="X678" s="7" t="s">
        <v>103</v>
      </c>
      <c r="Y678" s="8">
        <v>45300</v>
      </c>
      <c r="Z678" s="8">
        <v>45565</v>
      </c>
      <c r="AA678" s="7" t="s">
        <v>309</v>
      </c>
      <c r="AB678" s="7" t="s">
        <v>64</v>
      </c>
      <c r="AC678" s="7" t="s">
        <v>79</v>
      </c>
      <c r="AD678" s="7" t="s">
        <v>144</v>
      </c>
      <c r="AE678" s="7" t="s">
        <v>82</v>
      </c>
      <c r="AF678" s="7" t="s">
        <v>0</v>
      </c>
      <c r="AG678" s="7" t="s">
        <v>0</v>
      </c>
      <c r="AH678" s="9" t="s">
        <v>13668</v>
      </c>
      <c r="AI678" s="9" t="s">
        <v>13669</v>
      </c>
      <c r="AJ678" s="9" t="s">
        <v>13670</v>
      </c>
      <c r="AK678" s="7" t="s">
        <v>61</v>
      </c>
      <c r="AL678" s="7" t="s">
        <v>61</v>
      </c>
      <c r="AM678" s="7" t="s">
        <v>0</v>
      </c>
      <c r="AN678" s="7" t="s">
        <v>0</v>
      </c>
      <c r="AO678" s="7" t="s">
        <v>0</v>
      </c>
      <c r="AP678" s="7" t="s">
        <v>0</v>
      </c>
      <c r="AQ678" s="7" t="s">
        <v>61</v>
      </c>
      <c r="AR678" s="7" t="s">
        <v>0</v>
      </c>
      <c r="AS678" s="10" t="str">
        <f>HYPERLINK("https://tessa.gazprom-neft.local/edo/card/50110b4d-d8e9-4fab-a9f4-6450672da6b4", "https://tessa.gazprom-neft.local/edo/card/50110b4d-d8e9-4fab-a9f4-6450672da6b4")</f>
        <v>https://tessa.gazprom-neft.local/edo/card/50110b4d-d8e9-4fab-a9f4-6450672da6b4</v>
      </c>
    </row>
    <row r="679" spans="1:45" hidden="1" x14ac:dyDescent="0.25">
      <c r="A679" s="6" t="s">
        <v>44</v>
      </c>
      <c r="B679" s="7" t="s">
        <v>342</v>
      </c>
      <c r="C679" s="7" t="s">
        <v>67</v>
      </c>
      <c r="D679" s="8">
        <v>45285</v>
      </c>
      <c r="E679" s="8" t="s">
        <v>0</v>
      </c>
      <c r="F679" s="16" t="s">
        <v>343</v>
      </c>
      <c r="G679" s="7" t="s">
        <v>344</v>
      </c>
      <c r="H679" s="7" t="s">
        <v>0</v>
      </c>
      <c r="I679" s="7" t="s">
        <v>8812</v>
      </c>
      <c r="J679" s="7" t="s">
        <v>8812</v>
      </c>
      <c r="K679" s="7" t="s">
        <v>47</v>
      </c>
      <c r="L679" s="7" t="s">
        <v>96</v>
      </c>
      <c r="M679" s="7" t="s">
        <v>0</v>
      </c>
      <c r="N679" s="7" t="s">
        <v>8811</v>
      </c>
      <c r="O679" s="7" t="s">
        <v>0</v>
      </c>
      <c r="P679" s="7" t="s">
        <v>8813</v>
      </c>
      <c r="Q679" s="7" t="s">
        <v>8814</v>
      </c>
      <c r="R679" s="7" t="s">
        <v>338</v>
      </c>
      <c r="S679" s="7" t="s">
        <v>339</v>
      </c>
      <c r="T679" s="7" t="s">
        <v>54</v>
      </c>
      <c r="U679" s="7" t="s">
        <v>303</v>
      </c>
      <c r="V679" s="7" t="s">
        <v>91</v>
      </c>
      <c r="W679" s="7" t="s">
        <v>57</v>
      </c>
      <c r="X679" s="7" t="s">
        <v>103</v>
      </c>
      <c r="Y679" s="8">
        <v>45292</v>
      </c>
      <c r="Z679" s="8">
        <v>46387</v>
      </c>
      <c r="AA679" s="7" t="s">
        <v>92</v>
      </c>
      <c r="AB679" s="7" t="s">
        <v>64</v>
      </c>
      <c r="AC679" s="7" t="s">
        <v>79</v>
      </c>
      <c r="AD679" s="7" t="s">
        <v>80</v>
      </c>
      <c r="AE679" s="7" t="s">
        <v>82</v>
      </c>
      <c r="AF679" s="7" t="s">
        <v>0</v>
      </c>
      <c r="AG679" s="7" t="s">
        <v>0</v>
      </c>
      <c r="AH679" s="9" t="s">
        <v>13703</v>
      </c>
      <c r="AI679" s="9" t="s">
        <v>13704</v>
      </c>
      <c r="AJ679" s="9" t="s">
        <v>13705</v>
      </c>
      <c r="AK679" s="7" t="s">
        <v>61</v>
      </c>
      <c r="AL679" s="7" t="s">
        <v>61</v>
      </c>
      <c r="AM679" s="7" t="s">
        <v>0</v>
      </c>
      <c r="AN679" s="7" t="s">
        <v>0</v>
      </c>
      <c r="AO679" s="7" t="s">
        <v>0</v>
      </c>
      <c r="AP679" s="7" t="s">
        <v>0</v>
      </c>
      <c r="AQ679" s="7" t="s">
        <v>61</v>
      </c>
      <c r="AR679" s="7" t="s">
        <v>0</v>
      </c>
      <c r="AS679" s="10" t="str">
        <f>HYPERLINK("https://tessa.gazprom-neft.local/edo/card/0795b6da-f5fb-4019-8b09-72df8458231a", "https://tessa.gazprom-neft.local/edo/card/0795b6da-f5fb-4019-8b09-72df8458231a")</f>
        <v>https://tessa.gazprom-neft.local/edo/card/0795b6da-f5fb-4019-8b09-72df8458231a</v>
      </c>
    </row>
    <row r="680" spans="1:45" x14ac:dyDescent="0.25">
      <c r="A680" s="6" t="s">
        <v>44</v>
      </c>
      <c r="B680" s="7" t="s">
        <v>1775</v>
      </c>
      <c r="C680" s="7" t="s">
        <v>67</v>
      </c>
      <c r="D680" s="8">
        <v>45285</v>
      </c>
      <c r="E680" s="8" t="s">
        <v>0</v>
      </c>
      <c r="F680" s="16" t="s">
        <v>1776</v>
      </c>
      <c r="G680" s="7" t="s">
        <v>1777</v>
      </c>
      <c r="H680" s="7" t="s">
        <v>2800</v>
      </c>
      <c r="I680" s="7" t="s">
        <v>0</v>
      </c>
      <c r="J680" s="7" t="s">
        <v>70</v>
      </c>
      <c r="K680" s="7" t="s">
        <v>47</v>
      </c>
      <c r="L680" s="7" t="s">
        <v>48</v>
      </c>
      <c r="M680" s="7" t="s">
        <v>0</v>
      </c>
      <c r="N680" s="7" t="s">
        <v>8850</v>
      </c>
      <c r="O680" s="7" t="s">
        <v>0</v>
      </c>
      <c r="P680" s="7" t="s">
        <v>8851</v>
      </c>
      <c r="Q680" s="7" t="s">
        <v>8852</v>
      </c>
      <c r="R680" s="7" t="s">
        <v>1774</v>
      </c>
      <c r="S680" s="7" t="s">
        <v>1774</v>
      </c>
      <c r="T680" s="7" t="s">
        <v>54</v>
      </c>
      <c r="U680" s="7" t="s">
        <v>307</v>
      </c>
      <c r="V680" s="7" t="s">
        <v>126</v>
      </c>
      <c r="W680" s="7" t="s">
        <v>74</v>
      </c>
      <c r="X680" s="7" t="s">
        <v>103</v>
      </c>
      <c r="Y680" s="8">
        <v>45285</v>
      </c>
      <c r="Z680" s="8">
        <v>45657</v>
      </c>
      <c r="AA680" s="7" t="s">
        <v>224</v>
      </c>
      <c r="AB680" s="7" t="s">
        <v>130</v>
      </c>
      <c r="AC680" s="7" t="s">
        <v>79</v>
      </c>
      <c r="AD680" s="7" t="s">
        <v>514</v>
      </c>
      <c r="AE680" s="7" t="s">
        <v>82</v>
      </c>
      <c r="AF680" s="7" t="s">
        <v>0</v>
      </c>
      <c r="AG680" s="7" t="s">
        <v>8853</v>
      </c>
      <c r="AH680" s="9" t="s">
        <v>13711</v>
      </c>
      <c r="AI680" s="9" t="s">
        <v>13712</v>
      </c>
      <c r="AJ680" s="9" t="s">
        <v>13713</v>
      </c>
      <c r="AK680" s="7" t="s">
        <v>81</v>
      </c>
      <c r="AL680" s="7" t="s">
        <v>61</v>
      </c>
      <c r="AM680" s="7" t="s">
        <v>0</v>
      </c>
      <c r="AN680" s="7" t="s">
        <v>0</v>
      </c>
      <c r="AO680" s="7" t="s">
        <v>0</v>
      </c>
      <c r="AP680" s="7" t="s">
        <v>0</v>
      </c>
      <c r="AQ680" s="7" t="s">
        <v>61</v>
      </c>
      <c r="AR680" s="7" t="s">
        <v>0</v>
      </c>
      <c r="AS680" s="10" t="str">
        <f>HYPERLINK("https://tessa.gazprom-neft.local/edo/card/efef525e-e332-4f3b-8f69-c900ad9d03f0", "https://tessa.gazprom-neft.local/edo/card/efef525e-e332-4f3b-8f69-c900ad9d03f0")</f>
        <v>https://tessa.gazprom-neft.local/edo/card/efef525e-e332-4f3b-8f69-c900ad9d03f0</v>
      </c>
    </row>
    <row r="681" spans="1:45" x14ac:dyDescent="0.25">
      <c r="A681" s="6" t="s">
        <v>44</v>
      </c>
      <c r="B681" s="7" t="s">
        <v>75</v>
      </c>
      <c r="C681" s="7" t="s">
        <v>67</v>
      </c>
      <c r="D681" s="8">
        <v>45285</v>
      </c>
      <c r="E681" s="8" t="s">
        <v>0</v>
      </c>
      <c r="F681" s="16" t="s">
        <v>76</v>
      </c>
      <c r="G681" s="7" t="s">
        <v>77</v>
      </c>
      <c r="H681" s="7" t="s">
        <v>68</v>
      </c>
      <c r="I681" s="7" t="s">
        <v>0</v>
      </c>
      <c r="J681" s="7" t="s">
        <v>936</v>
      </c>
      <c r="K681" s="7" t="s">
        <v>47</v>
      </c>
      <c r="L681" s="7" t="s">
        <v>48</v>
      </c>
      <c r="M681" s="7" t="s">
        <v>0</v>
      </c>
      <c r="N681" s="7" t="s">
        <v>8855</v>
      </c>
      <c r="O681" s="7" t="s">
        <v>0</v>
      </c>
      <c r="P681" s="7" t="s">
        <v>8856</v>
      </c>
      <c r="Q681" s="7" t="s">
        <v>8857</v>
      </c>
      <c r="R681" s="7" t="s">
        <v>72</v>
      </c>
      <c r="S681" s="7" t="s">
        <v>0</v>
      </c>
      <c r="T681" s="7" t="s">
        <v>54</v>
      </c>
      <c r="U681" s="7" t="s">
        <v>73</v>
      </c>
      <c r="V681" s="7" t="s">
        <v>56</v>
      </c>
      <c r="W681" s="7" t="s">
        <v>74</v>
      </c>
      <c r="X681" s="7" t="s">
        <v>58</v>
      </c>
      <c r="Y681" s="8">
        <v>45285</v>
      </c>
      <c r="Z681" s="8" t="s">
        <v>0</v>
      </c>
      <c r="AA681" s="7" t="s">
        <v>0</v>
      </c>
      <c r="AB681" s="7" t="s">
        <v>78</v>
      </c>
      <c r="AC681" s="7" t="s">
        <v>79</v>
      </c>
      <c r="AD681" s="7" t="s">
        <v>80</v>
      </c>
      <c r="AE681" s="7" t="s">
        <v>82</v>
      </c>
      <c r="AF681" s="7" t="s">
        <v>0</v>
      </c>
      <c r="AG681" s="7" t="s">
        <v>0</v>
      </c>
      <c r="AH681" s="9" t="s">
        <v>13715</v>
      </c>
      <c r="AI681" s="9" t="s">
        <v>13716</v>
      </c>
      <c r="AJ681" s="9" t="s">
        <v>13717</v>
      </c>
      <c r="AK681" s="7" t="s">
        <v>61</v>
      </c>
      <c r="AL681" s="7" t="s">
        <v>61</v>
      </c>
      <c r="AM681" s="7" t="s">
        <v>0</v>
      </c>
      <c r="AN681" s="7" t="s">
        <v>0</v>
      </c>
      <c r="AO681" s="7" t="s">
        <v>0</v>
      </c>
      <c r="AP681" s="7" t="s">
        <v>0</v>
      </c>
      <c r="AQ681" s="7" t="s">
        <v>61</v>
      </c>
      <c r="AR681" s="7" t="s">
        <v>0</v>
      </c>
      <c r="AS681" s="10" t="str">
        <f>HYPERLINK("https://tessa.gazprom-neft.local/edo/card/f75e2be8-0149-488e-b4a8-864c47e86732", "https://tessa.gazprom-neft.local/edo/card/f75e2be8-0149-488e-b4a8-864c47e86732")</f>
        <v>https://tessa.gazprom-neft.local/edo/card/f75e2be8-0149-488e-b4a8-864c47e86732</v>
      </c>
    </row>
    <row r="682" spans="1:45" x14ac:dyDescent="0.25">
      <c r="A682" s="6" t="s">
        <v>44</v>
      </c>
      <c r="B682" s="7" t="s">
        <v>275</v>
      </c>
      <c r="C682" s="7" t="s">
        <v>67</v>
      </c>
      <c r="D682" s="8">
        <v>45285</v>
      </c>
      <c r="E682" s="8" t="s">
        <v>0</v>
      </c>
      <c r="F682" s="16" t="s">
        <v>276</v>
      </c>
      <c r="G682" s="7" t="s">
        <v>277</v>
      </c>
      <c r="H682" s="7" t="s">
        <v>4939</v>
      </c>
      <c r="I682" s="7" t="s">
        <v>0</v>
      </c>
      <c r="J682" s="7" t="s">
        <v>955</v>
      </c>
      <c r="K682" s="7" t="s">
        <v>47</v>
      </c>
      <c r="L682" s="7" t="s">
        <v>48</v>
      </c>
      <c r="M682" s="7" t="s">
        <v>0</v>
      </c>
      <c r="N682" s="7" t="s">
        <v>8860</v>
      </c>
      <c r="O682" s="7" t="s">
        <v>0</v>
      </c>
      <c r="P682" s="7" t="s">
        <v>8861</v>
      </c>
      <c r="Q682" s="7" t="s">
        <v>8862</v>
      </c>
      <c r="R682" s="7" t="s">
        <v>1083</v>
      </c>
      <c r="S682" s="7" t="s">
        <v>1083</v>
      </c>
      <c r="T682" s="7" t="s">
        <v>54</v>
      </c>
      <c r="U682" s="7" t="s">
        <v>1043</v>
      </c>
      <c r="V682" s="7" t="s">
        <v>56</v>
      </c>
      <c r="W682" s="7" t="s">
        <v>57</v>
      </c>
      <c r="X682" s="7" t="s">
        <v>58</v>
      </c>
      <c r="Y682" s="8">
        <v>45292</v>
      </c>
      <c r="Z682" s="8" t="s">
        <v>0</v>
      </c>
      <c r="AA682" s="7" t="s">
        <v>59</v>
      </c>
      <c r="AB682" s="7" t="s">
        <v>64</v>
      </c>
      <c r="AC682" s="7" t="s">
        <v>278</v>
      </c>
      <c r="AD682" s="7" t="s">
        <v>80</v>
      </c>
      <c r="AE682" s="7" t="s">
        <v>82</v>
      </c>
      <c r="AF682" s="7" t="s">
        <v>0</v>
      </c>
      <c r="AG682" s="7" t="s">
        <v>0</v>
      </c>
      <c r="AH682" s="9" t="s">
        <v>13718</v>
      </c>
      <c r="AI682" s="9" t="s">
        <v>13719</v>
      </c>
      <c r="AJ682" s="9" t="s">
        <v>13720</v>
      </c>
      <c r="AK682" s="7" t="s">
        <v>61</v>
      </c>
      <c r="AL682" s="7" t="s">
        <v>61</v>
      </c>
      <c r="AM682" s="7" t="s">
        <v>0</v>
      </c>
      <c r="AN682" s="7" t="s">
        <v>0</v>
      </c>
      <c r="AO682" s="7" t="s">
        <v>0</v>
      </c>
      <c r="AP682" s="7" t="s">
        <v>0</v>
      </c>
      <c r="AQ682" s="7" t="s">
        <v>61</v>
      </c>
      <c r="AR682" s="7" t="s">
        <v>0</v>
      </c>
      <c r="AS682" s="10" t="str">
        <f>HYPERLINK("https://tessa.gazprom-neft.local/edo/card/fa8ebebd-08d5-4d78-97fa-57e6d496b17a", "https://tessa.gazprom-neft.local/edo/card/fa8ebebd-08d5-4d78-97fa-57e6d496b17a")</f>
        <v>https://tessa.gazprom-neft.local/edo/card/fa8ebebd-08d5-4d78-97fa-57e6d496b17a</v>
      </c>
    </row>
    <row r="683" spans="1:45" x14ac:dyDescent="0.25">
      <c r="A683" s="6" t="s">
        <v>44</v>
      </c>
      <c r="B683" s="7" t="s">
        <v>2448</v>
      </c>
      <c r="C683" s="7" t="s">
        <v>67</v>
      </c>
      <c r="D683" s="8">
        <v>45285</v>
      </c>
      <c r="E683" s="8" t="s">
        <v>0</v>
      </c>
      <c r="F683" s="16" t="s">
        <v>2449</v>
      </c>
      <c r="G683" s="7" t="s">
        <v>2450</v>
      </c>
      <c r="H683" s="7" t="s">
        <v>2445</v>
      </c>
      <c r="I683" s="7" t="s">
        <v>0</v>
      </c>
      <c r="J683" s="7" t="s">
        <v>872</v>
      </c>
      <c r="K683" s="7" t="s">
        <v>47</v>
      </c>
      <c r="L683" s="7" t="s">
        <v>48</v>
      </c>
      <c r="M683" s="7" t="s">
        <v>0</v>
      </c>
      <c r="N683" s="7" t="s">
        <v>8874</v>
      </c>
      <c r="O683" s="7" t="s">
        <v>0</v>
      </c>
      <c r="P683" s="7" t="s">
        <v>8875</v>
      </c>
      <c r="Q683" s="7" t="s">
        <v>7258</v>
      </c>
      <c r="R683" s="7" t="s">
        <v>907</v>
      </c>
      <c r="S683" s="7" t="s">
        <v>907</v>
      </c>
      <c r="T683" s="7" t="s">
        <v>54</v>
      </c>
      <c r="U683" s="7" t="s">
        <v>111</v>
      </c>
      <c r="V683" s="7" t="s">
        <v>112</v>
      </c>
      <c r="W683" s="7" t="s">
        <v>74</v>
      </c>
      <c r="X683" s="7" t="s">
        <v>103</v>
      </c>
      <c r="Y683" s="8">
        <v>45285</v>
      </c>
      <c r="Z683" s="8">
        <v>45777</v>
      </c>
      <c r="AA683" s="7" t="s">
        <v>113</v>
      </c>
      <c r="AB683" s="7" t="s">
        <v>64</v>
      </c>
      <c r="AC683" s="7" t="s">
        <v>79</v>
      </c>
      <c r="AD683" s="7" t="s">
        <v>80</v>
      </c>
      <c r="AE683" s="7" t="s">
        <v>118</v>
      </c>
      <c r="AF683" s="7" t="s">
        <v>0</v>
      </c>
      <c r="AG683" s="7" t="s">
        <v>0</v>
      </c>
      <c r="AH683" s="9" t="s">
        <v>13724</v>
      </c>
      <c r="AI683" s="9" t="s">
        <v>13724</v>
      </c>
      <c r="AJ683" s="9">
        <v>0</v>
      </c>
      <c r="AK683" s="7" t="s">
        <v>61</v>
      </c>
      <c r="AL683" s="7" t="s">
        <v>61</v>
      </c>
      <c r="AM683" s="7" t="s">
        <v>0</v>
      </c>
      <c r="AN683" s="7" t="s">
        <v>0</v>
      </c>
      <c r="AO683" s="7" t="s">
        <v>0</v>
      </c>
      <c r="AP683" s="7" t="s">
        <v>0</v>
      </c>
      <c r="AQ683" s="7" t="s">
        <v>61</v>
      </c>
      <c r="AR683" s="7" t="s">
        <v>0</v>
      </c>
      <c r="AS683" s="10" t="str">
        <f>HYPERLINK("https://tessa.gazprom-neft.local/edo/card/078190a1-93ae-4455-bf0e-6634dfd391ab", "https://tessa.gazprom-neft.local/edo/card/078190a1-93ae-4455-bf0e-6634dfd391ab")</f>
        <v>https://tessa.gazprom-neft.local/edo/card/078190a1-93ae-4455-bf0e-6634dfd391ab</v>
      </c>
    </row>
    <row r="684" spans="1:45" hidden="1" x14ac:dyDescent="0.25">
      <c r="A684" s="6" t="s">
        <v>44</v>
      </c>
      <c r="B684" s="7" t="s">
        <v>234</v>
      </c>
      <c r="C684" s="7" t="s">
        <v>67</v>
      </c>
      <c r="D684" s="8">
        <v>45285</v>
      </c>
      <c r="E684" s="8" t="s">
        <v>0</v>
      </c>
      <c r="F684" s="16" t="s">
        <v>235</v>
      </c>
      <c r="G684" s="7" t="s">
        <v>236</v>
      </c>
      <c r="H684" s="7" t="s">
        <v>0</v>
      </c>
      <c r="I684" s="7" t="s">
        <v>3800</v>
      </c>
      <c r="J684" s="7" t="s">
        <v>3800</v>
      </c>
      <c r="K684" s="7" t="s">
        <v>85</v>
      </c>
      <c r="L684" s="7" t="s">
        <v>86</v>
      </c>
      <c r="M684" s="7" t="s">
        <v>216</v>
      </c>
      <c r="N684" s="7" t="s">
        <v>8880</v>
      </c>
      <c r="O684" s="7" t="s">
        <v>0</v>
      </c>
      <c r="P684" s="7" t="s">
        <v>216</v>
      </c>
      <c r="Q684" s="7" t="s">
        <v>8881</v>
      </c>
      <c r="R684" s="7" t="s">
        <v>646</v>
      </c>
      <c r="S684" s="7" t="s">
        <v>233</v>
      </c>
      <c r="T684" s="7" t="s">
        <v>54</v>
      </c>
      <c r="U684" s="7" t="s">
        <v>283</v>
      </c>
      <c r="V684" s="7" t="s">
        <v>168</v>
      </c>
      <c r="W684" s="7" t="s">
        <v>74</v>
      </c>
      <c r="X684" s="7" t="s">
        <v>103</v>
      </c>
      <c r="Y684" s="8">
        <v>45285</v>
      </c>
      <c r="Z684" s="8">
        <v>46022</v>
      </c>
      <c r="AA684" s="7" t="s">
        <v>169</v>
      </c>
      <c r="AB684" s="7" t="s">
        <v>228</v>
      </c>
      <c r="AC684" s="7" t="s">
        <v>65</v>
      </c>
      <c r="AD684" s="7" t="s">
        <v>0</v>
      </c>
      <c r="AE684" s="7" t="s">
        <v>0</v>
      </c>
      <c r="AF684" s="7" t="s">
        <v>0</v>
      </c>
      <c r="AG684" s="7" t="s">
        <v>0</v>
      </c>
      <c r="AH684" s="9" t="s">
        <v>0</v>
      </c>
      <c r="AI684" s="9" t="s">
        <v>0</v>
      </c>
      <c r="AJ684" s="9" t="s">
        <v>0</v>
      </c>
      <c r="AK684" s="7" t="s">
        <v>61</v>
      </c>
      <c r="AL684" s="7" t="s">
        <v>61</v>
      </c>
      <c r="AM684" s="7" t="s">
        <v>0</v>
      </c>
      <c r="AN684" s="7" t="s">
        <v>0</v>
      </c>
      <c r="AO684" s="7" t="s">
        <v>0</v>
      </c>
      <c r="AP684" s="7" t="s">
        <v>0</v>
      </c>
      <c r="AQ684" s="7" t="s">
        <v>61</v>
      </c>
      <c r="AR684" s="7" t="s">
        <v>0</v>
      </c>
      <c r="AS684" s="10" t="str">
        <f>HYPERLINK("https://tessa.gazprom-neft.local/edo/card/9e976f55-b083-44b0-86bb-fd6c2720ec1e", "https://tessa.gazprom-neft.local/edo/card/9e976f55-b083-44b0-86bb-fd6c2720ec1e")</f>
        <v>https://tessa.gazprom-neft.local/edo/card/9e976f55-b083-44b0-86bb-fd6c2720ec1e</v>
      </c>
    </row>
    <row r="685" spans="1:45" hidden="1" x14ac:dyDescent="0.25">
      <c r="A685" s="6" t="s">
        <v>44</v>
      </c>
      <c r="B685" s="7" t="s">
        <v>450</v>
      </c>
      <c r="C685" s="7" t="s">
        <v>67</v>
      </c>
      <c r="D685" s="8">
        <v>45282</v>
      </c>
      <c r="E685" s="8" t="s">
        <v>0</v>
      </c>
      <c r="F685" s="16" t="s">
        <v>451</v>
      </c>
      <c r="G685" s="7" t="s">
        <v>452</v>
      </c>
      <c r="H685" s="7" t="s">
        <v>0</v>
      </c>
      <c r="I685" s="7" t="s">
        <v>8633</v>
      </c>
      <c r="J685" s="7" t="s">
        <v>8633</v>
      </c>
      <c r="K685" s="7" t="s">
        <v>47</v>
      </c>
      <c r="L685" s="7" t="s">
        <v>96</v>
      </c>
      <c r="M685" s="7" t="s">
        <v>0</v>
      </c>
      <c r="N685" s="7" t="s">
        <v>8632</v>
      </c>
      <c r="O685" s="7" t="s">
        <v>0</v>
      </c>
      <c r="P685" s="7" t="s">
        <v>96</v>
      </c>
      <c r="Q685" s="7" t="s">
        <v>6084</v>
      </c>
      <c r="R685" s="7" t="s">
        <v>422</v>
      </c>
      <c r="S685" s="7" t="s">
        <v>0</v>
      </c>
      <c r="T685" s="7" t="s">
        <v>54</v>
      </c>
      <c r="U685" s="7" t="s">
        <v>362</v>
      </c>
      <c r="V685" s="7" t="s">
        <v>56</v>
      </c>
      <c r="W685" s="7" t="s">
        <v>74</v>
      </c>
      <c r="X685" s="7" t="s">
        <v>103</v>
      </c>
      <c r="Y685" s="8">
        <v>45292</v>
      </c>
      <c r="Z685" s="8">
        <v>46022</v>
      </c>
      <c r="AA685" s="7" t="s">
        <v>0</v>
      </c>
      <c r="AB685" s="7" t="s">
        <v>130</v>
      </c>
      <c r="AC685" s="7" t="s">
        <v>79</v>
      </c>
      <c r="AD685" s="7" t="s">
        <v>144</v>
      </c>
      <c r="AE685" s="7" t="s">
        <v>82</v>
      </c>
      <c r="AF685" s="7" t="s">
        <v>0</v>
      </c>
      <c r="AG685" s="7" t="s">
        <v>8634</v>
      </c>
      <c r="AH685" s="9" t="s">
        <v>13632</v>
      </c>
      <c r="AI685" s="9" t="s">
        <v>13633</v>
      </c>
      <c r="AJ685" s="9" t="s">
        <v>13634</v>
      </c>
      <c r="AK685" s="7" t="s">
        <v>81</v>
      </c>
      <c r="AL685" s="7" t="s">
        <v>61</v>
      </c>
      <c r="AM685" s="7" t="s">
        <v>0</v>
      </c>
      <c r="AN685" s="7" t="s">
        <v>0</v>
      </c>
      <c r="AO685" s="7" t="s">
        <v>0</v>
      </c>
      <c r="AP685" s="7" t="s">
        <v>0</v>
      </c>
      <c r="AQ685" s="7" t="s">
        <v>61</v>
      </c>
      <c r="AR685" s="7" t="s">
        <v>0</v>
      </c>
      <c r="AS685" s="10" t="str">
        <f>HYPERLINK("https://tessa.gazprom-neft.local/edo/card/0c291e12-457f-41b3-bf43-4811f8702d2f", "https://tessa.gazprom-neft.local/edo/card/0c291e12-457f-41b3-bf43-4811f8702d2f")</f>
        <v>https://tessa.gazprom-neft.local/edo/card/0c291e12-457f-41b3-bf43-4811f8702d2f</v>
      </c>
    </row>
    <row r="686" spans="1:45" x14ac:dyDescent="0.25">
      <c r="A686" s="6" t="s">
        <v>44</v>
      </c>
      <c r="B686" s="7" t="s">
        <v>753</v>
      </c>
      <c r="C686" s="7" t="s">
        <v>67</v>
      </c>
      <c r="D686" s="8">
        <v>45282</v>
      </c>
      <c r="E686" s="8" t="s">
        <v>0</v>
      </c>
      <c r="F686" s="16" t="s">
        <v>754</v>
      </c>
      <c r="G686" s="7" t="s">
        <v>755</v>
      </c>
      <c r="H686" s="7" t="s">
        <v>748</v>
      </c>
      <c r="I686" s="7" t="s">
        <v>0</v>
      </c>
      <c r="J686" s="7" t="s">
        <v>1098</v>
      </c>
      <c r="K686" s="7" t="s">
        <v>47</v>
      </c>
      <c r="L686" s="7" t="s">
        <v>48</v>
      </c>
      <c r="M686" s="7" t="s">
        <v>0</v>
      </c>
      <c r="N686" s="7" t="s">
        <v>8744</v>
      </c>
      <c r="O686" s="7" t="s">
        <v>0</v>
      </c>
      <c r="P686" s="7" t="s">
        <v>8745</v>
      </c>
      <c r="Q686" s="7" t="s">
        <v>8746</v>
      </c>
      <c r="R686" s="7" t="s">
        <v>1575</v>
      </c>
      <c r="S686" s="7" t="s">
        <v>0</v>
      </c>
      <c r="T686" s="7" t="s">
        <v>54</v>
      </c>
      <c r="U686" s="7" t="s">
        <v>222</v>
      </c>
      <c r="V686" s="7" t="s">
        <v>126</v>
      </c>
      <c r="W686" s="7" t="s">
        <v>74</v>
      </c>
      <c r="X686" s="7" t="s">
        <v>58</v>
      </c>
      <c r="Y686" s="8">
        <v>45282</v>
      </c>
      <c r="Z686" s="8" t="s">
        <v>0</v>
      </c>
      <c r="AA686" s="7" t="s">
        <v>224</v>
      </c>
      <c r="AB686" s="7" t="s">
        <v>756</v>
      </c>
      <c r="AC686" s="7" t="s">
        <v>65</v>
      </c>
      <c r="AD686" s="7" t="s">
        <v>514</v>
      </c>
      <c r="AE686" s="7" t="s">
        <v>0</v>
      </c>
      <c r="AF686" s="7" t="s">
        <v>0</v>
      </c>
      <c r="AG686" s="7" t="s">
        <v>0</v>
      </c>
      <c r="AH686" s="9" t="s">
        <v>0</v>
      </c>
      <c r="AI686" s="9" t="s">
        <v>0</v>
      </c>
      <c r="AJ686" s="9" t="s">
        <v>0</v>
      </c>
      <c r="AK686" s="7" t="s">
        <v>61</v>
      </c>
      <c r="AL686" s="7" t="s">
        <v>61</v>
      </c>
      <c r="AM686" s="7" t="s">
        <v>0</v>
      </c>
      <c r="AN686" s="7" t="s">
        <v>0</v>
      </c>
      <c r="AO686" s="7" t="s">
        <v>0</v>
      </c>
      <c r="AP686" s="7" t="s">
        <v>0</v>
      </c>
      <c r="AQ686" s="7" t="s">
        <v>61</v>
      </c>
      <c r="AR686" s="7" t="s">
        <v>0</v>
      </c>
      <c r="AS686" s="10" t="str">
        <f>HYPERLINK("https://tessa.gazprom-neft.local/edo/card/49f91ccb-d45a-45d3-a007-abc44a0d6f13", "https://tessa.gazprom-neft.local/edo/card/49f91ccb-d45a-45d3-a007-abc44a0d6f13")</f>
        <v>https://tessa.gazprom-neft.local/edo/card/49f91ccb-d45a-45d3-a007-abc44a0d6f13</v>
      </c>
    </row>
    <row r="687" spans="1:45" x14ac:dyDescent="0.25">
      <c r="A687" s="6" t="s">
        <v>44</v>
      </c>
      <c r="B687" s="7" t="s">
        <v>2132</v>
      </c>
      <c r="C687" s="7" t="s">
        <v>67</v>
      </c>
      <c r="D687" s="8">
        <v>45282</v>
      </c>
      <c r="E687" s="8" t="s">
        <v>0</v>
      </c>
      <c r="F687" s="16" t="s">
        <v>2133</v>
      </c>
      <c r="G687" s="7" t="s">
        <v>739</v>
      </c>
      <c r="H687" s="7" t="s">
        <v>2130</v>
      </c>
      <c r="I687" s="7" t="s">
        <v>0</v>
      </c>
      <c r="J687" s="7" t="s">
        <v>70</v>
      </c>
      <c r="K687" s="7" t="s">
        <v>47</v>
      </c>
      <c r="L687" s="7" t="s">
        <v>48</v>
      </c>
      <c r="M687" s="7" t="s">
        <v>0</v>
      </c>
      <c r="N687" s="7" t="s">
        <v>8795</v>
      </c>
      <c r="O687" s="7" t="s">
        <v>0</v>
      </c>
      <c r="P687" s="7" t="s">
        <v>8796</v>
      </c>
      <c r="Q687" s="7" t="s">
        <v>6247</v>
      </c>
      <c r="R687" s="7" t="s">
        <v>1774</v>
      </c>
      <c r="S687" s="7" t="s">
        <v>1774</v>
      </c>
      <c r="T687" s="7" t="s">
        <v>54</v>
      </c>
      <c r="U687" s="7" t="s">
        <v>307</v>
      </c>
      <c r="V687" s="7" t="s">
        <v>126</v>
      </c>
      <c r="W687" s="7" t="s">
        <v>57</v>
      </c>
      <c r="X687" s="7" t="s">
        <v>103</v>
      </c>
      <c r="Y687" s="8">
        <v>45282</v>
      </c>
      <c r="Z687" s="8">
        <v>45657</v>
      </c>
      <c r="AA687" s="7" t="s">
        <v>224</v>
      </c>
      <c r="AB687" s="7" t="s">
        <v>130</v>
      </c>
      <c r="AC687" s="7" t="s">
        <v>79</v>
      </c>
      <c r="AD687" s="7" t="s">
        <v>514</v>
      </c>
      <c r="AE687" s="7" t="s">
        <v>82</v>
      </c>
      <c r="AF687" s="7" t="s">
        <v>0</v>
      </c>
      <c r="AG687" s="7" t="s">
        <v>0</v>
      </c>
      <c r="AH687" s="9" t="s">
        <v>13694</v>
      </c>
      <c r="AI687" s="9" t="s">
        <v>13695</v>
      </c>
      <c r="AJ687" s="9" t="s">
        <v>13696</v>
      </c>
      <c r="AK687" s="7" t="s">
        <v>61</v>
      </c>
      <c r="AL687" s="7" t="s">
        <v>61</v>
      </c>
      <c r="AM687" s="7" t="s">
        <v>0</v>
      </c>
      <c r="AN687" s="7" t="s">
        <v>0</v>
      </c>
      <c r="AO687" s="7" t="s">
        <v>0</v>
      </c>
      <c r="AP687" s="7" t="s">
        <v>0</v>
      </c>
      <c r="AQ687" s="7" t="s">
        <v>61</v>
      </c>
      <c r="AR687" s="7" t="s">
        <v>0</v>
      </c>
      <c r="AS687" s="10" t="str">
        <f>HYPERLINK("https://tessa.gazprom-neft.local/edo/card/4dabdb5c-b506-448e-a8fc-288adf679191", "https://tessa.gazprom-neft.local/edo/card/4dabdb5c-b506-448e-a8fc-288adf679191")</f>
        <v>https://tessa.gazprom-neft.local/edo/card/4dabdb5c-b506-448e-a8fc-288adf679191</v>
      </c>
    </row>
    <row r="688" spans="1:45" hidden="1" x14ac:dyDescent="0.25">
      <c r="A688" s="6" t="s">
        <v>44</v>
      </c>
      <c r="B688" s="7" t="s">
        <v>8436</v>
      </c>
      <c r="C688" s="7" t="s">
        <v>67</v>
      </c>
      <c r="D688" s="8">
        <v>45281</v>
      </c>
      <c r="E688" s="8" t="s">
        <v>0</v>
      </c>
      <c r="F688" s="16" t="s">
        <v>8437</v>
      </c>
      <c r="G688" s="7" t="s">
        <v>8438</v>
      </c>
      <c r="H688" s="7" t="s">
        <v>0</v>
      </c>
      <c r="I688" s="7" t="s">
        <v>8433</v>
      </c>
      <c r="J688" s="7" t="s">
        <v>8433</v>
      </c>
      <c r="K688" s="7" t="s">
        <v>47</v>
      </c>
      <c r="L688" s="7" t="s">
        <v>96</v>
      </c>
      <c r="M688" s="7" t="s">
        <v>0</v>
      </c>
      <c r="N688" s="7" t="s">
        <v>8432</v>
      </c>
      <c r="O688" s="7" t="s">
        <v>0</v>
      </c>
      <c r="P688" s="7" t="s">
        <v>8434</v>
      </c>
      <c r="Q688" s="7" t="s">
        <v>8435</v>
      </c>
      <c r="R688" s="7" t="s">
        <v>1481</v>
      </c>
      <c r="S688" s="7" t="s">
        <v>1481</v>
      </c>
      <c r="T688" s="7" t="s">
        <v>54</v>
      </c>
      <c r="U688" s="7" t="s">
        <v>777</v>
      </c>
      <c r="V688" s="7" t="s">
        <v>308</v>
      </c>
      <c r="W688" s="7" t="s">
        <v>74</v>
      </c>
      <c r="X688" s="7" t="s">
        <v>103</v>
      </c>
      <c r="Y688" s="8">
        <v>45292</v>
      </c>
      <c r="Z688" s="8">
        <v>45657</v>
      </c>
      <c r="AA688" s="7" t="s">
        <v>309</v>
      </c>
      <c r="AB688" s="7" t="s">
        <v>161</v>
      </c>
      <c r="AC688" s="7" t="s">
        <v>79</v>
      </c>
      <c r="AD688" s="7" t="s">
        <v>80</v>
      </c>
      <c r="AE688" s="7" t="s">
        <v>82</v>
      </c>
      <c r="AF688" s="7" t="s">
        <v>0</v>
      </c>
      <c r="AG688" s="7" t="s">
        <v>0</v>
      </c>
      <c r="AH688" s="9" t="s">
        <v>13546</v>
      </c>
      <c r="AI688" s="9" t="s">
        <v>13547</v>
      </c>
      <c r="AJ688" s="9" t="s">
        <v>13548</v>
      </c>
      <c r="AK688" s="7" t="s">
        <v>61</v>
      </c>
      <c r="AL688" s="7" t="s">
        <v>61</v>
      </c>
      <c r="AM688" s="7" t="s">
        <v>0</v>
      </c>
      <c r="AN688" s="7" t="s">
        <v>0</v>
      </c>
      <c r="AO688" s="7" t="s">
        <v>0</v>
      </c>
      <c r="AP688" s="7" t="s">
        <v>0</v>
      </c>
      <c r="AQ688" s="7" t="s">
        <v>61</v>
      </c>
      <c r="AR688" s="7" t="s">
        <v>0</v>
      </c>
      <c r="AS688" s="10" t="str">
        <f>HYPERLINK("https://tessa.gazprom-neft.local/edo/card/ec19a0c2-5de5-402b-bf66-a11f90b38465", "https://tessa.gazprom-neft.local/edo/card/ec19a0c2-5de5-402b-bf66-a11f90b38465")</f>
        <v>https://tessa.gazprom-neft.local/edo/card/ec19a0c2-5de5-402b-bf66-a11f90b38465</v>
      </c>
    </row>
    <row r="689" spans="1:45" x14ac:dyDescent="0.25">
      <c r="A689" s="6" t="s">
        <v>44</v>
      </c>
      <c r="B689" s="7" t="s">
        <v>1351</v>
      </c>
      <c r="C689" s="7" t="s">
        <v>67</v>
      </c>
      <c r="D689" s="8">
        <v>45281</v>
      </c>
      <c r="E689" s="8" t="s">
        <v>0</v>
      </c>
      <c r="F689" s="16" t="s">
        <v>1352</v>
      </c>
      <c r="G689" s="7" t="s">
        <v>1353</v>
      </c>
      <c r="H689" s="7" t="s">
        <v>8917</v>
      </c>
      <c r="I689" s="7" t="s">
        <v>0</v>
      </c>
      <c r="J689" s="7" t="s">
        <v>156</v>
      </c>
      <c r="K689" s="7" t="s">
        <v>47</v>
      </c>
      <c r="L689" s="7" t="s">
        <v>48</v>
      </c>
      <c r="M689" s="7" t="s">
        <v>0</v>
      </c>
      <c r="N689" s="7" t="s">
        <v>8916</v>
      </c>
      <c r="O689" s="7" t="s">
        <v>0</v>
      </c>
      <c r="P689" s="7" t="s">
        <v>8918</v>
      </c>
      <c r="Q689" s="7" t="s">
        <v>4558</v>
      </c>
      <c r="R689" s="7" t="s">
        <v>198</v>
      </c>
      <c r="S689" s="7" t="s">
        <v>198</v>
      </c>
      <c r="T689" s="7" t="s">
        <v>54</v>
      </c>
      <c r="U689" s="7" t="s">
        <v>199</v>
      </c>
      <c r="V689" s="7" t="s">
        <v>126</v>
      </c>
      <c r="W689" s="7" t="s">
        <v>57</v>
      </c>
      <c r="X689" s="7" t="s">
        <v>103</v>
      </c>
      <c r="Y689" s="8">
        <v>43423</v>
      </c>
      <c r="Z689" s="8">
        <v>45657</v>
      </c>
      <c r="AA689" s="7" t="s">
        <v>224</v>
      </c>
      <c r="AB689" s="7" t="s">
        <v>804</v>
      </c>
      <c r="AC689" s="7" t="s">
        <v>65</v>
      </c>
      <c r="AD689" s="7" t="s">
        <v>0</v>
      </c>
      <c r="AE689" s="7" t="s">
        <v>0</v>
      </c>
      <c r="AF689" s="7" t="s">
        <v>0</v>
      </c>
      <c r="AG689" s="7" t="s">
        <v>0</v>
      </c>
      <c r="AH689" s="9" t="s">
        <v>0</v>
      </c>
      <c r="AI689" s="9" t="s">
        <v>0</v>
      </c>
      <c r="AJ689" s="9" t="s">
        <v>0</v>
      </c>
      <c r="AK689" s="7" t="s">
        <v>61</v>
      </c>
      <c r="AL689" s="7" t="s">
        <v>61</v>
      </c>
      <c r="AM689" s="7" t="s">
        <v>0</v>
      </c>
      <c r="AN689" s="7" t="s">
        <v>0</v>
      </c>
      <c r="AO689" s="7" t="s">
        <v>0</v>
      </c>
      <c r="AP689" s="7" t="s">
        <v>0</v>
      </c>
      <c r="AQ689" s="7" t="s">
        <v>61</v>
      </c>
      <c r="AR689" s="7" t="s">
        <v>0</v>
      </c>
      <c r="AS689" s="10" t="str">
        <f>HYPERLINK("https://tessa.gazprom-neft.local/edo/card/7ed3b391-cfb1-4ada-827d-2ad8c4e6a632", "https://tessa.gazprom-neft.local/edo/card/7ed3b391-cfb1-4ada-827d-2ad8c4e6a632")</f>
        <v>https://tessa.gazprom-neft.local/edo/card/7ed3b391-cfb1-4ada-827d-2ad8c4e6a632</v>
      </c>
    </row>
    <row r="690" spans="1:45" hidden="1" x14ac:dyDescent="0.25">
      <c r="A690" s="6" t="s">
        <v>44</v>
      </c>
      <c r="B690" s="7" t="s">
        <v>4174</v>
      </c>
      <c r="C690" s="7" t="s">
        <v>67</v>
      </c>
      <c r="D690" s="8">
        <v>45280</v>
      </c>
      <c r="E690" s="8" t="s">
        <v>0</v>
      </c>
      <c r="F690" s="16" t="s">
        <v>4175</v>
      </c>
      <c r="G690" s="7" t="s">
        <v>4176</v>
      </c>
      <c r="H690" s="7" t="s">
        <v>0</v>
      </c>
      <c r="I690" s="7" t="s">
        <v>7853</v>
      </c>
      <c r="J690" s="7" t="s">
        <v>7853</v>
      </c>
      <c r="K690" s="7" t="s">
        <v>47</v>
      </c>
      <c r="L690" s="7" t="s">
        <v>86</v>
      </c>
      <c r="M690" s="7" t="s">
        <v>0</v>
      </c>
      <c r="N690" s="7" t="s">
        <v>7852</v>
      </c>
      <c r="O690" s="7" t="s">
        <v>0</v>
      </c>
      <c r="P690" s="7" t="s">
        <v>6787</v>
      </c>
      <c r="Q690" s="7" t="s">
        <v>6788</v>
      </c>
      <c r="R690" s="7" t="s">
        <v>646</v>
      </c>
      <c r="S690" s="7" t="s">
        <v>0</v>
      </c>
      <c r="T690" s="7" t="s">
        <v>54</v>
      </c>
      <c r="U690" s="7" t="s">
        <v>44</v>
      </c>
      <c r="V690" s="7" t="s">
        <v>102</v>
      </c>
      <c r="W690" s="7" t="s">
        <v>57</v>
      </c>
      <c r="X690" s="7" t="s">
        <v>103</v>
      </c>
      <c r="Y690" s="8">
        <v>45280</v>
      </c>
      <c r="Z690" s="8">
        <v>45646</v>
      </c>
      <c r="AA690" s="7" t="s">
        <v>1767</v>
      </c>
      <c r="AB690" s="7" t="s">
        <v>1408</v>
      </c>
      <c r="AC690" s="7" t="s">
        <v>79</v>
      </c>
      <c r="AD690" s="7" t="s">
        <v>514</v>
      </c>
      <c r="AE690" s="7" t="s">
        <v>82</v>
      </c>
      <c r="AF690" s="7" t="s">
        <v>0</v>
      </c>
      <c r="AG690" s="7" t="s">
        <v>0</v>
      </c>
      <c r="AH690" s="9" t="s">
        <v>11248</v>
      </c>
      <c r="AI690" s="9" t="s">
        <v>11957</v>
      </c>
      <c r="AJ690" s="9" t="s">
        <v>11958</v>
      </c>
      <c r="AK690" s="7" t="s">
        <v>61</v>
      </c>
      <c r="AL690" s="7" t="s">
        <v>61</v>
      </c>
      <c r="AM690" s="7" t="s">
        <v>0</v>
      </c>
      <c r="AN690" s="7" t="s">
        <v>0</v>
      </c>
      <c r="AO690" s="7" t="s">
        <v>0</v>
      </c>
      <c r="AP690" s="7" t="s">
        <v>0</v>
      </c>
      <c r="AQ690" s="7" t="s">
        <v>61</v>
      </c>
      <c r="AR690" s="7" t="s">
        <v>0</v>
      </c>
      <c r="AS690" s="10" t="str">
        <f>HYPERLINK("https://tessa.gazprom-neft.local/edo/card/9649e199-6d38-4980-a7eb-a11122eb190b", "https://tessa.gazprom-neft.local/edo/card/9649e199-6d38-4980-a7eb-a11122eb190b")</f>
        <v>https://tessa.gazprom-neft.local/edo/card/9649e199-6d38-4980-a7eb-a11122eb190b</v>
      </c>
    </row>
    <row r="691" spans="1:45" x14ac:dyDescent="0.25">
      <c r="A691" s="6" t="s">
        <v>44</v>
      </c>
      <c r="B691" s="7" t="s">
        <v>0</v>
      </c>
      <c r="C691" s="7" t="s">
        <v>218</v>
      </c>
      <c r="D691" s="8">
        <v>45280</v>
      </c>
      <c r="E691" s="8" t="s">
        <v>0</v>
      </c>
      <c r="F691" s="16" t="s">
        <v>0</v>
      </c>
      <c r="G691" s="7" t="s">
        <v>0</v>
      </c>
      <c r="H691" s="7" t="s">
        <v>8067</v>
      </c>
      <c r="I691" s="7" t="s">
        <v>0</v>
      </c>
      <c r="J691" s="7" t="s">
        <v>156</v>
      </c>
      <c r="K691" s="7" t="s">
        <v>47</v>
      </c>
      <c r="L691" s="7" t="s">
        <v>48</v>
      </c>
      <c r="M691" s="7" t="s">
        <v>0</v>
      </c>
      <c r="N691" s="7" t="s">
        <v>8066</v>
      </c>
      <c r="O691" s="7" t="s">
        <v>0</v>
      </c>
      <c r="P691" s="7" t="s">
        <v>8068</v>
      </c>
      <c r="Q691" s="7" t="s">
        <v>8069</v>
      </c>
      <c r="R691" s="7" t="s">
        <v>1924</v>
      </c>
      <c r="S691" s="7" t="s">
        <v>1924</v>
      </c>
      <c r="T691" s="7" t="s">
        <v>54</v>
      </c>
      <c r="U691" s="7" t="s">
        <v>73</v>
      </c>
      <c r="V691" s="7" t="s">
        <v>56</v>
      </c>
      <c r="W691" s="7" t="s">
        <v>0</v>
      </c>
      <c r="X691" s="7" t="s">
        <v>103</v>
      </c>
      <c r="Y691" s="8">
        <v>45280</v>
      </c>
      <c r="Z691" s="8">
        <v>45657</v>
      </c>
      <c r="AA691" s="7" t="s">
        <v>59</v>
      </c>
      <c r="AB691" s="7" t="s">
        <v>366</v>
      </c>
      <c r="AC691" s="7" t="s">
        <v>278</v>
      </c>
      <c r="AD691" s="7" t="s">
        <v>367</v>
      </c>
      <c r="AE691" s="7" t="s">
        <v>82</v>
      </c>
      <c r="AF691" s="7" t="s">
        <v>0</v>
      </c>
      <c r="AG691" s="7" t="s">
        <v>0</v>
      </c>
      <c r="AH691" s="9" t="s">
        <v>13425</v>
      </c>
      <c r="AI691" s="9" t="s">
        <v>13426</v>
      </c>
      <c r="AJ691" s="9" t="s">
        <v>13427</v>
      </c>
      <c r="AK691" s="7" t="s">
        <v>61</v>
      </c>
      <c r="AL691" s="7" t="s">
        <v>61</v>
      </c>
      <c r="AM691" s="7" t="s">
        <v>0</v>
      </c>
      <c r="AN691" s="7" t="s">
        <v>0</v>
      </c>
      <c r="AO691" s="7" t="s">
        <v>0</v>
      </c>
      <c r="AP691" s="7" t="s">
        <v>0</v>
      </c>
      <c r="AQ691" s="7" t="s">
        <v>61</v>
      </c>
      <c r="AR691" s="7" t="s">
        <v>0</v>
      </c>
      <c r="AS691" s="10" t="str">
        <f>HYPERLINK("https://tessa.gazprom-neft.local/edo/card/97b541f5-a79e-4bdd-a666-2fd9d31fbb58", "https://tessa.gazprom-neft.local/edo/card/97b541f5-a79e-4bdd-a666-2fd9d31fbb58")</f>
        <v>https://tessa.gazprom-neft.local/edo/card/97b541f5-a79e-4bdd-a666-2fd9d31fbb58</v>
      </c>
    </row>
    <row r="692" spans="1:45" hidden="1" x14ac:dyDescent="0.25">
      <c r="A692" s="6" t="s">
        <v>44</v>
      </c>
      <c r="B692" s="7" t="s">
        <v>715</v>
      </c>
      <c r="C692" s="7" t="s">
        <v>67</v>
      </c>
      <c r="D692" s="8">
        <v>45280</v>
      </c>
      <c r="E692" s="8" t="s">
        <v>0</v>
      </c>
      <c r="F692" s="16" t="s">
        <v>716</v>
      </c>
      <c r="G692" s="7" t="s">
        <v>717</v>
      </c>
      <c r="H692" s="7" t="s">
        <v>710</v>
      </c>
      <c r="I692" s="7" t="s">
        <v>0</v>
      </c>
      <c r="J692" s="7" t="s">
        <v>271</v>
      </c>
      <c r="K692" s="7" t="s">
        <v>47</v>
      </c>
      <c r="L692" s="7" t="s">
        <v>389</v>
      </c>
      <c r="M692" s="7" t="s">
        <v>0</v>
      </c>
      <c r="N692" s="7" t="s">
        <v>8473</v>
      </c>
      <c r="O692" s="7" t="s">
        <v>355</v>
      </c>
      <c r="P692" s="7" t="s">
        <v>8474</v>
      </c>
      <c r="Q692" s="7" t="s">
        <v>8475</v>
      </c>
      <c r="R692" s="7" t="s">
        <v>714</v>
      </c>
      <c r="S692" s="7" t="s">
        <v>714</v>
      </c>
      <c r="T692" s="7" t="s">
        <v>54</v>
      </c>
      <c r="U692" s="7" t="s">
        <v>101</v>
      </c>
      <c r="V692" s="7" t="s">
        <v>308</v>
      </c>
      <c r="W692" s="7" t="s">
        <v>74</v>
      </c>
      <c r="X692" s="7" t="s">
        <v>103</v>
      </c>
      <c r="Y692" s="8">
        <v>45230</v>
      </c>
      <c r="Z692" s="8">
        <v>45473</v>
      </c>
      <c r="AA692" s="7" t="s">
        <v>309</v>
      </c>
      <c r="AB692" s="7" t="s">
        <v>64</v>
      </c>
      <c r="AC692" s="7" t="s">
        <v>79</v>
      </c>
      <c r="AD692" s="7" t="s">
        <v>144</v>
      </c>
      <c r="AE692" s="7" t="s">
        <v>82</v>
      </c>
      <c r="AF692" s="7" t="s">
        <v>0</v>
      </c>
      <c r="AG692" s="7" t="s">
        <v>0</v>
      </c>
      <c r="AH692" s="9" t="s">
        <v>13568</v>
      </c>
      <c r="AI692" s="9" t="s">
        <v>13569</v>
      </c>
      <c r="AJ692" s="9" t="s">
        <v>13570</v>
      </c>
      <c r="AK692" s="7" t="s">
        <v>61</v>
      </c>
      <c r="AL692" s="7" t="s">
        <v>61</v>
      </c>
      <c r="AM692" s="7" t="s">
        <v>0</v>
      </c>
      <c r="AN692" s="7" t="s">
        <v>0</v>
      </c>
      <c r="AO692" s="7" t="s">
        <v>0</v>
      </c>
      <c r="AP692" s="7" t="s">
        <v>0</v>
      </c>
      <c r="AQ692" s="7" t="s">
        <v>61</v>
      </c>
      <c r="AR692" s="7" t="s">
        <v>0</v>
      </c>
      <c r="AS692" s="10" t="str">
        <f>HYPERLINK("https://tessa.gazprom-neft.local/edo/card/ee268405-00fe-4dca-abed-75d9ee148de9", "https://tessa.gazprom-neft.local/edo/card/ee268405-00fe-4dca-abed-75d9ee148de9")</f>
        <v>https://tessa.gazprom-neft.local/edo/card/ee268405-00fe-4dca-abed-75d9ee148de9</v>
      </c>
    </row>
    <row r="693" spans="1:45" x14ac:dyDescent="0.25">
      <c r="A693" s="6" t="s">
        <v>44</v>
      </c>
      <c r="B693" s="7" t="s">
        <v>7566</v>
      </c>
      <c r="C693" s="7" t="s">
        <v>67</v>
      </c>
      <c r="D693" s="8">
        <v>45280</v>
      </c>
      <c r="E693" s="8" t="s">
        <v>0</v>
      </c>
      <c r="F693" s="16" t="s">
        <v>7567</v>
      </c>
      <c r="G693" s="7" t="s">
        <v>7568</v>
      </c>
      <c r="H693" s="7" t="s">
        <v>6426</v>
      </c>
      <c r="I693" s="7" t="s">
        <v>0</v>
      </c>
      <c r="J693" s="7" t="s">
        <v>156</v>
      </c>
      <c r="K693" s="7" t="s">
        <v>47</v>
      </c>
      <c r="L693" s="7" t="s">
        <v>48</v>
      </c>
      <c r="M693" s="7" t="s">
        <v>0</v>
      </c>
      <c r="N693" s="7" t="s">
        <v>8667</v>
      </c>
      <c r="O693" s="7" t="s">
        <v>0</v>
      </c>
      <c r="P693" s="7" t="s">
        <v>1474</v>
      </c>
      <c r="Q693" s="7" t="s">
        <v>8668</v>
      </c>
      <c r="R693" s="7" t="s">
        <v>836</v>
      </c>
      <c r="S693" s="7" t="s">
        <v>836</v>
      </c>
      <c r="T693" s="7" t="s">
        <v>54</v>
      </c>
      <c r="U693" s="7" t="s">
        <v>294</v>
      </c>
      <c r="V693" s="7" t="s">
        <v>295</v>
      </c>
      <c r="W693" s="7" t="s">
        <v>74</v>
      </c>
      <c r="X693" s="7" t="s">
        <v>103</v>
      </c>
      <c r="Y693" s="8">
        <v>45292</v>
      </c>
      <c r="Z693" s="8">
        <v>45657</v>
      </c>
      <c r="AA693" s="7" t="s">
        <v>296</v>
      </c>
      <c r="AB693" s="7" t="s">
        <v>64</v>
      </c>
      <c r="AC693" s="7" t="s">
        <v>65</v>
      </c>
      <c r="AD693" s="7" t="s">
        <v>80</v>
      </c>
      <c r="AE693" s="7" t="s">
        <v>0</v>
      </c>
      <c r="AF693" s="7" t="s">
        <v>0</v>
      </c>
      <c r="AG693" s="7" t="s">
        <v>0</v>
      </c>
      <c r="AH693" s="9" t="s">
        <v>0</v>
      </c>
      <c r="AI693" s="9" t="s">
        <v>0</v>
      </c>
      <c r="AJ693" s="9" t="s">
        <v>0</v>
      </c>
      <c r="AK693" s="7" t="s">
        <v>61</v>
      </c>
      <c r="AL693" s="7" t="s">
        <v>61</v>
      </c>
      <c r="AM693" s="7" t="s">
        <v>0</v>
      </c>
      <c r="AN693" s="7" t="s">
        <v>0</v>
      </c>
      <c r="AO693" s="7" t="s">
        <v>0</v>
      </c>
      <c r="AP693" s="7" t="s">
        <v>0</v>
      </c>
      <c r="AQ693" s="7" t="s">
        <v>61</v>
      </c>
      <c r="AR693" s="7" t="s">
        <v>0</v>
      </c>
      <c r="AS693" s="10" t="str">
        <f>HYPERLINK("https://tessa.gazprom-neft.local/edo/card/fc31533b-a7ed-44ac-bd46-71841d0f8ae3", "https://tessa.gazprom-neft.local/edo/card/fc31533b-a7ed-44ac-bd46-71841d0f8ae3")</f>
        <v>https://tessa.gazprom-neft.local/edo/card/fc31533b-a7ed-44ac-bd46-71841d0f8ae3</v>
      </c>
    </row>
    <row r="694" spans="1:45" hidden="1" x14ac:dyDescent="0.25">
      <c r="A694" s="6" t="s">
        <v>44</v>
      </c>
      <c r="B694" s="7" t="s">
        <v>542</v>
      </c>
      <c r="C694" s="7" t="s">
        <v>67</v>
      </c>
      <c r="D694" s="8">
        <v>45280</v>
      </c>
      <c r="E694" s="8" t="s">
        <v>0</v>
      </c>
      <c r="F694" s="16" t="s">
        <v>543</v>
      </c>
      <c r="G694" s="7" t="s">
        <v>544</v>
      </c>
      <c r="H694" s="7" t="s">
        <v>536</v>
      </c>
      <c r="I694" s="7" t="s">
        <v>0</v>
      </c>
      <c r="J694" s="7" t="s">
        <v>8112</v>
      </c>
      <c r="K694" s="7" t="s">
        <v>47</v>
      </c>
      <c r="L694" s="7" t="s">
        <v>239</v>
      </c>
      <c r="M694" s="7" t="s">
        <v>0</v>
      </c>
      <c r="N694" s="7" t="s">
        <v>8896</v>
      </c>
      <c r="O694" s="7" t="s">
        <v>0</v>
      </c>
      <c r="P694" s="7" t="s">
        <v>8897</v>
      </c>
      <c r="Q694" s="7" t="s">
        <v>8898</v>
      </c>
      <c r="R694" s="7" t="s">
        <v>540</v>
      </c>
      <c r="S694" s="7" t="s">
        <v>0</v>
      </c>
      <c r="T694" s="7" t="s">
        <v>54</v>
      </c>
      <c r="U694" s="7" t="s">
        <v>541</v>
      </c>
      <c r="V694" s="7" t="s">
        <v>56</v>
      </c>
      <c r="W694" s="7" t="s">
        <v>74</v>
      </c>
      <c r="X694" s="7" t="s">
        <v>103</v>
      </c>
      <c r="Y694" s="8">
        <v>45280</v>
      </c>
      <c r="Z694" s="8">
        <v>45651</v>
      </c>
      <c r="AA694" s="7" t="s">
        <v>59</v>
      </c>
      <c r="AB694" s="7" t="s">
        <v>545</v>
      </c>
      <c r="AC694" s="7" t="s">
        <v>79</v>
      </c>
      <c r="AD694" s="7" t="s">
        <v>144</v>
      </c>
      <c r="AE694" s="7" t="s">
        <v>82</v>
      </c>
      <c r="AF694" s="7" t="s">
        <v>0</v>
      </c>
      <c r="AG694" s="7" t="s">
        <v>0</v>
      </c>
      <c r="AH694" s="9" t="s">
        <v>13734</v>
      </c>
      <c r="AI694" s="9" t="s">
        <v>13735</v>
      </c>
      <c r="AJ694" s="9" t="s">
        <v>13736</v>
      </c>
      <c r="AK694" s="7" t="s">
        <v>61</v>
      </c>
      <c r="AL694" s="7" t="s">
        <v>61</v>
      </c>
      <c r="AM694" s="7" t="s">
        <v>0</v>
      </c>
      <c r="AN694" s="7" t="s">
        <v>0</v>
      </c>
      <c r="AO694" s="7" t="s">
        <v>0</v>
      </c>
      <c r="AP694" s="7" t="s">
        <v>0</v>
      </c>
      <c r="AQ694" s="7" t="s">
        <v>61</v>
      </c>
      <c r="AR694" s="7" t="s">
        <v>0</v>
      </c>
      <c r="AS694" s="10" t="str">
        <f>HYPERLINK("https://tessa.gazprom-neft.local/edo/card/eaf27552-5d92-4821-9237-8ee580a61685", "https://tessa.gazprom-neft.local/edo/card/eaf27552-5d92-4821-9237-8ee580a61685")</f>
        <v>https://tessa.gazprom-neft.local/edo/card/eaf27552-5d92-4821-9237-8ee580a61685</v>
      </c>
    </row>
    <row r="695" spans="1:45" x14ac:dyDescent="0.25">
      <c r="A695" s="6" t="s">
        <v>44</v>
      </c>
      <c r="B695" s="7" t="s">
        <v>1240</v>
      </c>
      <c r="C695" s="7" t="s">
        <v>67</v>
      </c>
      <c r="D695" s="8">
        <v>45279</v>
      </c>
      <c r="E695" s="8" t="s">
        <v>0</v>
      </c>
      <c r="F695" s="16" t="s">
        <v>1241</v>
      </c>
      <c r="G695" s="7" t="s">
        <v>1242</v>
      </c>
      <c r="H695" s="7" t="s">
        <v>3254</v>
      </c>
      <c r="I695" s="7" t="s">
        <v>0</v>
      </c>
      <c r="J695" s="7" t="s">
        <v>271</v>
      </c>
      <c r="K695" s="7" t="s">
        <v>47</v>
      </c>
      <c r="L695" s="7" t="s">
        <v>48</v>
      </c>
      <c r="M695" s="7" t="s">
        <v>0</v>
      </c>
      <c r="N695" s="7" t="s">
        <v>8507</v>
      </c>
      <c r="O695" s="7" t="s">
        <v>0</v>
      </c>
      <c r="P695" s="7" t="s">
        <v>8508</v>
      </c>
      <c r="Q695" s="7" t="s">
        <v>3272</v>
      </c>
      <c r="R695" s="7" t="s">
        <v>361</v>
      </c>
      <c r="S695" s="7" t="s">
        <v>361</v>
      </c>
      <c r="T695" s="7" t="s">
        <v>54</v>
      </c>
      <c r="U695" s="7" t="s">
        <v>362</v>
      </c>
      <c r="V695" s="7" t="s">
        <v>295</v>
      </c>
      <c r="W695" s="7" t="s">
        <v>74</v>
      </c>
      <c r="X695" s="7" t="s">
        <v>103</v>
      </c>
      <c r="Y695" s="8">
        <v>45292</v>
      </c>
      <c r="Z695" s="8">
        <v>45657</v>
      </c>
      <c r="AA695" s="7" t="s">
        <v>296</v>
      </c>
      <c r="AB695" s="7" t="s">
        <v>366</v>
      </c>
      <c r="AC695" s="7" t="s">
        <v>278</v>
      </c>
      <c r="AD695" s="7" t="s">
        <v>367</v>
      </c>
      <c r="AE695" s="7" t="s">
        <v>82</v>
      </c>
      <c r="AF695" s="7" t="s">
        <v>0</v>
      </c>
      <c r="AG695" s="7" t="s">
        <v>0</v>
      </c>
      <c r="AH695" s="9" t="s">
        <v>13576</v>
      </c>
      <c r="AI695" s="9" t="s">
        <v>13577</v>
      </c>
      <c r="AJ695" s="9" t="s">
        <v>13578</v>
      </c>
      <c r="AK695" s="7" t="s">
        <v>61</v>
      </c>
      <c r="AL695" s="7" t="s">
        <v>61</v>
      </c>
      <c r="AM695" s="7" t="s">
        <v>0</v>
      </c>
      <c r="AN695" s="7" t="s">
        <v>0</v>
      </c>
      <c r="AO695" s="7" t="s">
        <v>0</v>
      </c>
      <c r="AP695" s="7" t="s">
        <v>0</v>
      </c>
      <c r="AQ695" s="7" t="s">
        <v>61</v>
      </c>
      <c r="AR695" s="7" t="s">
        <v>0</v>
      </c>
      <c r="AS695" s="10" t="str">
        <f>HYPERLINK("https://tessa.gazprom-neft.local/edo/card/5af7e8c0-d48c-42b4-a1d4-2997d19f8bd6", "https://tessa.gazprom-neft.local/edo/card/5af7e8c0-d48c-42b4-a1d4-2997d19f8bd6")</f>
        <v>https://tessa.gazprom-neft.local/edo/card/5af7e8c0-d48c-42b4-a1d4-2997d19f8bd6</v>
      </c>
    </row>
    <row r="696" spans="1:45" hidden="1" x14ac:dyDescent="0.25">
      <c r="A696" s="6" t="s">
        <v>44</v>
      </c>
      <c r="B696" s="7" t="s">
        <v>1552</v>
      </c>
      <c r="C696" s="7" t="s">
        <v>67</v>
      </c>
      <c r="D696" s="8">
        <v>45279</v>
      </c>
      <c r="E696" s="8" t="s">
        <v>0</v>
      </c>
      <c r="F696" s="16" t="s">
        <v>1553</v>
      </c>
      <c r="G696" s="7" t="s">
        <v>1554</v>
      </c>
      <c r="H696" s="7" t="s">
        <v>0</v>
      </c>
      <c r="I696" s="7" t="s">
        <v>8521</v>
      </c>
      <c r="J696" s="7" t="s">
        <v>8521</v>
      </c>
      <c r="K696" s="7" t="s">
        <v>47</v>
      </c>
      <c r="L696" s="7" t="s">
        <v>86</v>
      </c>
      <c r="M696" s="7" t="s">
        <v>0</v>
      </c>
      <c r="N696" s="7" t="s">
        <v>8520</v>
      </c>
      <c r="O696" s="7" t="s">
        <v>0</v>
      </c>
      <c r="P696" s="7" t="s">
        <v>8522</v>
      </c>
      <c r="Q696" s="7" t="s">
        <v>6569</v>
      </c>
      <c r="R696" s="7" t="s">
        <v>505</v>
      </c>
      <c r="S696" s="7" t="s">
        <v>4594</v>
      </c>
      <c r="T696" s="7" t="s">
        <v>54</v>
      </c>
      <c r="U696" s="7" t="s">
        <v>210</v>
      </c>
      <c r="V696" s="7" t="s">
        <v>126</v>
      </c>
      <c r="W696" s="7" t="s">
        <v>57</v>
      </c>
      <c r="X696" s="7" t="s">
        <v>58</v>
      </c>
      <c r="Y696" s="8">
        <v>45279</v>
      </c>
      <c r="Z696" s="8" t="s">
        <v>0</v>
      </c>
      <c r="AA696" s="7" t="s">
        <v>224</v>
      </c>
      <c r="AB696" s="7" t="s">
        <v>130</v>
      </c>
      <c r="AC696" s="7" t="s">
        <v>65</v>
      </c>
      <c r="AD696" s="7" t="s">
        <v>144</v>
      </c>
      <c r="AE696" s="7" t="s">
        <v>0</v>
      </c>
      <c r="AF696" s="7" t="s">
        <v>0</v>
      </c>
      <c r="AG696" s="7" t="s">
        <v>0</v>
      </c>
      <c r="AH696" s="9" t="s">
        <v>0</v>
      </c>
      <c r="AI696" s="9" t="s">
        <v>0</v>
      </c>
      <c r="AJ696" s="9" t="s">
        <v>0</v>
      </c>
      <c r="AK696" s="7" t="s">
        <v>61</v>
      </c>
      <c r="AL696" s="7" t="s">
        <v>61</v>
      </c>
      <c r="AM696" s="7" t="s">
        <v>0</v>
      </c>
      <c r="AN696" s="7" t="s">
        <v>0</v>
      </c>
      <c r="AO696" s="7" t="s">
        <v>0</v>
      </c>
      <c r="AP696" s="7" t="s">
        <v>0</v>
      </c>
      <c r="AQ696" s="7" t="s">
        <v>61</v>
      </c>
      <c r="AR696" s="7" t="s">
        <v>0</v>
      </c>
      <c r="AS696" s="10" t="str">
        <f>HYPERLINK("https://tessa.gazprom-neft.local/edo/card/428242c3-e8ef-4145-918b-1d8d079c6f68", "https://tessa.gazprom-neft.local/edo/card/428242c3-e8ef-4145-918b-1d8d079c6f68")</f>
        <v>https://tessa.gazprom-neft.local/edo/card/428242c3-e8ef-4145-918b-1d8d079c6f68</v>
      </c>
    </row>
    <row r="697" spans="1:45" x14ac:dyDescent="0.25">
      <c r="A697" s="6" t="s">
        <v>44</v>
      </c>
      <c r="B697" s="7" t="s">
        <v>488</v>
      </c>
      <c r="C697" s="7" t="s">
        <v>67</v>
      </c>
      <c r="D697" s="8">
        <v>45278</v>
      </c>
      <c r="E697" s="8" t="s">
        <v>0</v>
      </c>
      <c r="F697" s="16" t="s">
        <v>489</v>
      </c>
      <c r="G697" s="7" t="s">
        <v>490</v>
      </c>
      <c r="H697" s="7" t="s">
        <v>2173</v>
      </c>
      <c r="I697" s="7" t="s">
        <v>0</v>
      </c>
      <c r="J697" s="7" t="s">
        <v>712</v>
      </c>
      <c r="K697" s="7" t="s">
        <v>47</v>
      </c>
      <c r="L697" s="7" t="s">
        <v>48</v>
      </c>
      <c r="M697" s="7" t="s">
        <v>0</v>
      </c>
      <c r="N697" s="7" t="s">
        <v>6830</v>
      </c>
      <c r="O697" s="7" t="s">
        <v>0</v>
      </c>
      <c r="P697" s="7" t="s">
        <v>6831</v>
      </c>
      <c r="Q697" s="7" t="s">
        <v>6832</v>
      </c>
      <c r="R697" s="7" t="s">
        <v>422</v>
      </c>
      <c r="S697" s="7" t="s">
        <v>0</v>
      </c>
      <c r="T697" s="7" t="s">
        <v>54</v>
      </c>
      <c r="U697" s="7" t="s">
        <v>362</v>
      </c>
      <c r="V697" s="7" t="s">
        <v>56</v>
      </c>
      <c r="W697" s="7" t="s">
        <v>74</v>
      </c>
      <c r="X697" s="7" t="s">
        <v>103</v>
      </c>
      <c r="Y697" s="8">
        <v>45278</v>
      </c>
      <c r="Z697" s="8">
        <v>45657</v>
      </c>
      <c r="AA697" s="7" t="s">
        <v>0</v>
      </c>
      <c r="AB697" s="7" t="s">
        <v>874</v>
      </c>
      <c r="AC697" s="7" t="s">
        <v>79</v>
      </c>
      <c r="AD697" s="7" t="s">
        <v>144</v>
      </c>
      <c r="AE697" s="7" t="s">
        <v>82</v>
      </c>
      <c r="AF697" s="7" t="s">
        <v>0</v>
      </c>
      <c r="AG697" s="7" t="s">
        <v>6833</v>
      </c>
      <c r="AH697" s="9" t="s">
        <v>12965</v>
      </c>
      <c r="AI697" s="9" t="s">
        <v>12966</v>
      </c>
      <c r="AJ697" s="9" t="s">
        <v>12967</v>
      </c>
      <c r="AK697" s="7" t="s">
        <v>81</v>
      </c>
      <c r="AL697" s="7" t="s">
        <v>61</v>
      </c>
      <c r="AM697" s="7" t="s">
        <v>0</v>
      </c>
      <c r="AN697" s="7" t="s">
        <v>0</v>
      </c>
      <c r="AO697" s="7" t="s">
        <v>0</v>
      </c>
      <c r="AP697" s="7" t="s">
        <v>0</v>
      </c>
      <c r="AQ697" s="7" t="s">
        <v>61</v>
      </c>
      <c r="AR697" s="7" t="s">
        <v>0</v>
      </c>
      <c r="AS697" s="10" t="str">
        <f>HYPERLINK("https://tessa.gazprom-neft.local/edo/card/0ff753ea-a75f-48d7-953b-848f3a6ffbc2", "https://tessa.gazprom-neft.local/edo/card/0ff753ea-a75f-48d7-953b-848f3a6ffbc2")</f>
        <v>https://tessa.gazprom-neft.local/edo/card/0ff753ea-a75f-48d7-953b-848f3a6ffbc2</v>
      </c>
    </row>
    <row r="698" spans="1:45" x14ac:dyDescent="0.25">
      <c r="A698" s="6" t="s">
        <v>44</v>
      </c>
      <c r="B698" s="7" t="s">
        <v>170</v>
      </c>
      <c r="C698" s="7" t="s">
        <v>67</v>
      </c>
      <c r="D698" s="8">
        <v>45278</v>
      </c>
      <c r="E698" s="8" t="s">
        <v>0</v>
      </c>
      <c r="F698" s="16" t="s">
        <v>171</v>
      </c>
      <c r="G698" s="7" t="s">
        <v>172</v>
      </c>
      <c r="H698" s="7" t="s">
        <v>8419</v>
      </c>
      <c r="I698" s="7" t="s">
        <v>0</v>
      </c>
      <c r="J698" s="7" t="s">
        <v>51</v>
      </c>
      <c r="K698" s="7" t="s">
        <v>47</v>
      </c>
      <c r="L698" s="7" t="s">
        <v>48</v>
      </c>
      <c r="M698" s="7" t="s">
        <v>0</v>
      </c>
      <c r="N698" s="7" t="s">
        <v>8418</v>
      </c>
      <c r="O698" s="7" t="s">
        <v>0</v>
      </c>
      <c r="P698" s="7" t="s">
        <v>8420</v>
      </c>
      <c r="Q698" s="7" t="s">
        <v>8363</v>
      </c>
      <c r="R698" s="7" t="s">
        <v>361</v>
      </c>
      <c r="S698" s="7" t="s">
        <v>361</v>
      </c>
      <c r="T698" s="7" t="s">
        <v>54</v>
      </c>
      <c r="U698" s="7" t="s">
        <v>362</v>
      </c>
      <c r="V698" s="7" t="s">
        <v>295</v>
      </c>
      <c r="W698" s="7" t="s">
        <v>74</v>
      </c>
      <c r="X698" s="7" t="s">
        <v>103</v>
      </c>
      <c r="Y698" s="8">
        <v>45292</v>
      </c>
      <c r="Z698" s="8">
        <v>45657</v>
      </c>
      <c r="AA698" s="7" t="s">
        <v>296</v>
      </c>
      <c r="AB698" s="7" t="s">
        <v>366</v>
      </c>
      <c r="AC698" s="7" t="s">
        <v>65</v>
      </c>
      <c r="AD698" s="7" t="s">
        <v>367</v>
      </c>
      <c r="AE698" s="7" t="s">
        <v>0</v>
      </c>
      <c r="AF698" s="7" t="s">
        <v>0</v>
      </c>
      <c r="AG698" s="7" t="s">
        <v>0</v>
      </c>
      <c r="AH698" s="9" t="s">
        <v>0</v>
      </c>
      <c r="AI698" s="9" t="s">
        <v>0</v>
      </c>
      <c r="AJ698" s="9" t="s">
        <v>0</v>
      </c>
      <c r="AK698" s="7" t="s">
        <v>61</v>
      </c>
      <c r="AL698" s="7" t="s">
        <v>61</v>
      </c>
      <c r="AM698" s="7" t="s">
        <v>0</v>
      </c>
      <c r="AN698" s="7" t="s">
        <v>0</v>
      </c>
      <c r="AO698" s="7" t="s">
        <v>0</v>
      </c>
      <c r="AP698" s="7" t="s">
        <v>0</v>
      </c>
      <c r="AQ698" s="7" t="s">
        <v>61</v>
      </c>
      <c r="AR698" s="7" t="s">
        <v>0</v>
      </c>
      <c r="AS698" s="10" t="str">
        <f>HYPERLINK("https://tessa.gazprom-neft.local/edo/card/165a7a51-9ca4-4ef0-893c-072b521911e1", "https://tessa.gazprom-neft.local/edo/card/165a7a51-9ca4-4ef0-893c-072b521911e1")</f>
        <v>https://tessa.gazprom-neft.local/edo/card/165a7a51-9ca4-4ef0-893c-072b521911e1</v>
      </c>
    </row>
    <row r="699" spans="1:45" x14ac:dyDescent="0.25">
      <c r="A699" s="6" t="s">
        <v>44</v>
      </c>
      <c r="B699" s="7" t="s">
        <v>1657</v>
      </c>
      <c r="C699" s="7" t="s">
        <v>67</v>
      </c>
      <c r="D699" s="8">
        <v>45278</v>
      </c>
      <c r="E699" s="8" t="s">
        <v>0</v>
      </c>
      <c r="F699" s="16" t="s">
        <v>1658</v>
      </c>
      <c r="G699" s="7" t="s">
        <v>1659</v>
      </c>
      <c r="H699" s="7" t="s">
        <v>8422</v>
      </c>
      <c r="I699" s="7" t="s">
        <v>0</v>
      </c>
      <c r="J699" s="7" t="s">
        <v>51</v>
      </c>
      <c r="K699" s="7" t="s">
        <v>47</v>
      </c>
      <c r="L699" s="7" t="s">
        <v>48</v>
      </c>
      <c r="M699" s="7" t="s">
        <v>0</v>
      </c>
      <c r="N699" s="7" t="s">
        <v>8421</v>
      </c>
      <c r="O699" s="7" t="s">
        <v>0</v>
      </c>
      <c r="P699" s="7" t="s">
        <v>8423</v>
      </c>
      <c r="Q699" s="7" t="s">
        <v>8363</v>
      </c>
      <c r="R699" s="7" t="s">
        <v>361</v>
      </c>
      <c r="S699" s="7" t="s">
        <v>361</v>
      </c>
      <c r="T699" s="7" t="s">
        <v>54</v>
      </c>
      <c r="U699" s="7" t="s">
        <v>362</v>
      </c>
      <c r="V699" s="7" t="s">
        <v>295</v>
      </c>
      <c r="W699" s="7" t="s">
        <v>74</v>
      </c>
      <c r="X699" s="7" t="s">
        <v>103</v>
      </c>
      <c r="Y699" s="8">
        <v>45292</v>
      </c>
      <c r="Z699" s="8">
        <v>45657</v>
      </c>
      <c r="AA699" s="7" t="s">
        <v>296</v>
      </c>
      <c r="AB699" s="7" t="s">
        <v>366</v>
      </c>
      <c r="AC699" s="7" t="s">
        <v>65</v>
      </c>
      <c r="AD699" s="7" t="s">
        <v>367</v>
      </c>
      <c r="AE699" s="7" t="s">
        <v>0</v>
      </c>
      <c r="AF699" s="7" t="s">
        <v>0</v>
      </c>
      <c r="AG699" s="7" t="s">
        <v>0</v>
      </c>
      <c r="AH699" s="9" t="s">
        <v>0</v>
      </c>
      <c r="AI699" s="9" t="s">
        <v>0</v>
      </c>
      <c r="AJ699" s="9" t="s">
        <v>0</v>
      </c>
      <c r="AK699" s="7" t="s">
        <v>61</v>
      </c>
      <c r="AL699" s="7" t="s">
        <v>61</v>
      </c>
      <c r="AM699" s="7" t="s">
        <v>0</v>
      </c>
      <c r="AN699" s="7" t="s">
        <v>0</v>
      </c>
      <c r="AO699" s="7" t="s">
        <v>0</v>
      </c>
      <c r="AP699" s="7" t="s">
        <v>0</v>
      </c>
      <c r="AQ699" s="7" t="s">
        <v>61</v>
      </c>
      <c r="AR699" s="7" t="s">
        <v>0</v>
      </c>
      <c r="AS699" s="10" t="str">
        <f>HYPERLINK("https://tessa.gazprom-neft.local/edo/card/492d80e0-a819-4cc7-939c-318bdfd62434", "https://tessa.gazprom-neft.local/edo/card/492d80e0-a819-4cc7-939c-318bdfd62434")</f>
        <v>https://tessa.gazprom-neft.local/edo/card/492d80e0-a819-4cc7-939c-318bdfd62434</v>
      </c>
    </row>
    <row r="700" spans="1:45" hidden="1" x14ac:dyDescent="0.25">
      <c r="A700" s="6" t="s">
        <v>44</v>
      </c>
      <c r="B700" s="7" t="s">
        <v>234</v>
      </c>
      <c r="C700" s="7" t="s">
        <v>67</v>
      </c>
      <c r="D700" s="8">
        <v>45278</v>
      </c>
      <c r="E700" s="8" t="s">
        <v>0</v>
      </c>
      <c r="F700" s="16" t="s">
        <v>235</v>
      </c>
      <c r="G700" s="7" t="s">
        <v>236</v>
      </c>
      <c r="H700" s="7" t="s">
        <v>0</v>
      </c>
      <c r="I700" s="7" t="s">
        <v>2119</v>
      </c>
      <c r="J700" s="7" t="s">
        <v>2119</v>
      </c>
      <c r="K700" s="7" t="s">
        <v>85</v>
      </c>
      <c r="L700" s="7" t="s">
        <v>96</v>
      </c>
      <c r="M700" s="7" t="s">
        <v>413</v>
      </c>
      <c r="N700" s="7" t="s">
        <v>8605</v>
      </c>
      <c r="O700" s="7" t="s">
        <v>0</v>
      </c>
      <c r="P700" s="7" t="s">
        <v>8606</v>
      </c>
      <c r="Q700" s="7" t="s">
        <v>8607</v>
      </c>
      <c r="R700" s="7" t="s">
        <v>646</v>
      </c>
      <c r="S700" s="7" t="s">
        <v>233</v>
      </c>
      <c r="T700" s="7" t="s">
        <v>54</v>
      </c>
      <c r="U700" s="7" t="s">
        <v>55</v>
      </c>
      <c r="V700" s="7" t="s">
        <v>56</v>
      </c>
      <c r="W700" s="7" t="s">
        <v>74</v>
      </c>
      <c r="X700" s="7" t="s">
        <v>103</v>
      </c>
      <c r="Y700" s="8">
        <v>45278</v>
      </c>
      <c r="Z700" s="8">
        <v>45444</v>
      </c>
      <c r="AA700" s="7" t="s">
        <v>0</v>
      </c>
      <c r="AB700" s="7" t="s">
        <v>130</v>
      </c>
      <c r="AC700" s="7" t="s">
        <v>79</v>
      </c>
      <c r="AD700" s="7" t="s">
        <v>80</v>
      </c>
      <c r="AE700" s="7" t="s">
        <v>82</v>
      </c>
      <c r="AF700" s="7" t="s">
        <v>0</v>
      </c>
      <c r="AG700" s="7" t="s">
        <v>0</v>
      </c>
      <c r="AH700" s="9" t="s">
        <v>13613</v>
      </c>
      <c r="AI700" s="9" t="s">
        <v>13614</v>
      </c>
      <c r="AJ700" s="9" t="s">
        <v>13615</v>
      </c>
      <c r="AK700" s="7" t="s">
        <v>61</v>
      </c>
      <c r="AL700" s="7" t="s">
        <v>61</v>
      </c>
      <c r="AM700" s="7" t="s">
        <v>0</v>
      </c>
      <c r="AN700" s="7" t="s">
        <v>0</v>
      </c>
      <c r="AO700" s="7" t="s">
        <v>0</v>
      </c>
      <c r="AP700" s="7" t="s">
        <v>0</v>
      </c>
      <c r="AQ700" s="7" t="s">
        <v>61</v>
      </c>
      <c r="AR700" s="7" t="s">
        <v>0</v>
      </c>
      <c r="AS700" s="10" t="str">
        <f>HYPERLINK("https://tessa.gazprom-neft.local/edo/card/cba206a0-5f36-4df7-87ad-a84393f9eb7f", "https://tessa.gazprom-neft.local/edo/card/cba206a0-5f36-4df7-87ad-a84393f9eb7f")</f>
        <v>https://tessa.gazprom-neft.local/edo/card/cba206a0-5f36-4df7-87ad-a84393f9eb7f</v>
      </c>
    </row>
    <row r="701" spans="1:45" hidden="1" x14ac:dyDescent="0.25">
      <c r="A701" s="6" t="s">
        <v>44</v>
      </c>
      <c r="B701" s="7" t="s">
        <v>715</v>
      </c>
      <c r="C701" s="7" t="s">
        <v>67</v>
      </c>
      <c r="D701" s="8">
        <v>45278</v>
      </c>
      <c r="E701" s="8" t="s">
        <v>0</v>
      </c>
      <c r="F701" s="16" t="s">
        <v>716</v>
      </c>
      <c r="G701" s="7" t="s">
        <v>717</v>
      </c>
      <c r="H701" s="7" t="s">
        <v>710</v>
      </c>
      <c r="I701" s="7" t="s">
        <v>0</v>
      </c>
      <c r="J701" s="7" t="s">
        <v>70</v>
      </c>
      <c r="K701" s="7" t="s">
        <v>47</v>
      </c>
      <c r="L701" s="7" t="s">
        <v>709</v>
      </c>
      <c r="M701" s="7" t="s">
        <v>0</v>
      </c>
      <c r="N701" s="7" t="s">
        <v>8624</v>
      </c>
      <c r="O701" s="7" t="s">
        <v>0</v>
      </c>
      <c r="P701" s="7" t="s">
        <v>8625</v>
      </c>
      <c r="Q701" s="7" t="s">
        <v>8626</v>
      </c>
      <c r="R701" s="7" t="s">
        <v>1476</v>
      </c>
      <c r="S701" s="7" t="s">
        <v>1476</v>
      </c>
      <c r="T701" s="7" t="s">
        <v>54</v>
      </c>
      <c r="U701" s="7" t="s">
        <v>777</v>
      </c>
      <c r="V701" s="7" t="s">
        <v>168</v>
      </c>
      <c r="W701" s="7" t="s">
        <v>57</v>
      </c>
      <c r="X701" s="7" t="s">
        <v>103</v>
      </c>
      <c r="Y701" s="8">
        <v>45279</v>
      </c>
      <c r="Z701" s="8">
        <v>45422</v>
      </c>
      <c r="AA701" s="7" t="s">
        <v>169</v>
      </c>
      <c r="AB701" s="7" t="s">
        <v>64</v>
      </c>
      <c r="AC701" s="7" t="s">
        <v>79</v>
      </c>
      <c r="AD701" s="7" t="s">
        <v>144</v>
      </c>
      <c r="AE701" s="7" t="s">
        <v>82</v>
      </c>
      <c r="AF701" s="7" t="s">
        <v>0</v>
      </c>
      <c r="AG701" s="7" t="s">
        <v>0</v>
      </c>
      <c r="AH701" s="9" t="s">
        <v>13626</v>
      </c>
      <c r="AI701" s="9" t="s">
        <v>13627</v>
      </c>
      <c r="AJ701" s="9" t="s">
        <v>13628</v>
      </c>
      <c r="AK701" s="7" t="s">
        <v>61</v>
      </c>
      <c r="AL701" s="7" t="s">
        <v>61</v>
      </c>
      <c r="AM701" s="7" t="s">
        <v>0</v>
      </c>
      <c r="AN701" s="7" t="s">
        <v>0</v>
      </c>
      <c r="AO701" s="7" t="s">
        <v>0</v>
      </c>
      <c r="AP701" s="7" t="s">
        <v>0</v>
      </c>
      <c r="AQ701" s="7" t="s">
        <v>61</v>
      </c>
      <c r="AR701" s="7" t="s">
        <v>0</v>
      </c>
      <c r="AS701" s="10" t="str">
        <f>HYPERLINK("https://tessa.gazprom-neft.local/edo/card/ff12d2ce-c597-4ce9-96e8-d2d4929c7e7c", "https://tessa.gazprom-neft.local/edo/card/ff12d2ce-c597-4ce9-96e8-d2d4929c7e7c")</f>
        <v>https://tessa.gazprom-neft.local/edo/card/ff12d2ce-c597-4ce9-96e8-d2d4929c7e7c</v>
      </c>
    </row>
    <row r="702" spans="1:45" x14ac:dyDescent="0.25">
      <c r="A702" s="6" t="s">
        <v>44</v>
      </c>
      <c r="B702" s="7" t="s">
        <v>8274</v>
      </c>
      <c r="C702" s="7" t="s">
        <v>67</v>
      </c>
      <c r="D702" s="8">
        <v>45275</v>
      </c>
      <c r="E702" s="8" t="s">
        <v>0</v>
      </c>
      <c r="F702" s="16" t="s">
        <v>8275</v>
      </c>
      <c r="G702" s="7" t="s">
        <v>8276</v>
      </c>
      <c r="H702" s="7" t="s">
        <v>8271</v>
      </c>
      <c r="I702" s="7" t="s">
        <v>0</v>
      </c>
      <c r="J702" s="7" t="s">
        <v>70</v>
      </c>
      <c r="K702" s="7" t="s">
        <v>47</v>
      </c>
      <c r="L702" s="7" t="s">
        <v>48</v>
      </c>
      <c r="M702" s="7" t="s">
        <v>0</v>
      </c>
      <c r="N702" s="7" t="s">
        <v>8270</v>
      </c>
      <c r="O702" s="7" t="s">
        <v>0</v>
      </c>
      <c r="P702" s="7" t="s">
        <v>8272</v>
      </c>
      <c r="Q702" s="7" t="s">
        <v>8273</v>
      </c>
      <c r="R702" s="7" t="s">
        <v>1523</v>
      </c>
      <c r="S702" s="7" t="s">
        <v>1523</v>
      </c>
      <c r="T702" s="7" t="s">
        <v>54</v>
      </c>
      <c r="U702" s="7" t="s">
        <v>188</v>
      </c>
      <c r="V702" s="7" t="s">
        <v>187</v>
      </c>
      <c r="W702" s="7" t="s">
        <v>57</v>
      </c>
      <c r="X702" s="7" t="s">
        <v>103</v>
      </c>
      <c r="Y702" s="8">
        <v>45275</v>
      </c>
      <c r="Z702" s="8">
        <v>46005</v>
      </c>
      <c r="AA702" s="7" t="s">
        <v>224</v>
      </c>
      <c r="AB702" s="7" t="s">
        <v>1203</v>
      </c>
      <c r="AC702" s="7" t="s">
        <v>79</v>
      </c>
      <c r="AD702" s="7" t="s">
        <v>80</v>
      </c>
      <c r="AE702" s="7" t="s">
        <v>82</v>
      </c>
      <c r="AF702" s="7" t="s">
        <v>0</v>
      </c>
      <c r="AG702" s="7" t="s">
        <v>0</v>
      </c>
      <c r="AH702" s="9" t="s">
        <v>13501</v>
      </c>
      <c r="AI702" s="9" t="s">
        <v>13502</v>
      </c>
      <c r="AJ702" s="9" t="s">
        <v>13503</v>
      </c>
      <c r="AK702" s="7" t="s">
        <v>61</v>
      </c>
      <c r="AL702" s="7" t="s">
        <v>61</v>
      </c>
      <c r="AM702" s="7" t="s">
        <v>0</v>
      </c>
      <c r="AN702" s="7" t="s">
        <v>0</v>
      </c>
      <c r="AO702" s="7" t="s">
        <v>0</v>
      </c>
      <c r="AP702" s="7" t="s">
        <v>0</v>
      </c>
      <c r="AQ702" s="7" t="s">
        <v>61</v>
      </c>
      <c r="AR702" s="7" t="s">
        <v>0</v>
      </c>
      <c r="AS702" s="10" t="str">
        <f>HYPERLINK("https://tessa.gazprom-neft.local/edo/card/e53612ba-c2dc-46d6-b414-21633e0d9c1f", "https://tessa.gazprom-neft.local/edo/card/e53612ba-c2dc-46d6-b414-21633e0d9c1f")</f>
        <v>https://tessa.gazprom-neft.local/edo/card/e53612ba-c2dc-46d6-b414-21633e0d9c1f</v>
      </c>
    </row>
    <row r="703" spans="1:45" x14ac:dyDescent="0.25">
      <c r="A703" s="6" t="s">
        <v>44</v>
      </c>
      <c r="B703" s="7" t="s">
        <v>403</v>
      </c>
      <c r="C703" s="7" t="s">
        <v>67</v>
      </c>
      <c r="D703" s="8">
        <v>45275</v>
      </c>
      <c r="E703" s="8" t="s">
        <v>0</v>
      </c>
      <c r="F703" s="16" t="s">
        <v>404</v>
      </c>
      <c r="G703" s="7" t="s">
        <v>405</v>
      </c>
      <c r="H703" s="7" t="s">
        <v>0</v>
      </c>
      <c r="I703" s="7" t="s">
        <v>0</v>
      </c>
      <c r="J703" s="7" t="s">
        <v>712</v>
      </c>
      <c r="K703" s="7" t="s">
        <v>47</v>
      </c>
      <c r="L703" s="7" t="s">
        <v>48</v>
      </c>
      <c r="M703" s="7" t="s">
        <v>0</v>
      </c>
      <c r="N703" s="7" t="s">
        <v>8352</v>
      </c>
      <c r="O703" s="7" t="s">
        <v>0</v>
      </c>
      <c r="P703" s="7" t="s">
        <v>8353</v>
      </c>
      <c r="Q703" s="7" t="s">
        <v>8354</v>
      </c>
      <c r="R703" s="7" t="s">
        <v>1924</v>
      </c>
      <c r="S703" s="7" t="s">
        <v>1924</v>
      </c>
      <c r="T703" s="7" t="s">
        <v>54</v>
      </c>
      <c r="U703" s="7" t="s">
        <v>73</v>
      </c>
      <c r="V703" s="7" t="s">
        <v>56</v>
      </c>
      <c r="W703" s="7" t="s">
        <v>74</v>
      </c>
      <c r="X703" s="7" t="s">
        <v>103</v>
      </c>
      <c r="Y703" s="8">
        <v>45275</v>
      </c>
      <c r="Z703" s="8">
        <v>45657</v>
      </c>
      <c r="AA703" s="7" t="s">
        <v>0</v>
      </c>
      <c r="AB703" s="7" t="s">
        <v>130</v>
      </c>
      <c r="AC703" s="7" t="s">
        <v>79</v>
      </c>
      <c r="AD703" s="7" t="s">
        <v>144</v>
      </c>
      <c r="AE703" s="7" t="s">
        <v>82</v>
      </c>
      <c r="AF703" s="7" t="s">
        <v>0</v>
      </c>
      <c r="AG703" s="7" t="s">
        <v>0</v>
      </c>
      <c r="AH703" s="9" t="s">
        <v>13522</v>
      </c>
      <c r="AI703" s="9" t="s">
        <v>13523</v>
      </c>
      <c r="AJ703" s="9" t="s">
        <v>13524</v>
      </c>
      <c r="AK703" s="7" t="s">
        <v>61</v>
      </c>
      <c r="AL703" s="7" t="s">
        <v>61</v>
      </c>
      <c r="AM703" s="7" t="s">
        <v>0</v>
      </c>
      <c r="AN703" s="7" t="s">
        <v>0</v>
      </c>
      <c r="AO703" s="7" t="s">
        <v>0</v>
      </c>
      <c r="AP703" s="7" t="s">
        <v>0</v>
      </c>
      <c r="AQ703" s="7" t="s">
        <v>61</v>
      </c>
      <c r="AR703" s="7" t="s">
        <v>0</v>
      </c>
      <c r="AS703" s="10" t="str">
        <f>HYPERLINK("https://tessa.gazprom-neft.local/edo/card/a0fa9797-5cd2-4ed2-891d-87953eb91a61", "https://tessa.gazprom-neft.local/edo/card/a0fa9797-5cd2-4ed2-891d-87953eb91a61")</f>
        <v>https://tessa.gazprom-neft.local/edo/card/a0fa9797-5cd2-4ed2-891d-87953eb91a61</v>
      </c>
    </row>
    <row r="704" spans="1:45" hidden="1" x14ac:dyDescent="0.25">
      <c r="A704" s="6" t="s">
        <v>44</v>
      </c>
      <c r="B704" s="7" t="s">
        <v>606</v>
      </c>
      <c r="C704" s="7" t="s">
        <v>67</v>
      </c>
      <c r="D704" s="8">
        <v>45274</v>
      </c>
      <c r="E704" s="8" t="s">
        <v>0</v>
      </c>
      <c r="F704" s="16" t="s">
        <v>607</v>
      </c>
      <c r="G704" s="7" t="s">
        <v>608</v>
      </c>
      <c r="H704" s="7" t="s">
        <v>0</v>
      </c>
      <c r="I704" s="7" t="s">
        <v>0</v>
      </c>
      <c r="J704" s="7" t="s">
        <v>5264</v>
      </c>
      <c r="K704" s="7" t="s">
        <v>47</v>
      </c>
      <c r="L704" s="7" t="s">
        <v>239</v>
      </c>
      <c r="M704" s="7" t="s">
        <v>0</v>
      </c>
      <c r="N704" s="7" t="s">
        <v>8247</v>
      </c>
      <c r="O704" s="7" t="s">
        <v>0</v>
      </c>
      <c r="P704" s="7" t="s">
        <v>8248</v>
      </c>
      <c r="Q704" s="7" t="s">
        <v>8249</v>
      </c>
      <c r="R704" s="7" t="s">
        <v>2178</v>
      </c>
      <c r="S704" s="7" t="s">
        <v>0</v>
      </c>
      <c r="T704" s="7" t="s">
        <v>54</v>
      </c>
      <c r="U704" s="7" t="s">
        <v>605</v>
      </c>
      <c r="V704" s="7" t="s">
        <v>126</v>
      </c>
      <c r="W704" s="7" t="s">
        <v>74</v>
      </c>
      <c r="X704" s="7" t="s">
        <v>103</v>
      </c>
      <c r="Y704" s="8">
        <v>45274</v>
      </c>
      <c r="Z704" s="8">
        <v>45444</v>
      </c>
      <c r="AA704" s="7" t="s">
        <v>224</v>
      </c>
      <c r="AB704" s="7" t="s">
        <v>130</v>
      </c>
      <c r="AC704" s="7" t="s">
        <v>79</v>
      </c>
      <c r="AD704" s="7" t="s">
        <v>144</v>
      </c>
      <c r="AE704" s="7" t="s">
        <v>82</v>
      </c>
      <c r="AF704" s="7" t="s">
        <v>0</v>
      </c>
      <c r="AG704" s="7" t="s">
        <v>0</v>
      </c>
      <c r="AH704" s="9" t="s">
        <v>13492</v>
      </c>
      <c r="AI704" s="9" t="s">
        <v>13493</v>
      </c>
      <c r="AJ704" s="9" t="s">
        <v>13494</v>
      </c>
      <c r="AK704" s="7" t="s">
        <v>61</v>
      </c>
      <c r="AL704" s="7" t="s">
        <v>61</v>
      </c>
      <c r="AM704" s="7" t="s">
        <v>0</v>
      </c>
      <c r="AN704" s="7" t="s">
        <v>0</v>
      </c>
      <c r="AO704" s="7" t="s">
        <v>0</v>
      </c>
      <c r="AP704" s="7" t="s">
        <v>0</v>
      </c>
      <c r="AQ704" s="7" t="s">
        <v>61</v>
      </c>
      <c r="AR704" s="7" t="s">
        <v>0</v>
      </c>
      <c r="AS704" s="10" t="str">
        <f>HYPERLINK("https://tessa.gazprom-neft.local/edo/card/45055999-06c9-40e6-97f3-19af973ec7ee", "https://tessa.gazprom-neft.local/edo/card/45055999-06c9-40e6-97f3-19af973ec7ee")</f>
        <v>https://tessa.gazprom-neft.local/edo/card/45055999-06c9-40e6-97f3-19af973ec7ee</v>
      </c>
    </row>
    <row r="705" spans="1:45" x14ac:dyDescent="0.25">
      <c r="A705" s="6" t="s">
        <v>44</v>
      </c>
      <c r="B705" s="7" t="s">
        <v>395</v>
      </c>
      <c r="C705" s="7" t="s">
        <v>67</v>
      </c>
      <c r="D705" s="8">
        <v>45274</v>
      </c>
      <c r="E705" s="8" t="s">
        <v>0</v>
      </c>
      <c r="F705" s="16" t="s">
        <v>396</v>
      </c>
      <c r="G705" s="7" t="s">
        <v>397</v>
      </c>
      <c r="H705" s="7" t="s">
        <v>4451</v>
      </c>
      <c r="I705" s="7" t="s">
        <v>0</v>
      </c>
      <c r="J705" s="7" t="s">
        <v>271</v>
      </c>
      <c r="K705" s="7" t="s">
        <v>47</v>
      </c>
      <c r="L705" s="7" t="s">
        <v>48</v>
      </c>
      <c r="M705" s="7" t="s">
        <v>0</v>
      </c>
      <c r="N705" s="7" t="s">
        <v>8361</v>
      </c>
      <c r="O705" s="7" t="s">
        <v>0</v>
      </c>
      <c r="P705" s="7" t="s">
        <v>8362</v>
      </c>
      <c r="Q705" s="7" t="s">
        <v>8363</v>
      </c>
      <c r="R705" s="7" t="s">
        <v>361</v>
      </c>
      <c r="S705" s="7" t="s">
        <v>361</v>
      </c>
      <c r="T705" s="7" t="s">
        <v>54</v>
      </c>
      <c r="U705" s="7" t="s">
        <v>362</v>
      </c>
      <c r="V705" s="7" t="s">
        <v>295</v>
      </c>
      <c r="W705" s="7" t="s">
        <v>74</v>
      </c>
      <c r="X705" s="7" t="s">
        <v>103</v>
      </c>
      <c r="Y705" s="8">
        <v>45292</v>
      </c>
      <c r="Z705" s="8">
        <v>45382</v>
      </c>
      <c r="AA705" s="7" t="s">
        <v>296</v>
      </c>
      <c r="AB705" s="7" t="s">
        <v>366</v>
      </c>
      <c r="AC705" s="7" t="s">
        <v>65</v>
      </c>
      <c r="AD705" s="7" t="s">
        <v>367</v>
      </c>
      <c r="AE705" s="7" t="s">
        <v>0</v>
      </c>
      <c r="AF705" s="7" t="s">
        <v>0</v>
      </c>
      <c r="AG705" s="7" t="s">
        <v>0</v>
      </c>
      <c r="AH705" s="9" t="s">
        <v>0</v>
      </c>
      <c r="AI705" s="9" t="s">
        <v>0</v>
      </c>
      <c r="AJ705" s="9" t="s">
        <v>0</v>
      </c>
      <c r="AK705" s="7" t="s">
        <v>61</v>
      </c>
      <c r="AL705" s="7" t="s">
        <v>61</v>
      </c>
      <c r="AM705" s="7" t="s">
        <v>0</v>
      </c>
      <c r="AN705" s="7" t="s">
        <v>0</v>
      </c>
      <c r="AO705" s="7" t="s">
        <v>0</v>
      </c>
      <c r="AP705" s="7" t="s">
        <v>0</v>
      </c>
      <c r="AQ705" s="7" t="s">
        <v>61</v>
      </c>
      <c r="AR705" s="7" t="s">
        <v>0</v>
      </c>
      <c r="AS705" s="10" t="str">
        <f>HYPERLINK("https://tessa.gazprom-neft.local/edo/card/34214f12-7ca5-4b85-93f0-6a65a7f31e35", "https://tessa.gazprom-neft.local/edo/card/34214f12-7ca5-4b85-93f0-6a65a7f31e35")</f>
        <v>https://tessa.gazprom-neft.local/edo/card/34214f12-7ca5-4b85-93f0-6a65a7f31e35</v>
      </c>
    </row>
    <row r="706" spans="1:45" x14ac:dyDescent="0.25">
      <c r="A706" s="6" t="s">
        <v>44</v>
      </c>
      <c r="B706" s="7" t="s">
        <v>639</v>
      </c>
      <c r="C706" s="7" t="s">
        <v>67</v>
      </c>
      <c r="D706" s="8">
        <v>45274</v>
      </c>
      <c r="E706" s="8" t="s">
        <v>0</v>
      </c>
      <c r="F706" s="16" t="s">
        <v>640</v>
      </c>
      <c r="G706" s="7" t="s">
        <v>641</v>
      </c>
      <c r="H706" s="7" t="s">
        <v>3314</v>
      </c>
      <c r="I706" s="7" t="s">
        <v>0</v>
      </c>
      <c r="J706" s="7" t="s">
        <v>271</v>
      </c>
      <c r="K706" s="7" t="s">
        <v>47</v>
      </c>
      <c r="L706" s="7" t="s">
        <v>48</v>
      </c>
      <c r="M706" s="7" t="s">
        <v>0</v>
      </c>
      <c r="N706" s="7" t="s">
        <v>8450</v>
      </c>
      <c r="O706" s="7" t="s">
        <v>0</v>
      </c>
      <c r="P706" s="7" t="s">
        <v>8451</v>
      </c>
      <c r="Q706" s="7" t="s">
        <v>3272</v>
      </c>
      <c r="R706" s="7" t="s">
        <v>361</v>
      </c>
      <c r="S706" s="7" t="s">
        <v>361</v>
      </c>
      <c r="T706" s="7" t="s">
        <v>54</v>
      </c>
      <c r="U706" s="7" t="s">
        <v>362</v>
      </c>
      <c r="V706" s="7" t="s">
        <v>295</v>
      </c>
      <c r="W706" s="7" t="s">
        <v>74</v>
      </c>
      <c r="X706" s="7" t="s">
        <v>103</v>
      </c>
      <c r="Y706" s="8">
        <v>45292</v>
      </c>
      <c r="Z706" s="8">
        <v>45657</v>
      </c>
      <c r="AA706" s="7" t="s">
        <v>296</v>
      </c>
      <c r="AB706" s="7" t="s">
        <v>366</v>
      </c>
      <c r="AC706" s="7" t="s">
        <v>278</v>
      </c>
      <c r="AD706" s="7" t="s">
        <v>367</v>
      </c>
      <c r="AE706" s="7" t="s">
        <v>82</v>
      </c>
      <c r="AF706" s="7" t="s">
        <v>0</v>
      </c>
      <c r="AG706" s="7" t="s">
        <v>0</v>
      </c>
      <c r="AH706" s="9" t="s">
        <v>13553</v>
      </c>
      <c r="AI706" s="9" t="s">
        <v>13554</v>
      </c>
      <c r="AJ706" s="9" t="s">
        <v>13555</v>
      </c>
      <c r="AK706" s="7" t="s">
        <v>61</v>
      </c>
      <c r="AL706" s="7" t="s">
        <v>61</v>
      </c>
      <c r="AM706" s="7" t="s">
        <v>0</v>
      </c>
      <c r="AN706" s="7" t="s">
        <v>0</v>
      </c>
      <c r="AO706" s="7" t="s">
        <v>0</v>
      </c>
      <c r="AP706" s="7" t="s">
        <v>0</v>
      </c>
      <c r="AQ706" s="7" t="s">
        <v>61</v>
      </c>
      <c r="AR706" s="7" t="s">
        <v>0</v>
      </c>
      <c r="AS706" s="10" t="str">
        <f>HYPERLINK("https://tessa.gazprom-neft.local/edo/card/9a5159ea-4911-487f-929b-23058170017d", "https://tessa.gazprom-neft.local/edo/card/9a5159ea-4911-487f-929b-23058170017d")</f>
        <v>https://tessa.gazprom-neft.local/edo/card/9a5159ea-4911-487f-929b-23058170017d</v>
      </c>
    </row>
    <row r="707" spans="1:45" x14ac:dyDescent="0.25">
      <c r="A707" s="6" t="s">
        <v>44</v>
      </c>
      <c r="B707" s="7" t="s">
        <v>1216</v>
      </c>
      <c r="C707" s="7" t="s">
        <v>67</v>
      </c>
      <c r="D707" s="8">
        <v>45274</v>
      </c>
      <c r="E707" s="8" t="s">
        <v>0</v>
      </c>
      <c r="F707" s="16" t="s">
        <v>1217</v>
      </c>
      <c r="G707" s="7" t="s">
        <v>1218</v>
      </c>
      <c r="H707" s="7" t="s">
        <v>3518</v>
      </c>
      <c r="I707" s="7" t="s">
        <v>0</v>
      </c>
      <c r="J707" s="7" t="s">
        <v>51</v>
      </c>
      <c r="K707" s="7" t="s">
        <v>47</v>
      </c>
      <c r="L707" s="7" t="s">
        <v>48</v>
      </c>
      <c r="M707" s="7" t="s">
        <v>0</v>
      </c>
      <c r="N707" s="7" t="s">
        <v>8458</v>
      </c>
      <c r="O707" s="7" t="s">
        <v>0</v>
      </c>
      <c r="P707" s="7" t="s">
        <v>8459</v>
      </c>
      <c r="Q707" s="7" t="s">
        <v>3272</v>
      </c>
      <c r="R707" s="7" t="s">
        <v>361</v>
      </c>
      <c r="S707" s="7" t="s">
        <v>361</v>
      </c>
      <c r="T707" s="7" t="s">
        <v>54</v>
      </c>
      <c r="U707" s="7" t="s">
        <v>362</v>
      </c>
      <c r="V707" s="7" t="s">
        <v>295</v>
      </c>
      <c r="W707" s="7" t="s">
        <v>74</v>
      </c>
      <c r="X707" s="7" t="s">
        <v>103</v>
      </c>
      <c r="Y707" s="8">
        <v>45292</v>
      </c>
      <c r="Z707" s="8">
        <v>45657</v>
      </c>
      <c r="AA707" s="7" t="s">
        <v>296</v>
      </c>
      <c r="AB707" s="7" t="s">
        <v>366</v>
      </c>
      <c r="AC707" s="7" t="s">
        <v>278</v>
      </c>
      <c r="AD707" s="7" t="s">
        <v>367</v>
      </c>
      <c r="AE707" s="7" t="s">
        <v>82</v>
      </c>
      <c r="AF707" s="7" t="s">
        <v>0</v>
      </c>
      <c r="AG707" s="7" t="s">
        <v>0</v>
      </c>
      <c r="AH707" s="9" t="s">
        <v>13559</v>
      </c>
      <c r="AI707" s="9" t="s">
        <v>13560</v>
      </c>
      <c r="AJ707" s="9" t="s">
        <v>13561</v>
      </c>
      <c r="AK707" s="7" t="s">
        <v>61</v>
      </c>
      <c r="AL707" s="7" t="s">
        <v>61</v>
      </c>
      <c r="AM707" s="7" t="s">
        <v>0</v>
      </c>
      <c r="AN707" s="7" t="s">
        <v>0</v>
      </c>
      <c r="AO707" s="7" t="s">
        <v>0</v>
      </c>
      <c r="AP707" s="7" t="s">
        <v>0</v>
      </c>
      <c r="AQ707" s="7" t="s">
        <v>61</v>
      </c>
      <c r="AR707" s="7" t="s">
        <v>0</v>
      </c>
      <c r="AS707" s="10" t="str">
        <f>HYPERLINK("https://tessa.gazprom-neft.local/edo/card/027bf622-2f29-4bf9-addd-c00e162cbb92", "https://tessa.gazprom-neft.local/edo/card/027bf622-2f29-4bf9-addd-c00e162cbb92")</f>
        <v>https://tessa.gazprom-neft.local/edo/card/027bf622-2f29-4bf9-addd-c00e162cbb92</v>
      </c>
    </row>
    <row r="708" spans="1:45" x14ac:dyDescent="0.25">
      <c r="A708" s="6" t="s">
        <v>44</v>
      </c>
      <c r="B708" s="7" t="s">
        <v>942</v>
      </c>
      <c r="C708" s="7" t="s">
        <v>67</v>
      </c>
      <c r="D708" s="8">
        <v>45273</v>
      </c>
      <c r="E708" s="8" t="s">
        <v>0</v>
      </c>
      <c r="F708" s="16" t="s">
        <v>943</v>
      </c>
      <c r="G708" s="7" t="s">
        <v>944</v>
      </c>
      <c r="H708" s="7" t="s">
        <v>8137</v>
      </c>
      <c r="I708" s="7" t="s">
        <v>0</v>
      </c>
      <c r="J708" s="7" t="s">
        <v>355</v>
      </c>
      <c r="K708" s="7" t="s">
        <v>47</v>
      </c>
      <c r="L708" s="7" t="s">
        <v>48</v>
      </c>
      <c r="M708" s="7" t="s">
        <v>0</v>
      </c>
      <c r="N708" s="7" t="s">
        <v>8144</v>
      </c>
      <c r="O708" s="7" t="s">
        <v>0</v>
      </c>
      <c r="P708" s="7" t="s">
        <v>8145</v>
      </c>
      <c r="Q708" s="7" t="s">
        <v>8146</v>
      </c>
      <c r="R708" s="7" t="s">
        <v>828</v>
      </c>
      <c r="S708" s="7" t="s">
        <v>828</v>
      </c>
      <c r="T708" s="7" t="s">
        <v>54</v>
      </c>
      <c r="U708" s="7" t="s">
        <v>188</v>
      </c>
      <c r="V708" s="7" t="s">
        <v>187</v>
      </c>
      <c r="W708" s="7" t="s">
        <v>74</v>
      </c>
      <c r="X708" s="7" t="s">
        <v>103</v>
      </c>
      <c r="Y708" s="8">
        <v>45292</v>
      </c>
      <c r="Z708" s="8">
        <v>45657</v>
      </c>
      <c r="AA708" s="7" t="s">
        <v>224</v>
      </c>
      <c r="AB708" s="7" t="s">
        <v>64</v>
      </c>
      <c r="AC708" s="7" t="s">
        <v>65</v>
      </c>
      <c r="AD708" s="7" t="s">
        <v>0</v>
      </c>
      <c r="AE708" s="7" t="s">
        <v>0</v>
      </c>
      <c r="AF708" s="7" t="s">
        <v>0</v>
      </c>
      <c r="AG708" s="7" t="s">
        <v>0</v>
      </c>
      <c r="AH708" s="9" t="s">
        <v>0</v>
      </c>
      <c r="AI708" s="9" t="s">
        <v>0</v>
      </c>
      <c r="AJ708" s="9" t="s">
        <v>0</v>
      </c>
      <c r="AK708" s="7" t="s">
        <v>61</v>
      </c>
      <c r="AL708" s="7" t="s">
        <v>61</v>
      </c>
      <c r="AM708" s="7" t="s">
        <v>0</v>
      </c>
      <c r="AN708" s="7" t="s">
        <v>0</v>
      </c>
      <c r="AO708" s="7" t="s">
        <v>0</v>
      </c>
      <c r="AP708" s="7" t="s">
        <v>0</v>
      </c>
      <c r="AQ708" s="7" t="s">
        <v>61</v>
      </c>
      <c r="AR708" s="7" t="s">
        <v>0</v>
      </c>
      <c r="AS708" s="10" t="str">
        <f>HYPERLINK("https://tessa.gazprom-neft.local/edo/card/3ad76398-bfa4-4518-9d1c-e7d5cc5e8aa6", "https://tessa.gazprom-neft.local/edo/card/3ad76398-bfa4-4518-9d1c-e7d5cc5e8aa6")</f>
        <v>https://tessa.gazprom-neft.local/edo/card/3ad76398-bfa4-4518-9d1c-e7d5cc5e8aa6</v>
      </c>
    </row>
    <row r="709" spans="1:45" x14ac:dyDescent="0.25">
      <c r="A709" s="6" t="s">
        <v>44</v>
      </c>
      <c r="B709" s="7" t="s">
        <v>2266</v>
      </c>
      <c r="C709" s="7" t="s">
        <v>67</v>
      </c>
      <c r="D709" s="8">
        <v>45273</v>
      </c>
      <c r="E709" s="8" t="s">
        <v>0</v>
      </c>
      <c r="F709" s="16" t="s">
        <v>2267</v>
      </c>
      <c r="G709" s="7" t="s">
        <v>2268</v>
      </c>
      <c r="H709" s="7" t="s">
        <v>8235</v>
      </c>
      <c r="I709" s="7" t="s">
        <v>0</v>
      </c>
      <c r="J709" s="7" t="s">
        <v>51</v>
      </c>
      <c r="K709" s="7" t="s">
        <v>85</v>
      </c>
      <c r="L709" s="7" t="s">
        <v>48</v>
      </c>
      <c r="M709" s="7" t="s">
        <v>1183</v>
      </c>
      <c r="N709" s="7" t="s">
        <v>8234</v>
      </c>
      <c r="O709" s="7" t="s">
        <v>0</v>
      </c>
      <c r="P709" s="7" t="s">
        <v>1183</v>
      </c>
      <c r="Q709" s="7" t="s">
        <v>8236</v>
      </c>
      <c r="R709" s="7" t="s">
        <v>646</v>
      </c>
      <c r="S709" s="7" t="s">
        <v>0</v>
      </c>
      <c r="T709" s="7" t="s">
        <v>54</v>
      </c>
      <c r="U709" s="7" t="s">
        <v>55</v>
      </c>
      <c r="V709" s="7" t="s">
        <v>308</v>
      </c>
      <c r="W709" s="7" t="s">
        <v>74</v>
      </c>
      <c r="X709" s="7" t="s">
        <v>103</v>
      </c>
      <c r="Y709" s="8">
        <v>45273</v>
      </c>
      <c r="Z709" s="8">
        <v>46022</v>
      </c>
      <c r="AA709" s="7" t="s">
        <v>309</v>
      </c>
      <c r="AB709" s="7" t="s">
        <v>228</v>
      </c>
      <c r="AC709" s="7" t="s">
        <v>65</v>
      </c>
      <c r="AD709" s="7" t="s">
        <v>0</v>
      </c>
      <c r="AE709" s="7" t="s">
        <v>0</v>
      </c>
      <c r="AF709" s="7" t="s">
        <v>0</v>
      </c>
      <c r="AG709" s="7" t="s">
        <v>0</v>
      </c>
      <c r="AH709" s="9" t="s">
        <v>0</v>
      </c>
      <c r="AI709" s="9" t="s">
        <v>0</v>
      </c>
      <c r="AJ709" s="9" t="s">
        <v>0</v>
      </c>
      <c r="AK709" s="7" t="s">
        <v>61</v>
      </c>
      <c r="AL709" s="7" t="s">
        <v>61</v>
      </c>
      <c r="AM709" s="7" t="s">
        <v>0</v>
      </c>
      <c r="AN709" s="7" t="s">
        <v>0</v>
      </c>
      <c r="AO709" s="7" t="s">
        <v>0</v>
      </c>
      <c r="AP709" s="7" t="s">
        <v>0</v>
      </c>
      <c r="AQ709" s="7" t="s">
        <v>61</v>
      </c>
      <c r="AR709" s="7" t="s">
        <v>0</v>
      </c>
      <c r="AS709" s="10" t="str">
        <f>HYPERLINK("https://tessa.gazprom-neft.local/edo/card/1ce793ac-0407-499e-b98f-64ace5b298fe", "https://tessa.gazprom-neft.local/edo/card/1ce793ac-0407-499e-b98f-64ace5b298fe")</f>
        <v>https://tessa.gazprom-neft.local/edo/card/1ce793ac-0407-499e-b98f-64ace5b298fe</v>
      </c>
    </row>
    <row r="710" spans="1:45" hidden="1" x14ac:dyDescent="0.25">
      <c r="A710" s="6" t="s">
        <v>44</v>
      </c>
      <c r="B710" s="7" t="s">
        <v>1843</v>
      </c>
      <c r="C710" s="7" t="s">
        <v>67</v>
      </c>
      <c r="D710" s="8">
        <v>45273</v>
      </c>
      <c r="E710" s="8" t="s">
        <v>0</v>
      </c>
      <c r="F710" s="16" t="s">
        <v>1844</v>
      </c>
      <c r="G710" s="7" t="s">
        <v>1845</v>
      </c>
      <c r="H710" s="7" t="s">
        <v>1841</v>
      </c>
      <c r="I710" s="7" t="s">
        <v>0</v>
      </c>
      <c r="J710" s="7" t="s">
        <v>271</v>
      </c>
      <c r="K710" s="7" t="s">
        <v>47</v>
      </c>
      <c r="L710" s="7" t="s">
        <v>239</v>
      </c>
      <c r="M710" s="7" t="s">
        <v>0</v>
      </c>
      <c r="N710" s="7" t="s">
        <v>8443</v>
      </c>
      <c r="O710" s="7" t="s">
        <v>0</v>
      </c>
      <c r="P710" s="7" t="s">
        <v>8444</v>
      </c>
      <c r="Q710" s="7" t="s">
        <v>8445</v>
      </c>
      <c r="R710" s="7" t="s">
        <v>1066</v>
      </c>
      <c r="S710" s="7" t="s">
        <v>0</v>
      </c>
      <c r="T710" s="7" t="s">
        <v>54</v>
      </c>
      <c r="U710" s="7" t="s">
        <v>136</v>
      </c>
      <c r="V710" s="7" t="s">
        <v>308</v>
      </c>
      <c r="W710" s="7" t="s">
        <v>74</v>
      </c>
      <c r="X710" s="7" t="s">
        <v>58</v>
      </c>
      <c r="Y710" s="8">
        <v>45273</v>
      </c>
      <c r="Z710" s="8" t="s">
        <v>0</v>
      </c>
      <c r="AA710" s="7" t="s">
        <v>309</v>
      </c>
      <c r="AB710" s="7" t="s">
        <v>1143</v>
      </c>
      <c r="AC710" s="7" t="s">
        <v>79</v>
      </c>
      <c r="AD710" s="7" t="s">
        <v>80</v>
      </c>
      <c r="AE710" s="7" t="s">
        <v>82</v>
      </c>
      <c r="AF710" s="7" t="s">
        <v>0</v>
      </c>
      <c r="AG710" s="7" t="s">
        <v>0</v>
      </c>
      <c r="AH710" s="9" t="s">
        <v>13550</v>
      </c>
      <c r="AI710" s="9" t="s">
        <v>13551</v>
      </c>
      <c r="AJ710" s="9" t="s">
        <v>13552</v>
      </c>
      <c r="AK710" s="7" t="s">
        <v>61</v>
      </c>
      <c r="AL710" s="7" t="s">
        <v>61</v>
      </c>
      <c r="AM710" s="7" t="s">
        <v>0</v>
      </c>
      <c r="AN710" s="7" t="s">
        <v>0</v>
      </c>
      <c r="AO710" s="7" t="s">
        <v>0</v>
      </c>
      <c r="AP710" s="7" t="s">
        <v>0</v>
      </c>
      <c r="AQ710" s="7" t="s">
        <v>61</v>
      </c>
      <c r="AR710" s="7" t="s">
        <v>0</v>
      </c>
      <c r="AS710" s="10" t="str">
        <f>HYPERLINK("https://tessa.gazprom-neft.local/edo/card/5d86edf6-65ca-4062-b188-c41584acdbae", "https://tessa.gazprom-neft.local/edo/card/5d86edf6-65ca-4062-b188-c41584acdbae")</f>
        <v>https://tessa.gazprom-neft.local/edo/card/5d86edf6-65ca-4062-b188-c41584acdbae</v>
      </c>
    </row>
    <row r="711" spans="1:45" hidden="1" x14ac:dyDescent="0.25">
      <c r="A711" s="6" t="s">
        <v>44</v>
      </c>
      <c r="B711" s="7" t="s">
        <v>4393</v>
      </c>
      <c r="C711" s="7" t="s">
        <v>67</v>
      </c>
      <c r="D711" s="8">
        <v>45273</v>
      </c>
      <c r="E711" s="8" t="s">
        <v>0</v>
      </c>
      <c r="F711" s="16" t="s">
        <v>4394</v>
      </c>
      <c r="G711" s="7" t="s">
        <v>4395</v>
      </c>
      <c r="H711" s="7" t="s">
        <v>0</v>
      </c>
      <c r="I711" s="7" t="s">
        <v>8562</v>
      </c>
      <c r="J711" s="7" t="s">
        <v>8562</v>
      </c>
      <c r="K711" s="7" t="s">
        <v>47</v>
      </c>
      <c r="L711" s="7" t="s">
        <v>96</v>
      </c>
      <c r="M711" s="7" t="s">
        <v>0</v>
      </c>
      <c r="N711" s="7" t="s">
        <v>8561</v>
      </c>
      <c r="O711" s="7" t="s">
        <v>0</v>
      </c>
      <c r="P711" s="7" t="s">
        <v>8563</v>
      </c>
      <c r="Q711" s="7" t="s">
        <v>8564</v>
      </c>
      <c r="R711" s="7" t="s">
        <v>646</v>
      </c>
      <c r="S711" s="7" t="s">
        <v>2788</v>
      </c>
      <c r="T711" s="7" t="s">
        <v>54</v>
      </c>
      <c r="U711" s="7" t="s">
        <v>55</v>
      </c>
      <c r="V711" s="7" t="s">
        <v>56</v>
      </c>
      <c r="W711" s="7" t="s">
        <v>74</v>
      </c>
      <c r="X711" s="7" t="s">
        <v>58</v>
      </c>
      <c r="Y711" s="8">
        <v>45273</v>
      </c>
      <c r="Z711" s="8" t="s">
        <v>0</v>
      </c>
      <c r="AA711" s="7" t="s">
        <v>0</v>
      </c>
      <c r="AB711" s="7" t="s">
        <v>1408</v>
      </c>
      <c r="AC711" s="7" t="s">
        <v>79</v>
      </c>
      <c r="AD711" s="7" t="s">
        <v>80</v>
      </c>
      <c r="AE711" s="7" t="s">
        <v>472</v>
      </c>
      <c r="AF711" s="7" t="s">
        <v>2488</v>
      </c>
      <c r="AG711" s="7" t="s">
        <v>0</v>
      </c>
      <c r="AH711" s="9" t="s">
        <v>13597</v>
      </c>
      <c r="AI711" s="9" t="s">
        <v>13598</v>
      </c>
      <c r="AJ711" s="9" t="s">
        <v>13599</v>
      </c>
      <c r="AK711" s="7" t="s">
        <v>61</v>
      </c>
      <c r="AL711" s="7" t="s">
        <v>61</v>
      </c>
      <c r="AM711" s="7" t="s">
        <v>0</v>
      </c>
      <c r="AN711" s="7" t="s">
        <v>0</v>
      </c>
      <c r="AO711" s="7" t="s">
        <v>0</v>
      </c>
      <c r="AP711" s="7" t="s">
        <v>0</v>
      </c>
      <c r="AQ711" s="7" t="s">
        <v>61</v>
      </c>
      <c r="AR711" s="7" t="s">
        <v>0</v>
      </c>
      <c r="AS711" s="10" t="str">
        <f>HYPERLINK("https://tessa.gazprom-neft.local/edo/card/e47f405d-4a85-45bd-97cf-4a4218e3b4f9", "https://tessa.gazprom-neft.local/edo/card/e47f405d-4a85-45bd-97cf-4a4218e3b4f9")</f>
        <v>https://tessa.gazprom-neft.local/edo/card/e47f405d-4a85-45bd-97cf-4a4218e3b4f9</v>
      </c>
    </row>
    <row r="712" spans="1:45" hidden="1" x14ac:dyDescent="0.25">
      <c r="A712" s="6" t="s">
        <v>44</v>
      </c>
      <c r="B712" s="7" t="s">
        <v>8093</v>
      </c>
      <c r="C712" s="7" t="s">
        <v>67</v>
      </c>
      <c r="D712" s="8">
        <v>45273</v>
      </c>
      <c r="E712" s="8" t="s">
        <v>0</v>
      </c>
      <c r="F712" s="16" t="s">
        <v>8094</v>
      </c>
      <c r="G712" s="7" t="s">
        <v>8095</v>
      </c>
      <c r="H712" s="7" t="s">
        <v>0</v>
      </c>
      <c r="I712" s="7" t="s">
        <v>8753</v>
      </c>
      <c r="J712" s="7" t="s">
        <v>8753</v>
      </c>
      <c r="K712" s="7" t="s">
        <v>85</v>
      </c>
      <c r="L712" s="7" t="s">
        <v>86</v>
      </c>
      <c r="M712" s="7" t="s">
        <v>83</v>
      </c>
      <c r="N712" s="7" t="s">
        <v>8752</v>
      </c>
      <c r="O712" s="7" t="s">
        <v>0</v>
      </c>
      <c r="P712" s="7" t="s">
        <v>83</v>
      </c>
      <c r="Q712" s="7" t="s">
        <v>8092</v>
      </c>
      <c r="R712" s="7" t="s">
        <v>459</v>
      </c>
      <c r="S712" s="7" t="s">
        <v>0</v>
      </c>
      <c r="T712" s="7" t="s">
        <v>54</v>
      </c>
      <c r="U712" s="7" t="s">
        <v>111</v>
      </c>
      <c r="V712" s="7" t="s">
        <v>91</v>
      </c>
      <c r="W712" s="7" t="s">
        <v>57</v>
      </c>
      <c r="X712" s="7" t="s">
        <v>223</v>
      </c>
      <c r="Y712" s="8">
        <v>45273</v>
      </c>
      <c r="Z712" s="8" t="s">
        <v>0</v>
      </c>
      <c r="AA712" s="7" t="s">
        <v>92</v>
      </c>
      <c r="AB712" s="7" t="s">
        <v>94</v>
      </c>
      <c r="AC712" s="7" t="s">
        <v>65</v>
      </c>
      <c r="AD712" s="7" t="s">
        <v>80</v>
      </c>
      <c r="AE712" s="7" t="s">
        <v>0</v>
      </c>
      <c r="AF712" s="7" t="s">
        <v>0</v>
      </c>
      <c r="AG712" s="7" t="s">
        <v>0</v>
      </c>
      <c r="AH712" s="9" t="s">
        <v>0</v>
      </c>
      <c r="AI712" s="9" t="s">
        <v>0</v>
      </c>
      <c r="AJ712" s="9" t="s">
        <v>0</v>
      </c>
      <c r="AK712" s="7" t="s">
        <v>61</v>
      </c>
      <c r="AL712" s="7" t="s">
        <v>61</v>
      </c>
      <c r="AM712" s="7" t="s">
        <v>0</v>
      </c>
      <c r="AN712" s="7" t="s">
        <v>0</v>
      </c>
      <c r="AO712" s="7" t="s">
        <v>0</v>
      </c>
      <c r="AP712" s="7" t="s">
        <v>0</v>
      </c>
      <c r="AQ712" s="7" t="s">
        <v>61</v>
      </c>
      <c r="AR712" s="7" t="s">
        <v>0</v>
      </c>
      <c r="AS712" s="10" t="str">
        <f>HYPERLINK("https://tessa.gazprom-neft.local/edo/card/edf66882-dfb1-419d-b3f0-585daf906823", "https://tessa.gazprom-neft.local/edo/card/edf66882-dfb1-419d-b3f0-585daf906823")</f>
        <v>https://tessa.gazprom-neft.local/edo/card/edf66882-dfb1-419d-b3f0-585daf906823</v>
      </c>
    </row>
    <row r="713" spans="1:45" hidden="1" x14ac:dyDescent="0.25">
      <c r="A713" s="6" t="s">
        <v>44</v>
      </c>
      <c r="B713" s="7" t="s">
        <v>8404</v>
      </c>
      <c r="C713" s="7" t="s">
        <v>67</v>
      </c>
      <c r="D713" s="8">
        <v>45272</v>
      </c>
      <c r="E713" s="8" t="s">
        <v>0</v>
      </c>
      <c r="F713" s="16" t="s">
        <v>8405</v>
      </c>
      <c r="G713" s="7" t="s">
        <v>8406</v>
      </c>
      <c r="H713" s="7" t="s">
        <v>0</v>
      </c>
      <c r="I713" s="7" t="s">
        <v>2778</v>
      </c>
      <c r="J713" s="7" t="s">
        <v>2778</v>
      </c>
      <c r="K713" s="7" t="s">
        <v>47</v>
      </c>
      <c r="L713" s="7" t="s">
        <v>86</v>
      </c>
      <c r="M713" s="7" t="s">
        <v>0</v>
      </c>
      <c r="N713" s="7" t="s">
        <v>8401</v>
      </c>
      <c r="O713" s="7" t="s">
        <v>0</v>
      </c>
      <c r="P713" s="7" t="s">
        <v>2784</v>
      </c>
      <c r="Q713" s="7" t="s">
        <v>8402</v>
      </c>
      <c r="R713" s="7" t="s">
        <v>338</v>
      </c>
      <c r="S713" s="7" t="s">
        <v>8403</v>
      </c>
      <c r="T713" s="7" t="s">
        <v>54</v>
      </c>
      <c r="U713" s="7" t="s">
        <v>55</v>
      </c>
      <c r="V713" s="7" t="s">
        <v>56</v>
      </c>
      <c r="W713" s="7" t="s">
        <v>57</v>
      </c>
      <c r="X713" s="7" t="s">
        <v>58</v>
      </c>
      <c r="Y713" s="8">
        <v>45272</v>
      </c>
      <c r="Z713" s="8" t="s">
        <v>0</v>
      </c>
      <c r="AA713" s="7" t="s">
        <v>59</v>
      </c>
      <c r="AB713" s="7" t="s">
        <v>2784</v>
      </c>
      <c r="AC713" s="7" t="s">
        <v>79</v>
      </c>
      <c r="AD713" s="7" t="s">
        <v>80</v>
      </c>
      <c r="AE713" s="7" t="s">
        <v>889</v>
      </c>
      <c r="AF713" s="7" t="s">
        <v>0</v>
      </c>
      <c r="AG713" s="7" t="s">
        <v>0</v>
      </c>
      <c r="AH713" s="9" t="s">
        <v>13532</v>
      </c>
      <c r="AI713" s="9" t="s">
        <v>13532</v>
      </c>
      <c r="AJ713" s="9">
        <v>0</v>
      </c>
      <c r="AK713" s="7" t="s">
        <v>61</v>
      </c>
      <c r="AL713" s="7" t="s">
        <v>61</v>
      </c>
      <c r="AM713" s="7" t="s">
        <v>0</v>
      </c>
      <c r="AN713" s="7" t="s">
        <v>0</v>
      </c>
      <c r="AO713" s="7" t="s">
        <v>0</v>
      </c>
      <c r="AP713" s="7" t="s">
        <v>0</v>
      </c>
      <c r="AQ713" s="7" t="s">
        <v>61</v>
      </c>
      <c r="AR713" s="7" t="s">
        <v>0</v>
      </c>
      <c r="AS713" s="10" t="str">
        <f>HYPERLINK("https://tessa.gazprom-neft.local/edo/card/4e5eb790-8e37-4069-9454-4a891d101939", "https://tessa.gazprom-neft.local/edo/card/4e5eb790-8e37-4069-9454-4a891d101939")</f>
        <v>https://tessa.gazprom-neft.local/edo/card/4e5eb790-8e37-4069-9454-4a891d101939</v>
      </c>
    </row>
    <row r="714" spans="1:45" hidden="1" x14ac:dyDescent="0.25">
      <c r="A714" s="6" t="s">
        <v>44</v>
      </c>
      <c r="B714" s="7" t="s">
        <v>1950</v>
      </c>
      <c r="C714" s="7" t="s">
        <v>67</v>
      </c>
      <c r="D714" s="8">
        <v>45271</v>
      </c>
      <c r="E714" s="8" t="s">
        <v>0</v>
      </c>
      <c r="F714" s="16" t="s">
        <v>1951</v>
      </c>
      <c r="G714" s="7" t="s">
        <v>1952</v>
      </c>
      <c r="H714" s="7" t="s">
        <v>0</v>
      </c>
      <c r="I714" s="7" t="s">
        <v>8021</v>
      </c>
      <c r="J714" s="7" t="s">
        <v>8021</v>
      </c>
      <c r="K714" s="7" t="s">
        <v>85</v>
      </c>
      <c r="L714" s="7" t="s">
        <v>86</v>
      </c>
      <c r="M714" s="7" t="s">
        <v>289</v>
      </c>
      <c r="N714" s="7" t="s">
        <v>8020</v>
      </c>
      <c r="O714" s="7" t="s">
        <v>0</v>
      </c>
      <c r="P714" s="7" t="s">
        <v>289</v>
      </c>
      <c r="Q714" s="7" t="s">
        <v>5848</v>
      </c>
      <c r="R714" s="7" t="s">
        <v>1711</v>
      </c>
      <c r="S714" s="7" t="s">
        <v>1711</v>
      </c>
      <c r="T714" s="7" t="s">
        <v>54</v>
      </c>
      <c r="U714" s="7" t="s">
        <v>605</v>
      </c>
      <c r="V714" s="7" t="s">
        <v>340</v>
      </c>
      <c r="W714" s="7" t="s">
        <v>74</v>
      </c>
      <c r="X714" s="7" t="s">
        <v>223</v>
      </c>
      <c r="Y714" s="8">
        <v>45271</v>
      </c>
      <c r="Z714" s="8" t="s">
        <v>0</v>
      </c>
      <c r="AA714" s="7" t="s">
        <v>341</v>
      </c>
      <c r="AB714" s="7" t="s">
        <v>300</v>
      </c>
      <c r="AC714" s="7" t="s">
        <v>65</v>
      </c>
      <c r="AD714" s="7" t="s">
        <v>0</v>
      </c>
      <c r="AE714" s="7" t="s">
        <v>0</v>
      </c>
      <c r="AF714" s="7" t="s">
        <v>0</v>
      </c>
      <c r="AG714" s="7" t="s">
        <v>0</v>
      </c>
      <c r="AH714" s="9" t="s">
        <v>0</v>
      </c>
      <c r="AI714" s="9" t="s">
        <v>0</v>
      </c>
      <c r="AJ714" s="9" t="s">
        <v>0</v>
      </c>
      <c r="AK714" s="7" t="s">
        <v>61</v>
      </c>
      <c r="AL714" s="7" t="s">
        <v>61</v>
      </c>
      <c r="AM714" s="7" t="s">
        <v>0</v>
      </c>
      <c r="AN714" s="7" t="s">
        <v>0</v>
      </c>
      <c r="AO714" s="7" t="s">
        <v>0</v>
      </c>
      <c r="AP714" s="7" t="s">
        <v>0</v>
      </c>
      <c r="AQ714" s="7" t="s">
        <v>61</v>
      </c>
      <c r="AR714" s="7" t="s">
        <v>0</v>
      </c>
      <c r="AS714" s="10" t="str">
        <f>HYPERLINK("https://tessa.gazprom-neft.local/edo/card/b829d352-eb1f-44d9-b301-aecc517dc22d", "https://tessa.gazprom-neft.local/edo/card/b829d352-eb1f-44d9-b301-aecc517dc22d")</f>
        <v>https://tessa.gazprom-neft.local/edo/card/b829d352-eb1f-44d9-b301-aecc517dc22d</v>
      </c>
    </row>
    <row r="715" spans="1:45" hidden="1" x14ac:dyDescent="0.25">
      <c r="A715" s="6" t="s">
        <v>44</v>
      </c>
      <c r="B715" s="7" t="s">
        <v>1712</v>
      </c>
      <c r="C715" s="7" t="s">
        <v>67</v>
      </c>
      <c r="D715" s="8">
        <v>45271</v>
      </c>
      <c r="E715" s="8" t="s">
        <v>0</v>
      </c>
      <c r="F715" s="16" t="s">
        <v>1713</v>
      </c>
      <c r="G715" s="7" t="s">
        <v>1714</v>
      </c>
      <c r="H715" s="7" t="s">
        <v>0</v>
      </c>
      <c r="I715" s="7" t="s">
        <v>8060</v>
      </c>
      <c r="J715" s="7" t="s">
        <v>8060</v>
      </c>
      <c r="K715" s="7" t="s">
        <v>85</v>
      </c>
      <c r="L715" s="7" t="s">
        <v>86</v>
      </c>
      <c r="M715" s="7" t="s">
        <v>289</v>
      </c>
      <c r="N715" s="7" t="s">
        <v>8059</v>
      </c>
      <c r="O715" s="7" t="s">
        <v>0</v>
      </c>
      <c r="P715" s="7" t="s">
        <v>289</v>
      </c>
      <c r="Q715" s="7" t="s">
        <v>8061</v>
      </c>
      <c r="R715" s="7" t="s">
        <v>1711</v>
      </c>
      <c r="S715" s="7" t="s">
        <v>1711</v>
      </c>
      <c r="T715" s="7" t="s">
        <v>54</v>
      </c>
      <c r="U715" s="7" t="s">
        <v>605</v>
      </c>
      <c r="V715" s="7" t="s">
        <v>340</v>
      </c>
      <c r="W715" s="7" t="s">
        <v>74</v>
      </c>
      <c r="X715" s="7" t="s">
        <v>223</v>
      </c>
      <c r="Y715" s="8">
        <v>45271</v>
      </c>
      <c r="Z715" s="8" t="s">
        <v>0</v>
      </c>
      <c r="AA715" s="7" t="s">
        <v>341</v>
      </c>
      <c r="AB715" s="7" t="s">
        <v>300</v>
      </c>
      <c r="AC715" s="7" t="s">
        <v>65</v>
      </c>
      <c r="AD715" s="7" t="s">
        <v>0</v>
      </c>
      <c r="AE715" s="7" t="s">
        <v>0</v>
      </c>
      <c r="AF715" s="7" t="s">
        <v>0</v>
      </c>
      <c r="AG715" s="7" t="s">
        <v>0</v>
      </c>
      <c r="AH715" s="9" t="s">
        <v>0</v>
      </c>
      <c r="AI715" s="9" t="s">
        <v>0</v>
      </c>
      <c r="AJ715" s="9" t="s">
        <v>0</v>
      </c>
      <c r="AK715" s="7" t="s">
        <v>61</v>
      </c>
      <c r="AL715" s="7" t="s">
        <v>61</v>
      </c>
      <c r="AM715" s="7" t="s">
        <v>0</v>
      </c>
      <c r="AN715" s="7" t="s">
        <v>0</v>
      </c>
      <c r="AO715" s="7" t="s">
        <v>0</v>
      </c>
      <c r="AP715" s="7" t="s">
        <v>0</v>
      </c>
      <c r="AQ715" s="7" t="s">
        <v>61</v>
      </c>
      <c r="AR715" s="7" t="s">
        <v>0</v>
      </c>
      <c r="AS715" s="10" t="str">
        <f>HYPERLINK("https://tessa.gazprom-neft.local/edo/card/d4f94574-062c-4faf-a802-3182b57c96a1", "https://tessa.gazprom-neft.local/edo/card/d4f94574-062c-4faf-a802-3182b57c96a1")</f>
        <v>https://tessa.gazprom-neft.local/edo/card/d4f94574-062c-4faf-a802-3182b57c96a1</v>
      </c>
    </row>
    <row r="716" spans="1:45" hidden="1" x14ac:dyDescent="0.25">
      <c r="A716" s="6" t="s">
        <v>44</v>
      </c>
      <c r="B716" s="7" t="s">
        <v>606</v>
      </c>
      <c r="C716" s="7" t="s">
        <v>67</v>
      </c>
      <c r="D716" s="8">
        <v>45271</v>
      </c>
      <c r="E716" s="8" t="s">
        <v>0</v>
      </c>
      <c r="F716" s="16" t="s">
        <v>607</v>
      </c>
      <c r="G716" s="7" t="s">
        <v>608</v>
      </c>
      <c r="H716" s="7" t="s">
        <v>0</v>
      </c>
      <c r="I716" s="7" t="s">
        <v>8087</v>
      </c>
      <c r="J716" s="7" t="s">
        <v>8087</v>
      </c>
      <c r="K716" s="7" t="s">
        <v>85</v>
      </c>
      <c r="L716" s="7" t="s">
        <v>86</v>
      </c>
      <c r="M716" s="7" t="s">
        <v>289</v>
      </c>
      <c r="N716" s="7" t="s">
        <v>8086</v>
      </c>
      <c r="O716" s="7" t="s">
        <v>0</v>
      </c>
      <c r="P716" s="7" t="s">
        <v>289</v>
      </c>
      <c r="Q716" s="7" t="s">
        <v>7658</v>
      </c>
      <c r="R716" s="7" t="s">
        <v>2178</v>
      </c>
      <c r="S716" s="7" t="s">
        <v>2178</v>
      </c>
      <c r="T716" s="7" t="s">
        <v>54</v>
      </c>
      <c r="U716" s="7" t="s">
        <v>605</v>
      </c>
      <c r="V716" s="7" t="s">
        <v>864</v>
      </c>
      <c r="W716" s="7" t="s">
        <v>74</v>
      </c>
      <c r="X716" s="7" t="s">
        <v>223</v>
      </c>
      <c r="Y716" s="8">
        <v>45271</v>
      </c>
      <c r="Z716" s="8" t="s">
        <v>0</v>
      </c>
      <c r="AA716" s="7" t="s">
        <v>865</v>
      </c>
      <c r="AB716" s="7" t="s">
        <v>300</v>
      </c>
      <c r="AC716" s="7" t="s">
        <v>65</v>
      </c>
      <c r="AD716" s="7" t="s">
        <v>0</v>
      </c>
      <c r="AE716" s="7" t="s">
        <v>0</v>
      </c>
      <c r="AF716" s="7" t="s">
        <v>0</v>
      </c>
      <c r="AG716" s="7" t="s">
        <v>0</v>
      </c>
      <c r="AH716" s="9" t="s">
        <v>0</v>
      </c>
      <c r="AI716" s="9" t="s">
        <v>0</v>
      </c>
      <c r="AJ716" s="9" t="s">
        <v>0</v>
      </c>
      <c r="AK716" s="7" t="s">
        <v>61</v>
      </c>
      <c r="AL716" s="7" t="s">
        <v>61</v>
      </c>
      <c r="AM716" s="7" t="s">
        <v>0</v>
      </c>
      <c r="AN716" s="7" t="s">
        <v>0</v>
      </c>
      <c r="AO716" s="7" t="s">
        <v>0</v>
      </c>
      <c r="AP716" s="7" t="s">
        <v>0</v>
      </c>
      <c r="AQ716" s="7" t="s">
        <v>61</v>
      </c>
      <c r="AR716" s="7" t="s">
        <v>0</v>
      </c>
      <c r="AS716" s="10" t="str">
        <f>HYPERLINK("https://tessa.gazprom-neft.local/edo/card/d1064274-8fc6-4467-bae2-d0a7a88f5537", "https://tessa.gazprom-neft.local/edo/card/d1064274-8fc6-4467-bae2-d0a7a88f5537")</f>
        <v>https://tessa.gazprom-neft.local/edo/card/d1064274-8fc6-4467-bae2-d0a7a88f5537</v>
      </c>
    </row>
    <row r="717" spans="1:45" hidden="1" x14ac:dyDescent="0.25">
      <c r="A717" s="6" t="s">
        <v>44</v>
      </c>
      <c r="B717" s="7" t="s">
        <v>715</v>
      </c>
      <c r="C717" s="7" t="s">
        <v>67</v>
      </c>
      <c r="D717" s="8">
        <v>45271</v>
      </c>
      <c r="E717" s="8" t="s">
        <v>0</v>
      </c>
      <c r="F717" s="16" t="s">
        <v>716</v>
      </c>
      <c r="G717" s="7" t="s">
        <v>717</v>
      </c>
      <c r="H717" s="7" t="s">
        <v>710</v>
      </c>
      <c r="I717" s="7" t="s">
        <v>0</v>
      </c>
      <c r="J717" s="7" t="s">
        <v>51</v>
      </c>
      <c r="K717" s="7" t="s">
        <v>47</v>
      </c>
      <c r="L717" s="7" t="s">
        <v>389</v>
      </c>
      <c r="M717" s="7" t="s">
        <v>0</v>
      </c>
      <c r="N717" s="7" t="s">
        <v>8125</v>
      </c>
      <c r="O717" s="7" t="s">
        <v>872</v>
      </c>
      <c r="P717" s="7" t="s">
        <v>8126</v>
      </c>
      <c r="Q717" s="7" t="s">
        <v>8127</v>
      </c>
      <c r="R717" s="7" t="s">
        <v>714</v>
      </c>
      <c r="S717" s="7" t="s">
        <v>714</v>
      </c>
      <c r="T717" s="7" t="s">
        <v>54</v>
      </c>
      <c r="U717" s="7" t="s">
        <v>101</v>
      </c>
      <c r="V717" s="7" t="s">
        <v>308</v>
      </c>
      <c r="W717" s="7" t="s">
        <v>74</v>
      </c>
      <c r="X717" s="7" t="s">
        <v>103</v>
      </c>
      <c r="Y717" s="8">
        <v>45229</v>
      </c>
      <c r="Z717" s="8">
        <v>45535</v>
      </c>
      <c r="AA717" s="7" t="s">
        <v>309</v>
      </c>
      <c r="AB717" s="7" t="s">
        <v>64</v>
      </c>
      <c r="AC717" s="7" t="s">
        <v>79</v>
      </c>
      <c r="AD717" s="7" t="s">
        <v>144</v>
      </c>
      <c r="AE717" s="7" t="s">
        <v>82</v>
      </c>
      <c r="AF717" s="7" t="s">
        <v>0</v>
      </c>
      <c r="AG717" s="7" t="s">
        <v>0</v>
      </c>
      <c r="AH717" s="9" t="s">
        <v>13446</v>
      </c>
      <c r="AI717" s="9" t="s">
        <v>13447</v>
      </c>
      <c r="AJ717" s="9" t="s">
        <v>13448</v>
      </c>
      <c r="AK717" s="7" t="s">
        <v>61</v>
      </c>
      <c r="AL717" s="7" t="s">
        <v>61</v>
      </c>
      <c r="AM717" s="7" t="s">
        <v>0</v>
      </c>
      <c r="AN717" s="7" t="s">
        <v>0</v>
      </c>
      <c r="AO717" s="7" t="s">
        <v>0</v>
      </c>
      <c r="AP717" s="7" t="s">
        <v>0</v>
      </c>
      <c r="AQ717" s="7" t="s">
        <v>61</v>
      </c>
      <c r="AR717" s="7" t="s">
        <v>0</v>
      </c>
      <c r="AS717" s="10" t="str">
        <f>HYPERLINK("https://tessa.gazprom-neft.local/edo/card/a97ef999-e1a6-484f-a237-b00d74c45b5e", "https://tessa.gazprom-neft.local/edo/card/a97ef999-e1a6-484f-a237-b00d74c45b5e")</f>
        <v>https://tessa.gazprom-neft.local/edo/card/a97ef999-e1a6-484f-a237-b00d74c45b5e</v>
      </c>
    </row>
    <row r="718" spans="1:45" hidden="1" x14ac:dyDescent="0.25">
      <c r="A718" s="6" t="s">
        <v>44</v>
      </c>
      <c r="B718" s="7" t="s">
        <v>488</v>
      </c>
      <c r="C718" s="7" t="s">
        <v>67</v>
      </c>
      <c r="D718" s="8">
        <v>45271</v>
      </c>
      <c r="E718" s="8" t="s">
        <v>0</v>
      </c>
      <c r="F718" s="16" t="s">
        <v>489</v>
      </c>
      <c r="G718" s="7" t="s">
        <v>490</v>
      </c>
      <c r="H718" s="7" t="s">
        <v>0</v>
      </c>
      <c r="I718" s="7" t="s">
        <v>8281</v>
      </c>
      <c r="J718" s="7" t="s">
        <v>8281</v>
      </c>
      <c r="K718" s="7" t="s">
        <v>85</v>
      </c>
      <c r="L718" s="7" t="s">
        <v>86</v>
      </c>
      <c r="M718" s="7" t="s">
        <v>289</v>
      </c>
      <c r="N718" s="7" t="s">
        <v>8280</v>
      </c>
      <c r="O718" s="7" t="s">
        <v>0</v>
      </c>
      <c r="P718" s="7" t="s">
        <v>289</v>
      </c>
      <c r="Q718" s="7" t="s">
        <v>7442</v>
      </c>
      <c r="R718" s="7" t="s">
        <v>422</v>
      </c>
      <c r="S718" s="7" t="s">
        <v>0</v>
      </c>
      <c r="T718" s="7" t="s">
        <v>54</v>
      </c>
      <c r="U718" s="7" t="s">
        <v>362</v>
      </c>
      <c r="V718" s="7" t="s">
        <v>56</v>
      </c>
      <c r="W718" s="7" t="s">
        <v>74</v>
      </c>
      <c r="X718" s="7" t="s">
        <v>223</v>
      </c>
      <c r="Y718" s="8">
        <v>45271</v>
      </c>
      <c r="Z718" s="8" t="s">
        <v>0</v>
      </c>
      <c r="AA718" s="7" t="s">
        <v>0</v>
      </c>
      <c r="AB718" s="7" t="s">
        <v>300</v>
      </c>
      <c r="AC718" s="7" t="s">
        <v>65</v>
      </c>
      <c r="AD718" s="7" t="s">
        <v>0</v>
      </c>
      <c r="AE718" s="7" t="s">
        <v>0</v>
      </c>
      <c r="AF718" s="7" t="s">
        <v>0</v>
      </c>
      <c r="AG718" s="7" t="s">
        <v>0</v>
      </c>
      <c r="AH718" s="9" t="s">
        <v>0</v>
      </c>
      <c r="AI718" s="9" t="s">
        <v>0</v>
      </c>
      <c r="AJ718" s="9" t="s">
        <v>0</v>
      </c>
      <c r="AK718" s="7" t="s">
        <v>61</v>
      </c>
      <c r="AL718" s="7" t="s">
        <v>61</v>
      </c>
      <c r="AM718" s="7" t="s">
        <v>0</v>
      </c>
      <c r="AN718" s="7" t="s">
        <v>0</v>
      </c>
      <c r="AO718" s="7" t="s">
        <v>0</v>
      </c>
      <c r="AP718" s="7" t="s">
        <v>0</v>
      </c>
      <c r="AQ718" s="7" t="s">
        <v>61</v>
      </c>
      <c r="AR718" s="7" t="s">
        <v>0</v>
      </c>
      <c r="AS718" s="10" t="str">
        <f>HYPERLINK("https://tessa.gazprom-neft.local/edo/card/f5ad0d6c-d773-4d37-a573-963243f35875", "https://tessa.gazprom-neft.local/edo/card/f5ad0d6c-d773-4d37-a573-963243f35875")</f>
        <v>https://tessa.gazprom-neft.local/edo/card/f5ad0d6c-d773-4d37-a573-963243f35875</v>
      </c>
    </row>
    <row r="719" spans="1:45" x14ac:dyDescent="0.25">
      <c r="A719" s="6" t="s">
        <v>44</v>
      </c>
      <c r="B719" s="7" t="s">
        <v>403</v>
      </c>
      <c r="C719" s="7" t="s">
        <v>67</v>
      </c>
      <c r="D719" s="8">
        <v>45271</v>
      </c>
      <c r="E719" s="8" t="s">
        <v>0</v>
      </c>
      <c r="F719" s="16" t="s">
        <v>404</v>
      </c>
      <c r="G719" s="7" t="s">
        <v>405</v>
      </c>
      <c r="H719" s="7" t="s">
        <v>3191</v>
      </c>
      <c r="I719" s="7" t="s">
        <v>0</v>
      </c>
      <c r="J719" s="7" t="s">
        <v>51</v>
      </c>
      <c r="K719" s="7" t="s">
        <v>85</v>
      </c>
      <c r="L719" s="7" t="s">
        <v>48</v>
      </c>
      <c r="M719" s="7" t="s">
        <v>1183</v>
      </c>
      <c r="N719" s="7" t="s">
        <v>8289</v>
      </c>
      <c r="O719" s="7" t="s">
        <v>0</v>
      </c>
      <c r="P719" s="7" t="s">
        <v>1183</v>
      </c>
      <c r="Q719" s="7" t="s">
        <v>1185</v>
      </c>
      <c r="R719" s="7" t="s">
        <v>282</v>
      </c>
      <c r="S719" s="7" t="s">
        <v>0</v>
      </c>
      <c r="T719" s="7" t="s">
        <v>54</v>
      </c>
      <c r="U719" s="7" t="s">
        <v>283</v>
      </c>
      <c r="V719" s="7" t="s">
        <v>308</v>
      </c>
      <c r="W719" s="7" t="s">
        <v>74</v>
      </c>
      <c r="X719" s="7" t="s">
        <v>103</v>
      </c>
      <c r="Y719" s="8">
        <v>45271</v>
      </c>
      <c r="Z719" s="8">
        <v>46387</v>
      </c>
      <c r="AA719" s="7" t="s">
        <v>309</v>
      </c>
      <c r="AB719" s="7" t="s">
        <v>228</v>
      </c>
      <c r="AC719" s="7" t="s">
        <v>65</v>
      </c>
      <c r="AD719" s="7" t="s">
        <v>0</v>
      </c>
      <c r="AE719" s="7" t="s">
        <v>0</v>
      </c>
      <c r="AF719" s="7" t="s">
        <v>0</v>
      </c>
      <c r="AG719" s="7" t="s">
        <v>0</v>
      </c>
      <c r="AH719" s="9" t="s">
        <v>0</v>
      </c>
      <c r="AI719" s="9" t="s">
        <v>0</v>
      </c>
      <c r="AJ719" s="9" t="s">
        <v>0</v>
      </c>
      <c r="AK719" s="7" t="s">
        <v>61</v>
      </c>
      <c r="AL719" s="7" t="s">
        <v>61</v>
      </c>
      <c r="AM719" s="7" t="s">
        <v>0</v>
      </c>
      <c r="AN719" s="7" t="s">
        <v>0</v>
      </c>
      <c r="AO719" s="7" t="s">
        <v>0</v>
      </c>
      <c r="AP719" s="7" t="s">
        <v>0</v>
      </c>
      <c r="AQ719" s="7" t="s">
        <v>61</v>
      </c>
      <c r="AR719" s="7" t="s">
        <v>0</v>
      </c>
      <c r="AS719" s="10" t="str">
        <f>HYPERLINK("https://tessa.gazprom-neft.local/edo/card/34fb1422-3fa3-4446-a5ab-35abe4394e56", "https://tessa.gazprom-neft.local/edo/card/34fb1422-3fa3-4446-a5ab-35abe4394e56")</f>
        <v>https://tessa.gazprom-neft.local/edo/card/34fb1422-3fa3-4446-a5ab-35abe4394e56</v>
      </c>
    </row>
    <row r="720" spans="1:45" x14ac:dyDescent="0.25">
      <c r="A720" s="6" t="s">
        <v>44</v>
      </c>
      <c r="B720" s="7" t="s">
        <v>1909</v>
      </c>
      <c r="C720" s="7" t="s">
        <v>67</v>
      </c>
      <c r="D720" s="8">
        <v>45271</v>
      </c>
      <c r="E720" s="8" t="s">
        <v>0</v>
      </c>
      <c r="F720" s="16" t="s">
        <v>1910</v>
      </c>
      <c r="G720" s="7" t="s">
        <v>1911</v>
      </c>
      <c r="H720" s="7" t="s">
        <v>8389</v>
      </c>
      <c r="I720" s="7" t="s">
        <v>0</v>
      </c>
      <c r="J720" s="7" t="s">
        <v>355</v>
      </c>
      <c r="K720" s="7" t="s">
        <v>85</v>
      </c>
      <c r="L720" s="7" t="s">
        <v>48</v>
      </c>
      <c r="M720" s="7" t="s">
        <v>1134</v>
      </c>
      <c r="N720" s="7" t="s">
        <v>8388</v>
      </c>
      <c r="O720" s="7" t="s">
        <v>0</v>
      </c>
      <c r="P720" s="7" t="s">
        <v>1134</v>
      </c>
      <c r="Q720" s="7" t="s">
        <v>8390</v>
      </c>
      <c r="R720" s="7" t="s">
        <v>220</v>
      </c>
      <c r="S720" s="7" t="s">
        <v>1261</v>
      </c>
      <c r="T720" s="7" t="s">
        <v>54</v>
      </c>
      <c r="U720" s="7" t="s">
        <v>222</v>
      </c>
      <c r="V720" s="7" t="s">
        <v>126</v>
      </c>
      <c r="W720" s="7" t="s">
        <v>74</v>
      </c>
      <c r="X720" s="7" t="s">
        <v>103</v>
      </c>
      <c r="Y720" s="8">
        <v>45271</v>
      </c>
      <c r="Z720" s="8">
        <v>46022</v>
      </c>
      <c r="AA720" s="7" t="s">
        <v>224</v>
      </c>
      <c r="AB720" s="7" t="s">
        <v>387</v>
      </c>
      <c r="AC720" s="7" t="s">
        <v>65</v>
      </c>
      <c r="AD720" s="7" t="s">
        <v>0</v>
      </c>
      <c r="AE720" s="7" t="s">
        <v>0</v>
      </c>
      <c r="AF720" s="7" t="s">
        <v>0</v>
      </c>
      <c r="AG720" s="7" t="s">
        <v>0</v>
      </c>
      <c r="AH720" s="9" t="s">
        <v>0</v>
      </c>
      <c r="AI720" s="9" t="s">
        <v>0</v>
      </c>
      <c r="AJ720" s="9" t="s">
        <v>0</v>
      </c>
      <c r="AK720" s="7" t="s">
        <v>61</v>
      </c>
      <c r="AL720" s="7" t="s">
        <v>61</v>
      </c>
      <c r="AM720" s="7" t="s">
        <v>0</v>
      </c>
      <c r="AN720" s="7" t="s">
        <v>0</v>
      </c>
      <c r="AO720" s="7" t="s">
        <v>0</v>
      </c>
      <c r="AP720" s="7" t="s">
        <v>0</v>
      </c>
      <c r="AQ720" s="7" t="s">
        <v>61</v>
      </c>
      <c r="AR720" s="7" t="s">
        <v>0</v>
      </c>
      <c r="AS720" s="10" t="str">
        <f>HYPERLINK("https://tessa.gazprom-neft.local/edo/card/03ffaf6e-309d-4c87-acfe-089213baac00", "https://tessa.gazprom-neft.local/edo/card/03ffaf6e-309d-4c87-acfe-089213baac00")</f>
        <v>https://tessa.gazprom-neft.local/edo/card/03ffaf6e-309d-4c87-acfe-089213baac00</v>
      </c>
    </row>
    <row r="721" spans="1:45" hidden="1" x14ac:dyDescent="0.25">
      <c r="A721" s="6" t="s">
        <v>44</v>
      </c>
      <c r="B721" s="7" t="s">
        <v>592</v>
      </c>
      <c r="C721" s="7" t="s">
        <v>67</v>
      </c>
      <c r="D721" s="8">
        <v>45271</v>
      </c>
      <c r="E721" s="8" t="s">
        <v>0</v>
      </c>
      <c r="F721" s="16" t="s">
        <v>593</v>
      </c>
      <c r="G721" s="7" t="s">
        <v>594</v>
      </c>
      <c r="H721" s="7" t="s">
        <v>953</v>
      </c>
      <c r="I721" s="7" t="s">
        <v>0</v>
      </c>
      <c r="J721" s="7" t="s">
        <v>51</v>
      </c>
      <c r="K721" s="7" t="s">
        <v>47</v>
      </c>
      <c r="L721" s="7" t="s">
        <v>389</v>
      </c>
      <c r="M721" s="7" t="s">
        <v>0</v>
      </c>
      <c r="N721" s="7" t="s">
        <v>8413</v>
      </c>
      <c r="O721" s="7" t="s">
        <v>355</v>
      </c>
      <c r="P721" s="7" t="s">
        <v>8414</v>
      </c>
      <c r="Q721" s="7" t="s">
        <v>1799</v>
      </c>
      <c r="R721" s="7" t="s">
        <v>590</v>
      </c>
      <c r="S721" s="7" t="s">
        <v>394</v>
      </c>
      <c r="T721" s="7" t="s">
        <v>54</v>
      </c>
      <c r="U721" s="7" t="s">
        <v>591</v>
      </c>
      <c r="V721" s="7" t="s">
        <v>126</v>
      </c>
      <c r="W721" s="7" t="s">
        <v>74</v>
      </c>
      <c r="X721" s="7" t="s">
        <v>58</v>
      </c>
      <c r="Y721" s="8">
        <v>45271</v>
      </c>
      <c r="Z721" s="8" t="s">
        <v>0</v>
      </c>
      <c r="AA721" s="7" t="s">
        <v>224</v>
      </c>
      <c r="AB721" s="7" t="s">
        <v>387</v>
      </c>
      <c r="AC721" s="7" t="s">
        <v>79</v>
      </c>
      <c r="AD721" s="7" t="s">
        <v>144</v>
      </c>
      <c r="AE721" s="7" t="s">
        <v>82</v>
      </c>
      <c r="AF721" s="7" t="s">
        <v>0</v>
      </c>
      <c r="AG721" s="7" t="s">
        <v>0</v>
      </c>
      <c r="AH721" s="9" t="s">
        <v>13536</v>
      </c>
      <c r="AI721" s="9" t="s">
        <v>13537</v>
      </c>
      <c r="AJ721" s="9" t="s">
        <v>13538</v>
      </c>
      <c r="AK721" s="7" t="s">
        <v>61</v>
      </c>
      <c r="AL721" s="7" t="s">
        <v>61</v>
      </c>
      <c r="AM721" s="7" t="s">
        <v>0</v>
      </c>
      <c r="AN721" s="7" t="s">
        <v>0</v>
      </c>
      <c r="AO721" s="7" t="s">
        <v>0</v>
      </c>
      <c r="AP721" s="7" t="s">
        <v>0</v>
      </c>
      <c r="AQ721" s="7" t="s">
        <v>61</v>
      </c>
      <c r="AR721" s="7" t="s">
        <v>0</v>
      </c>
      <c r="AS721" s="10" t="str">
        <f>HYPERLINK("https://tessa.gazprom-neft.local/edo/card/5141bc34-603c-420e-9d66-41a357577ca6", "https://tessa.gazprom-neft.local/edo/card/5141bc34-603c-420e-9d66-41a357577ca6")</f>
        <v>https://tessa.gazprom-neft.local/edo/card/5141bc34-603c-420e-9d66-41a357577ca6</v>
      </c>
    </row>
    <row r="722" spans="1:45" hidden="1" x14ac:dyDescent="0.25">
      <c r="A722" s="6" t="s">
        <v>44</v>
      </c>
      <c r="B722" s="7" t="s">
        <v>403</v>
      </c>
      <c r="C722" s="7" t="s">
        <v>67</v>
      </c>
      <c r="D722" s="8">
        <v>45271</v>
      </c>
      <c r="E722" s="8" t="s">
        <v>0</v>
      </c>
      <c r="F722" s="16" t="s">
        <v>404</v>
      </c>
      <c r="G722" s="7" t="s">
        <v>405</v>
      </c>
      <c r="H722" s="7" t="s">
        <v>1805</v>
      </c>
      <c r="I722" s="7" t="s">
        <v>0</v>
      </c>
      <c r="J722" s="7" t="s">
        <v>156</v>
      </c>
      <c r="K722" s="7" t="s">
        <v>47</v>
      </c>
      <c r="L722" s="7" t="s">
        <v>239</v>
      </c>
      <c r="M722" s="7" t="s">
        <v>0</v>
      </c>
      <c r="N722" s="7" t="s">
        <v>8530</v>
      </c>
      <c r="O722" s="7" t="s">
        <v>0</v>
      </c>
      <c r="P722" s="7" t="s">
        <v>8531</v>
      </c>
      <c r="Q722" s="7" t="s">
        <v>8532</v>
      </c>
      <c r="R722" s="7" t="s">
        <v>282</v>
      </c>
      <c r="S722" s="7" t="s">
        <v>0</v>
      </c>
      <c r="T722" s="7" t="s">
        <v>54</v>
      </c>
      <c r="U722" s="7" t="s">
        <v>55</v>
      </c>
      <c r="V722" s="7" t="s">
        <v>56</v>
      </c>
      <c r="W722" s="7" t="s">
        <v>74</v>
      </c>
      <c r="X722" s="7" t="s">
        <v>103</v>
      </c>
      <c r="Y722" s="8">
        <v>45271</v>
      </c>
      <c r="Z722" s="8">
        <v>45657</v>
      </c>
      <c r="AA722" s="7" t="s">
        <v>0</v>
      </c>
      <c r="AB722" s="7" t="s">
        <v>130</v>
      </c>
      <c r="AC722" s="7" t="s">
        <v>79</v>
      </c>
      <c r="AD722" s="7" t="s">
        <v>144</v>
      </c>
      <c r="AE722" s="7" t="s">
        <v>82</v>
      </c>
      <c r="AF722" s="7" t="s">
        <v>0</v>
      </c>
      <c r="AG722" s="7" t="s">
        <v>0</v>
      </c>
      <c r="AH722" s="9" t="s">
        <v>13585</v>
      </c>
      <c r="AI722" s="9" t="s">
        <v>13586</v>
      </c>
      <c r="AJ722" s="9" t="s">
        <v>13587</v>
      </c>
      <c r="AK722" s="7" t="s">
        <v>61</v>
      </c>
      <c r="AL722" s="7" t="s">
        <v>61</v>
      </c>
      <c r="AM722" s="7" t="s">
        <v>0</v>
      </c>
      <c r="AN722" s="7" t="s">
        <v>0</v>
      </c>
      <c r="AO722" s="7" t="s">
        <v>0</v>
      </c>
      <c r="AP722" s="7" t="s">
        <v>0</v>
      </c>
      <c r="AQ722" s="7" t="s">
        <v>61</v>
      </c>
      <c r="AR722" s="7" t="s">
        <v>0</v>
      </c>
      <c r="AS722" s="10" t="str">
        <f>HYPERLINK("https://tessa.gazprom-neft.local/edo/card/a5d0ae5e-bd95-458b-9129-dd3c5dde628d", "https://tessa.gazprom-neft.local/edo/card/a5d0ae5e-bd95-458b-9129-dd3c5dde628d")</f>
        <v>https://tessa.gazprom-neft.local/edo/card/a5d0ae5e-bd95-458b-9129-dd3c5dde628d</v>
      </c>
    </row>
    <row r="723" spans="1:45" hidden="1" x14ac:dyDescent="0.25">
      <c r="A723" s="6" t="s">
        <v>44</v>
      </c>
      <c r="B723" s="7" t="s">
        <v>1240</v>
      </c>
      <c r="C723" s="7" t="s">
        <v>67</v>
      </c>
      <c r="D723" s="8">
        <v>45271</v>
      </c>
      <c r="E723" s="8" t="s">
        <v>0</v>
      </c>
      <c r="F723" s="16" t="s">
        <v>1241</v>
      </c>
      <c r="G723" s="7" t="s">
        <v>1242</v>
      </c>
      <c r="H723" s="7" t="s">
        <v>3083</v>
      </c>
      <c r="I723" s="7" t="s">
        <v>0</v>
      </c>
      <c r="J723" s="7" t="s">
        <v>51</v>
      </c>
      <c r="K723" s="7" t="s">
        <v>47</v>
      </c>
      <c r="L723" s="7" t="s">
        <v>389</v>
      </c>
      <c r="M723" s="7" t="s">
        <v>0</v>
      </c>
      <c r="N723" s="7" t="s">
        <v>8594</v>
      </c>
      <c r="O723" s="7" t="s">
        <v>872</v>
      </c>
      <c r="P723" s="7" t="s">
        <v>8595</v>
      </c>
      <c r="Q723" s="7" t="s">
        <v>8596</v>
      </c>
      <c r="R723" s="7" t="s">
        <v>393</v>
      </c>
      <c r="S723" s="7" t="s">
        <v>1261</v>
      </c>
      <c r="T723" s="7" t="s">
        <v>54</v>
      </c>
      <c r="U723" s="7" t="s">
        <v>222</v>
      </c>
      <c r="V723" s="7" t="s">
        <v>126</v>
      </c>
      <c r="W723" s="7" t="s">
        <v>74</v>
      </c>
      <c r="X723" s="7" t="s">
        <v>58</v>
      </c>
      <c r="Y723" s="8">
        <v>45271</v>
      </c>
      <c r="Z723" s="8" t="s">
        <v>0</v>
      </c>
      <c r="AA723" s="7" t="s">
        <v>224</v>
      </c>
      <c r="AB723" s="7" t="s">
        <v>1243</v>
      </c>
      <c r="AC723" s="7" t="s">
        <v>79</v>
      </c>
      <c r="AD723" s="7" t="s">
        <v>144</v>
      </c>
      <c r="AE723" s="7" t="s">
        <v>82</v>
      </c>
      <c r="AF723" s="7" t="s">
        <v>0</v>
      </c>
      <c r="AG723" s="7" t="s">
        <v>0</v>
      </c>
      <c r="AH723" s="9" t="s">
        <v>13609</v>
      </c>
      <c r="AI723" s="9" t="s">
        <v>13610</v>
      </c>
      <c r="AJ723" s="9" t="s">
        <v>13611</v>
      </c>
      <c r="AK723" s="7" t="s">
        <v>61</v>
      </c>
      <c r="AL723" s="7" t="s">
        <v>61</v>
      </c>
      <c r="AM723" s="7" t="s">
        <v>0</v>
      </c>
      <c r="AN723" s="7" t="s">
        <v>0</v>
      </c>
      <c r="AO723" s="7" t="s">
        <v>0</v>
      </c>
      <c r="AP723" s="7" t="s">
        <v>0</v>
      </c>
      <c r="AQ723" s="7" t="s">
        <v>61</v>
      </c>
      <c r="AR723" s="7" t="s">
        <v>0</v>
      </c>
      <c r="AS723" s="10" t="str">
        <f>HYPERLINK("https://tessa.gazprom-neft.local/edo/card/20369eaf-3ae0-42f6-93b5-ee0b67e5de92", "https://tessa.gazprom-neft.local/edo/card/20369eaf-3ae0-42f6-93b5-ee0b67e5de92")</f>
        <v>https://tessa.gazprom-neft.local/edo/card/20369eaf-3ae0-42f6-93b5-ee0b67e5de92</v>
      </c>
    </row>
    <row r="724" spans="1:45" x14ac:dyDescent="0.25">
      <c r="A724" s="6" t="s">
        <v>44</v>
      </c>
      <c r="B724" s="7" t="s">
        <v>753</v>
      </c>
      <c r="C724" s="7" t="s">
        <v>67</v>
      </c>
      <c r="D724" s="8">
        <v>45268</v>
      </c>
      <c r="E724" s="8" t="s">
        <v>0</v>
      </c>
      <c r="F724" s="16" t="s">
        <v>754</v>
      </c>
      <c r="G724" s="7" t="s">
        <v>755</v>
      </c>
      <c r="H724" s="7" t="s">
        <v>748</v>
      </c>
      <c r="I724" s="7" t="s">
        <v>0</v>
      </c>
      <c r="J724" s="7" t="s">
        <v>955</v>
      </c>
      <c r="K724" s="7" t="s">
        <v>85</v>
      </c>
      <c r="L724" s="7" t="s">
        <v>48</v>
      </c>
      <c r="M724" s="7" t="s">
        <v>1134</v>
      </c>
      <c r="N724" s="7" t="s">
        <v>8057</v>
      </c>
      <c r="O724" s="7" t="s">
        <v>0</v>
      </c>
      <c r="P724" s="7" t="s">
        <v>1134</v>
      </c>
      <c r="Q724" s="7" t="s">
        <v>8058</v>
      </c>
      <c r="R724" s="7" t="s">
        <v>1575</v>
      </c>
      <c r="S724" s="7" t="s">
        <v>1575</v>
      </c>
      <c r="T724" s="7" t="s">
        <v>54</v>
      </c>
      <c r="U724" s="7" t="s">
        <v>222</v>
      </c>
      <c r="V724" s="7" t="s">
        <v>126</v>
      </c>
      <c r="W724" s="7" t="s">
        <v>74</v>
      </c>
      <c r="X724" s="7" t="s">
        <v>58</v>
      </c>
      <c r="Y724" s="8">
        <v>45259</v>
      </c>
      <c r="Z724" s="8" t="s">
        <v>0</v>
      </c>
      <c r="AA724" s="7" t="s">
        <v>224</v>
      </c>
      <c r="AB724" s="7" t="s">
        <v>756</v>
      </c>
      <c r="AC724" s="7" t="s">
        <v>65</v>
      </c>
      <c r="AD724" s="7" t="s">
        <v>514</v>
      </c>
      <c r="AE724" s="7" t="s">
        <v>0</v>
      </c>
      <c r="AF724" s="7" t="s">
        <v>0</v>
      </c>
      <c r="AG724" s="7" t="s">
        <v>0</v>
      </c>
      <c r="AH724" s="9" t="s">
        <v>0</v>
      </c>
      <c r="AI724" s="9" t="s">
        <v>0</v>
      </c>
      <c r="AJ724" s="9" t="s">
        <v>0</v>
      </c>
      <c r="AK724" s="7" t="s">
        <v>61</v>
      </c>
      <c r="AL724" s="7" t="s">
        <v>61</v>
      </c>
      <c r="AM724" s="7" t="s">
        <v>0</v>
      </c>
      <c r="AN724" s="7" t="s">
        <v>0</v>
      </c>
      <c r="AO724" s="7" t="s">
        <v>0</v>
      </c>
      <c r="AP724" s="7" t="s">
        <v>0</v>
      </c>
      <c r="AQ724" s="7" t="s">
        <v>61</v>
      </c>
      <c r="AR724" s="7" t="s">
        <v>0</v>
      </c>
      <c r="AS724" s="10" t="str">
        <f>HYPERLINK("https://tessa.gazprom-neft.local/edo/card/80c4bdf8-e1b9-457a-bd88-35747b4f2fc8", "https://tessa.gazprom-neft.local/edo/card/80c4bdf8-e1b9-457a-bd88-35747b4f2fc8")</f>
        <v>https://tessa.gazprom-neft.local/edo/card/80c4bdf8-e1b9-457a-bd88-35747b4f2fc8</v>
      </c>
    </row>
    <row r="725" spans="1:45" hidden="1" x14ac:dyDescent="0.25">
      <c r="A725" s="6" t="s">
        <v>44</v>
      </c>
      <c r="B725" s="7" t="s">
        <v>265</v>
      </c>
      <c r="C725" s="7" t="s">
        <v>67</v>
      </c>
      <c r="D725" s="8">
        <v>45268</v>
      </c>
      <c r="E725" s="8" t="s">
        <v>0</v>
      </c>
      <c r="F725" s="16" t="s">
        <v>266</v>
      </c>
      <c r="G725" s="7" t="s">
        <v>267</v>
      </c>
      <c r="H725" s="7" t="s">
        <v>0</v>
      </c>
      <c r="I725" s="7" t="s">
        <v>4560</v>
      </c>
      <c r="J725" s="7" t="s">
        <v>4560</v>
      </c>
      <c r="K725" s="7" t="s">
        <v>85</v>
      </c>
      <c r="L725" s="7" t="s">
        <v>86</v>
      </c>
      <c r="M725" s="7" t="s">
        <v>216</v>
      </c>
      <c r="N725" s="7" t="s">
        <v>8224</v>
      </c>
      <c r="O725" s="7" t="s">
        <v>0</v>
      </c>
      <c r="P725" s="7" t="s">
        <v>216</v>
      </c>
      <c r="Q725" s="7" t="s">
        <v>8225</v>
      </c>
      <c r="R725" s="7" t="s">
        <v>505</v>
      </c>
      <c r="S725" s="7" t="s">
        <v>1094</v>
      </c>
      <c r="T725" s="7" t="s">
        <v>54</v>
      </c>
      <c r="U725" s="7" t="s">
        <v>283</v>
      </c>
      <c r="V725" s="7" t="s">
        <v>308</v>
      </c>
      <c r="W725" s="7" t="s">
        <v>74</v>
      </c>
      <c r="X725" s="7" t="s">
        <v>58</v>
      </c>
      <c r="Y725" s="8">
        <v>45268</v>
      </c>
      <c r="Z725" s="8" t="s">
        <v>0</v>
      </c>
      <c r="AA725" s="7" t="s">
        <v>309</v>
      </c>
      <c r="AB725" s="7" t="s">
        <v>228</v>
      </c>
      <c r="AC725" s="7" t="s">
        <v>65</v>
      </c>
      <c r="AD725" s="7" t="s">
        <v>0</v>
      </c>
      <c r="AE725" s="7" t="s">
        <v>0</v>
      </c>
      <c r="AF725" s="7" t="s">
        <v>0</v>
      </c>
      <c r="AG725" s="7" t="s">
        <v>0</v>
      </c>
      <c r="AH725" s="9" t="s">
        <v>0</v>
      </c>
      <c r="AI725" s="9" t="s">
        <v>0</v>
      </c>
      <c r="AJ725" s="9" t="s">
        <v>0</v>
      </c>
      <c r="AK725" s="7" t="s">
        <v>61</v>
      </c>
      <c r="AL725" s="7" t="s">
        <v>61</v>
      </c>
      <c r="AM725" s="7" t="s">
        <v>0</v>
      </c>
      <c r="AN725" s="7" t="s">
        <v>0</v>
      </c>
      <c r="AO725" s="7" t="s">
        <v>0</v>
      </c>
      <c r="AP725" s="7" t="s">
        <v>0</v>
      </c>
      <c r="AQ725" s="7" t="s">
        <v>61</v>
      </c>
      <c r="AR725" s="7" t="s">
        <v>0</v>
      </c>
      <c r="AS725" s="10" t="str">
        <f>HYPERLINK("https://tessa.gazprom-neft.local/edo/card/021dba86-4bd7-4329-b366-f73a779ee83b", "https://tessa.gazprom-neft.local/edo/card/021dba86-4bd7-4329-b366-f73a779ee83b")</f>
        <v>https://tessa.gazprom-neft.local/edo/card/021dba86-4bd7-4329-b366-f73a779ee83b</v>
      </c>
    </row>
    <row r="726" spans="1:45" x14ac:dyDescent="0.25">
      <c r="A726" s="6" t="s">
        <v>44</v>
      </c>
      <c r="B726" s="7" t="s">
        <v>988</v>
      </c>
      <c r="C726" s="7" t="s">
        <v>67</v>
      </c>
      <c r="D726" s="8">
        <v>45268</v>
      </c>
      <c r="E726" s="8" t="s">
        <v>0</v>
      </c>
      <c r="F726" s="16" t="s">
        <v>989</v>
      </c>
      <c r="G726" s="7" t="s">
        <v>990</v>
      </c>
      <c r="H726" s="7" t="s">
        <v>8259</v>
      </c>
      <c r="I726" s="7" t="s">
        <v>0</v>
      </c>
      <c r="J726" s="7" t="s">
        <v>51</v>
      </c>
      <c r="K726" s="7" t="s">
        <v>85</v>
      </c>
      <c r="L726" s="7" t="s">
        <v>48</v>
      </c>
      <c r="M726" s="7" t="s">
        <v>1134</v>
      </c>
      <c r="N726" s="7" t="s">
        <v>8258</v>
      </c>
      <c r="O726" s="7" t="s">
        <v>0</v>
      </c>
      <c r="P726" s="7" t="s">
        <v>8260</v>
      </c>
      <c r="Q726" s="7" t="s">
        <v>8261</v>
      </c>
      <c r="R726" s="7" t="s">
        <v>505</v>
      </c>
      <c r="S726" s="7" t="s">
        <v>1179</v>
      </c>
      <c r="T726" s="7" t="s">
        <v>54</v>
      </c>
      <c r="U726" s="7" t="s">
        <v>283</v>
      </c>
      <c r="V726" s="7" t="s">
        <v>308</v>
      </c>
      <c r="W726" s="7" t="s">
        <v>74</v>
      </c>
      <c r="X726" s="7" t="s">
        <v>58</v>
      </c>
      <c r="Y726" s="8">
        <v>45268</v>
      </c>
      <c r="Z726" s="8" t="s">
        <v>0</v>
      </c>
      <c r="AA726" s="7" t="s">
        <v>309</v>
      </c>
      <c r="AB726" s="7" t="s">
        <v>2546</v>
      </c>
      <c r="AC726" s="7" t="s">
        <v>65</v>
      </c>
      <c r="AD726" s="7" t="s">
        <v>0</v>
      </c>
      <c r="AE726" s="7" t="s">
        <v>0</v>
      </c>
      <c r="AF726" s="7" t="s">
        <v>0</v>
      </c>
      <c r="AG726" s="7" t="s">
        <v>0</v>
      </c>
      <c r="AH726" s="9" t="s">
        <v>0</v>
      </c>
      <c r="AI726" s="9" t="s">
        <v>0</v>
      </c>
      <c r="AJ726" s="9" t="s">
        <v>0</v>
      </c>
      <c r="AK726" s="7" t="s">
        <v>61</v>
      </c>
      <c r="AL726" s="7" t="s">
        <v>61</v>
      </c>
      <c r="AM726" s="7" t="s">
        <v>0</v>
      </c>
      <c r="AN726" s="7" t="s">
        <v>0</v>
      </c>
      <c r="AO726" s="7" t="s">
        <v>0</v>
      </c>
      <c r="AP726" s="7" t="s">
        <v>0</v>
      </c>
      <c r="AQ726" s="7" t="s">
        <v>61</v>
      </c>
      <c r="AR726" s="7" t="s">
        <v>0</v>
      </c>
      <c r="AS726" s="10" t="str">
        <f>HYPERLINK("https://tessa.gazprom-neft.local/edo/card/6d72627b-2c7c-42ed-82b9-691a4e51b4c4", "https://tessa.gazprom-neft.local/edo/card/6d72627b-2c7c-42ed-82b9-691a4e51b4c4")</f>
        <v>https://tessa.gazprom-neft.local/edo/card/6d72627b-2c7c-42ed-82b9-691a4e51b4c4</v>
      </c>
    </row>
    <row r="727" spans="1:45" x14ac:dyDescent="0.25">
      <c r="A727" s="6" t="s">
        <v>44</v>
      </c>
      <c r="B727" s="7" t="s">
        <v>988</v>
      </c>
      <c r="C727" s="7" t="s">
        <v>67</v>
      </c>
      <c r="D727" s="8">
        <v>45267</v>
      </c>
      <c r="E727" s="8" t="s">
        <v>0</v>
      </c>
      <c r="F727" s="16" t="s">
        <v>989</v>
      </c>
      <c r="G727" s="7" t="s">
        <v>990</v>
      </c>
      <c r="H727" s="7" t="s">
        <v>7858</v>
      </c>
      <c r="I727" s="7" t="s">
        <v>0</v>
      </c>
      <c r="J727" s="7" t="s">
        <v>51</v>
      </c>
      <c r="K727" s="7" t="s">
        <v>85</v>
      </c>
      <c r="L727" s="7" t="s">
        <v>48</v>
      </c>
      <c r="M727" s="7" t="s">
        <v>1183</v>
      </c>
      <c r="N727" s="7" t="s">
        <v>8218</v>
      </c>
      <c r="O727" s="7" t="s">
        <v>0</v>
      </c>
      <c r="P727" s="7" t="s">
        <v>1183</v>
      </c>
      <c r="Q727" s="7" t="s">
        <v>8219</v>
      </c>
      <c r="R727" s="7" t="s">
        <v>505</v>
      </c>
      <c r="S727" s="7" t="s">
        <v>1179</v>
      </c>
      <c r="T727" s="7" t="s">
        <v>54</v>
      </c>
      <c r="U727" s="7" t="s">
        <v>283</v>
      </c>
      <c r="V727" s="7" t="s">
        <v>308</v>
      </c>
      <c r="W727" s="7" t="s">
        <v>74</v>
      </c>
      <c r="X727" s="7" t="s">
        <v>58</v>
      </c>
      <c r="Y727" s="8">
        <v>45267</v>
      </c>
      <c r="Z727" s="8" t="s">
        <v>0</v>
      </c>
      <c r="AA727" s="7" t="s">
        <v>309</v>
      </c>
      <c r="AB727" s="7" t="s">
        <v>228</v>
      </c>
      <c r="AC727" s="7" t="s">
        <v>65</v>
      </c>
      <c r="AD727" s="7" t="s">
        <v>0</v>
      </c>
      <c r="AE727" s="7" t="s">
        <v>0</v>
      </c>
      <c r="AF727" s="7" t="s">
        <v>0</v>
      </c>
      <c r="AG727" s="7" t="s">
        <v>0</v>
      </c>
      <c r="AH727" s="9" t="s">
        <v>0</v>
      </c>
      <c r="AI727" s="9" t="s">
        <v>0</v>
      </c>
      <c r="AJ727" s="9" t="s">
        <v>0</v>
      </c>
      <c r="AK727" s="7" t="s">
        <v>61</v>
      </c>
      <c r="AL727" s="7" t="s">
        <v>61</v>
      </c>
      <c r="AM727" s="7" t="s">
        <v>0</v>
      </c>
      <c r="AN727" s="7" t="s">
        <v>0</v>
      </c>
      <c r="AO727" s="7" t="s">
        <v>0</v>
      </c>
      <c r="AP727" s="7" t="s">
        <v>0</v>
      </c>
      <c r="AQ727" s="7" t="s">
        <v>61</v>
      </c>
      <c r="AR727" s="7" t="s">
        <v>0</v>
      </c>
      <c r="AS727" s="10" t="str">
        <f>HYPERLINK("https://tessa.gazprom-neft.local/edo/card/2bfcab1d-6eba-4f40-8e9f-01bc534bdb75", "https://tessa.gazprom-neft.local/edo/card/2bfcab1d-6eba-4f40-8e9f-01bc534bdb75")</f>
        <v>https://tessa.gazprom-neft.local/edo/card/2bfcab1d-6eba-4f40-8e9f-01bc534bdb75</v>
      </c>
    </row>
    <row r="728" spans="1:45" hidden="1" x14ac:dyDescent="0.25">
      <c r="A728" s="6" t="s">
        <v>44</v>
      </c>
      <c r="B728" s="7" t="s">
        <v>1675</v>
      </c>
      <c r="C728" s="7" t="s">
        <v>67</v>
      </c>
      <c r="D728" s="8">
        <v>45266</v>
      </c>
      <c r="E728" s="8" t="s">
        <v>0</v>
      </c>
      <c r="F728" s="16" t="s">
        <v>1676</v>
      </c>
      <c r="G728" s="7" t="s">
        <v>1677</v>
      </c>
      <c r="H728" s="7" t="s">
        <v>0</v>
      </c>
      <c r="I728" s="7" t="s">
        <v>1672</v>
      </c>
      <c r="J728" s="7" t="s">
        <v>1672</v>
      </c>
      <c r="K728" s="7" t="s">
        <v>47</v>
      </c>
      <c r="L728" s="7" t="s">
        <v>96</v>
      </c>
      <c r="M728" s="7" t="s">
        <v>0</v>
      </c>
      <c r="N728" s="7" t="s">
        <v>7718</v>
      </c>
      <c r="O728" s="7" t="s">
        <v>0</v>
      </c>
      <c r="P728" s="7" t="s">
        <v>7719</v>
      </c>
      <c r="Q728" s="7" t="s">
        <v>7720</v>
      </c>
      <c r="R728" s="7" t="s">
        <v>282</v>
      </c>
      <c r="S728" s="7" t="s">
        <v>0</v>
      </c>
      <c r="T728" s="7" t="s">
        <v>54</v>
      </c>
      <c r="U728" s="7" t="s">
        <v>55</v>
      </c>
      <c r="V728" s="7" t="s">
        <v>56</v>
      </c>
      <c r="W728" s="7" t="s">
        <v>74</v>
      </c>
      <c r="X728" s="7" t="s">
        <v>103</v>
      </c>
      <c r="Y728" s="8">
        <v>45266</v>
      </c>
      <c r="Z728" s="8">
        <v>46752</v>
      </c>
      <c r="AA728" s="7" t="s">
        <v>0</v>
      </c>
      <c r="AB728" s="7" t="s">
        <v>130</v>
      </c>
      <c r="AC728" s="7" t="s">
        <v>278</v>
      </c>
      <c r="AD728" s="7" t="s">
        <v>144</v>
      </c>
      <c r="AE728" s="7" t="s">
        <v>82</v>
      </c>
      <c r="AF728" s="7" t="s">
        <v>0</v>
      </c>
      <c r="AG728" s="7" t="s">
        <v>0</v>
      </c>
      <c r="AH728" s="9" t="s">
        <v>13287</v>
      </c>
      <c r="AI728" s="9" t="s">
        <v>13288</v>
      </c>
      <c r="AJ728" s="9" t="s">
        <v>13289</v>
      </c>
      <c r="AK728" s="7" t="s">
        <v>61</v>
      </c>
      <c r="AL728" s="7" t="s">
        <v>61</v>
      </c>
      <c r="AM728" s="7" t="s">
        <v>0</v>
      </c>
      <c r="AN728" s="7" t="s">
        <v>0</v>
      </c>
      <c r="AO728" s="7" t="s">
        <v>0</v>
      </c>
      <c r="AP728" s="7" t="s">
        <v>0</v>
      </c>
      <c r="AQ728" s="7" t="s">
        <v>61</v>
      </c>
      <c r="AR728" s="7" t="s">
        <v>0</v>
      </c>
      <c r="AS728" s="10" t="str">
        <f>HYPERLINK("https://tessa.gazprom-neft.local/edo/card/74967306-c76f-4948-a438-5cee2bd67682", "https://tessa.gazprom-neft.local/edo/card/74967306-c76f-4948-a438-5cee2bd67682")</f>
        <v>https://tessa.gazprom-neft.local/edo/card/74967306-c76f-4948-a438-5cee2bd67682</v>
      </c>
    </row>
    <row r="729" spans="1:45" x14ac:dyDescent="0.25">
      <c r="A729" s="6" t="s">
        <v>44</v>
      </c>
      <c r="B729" s="7" t="s">
        <v>1328</v>
      </c>
      <c r="C729" s="7" t="s">
        <v>67</v>
      </c>
      <c r="D729" s="8">
        <v>45266</v>
      </c>
      <c r="E729" s="8" t="s">
        <v>0</v>
      </c>
      <c r="F729" s="16" t="s">
        <v>1329</v>
      </c>
      <c r="G729" s="7" t="s">
        <v>1330</v>
      </c>
      <c r="H729" s="7" t="s">
        <v>3640</v>
      </c>
      <c r="I729" s="7" t="s">
        <v>0</v>
      </c>
      <c r="J729" s="7" t="s">
        <v>271</v>
      </c>
      <c r="K729" s="7" t="s">
        <v>47</v>
      </c>
      <c r="L729" s="7" t="s">
        <v>48</v>
      </c>
      <c r="M729" s="7" t="s">
        <v>0</v>
      </c>
      <c r="N729" s="7" t="s">
        <v>7844</v>
      </c>
      <c r="O729" s="7" t="s">
        <v>0</v>
      </c>
      <c r="P729" s="7" t="s">
        <v>7845</v>
      </c>
      <c r="Q729" s="7" t="s">
        <v>7846</v>
      </c>
      <c r="R729" s="7" t="s">
        <v>393</v>
      </c>
      <c r="S729" s="7" t="s">
        <v>166</v>
      </c>
      <c r="T729" s="7" t="s">
        <v>54</v>
      </c>
      <c r="U729" s="7" t="s">
        <v>283</v>
      </c>
      <c r="V729" s="7" t="s">
        <v>308</v>
      </c>
      <c r="W729" s="7" t="s">
        <v>74</v>
      </c>
      <c r="X729" s="7" t="s">
        <v>58</v>
      </c>
      <c r="Y729" s="8">
        <v>45233</v>
      </c>
      <c r="Z729" s="8" t="s">
        <v>0</v>
      </c>
      <c r="AA729" s="7" t="s">
        <v>309</v>
      </c>
      <c r="AB729" s="7" t="s">
        <v>130</v>
      </c>
      <c r="AC729" s="7" t="s">
        <v>65</v>
      </c>
      <c r="AD729" s="7" t="s">
        <v>80</v>
      </c>
      <c r="AE729" s="7" t="s">
        <v>0</v>
      </c>
      <c r="AF729" s="7" t="s">
        <v>0</v>
      </c>
      <c r="AG729" s="7" t="s">
        <v>4821</v>
      </c>
      <c r="AH729" s="9" t="s">
        <v>0</v>
      </c>
      <c r="AI729" s="9" t="s">
        <v>0</v>
      </c>
      <c r="AJ729" s="9" t="s">
        <v>0</v>
      </c>
      <c r="AK729" s="7" t="s">
        <v>81</v>
      </c>
      <c r="AL729" s="7" t="s">
        <v>61</v>
      </c>
      <c r="AM729" s="7" t="s">
        <v>0</v>
      </c>
      <c r="AN729" s="7" t="s">
        <v>0</v>
      </c>
      <c r="AO729" s="7" t="s">
        <v>0</v>
      </c>
      <c r="AP729" s="7" t="s">
        <v>0</v>
      </c>
      <c r="AQ729" s="7" t="s">
        <v>61</v>
      </c>
      <c r="AR729" s="7" t="s">
        <v>0</v>
      </c>
      <c r="AS729" s="10" t="str">
        <f>HYPERLINK("https://tessa.gazprom-neft.local/edo/card/e3090747-ff5b-4f7e-a4a4-f14c5f565625", "https://tessa.gazprom-neft.local/edo/card/e3090747-ff5b-4f7e-a4a4-f14c5f565625")</f>
        <v>https://tessa.gazprom-neft.local/edo/card/e3090747-ff5b-4f7e-a4a4-f14c5f565625</v>
      </c>
    </row>
    <row r="730" spans="1:45" hidden="1" x14ac:dyDescent="0.25">
      <c r="A730" s="6" t="s">
        <v>44</v>
      </c>
      <c r="B730" s="7" t="s">
        <v>542</v>
      </c>
      <c r="C730" s="7" t="s">
        <v>67</v>
      </c>
      <c r="D730" s="8">
        <v>45265</v>
      </c>
      <c r="E730" s="8" t="s">
        <v>0</v>
      </c>
      <c r="F730" s="16" t="s">
        <v>543</v>
      </c>
      <c r="G730" s="7" t="s">
        <v>544</v>
      </c>
      <c r="H730" s="7" t="s">
        <v>536</v>
      </c>
      <c r="I730" s="7" t="s">
        <v>0</v>
      </c>
      <c r="J730" s="7" t="s">
        <v>2667</v>
      </c>
      <c r="K730" s="7" t="s">
        <v>47</v>
      </c>
      <c r="L730" s="7" t="s">
        <v>239</v>
      </c>
      <c r="M730" s="7" t="s">
        <v>0</v>
      </c>
      <c r="N730" s="7" t="s">
        <v>7777</v>
      </c>
      <c r="O730" s="7" t="s">
        <v>0</v>
      </c>
      <c r="P730" s="7" t="s">
        <v>7778</v>
      </c>
      <c r="Q730" s="7" t="s">
        <v>7779</v>
      </c>
      <c r="R730" s="7" t="s">
        <v>540</v>
      </c>
      <c r="S730" s="7" t="s">
        <v>0</v>
      </c>
      <c r="T730" s="7" t="s">
        <v>54</v>
      </c>
      <c r="U730" s="7" t="s">
        <v>541</v>
      </c>
      <c r="V730" s="7" t="s">
        <v>56</v>
      </c>
      <c r="W730" s="7" t="s">
        <v>74</v>
      </c>
      <c r="X730" s="7" t="s">
        <v>103</v>
      </c>
      <c r="Y730" s="8">
        <v>45265</v>
      </c>
      <c r="Z730" s="8">
        <v>45407</v>
      </c>
      <c r="AA730" s="7" t="s">
        <v>59</v>
      </c>
      <c r="AB730" s="7" t="s">
        <v>545</v>
      </c>
      <c r="AC730" s="7" t="s">
        <v>79</v>
      </c>
      <c r="AD730" s="7" t="s">
        <v>144</v>
      </c>
      <c r="AE730" s="7" t="s">
        <v>82</v>
      </c>
      <c r="AF730" s="7" t="s">
        <v>0</v>
      </c>
      <c r="AG730" s="7" t="s">
        <v>0</v>
      </c>
      <c r="AH730" s="9" t="s">
        <v>13302</v>
      </c>
      <c r="AI730" s="9" t="s">
        <v>13303</v>
      </c>
      <c r="AJ730" s="9" t="s">
        <v>13304</v>
      </c>
      <c r="AK730" s="7" t="s">
        <v>61</v>
      </c>
      <c r="AL730" s="7" t="s">
        <v>61</v>
      </c>
      <c r="AM730" s="7" t="s">
        <v>0</v>
      </c>
      <c r="AN730" s="7" t="s">
        <v>0</v>
      </c>
      <c r="AO730" s="7" t="s">
        <v>0</v>
      </c>
      <c r="AP730" s="7" t="s">
        <v>0</v>
      </c>
      <c r="AQ730" s="7" t="s">
        <v>61</v>
      </c>
      <c r="AR730" s="7" t="s">
        <v>0</v>
      </c>
      <c r="AS730" s="10" t="str">
        <f>HYPERLINK("https://tessa.gazprom-neft.local/edo/card/53a5677d-511e-4cdc-a847-88ba065194da", "https://tessa.gazprom-neft.local/edo/card/53a5677d-511e-4cdc-a847-88ba065194da")</f>
        <v>https://tessa.gazprom-neft.local/edo/card/53a5677d-511e-4cdc-a847-88ba065194da</v>
      </c>
    </row>
    <row r="731" spans="1:45" hidden="1" x14ac:dyDescent="0.25">
      <c r="A731" s="6" t="s">
        <v>44</v>
      </c>
      <c r="B731" s="7" t="s">
        <v>885</v>
      </c>
      <c r="C731" s="7" t="s">
        <v>67</v>
      </c>
      <c r="D731" s="8">
        <v>45265</v>
      </c>
      <c r="E731" s="8" t="s">
        <v>0</v>
      </c>
      <c r="F731" s="16" t="s">
        <v>886</v>
      </c>
      <c r="G731" s="7" t="s">
        <v>887</v>
      </c>
      <c r="H731" s="7" t="s">
        <v>934</v>
      </c>
      <c r="I731" s="7" t="s">
        <v>0</v>
      </c>
      <c r="J731" s="7" t="s">
        <v>538</v>
      </c>
      <c r="K731" s="7" t="s">
        <v>47</v>
      </c>
      <c r="L731" s="7" t="s">
        <v>239</v>
      </c>
      <c r="M731" s="7" t="s">
        <v>0</v>
      </c>
      <c r="N731" s="7" t="s">
        <v>7879</v>
      </c>
      <c r="O731" s="7" t="s">
        <v>0</v>
      </c>
      <c r="P731" s="7" t="s">
        <v>7880</v>
      </c>
      <c r="Q731" s="7" t="s">
        <v>7881</v>
      </c>
      <c r="R731" s="7" t="s">
        <v>938</v>
      </c>
      <c r="S731" s="7" t="s">
        <v>0</v>
      </c>
      <c r="T731" s="7" t="s">
        <v>54</v>
      </c>
      <c r="U731" s="7" t="s">
        <v>605</v>
      </c>
      <c r="V731" s="7" t="s">
        <v>56</v>
      </c>
      <c r="W731" s="7" t="s">
        <v>74</v>
      </c>
      <c r="X731" s="7" t="s">
        <v>103</v>
      </c>
      <c r="Y731" s="8">
        <v>45258</v>
      </c>
      <c r="Z731" s="8">
        <v>45657</v>
      </c>
      <c r="AA731" s="7" t="s">
        <v>0</v>
      </c>
      <c r="AB731" s="7" t="s">
        <v>130</v>
      </c>
      <c r="AC731" s="7" t="s">
        <v>79</v>
      </c>
      <c r="AD731" s="7" t="s">
        <v>144</v>
      </c>
      <c r="AE731" s="7" t="s">
        <v>118</v>
      </c>
      <c r="AF731" s="7" t="s">
        <v>0</v>
      </c>
      <c r="AG731" s="7" t="s">
        <v>0</v>
      </c>
      <c r="AH731" s="9" t="s">
        <v>13355</v>
      </c>
      <c r="AI731" s="9" t="s">
        <v>13355</v>
      </c>
      <c r="AJ731" s="9">
        <v>0</v>
      </c>
      <c r="AK731" s="7" t="s">
        <v>61</v>
      </c>
      <c r="AL731" s="7" t="s">
        <v>61</v>
      </c>
      <c r="AM731" s="7" t="s">
        <v>0</v>
      </c>
      <c r="AN731" s="7" t="s">
        <v>0</v>
      </c>
      <c r="AO731" s="7" t="s">
        <v>0</v>
      </c>
      <c r="AP731" s="7" t="s">
        <v>0</v>
      </c>
      <c r="AQ731" s="7" t="s">
        <v>61</v>
      </c>
      <c r="AR731" s="7" t="s">
        <v>0</v>
      </c>
      <c r="AS731" s="10" t="str">
        <f>HYPERLINK("https://tessa.gazprom-neft.local/edo/card/27690e90-8e4c-488a-ab70-0993ab47326d", "https://tessa.gazprom-neft.local/edo/card/27690e90-8e4c-488a-ab70-0993ab47326d")</f>
        <v>https://tessa.gazprom-neft.local/edo/card/27690e90-8e4c-488a-ab70-0993ab47326d</v>
      </c>
    </row>
    <row r="732" spans="1:45" hidden="1" x14ac:dyDescent="0.25">
      <c r="A732" s="6" t="s">
        <v>44</v>
      </c>
      <c r="B732" s="7" t="s">
        <v>1909</v>
      </c>
      <c r="C732" s="7" t="s">
        <v>67</v>
      </c>
      <c r="D732" s="8">
        <v>45265</v>
      </c>
      <c r="E732" s="8" t="s">
        <v>0</v>
      </c>
      <c r="F732" s="16" t="s">
        <v>1910</v>
      </c>
      <c r="G732" s="7" t="s">
        <v>1911</v>
      </c>
      <c r="H732" s="7" t="s">
        <v>7897</v>
      </c>
      <c r="I732" s="7" t="s">
        <v>0</v>
      </c>
      <c r="J732" s="7" t="s">
        <v>1098</v>
      </c>
      <c r="K732" s="7" t="s">
        <v>47</v>
      </c>
      <c r="L732" s="7" t="s">
        <v>239</v>
      </c>
      <c r="M732" s="7" t="s">
        <v>0</v>
      </c>
      <c r="N732" s="7" t="s">
        <v>7896</v>
      </c>
      <c r="O732" s="7" t="s">
        <v>0</v>
      </c>
      <c r="P732" s="7" t="s">
        <v>7898</v>
      </c>
      <c r="Q732" s="7" t="s">
        <v>7899</v>
      </c>
      <c r="R732" s="7" t="s">
        <v>220</v>
      </c>
      <c r="S732" s="7" t="s">
        <v>1261</v>
      </c>
      <c r="T732" s="7" t="s">
        <v>54</v>
      </c>
      <c r="U732" s="7" t="s">
        <v>222</v>
      </c>
      <c r="V732" s="7" t="s">
        <v>126</v>
      </c>
      <c r="W732" s="7" t="s">
        <v>74</v>
      </c>
      <c r="X732" s="7" t="s">
        <v>103</v>
      </c>
      <c r="Y732" s="8">
        <v>45265</v>
      </c>
      <c r="Z732" s="8">
        <v>45413</v>
      </c>
      <c r="AA732" s="7" t="s">
        <v>224</v>
      </c>
      <c r="AB732" s="7" t="s">
        <v>387</v>
      </c>
      <c r="AC732" s="7" t="s">
        <v>79</v>
      </c>
      <c r="AD732" s="7" t="s">
        <v>80</v>
      </c>
      <c r="AE732" s="7" t="s">
        <v>82</v>
      </c>
      <c r="AF732" s="7" t="s">
        <v>0</v>
      </c>
      <c r="AG732" s="7" t="s">
        <v>0</v>
      </c>
      <c r="AH732" s="9" t="s">
        <v>13360</v>
      </c>
      <c r="AI732" s="9" t="s">
        <v>13361</v>
      </c>
      <c r="AJ732" s="9" t="s">
        <v>13362</v>
      </c>
      <c r="AK732" s="7" t="s">
        <v>61</v>
      </c>
      <c r="AL732" s="7" t="s">
        <v>61</v>
      </c>
      <c r="AM732" s="7" t="s">
        <v>0</v>
      </c>
      <c r="AN732" s="7" t="s">
        <v>0</v>
      </c>
      <c r="AO732" s="7" t="s">
        <v>0</v>
      </c>
      <c r="AP732" s="7" t="s">
        <v>0</v>
      </c>
      <c r="AQ732" s="7" t="s">
        <v>61</v>
      </c>
      <c r="AR732" s="7" t="s">
        <v>0</v>
      </c>
      <c r="AS732" s="10" t="str">
        <f>HYPERLINK("https://tessa.gazprom-neft.local/edo/card/4191b922-35ed-4bf0-9113-31160e6957e2", "https://tessa.gazprom-neft.local/edo/card/4191b922-35ed-4bf0-9113-31160e6957e2")</f>
        <v>https://tessa.gazprom-neft.local/edo/card/4191b922-35ed-4bf0-9113-31160e6957e2</v>
      </c>
    </row>
    <row r="733" spans="1:45" hidden="1" x14ac:dyDescent="0.25">
      <c r="A733" s="6" t="s">
        <v>44</v>
      </c>
      <c r="B733" s="7" t="s">
        <v>1165</v>
      </c>
      <c r="C733" s="7" t="s">
        <v>67</v>
      </c>
      <c r="D733" s="8">
        <v>45265</v>
      </c>
      <c r="E733" s="8" t="s">
        <v>0</v>
      </c>
      <c r="F733" s="16" t="s">
        <v>1166</v>
      </c>
      <c r="G733" s="7" t="s">
        <v>1167</v>
      </c>
      <c r="H733" s="7" t="s">
        <v>1847</v>
      </c>
      <c r="I733" s="7" t="s">
        <v>0</v>
      </c>
      <c r="J733" s="7" t="s">
        <v>8041</v>
      </c>
      <c r="K733" s="7" t="s">
        <v>47</v>
      </c>
      <c r="L733" s="7" t="s">
        <v>239</v>
      </c>
      <c r="M733" s="7" t="s">
        <v>0</v>
      </c>
      <c r="N733" s="7" t="s">
        <v>8039</v>
      </c>
      <c r="O733" s="7" t="s">
        <v>0</v>
      </c>
      <c r="P733" s="7" t="s">
        <v>8040</v>
      </c>
      <c r="Q733" s="7" t="s">
        <v>8042</v>
      </c>
      <c r="R733" s="7" t="s">
        <v>244</v>
      </c>
      <c r="S733" s="7" t="s">
        <v>0</v>
      </c>
      <c r="T733" s="7" t="s">
        <v>54</v>
      </c>
      <c r="U733" s="7" t="s">
        <v>55</v>
      </c>
      <c r="V733" s="7" t="s">
        <v>864</v>
      </c>
      <c r="W733" s="7" t="s">
        <v>74</v>
      </c>
      <c r="X733" s="7" t="s">
        <v>103</v>
      </c>
      <c r="Y733" s="8">
        <v>45265</v>
      </c>
      <c r="Z733" s="8">
        <v>45287</v>
      </c>
      <c r="AA733" s="7" t="s">
        <v>865</v>
      </c>
      <c r="AB733" s="7" t="s">
        <v>256</v>
      </c>
      <c r="AC733" s="7" t="s">
        <v>79</v>
      </c>
      <c r="AD733" s="7" t="s">
        <v>144</v>
      </c>
      <c r="AE733" s="7" t="s">
        <v>82</v>
      </c>
      <c r="AF733" s="7" t="s">
        <v>0</v>
      </c>
      <c r="AG733" s="7" t="s">
        <v>0</v>
      </c>
      <c r="AH733" s="9" t="s">
        <v>13410</v>
      </c>
      <c r="AI733" s="9" t="s">
        <v>13411</v>
      </c>
      <c r="AJ733" s="9" t="s">
        <v>13412</v>
      </c>
      <c r="AK733" s="7" t="s">
        <v>61</v>
      </c>
      <c r="AL733" s="7" t="s">
        <v>61</v>
      </c>
      <c r="AM733" s="7" t="s">
        <v>0</v>
      </c>
      <c r="AN733" s="7" t="s">
        <v>0</v>
      </c>
      <c r="AO733" s="7" t="s">
        <v>0</v>
      </c>
      <c r="AP733" s="7" t="s">
        <v>0</v>
      </c>
      <c r="AQ733" s="7" t="s">
        <v>61</v>
      </c>
      <c r="AR733" s="7" t="s">
        <v>0</v>
      </c>
      <c r="AS733" s="10" t="str">
        <f>HYPERLINK("https://tessa.gazprom-neft.local/edo/card/f995cc03-fb58-46b4-82dc-3edea46360a3", "https://tessa.gazprom-neft.local/edo/card/f995cc03-fb58-46b4-82dc-3edea46360a3")</f>
        <v>https://tessa.gazprom-neft.local/edo/card/f995cc03-fb58-46b4-82dc-3edea46360a3</v>
      </c>
    </row>
    <row r="734" spans="1:45" hidden="1" x14ac:dyDescent="0.25">
      <c r="A734" s="6" t="s">
        <v>44</v>
      </c>
      <c r="B734" s="7" t="s">
        <v>1165</v>
      </c>
      <c r="C734" s="7" t="s">
        <v>67</v>
      </c>
      <c r="D734" s="8">
        <v>45265</v>
      </c>
      <c r="E734" s="8" t="s">
        <v>0</v>
      </c>
      <c r="F734" s="16" t="s">
        <v>1166</v>
      </c>
      <c r="G734" s="7" t="s">
        <v>1167</v>
      </c>
      <c r="H734" s="7" t="s">
        <v>1847</v>
      </c>
      <c r="I734" s="7" t="s">
        <v>0</v>
      </c>
      <c r="J734" s="7" t="s">
        <v>8049</v>
      </c>
      <c r="K734" s="7" t="s">
        <v>47</v>
      </c>
      <c r="L734" s="7" t="s">
        <v>239</v>
      </c>
      <c r="M734" s="7" t="s">
        <v>0</v>
      </c>
      <c r="N734" s="7" t="s">
        <v>8047</v>
      </c>
      <c r="O734" s="7" t="s">
        <v>0</v>
      </c>
      <c r="P734" s="7" t="s">
        <v>8048</v>
      </c>
      <c r="Q734" s="7" t="s">
        <v>8050</v>
      </c>
      <c r="R734" s="7" t="s">
        <v>244</v>
      </c>
      <c r="S734" s="7" t="s">
        <v>0</v>
      </c>
      <c r="T734" s="7" t="s">
        <v>54</v>
      </c>
      <c r="U734" s="7" t="s">
        <v>55</v>
      </c>
      <c r="V734" s="7" t="s">
        <v>864</v>
      </c>
      <c r="W734" s="7" t="s">
        <v>74</v>
      </c>
      <c r="X734" s="7" t="s">
        <v>103</v>
      </c>
      <c r="Y734" s="8">
        <v>45265</v>
      </c>
      <c r="Z734" s="8">
        <v>45287</v>
      </c>
      <c r="AA734" s="7" t="s">
        <v>865</v>
      </c>
      <c r="AB734" s="7" t="s">
        <v>256</v>
      </c>
      <c r="AC734" s="7" t="s">
        <v>79</v>
      </c>
      <c r="AD734" s="7" t="s">
        <v>144</v>
      </c>
      <c r="AE734" s="7" t="s">
        <v>82</v>
      </c>
      <c r="AF734" s="7" t="s">
        <v>0</v>
      </c>
      <c r="AG734" s="7" t="s">
        <v>0</v>
      </c>
      <c r="AH734" s="9" t="s">
        <v>13413</v>
      </c>
      <c r="AI734" s="9" t="s">
        <v>13414</v>
      </c>
      <c r="AJ734" s="9" t="s">
        <v>13415</v>
      </c>
      <c r="AK734" s="7" t="s">
        <v>61</v>
      </c>
      <c r="AL734" s="7" t="s">
        <v>61</v>
      </c>
      <c r="AM734" s="7" t="s">
        <v>0</v>
      </c>
      <c r="AN734" s="7" t="s">
        <v>0</v>
      </c>
      <c r="AO734" s="7" t="s">
        <v>0</v>
      </c>
      <c r="AP734" s="7" t="s">
        <v>0</v>
      </c>
      <c r="AQ734" s="7" t="s">
        <v>61</v>
      </c>
      <c r="AR734" s="7" t="s">
        <v>0</v>
      </c>
      <c r="AS734" s="10" t="str">
        <f>HYPERLINK("https://tessa.gazprom-neft.local/edo/card/e50602d8-8d6b-4201-b9fd-c5f48ba94992", "https://tessa.gazprom-neft.local/edo/card/e50602d8-8d6b-4201-b9fd-c5f48ba94992")</f>
        <v>https://tessa.gazprom-neft.local/edo/card/e50602d8-8d6b-4201-b9fd-c5f48ba94992</v>
      </c>
    </row>
    <row r="735" spans="1:45" hidden="1" x14ac:dyDescent="0.25">
      <c r="A735" s="6" t="s">
        <v>44</v>
      </c>
      <c r="B735" s="7" t="s">
        <v>2266</v>
      </c>
      <c r="C735" s="7" t="s">
        <v>67</v>
      </c>
      <c r="D735" s="8">
        <v>45265</v>
      </c>
      <c r="E735" s="8" t="s">
        <v>0</v>
      </c>
      <c r="F735" s="16" t="s">
        <v>2267</v>
      </c>
      <c r="G735" s="7" t="s">
        <v>2268</v>
      </c>
      <c r="H735" s="7" t="s">
        <v>0</v>
      </c>
      <c r="I735" s="7" t="s">
        <v>8106</v>
      </c>
      <c r="J735" s="7" t="s">
        <v>8106</v>
      </c>
      <c r="K735" s="7" t="s">
        <v>85</v>
      </c>
      <c r="L735" s="7" t="s">
        <v>96</v>
      </c>
      <c r="M735" s="7" t="s">
        <v>8104</v>
      </c>
      <c r="N735" s="7" t="s">
        <v>8105</v>
      </c>
      <c r="O735" s="7" t="s">
        <v>0</v>
      </c>
      <c r="P735" s="7" t="s">
        <v>8104</v>
      </c>
      <c r="Q735" s="7" t="s">
        <v>8107</v>
      </c>
      <c r="R735" s="7" t="s">
        <v>646</v>
      </c>
      <c r="S735" s="7" t="s">
        <v>506</v>
      </c>
      <c r="T735" s="7" t="s">
        <v>54</v>
      </c>
      <c r="U735" s="7" t="s">
        <v>55</v>
      </c>
      <c r="V735" s="7" t="s">
        <v>56</v>
      </c>
      <c r="W735" s="7" t="s">
        <v>74</v>
      </c>
      <c r="X735" s="7" t="s">
        <v>103</v>
      </c>
      <c r="Y735" s="8">
        <v>45265</v>
      </c>
      <c r="Z735" s="8">
        <v>45291</v>
      </c>
      <c r="AA735" s="7" t="s">
        <v>0</v>
      </c>
      <c r="AB735" s="7" t="s">
        <v>8108</v>
      </c>
      <c r="AC735" s="7" t="s">
        <v>79</v>
      </c>
      <c r="AD735" s="7" t="s">
        <v>80</v>
      </c>
      <c r="AE735" s="7" t="s">
        <v>82</v>
      </c>
      <c r="AF735" s="7" t="s">
        <v>0</v>
      </c>
      <c r="AG735" s="7" t="s">
        <v>0</v>
      </c>
      <c r="AH735" s="9" t="s">
        <v>13439</v>
      </c>
      <c r="AI735" s="9" t="s">
        <v>13440</v>
      </c>
      <c r="AJ735" s="9" t="s">
        <v>13441</v>
      </c>
      <c r="AK735" s="7" t="s">
        <v>61</v>
      </c>
      <c r="AL735" s="7" t="s">
        <v>61</v>
      </c>
      <c r="AM735" s="7" t="s">
        <v>0</v>
      </c>
      <c r="AN735" s="7" t="s">
        <v>0</v>
      </c>
      <c r="AO735" s="7" t="s">
        <v>0</v>
      </c>
      <c r="AP735" s="7" t="s">
        <v>0</v>
      </c>
      <c r="AQ735" s="7" t="s">
        <v>61</v>
      </c>
      <c r="AR735" s="7" t="s">
        <v>0</v>
      </c>
      <c r="AS735" s="10" t="str">
        <f>HYPERLINK("https://tessa.gazprom-neft.local/edo/card/8cd2ee6a-467d-482a-b872-61200502c994", "https://tessa.gazprom-neft.local/edo/card/8cd2ee6a-467d-482a-b872-61200502c994")</f>
        <v>https://tessa.gazprom-neft.local/edo/card/8cd2ee6a-467d-482a-b872-61200502c994</v>
      </c>
    </row>
    <row r="736" spans="1:45" hidden="1" x14ac:dyDescent="0.25">
      <c r="A736" s="6" t="s">
        <v>44</v>
      </c>
      <c r="B736" s="7" t="s">
        <v>5155</v>
      </c>
      <c r="C736" s="7" t="s">
        <v>67</v>
      </c>
      <c r="D736" s="8">
        <v>45264</v>
      </c>
      <c r="E736" s="8" t="s">
        <v>0</v>
      </c>
      <c r="F736" s="16" t="s">
        <v>5156</v>
      </c>
      <c r="G736" s="7" t="s">
        <v>5157</v>
      </c>
      <c r="H736" s="7" t="s">
        <v>0</v>
      </c>
      <c r="I736" s="7" t="s">
        <v>8914</v>
      </c>
      <c r="J736" s="7" t="s">
        <v>8914</v>
      </c>
      <c r="K736" s="7" t="s">
        <v>47</v>
      </c>
      <c r="L736" s="7" t="s">
        <v>86</v>
      </c>
      <c r="M736" s="7" t="s">
        <v>0</v>
      </c>
      <c r="N736" s="7" t="s">
        <v>8913</v>
      </c>
      <c r="O736" s="7" t="s">
        <v>0</v>
      </c>
      <c r="P736" s="7" t="s">
        <v>5153</v>
      </c>
      <c r="Q736" s="7" t="s">
        <v>5694</v>
      </c>
      <c r="R736" s="7" t="s">
        <v>1199</v>
      </c>
      <c r="S736" s="7" t="s">
        <v>1199</v>
      </c>
      <c r="T736" s="7" t="s">
        <v>54</v>
      </c>
      <c r="U736" s="7" t="s">
        <v>605</v>
      </c>
      <c r="V736" s="7" t="s">
        <v>126</v>
      </c>
      <c r="W736" s="7" t="s">
        <v>57</v>
      </c>
      <c r="X736" s="7" t="s">
        <v>103</v>
      </c>
      <c r="Y736" s="8">
        <v>45264</v>
      </c>
      <c r="Z736" s="8">
        <v>46329</v>
      </c>
      <c r="AA736" s="7" t="s">
        <v>224</v>
      </c>
      <c r="AB736" s="7" t="s">
        <v>1203</v>
      </c>
      <c r="AC736" s="7" t="s">
        <v>79</v>
      </c>
      <c r="AD736" s="7" t="s">
        <v>80</v>
      </c>
      <c r="AE736" s="7" t="s">
        <v>82</v>
      </c>
      <c r="AF736" s="7" t="s">
        <v>0</v>
      </c>
      <c r="AG736" s="7" t="s">
        <v>0</v>
      </c>
      <c r="AH736" s="9">
        <v>8.89</v>
      </c>
      <c r="AI736" s="9">
        <v>7.41</v>
      </c>
      <c r="AJ736" s="9">
        <v>1.48</v>
      </c>
      <c r="AK736" s="7" t="s">
        <v>61</v>
      </c>
      <c r="AL736" s="7" t="s">
        <v>61</v>
      </c>
      <c r="AM736" s="7" t="s">
        <v>0</v>
      </c>
      <c r="AN736" s="7" t="s">
        <v>0</v>
      </c>
      <c r="AO736" s="7" t="s">
        <v>0</v>
      </c>
      <c r="AP736" s="7" t="s">
        <v>0</v>
      </c>
      <c r="AQ736" s="7" t="s">
        <v>61</v>
      </c>
      <c r="AR736" s="7" t="s">
        <v>0</v>
      </c>
      <c r="AS736" s="10" t="str">
        <f>HYPERLINK("https://tessa.gazprom-neft.local/edo/card/d6fcf0ca-ada3-4b22-81f6-52f8d59a2cd2", "https://tessa.gazprom-neft.local/edo/card/d6fcf0ca-ada3-4b22-81f6-52f8d59a2cd2")</f>
        <v>https://tessa.gazprom-neft.local/edo/card/d6fcf0ca-ada3-4b22-81f6-52f8d59a2cd2</v>
      </c>
    </row>
    <row r="737" spans="1:45" hidden="1" x14ac:dyDescent="0.25">
      <c r="A737" s="6" t="s">
        <v>44</v>
      </c>
      <c r="B737" s="7" t="s">
        <v>75</v>
      </c>
      <c r="C737" s="7" t="s">
        <v>67</v>
      </c>
      <c r="D737" s="8">
        <v>45262</v>
      </c>
      <c r="E737" s="8" t="s">
        <v>0</v>
      </c>
      <c r="F737" s="16" t="s">
        <v>76</v>
      </c>
      <c r="G737" s="7" t="s">
        <v>77</v>
      </c>
      <c r="H737" s="7" t="s">
        <v>68</v>
      </c>
      <c r="I737" s="7" t="s">
        <v>0</v>
      </c>
      <c r="J737" s="7" t="s">
        <v>1098</v>
      </c>
      <c r="K737" s="7" t="s">
        <v>47</v>
      </c>
      <c r="L737" s="7" t="s">
        <v>239</v>
      </c>
      <c r="M737" s="7" t="s">
        <v>0</v>
      </c>
      <c r="N737" s="7" t="s">
        <v>8191</v>
      </c>
      <c r="O737" s="7" t="s">
        <v>0</v>
      </c>
      <c r="P737" s="7" t="s">
        <v>8192</v>
      </c>
      <c r="Q737" s="7" t="s">
        <v>8193</v>
      </c>
      <c r="R737" s="7" t="s">
        <v>646</v>
      </c>
      <c r="S737" s="7" t="s">
        <v>72</v>
      </c>
      <c r="T737" s="7" t="s">
        <v>54</v>
      </c>
      <c r="U737" s="7" t="s">
        <v>55</v>
      </c>
      <c r="V737" s="7" t="s">
        <v>56</v>
      </c>
      <c r="W737" s="7" t="s">
        <v>74</v>
      </c>
      <c r="X737" s="7" t="s">
        <v>58</v>
      </c>
      <c r="Y737" s="8">
        <v>45262</v>
      </c>
      <c r="Z737" s="8" t="s">
        <v>0</v>
      </c>
      <c r="AA737" s="7" t="s">
        <v>59</v>
      </c>
      <c r="AB737" s="7" t="s">
        <v>78</v>
      </c>
      <c r="AC737" s="7" t="s">
        <v>79</v>
      </c>
      <c r="AD737" s="7" t="s">
        <v>80</v>
      </c>
      <c r="AE737" s="7" t="s">
        <v>82</v>
      </c>
      <c r="AF737" s="7" t="s">
        <v>0</v>
      </c>
      <c r="AG737" s="7" t="s">
        <v>0</v>
      </c>
      <c r="AH737" s="9" t="s">
        <v>11680</v>
      </c>
      <c r="AI737" s="9" t="s">
        <v>11681</v>
      </c>
      <c r="AJ737" s="9" t="s">
        <v>11682</v>
      </c>
      <c r="AK737" s="7" t="s">
        <v>61</v>
      </c>
      <c r="AL737" s="7" t="s">
        <v>61</v>
      </c>
      <c r="AM737" s="7" t="s">
        <v>0</v>
      </c>
      <c r="AN737" s="7" t="s">
        <v>0</v>
      </c>
      <c r="AO737" s="7" t="s">
        <v>0</v>
      </c>
      <c r="AP737" s="7" t="s">
        <v>0</v>
      </c>
      <c r="AQ737" s="7" t="s">
        <v>61</v>
      </c>
      <c r="AR737" s="7" t="s">
        <v>0</v>
      </c>
      <c r="AS737" s="10" t="str">
        <f>HYPERLINK("https://tessa.gazprom-neft.local/edo/card/4432a278-788e-4a20-9cd1-ab742e8c4de4", "https://tessa.gazprom-neft.local/edo/card/4432a278-788e-4a20-9cd1-ab742e8c4de4")</f>
        <v>https://tessa.gazprom-neft.local/edo/card/4432a278-788e-4a20-9cd1-ab742e8c4de4</v>
      </c>
    </row>
    <row r="738" spans="1:45" x14ac:dyDescent="0.25">
      <c r="A738" s="6" t="s">
        <v>44</v>
      </c>
      <c r="B738" s="7" t="s">
        <v>7153</v>
      </c>
      <c r="C738" s="7" t="s">
        <v>67</v>
      </c>
      <c r="D738" s="8">
        <v>45261</v>
      </c>
      <c r="E738" s="8" t="s">
        <v>0</v>
      </c>
      <c r="F738" s="16" t="s">
        <v>7154</v>
      </c>
      <c r="G738" s="7" t="s">
        <v>7155</v>
      </c>
      <c r="H738" s="7" t="s">
        <v>7150</v>
      </c>
      <c r="I738" s="7" t="s">
        <v>0</v>
      </c>
      <c r="J738" s="7" t="s">
        <v>51</v>
      </c>
      <c r="K738" s="7" t="s">
        <v>47</v>
      </c>
      <c r="L738" s="7" t="s">
        <v>48</v>
      </c>
      <c r="M738" s="7" t="s">
        <v>0</v>
      </c>
      <c r="N738" s="7" t="s">
        <v>7149</v>
      </c>
      <c r="O738" s="7" t="s">
        <v>0</v>
      </c>
      <c r="P738" s="7" t="s">
        <v>7151</v>
      </c>
      <c r="Q738" s="7" t="s">
        <v>7152</v>
      </c>
      <c r="R738" s="7" t="s">
        <v>233</v>
      </c>
      <c r="S738" s="7" t="s">
        <v>233</v>
      </c>
      <c r="T738" s="7" t="s">
        <v>54</v>
      </c>
      <c r="U738" s="7" t="s">
        <v>55</v>
      </c>
      <c r="V738" s="7" t="s">
        <v>56</v>
      </c>
      <c r="W738" s="7" t="s">
        <v>57</v>
      </c>
      <c r="X738" s="7" t="s">
        <v>103</v>
      </c>
      <c r="Y738" s="8">
        <v>45261</v>
      </c>
      <c r="Z738" s="8">
        <v>46022</v>
      </c>
      <c r="AA738" s="7" t="s">
        <v>59</v>
      </c>
      <c r="AB738" s="7" t="s">
        <v>804</v>
      </c>
      <c r="AC738" s="7" t="s">
        <v>65</v>
      </c>
      <c r="AD738" s="7" t="s">
        <v>144</v>
      </c>
      <c r="AE738" s="7" t="s">
        <v>0</v>
      </c>
      <c r="AF738" s="7" t="s">
        <v>0</v>
      </c>
      <c r="AG738" s="7" t="s">
        <v>0</v>
      </c>
      <c r="AH738" s="9" t="s">
        <v>0</v>
      </c>
      <c r="AI738" s="9" t="s">
        <v>0</v>
      </c>
      <c r="AJ738" s="9" t="s">
        <v>0</v>
      </c>
      <c r="AK738" s="7" t="s">
        <v>61</v>
      </c>
      <c r="AL738" s="7" t="s">
        <v>61</v>
      </c>
      <c r="AM738" s="7" t="s">
        <v>0</v>
      </c>
      <c r="AN738" s="7" t="s">
        <v>0</v>
      </c>
      <c r="AO738" s="7" t="s">
        <v>0</v>
      </c>
      <c r="AP738" s="7" t="s">
        <v>0</v>
      </c>
      <c r="AQ738" s="7" t="s">
        <v>61</v>
      </c>
      <c r="AR738" s="7" t="s">
        <v>0</v>
      </c>
      <c r="AS738" s="10" t="str">
        <f>HYPERLINK("https://tessa.gazprom-neft.local/edo/card/fc82df70-3245-45bf-b0ba-01718d10dba6", "https://tessa.gazprom-neft.local/edo/card/fc82df70-3245-45bf-b0ba-01718d10dba6")</f>
        <v>https://tessa.gazprom-neft.local/edo/card/fc82df70-3245-45bf-b0ba-01718d10dba6</v>
      </c>
    </row>
    <row r="739" spans="1:45" hidden="1" x14ac:dyDescent="0.25">
      <c r="A739" s="6" t="s">
        <v>44</v>
      </c>
      <c r="B739" s="7" t="s">
        <v>715</v>
      </c>
      <c r="C739" s="7" t="s">
        <v>67</v>
      </c>
      <c r="D739" s="8">
        <v>45261</v>
      </c>
      <c r="E739" s="8" t="s">
        <v>0</v>
      </c>
      <c r="F739" s="16" t="s">
        <v>716</v>
      </c>
      <c r="G739" s="7" t="s">
        <v>717</v>
      </c>
      <c r="H739" s="7" t="s">
        <v>710</v>
      </c>
      <c r="I739" s="7" t="s">
        <v>0</v>
      </c>
      <c r="J739" s="7" t="s">
        <v>51</v>
      </c>
      <c r="K739" s="7" t="s">
        <v>47</v>
      </c>
      <c r="L739" s="7" t="s">
        <v>389</v>
      </c>
      <c r="M739" s="7" t="s">
        <v>0</v>
      </c>
      <c r="N739" s="7" t="s">
        <v>7772</v>
      </c>
      <c r="O739" s="7" t="s">
        <v>156</v>
      </c>
      <c r="P739" s="7" t="s">
        <v>7773</v>
      </c>
      <c r="Q739" s="7" t="s">
        <v>7774</v>
      </c>
      <c r="R739" s="7" t="s">
        <v>714</v>
      </c>
      <c r="S739" s="7" t="s">
        <v>714</v>
      </c>
      <c r="T739" s="7" t="s">
        <v>54</v>
      </c>
      <c r="U739" s="7" t="s">
        <v>101</v>
      </c>
      <c r="V739" s="7" t="s">
        <v>308</v>
      </c>
      <c r="W739" s="7" t="s">
        <v>74</v>
      </c>
      <c r="X739" s="7" t="s">
        <v>103</v>
      </c>
      <c r="Y739" s="8">
        <v>45261</v>
      </c>
      <c r="Z739" s="8">
        <v>45306</v>
      </c>
      <c r="AA739" s="7" t="s">
        <v>309</v>
      </c>
      <c r="AB739" s="7" t="s">
        <v>64</v>
      </c>
      <c r="AC739" s="7" t="s">
        <v>79</v>
      </c>
      <c r="AD739" s="7" t="s">
        <v>144</v>
      </c>
      <c r="AE739" s="7" t="s">
        <v>82</v>
      </c>
      <c r="AF739" s="7" t="s">
        <v>0</v>
      </c>
      <c r="AG739" s="7" t="s">
        <v>0</v>
      </c>
      <c r="AH739" s="9" t="s">
        <v>13296</v>
      </c>
      <c r="AI739" s="9" t="s">
        <v>13297</v>
      </c>
      <c r="AJ739" s="9" t="s">
        <v>13298</v>
      </c>
      <c r="AK739" s="7" t="s">
        <v>61</v>
      </c>
      <c r="AL739" s="7" t="s">
        <v>61</v>
      </c>
      <c r="AM739" s="7" t="s">
        <v>0</v>
      </c>
      <c r="AN739" s="7" t="s">
        <v>0</v>
      </c>
      <c r="AO739" s="7" t="s">
        <v>0</v>
      </c>
      <c r="AP739" s="7" t="s">
        <v>0</v>
      </c>
      <c r="AQ739" s="7" t="s">
        <v>61</v>
      </c>
      <c r="AR739" s="7" t="s">
        <v>0</v>
      </c>
      <c r="AS739" s="10" t="str">
        <f>HYPERLINK("https://tessa.gazprom-neft.local/edo/card/0f011cb2-5b17-4ad4-9ca7-8890e202d7d0", "https://tessa.gazprom-neft.local/edo/card/0f011cb2-5b17-4ad4-9ca7-8890e202d7d0")</f>
        <v>https://tessa.gazprom-neft.local/edo/card/0f011cb2-5b17-4ad4-9ca7-8890e202d7d0</v>
      </c>
    </row>
    <row r="740" spans="1:45" hidden="1" x14ac:dyDescent="0.25">
      <c r="A740" s="6" t="s">
        <v>44</v>
      </c>
      <c r="B740" s="7" t="s">
        <v>4496</v>
      </c>
      <c r="C740" s="7" t="s">
        <v>67</v>
      </c>
      <c r="D740" s="8">
        <v>45261</v>
      </c>
      <c r="E740" s="8" t="s">
        <v>0</v>
      </c>
      <c r="F740" s="16" t="s">
        <v>4497</v>
      </c>
      <c r="G740" s="7" t="s">
        <v>4498</v>
      </c>
      <c r="H740" s="7" t="s">
        <v>0</v>
      </c>
      <c r="I740" s="7" t="s">
        <v>7889</v>
      </c>
      <c r="J740" s="7" t="s">
        <v>7889</v>
      </c>
      <c r="K740" s="7" t="s">
        <v>47</v>
      </c>
      <c r="L740" s="7" t="s">
        <v>86</v>
      </c>
      <c r="M740" s="7" t="s">
        <v>0</v>
      </c>
      <c r="N740" s="7" t="s">
        <v>7888</v>
      </c>
      <c r="O740" s="7" t="s">
        <v>0</v>
      </c>
      <c r="P740" s="7" t="s">
        <v>4220</v>
      </c>
      <c r="Q740" s="7" t="s">
        <v>7890</v>
      </c>
      <c r="R740" s="7" t="s">
        <v>1199</v>
      </c>
      <c r="S740" s="7" t="s">
        <v>1199</v>
      </c>
      <c r="T740" s="7" t="s">
        <v>54</v>
      </c>
      <c r="U740" s="7" t="s">
        <v>605</v>
      </c>
      <c r="V740" s="7" t="s">
        <v>126</v>
      </c>
      <c r="W740" s="7" t="s">
        <v>57</v>
      </c>
      <c r="X740" s="7" t="s">
        <v>58</v>
      </c>
      <c r="Y740" s="8">
        <v>45261</v>
      </c>
      <c r="Z740" s="8" t="s">
        <v>0</v>
      </c>
      <c r="AA740" s="7" t="s">
        <v>224</v>
      </c>
      <c r="AB740" s="7" t="s">
        <v>2985</v>
      </c>
      <c r="AC740" s="7" t="s">
        <v>79</v>
      </c>
      <c r="AD740" s="7" t="s">
        <v>80</v>
      </c>
      <c r="AE740" s="7" t="s">
        <v>889</v>
      </c>
      <c r="AF740" s="7" t="s">
        <v>0</v>
      </c>
      <c r="AG740" s="7" t="s">
        <v>0</v>
      </c>
      <c r="AH740" s="9" t="s">
        <v>13356</v>
      </c>
      <c r="AI740" s="9" t="s">
        <v>13356</v>
      </c>
      <c r="AJ740" s="9">
        <v>0</v>
      </c>
      <c r="AK740" s="7" t="s">
        <v>61</v>
      </c>
      <c r="AL740" s="7" t="s">
        <v>61</v>
      </c>
      <c r="AM740" s="7" t="s">
        <v>0</v>
      </c>
      <c r="AN740" s="7" t="s">
        <v>0</v>
      </c>
      <c r="AO740" s="7" t="s">
        <v>0</v>
      </c>
      <c r="AP740" s="7" t="s">
        <v>0</v>
      </c>
      <c r="AQ740" s="7" t="s">
        <v>61</v>
      </c>
      <c r="AR740" s="7" t="s">
        <v>0</v>
      </c>
      <c r="AS740" s="10" t="str">
        <f>HYPERLINK("https://tessa.gazprom-neft.local/edo/card/8ceca3ff-4119-47e2-bd17-3c5a95745b5a", "https://tessa.gazprom-neft.local/edo/card/8ceca3ff-4119-47e2-bd17-3c5a95745b5a")</f>
        <v>https://tessa.gazprom-neft.local/edo/card/8ceca3ff-4119-47e2-bd17-3c5a95745b5a</v>
      </c>
    </row>
    <row r="741" spans="1:45" hidden="1" x14ac:dyDescent="0.25">
      <c r="A741" s="6" t="s">
        <v>44</v>
      </c>
      <c r="B741" s="7" t="s">
        <v>3149</v>
      </c>
      <c r="C741" s="7" t="s">
        <v>67</v>
      </c>
      <c r="D741" s="8">
        <v>45261</v>
      </c>
      <c r="E741" s="8" t="s">
        <v>0</v>
      </c>
      <c r="F741" s="16" t="s">
        <v>3150</v>
      </c>
      <c r="G741" s="7" t="s">
        <v>3151</v>
      </c>
      <c r="H741" s="7" t="s">
        <v>6731</v>
      </c>
      <c r="I741" s="7" t="s">
        <v>0</v>
      </c>
      <c r="J741" s="7" t="s">
        <v>51</v>
      </c>
      <c r="K741" s="7" t="s">
        <v>47</v>
      </c>
      <c r="L741" s="7" t="s">
        <v>709</v>
      </c>
      <c r="M741" s="7" t="s">
        <v>0</v>
      </c>
      <c r="N741" s="7" t="s">
        <v>7908</v>
      </c>
      <c r="O741" s="7" t="s">
        <v>0</v>
      </c>
      <c r="P741" s="7" t="s">
        <v>7909</v>
      </c>
      <c r="Q741" s="7" t="s">
        <v>7910</v>
      </c>
      <c r="R741" s="7" t="s">
        <v>2768</v>
      </c>
      <c r="S741" s="7" t="s">
        <v>2768</v>
      </c>
      <c r="T741" s="7" t="s">
        <v>54</v>
      </c>
      <c r="U741" s="7" t="s">
        <v>2769</v>
      </c>
      <c r="V741" s="7" t="s">
        <v>56</v>
      </c>
      <c r="W741" s="7" t="s">
        <v>74</v>
      </c>
      <c r="X741" s="7" t="s">
        <v>103</v>
      </c>
      <c r="Y741" s="8">
        <v>45261</v>
      </c>
      <c r="Z741" s="8">
        <v>45285</v>
      </c>
      <c r="AA741" s="7" t="s">
        <v>59</v>
      </c>
      <c r="AB741" s="7" t="s">
        <v>130</v>
      </c>
      <c r="AC741" s="7" t="s">
        <v>79</v>
      </c>
      <c r="AD741" s="7" t="s">
        <v>144</v>
      </c>
      <c r="AE741" s="7" t="s">
        <v>82</v>
      </c>
      <c r="AF741" s="7" t="s">
        <v>0</v>
      </c>
      <c r="AG741" s="7" t="s">
        <v>0</v>
      </c>
      <c r="AH741" s="9" t="s">
        <v>11552</v>
      </c>
      <c r="AI741" s="9" t="s">
        <v>11553</v>
      </c>
      <c r="AJ741" s="9" t="s">
        <v>11554</v>
      </c>
      <c r="AK741" s="7" t="s">
        <v>61</v>
      </c>
      <c r="AL741" s="7" t="s">
        <v>61</v>
      </c>
      <c r="AM741" s="7" t="s">
        <v>0</v>
      </c>
      <c r="AN741" s="7" t="s">
        <v>0</v>
      </c>
      <c r="AO741" s="7" t="s">
        <v>0</v>
      </c>
      <c r="AP741" s="7" t="s">
        <v>0</v>
      </c>
      <c r="AQ741" s="7" t="s">
        <v>61</v>
      </c>
      <c r="AR741" s="7" t="s">
        <v>0</v>
      </c>
      <c r="AS741" s="10" t="str">
        <f>HYPERLINK("https://tessa.gazprom-neft.local/edo/card/535c3157-245e-4813-b267-853822c6c612", "https://tessa.gazprom-neft.local/edo/card/535c3157-245e-4813-b267-853822c6c612")</f>
        <v>https://tessa.gazprom-neft.local/edo/card/535c3157-245e-4813-b267-853822c6c612</v>
      </c>
    </row>
    <row r="742" spans="1:45" hidden="1" x14ac:dyDescent="0.25">
      <c r="A742" s="6" t="s">
        <v>44</v>
      </c>
      <c r="B742" s="7" t="s">
        <v>737</v>
      </c>
      <c r="C742" s="7" t="s">
        <v>67</v>
      </c>
      <c r="D742" s="8">
        <v>45261</v>
      </c>
      <c r="E742" s="8" t="s">
        <v>0</v>
      </c>
      <c r="F742" s="16" t="s">
        <v>738</v>
      </c>
      <c r="G742" s="7" t="s">
        <v>739</v>
      </c>
      <c r="H742" s="7" t="s">
        <v>1973</v>
      </c>
      <c r="I742" s="7" t="s">
        <v>0</v>
      </c>
      <c r="J742" s="7" t="s">
        <v>538</v>
      </c>
      <c r="K742" s="7" t="s">
        <v>47</v>
      </c>
      <c r="L742" s="7" t="s">
        <v>239</v>
      </c>
      <c r="M742" s="7" t="s">
        <v>0</v>
      </c>
      <c r="N742" s="7" t="s">
        <v>7944</v>
      </c>
      <c r="O742" s="7" t="s">
        <v>0</v>
      </c>
      <c r="P742" s="7" t="s">
        <v>7945</v>
      </c>
      <c r="Q742" s="7" t="s">
        <v>7946</v>
      </c>
      <c r="R742" s="7" t="s">
        <v>1924</v>
      </c>
      <c r="S742" s="7" t="s">
        <v>1924</v>
      </c>
      <c r="T742" s="7" t="s">
        <v>54</v>
      </c>
      <c r="U742" s="7" t="s">
        <v>73</v>
      </c>
      <c r="V742" s="7" t="s">
        <v>56</v>
      </c>
      <c r="W742" s="7" t="s">
        <v>57</v>
      </c>
      <c r="X742" s="7" t="s">
        <v>103</v>
      </c>
      <c r="Y742" s="8">
        <v>45261</v>
      </c>
      <c r="Z742" s="8">
        <v>45651</v>
      </c>
      <c r="AA742" s="7" t="s">
        <v>59</v>
      </c>
      <c r="AB742" s="7" t="s">
        <v>130</v>
      </c>
      <c r="AC742" s="7" t="s">
        <v>79</v>
      </c>
      <c r="AD742" s="7" t="s">
        <v>144</v>
      </c>
      <c r="AE742" s="7" t="s">
        <v>82</v>
      </c>
      <c r="AF742" s="7" t="s">
        <v>0</v>
      </c>
      <c r="AG742" s="7" t="s">
        <v>0</v>
      </c>
      <c r="AH742" s="9" t="s">
        <v>13372</v>
      </c>
      <c r="AI742" s="9" t="s">
        <v>13373</v>
      </c>
      <c r="AJ742" s="9" t="s">
        <v>13374</v>
      </c>
      <c r="AK742" s="7" t="s">
        <v>61</v>
      </c>
      <c r="AL742" s="7" t="s">
        <v>61</v>
      </c>
      <c r="AM742" s="7" t="s">
        <v>0</v>
      </c>
      <c r="AN742" s="7" t="s">
        <v>0</v>
      </c>
      <c r="AO742" s="7" t="s">
        <v>0</v>
      </c>
      <c r="AP742" s="7" t="s">
        <v>0</v>
      </c>
      <c r="AQ742" s="7" t="s">
        <v>61</v>
      </c>
      <c r="AR742" s="7" t="s">
        <v>0</v>
      </c>
      <c r="AS742" s="10" t="str">
        <f>HYPERLINK("https://tessa.gazprom-neft.local/edo/card/eab063cf-cc95-430f-acce-8cb05e796b83", "https://tessa.gazprom-neft.local/edo/card/eab063cf-cc95-430f-acce-8cb05e796b83")</f>
        <v>https://tessa.gazprom-neft.local/edo/card/eab063cf-cc95-430f-acce-8cb05e796b83</v>
      </c>
    </row>
    <row r="743" spans="1:45" hidden="1" x14ac:dyDescent="0.25">
      <c r="A743" s="6" t="s">
        <v>44</v>
      </c>
      <c r="B743" s="7" t="s">
        <v>3149</v>
      </c>
      <c r="C743" s="7" t="s">
        <v>67</v>
      </c>
      <c r="D743" s="8">
        <v>45261</v>
      </c>
      <c r="E743" s="8" t="s">
        <v>0</v>
      </c>
      <c r="F743" s="16" t="s">
        <v>3150</v>
      </c>
      <c r="G743" s="7" t="s">
        <v>3151</v>
      </c>
      <c r="H743" s="7" t="s">
        <v>6731</v>
      </c>
      <c r="I743" s="7" t="s">
        <v>0</v>
      </c>
      <c r="J743" s="7" t="s">
        <v>271</v>
      </c>
      <c r="K743" s="7" t="s">
        <v>47</v>
      </c>
      <c r="L743" s="7" t="s">
        <v>709</v>
      </c>
      <c r="M743" s="7" t="s">
        <v>0</v>
      </c>
      <c r="N743" s="7" t="s">
        <v>7954</v>
      </c>
      <c r="O743" s="7" t="s">
        <v>0</v>
      </c>
      <c r="P743" s="7" t="s">
        <v>7955</v>
      </c>
      <c r="Q743" s="7" t="s">
        <v>7910</v>
      </c>
      <c r="R743" s="7" t="s">
        <v>2768</v>
      </c>
      <c r="S743" s="7" t="s">
        <v>2768</v>
      </c>
      <c r="T743" s="7" t="s">
        <v>54</v>
      </c>
      <c r="U743" s="7" t="s">
        <v>2769</v>
      </c>
      <c r="V743" s="7" t="s">
        <v>56</v>
      </c>
      <c r="W743" s="7" t="s">
        <v>74</v>
      </c>
      <c r="X743" s="7" t="s">
        <v>103</v>
      </c>
      <c r="Y743" s="8">
        <v>45261</v>
      </c>
      <c r="Z743" s="8">
        <v>45275</v>
      </c>
      <c r="AA743" s="7" t="s">
        <v>59</v>
      </c>
      <c r="AB743" s="7" t="s">
        <v>130</v>
      </c>
      <c r="AC743" s="7" t="s">
        <v>79</v>
      </c>
      <c r="AD743" s="7" t="s">
        <v>144</v>
      </c>
      <c r="AE743" s="7" t="s">
        <v>82</v>
      </c>
      <c r="AF743" s="7" t="s">
        <v>0</v>
      </c>
      <c r="AG743" s="7" t="s">
        <v>0</v>
      </c>
      <c r="AH743" s="9" t="s">
        <v>11552</v>
      </c>
      <c r="AI743" s="9" t="s">
        <v>11553</v>
      </c>
      <c r="AJ743" s="9" t="s">
        <v>11554</v>
      </c>
      <c r="AK743" s="7" t="s">
        <v>61</v>
      </c>
      <c r="AL743" s="7" t="s">
        <v>61</v>
      </c>
      <c r="AM743" s="7" t="s">
        <v>0</v>
      </c>
      <c r="AN743" s="7" t="s">
        <v>0</v>
      </c>
      <c r="AO743" s="7" t="s">
        <v>0</v>
      </c>
      <c r="AP743" s="7" t="s">
        <v>0</v>
      </c>
      <c r="AQ743" s="7" t="s">
        <v>61</v>
      </c>
      <c r="AR743" s="7" t="s">
        <v>0</v>
      </c>
      <c r="AS743" s="10" t="str">
        <f>HYPERLINK("https://tessa.gazprom-neft.local/edo/card/416cff03-f855-4a3a-9b8d-c9a05be655b6", "https://tessa.gazprom-neft.local/edo/card/416cff03-f855-4a3a-9b8d-c9a05be655b6")</f>
        <v>https://tessa.gazprom-neft.local/edo/card/416cff03-f855-4a3a-9b8d-c9a05be655b6</v>
      </c>
    </row>
    <row r="744" spans="1:45" hidden="1" x14ac:dyDescent="0.25">
      <c r="A744" s="6" t="s">
        <v>44</v>
      </c>
      <c r="B744" s="7" t="s">
        <v>3149</v>
      </c>
      <c r="C744" s="7" t="s">
        <v>67</v>
      </c>
      <c r="D744" s="8">
        <v>45261</v>
      </c>
      <c r="E744" s="8" t="s">
        <v>0</v>
      </c>
      <c r="F744" s="16" t="s">
        <v>3150</v>
      </c>
      <c r="G744" s="7" t="s">
        <v>3151</v>
      </c>
      <c r="H744" s="7" t="s">
        <v>6731</v>
      </c>
      <c r="I744" s="7" t="s">
        <v>0</v>
      </c>
      <c r="J744" s="7" t="s">
        <v>156</v>
      </c>
      <c r="K744" s="7" t="s">
        <v>47</v>
      </c>
      <c r="L744" s="7" t="s">
        <v>709</v>
      </c>
      <c r="M744" s="7" t="s">
        <v>0</v>
      </c>
      <c r="N744" s="7" t="s">
        <v>7962</v>
      </c>
      <c r="O744" s="7" t="s">
        <v>0</v>
      </c>
      <c r="P744" s="7" t="s">
        <v>7963</v>
      </c>
      <c r="Q744" s="7" t="s">
        <v>7910</v>
      </c>
      <c r="R744" s="7" t="s">
        <v>2768</v>
      </c>
      <c r="S744" s="7" t="s">
        <v>2768</v>
      </c>
      <c r="T744" s="7" t="s">
        <v>54</v>
      </c>
      <c r="U744" s="7" t="s">
        <v>2769</v>
      </c>
      <c r="V744" s="7" t="s">
        <v>56</v>
      </c>
      <c r="W744" s="7" t="s">
        <v>74</v>
      </c>
      <c r="X744" s="7" t="s">
        <v>103</v>
      </c>
      <c r="Y744" s="8">
        <v>45261</v>
      </c>
      <c r="Z744" s="8">
        <v>45275</v>
      </c>
      <c r="AA744" s="7" t="s">
        <v>59</v>
      </c>
      <c r="AB744" s="7" t="s">
        <v>130</v>
      </c>
      <c r="AC744" s="7" t="s">
        <v>79</v>
      </c>
      <c r="AD744" s="7" t="s">
        <v>144</v>
      </c>
      <c r="AE744" s="7" t="s">
        <v>82</v>
      </c>
      <c r="AF744" s="7" t="s">
        <v>0</v>
      </c>
      <c r="AG744" s="7" t="s">
        <v>0</v>
      </c>
      <c r="AH744" s="9" t="s">
        <v>11552</v>
      </c>
      <c r="AI744" s="9" t="s">
        <v>11553</v>
      </c>
      <c r="AJ744" s="9" t="s">
        <v>11554</v>
      </c>
      <c r="AK744" s="7" t="s">
        <v>61</v>
      </c>
      <c r="AL744" s="7" t="s">
        <v>61</v>
      </c>
      <c r="AM744" s="7" t="s">
        <v>0</v>
      </c>
      <c r="AN744" s="7" t="s">
        <v>0</v>
      </c>
      <c r="AO744" s="7" t="s">
        <v>0</v>
      </c>
      <c r="AP744" s="7" t="s">
        <v>0</v>
      </c>
      <c r="AQ744" s="7" t="s">
        <v>61</v>
      </c>
      <c r="AR744" s="7" t="s">
        <v>0</v>
      </c>
      <c r="AS744" s="10" t="str">
        <f>HYPERLINK("https://tessa.gazprom-neft.local/edo/card/22da41b2-65d9-4bad-bf4c-f7812898bbb0", "https://tessa.gazprom-neft.local/edo/card/22da41b2-65d9-4bad-bf4c-f7812898bbb0")</f>
        <v>https://tessa.gazprom-neft.local/edo/card/22da41b2-65d9-4bad-bf4c-f7812898bbb0</v>
      </c>
    </row>
    <row r="745" spans="1:45" hidden="1" x14ac:dyDescent="0.25">
      <c r="A745" s="6" t="s">
        <v>44</v>
      </c>
      <c r="B745" s="7" t="s">
        <v>3149</v>
      </c>
      <c r="C745" s="7" t="s">
        <v>67</v>
      </c>
      <c r="D745" s="8">
        <v>45261</v>
      </c>
      <c r="E745" s="8" t="s">
        <v>0</v>
      </c>
      <c r="F745" s="16" t="s">
        <v>3150</v>
      </c>
      <c r="G745" s="7" t="s">
        <v>3151</v>
      </c>
      <c r="H745" s="7" t="s">
        <v>6731</v>
      </c>
      <c r="I745" s="7" t="s">
        <v>0</v>
      </c>
      <c r="J745" s="7" t="s">
        <v>355</v>
      </c>
      <c r="K745" s="7" t="s">
        <v>47</v>
      </c>
      <c r="L745" s="7" t="s">
        <v>709</v>
      </c>
      <c r="M745" s="7" t="s">
        <v>0</v>
      </c>
      <c r="N745" s="7" t="s">
        <v>7967</v>
      </c>
      <c r="O745" s="7" t="s">
        <v>0</v>
      </c>
      <c r="P745" s="7" t="s">
        <v>7968</v>
      </c>
      <c r="Q745" s="7" t="s">
        <v>7910</v>
      </c>
      <c r="R745" s="7" t="s">
        <v>2768</v>
      </c>
      <c r="S745" s="7" t="s">
        <v>2768</v>
      </c>
      <c r="T745" s="7" t="s">
        <v>54</v>
      </c>
      <c r="U745" s="7" t="s">
        <v>2769</v>
      </c>
      <c r="V745" s="7" t="s">
        <v>56</v>
      </c>
      <c r="W745" s="7" t="s">
        <v>74</v>
      </c>
      <c r="X745" s="7" t="s">
        <v>103</v>
      </c>
      <c r="Y745" s="8">
        <v>45261</v>
      </c>
      <c r="Z745" s="8">
        <v>45275</v>
      </c>
      <c r="AA745" s="7" t="s">
        <v>59</v>
      </c>
      <c r="AB745" s="7" t="s">
        <v>130</v>
      </c>
      <c r="AC745" s="7" t="s">
        <v>79</v>
      </c>
      <c r="AD745" s="7" t="s">
        <v>144</v>
      </c>
      <c r="AE745" s="7" t="s">
        <v>82</v>
      </c>
      <c r="AF745" s="7" t="s">
        <v>0</v>
      </c>
      <c r="AG745" s="7" t="s">
        <v>0</v>
      </c>
      <c r="AH745" s="9" t="s">
        <v>12754</v>
      </c>
      <c r="AI745" s="9" t="s">
        <v>12755</v>
      </c>
      <c r="AJ745" s="9" t="s">
        <v>12756</v>
      </c>
      <c r="AK745" s="7" t="s">
        <v>61</v>
      </c>
      <c r="AL745" s="7" t="s">
        <v>61</v>
      </c>
      <c r="AM745" s="7" t="s">
        <v>0</v>
      </c>
      <c r="AN745" s="7" t="s">
        <v>0</v>
      </c>
      <c r="AO745" s="7" t="s">
        <v>0</v>
      </c>
      <c r="AP745" s="7" t="s">
        <v>0</v>
      </c>
      <c r="AQ745" s="7" t="s">
        <v>61</v>
      </c>
      <c r="AR745" s="7" t="s">
        <v>0</v>
      </c>
      <c r="AS745" s="10" t="str">
        <f>HYPERLINK("https://tessa.gazprom-neft.local/edo/card/ba35aa0c-e895-4cf7-9034-5461f049a3da", "https://tessa.gazprom-neft.local/edo/card/ba35aa0c-e895-4cf7-9034-5461f049a3da")</f>
        <v>https://tessa.gazprom-neft.local/edo/card/ba35aa0c-e895-4cf7-9034-5461f049a3da</v>
      </c>
    </row>
    <row r="746" spans="1:45" hidden="1" x14ac:dyDescent="0.25">
      <c r="A746" s="6" t="s">
        <v>44</v>
      </c>
      <c r="B746" s="7" t="s">
        <v>3149</v>
      </c>
      <c r="C746" s="7" t="s">
        <v>67</v>
      </c>
      <c r="D746" s="8">
        <v>45261</v>
      </c>
      <c r="E746" s="8" t="s">
        <v>0</v>
      </c>
      <c r="F746" s="16" t="s">
        <v>3150</v>
      </c>
      <c r="G746" s="7" t="s">
        <v>3151</v>
      </c>
      <c r="H746" s="7" t="s">
        <v>6731</v>
      </c>
      <c r="I746" s="7" t="s">
        <v>0</v>
      </c>
      <c r="J746" s="7" t="s">
        <v>872</v>
      </c>
      <c r="K746" s="7" t="s">
        <v>47</v>
      </c>
      <c r="L746" s="7" t="s">
        <v>709</v>
      </c>
      <c r="M746" s="7" t="s">
        <v>0</v>
      </c>
      <c r="N746" s="7" t="s">
        <v>7972</v>
      </c>
      <c r="O746" s="7" t="s">
        <v>0</v>
      </c>
      <c r="P746" s="7" t="s">
        <v>7973</v>
      </c>
      <c r="Q746" s="7" t="s">
        <v>7910</v>
      </c>
      <c r="R746" s="7" t="s">
        <v>2768</v>
      </c>
      <c r="S746" s="7" t="s">
        <v>2768</v>
      </c>
      <c r="T746" s="7" t="s">
        <v>54</v>
      </c>
      <c r="U746" s="7" t="s">
        <v>2769</v>
      </c>
      <c r="V746" s="7" t="s">
        <v>56</v>
      </c>
      <c r="W746" s="7" t="s">
        <v>74</v>
      </c>
      <c r="X746" s="7" t="s">
        <v>103</v>
      </c>
      <c r="Y746" s="8">
        <v>45261</v>
      </c>
      <c r="Z746" s="8">
        <v>45275</v>
      </c>
      <c r="AA746" s="7" t="s">
        <v>59</v>
      </c>
      <c r="AB746" s="7" t="s">
        <v>130</v>
      </c>
      <c r="AC746" s="7" t="s">
        <v>79</v>
      </c>
      <c r="AD746" s="7" t="s">
        <v>144</v>
      </c>
      <c r="AE746" s="7" t="s">
        <v>82</v>
      </c>
      <c r="AF746" s="7" t="s">
        <v>0</v>
      </c>
      <c r="AG746" s="7" t="s">
        <v>0</v>
      </c>
      <c r="AH746" s="9" t="s">
        <v>13382</v>
      </c>
      <c r="AI746" s="9" t="s">
        <v>13383</v>
      </c>
      <c r="AJ746" s="9" t="s">
        <v>13384</v>
      </c>
      <c r="AK746" s="7" t="s">
        <v>61</v>
      </c>
      <c r="AL746" s="7" t="s">
        <v>61</v>
      </c>
      <c r="AM746" s="7" t="s">
        <v>0</v>
      </c>
      <c r="AN746" s="7" t="s">
        <v>0</v>
      </c>
      <c r="AO746" s="7" t="s">
        <v>0</v>
      </c>
      <c r="AP746" s="7" t="s">
        <v>0</v>
      </c>
      <c r="AQ746" s="7" t="s">
        <v>61</v>
      </c>
      <c r="AR746" s="7" t="s">
        <v>0</v>
      </c>
      <c r="AS746" s="10" t="str">
        <f>HYPERLINK("https://tessa.gazprom-neft.local/edo/card/36e7ae01-cc22-4bab-88b8-71ef7d5786b2", "https://tessa.gazprom-neft.local/edo/card/36e7ae01-cc22-4bab-88b8-71ef7d5786b2")</f>
        <v>https://tessa.gazprom-neft.local/edo/card/36e7ae01-cc22-4bab-88b8-71ef7d5786b2</v>
      </c>
    </row>
    <row r="747" spans="1:45" hidden="1" x14ac:dyDescent="0.25">
      <c r="A747" s="6" t="s">
        <v>44</v>
      </c>
      <c r="B747" s="7" t="s">
        <v>3149</v>
      </c>
      <c r="C747" s="7" t="s">
        <v>67</v>
      </c>
      <c r="D747" s="8">
        <v>45261</v>
      </c>
      <c r="E747" s="8" t="s">
        <v>0</v>
      </c>
      <c r="F747" s="16" t="s">
        <v>3150</v>
      </c>
      <c r="G747" s="7" t="s">
        <v>3151</v>
      </c>
      <c r="H747" s="7" t="s">
        <v>6731</v>
      </c>
      <c r="I747" s="7" t="s">
        <v>0</v>
      </c>
      <c r="J747" s="7" t="s">
        <v>70</v>
      </c>
      <c r="K747" s="7" t="s">
        <v>47</v>
      </c>
      <c r="L747" s="7" t="s">
        <v>709</v>
      </c>
      <c r="M747" s="7" t="s">
        <v>0</v>
      </c>
      <c r="N747" s="7" t="s">
        <v>7982</v>
      </c>
      <c r="O747" s="7" t="s">
        <v>0</v>
      </c>
      <c r="P747" s="7" t="s">
        <v>7983</v>
      </c>
      <c r="Q747" s="7" t="s">
        <v>7910</v>
      </c>
      <c r="R747" s="7" t="s">
        <v>2768</v>
      </c>
      <c r="S747" s="7" t="s">
        <v>2768</v>
      </c>
      <c r="T747" s="7" t="s">
        <v>54</v>
      </c>
      <c r="U747" s="7" t="s">
        <v>2769</v>
      </c>
      <c r="V747" s="7" t="s">
        <v>56</v>
      </c>
      <c r="W747" s="7" t="s">
        <v>74</v>
      </c>
      <c r="X747" s="7" t="s">
        <v>103</v>
      </c>
      <c r="Y747" s="8">
        <v>45261</v>
      </c>
      <c r="Z747" s="8">
        <v>45285</v>
      </c>
      <c r="AA747" s="7" t="s">
        <v>59</v>
      </c>
      <c r="AB747" s="7" t="s">
        <v>130</v>
      </c>
      <c r="AC747" s="7" t="s">
        <v>79</v>
      </c>
      <c r="AD747" s="7" t="s">
        <v>144</v>
      </c>
      <c r="AE747" s="7" t="s">
        <v>82</v>
      </c>
      <c r="AF747" s="7" t="s">
        <v>0</v>
      </c>
      <c r="AG747" s="7" t="s">
        <v>0</v>
      </c>
      <c r="AH747" s="9" t="s">
        <v>11561</v>
      </c>
      <c r="AI747" s="9" t="s">
        <v>11562</v>
      </c>
      <c r="AJ747" s="9" t="s">
        <v>11563</v>
      </c>
      <c r="AK747" s="7" t="s">
        <v>61</v>
      </c>
      <c r="AL747" s="7" t="s">
        <v>61</v>
      </c>
      <c r="AM747" s="7" t="s">
        <v>0</v>
      </c>
      <c r="AN747" s="7" t="s">
        <v>0</v>
      </c>
      <c r="AO747" s="7" t="s">
        <v>0</v>
      </c>
      <c r="AP747" s="7" t="s">
        <v>0</v>
      </c>
      <c r="AQ747" s="7" t="s">
        <v>61</v>
      </c>
      <c r="AR747" s="7" t="s">
        <v>0</v>
      </c>
      <c r="AS747" s="10" t="str">
        <f>HYPERLINK("https://tessa.gazprom-neft.local/edo/card/57dd40fb-c10c-4f3f-9212-5f389568c3fe", "https://tessa.gazprom-neft.local/edo/card/57dd40fb-c10c-4f3f-9212-5f389568c3fe")</f>
        <v>https://tessa.gazprom-neft.local/edo/card/57dd40fb-c10c-4f3f-9212-5f389568c3fe</v>
      </c>
    </row>
    <row r="748" spans="1:45" x14ac:dyDescent="0.25">
      <c r="A748" s="6" t="s">
        <v>44</v>
      </c>
      <c r="B748" s="7" t="s">
        <v>395</v>
      </c>
      <c r="C748" s="7" t="s">
        <v>67</v>
      </c>
      <c r="D748" s="8">
        <v>45261</v>
      </c>
      <c r="E748" s="8" t="s">
        <v>0</v>
      </c>
      <c r="F748" s="16" t="s">
        <v>396</v>
      </c>
      <c r="G748" s="7" t="s">
        <v>397</v>
      </c>
      <c r="H748" s="7" t="s">
        <v>7990</v>
      </c>
      <c r="I748" s="7" t="s">
        <v>0</v>
      </c>
      <c r="J748" s="7" t="s">
        <v>156</v>
      </c>
      <c r="K748" s="7" t="s">
        <v>85</v>
      </c>
      <c r="L748" s="7" t="s">
        <v>48</v>
      </c>
      <c r="M748" s="7" t="s">
        <v>1134</v>
      </c>
      <c r="N748" s="7" t="s">
        <v>7989</v>
      </c>
      <c r="O748" s="7" t="s">
        <v>0</v>
      </c>
      <c r="P748" s="7" t="s">
        <v>7991</v>
      </c>
      <c r="Q748" s="7" t="s">
        <v>7992</v>
      </c>
      <c r="R748" s="7" t="s">
        <v>590</v>
      </c>
      <c r="S748" s="7" t="s">
        <v>394</v>
      </c>
      <c r="T748" s="7" t="s">
        <v>54</v>
      </c>
      <c r="U748" s="7" t="s">
        <v>591</v>
      </c>
      <c r="V748" s="7" t="s">
        <v>382</v>
      </c>
      <c r="W748" s="7" t="s">
        <v>74</v>
      </c>
      <c r="X748" s="7" t="s">
        <v>58</v>
      </c>
      <c r="Y748" s="8">
        <v>45261</v>
      </c>
      <c r="Z748" s="8" t="s">
        <v>0</v>
      </c>
      <c r="AA748" s="7" t="s">
        <v>383</v>
      </c>
      <c r="AB748" s="7" t="s">
        <v>387</v>
      </c>
      <c r="AC748" s="7" t="s">
        <v>65</v>
      </c>
      <c r="AD748" s="7" t="s">
        <v>144</v>
      </c>
      <c r="AE748" s="7" t="s">
        <v>0</v>
      </c>
      <c r="AF748" s="7" t="s">
        <v>0</v>
      </c>
      <c r="AG748" s="7" t="s">
        <v>0</v>
      </c>
      <c r="AH748" s="9" t="s">
        <v>0</v>
      </c>
      <c r="AI748" s="9" t="s">
        <v>0</v>
      </c>
      <c r="AJ748" s="9" t="s">
        <v>0</v>
      </c>
      <c r="AK748" s="7" t="s">
        <v>61</v>
      </c>
      <c r="AL748" s="7" t="s">
        <v>61</v>
      </c>
      <c r="AM748" s="7" t="s">
        <v>0</v>
      </c>
      <c r="AN748" s="7" t="s">
        <v>0</v>
      </c>
      <c r="AO748" s="7" t="s">
        <v>0</v>
      </c>
      <c r="AP748" s="7" t="s">
        <v>0</v>
      </c>
      <c r="AQ748" s="7" t="s">
        <v>61</v>
      </c>
      <c r="AR748" s="7" t="s">
        <v>0</v>
      </c>
      <c r="AS748" s="10" t="str">
        <f>HYPERLINK("https://tessa.gazprom-neft.local/edo/card/1a26fbdc-8417-48da-ab58-5c4ff0a31f1b", "https://tessa.gazprom-neft.local/edo/card/1a26fbdc-8417-48da-ab58-5c4ff0a31f1b")</f>
        <v>https://tessa.gazprom-neft.local/edo/card/1a26fbdc-8417-48da-ab58-5c4ff0a31f1b</v>
      </c>
    </row>
    <row r="749" spans="1:45" x14ac:dyDescent="0.25">
      <c r="A749" s="6" t="s">
        <v>44</v>
      </c>
      <c r="B749" s="7" t="s">
        <v>592</v>
      </c>
      <c r="C749" s="7" t="s">
        <v>67</v>
      </c>
      <c r="D749" s="8">
        <v>45261</v>
      </c>
      <c r="E749" s="8" t="s">
        <v>0</v>
      </c>
      <c r="F749" s="16" t="s">
        <v>593</v>
      </c>
      <c r="G749" s="7" t="s">
        <v>594</v>
      </c>
      <c r="H749" s="7" t="s">
        <v>953</v>
      </c>
      <c r="I749" s="7" t="s">
        <v>0</v>
      </c>
      <c r="J749" s="7" t="s">
        <v>156</v>
      </c>
      <c r="K749" s="7" t="s">
        <v>85</v>
      </c>
      <c r="L749" s="7" t="s">
        <v>48</v>
      </c>
      <c r="M749" s="7" t="s">
        <v>1134</v>
      </c>
      <c r="N749" s="7" t="s">
        <v>7996</v>
      </c>
      <c r="O749" s="7" t="s">
        <v>0</v>
      </c>
      <c r="P749" s="7" t="s">
        <v>7997</v>
      </c>
      <c r="Q749" s="7" t="s">
        <v>7998</v>
      </c>
      <c r="R749" s="7" t="s">
        <v>590</v>
      </c>
      <c r="S749" s="7" t="s">
        <v>394</v>
      </c>
      <c r="T749" s="7" t="s">
        <v>54</v>
      </c>
      <c r="U749" s="7" t="s">
        <v>591</v>
      </c>
      <c r="V749" s="7" t="s">
        <v>382</v>
      </c>
      <c r="W749" s="7" t="s">
        <v>74</v>
      </c>
      <c r="X749" s="7" t="s">
        <v>58</v>
      </c>
      <c r="Y749" s="8">
        <v>45261</v>
      </c>
      <c r="Z749" s="8" t="s">
        <v>0</v>
      </c>
      <c r="AA749" s="7" t="s">
        <v>383</v>
      </c>
      <c r="AB749" s="7" t="s">
        <v>387</v>
      </c>
      <c r="AC749" s="7" t="s">
        <v>65</v>
      </c>
      <c r="AD749" s="7" t="s">
        <v>0</v>
      </c>
      <c r="AE749" s="7" t="s">
        <v>0</v>
      </c>
      <c r="AF749" s="7" t="s">
        <v>0</v>
      </c>
      <c r="AG749" s="7" t="s">
        <v>0</v>
      </c>
      <c r="AH749" s="9" t="s">
        <v>0</v>
      </c>
      <c r="AI749" s="9" t="s">
        <v>0</v>
      </c>
      <c r="AJ749" s="9" t="s">
        <v>0</v>
      </c>
      <c r="AK749" s="7" t="s">
        <v>61</v>
      </c>
      <c r="AL749" s="7" t="s">
        <v>61</v>
      </c>
      <c r="AM749" s="7" t="s">
        <v>0</v>
      </c>
      <c r="AN749" s="7" t="s">
        <v>0</v>
      </c>
      <c r="AO749" s="7" t="s">
        <v>0</v>
      </c>
      <c r="AP749" s="7" t="s">
        <v>0</v>
      </c>
      <c r="AQ749" s="7" t="s">
        <v>61</v>
      </c>
      <c r="AR749" s="7" t="s">
        <v>0</v>
      </c>
      <c r="AS749" s="10" t="str">
        <f>HYPERLINK("https://tessa.gazprom-neft.local/edo/card/6a1c9bd7-6ad1-4828-8745-f1a482bc9f28", "https://tessa.gazprom-neft.local/edo/card/6a1c9bd7-6ad1-4828-8745-f1a482bc9f28")</f>
        <v>https://tessa.gazprom-neft.local/edo/card/6a1c9bd7-6ad1-4828-8745-f1a482bc9f28</v>
      </c>
    </row>
    <row r="750" spans="1:45" x14ac:dyDescent="0.25">
      <c r="A750" s="6" t="s">
        <v>44</v>
      </c>
      <c r="B750" s="7" t="s">
        <v>2291</v>
      </c>
      <c r="C750" s="7" t="s">
        <v>67</v>
      </c>
      <c r="D750" s="8">
        <v>45261</v>
      </c>
      <c r="E750" s="8" t="s">
        <v>0</v>
      </c>
      <c r="F750" s="16" t="s">
        <v>2292</v>
      </c>
      <c r="G750" s="7" t="s">
        <v>2293</v>
      </c>
      <c r="H750" s="7" t="s">
        <v>2288</v>
      </c>
      <c r="I750" s="7" t="s">
        <v>0</v>
      </c>
      <c r="J750" s="7" t="s">
        <v>955</v>
      </c>
      <c r="K750" s="7" t="s">
        <v>47</v>
      </c>
      <c r="L750" s="7" t="s">
        <v>48</v>
      </c>
      <c r="M750" s="7" t="s">
        <v>0</v>
      </c>
      <c r="N750" s="7" t="s">
        <v>8009</v>
      </c>
      <c r="O750" s="7" t="s">
        <v>0</v>
      </c>
      <c r="P750" s="7" t="s">
        <v>2289</v>
      </c>
      <c r="Q750" s="7" t="s">
        <v>2290</v>
      </c>
      <c r="R750" s="7" t="s">
        <v>1829</v>
      </c>
      <c r="S750" s="7" t="s">
        <v>1829</v>
      </c>
      <c r="T750" s="7" t="s">
        <v>54</v>
      </c>
      <c r="U750" s="7" t="s">
        <v>307</v>
      </c>
      <c r="V750" s="7" t="s">
        <v>382</v>
      </c>
      <c r="W750" s="7" t="s">
        <v>74</v>
      </c>
      <c r="X750" s="7" t="s">
        <v>103</v>
      </c>
      <c r="Y750" s="8">
        <v>45261</v>
      </c>
      <c r="Z750" s="8">
        <v>45291</v>
      </c>
      <c r="AA750" s="7" t="s">
        <v>383</v>
      </c>
      <c r="AB750" s="7" t="s">
        <v>130</v>
      </c>
      <c r="AC750" s="7" t="s">
        <v>79</v>
      </c>
      <c r="AD750" s="7" t="s">
        <v>144</v>
      </c>
      <c r="AE750" s="7" t="s">
        <v>82</v>
      </c>
      <c r="AF750" s="7" t="s">
        <v>0</v>
      </c>
      <c r="AG750" s="7" t="s">
        <v>0</v>
      </c>
      <c r="AH750" s="9" t="s">
        <v>13395</v>
      </c>
      <c r="AI750" s="9" t="s">
        <v>13396</v>
      </c>
      <c r="AJ750" s="9" t="s">
        <v>13397</v>
      </c>
      <c r="AK750" s="7" t="s">
        <v>61</v>
      </c>
      <c r="AL750" s="7" t="s">
        <v>61</v>
      </c>
      <c r="AM750" s="7" t="s">
        <v>0</v>
      </c>
      <c r="AN750" s="7" t="s">
        <v>0</v>
      </c>
      <c r="AO750" s="7" t="s">
        <v>0</v>
      </c>
      <c r="AP750" s="7" t="s">
        <v>0</v>
      </c>
      <c r="AQ750" s="7" t="s">
        <v>61</v>
      </c>
      <c r="AR750" s="7" t="s">
        <v>0</v>
      </c>
      <c r="AS750" s="10" t="str">
        <f>HYPERLINK("https://tessa.gazprom-neft.local/edo/card/6efda1a8-8c70-4648-98e6-99f5a49f4fad", "https://tessa.gazprom-neft.local/edo/card/6efda1a8-8c70-4648-98e6-99f5a49f4fad")</f>
        <v>https://tessa.gazprom-neft.local/edo/card/6efda1a8-8c70-4648-98e6-99f5a49f4fad</v>
      </c>
    </row>
    <row r="751" spans="1:45" hidden="1" x14ac:dyDescent="0.25">
      <c r="A751" s="6" t="s">
        <v>44</v>
      </c>
      <c r="B751" s="7" t="s">
        <v>60</v>
      </c>
      <c r="C751" s="7" t="s">
        <v>67</v>
      </c>
      <c r="D751" s="8">
        <v>45261</v>
      </c>
      <c r="E751" s="8" t="s">
        <v>0</v>
      </c>
      <c r="F751" s="16" t="s">
        <v>62</v>
      </c>
      <c r="G751" s="7" t="s">
        <v>63</v>
      </c>
      <c r="H751" s="7" t="s">
        <v>0</v>
      </c>
      <c r="I751" s="7" t="s">
        <v>8554</v>
      </c>
      <c r="J751" s="7" t="s">
        <v>8554</v>
      </c>
      <c r="K751" s="7" t="s">
        <v>85</v>
      </c>
      <c r="L751" s="7" t="s">
        <v>86</v>
      </c>
      <c r="M751" s="7" t="s">
        <v>216</v>
      </c>
      <c r="N751" s="7" t="s">
        <v>8553</v>
      </c>
      <c r="O751" s="7" t="s">
        <v>0</v>
      </c>
      <c r="P751" s="7" t="s">
        <v>216</v>
      </c>
      <c r="Q751" s="7" t="s">
        <v>8555</v>
      </c>
      <c r="R751" s="7" t="s">
        <v>2079</v>
      </c>
      <c r="S751" s="7" t="s">
        <v>2079</v>
      </c>
      <c r="T751" s="7" t="s">
        <v>54</v>
      </c>
      <c r="U751" s="7" t="s">
        <v>55</v>
      </c>
      <c r="V751" s="7" t="s">
        <v>308</v>
      </c>
      <c r="W751" s="7" t="s">
        <v>57</v>
      </c>
      <c r="X751" s="7" t="s">
        <v>223</v>
      </c>
      <c r="Y751" s="8">
        <v>45261</v>
      </c>
      <c r="Z751" s="8" t="s">
        <v>0</v>
      </c>
      <c r="AA751" s="7" t="s">
        <v>309</v>
      </c>
      <c r="AB751" s="7" t="s">
        <v>228</v>
      </c>
      <c r="AC751" s="7" t="s">
        <v>65</v>
      </c>
      <c r="AD751" s="7" t="s">
        <v>0</v>
      </c>
      <c r="AE751" s="7" t="s">
        <v>0</v>
      </c>
      <c r="AF751" s="7" t="s">
        <v>0</v>
      </c>
      <c r="AG751" s="7" t="s">
        <v>0</v>
      </c>
      <c r="AH751" s="9" t="s">
        <v>0</v>
      </c>
      <c r="AI751" s="9" t="s">
        <v>0</v>
      </c>
      <c r="AJ751" s="9" t="s">
        <v>0</v>
      </c>
      <c r="AK751" s="7" t="s">
        <v>61</v>
      </c>
      <c r="AL751" s="7" t="s">
        <v>61</v>
      </c>
      <c r="AM751" s="7" t="s">
        <v>0</v>
      </c>
      <c r="AN751" s="7" t="s">
        <v>0</v>
      </c>
      <c r="AO751" s="7" t="s">
        <v>0</v>
      </c>
      <c r="AP751" s="7" t="s">
        <v>0</v>
      </c>
      <c r="AQ751" s="7" t="s">
        <v>61</v>
      </c>
      <c r="AR751" s="7" t="s">
        <v>0</v>
      </c>
      <c r="AS751" s="10" t="str">
        <f>HYPERLINK("https://tessa.gazprom-neft.local/edo/card/4c6f459e-03d6-481b-8e18-5085a030dc86", "https://tessa.gazprom-neft.local/edo/card/4c6f459e-03d6-481b-8e18-5085a030dc86")</f>
        <v>https://tessa.gazprom-neft.local/edo/card/4c6f459e-03d6-481b-8e18-5085a030dc86</v>
      </c>
    </row>
    <row r="752" spans="1:45" x14ac:dyDescent="0.25">
      <c r="A752" s="6" t="s">
        <v>44</v>
      </c>
      <c r="B752" s="7" t="s">
        <v>127</v>
      </c>
      <c r="C752" s="7" t="s">
        <v>67</v>
      </c>
      <c r="D752" s="8">
        <v>45260</v>
      </c>
      <c r="E752" s="8" t="s">
        <v>0</v>
      </c>
      <c r="F752" s="16" t="s">
        <v>128</v>
      </c>
      <c r="G752" s="7" t="s">
        <v>129</v>
      </c>
      <c r="H752" s="7" t="s">
        <v>0</v>
      </c>
      <c r="I752" s="7" t="s">
        <v>0</v>
      </c>
      <c r="J752" s="7" t="s">
        <v>263</v>
      </c>
      <c r="K752" s="7" t="s">
        <v>85</v>
      </c>
      <c r="L752" s="7" t="s">
        <v>48</v>
      </c>
      <c r="M752" s="7" t="s">
        <v>1134</v>
      </c>
      <c r="N752" s="7" t="s">
        <v>7729</v>
      </c>
      <c r="O752" s="7" t="s">
        <v>0</v>
      </c>
      <c r="P752" s="7" t="s">
        <v>7730</v>
      </c>
      <c r="Q752" s="7" t="s">
        <v>1134</v>
      </c>
      <c r="R752" s="7" t="s">
        <v>124</v>
      </c>
      <c r="S752" s="7" t="s">
        <v>0</v>
      </c>
      <c r="T752" s="7" t="s">
        <v>54</v>
      </c>
      <c r="U752" s="7" t="s">
        <v>125</v>
      </c>
      <c r="V752" s="7" t="s">
        <v>126</v>
      </c>
      <c r="W752" s="7" t="s">
        <v>74</v>
      </c>
      <c r="X752" s="7" t="s">
        <v>58</v>
      </c>
      <c r="Y752" s="8">
        <v>45260</v>
      </c>
      <c r="Z752" s="8" t="s">
        <v>0</v>
      </c>
      <c r="AA752" s="7" t="s">
        <v>224</v>
      </c>
      <c r="AB752" s="7" t="s">
        <v>130</v>
      </c>
      <c r="AC752" s="7" t="s">
        <v>65</v>
      </c>
      <c r="AD752" s="7" t="s">
        <v>0</v>
      </c>
      <c r="AE752" s="7" t="s">
        <v>0</v>
      </c>
      <c r="AF752" s="7" t="s">
        <v>0</v>
      </c>
      <c r="AG752" s="7" t="s">
        <v>0</v>
      </c>
      <c r="AH752" s="9" t="s">
        <v>0</v>
      </c>
      <c r="AI752" s="9" t="s">
        <v>0</v>
      </c>
      <c r="AJ752" s="9" t="s">
        <v>0</v>
      </c>
      <c r="AK752" s="7" t="s">
        <v>61</v>
      </c>
      <c r="AL752" s="7" t="s">
        <v>61</v>
      </c>
      <c r="AM752" s="7" t="s">
        <v>0</v>
      </c>
      <c r="AN752" s="7" t="s">
        <v>0</v>
      </c>
      <c r="AO752" s="7" t="s">
        <v>0</v>
      </c>
      <c r="AP752" s="7" t="s">
        <v>0</v>
      </c>
      <c r="AQ752" s="7" t="s">
        <v>61</v>
      </c>
      <c r="AR752" s="7" t="s">
        <v>0</v>
      </c>
      <c r="AS752" s="10" t="str">
        <f>HYPERLINK("https://tessa.gazprom-neft.local/edo/card/6a1d7c19-9879-4503-8207-10f341b6f605", "https://tessa.gazprom-neft.local/edo/card/6a1d7c19-9879-4503-8207-10f341b6f605")</f>
        <v>https://tessa.gazprom-neft.local/edo/card/6a1d7c19-9879-4503-8207-10f341b6f605</v>
      </c>
    </row>
    <row r="753" spans="1:45" x14ac:dyDescent="0.25">
      <c r="A753" s="6" t="s">
        <v>44</v>
      </c>
      <c r="B753" s="7" t="s">
        <v>1067</v>
      </c>
      <c r="C753" s="7" t="s">
        <v>67</v>
      </c>
      <c r="D753" s="8">
        <v>45260</v>
      </c>
      <c r="E753" s="8" t="s">
        <v>0</v>
      </c>
      <c r="F753" s="16" t="s">
        <v>1068</v>
      </c>
      <c r="G753" s="7" t="s">
        <v>1069</v>
      </c>
      <c r="H753" s="7" t="s">
        <v>4323</v>
      </c>
      <c r="I753" s="7" t="s">
        <v>0</v>
      </c>
      <c r="J753" s="7" t="s">
        <v>355</v>
      </c>
      <c r="K753" s="7" t="s">
        <v>47</v>
      </c>
      <c r="L753" s="7" t="s">
        <v>48</v>
      </c>
      <c r="M753" s="7" t="s">
        <v>0</v>
      </c>
      <c r="N753" s="7" t="s">
        <v>7754</v>
      </c>
      <c r="O753" s="7" t="s">
        <v>0</v>
      </c>
      <c r="P753" s="7" t="s">
        <v>7755</v>
      </c>
      <c r="Q753" s="7" t="s">
        <v>7756</v>
      </c>
      <c r="R753" s="7" t="s">
        <v>1066</v>
      </c>
      <c r="S753" s="7" t="s">
        <v>0</v>
      </c>
      <c r="T753" s="7" t="s">
        <v>54</v>
      </c>
      <c r="U753" s="7" t="s">
        <v>136</v>
      </c>
      <c r="V753" s="7" t="s">
        <v>308</v>
      </c>
      <c r="W753" s="7" t="s">
        <v>74</v>
      </c>
      <c r="X753" s="7" t="s">
        <v>58</v>
      </c>
      <c r="Y753" s="8">
        <v>45260</v>
      </c>
      <c r="Z753" s="8" t="s">
        <v>0</v>
      </c>
      <c r="AA753" s="7" t="s">
        <v>309</v>
      </c>
      <c r="AB753" s="7" t="s">
        <v>2425</v>
      </c>
      <c r="AC753" s="7" t="s">
        <v>79</v>
      </c>
      <c r="AD753" s="7" t="s">
        <v>144</v>
      </c>
      <c r="AE753" s="7" t="s">
        <v>82</v>
      </c>
      <c r="AF753" s="7" t="s">
        <v>0</v>
      </c>
      <c r="AG753" s="7" t="s">
        <v>0</v>
      </c>
      <c r="AH753" s="9" t="s">
        <v>12017</v>
      </c>
      <c r="AI753" s="9" t="s">
        <v>12018</v>
      </c>
      <c r="AJ753" s="9" t="s">
        <v>12019</v>
      </c>
      <c r="AK753" s="7" t="s">
        <v>61</v>
      </c>
      <c r="AL753" s="7" t="s">
        <v>61</v>
      </c>
      <c r="AM753" s="7" t="s">
        <v>0</v>
      </c>
      <c r="AN753" s="7" t="s">
        <v>0</v>
      </c>
      <c r="AO753" s="7" t="s">
        <v>0</v>
      </c>
      <c r="AP753" s="7" t="s">
        <v>0</v>
      </c>
      <c r="AQ753" s="7" t="s">
        <v>61</v>
      </c>
      <c r="AR753" s="7" t="s">
        <v>0</v>
      </c>
      <c r="AS753" s="10" t="str">
        <f>HYPERLINK("https://tessa.gazprom-neft.local/edo/card/6b57f9c3-361f-4e85-a2de-ac91a264c0ee", "https://tessa.gazprom-neft.local/edo/card/6b57f9c3-361f-4e85-a2de-ac91a264c0ee")</f>
        <v>https://tessa.gazprom-neft.local/edo/card/6b57f9c3-361f-4e85-a2de-ac91a264c0ee</v>
      </c>
    </row>
    <row r="754" spans="1:45" x14ac:dyDescent="0.25">
      <c r="A754" s="6" t="s">
        <v>44</v>
      </c>
      <c r="B754" s="7" t="s">
        <v>2744</v>
      </c>
      <c r="C754" s="7" t="s">
        <v>67</v>
      </c>
      <c r="D754" s="8">
        <v>45260</v>
      </c>
      <c r="E754" s="8" t="s">
        <v>0</v>
      </c>
      <c r="F754" s="16" t="s">
        <v>2745</v>
      </c>
      <c r="G754" s="7" t="s">
        <v>2746</v>
      </c>
      <c r="H754" s="7" t="s">
        <v>2741</v>
      </c>
      <c r="I754" s="7" t="s">
        <v>0</v>
      </c>
      <c r="J754" s="7" t="s">
        <v>51</v>
      </c>
      <c r="K754" s="7" t="s">
        <v>47</v>
      </c>
      <c r="L754" s="7" t="s">
        <v>48</v>
      </c>
      <c r="M754" s="7" t="s">
        <v>0</v>
      </c>
      <c r="N754" s="7" t="s">
        <v>7831</v>
      </c>
      <c r="O754" s="7" t="s">
        <v>0</v>
      </c>
      <c r="P754" s="7" t="s">
        <v>7832</v>
      </c>
      <c r="Q754" s="7" t="s">
        <v>7833</v>
      </c>
      <c r="R754" s="7" t="s">
        <v>7312</v>
      </c>
      <c r="S754" s="7" t="s">
        <v>1711</v>
      </c>
      <c r="T754" s="7" t="s">
        <v>54</v>
      </c>
      <c r="U754" s="7" t="s">
        <v>605</v>
      </c>
      <c r="V754" s="7" t="s">
        <v>137</v>
      </c>
      <c r="W754" s="7" t="s">
        <v>57</v>
      </c>
      <c r="X754" s="7" t="s">
        <v>103</v>
      </c>
      <c r="Y754" s="8">
        <v>45260</v>
      </c>
      <c r="Z754" s="8">
        <v>45443</v>
      </c>
      <c r="AA754" s="7" t="s">
        <v>0</v>
      </c>
      <c r="AB754" s="7" t="s">
        <v>192</v>
      </c>
      <c r="AC754" s="7" t="s">
        <v>79</v>
      </c>
      <c r="AD754" s="7" t="s">
        <v>80</v>
      </c>
      <c r="AE754" s="7" t="s">
        <v>193</v>
      </c>
      <c r="AF754" s="7" t="s">
        <v>0</v>
      </c>
      <c r="AG754" s="7" t="s">
        <v>0</v>
      </c>
      <c r="AH754" s="9" t="s">
        <v>13346</v>
      </c>
      <c r="AI754" s="9" t="s">
        <v>13347</v>
      </c>
      <c r="AJ754" s="9" t="s">
        <v>13348</v>
      </c>
      <c r="AK754" s="7" t="s">
        <v>61</v>
      </c>
      <c r="AL754" s="7" t="s">
        <v>61</v>
      </c>
      <c r="AM754" s="7" t="s">
        <v>0</v>
      </c>
      <c r="AN754" s="7" t="s">
        <v>0</v>
      </c>
      <c r="AO754" s="7" t="s">
        <v>0</v>
      </c>
      <c r="AP754" s="7" t="s">
        <v>0</v>
      </c>
      <c r="AQ754" s="7" t="s">
        <v>61</v>
      </c>
      <c r="AR754" s="7" t="s">
        <v>0</v>
      </c>
      <c r="AS754" s="10" t="str">
        <f>HYPERLINK("https://tessa.gazprom-neft.local/edo/card/1eadc002-0dde-4d7c-804c-107fd654d18a", "https://tessa.gazprom-neft.local/edo/card/1eadc002-0dde-4d7c-804c-107fd654d18a")</f>
        <v>https://tessa.gazprom-neft.local/edo/card/1eadc002-0dde-4d7c-804c-107fd654d18a</v>
      </c>
    </row>
    <row r="755" spans="1:45" x14ac:dyDescent="0.25">
      <c r="A755" s="6" t="s">
        <v>44</v>
      </c>
      <c r="B755" s="7" t="s">
        <v>1435</v>
      </c>
      <c r="C755" s="7" t="s">
        <v>67</v>
      </c>
      <c r="D755" s="8">
        <v>45260</v>
      </c>
      <c r="E755" s="8" t="s">
        <v>0</v>
      </c>
      <c r="F755" s="16" t="s">
        <v>1436</v>
      </c>
      <c r="G755" s="7" t="s">
        <v>1437</v>
      </c>
      <c r="H755" s="7" t="s">
        <v>1432</v>
      </c>
      <c r="I755" s="7" t="s">
        <v>0</v>
      </c>
      <c r="J755" s="7" t="s">
        <v>271</v>
      </c>
      <c r="K755" s="7" t="s">
        <v>47</v>
      </c>
      <c r="L755" s="7" t="s">
        <v>48</v>
      </c>
      <c r="M755" s="7" t="s">
        <v>0</v>
      </c>
      <c r="N755" s="7" t="s">
        <v>7837</v>
      </c>
      <c r="O755" s="7" t="s">
        <v>0</v>
      </c>
      <c r="P755" s="7" t="s">
        <v>7838</v>
      </c>
      <c r="Q755" s="7" t="s">
        <v>7839</v>
      </c>
      <c r="R755" s="7" t="s">
        <v>1523</v>
      </c>
      <c r="S755" s="7" t="s">
        <v>1523</v>
      </c>
      <c r="T755" s="7" t="s">
        <v>54</v>
      </c>
      <c r="U755" s="7" t="s">
        <v>188</v>
      </c>
      <c r="V755" s="7" t="s">
        <v>187</v>
      </c>
      <c r="W755" s="7" t="s">
        <v>74</v>
      </c>
      <c r="X755" s="7" t="s">
        <v>103</v>
      </c>
      <c r="Y755" s="8">
        <v>45260</v>
      </c>
      <c r="Z755" s="8">
        <v>46081</v>
      </c>
      <c r="AA755" s="7" t="s">
        <v>224</v>
      </c>
      <c r="AB755" s="7" t="s">
        <v>64</v>
      </c>
      <c r="AC755" s="7" t="s">
        <v>79</v>
      </c>
      <c r="AD755" s="7" t="s">
        <v>80</v>
      </c>
      <c r="AE755" s="7" t="s">
        <v>82</v>
      </c>
      <c r="AF755" s="7" t="s">
        <v>0</v>
      </c>
      <c r="AG755" s="7" t="s">
        <v>7840</v>
      </c>
      <c r="AH755" s="9" t="s">
        <v>13349</v>
      </c>
      <c r="AI755" s="9" t="s">
        <v>13350</v>
      </c>
      <c r="AJ755" s="9" t="s">
        <v>13351</v>
      </c>
      <c r="AK755" s="7" t="s">
        <v>81</v>
      </c>
      <c r="AL755" s="7" t="s">
        <v>61</v>
      </c>
      <c r="AM755" s="7" t="s">
        <v>0</v>
      </c>
      <c r="AN755" s="7" t="s">
        <v>0</v>
      </c>
      <c r="AO755" s="7" t="s">
        <v>0</v>
      </c>
      <c r="AP755" s="7" t="s">
        <v>0</v>
      </c>
      <c r="AQ755" s="7" t="s">
        <v>61</v>
      </c>
      <c r="AR755" s="7" t="s">
        <v>0</v>
      </c>
      <c r="AS755" s="10" t="str">
        <f>HYPERLINK("https://tessa.gazprom-neft.local/edo/card/6cb6960e-244c-4403-92d5-b0f07189602d", "https://tessa.gazprom-neft.local/edo/card/6cb6960e-244c-4403-92d5-b0f07189602d")</f>
        <v>https://tessa.gazprom-neft.local/edo/card/6cb6960e-244c-4403-92d5-b0f07189602d</v>
      </c>
    </row>
    <row r="756" spans="1:45" x14ac:dyDescent="0.25">
      <c r="A756" s="6" t="s">
        <v>44</v>
      </c>
      <c r="B756" s="7" t="s">
        <v>488</v>
      </c>
      <c r="C756" s="7" t="s">
        <v>67</v>
      </c>
      <c r="D756" s="8">
        <v>45260</v>
      </c>
      <c r="E756" s="8" t="s">
        <v>0</v>
      </c>
      <c r="F756" s="16" t="s">
        <v>489</v>
      </c>
      <c r="G756" s="7" t="s">
        <v>490</v>
      </c>
      <c r="H756" s="7" t="s">
        <v>2173</v>
      </c>
      <c r="I756" s="7" t="s">
        <v>0</v>
      </c>
      <c r="J756" s="7" t="s">
        <v>7872</v>
      </c>
      <c r="K756" s="7" t="s">
        <v>85</v>
      </c>
      <c r="L756" s="7" t="s">
        <v>48</v>
      </c>
      <c r="M756" s="7" t="s">
        <v>1134</v>
      </c>
      <c r="N756" s="7" t="s">
        <v>7870</v>
      </c>
      <c r="O756" s="7" t="s">
        <v>0</v>
      </c>
      <c r="P756" s="7" t="s">
        <v>7871</v>
      </c>
      <c r="Q756" s="7" t="s">
        <v>7873</v>
      </c>
      <c r="R756" s="7" t="s">
        <v>422</v>
      </c>
      <c r="S756" s="7" t="s">
        <v>0</v>
      </c>
      <c r="T756" s="7" t="s">
        <v>54</v>
      </c>
      <c r="U756" s="7" t="s">
        <v>362</v>
      </c>
      <c r="V756" s="7" t="s">
        <v>56</v>
      </c>
      <c r="W756" s="7" t="s">
        <v>74</v>
      </c>
      <c r="X756" s="7" t="s">
        <v>103</v>
      </c>
      <c r="Y756" s="8">
        <v>45260</v>
      </c>
      <c r="Z756" s="8">
        <v>45657</v>
      </c>
      <c r="AA756" s="7" t="s">
        <v>0</v>
      </c>
      <c r="AB756" s="7" t="s">
        <v>874</v>
      </c>
      <c r="AC756" s="7" t="s">
        <v>65</v>
      </c>
      <c r="AD756" s="7" t="s">
        <v>144</v>
      </c>
      <c r="AE756" s="7" t="s">
        <v>0</v>
      </c>
      <c r="AF756" s="7" t="s">
        <v>0</v>
      </c>
      <c r="AG756" s="7" t="s">
        <v>0</v>
      </c>
      <c r="AH756" s="9" t="s">
        <v>0</v>
      </c>
      <c r="AI756" s="9" t="s">
        <v>0</v>
      </c>
      <c r="AJ756" s="9" t="s">
        <v>0</v>
      </c>
      <c r="AK756" s="7" t="s">
        <v>61</v>
      </c>
      <c r="AL756" s="7" t="s">
        <v>61</v>
      </c>
      <c r="AM756" s="7" t="s">
        <v>0</v>
      </c>
      <c r="AN756" s="7" t="s">
        <v>0</v>
      </c>
      <c r="AO756" s="7" t="s">
        <v>0</v>
      </c>
      <c r="AP756" s="7" t="s">
        <v>0</v>
      </c>
      <c r="AQ756" s="7" t="s">
        <v>61</v>
      </c>
      <c r="AR756" s="7" t="s">
        <v>0</v>
      </c>
      <c r="AS756" s="10" t="str">
        <f>HYPERLINK("https://tessa.gazprom-neft.local/edo/card/d7a368dd-50d7-4739-8691-8cade4b5960c", "https://tessa.gazprom-neft.local/edo/card/d7a368dd-50d7-4739-8691-8cade4b5960c")</f>
        <v>https://tessa.gazprom-neft.local/edo/card/d7a368dd-50d7-4739-8691-8cade4b5960c</v>
      </c>
    </row>
    <row r="757" spans="1:45" hidden="1" x14ac:dyDescent="0.25">
      <c r="A757" s="6" t="s">
        <v>44</v>
      </c>
      <c r="B757" s="7" t="s">
        <v>592</v>
      </c>
      <c r="C757" s="7" t="s">
        <v>67</v>
      </c>
      <c r="D757" s="8">
        <v>45260</v>
      </c>
      <c r="E757" s="8" t="s">
        <v>0</v>
      </c>
      <c r="F757" s="16" t="s">
        <v>593</v>
      </c>
      <c r="G757" s="7" t="s">
        <v>594</v>
      </c>
      <c r="H757" s="7" t="s">
        <v>0</v>
      </c>
      <c r="I757" s="7" t="s">
        <v>8005</v>
      </c>
      <c r="J757" s="7" t="s">
        <v>8005</v>
      </c>
      <c r="K757" s="7" t="s">
        <v>85</v>
      </c>
      <c r="L757" s="7" t="s">
        <v>86</v>
      </c>
      <c r="M757" s="7" t="s">
        <v>289</v>
      </c>
      <c r="N757" s="7" t="s">
        <v>8004</v>
      </c>
      <c r="O757" s="7" t="s">
        <v>0</v>
      </c>
      <c r="P757" s="7" t="s">
        <v>289</v>
      </c>
      <c r="Q757" s="7" t="s">
        <v>300</v>
      </c>
      <c r="R757" s="7" t="s">
        <v>590</v>
      </c>
      <c r="S757" s="7" t="s">
        <v>394</v>
      </c>
      <c r="T757" s="7" t="s">
        <v>54</v>
      </c>
      <c r="U757" s="7" t="s">
        <v>591</v>
      </c>
      <c r="V757" s="7" t="s">
        <v>340</v>
      </c>
      <c r="W757" s="7" t="s">
        <v>74</v>
      </c>
      <c r="X757" s="7" t="s">
        <v>58</v>
      </c>
      <c r="Y757" s="8">
        <v>45260</v>
      </c>
      <c r="Z757" s="8" t="s">
        <v>0</v>
      </c>
      <c r="AA757" s="7" t="s">
        <v>341</v>
      </c>
      <c r="AB757" s="7" t="s">
        <v>300</v>
      </c>
      <c r="AC757" s="7" t="s">
        <v>65</v>
      </c>
      <c r="AD757" s="7" t="s">
        <v>0</v>
      </c>
      <c r="AE757" s="7" t="s">
        <v>0</v>
      </c>
      <c r="AF757" s="7" t="s">
        <v>0</v>
      </c>
      <c r="AG757" s="7" t="s">
        <v>0</v>
      </c>
      <c r="AH757" s="9" t="s">
        <v>0</v>
      </c>
      <c r="AI757" s="9" t="s">
        <v>0</v>
      </c>
      <c r="AJ757" s="9" t="s">
        <v>0</v>
      </c>
      <c r="AK757" s="7" t="s">
        <v>61</v>
      </c>
      <c r="AL757" s="7" t="s">
        <v>61</v>
      </c>
      <c r="AM757" s="7" t="s">
        <v>0</v>
      </c>
      <c r="AN757" s="7" t="s">
        <v>0</v>
      </c>
      <c r="AO757" s="7" t="s">
        <v>0</v>
      </c>
      <c r="AP757" s="7" t="s">
        <v>0</v>
      </c>
      <c r="AQ757" s="7" t="s">
        <v>61</v>
      </c>
      <c r="AR757" s="7" t="s">
        <v>0</v>
      </c>
      <c r="AS757" s="10" t="str">
        <f>HYPERLINK("https://tessa.gazprom-neft.local/edo/card/9cb7823d-6f04-492f-95bb-58f5851f2d7d", "https://tessa.gazprom-neft.local/edo/card/9cb7823d-6f04-492f-95bb-58f5851f2d7d")</f>
        <v>https://tessa.gazprom-neft.local/edo/card/9cb7823d-6f04-492f-95bb-58f5851f2d7d</v>
      </c>
    </row>
    <row r="758" spans="1:45" hidden="1" x14ac:dyDescent="0.25">
      <c r="A758" s="6" t="s">
        <v>44</v>
      </c>
      <c r="B758" s="7" t="s">
        <v>395</v>
      </c>
      <c r="C758" s="7" t="s">
        <v>67</v>
      </c>
      <c r="D758" s="8">
        <v>45260</v>
      </c>
      <c r="E758" s="8" t="s">
        <v>0</v>
      </c>
      <c r="F758" s="16" t="s">
        <v>396</v>
      </c>
      <c r="G758" s="7" t="s">
        <v>397</v>
      </c>
      <c r="H758" s="7" t="s">
        <v>0</v>
      </c>
      <c r="I758" s="7" t="s">
        <v>8034</v>
      </c>
      <c r="J758" s="7" t="s">
        <v>8034</v>
      </c>
      <c r="K758" s="7" t="s">
        <v>85</v>
      </c>
      <c r="L758" s="7" t="s">
        <v>86</v>
      </c>
      <c r="M758" s="7" t="s">
        <v>289</v>
      </c>
      <c r="N758" s="7" t="s">
        <v>8033</v>
      </c>
      <c r="O758" s="7" t="s">
        <v>0</v>
      </c>
      <c r="P758" s="7" t="s">
        <v>289</v>
      </c>
      <c r="Q758" s="7" t="s">
        <v>8035</v>
      </c>
      <c r="R758" s="7" t="s">
        <v>590</v>
      </c>
      <c r="S758" s="7" t="s">
        <v>0</v>
      </c>
      <c r="T758" s="7" t="s">
        <v>54</v>
      </c>
      <c r="U758" s="7" t="s">
        <v>591</v>
      </c>
      <c r="V758" s="7" t="s">
        <v>340</v>
      </c>
      <c r="W758" s="7" t="s">
        <v>74</v>
      </c>
      <c r="X758" s="7" t="s">
        <v>58</v>
      </c>
      <c r="Y758" s="8">
        <v>45260</v>
      </c>
      <c r="Z758" s="8" t="s">
        <v>0</v>
      </c>
      <c r="AA758" s="7" t="s">
        <v>341</v>
      </c>
      <c r="AB758" s="7" t="s">
        <v>300</v>
      </c>
      <c r="AC758" s="7" t="s">
        <v>65</v>
      </c>
      <c r="AD758" s="7" t="s">
        <v>0</v>
      </c>
      <c r="AE758" s="7" t="s">
        <v>0</v>
      </c>
      <c r="AF758" s="7" t="s">
        <v>0</v>
      </c>
      <c r="AG758" s="7" t="s">
        <v>0</v>
      </c>
      <c r="AH758" s="9" t="s">
        <v>0</v>
      </c>
      <c r="AI758" s="9" t="s">
        <v>0</v>
      </c>
      <c r="AJ758" s="9" t="s">
        <v>0</v>
      </c>
      <c r="AK758" s="7" t="s">
        <v>61</v>
      </c>
      <c r="AL758" s="7" t="s">
        <v>61</v>
      </c>
      <c r="AM758" s="7" t="s">
        <v>0</v>
      </c>
      <c r="AN758" s="7" t="s">
        <v>0</v>
      </c>
      <c r="AO758" s="7" t="s">
        <v>0</v>
      </c>
      <c r="AP758" s="7" t="s">
        <v>0</v>
      </c>
      <c r="AQ758" s="7" t="s">
        <v>61</v>
      </c>
      <c r="AR758" s="7" t="s">
        <v>0</v>
      </c>
      <c r="AS758" s="10" t="str">
        <f>HYPERLINK("https://tessa.gazprom-neft.local/edo/card/62de2692-8290-4eac-951e-331c1d91be9d", "https://tessa.gazprom-neft.local/edo/card/62de2692-8290-4eac-951e-331c1d91be9d")</f>
        <v>https://tessa.gazprom-neft.local/edo/card/62de2692-8290-4eac-951e-331c1d91be9d</v>
      </c>
    </row>
    <row r="759" spans="1:45" hidden="1" x14ac:dyDescent="0.25">
      <c r="A759" s="6" t="s">
        <v>44</v>
      </c>
      <c r="B759" s="7" t="s">
        <v>275</v>
      </c>
      <c r="C759" s="7" t="s">
        <v>67</v>
      </c>
      <c r="D759" s="8">
        <v>45260</v>
      </c>
      <c r="E759" s="8" t="s">
        <v>0</v>
      </c>
      <c r="F759" s="16" t="s">
        <v>276</v>
      </c>
      <c r="G759" s="7" t="s">
        <v>277</v>
      </c>
      <c r="H759" s="7" t="s">
        <v>0</v>
      </c>
      <c r="I759" s="7" t="s">
        <v>8152</v>
      </c>
      <c r="J759" s="7" t="s">
        <v>8152</v>
      </c>
      <c r="K759" s="7" t="s">
        <v>85</v>
      </c>
      <c r="L759" s="7" t="s">
        <v>86</v>
      </c>
      <c r="M759" s="7" t="s">
        <v>289</v>
      </c>
      <c r="N759" s="7" t="s">
        <v>8151</v>
      </c>
      <c r="O759" s="7" t="s">
        <v>0</v>
      </c>
      <c r="P759" s="7" t="s">
        <v>289</v>
      </c>
      <c r="Q759" s="7" t="s">
        <v>8153</v>
      </c>
      <c r="R759" s="7" t="s">
        <v>427</v>
      </c>
      <c r="S759" s="7" t="s">
        <v>427</v>
      </c>
      <c r="T759" s="7" t="s">
        <v>54</v>
      </c>
      <c r="U759" s="7" t="s">
        <v>428</v>
      </c>
      <c r="V759" s="7" t="s">
        <v>340</v>
      </c>
      <c r="W759" s="7" t="s">
        <v>74</v>
      </c>
      <c r="X759" s="7" t="s">
        <v>223</v>
      </c>
      <c r="Y759" s="8">
        <v>45260</v>
      </c>
      <c r="Z759" s="8" t="s">
        <v>0</v>
      </c>
      <c r="AA759" s="7" t="s">
        <v>341</v>
      </c>
      <c r="AB759" s="7" t="s">
        <v>300</v>
      </c>
      <c r="AC759" s="7" t="s">
        <v>65</v>
      </c>
      <c r="AD759" s="7" t="s">
        <v>0</v>
      </c>
      <c r="AE759" s="7" t="s">
        <v>0</v>
      </c>
      <c r="AF759" s="7" t="s">
        <v>0</v>
      </c>
      <c r="AG759" s="7" t="s">
        <v>0</v>
      </c>
      <c r="AH759" s="9" t="s">
        <v>0</v>
      </c>
      <c r="AI759" s="9" t="s">
        <v>0</v>
      </c>
      <c r="AJ759" s="9" t="s">
        <v>0</v>
      </c>
      <c r="AK759" s="7" t="s">
        <v>61</v>
      </c>
      <c r="AL759" s="7" t="s">
        <v>61</v>
      </c>
      <c r="AM759" s="7" t="s">
        <v>0</v>
      </c>
      <c r="AN759" s="7" t="s">
        <v>0</v>
      </c>
      <c r="AO759" s="7" t="s">
        <v>0</v>
      </c>
      <c r="AP759" s="7" t="s">
        <v>0</v>
      </c>
      <c r="AQ759" s="7" t="s">
        <v>61</v>
      </c>
      <c r="AR759" s="7" t="s">
        <v>0</v>
      </c>
      <c r="AS759" s="10" t="str">
        <f>HYPERLINK("https://tessa.gazprom-neft.local/edo/card/ce293f92-e90a-4e2e-984c-84f9f8f79466", "https://tessa.gazprom-neft.local/edo/card/ce293f92-e90a-4e2e-984c-84f9f8f79466")</f>
        <v>https://tessa.gazprom-neft.local/edo/card/ce293f92-e90a-4e2e-984c-84f9f8f79466</v>
      </c>
    </row>
    <row r="760" spans="1:45" hidden="1" x14ac:dyDescent="0.25">
      <c r="A760" s="6" t="s">
        <v>44</v>
      </c>
      <c r="B760" s="7" t="s">
        <v>1386</v>
      </c>
      <c r="C760" s="7" t="s">
        <v>67</v>
      </c>
      <c r="D760" s="8">
        <v>45260</v>
      </c>
      <c r="E760" s="8" t="s">
        <v>0</v>
      </c>
      <c r="F760" s="16" t="s">
        <v>1387</v>
      </c>
      <c r="G760" s="7" t="s">
        <v>1388</v>
      </c>
      <c r="H760" s="7" t="s">
        <v>0</v>
      </c>
      <c r="I760" s="7" t="s">
        <v>8161</v>
      </c>
      <c r="J760" s="7" t="s">
        <v>8161</v>
      </c>
      <c r="K760" s="7" t="s">
        <v>85</v>
      </c>
      <c r="L760" s="7" t="s">
        <v>86</v>
      </c>
      <c r="M760" s="7" t="s">
        <v>289</v>
      </c>
      <c r="N760" s="7" t="s">
        <v>8160</v>
      </c>
      <c r="O760" s="7" t="s">
        <v>0</v>
      </c>
      <c r="P760" s="7" t="s">
        <v>289</v>
      </c>
      <c r="Q760" s="7" t="s">
        <v>8153</v>
      </c>
      <c r="R760" s="7" t="s">
        <v>427</v>
      </c>
      <c r="S760" s="7" t="s">
        <v>427</v>
      </c>
      <c r="T760" s="7" t="s">
        <v>54</v>
      </c>
      <c r="U760" s="7" t="s">
        <v>428</v>
      </c>
      <c r="V760" s="7" t="s">
        <v>340</v>
      </c>
      <c r="W760" s="7" t="s">
        <v>57</v>
      </c>
      <c r="X760" s="7" t="s">
        <v>223</v>
      </c>
      <c r="Y760" s="8">
        <v>45260</v>
      </c>
      <c r="Z760" s="8" t="s">
        <v>0</v>
      </c>
      <c r="AA760" s="7" t="s">
        <v>341</v>
      </c>
      <c r="AB760" s="7" t="s">
        <v>300</v>
      </c>
      <c r="AC760" s="7" t="s">
        <v>65</v>
      </c>
      <c r="AD760" s="7" t="s">
        <v>0</v>
      </c>
      <c r="AE760" s="7" t="s">
        <v>0</v>
      </c>
      <c r="AF760" s="7" t="s">
        <v>0</v>
      </c>
      <c r="AG760" s="7" t="s">
        <v>0</v>
      </c>
      <c r="AH760" s="9" t="s">
        <v>0</v>
      </c>
      <c r="AI760" s="9" t="s">
        <v>0</v>
      </c>
      <c r="AJ760" s="9" t="s">
        <v>0</v>
      </c>
      <c r="AK760" s="7" t="s">
        <v>61</v>
      </c>
      <c r="AL760" s="7" t="s">
        <v>61</v>
      </c>
      <c r="AM760" s="7" t="s">
        <v>0</v>
      </c>
      <c r="AN760" s="7" t="s">
        <v>0</v>
      </c>
      <c r="AO760" s="7" t="s">
        <v>0</v>
      </c>
      <c r="AP760" s="7" t="s">
        <v>0</v>
      </c>
      <c r="AQ760" s="7" t="s">
        <v>61</v>
      </c>
      <c r="AR760" s="7" t="s">
        <v>0</v>
      </c>
      <c r="AS760" s="10" t="str">
        <f>HYPERLINK("https://tessa.gazprom-neft.local/edo/card/d6ad58e5-6f13-4267-806f-f9acad0a57ec", "https://tessa.gazprom-neft.local/edo/card/d6ad58e5-6f13-4267-806f-f9acad0a57ec")</f>
        <v>https://tessa.gazprom-neft.local/edo/card/d6ad58e5-6f13-4267-806f-f9acad0a57ec</v>
      </c>
    </row>
    <row r="761" spans="1:45" hidden="1" x14ac:dyDescent="0.25">
      <c r="A761" s="6" t="s">
        <v>44</v>
      </c>
      <c r="B761" s="7" t="s">
        <v>8171</v>
      </c>
      <c r="C761" s="7" t="s">
        <v>67</v>
      </c>
      <c r="D761" s="8">
        <v>45260</v>
      </c>
      <c r="E761" s="8" t="s">
        <v>0</v>
      </c>
      <c r="F761" s="16" t="s">
        <v>8172</v>
      </c>
      <c r="G761" s="7" t="s">
        <v>8173</v>
      </c>
      <c r="H761" s="7" t="s">
        <v>0</v>
      </c>
      <c r="I761" s="7" t="s">
        <v>8170</v>
      </c>
      <c r="J761" s="7" t="s">
        <v>8170</v>
      </c>
      <c r="K761" s="7" t="s">
        <v>85</v>
      </c>
      <c r="L761" s="7" t="s">
        <v>86</v>
      </c>
      <c r="M761" s="7" t="s">
        <v>289</v>
      </c>
      <c r="N761" s="7" t="s">
        <v>8169</v>
      </c>
      <c r="O761" s="7" t="s">
        <v>0</v>
      </c>
      <c r="P761" s="7" t="s">
        <v>289</v>
      </c>
      <c r="Q761" s="7" t="s">
        <v>8153</v>
      </c>
      <c r="R761" s="7" t="s">
        <v>427</v>
      </c>
      <c r="S761" s="7" t="s">
        <v>427</v>
      </c>
      <c r="T761" s="7" t="s">
        <v>54</v>
      </c>
      <c r="U761" s="7" t="s">
        <v>428</v>
      </c>
      <c r="V761" s="7" t="s">
        <v>340</v>
      </c>
      <c r="W761" s="7" t="s">
        <v>57</v>
      </c>
      <c r="X761" s="7" t="s">
        <v>223</v>
      </c>
      <c r="Y761" s="8">
        <v>45260</v>
      </c>
      <c r="Z761" s="8" t="s">
        <v>0</v>
      </c>
      <c r="AA761" s="7" t="s">
        <v>341</v>
      </c>
      <c r="AB761" s="7" t="s">
        <v>300</v>
      </c>
      <c r="AC761" s="7" t="s">
        <v>65</v>
      </c>
      <c r="AD761" s="7" t="s">
        <v>0</v>
      </c>
      <c r="AE761" s="7" t="s">
        <v>0</v>
      </c>
      <c r="AF761" s="7" t="s">
        <v>0</v>
      </c>
      <c r="AG761" s="7" t="s">
        <v>0</v>
      </c>
      <c r="AH761" s="9" t="s">
        <v>0</v>
      </c>
      <c r="AI761" s="9" t="s">
        <v>0</v>
      </c>
      <c r="AJ761" s="9" t="s">
        <v>0</v>
      </c>
      <c r="AK761" s="7" t="s">
        <v>61</v>
      </c>
      <c r="AL761" s="7" t="s">
        <v>61</v>
      </c>
      <c r="AM761" s="7" t="s">
        <v>0</v>
      </c>
      <c r="AN761" s="7" t="s">
        <v>0</v>
      </c>
      <c r="AO761" s="7" t="s">
        <v>0</v>
      </c>
      <c r="AP761" s="7" t="s">
        <v>0</v>
      </c>
      <c r="AQ761" s="7" t="s">
        <v>61</v>
      </c>
      <c r="AR761" s="7" t="s">
        <v>0</v>
      </c>
      <c r="AS761" s="10" t="str">
        <f>HYPERLINK("https://tessa.gazprom-neft.local/edo/card/062d9b6d-7e1b-4c5b-a163-a1eacc59efeb", "https://tessa.gazprom-neft.local/edo/card/062d9b6d-7e1b-4c5b-a163-a1eacc59efeb")</f>
        <v>https://tessa.gazprom-neft.local/edo/card/062d9b6d-7e1b-4c5b-a163-a1eacc59efeb</v>
      </c>
    </row>
    <row r="762" spans="1:45" hidden="1" x14ac:dyDescent="0.25">
      <c r="A762" s="6" t="s">
        <v>44</v>
      </c>
      <c r="B762" s="7" t="s">
        <v>1435</v>
      </c>
      <c r="C762" s="7" t="s">
        <v>67</v>
      </c>
      <c r="D762" s="8">
        <v>45260</v>
      </c>
      <c r="E762" s="8" t="s">
        <v>0</v>
      </c>
      <c r="F762" s="16" t="s">
        <v>1436</v>
      </c>
      <c r="G762" s="7" t="s">
        <v>1437</v>
      </c>
      <c r="H762" s="7" t="s">
        <v>0</v>
      </c>
      <c r="I762" s="7" t="s">
        <v>8298</v>
      </c>
      <c r="J762" s="7" t="s">
        <v>8298</v>
      </c>
      <c r="K762" s="7" t="s">
        <v>85</v>
      </c>
      <c r="L762" s="7" t="s">
        <v>86</v>
      </c>
      <c r="M762" s="7" t="s">
        <v>289</v>
      </c>
      <c r="N762" s="7" t="s">
        <v>8297</v>
      </c>
      <c r="O762" s="7" t="s">
        <v>0</v>
      </c>
      <c r="P762" s="7" t="s">
        <v>289</v>
      </c>
      <c r="Q762" s="7" t="s">
        <v>8299</v>
      </c>
      <c r="R762" s="7" t="s">
        <v>1523</v>
      </c>
      <c r="S762" s="7" t="s">
        <v>1523</v>
      </c>
      <c r="T762" s="7" t="s">
        <v>54</v>
      </c>
      <c r="U762" s="7" t="s">
        <v>188</v>
      </c>
      <c r="V762" s="7" t="s">
        <v>340</v>
      </c>
      <c r="W762" s="7" t="s">
        <v>74</v>
      </c>
      <c r="X762" s="7" t="s">
        <v>58</v>
      </c>
      <c r="Y762" s="8">
        <v>45242</v>
      </c>
      <c r="Z762" s="8" t="s">
        <v>0</v>
      </c>
      <c r="AA762" s="7" t="s">
        <v>341</v>
      </c>
      <c r="AB762" s="7" t="s">
        <v>300</v>
      </c>
      <c r="AC762" s="7" t="s">
        <v>65</v>
      </c>
      <c r="AD762" s="7" t="s">
        <v>0</v>
      </c>
      <c r="AE762" s="7" t="s">
        <v>0</v>
      </c>
      <c r="AF762" s="7" t="s">
        <v>0</v>
      </c>
      <c r="AG762" s="7" t="s">
        <v>0</v>
      </c>
      <c r="AH762" s="9" t="s">
        <v>0</v>
      </c>
      <c r="AI762" s="9" t="s">
        <v>0</v>
      </c>
      <c r="AJ762" s="9" t="s">
        <v>0</v>
      </c>
      <c r="AK762" s="7" t="s">
        <v>61</v>
      </c>
      <c r="AL762" s="7" t="s">
        <v>61</v>
      </c>
      <c r="AM762" s="7" t="s">
        <v>0</v>
      </c>
      <c r="AN762" s="7" t="s">
        <v>0</v>
      </c>
      <c r="AO762" s="7" t="s">
        <v>0</v>
      </c>
      <c r="AP762" s="7" t="s">
        <v>0</v>
      </c>
      <c r="AQ762" s="7" t="s">
        <v>61</v>
      </c>
      <c r="AR762" s="7" t="s">
        <v>0</v>
      </c>
      <c r="AS762" s="10" t="str">
        <f>HYPERLINK("https://tessa.gazprom-neft.local/edo/card/d8b46c49-1717-46ad-a236-269bea17f10a", "https://tessa.gazprom-neft.local/edo/card/d8b46c49-1717-46ad-a236-269bea17f10a")</f>
        <v>https://tessa.gazprom-neft.local/edo/card/d8b46c49-1717-46ad-a236-269bea17f10a</v>
      </c>
    </row>
    <row r="763" spans="1:45" hidden="1" x14ac:dyDescent="0.25">
      <c r="A763" s="6" t="s">
        <v>44</v>
      </c>
      <c r="B763" s="7" t="s">
        <v>8274</v>
      </c>
      <c r="C763" s="7" t="s">
        <v>67</v>
      </c>
      <c r="D763" s="8">
        <v>45260</v>
      </c>
      <c r="E763" s="8" t="s">
        <v>0</v>
      </c>
      <c r="F763" s="16" t="s">
        <v>8275</v>
      </c>
      <c r="G763" s="7" t="s">
        <v>8276</v>
      </c>
      <c r="H763" s="7" t="s">
        <v>0</v>
      </c>
      <c r="I763" s="7" t="s">
        <v>8675</v>
      </c>
      <c r="J763" s="7" t="s">
        <v>8675</v>
      </c>
      <c r="K763" s="7" t="s">
        <v>47</v>
      </c>
      <c r="L763" s="7" t="s">
        <v>86</v>
      </c>
      <c r="M763" s="7" t="s">
        <v>0</v>
      </c>
      <c r="N763" s="7" t="s">
        <v>8674</v>
      </c>
      <c r="O763" s="7" t="s">
        <v>0</v>
      </c>
      <c r="P763" s="7" t="s">
        <v>289</v>
      </c>
      <c r="Q763" s="7" t="s">
        <v>8676</v>
      </c>
      <c r="R763" s="7" t="s">
        <v>1523</v>
      </c>
      <c r="S763" s="7" t="s">
        <v>1523</v>
      </c>
      <c r="T763" s="7" t="s">
        <v>54</v>
      </c>
      <c r="U763" s="7" t="s">
        <v>188</v>
      </c>
      <c r="V763" s="7" t="s">
        <v>340</v>
      </c>
      <c r="W763" s="7" t="s">
        <v>57</v>
      </c>
      <c r="X763" s="7" t="s">
        <v>58</v>
      </c>
      <c r="Y763" s="8">
        <v>45260</v>
      </c>
      <c r="Z763" s="8" t="s">
        <v>0</v>
      </c>
      <c r="AA763" s="7" t="s">
        <v>341</v>
      </c>
      <c r="AB763" s="7" t="s">
        <v>300</v>
      </c>
      <c r="AC763" s="7" t="s">
        <v>65</v>
      </c>
      <c r="AD763" s="7" t="s">
        <v>0</v>
      </c>
      <c r="AE763" s="7" t="s">
        <v>0</v>
      </c>
      <c r="AF763" s="7" t="s">
        <v>0</v>
      </c>
      <c r="AG763" s="7" t="s">
        <v>0</v>
      </c>
      <c r="AH763" s="9" t="s">
        <v>0</v>
      </c>
      <c r="AI763" s="9" t="s">
        <v>0</v>
      </c>
      <c r="AJ763" s="9" t="s">
        <v>0</v>
      </c>
      <c r="AK763" s="7" t="s">
        <v>61</v>
      </c>
      <c r="AL763" s="7" t="s">
        <v>61</v>
      </c>
      <c r="AM763" s="7" t="s">
        <v>0</v>
      </c>
      <c r="AN763" s="7" t="s">
        <v>0</v>
      </c>
      <c r="AO763" s="7" t="s">
        <v>0</v>
      </c>
      <c r="AP763" s="7" t="s">
        <v>0</v>
      </c>
      <c r="AQ763" s="7" t="s">
        <v>61</v>
      </c>
      <c r="AR763" s="7" t="s">
        <v>0</v>
      </c>
      <c r="AS763" s="10" t="str">
        <f>HYPERLINK("https://tessa.gazprom-neft.local/edo/card/72fcfa30-479b-4b3e-9beb-4945eca9ca9a", "https://tessa.gazprom-neft.local/edo/card/72fcfa30-479b-4b3e-9beb-4945eca9ca9a")</f>
        <v>https://tessa.gazprom-neft.local/edo/card/72fcfa30-479b-4b3e-9beb-4945eca9ca9a</v>
      </c>
    </row>
    <row r="764" spans="1:45" hidden="1" x14ac:dyDescent="0.25">
      <c r="A764" s="6" t="s">
        <v>44</v>
      </c>
      <c r="B764" s="7" t="s">
        <v>813</v>
      </c>
      <c r="C764" s="7" t="s">
        <v>67</v>
      </c>
      <c r="D764" s="8">
        <v>45259</v>
      </c>
      <c r="E764" s="8" t="s">
        <v>0</v>
      </c>
      <c r="F764" s="16" t="s">
        <v>814</v>
      </c>
      <c r="G764" s="7" t="s">
        <v>815</v>
      </c>
      <c r="H764" s="7" t="s">
        <v>809</v>
      </c>
      <c r="I764" s="7" t="s">
        <v>0</v>
      </c>
      <c r="J764" s="7" t="s">
        <v>538</v>
      </c>
      <c r="K764" s="7" t="s">
        <v>47</v>
      </c>
      <c r="L764" s="7" t="s">
        <v>709</v>
      </c>
      <c r="M764" s="7" t="s">
        <v>0</v>
      </c>
      <c r="N764" s="7" t="s">
        <v>7793</v>
      </c>
      <c r="O764" s="7" t="s">
        <v>0</v>
      </c>
      <c r="P764" s="7" t="s">
        <v>7794</v>
      </c>
      <c r="Q764" s="7" t="s">
        <v>7795</v>
      </c>
      <c r="R764" s="7" t="s">
        <v>393</v>
      </c>
      <c r="S764" s="7" t="s">
        <v>812</v>
      </c>
      <c r="T764" s="7" t="s">
        <v>54</v>
      </c>
      <c r="U764" s="7" t="s">
        <v>55</v>
      </c>
      <c r="V764" s="7" t="s">
        <v>56</v>
      </c>
      <c r="W764" s="7" t="s">
        <v>74</v>
      </c>
      <c r="X764" s="7" t="s">
        <v>58</v>
      </c>
      <c r="Y764" s="8">
        <v>45259</v>
      </c>
      <c r="Z764" s="8" t="s">
        <v>0</v>
      </c>
      <c r="AA764" s="7" t="s">
        <v>212</v>
      </c>
      <c r="AB764" s="7" t="s">
        <v>256</v>
      </c>
      <c r="AC764" s="7" t="s">
        <v>79</v>
      </c>
      <c r="AD764" s="7" t="s">
        <v>80</v>
      </c>
      <c r="AE764" s="7" t="s">
        <v>82</v>
      </c>
      <c r="AF764" s="7" t="s">
        <v>0</v>
      </c>
      <c r="AG764" s="7" t="s">
        <v>0</v>
      </c>
      <c r="AH764" s="9" t="s">
        <v>13314</v>
      </c>
      <c r="AI764" s="9" t="s">
        <v>13315</v>
      </c>
      <c r="AJ764" s="9" t="s">
        <v>13316</v>
      </c>
      <c r="AK764" s="7" t="s">
        <v>61</v>
      </c>
      <c r="AL764" s="7" t="s">
        <v>61</v>
      </c>
      <c r="AM764" s="7" t="s">
        <v>0</v>
      </c>
      <c r="AN764" s="7" t="s">
        <v>0</v>
      </c>
      <c r="AO764" s="7" t="s">
        <v>0</v>
      </c>
      <c r="AP764" s="7" t="s">
        <v>0</v>
      </c>
      <c r="AQ764" s="7" t="s">
        <v>61</v>
      </c>
      <c r="AR764" s="7" t="s">
        <v>0</v>
      </c>
      <c r="AS764" s="10" t="str">
        <f>HYPERLINK("https://tessa.gazprom-neft.local/edo/card/9bc8473e-7852-416f-a60f-88d94ab228c4", "https://tessa.gazprom-neft.local/edo/card/9bc8473e-7852-416f-a60f-88d94ab228c4")</f>
        <v>https://tessa.gazprom-neft.local/edo/card/9bc8473e-7852-416f-a60f-88d94ab228c4</v>
      </c>
    </row>
    <row r="765" spans="1:45" hidden="1" x14ac:dyDescent="0.25">
      <c r="A765" s="6" t="s">
        <v>44</v>
      </c>
      <c r="B765" s="7" t="s">
        <v>813</v>
      </c>
      <c r="C765" s="7" t="s">
        <v>67</v>
      </c>
      <c r="D765" s="8">
        <v>45259</v>
      </c>
      <c r="E765" s="8" t="s">
        <v>0</v>
      </c>
      <c r="F765" s="16" t="s">
        <v>814</v>
      </c>
      <c r="G765" s="7" t="s">
        <v>815</v>
      </c>
      <c r="H765" s="7" t="s">
        <v>809</v>
      </c>
      <c r="I765" s="7" t="s">
        <v>0</v>
      </c>
      <c r="J765" s="7" t="s">
        <v>657</v>
      </c>
      <c r="K765" s="7" t="s">
        <v>47</v>
      </c>
      <c r="L765" s="7" t="s">
        <v>709</v>
      </c>
      <c r="M765" s="7" t="s">
        <v>0</v>
      </c>
      <c r="N765" s="7" t="s">
        <v>7804</v>
      </c>
      <c r="O765" s="7" t="s">
        <v>0</v>
      </c>
      <c r="P765" s="7" t="s">
        <v>7805</v>
      </c>
      <c r="Q765" s="7" t="s">
        <v>7806</v>
      </c>
      <c r="R765" s="7" t="s">
        <v>393</v>
      </c>
      <c r="S765" s="7" t="s">
        <v>812</v>
      </c>
      <c r="T765" s="7" t="s">
        <v>54</v>
      </c>
      <c r="U765" s="7" t="s">
        <v>55</v>
      </c>
      <c r="V765" s="7" t="s">
        <v>56</v>
      </c>
      <c r="W765" s="7" t="s">
        <v>74</v>
      </c>
      <c r="X765" s="7" t="s">
        <v>58</v>
      </c>
      <c r="Y765" s="8">
        <v>45259</v>
      </c>
      <c r="Z765" s="8" t="s">
        <v>0</v>
      </c>
      <c r="AA765" s="7" t="s">
        <v>212</v>
      </c>
      <c r="AB765" s="7" t="s">
        <v>256</v>
      </c>
      <c r="AC765" s="7" t="s">
        <v>79</v>
      </c>
      <c r="AD765" s="7" t="s">
        <v>80</v>
      </c>
      <c r="AE765" s="7" t="s">
        <v>82</v>
      </c>
      <c r="AF765" s="7" t="s">
        <v>0</v>
      </c>
      <c r="AG765" s="7" t="s">
        <v>0</v>
      </c>
      <c r="AH765" s="9" t="s">
        <v>13323</v>
      </c>
      <c r="AI765" s="9" t="s">
        <v>13324</v>
      </c>
      <c r="AJ765" s="9" t="s">
        <v>13325</v>
      </c>
      <c r="AK765" s="7" t="s">
        <v>61</v>
      </c>
      <c r="AL765" s="7" t="s">
        <v>61</v>
      </c>
      <c r="AM765" s="7" t="s">
        <v>0</v>
      </c>
      <c r="AN765" s="7" t="s">
        <v>0</v>
      </c>
      <c r="AO765" s="7" t="s">
        <v>0</v>
      </c>
      <c r="AP765" s="7" t="s">
        <v>0</v>
      </c>
      <c r="AQ765" s="7" t="s">
        <v>61</v>
      </c>
      <c r="AR765" s="7" t="s">
        <v>0</v>
      </c>
      <c r="AS765" s="10" t="str">
        <f>HYPERLINK("https://tessa.gazprom-neft.local/edo/card/45c87709-edf1-4946-acec-080bd82a6e74", "https://tessa.gazprom-neft.local/edo/card/45c87709-edf1-4946-acec-080bd82a6e74")</f>
        <v>https://tessa.gazprom-neft.local/edo/card/45c87709-edf1-4946-acec-080bd82a6e74</v>
      </c>
    </row>
    <row r="766" spans="1:45" x14ac:dyDescent="0.25">
      <c r="A766" s="6" t="s">
        <v>44</v>
      </c>
      <c r="B766" s="7" t="s">
        <v>1623</v>
      </c>
      <c r="C766" s="7" t="s">
        <v>67</v>
      </c>
      <c r="D766" s="8">
        <v>45258</v>
      </c>
      <c r="E766" s="8" t="s">
        <v>0</v>
      </c>
      <c r="F766" s="16" t="s">
        <v>1624</v>
      </c>
      <c r="G766" s="7" t="s">
        <v>1625</v>
      </c>
      <c r="H766" s="7" t="s">
        <v>6122</v>
      </c>
      <c r="I766" s="7" t="s">
        <v>0</v>
      </c>
      <c r="J766" s="7" t="s">
        <v>51</v>
      </c>
      <c r="K766" s="7" t="s">
        <v>47</v>
      </c>
      <c r="L766" s="7" t="s">
        <v>48</v>
      </c>
      <c r="M766" s="7" t="s">
        <v>0</v>
      </c>
      <c r="N766" s="7" t="s">
        <v>7695</v>
      </c>
      <c r="O766" s="7" t="s">
        <v>0</v>
      </c>
      <c r="P766" s="7" t="s">
        <v>7696</v>
      </c>
      <c r="Q766" s="7" t="s">
        <v>7697</v>
      </c>
      <c r="R766" s="7" t="s">
        <v>422</v>
      </c>
      <c r="S766" s="7" t="s">
        <v>422</v>
      </c>
      <c r="T766" s="7" t="s">
        <v>54</v>
      </c>
      <c r="U766" s="7" t="s">
        <v>362</v>
      </c>
      <c r="V766" s="7" t="s">
        <v>56</v>
      </c>
      <c r="W766" s="7" t="s">
        <v>74</v>
      </c>
      <c r="X766" s="7" t="s">
        <v>103</v>
      </c>
      <c r="Y766" s="8">
        <v>45194</v>
      </c>
      <c r="Z766" s="8">
        <v>45291</v>
      </c>
      <c r="AA766" s="7" t="s">
        <v>0</v>
      </c>
      <c r="AB766" s="7" t="s">
        <v>256</v>
      </c>
      <c r="AC766" s="7" t="s">
        <v>79</v>
      </c>
      <c r="AD766" s="7" t="s">
        <v>144</v>
      </c>
      <c r="AE766" s="7" t="s">
        <v>82</v>
      </c>
      <c r="AF766" s="7" t="s">
        <v>0</v>
      </c>
      <c r="AG766" s="7" t="s">
        <v>7698</v>
      </c>
      <c r="AH766" s="9" t="s">
        <v>13274</v>
      </c>
      <c r="AI766" s="9" t="s">
        <v>13275</v>
      </c>
      <c r="AJ766" s="9" t="s">
        <v>13276</v>
      </c>
      <c r="AK766" s="7" t="s">
        <v>81</v>
      </c>
      <c r="AL766" s="7" t="s">
        <v>61</v>
      </c>
      <c r="AM766" s="7" t="s">
        <v>0</v>
      </c>
      <c r="AN766" s="7" t="s">
        <v>0</v>
      </c>
      <c r="AO766" s="7" t="s">
        <v>0</v>
      </c>
      <c r="AP766" s="7" t="s">
        <v>0</v>
      </c>
      <c r="AQ766" s="7" t="s">
        <v>61</v>
      </c>
      <c r="AR766" s="7" t="s">
        <v>0</v>
      </c>
      <c r="AS766" s="10" t="str">
        <f>HYPERLINK("https://tessa.gazprom-neft.local/edo/card/4cdf2113-0511-4eb7-a33b-ad5816ab3ff7", "https://tessa.gazprom-neft.local/edo/card/4cdf2113-0511-4eb7-a33b-ad5816ab3ff7")</f>
        <v>https://tessa.gazprom-neft.local/edo/card/4cdf2113-0511-4eb7-a33b-ad5816ab3ff7</v>
      </c>
    </row>
    <row r="767" spans="1:45" x14ac:dyDescent="0.25">
      <c r="A767" s="6" t="s">
        <v>44</v>
      </c>
      <c r="B767" s="7" t="s">
        <v>813</v>
      </c>
      <c r="C767" s="7" t="s">
        <v>67</v>
      </c>
      <c r="D767" s="8">
        <v>45258</v>
      </c>
      <c r="E767" s="8" t="s">
        <v>0</v>
      </c>
      <c r="F767" s="16" t="s">
        <v>814</v>
      </c>
      <c r="G767" s="7" t="s">
        <v>815</v>
      </c>
      <c r="H767" s="7" t="s">
        <v>809</v>
      </c>
      <c r="I767" s="7" t="s">
        <v>0</v>
      </c>
      <c r="J767" s="7" t="s">
        <v>936</v>
      </c>
      <c r="K767" s="7" t="s">
        <v>47</v>
      </c>
      <c r="L767" s="7" t="s">
        <v>48</v>
      </c>
      <c r="M767" s="7" t="s">
        <v>0</v>
      </c>
      <c r="N767" s="7" t="s">
        <v>7787</v>
      </c>
      <c r="O767" s="7" t="s">
        <v>0</v>
      </c>
      <c r="P767" s="7" t="s">
        <v>7788</v>
      </c>
      <c r="Q767" s="7" t="s">
        <v>7789</v>
      </c>
      <c r="R767" s="7" t="s">
        <v>393</v>
      </c>
      <c r="S767" s="7" t="s">
        <v>812</v>
      </c>
      <c r="T767" s="7" t="s">
        <v>54</v>
      </c>
      <c r="U767" s="7" t="s">
        <v>55</v>
      </c>
      <c r="V767" s="7" t="s">
        <v>56</v>
      </c>
      <c r="W767" s="7" t="s">
        <v>74</v>
      </c>
      <c r="X767" s="7" t="s">
        <v>58</v>
      </c>
      <c r="Y767" s="8">
        <v>45258</v>
      </c>
      <c r="Z767" s="8" t="s">
        <v>0</v>
      </c>
      <c r="AA767" s="7" t="s">
        <v>212</v>
      </c>
      <c r="AB767" s="7" t="s">
        <v>256</v>
      </c>
      <c r="AC767" s="7" t="s">
        <v>65</v>
      </c>
      <c r="AD767" s="7" t="s">
        <v>80</v>
      </c>
      <c r="AE767" s="7" t="s">
        <v>0</v>
      </c>
      <c r="AF767" s="7" t="s">
        <v>0</v>
      </c>
      <c r="AG767" s="7" t="s">
        <v>0</v>
      </c>
      <c r="AH767" s="9" t="s">
        <v>0</v>
      </c>
      <c r="AI767" s="9" t="s">
        <v>0</v>
      </c>
      <c r="AJ767" s="9" t="s">
        <v>0</v>
      </c>
      <c r="AK767" s="7" t="s">
        <v>61</v>
      </c>
      <c r="AL767" s="7" t="s">
        <v>61</v>
      </c>
      <c r="AM767" s="7" t="s">
        <v>0</v>
      </c>
      <c r="AN767" s="7" t="s">
        <v>0</v>
      </c>
      <c r="AO767" s="7" t="s">
        <v>0</v>
      </c>
      <c r="AP767" s="7" t="s">
        <v>0</v>
      </c>
      <c r="AQ767" s="7" t="s">
        <v>61</v>
      </c>
      <c r="AR767" s="7" t="s">
        <v>0</v>
      </c>
      <c r="AS767" s="10" t="str">
        <f>HYPERLINK("https://tessa.gazprom-neft.local/edo/card/c7b035f1-eedc-4d15-9205-70877ab15cce", "https://tessa.gazprom-neft.local/edo/card/c7b035f1-eedc-4d15-9205-70877ab15cce")</f>
        <v>https://tessa.gazprom-neft.local/edo/card/c7b035f1-eedc-4d15-9205-70877ab15cce</v>
      </c>
    </row>
    <row r="768" spans="1:45" hidden="1" x14ac:dyDescent="0.25">
      <c r="A768" s="6" t="s">
        <v>44</v>
      </c>
      <c r="B768" s="7" t="s">
        <v>673</v>
      </c>
      <c r="C768" s="7" t="s">
        <v>67</v>
      </c>
      <c r="D768" s="8">
        <v>45258</v>
      </c>
      <c r="E768" s="8" t="s">
        <v>0</v>
      </c>
      <c r="F768" s="16" t="s">
        <v>674</v>
      </c>
      <c r="G768" s="7" t="s">
        <v>675</v>
      </c>
      <c r="H768" s="7" t="s">
        <v>668</v>
      </c>
      <c r="I768" s="7" t="s">
        <v>0</v>
      </c>
      <c r="J768" s="7" t="s">
        <v>51</v>
      </c>
      <c r="K768" s="7" t="s">
        <v>47</v>
      </c>
      <c r="L768" s="7" t="s">
        <v>389</v>
      </c>
      <c r="M768" s="7" t="s">
        <v>0</v>
      </c>
      <c r="N768" s="7" t="s">
        <v>7810</v>
      </c>
      <c r="O768" s="7" t="s">
        <v>271</v>
      </c>
      <c r="P768" s="7" t="s">
        <v>7811</v>
      </c>
      <c r="Q768" s="7" t="s">
        <v>7812</v>
      </c>
      <c r="R768" s="7" t="s">
        <v>2594</v>
      </c>
      <c r="S768" s="7" t="s">
        <v>2594</v>
      </c>
      <c r="T768" s="7" t="s">
        <v>54</v>
      </c>
      <c r="U768" s="7" t="s">
        <v>199</v>
      </c>
      <c r="V768" s="7" t="s">
        <v>126</v>
      </c>
      <c r="W768" s="7" t="s">
        <v>74</v>
      </c>
      <c r="X768" s="7" t="s">
        <v>103</v>
      </c>
      <c r="Y768" s="8">
        <v>45258</v>
      </c>
      <c r="Z768" s="8">
        <v>45291</v>
      </c>
      <c r="AA768" s="7" t="s">
        <v>224</v>
      </c>
      <c r="AB768" s="7" t="s">
        <v>130</v>
      </c>
      <c r="AC768" s="7" t="s">
        <v>79</v>
      </c>
      <c r="AD768" s="7" t="s">
        <v>144</v>
      </c>
      <c r="AE768" s="7" t="s">
        <v>82</v>
      </c>
      <c r="AF768" s="7" t="s">
        <v>0</v>
      </c>
      <c r="AG768" s="7" t="s">
        <v>0</v>
      </c>
      <c r="AH768" s="9" t="s">
        <v>13329</v>
      </c>
      <c r="AI768" s="9" t="s">
        <v>13330</v>
      </c>
      <c r="AJ768" s="9" t="s">
        <v>13331</v>
      </c>
      <c r="AK768" s="7" t="s">
        <v>61</v>
      </c>
      <c r="AL768" s="7" t="s">
        <v>61</v>
      </c>
      <c r="AM768" s="7" t="s">
        <v>0</v>
      </c>
      <c r="AN768" s="7" t="s">
        <v>0</v>
      </c>
      <c r="AO768" s="7" t="s">
        <v>0</v>
      </c>
      <c r="AP768" s="7" t="s">
        <v>0</v>
      </c>
      <c r="AQ768" s="7" t="s">
        <v>61</v>
      </c>
      <c r="AR768" s="7" t="s">
        <v>0</v>
      </c>
      <c r="AS768" s="10" t="str">
        <f>HYPERLINK("https://tessa.gazprom-neft.local/edo/card/062be55e-ea4b-4012-ac8f-29a25c5e1f3c", "https://tessa.gazprom-neft.local/edo/card/062be55e-ea4b-4012-ac8f-29a25c5e1f3c")</f>
        <v>https://tessa.gazprom-neft.local/edo/card/062be55e-ea4b-4012-ac8f-29a25c5e1f3c</v>
      </c>
    </row>
    <row r="769" spans="1:45" x14ac:dyDescent="0.25">
      <c r="A769" s="6" t="s">
        <v>44</v>
      </c>
      <c r="B769" s="7" t="s">
        <v>1147</v>
      </c>
      <c r="C769" s="7" t="s">
        <v>67</v>
      </c>
      <c r="D769" s="8">
        <v>45258</v>
      </c>
      <c r="E769" s="8" t="s">
        <v>0</v>
      </c>
      <c r="F769" s="16" t="s">
        <v>1148</v>
      </c>
      <c r="G769" s="7" t="s">
        <v>1149</v>
      </c>
      <c r="H769" s="7" t="s">
        <v>1145</v>
      </c>
      <c r="I769" s="7" t="s">
        <v>0</v>
      </c>
      <c r="J769" s="7" t="s">
        <v>355</v>
      </c>
      <c r="K769" s="7" t="s">
        <v>47</v>
      </c>
      <c r="L769" s="7" t="s">
        <v>48</v>
      </c>
      <c r="M769" s="7" t="s">
        <v>0</v>
      </c>
      <c r="N769" s="7" t="s">
        <v>7859</v>
      </c>
      <c r="O769" s="7" t="s">
        <v>0</v>
      </c>
      <c r="P769" s="7" t="s">
        <v>7860</v>
      </c>
      <c r="Q769" s="7" t="s">
        <v>7861</v>
      </c>
      <c r="R769" s="7" t="s">
        <v>898</v>
      </c>
      <c r="S769" s="7" t="s">
        <v>898</v>
      </c>
      <c r="T769" s="7" t="s">
        <v>54</v>
      </c>
      <c r="U769" s="7" t="s">
        <v>899</v>
      </c>
      <c r="V769" s="7" t="s">
        <v>126</v>
      </c>
      <c r="W769" s="7" t="s">
        <v>74</v>
      </c>
      <c r="X769" s="7" t="s">
        <v>223</v>
      </c>
      <c r="Y769" s="8">
        <v>45258</v>
      </c>
      <c r="Z769" s="8" t="s">
        <v>0</v>
      </c>
      <c r="AA769" s="7" t="s">
        <v>224</v>
      </c>
      <c r="AB769" s="7" t="s">
        <v>130</v>
      </c>
      <c r="AC769" s="7" t="s">
        <v>79</v>
      </c>
      <c r="AD769" s="7" t="s">
        <v>80</v>
      </c>
      <c r="AE769" s="7" t="s">
        <v>82</v>
      </c>
      <c r="AF769" s="7" t="s">
        <v>0</v>
      </c>
      <c r="AG769" s="7" t="s">
        <v>7862</v>
      </c>
      <c r="AH769" s="9" t="s">
        <v>11794</v>
      </c>
      <c r="AI769" s="9" t="s">
        <v>11795</v>
      </c>
      <c r="AJ769" s="9" t="s">
        <v>11796</v>
      </c>
      <c r="AK769" s="7" t="s">
        <v>81</v>
      </c>
      <c r="AL769" s="7" t="s">
        <v>61</v>
      </c>
      <c r="AM769" s="7" t="s">
        <v>0</v>
      </c>
      <c r="AN769" s="7" t="s">
        <v>0</v>
      </c>
      <c r="AO769" s="7" t="s">
        <v>0</v>
      </c>
      <c r="AP769" s="7" t="s">
        <v>0</v>
      </c>
      <c r="AQ769" s="7" t="s">
        <v>61</v>
      </c>
      <c r="AR769" s="7" t="s">
        <v>0</v>
      </c>
      <c r="AS769" s="10" t="str">
        <f>HYPERLINK("https://tessa.gazprom-neft.local/edo/card/eb1fe254-6386-473f-a40f-836c70016d2e", "https://tessa.gazprom-neft.local/edo/card/eb1fe254-6386-473f-a40f-836c70016d2e")</f>
        <v>https://tessa.gazprom-neft.local/edo/card/eb1fe254-6386-473f-a40f-836c70016d2e</v>
      </c>
    </row>
    <row r="770" spans="1:45" x14ac:dyDescent="0.25">
      <c r="A770" s="6" t="s">
        <v>44</v>
      </c>
      <c r="B770" s="7" t="s">
        <v>75</v>
      </c>
      <c r="C770" s="7" t="s">
        <v>67</v>
      </c>
      <c r="D770" s="8">
        <v>45258</v>
      </c>
      <c r="E770" s="8" t="s">
        <v>0</v>
      </c>
      <c r="F770" s="16" t="s">
        <v>76</v>
      </c>
      <c r="G770" s="7" t="s">
        <v>77</v>
      </c>
      <c r="H770" s="7" t="s">
        <v>68</v>
      </c>
      <c r="I770" s="7" t="s">
        <v>0</v>
      </c>
      <c r="J770" s="7" t="s">
        <v>1098</v>
      </c>
      <c r="K770" s="7" t="s">
        <v>47</v>
      </c>
      <c r="L770" s="7" t="s">
        <v>48</v>
      </c>
      <c r="M770" s="7" t="s">
        <v>0</v>
      </c>
      <c r="N770" s="7" t="s">
        <v>7936</v>
      </c>
      <c r="O770" s="7" t="s">
        <v>0</v>
      </c>
      <c r="P770" s="7" t="s">
        <v>7937</v>
      </c>
      <c r="Q770" s="7" t="s">
        <v>7938</v>
      </c>
      <c r="R770" s="7" t="s">
        <v>646</v>
      </c>
      <c r="S770" s="7" t="s">
        <v>72</v>
      </c>
      <c r="T770" s="7" t="s">
        <v>54</v>
      </c>
      <c r="U770" s="7" t="s">
        <v>55</v>
      </c>
      <c r="V770" s="7" t="s">
        <v>56</v>
      </c>
      <c r="W770" s="7" t="s">
        <v>74</v>
      </c>
      <c r="X770" s="7" t="s">
        <v>58</v>
      </c>
      <c r="Y770" s="8">
        <v>45258</v>
      </c>
      <c r="Z770" s="8" t="s">
        <v>0</v>
      </c>
      <c r="AA770" s="7" t="s">
        <v>59</v>
      </c>
      <c r="AB770" s="7" t="s">
        <v>78</v>
      </c>
      <c r="AC770" s="7" t="s">
        <v>79</v>
      </c>
      <c r="AD770" s="7" t="s">
        <v>80</v>
      </c>
      <c r="AE770" s="7" t="s">
        <v>82</v>
      </c>
      <c r="AF770" s="7" t="s">
        <v>0</v>
      </c>
      <c r="AG770" s="7" t="s">
        <v>0</v>
      </c>
      <c r="AH770" s="9" t="s">
        <v>11680</v>
      </c>
      <c r="AI770" s="9" t="s">
        <v>11681</v>
      </c>
      <c r="AJ770" s="9" t="s">
        <v>11682</v>
      </c>
      <c r="AK770" s="7" t="s">
        <v>61</v>
      </c>
      <c r="AL770" s="7" t="s">
        <v>61</v>
      </c>
      <c r="AM770" s="7" t="s">
        <v>0</v>
      </c>
      <c r="AN770" s="7" t="s">
        <v>0</v>
      </c>
      <c r="AO770" s="7" t="s">
        <v>0</v>
      </c>
      <c r="AP770" s="7" t="s">
        <v>0</v>
      </c>
      <c r="AQ770" s="7" t="s">
        <v>61</v>
      </c>
      <c r="AR770" s="7" t="s">
        <v>0</v>
      </c>
      <c r="AS770" s="10" t="str">
        <f>HYPERLINK("https://tessa.gazprom-neft.local/edo/card/521652b2-9140-422c-9621-1b5d939e9e7f", "https://tessa.gazprom-neft.local/edo/card/521652b2-9140-422c-9621-1b5d939e9e7f")</f>
        <v>https://tessa.gazprom-neft.local/edo/card/521652b2-9140-422c-9621-1b5d939e9e7f</v>
      </c>
    </row>
    <row r="771" spans="1:45" hidden="1" x14ac:dyDescent="0.25">
      <c r="A771" s="6" t="s">
        <v>44</v>
      </c>
      <c r="B771" s="7" t="s">
        <v>885</v>
      </c>
      <c r="C771" s="7" t="s">
        <v>67</v>
      </c>
      <c r="D771" s="8">
        <v>45257</v>
      </c>
      <c r="E771" s="8" t="s">
        <v>0</v>
      </c>
      <c r="F771" s="16" t="s">
        <v>886</v>
      </c>
      <c r="G771" s="7" t="s">
        <v>887</v>
      </c>
      <c r="H771" s="7" t="s">
        <v>0</v>
      </c>
      <c r="I771" s="7" t="s">
        <v>7657</v>
      </c>
      <c r="J771" s="7" t="s">
        <v>7657</v>
      </c>
      <c r="K771" s="7" t="s">
        <v>85</v>
      </c>
      <c r="L771" s="7" t="s">
        <v>86</v>
      </c>
      <c r="M771" s="7" t="s">
        <v>289</v>
      </c>
      <c r="N771" s="7" t="s">
        <v>7656</v>
      </c>
      <c r="O771" s="7" t="s">
        <v>0</v>
      </c>
      <c r="P771" s="7" t="s">
        <v>289</v>
      </c>
      <c r="Q771" s="7" t="s">
        <v>7658</v>
      </c>
      <c r="R771" s="7" t="s">
        <v>938</v>
      </c>
      <c r="S771" s="7" t="s">
        <v>938</v>
      </c>
      <c r="T771" s="7" t="s">
        <v>54</v>
      </c>
      <c r="U771" s="7" t="s">
        <v>605</v>
      </c>
      <c r="V771" s="7" t="s">
        <v>864</v>
      </c>
      <c r="W771" s="7" t="s">
        <v>74</v>
      </c>
      <c r="X771" s="7" t="s">
        <v>223</v>
      </c>
      <c r="Y771" s="8">
        <v>45261</v>
      </c>
      <c r="Z771" s="8" t="s">
        <v>0</v>
      </c>
      <c r="AA771" s="7" t="s">
        <v>865</v>
      </c>
      <c r="AB771" s="7" t="s">
        <v>300</v>
      </c>
      <c r="AC771" s="7" t="s">
        <v>65</v>
      </c>
      <c r="AD771" s="7" t="s">
        <v>0</v>
      </c>
      <c r="AE771" s="7" t="s">
        <v>0</v>
      </c>
      <c r="AF771" s="7" t="s">
        <v>0</v>
      </c>
      <c r="AG771" s="7" t="s">
        <v>0</v>
      </c>
      <c r="AH771" s="9" t="s">
        <v>0</v>
      </c>
      <c r="AI771" s="9" t="s">
        <v>0</v>
      </c>
      <c r="AJ771" s="9" t="s">
        <v>0</v>
      </c>
      <c r="AK771" s="7" t="s">
        <v>61</v>
      </c>
      <c r="AL771" s="7" t="s">
        <v>61</v>
      </c>
      <c r="AM771" s="7" t="s">
        <v>0</v>
      </c>
      <c r="AN771" s="7" t="s">
        <v>0</v>
      </c>
      <c r="AO771" s="7" t="s">
        <v>0</v>
      </c>
      <c r="AP771" s="7" t="s">
        <v>0</v>
      </c>
      <c r="AQ771" s="7" t="s">
        <v>61</v>
      </c>
      <c r="AR771" s="7" t="s">
        <v>0</v>
      </c>
      <c r="AS771" s="10" t="str">
        <f>HYPERLINK("https://tessa.gazprom-neft.local/edo/card/60801d7e-9b4c-47c4-987f-fa1c8f782711", "https://tessa.gazprom-neft.local/edo/card/60801d7e-9b4c-47c4-987f-fa1c8f782711")</f>
        <v>https://tessa.gazprom-neft.local/edo/card/60801d7e-9b4c-47c4-987f-fa1c8f782711</v>
      </c>
    </row>
    <row r="772" spans="1:45" hidden="1" x14ac:dyDescent="0.25">
      <c r="A772" s="6" t="s">
        <v>44</v>
      </c>
      <c r="B772" s="7" t="s">
        <v>715</v>
      </c>
      <c r="C772" s="7" t="s">
        <v>67</v>
      </c>
      <c r="D772" s="8">
        <v>45257</v>
      </c>
      <c r="E772" s="8" t="s">
        <v>0</v>
      </c>
      <c r="F772" s="16" t="s">
        <v>716</v>
      </c>
      <c r="G772" s="7" t="s">
        <v>717</v>
      </c>
      <c r="H772" s="7" t="s">
        <v>710</v>
      </c>
      <c r="I772" s="7" t="s">
        <v>0</v>
      </c>
      <c r="J772" s="7" t="s">
        <v>51</v>
      </c>
      <c r="K772" s="7" t="s">
        <v>47</v>
      </c>
      <c r="L772" s="7" t="s">
        <v>389</v>
      </c>
      <c r="M772" s="7" t="s">
        <v>0</v>
      </c>
      <c r="N772" s="7" t="s">
        <v>7671</v>
      </c>
      <c r="O772" s="7" t="s">
        <v>355</v>
      </c>
      <c r="P772" s="7" t="s">
        <v>7672</v>
      </c>
      <c r="Q772" s="7" t="s">
        <v>7673</v>
      </c>
      <c r="R772" s="7" t="s">
        <v>714</v>
      </c>
      <c r="S772" s="7" t="s">
        <v>714</v>
      </c>
      <c r="T772" s="7" t="s">
        <v>54</v>
      </c>
      <c r="U772" s="7" t="s">
        <v>101</v>
      </c>
      <c r="V772" s="7" t="s">
        <v>308</v>
      </c>
      <c r="W772" s="7" t="s">
        <v>74</v>
      </c>
      <c r="X772" s="7" t="s">
        <v>103</v>
      </c>
      <c r="Y772" s="8">
        <v>45230</v>
      </c>
      <c r="Z772" s="8">
        <v>45291</v>
      </c>
      <c r="AA772" s="7" t="s">
        <v>309</v>
      </c>
      <c r="AB772" s="7" t="s">
        <v>64</v>
      </c>
      <c r="AC772" s="7" t="s">
        <v>79</v>
      </c>
      <c r="AD772" s="7" t="s">
        <v>144</v>
      </c>
      <c r="AE772" s="7" t="s">
        <v>82</v>
      </c>
      <c r="AF772" s="7" t="s">
        <v>0</v>
      </c>
      <c r="AG772" s="7" t="s">
        <v>0</v>
      </c>
      <c r="AH772" s="9" t="s">
        <v>13268</v>
      </c>
      <c r="AI772" s="9" t="s">
        <v>13269</v>
      </c>
      <c r="AJ772" s="9" t="s">
        <v>13270</v>
      </c>
      <c r="AK772" s="7" t="s">
        <v>61</v>
      </c>
      <c r="AL772" s="7" t="s">
        <v>61</v>
      </c>
      <c r="AM772" s="7" t="s">
        <v>0</v>
      </c>
      <c r="AN772" s="7" t="s">
        <v>0</v>
      </c>
      <c r="AO772" s="7" t="s">
        <v>0</v>
      </c>
      <c r="AP772" s="7" t="s">
        <v>0</v>
      </c>
      <c r="AQ772" s="7" t="s">
        <v>61</v>
      </c>
      <c r="AR772" s="7" t="s">
        <v>0</v>
      </c>
      <c r="AS772" s="10" t="str">
        <f>HYPERLINK("https://tessa.gazprom-neft.local/edo/card/8fe03047-4d53-46b8-8d79-f4a6b872ff34", "https://tessa.gazprom-neft.local/edo/card/8fe03047-4d53-46b8-8d79-f4a6b872ff34")</f>
        <v>https://tessa.gazprom-neft.local/edo/card/8fe03047-4d53-46b8-8d79-f4a6b872ff34</v>
      </c>
    </row>
    <row r="773" spans="1:45" hidden="1" x14ac:dyDescent="0.25">
      <c r="A773" s="6" t="s">
        <v>44</v>
      </c>
      <c r="B773" s="7" t="s">
        <v>582</v>
      </c>
      <c r="C773" s="7" t="s">
        <v>67</v>
      </c>
      <c r="D773" s="8">
        <v>45257</v>
      </c>
      <c r="E773" s="8" t="s">
        <v>0</v>
      </c>
      <c r="F773" s="16" t="s">
        <v>583</v>
      </c>
      <c r="G773" s="7" t="s">
        <v>584</v>
      </c>
      <c r="H773" s="7" t="s">
        <v>0</v>
      </c>
      <c r="I773" s="7" t="s">
        <v>7741</v>
      </c>
      <c r="J773" s="7" t="s">
        <v>7741</v>
      </c>
      <c r="K773" s="7" t="s">
        <v>85</v>
      </c>
      <c r="L773" s="7" t="s">
        <v>86</v>
      </c>
      <c r="M773" s="7" t="s">
        <v>289</v>
      </c>
      <c r="N773" s="7" t="s">
        <v>7740</v>
      </c>
      <c r="O773" s="7" t="s">
        <v>0</v>
      </c>
      <c r="P773" s="7" t="s">
        <v>289</v>
      </c>
      <c r="Q773" s="7" t="s">
        <v>7742</v>
      </c>
      <c r="R773" s="7" t="s">
        <v>282</v>
      </c>
      <c r="S773" s="7" t="s">
        <v>0</v>
      </c>
      <c r="T773" s="7" t="s">
        <v>54</v>
      </c>
      <c r="U773" s="7" t="s">
        <v>55</v>
      </c>
      <c r="V773" s="7" t="s">
        <v>56</v>
      </c>
      <c r="W773" s="7" t="s">
        <v>74</v>
      </c>
      <c r="X773" s="7" t="s">
        <v>103</v>
      </c>
      <c r="Y773" s="8">
        <v>45257</v>
      </c>
      <c r="Z773" s="8">
        <v>46022</v>
      </c>
      <c r="AA773" s="7" t="s">
        <v>0</v>
      </c>
      <c r="AB773" s="7" t="s">
        <v>300</v>
      </c>
      <c r="AC773" s="7" t="s">
        <v>65</v>
      </c>
      <c r="AD773" s="7" t="s">
        <v>0</v>
      </c>
      <c r="AE773" s="7" t="s">
        <v>0</v>
      </c>
      <c r="AF773" s="7" t="s">
        <v>0</v>
      </c>
      <c r="AG773" s="7" t="s">
        <v>0</v>
      </c>
      <c r="AH773" s="9" t="s">
        <v>0</v>
      </c>
      <c r="AI773" s="9" t="s">
        <v>0</v>
      </c>
      <c r="AJ773" s="9" t="s">
        <v>0</v>
      </c>
      <c r="AK773" s="7" t="s">
        <v>61</v>
      </c>
      <c r="AL773" s="7" t="s">
        <v>61</v>
      </c>
      <c r="AM773" s="7" t="s">
        <v>0</v>
      </c>
      <c r="AN773" s="7" t="s">
        <v>0</v>
      </c>
      <c r="AO773" s="7" t="s">
        <v>0</v>
      </c>
      <c r="AP773" s="7" t="s">
        <v>0</v>
      </c>
      <c r="AQ773" s="7" t="s">
        <v>61</v>
      </c>
      <c r="AR773" s="7" t="s">
        <v>0</v>
      </c>
      <c r="AS773" s="10" t="str">
        <f>HYPERLINK("https://tessa.gazprom-neft.local/edo/card/f895a2d4-9675-4090-af31-bf90061b28cb", "https://tessa.gazprom-neft.local/edo/card/f895a2d4-9675-4090-af31-bf90061b28cb")</f>
        <v>https://tessa.gazprom-neft.local/edo/card/f895a2d4-9675-4090-af31-bf90061b28cb</v>
      </c>
    </row>
    <row r="774" spans="1:45" x14ac:dyDescent="0.25">
      <c r="A774" s="6" t="s">
        <v>44</v>
      </c>
      <c r="B774" s="7" t="s">
        <v>927</v>
      </c>
      <c r="C774" s="7" t="s">
        <v>67</v>
      </c>
      <c r="D774" s="8">
        <v>45257</v>
      </c>
      <c r="E774" s="8" t="s">
        <v>0</v>
      </c>
      <c r="F774" s="16" t="s">
        <v>928</v>
      </c>
      <c r="G774" s="7" t="s">
        <v>929</v>
      </c>
      <c r="H774" s="7" t="s">
        <v>6471</v>
      </c>
      <c r="I774" s="7" t="s">
        <v>0</v>
      </c>
      <c r="J774" s="7" t="s">
        <v>70</v>
      </c>
      <c r="K774" s="7" t="s">
        <v>85</v>
      </c>
      <c r="L774" s="7" t="s">
        <v>48</v>
      </c>
      <c r="M774" s="7" t="s">
        <v>1134</v>
      </c>
      <c r="N774" s="7" t="s">
        <v>7767</v>
      </c>
      <c r="O774" s="7" t="s">
        <v>0</v>
      </c>
      <c r="P774" s="7" t="s">
        <v>7768</v>
      </c>
      <c r="Q774" s="7" t="s">
        <v>1134</v>
      </c>
      <c r="R774" s="7" t="s">
        <v>124</v>
      </c>
      <c r="S774" s="7" t="s">
        <v>0</v>
      </c>
      <c r="T774" s="7" t="s">
        <v>54</v>
      </c>
      <c r="U774" s="7" t="s">
        <v>125</v>
      </c>
      <c r="V774" s="7" t="s">
        <v>126</v>
      </c>
      <c r="W774" s="7" t="s">
        <v>74</v>
      </c>
      <c r="X774" s="7" t="s">
        <v>58</v>
      </c>
      <c r="Y774" s="8">
        <v>45257</v>
      </c>
      <c r="Z774" s="8" t="s">
        <v>0</v>
      </c>
      <c r="AA774" s="7" t="s">
        <v>224</v>
      </c>
      <c r="AB774" s="7" t="s">
        <v>130</v>
      </c>
      <c r="AC774" s="7" t="s">
        <v>65</v>
      </c>
      <c r="AD774" s="7" t="s">
        <v>0</v>
      </c>
      <c r="AE774" s="7" t="s">
        <v>0</v>
      </c>
      <c r="AF774" s="7" t="s">
        <v>0</v>
      </c>
      <c r="AG774" s="7" t="s">
        <v>0</v>
      </c>
      <c r="AH774" s="9" t="s">
        <v>0</v>
      </c>
      <c r="AI774" s="9" t="s">
        <v>0</v>
      </c>
      <c r="AJ774" s="9" t="s">
        <v>0</v>
      </c>
      <c r="AK774" s="7" t="s">
        <v>61</v>
      </c>
      <c r="AL774" s="7" t="s">
        <v>61</v>
      </c>
      <c r="AM774" s="7" t="s">
        <v>0</v>
      </c>
      <c r="AN774" s="7" t="s">
        <v>0</v>
      </c>
      <c r="AO774" s="7" t="s">
        <v>0</v>
      </c>
      <c r="AP774" s="7" t="s">
        <v>0</v>
      </c>
      <c r="AQ774" s="7" t="s">
        <v>61</v>
      </c>
      <c r="AR774" s="7" t="s">
        <v>0</v>
      </c>
      <c r="AS774" s="10" t="str">
        <f>HYPERLINK("https://tessa.gazprom-neft.local/edo/card/e859c9de-cb3f-4604-bb44-1f0c2eadb708", "https://tessa.gazprom-neft.local/edo/card/e859c9de-cb3f-4604-bb44-1f0c2eadb708")</f>
        <v>https://tessa.gazprom-neft.local/edo/card/e859c9de-cb3f-4604-bb44-1f0c2eadb708</v>
      </c>
    </row>
    <row r="775" spans="1:45" hidden="1" x14ac:dyDescent="0.25">
      <c r="A775" s="6" t="s">
        <v>44</v>
      </c>
      <c r="B775" s="7" t="s">
        <v>363</v>
      </c>
      <c r="C775" s="7" t="s">
        <v>67</v>
      </c>
      <c r="D775" s="8">
        <v>45254</v>
      </c>
      <c r="E775" s="8" t="s">
        <v>0</v>
      </c>
      <c r="F775" s="16" t="s">
        <v>364</v>
      </c>
      <c r="G775" s="7" t="s">
        <v>365</v>
      </c>
      <c r="H775" s="7" t="s">
        <v>0</v>
      </c>
      <c r="I775" s="7" t="s">
        <v>7748</v>
      </c>
      <c r="J775" s="7" t="s">
        <v>7748</v>
      </c>
      <c r="K775" s="7" t="s">
        <v>85</v>
      </c>
      <c r="L775" s="7" t="s">
        <v>86</v>
      </c>
      <c r="M775" s="7" t="s">
        <v>289</v>
      </c>
      <c r="N775" s="7" t="s">
        <v>7747</v>
      </c>
      <c r="O775" s="7" t="s">
        <v>0</v>
      </c>
      <c r="P775" s="7" t="s">
        <v>289</v>
      </c>
      <c r="Q775" s="7" t="s">
        <v>7742</v>
      </c>
      <c r="R775" s="7" t="s">
        <v>282</v>
      </c>
      <c r="S775" s="7" t="s">
        <v>0</v>
      </c>
      <c r="T775" s="7" t="s">
        <v>54</v>
      </c>
      <c r="U775" s="7" t="s">
        <v>55</v>
      </c>
      <c r="V775" s="7" t="s">
        <v>56</v>
      </c>
      <c r="W775" s="7" t="s">
        <v>74</v>
      </c>
      <c r="X775" s="7" t="s">
        <v>103</v>
      </c>
      <c r="Y775" s="8">
        <v>45254</v>
      </c>
      <c r="Z775" s="8">
        <v>46022</v>
      </c>
      <c r="AA775" s="7" t="s">
        <v>0</v>
      </c>
      <c r="AB775" s="7" t="s">
        <v>300</v>
      </c>
      <c r="AC775" s="7" t="s">
        <v>65</v>
      </c>
      <c r="AD775" s="7" t="s">
        <v>0</v>
      </c>
      <c r="AE775" s="7" t="s">
        <v>0</v>
      </c>
      <c r="AF775" s="7" t="s">
        <v>0</v>
      </c>
      <c r="AG775" s="7" t="s">
        <v>0</v>
      </c>
      <c r="AH775" s="9" t="s">
        <v>0</v>
      </c>
      <c r="AI775" s="9" t="s">
        <v>0</v>
      </c>
      <c r="AJ775" s="9" t="s">
        <v>0</v>
      </c>
      <c r="AK775" s="7" t="s">
        <v>61</v>
      </c>
      <c r="AL775" s="7" t="s">
        <v>61</v>
      </c>
      <c r="AM775" s="7" t="s">
        <v>0</v>
      </c>
      <c r="AN775" s="7" t="s">
        <v>0</v>
      </c>
      <c r="AO775" s="7" t="s">
        <v>0</v>
      </c>
      <c r="AP775" s="7" t="s">
        <v>0</v>
      </c>
      <c r="AQ775" s="7" t="s">
        <v>61</v>
      </c>
      <c r="AR775" s="7" t="s">
        <v>0</v>
      </c>
      <c r="AS775" s="10" t="str">
        <f>HYPERLINK("https://tessa.gazprom-neft.local/edo/card/f0633e55-2ef2-4ef6-903c-c5e18284c6ba", "https://tessa.gazprom-neft.local/edo/card/f0633e55-2ef2-4ef6-903c-c5e18284c6ba")</f>
        <v>https://tessa.gazprom-neft.local/edo/card/f0633e55-2ef2-4ef6-903c-c5e18284c6ba</v>
      </c>
    </row>
    <row r="776" spans="1:45" x14ac:dyDescent="0.25">
      <c r="A776" s="6" t="s">
        <v>44</v>
      </c>
      <c r="B776" s="7" t="s">
        <v>7688</v>
      </c>
      <c r="C776" s="7" t="s">
        <v>67</v>
      </c>
      <c r="D776" s="8">
        <v>45252</v>
      </c>
      <c r="E776" s="8" t="s">
        <v>0</v>
      </c>
      <c r="F776" s="16" t="s">
        <v>7689</v>
      </c>
      <c r="G776" s="7" t="s">
        <v>7690</v>
      </c>
      <c r="H776" s="7" t="s">
        <v>2034</v>
      </c>
      <c r="I776" s="7" t="s">
        <v>0</v>
      </c>
      <c r="J776" s="7" t="s">
        <v>51</v>
      </c>
      <c r="K776" s="7" t="s">
        <v>47</v>
      </c>
      <c r="L776" s="7" t="s">
        <v>48</v>
      </c>
      <c r="M776" s="7" t="s">
        <v>0</v>
      </c>
      <c r="N776" s="7" t="s">
        <v>7685</v>
      </c>
      <c r="O776" s="7" t="s">
        <v>0</v>
      </c>
      <c r="P776" s="7" t="s">
        <v>7686</v>
      </c>
      <c r="Q776" s="7" t="s">
        <v>7687</v>
      </c>
      <c r="R776" s="7" t="s">
        <v>282</v>
      </c>
      <c r="S776" s="7" t="s">
        <v>0</v>
      </c>
      <c r="T776" s="7" t="s">
        <v>54</v>
      </c>
      <c r="U776" s="7" t="s">
        <v>55</v>
      </c>
      <c r="V776" s="7" t="s">
        <v>56</v>
      </c>
      <c r="W776" s="7" t="s">
        <v>57</v>
      </c>
      <c r="X776" s="7" t="s">
        <v>103</v>
      </c>
      <c r="Y776" s="8">
        <v>45251</v>
      </c>
      <c r="Z776" s="8">
        <v>45291</v>
      </c>
      <c r="AA776" s="7" t="s">
        <v>0</v>
      </c>
      <c r="AB776" s="7" t="s">
        <v>2037</v>
      </c>
      <c r="AC776" s="7" t="s">
        <v>65</v>
      </c>
      <c r="AD776" s="7" t="s">
        <v>0</v>
      </c>
      <c r="AE776" s="7" t="s">
        <v>0</v>
      </c>
      <c r="AF776" s="7" t="s">
        <v>0</v>
      </c>
      <c r="AG776" s="7" t="s">
        <v>0</v>
      </c>
      <c r="AH776" s="9" t="s">
        <v>0</v>
      </c>
      <c r="AI776" s="9" t="s">
        <v>0</v>
      </c>
      <c r="AJ776" s="9" t="s">
        <v>0</v>
      </c>
      <c r="AK776" s="7" t="s">
        <v>61</v>
      </c>
      <c r="AL776" s="7" t="s">
        <v>61</v>
      </c>
      <c r="AM776" s="7" t="s">
        <v>0</v>
      </c>
      <c r="AN776" s="7" t="s">
        <v>0</v>
      </c>
      <c r="AO776" s="7" t="s">
        <v>0</v>
      </c>
      <c r="AP776" s="7" t="s">
        <v>0</v>
      </c>
      <c r="AQ776" s="7" t="s">
        <v>61</v>
      </c>
      <c r="AR776" s="7" t="s">
        <v>0</v>
      </c>
      <c r="AS776" s="10" t="str">
        <f>HYPERLINK("https://tessa.gazprom-neft.local/edo/card/57ad6a8e-0d8d-42d9-8682-b32478e4e63c", "https://tessa.gazprom-neft.local/edo/card/57ad6a8e-0d8d-42d9-8682-b32478e4e63c")</f>
        <v>https://tessa.gazprom-neft.local/edo/card/57ad6a8e-0d8d-42d9-8682-b32478e4e63c</v>
      </c>
    </row>
    <row r="777" spans="1:45" x14ac:dyDescent="0.25">
      <c r="A777" s="6" t="s">
        <v>44</v>
      </c>
      <c r="B777" s="7" t="s">
        <v>673</v>
      </c>
      <c r="C777" s="7" t="s">
        <v>67</v>
      </c>
      <c r="D777" s="8">
        <v>45252</v>
      </c>
      <c r="E777" s="8" t="s">
        <v>0</v>
      </c>
      <c r="F777" s="16" t="s">
        <v>674</v>
      </c>
      <c r="G777" s="7" t="s">
        <v>675</v>
      </c>
      <c r="H777" s="7" t="s">
        <v>668</v>
      </c>
      <c r="I777" s="7" t="s">
        <v>0</v>
      </c>
      <c r="J777" s="7" t="s">
        <v>156</v>
      </c>
      <c r="K777" s="7" t="s">
        <v>47</v>
      </c>
      <c r="L777" s="7" t="s">
        <v>48</v>
      </c>
      <c r="M777" s="7" t="s">
        <v>0</v>
      </c>
      <c r="N777" s="7" t="s">
        <v>7708</v>
      </c>
      <c r="O777" s="7" t="s">
        <v>0</v>
      </c>
      <c r="P777" s="7" t="s">
        <v>7709</v>
      </c>
      <c r="Q777" s="7" t="s">
        <v>7710</v>
      </c>
      <c r="R777" s="7" t="s">
        <v>2594</v>
      </c>
      <c r="S777" s="7" t="s">
        <v>2594</v>
      </c>
      <c r="T777" s="7" t="s">
        <v>54</v>
      </c>
      <c r="U777" s="7" t="s">
        <v>199</v>
      </c>
      <c r="V777" s="7" t="s">
        <v>126</v>
      </c>
      <c r="W777" s="7" t="s">
        <v>74</v>
      </c>
      <c r="X777" s="7" t="s">
        <v>103</v>
      </c>
      <c r="Y777" s="8">
        <v>45252</v>
      </c>
      <c r="Z777" s="8">
        <v>46022</v>
      </c>
      <c r="AA777" s="7" t="s">
        <v>224</v>
      </c>
      <c r="AB777" s="7" t="s">
        <v>130</v>
      </c>
      <c r="AC777" s="7" t="s">
        <v>79</v>
      </c>
      <c r="AD777" s="7" t="s">
        <v>144</v>
      </c>
      <c r="AE777" s="7" t="s">
        <v>82</v>
      </c>
      <c r="AF777" s="7" t="s">
        <v>0</v>
      </c>
      <c r="AG777" s="7" t="s">
        <v>0</v>
      </c>
      <c r="AH777" s="9" t="s">
        <v>13284</v>
      </c>
      <c r="AI777" s="9" t="s">
        <v>13285</v>
      </c>
      <c r="AJ777" s="9" t="s">
        <v>13286</v>
      </c>
      <c r="AK777" s="7" t="s">
        <v>61</v>
      </c>
      <c r="AL777" s="7" t="s">
        <v>61</v>
      </c>
      <c r="AM777" s="7" t="s">
        <v>0</v>
      </c>
      <c r="AN777" s="7" t="s">
        <v>0</v>
      </c>
      <c r="AO777" s="7" t="s">
        <v>0</v>
      </c>
      <c r="AP777" s="7" t="s">
        <v>0</v>
      </c>
      <c r="AQ777" s="7" t="s">
        <v>61</v>
      </c>
      <c r="AR777" s="7" t="s">
        <v>0</v>
      </c>
      <c r="AS777" s="10" t="str">
        <f>HYPERLINK("https://tessa.gazprom-neft.local/edo/card/3023bce5-981b-4192-a169-76f424df15c4", "https://tessa.gazprom-neft.local/edo/card/3023bce5-981b-4192-a169-76f424df15c4")</f>
        <v>https://tessa.gazprom-neft.local/edo/card/3023bce5-981b-4192-a169-76f424df15c4</v>
      </c>
    </row>
    <row r="778" spans="1:45" hidden="1" x14ac:dyDescent="0.25">
      <c r="A778" s="6" t="s">
        <v>44</v>
      </c>
      <c r="B778" s="7" t="s">
        <v>542</v>
      </c>
      <c r="C778" s="7" t="s">
        <v>67</v>
      </c>
      <c r="D778" s="8">
        <v>45251</v>
      </c>
      <c r="E778" s="8" t="s">
        <v>0</v>
      </c>
      <c r="F778" s="16" t="s">
        <v>543</v>
      </c>
      <c r="G778" s="7" t="s">
        <v>544</v>
      </c>
      <c r="H778" s="7" t="s">
        <v>536</v>
      </c>
      <c r="I778" s="7" t="s">
        <v>0</v>
      </c>
      <c r="J778" s="7" t="s">
        <v>6358</v>
      </c>
      <c r="K778" s="7" t="s">
        <v>47</v>
      </c>
      <c r="L778" s="7" t="s">
        <v>239</v>
      </c>
      <c r="M778" s="7" t="s">
        <v>0</v>
      </c>
      <c r="N778" s="7" t="s">
        <v>7313</v>
      </c>
      <c r="O778" s="7" t="s">
        <v>0</v>
      </c>
      <c r="P778" s="7" t="s">
        <v>7314</v>
      </c>
      <c r="Q778" s="7" t="s">
        <v>7315</v>
      </c>
      <c r="R778" s="7" t="s">
        <v>540</v>
      </c>
      <c r="S778" s="7" t="s">
        <v>0</v>
      </c>
      <c r="T778" s="7" t="s">
        <v>54</v>
      </c>
      <c r="U778" s="7" t="s">
        <v>541</v>
      </c>
      <c r="V778" s="7" t="s">
        <v>56</v>
      </c>
      <c r="W778" s="7" t="s">
        <v>74</v>
      </c>
      <c r="X778" s="7" t="s">
        <v>103</v>
      </c>
      <c r="Y778" s="8">
        <v>45251</v>
      </c>
      <c r="Z778" s="8">
        <v>45468</v>
      </c>
      <c r="AA778" s="7" t="s">
        <v>59</v>
      </c>
      <c r="AB778" s="7" t="s">
        <v>545</v>
      </c>
      <c r="AC778" s="7" t="s">
        <v>79</v>
      </c>
      <c r="AD778" s="7" t="s">
        <v>144</v>
      </c>
      <c r="AE778" s="7" t="s">
        <v>82</v>
      </c>
      <c r="AF778" s="7" t="s">
        <v>0</v>
      </c>
      <c r="AG778" s="7" t="s">
        <v>0</v>
      </c>
      <c r="AH778" s="9" t="s">
        <v>13147</v>
      </c>
      <c r="AI778" s="9" t="s">
        <v>13148</v>
      </c>
      <c r="AJ778" s="9" t="s">
        <v>13149</v>
      </c>
      <c r="AK778" s="7" t="s">
        <v>61</v>
      </c>
      <c r="AL778" s="7" t="s">
        <v>61</v>
      </c>
      <c r="AM778" s="7" t="s">
        <v>0</v>
      </c>
      <c r="AN778" s="7" t="s">
        <v>0</v>
      </c>
      <c r="AO778" s="7" t="s">
        <v>0</v>
      </c>
      <c r="AP778" s="7" t="s">
        <v>0</v>
      </c>
      <c r="AQ778" s="7" t="s">
        <v>61</v>
      </c>
      <c r="AR778" s="7" t="s">
        <v>0</v>
      </c>
      <c r="AS778" s="10" t="str">
        <f>HYPERLINK("https://tessa.gazprom-neft.local/edo/card/a69102c6-9a39-451a-9277-a0696abd3f38", "https://tessa.gazprom-neft.local/edo/card/a69102c6-9a39-451a-9277-a0696abd3f38")</f>
        <v>https://tessa.gazprom-neft.local/edo/card/a69102c6-9a39-451a-9277-a0696abd3f38</v>
      </c>
    </row>
    <row r="779" spans="1:45" x14ac:dyDescent="0.25">
      <c r="A779" s="6" t="s">
        <v>44</v>
      </c>
      <c r="B779" s="7" t="s">
        <v>1396</v>
      </c>
      <c r="C779" s="7" t="s">
        <v>67</v>
      </c>
      <c r="D779" s="8">
        <v>45250</v>
      </c>
      <c r="E779" s="8" t="s">
        <v>0</v>
      </c>
      <c r="F779" s="16" t="s">
        <v>1397</v>
      </c>
      <c r="G779" s="7" t="s">
        <v>1398</v>
      </c>
      <c r="H779" s="7" t="s">
        <v>1735</v>
      </c>
      <c r="I779" s="7" t="s">
        <v>0</v>
      </c>
      <c r="J779" s="7" t="s">
        <v>1098</v>
      </c>
      <c r="K779" s="7" t="s">
        <v>47</v>
      </c>
      <c r="L779" s="7" t="s">
        <v>48</v>
      </c>
      <c r="M779" s="7" t="s">
        <v>0</v>
      </c>
      <c r="N779" s="7" t="s">
        <v>7429</v>
      </c>
      <c r="O779" s="7" t="s">
        <v>0</v>
      </c>
      <c r="P779" s="7" t="s">
        <v>7430</v>
      </c>
      <c r="Q779" s="7" t="s">
        <v>7431</v>
      </c>
      <c r="R779" s="7" t="s">
        <v>135</v>
      </c>
      <c r="S779" s="7" t="s">
        <v>0</v>
      </c>
      <c r="T779" s="7" t="s">
        <v>54</v>
      </c>
      <c r="U779" s="7" t="s">
        <v>136</v>
      </c>
      <c r="V779" s="7" t="s">
        <v>308</v>
      </c>
      <c r="W779" s="7" t="s">
        <v>74</v>
      </c>
      <c r="X779" s="7" t="s">
        <v>103</v>
      </c>
      <c r="Y779" s="8">
        <v>45250</v>
      </c>
      <c r="Z779" s="8">
        <v>45657</v>
      </c>
      <c r="AA779" s="7" t="s">
        <v>309</v>
      </c>
      <c r="AB779" s="7" t="s">
        <v>130</v>
      </c>
      <c r="AC779" s="7" t="s">
        <v>65</v>
      </c>
      <c r="AD779" s="7" t="s">
        <v>80</v>
      </c>
      <c r="AE779" s="7" t="s">
        <v>0</v>
      </c>
      <c r="AF779" s="7" t="s">
        <v>0</v>
      </c>
      <c r="AG779" s="7" t="s">
        <v>0</v>
      </c>
      <c r="AH779" s="9" t="s">
        <v>0</v>
      </c>
      <c r="AI779" s="9" t="s">
        <v>0</v>
      </c>
      <c r="AJ779" s="9" t="s">
        <v>0</v>
      </c>
      <c r="AK779" s="7" t="s">
        <v>61</v>
      </c>
      <c r="AL779" s="7" t="s">
        <v>61</v>
      </c>
      <c r="AM779" s="7" t="s">
        <v>0</v>
      </c>
      <c r="AN779" s="7" t="s">
        <v>0</v>
      </c>
      <c r="AO779" s="7" t="s">
        <v>0</v>
      </c>
      <c r="AP779" s="7" t="s">
        <v>0</v>
      </c>
      <c r="AQ779" s="7" t="s">
        <v>61</v>
      </c>
      <c r="AR779" s="7" t="s">
        <v>0</v>
      </c>
      <c r="AS779" s="10" t="str">
        <f>HYPERLINK("https://tessa.gazprom-neft.local/edo/card/d47e8c9d-dabc-46e4-ab69-86d738e24234", "https://tessa.gazprom-neft.local/edo/card/d47e8c9d-dabc-46e4-ab69-86d738e24234")</f>
        <v>https://tessa.gazprom-neft.local/edo/card/d47e8c9d-dabc-46e4-ab69-86d738e24234</v>
      </c>
    </row>
    <row r="780" spans="1:45" x14ac:dyDescent="0.25">
      <c r="A780" s="6" t="s">
        <v>44</v>
      </c>
      <c r="B780" s="7" t="s">
        <v>927</v>
      </c>
      <c r="C780" s="7" t="s">
        <v>67</v>
      </c>
      <c r="D780" s="8">
        <v>45250</v>
      </c>
      <c r="E780" s="8" t="s">
        <v>0</v>
      </c>
      <c r="F780" s="16" t="s">
        <v>928</v>
      </c>
      <c r="G780" s="7" t="s">
        <v>929</v>
      </c>
      <c r="H780" s="7" t="s">
        <v>924</v>
      </c>
      <c r="I780" s="7" t="s">
        <v>0</v>
      </c>
      <c r="J780" s="7" t="s">
        <v>51</v>
      </c>
      <c r="K780" s="7" t="s">
        <v>85</v>
      </c>
      <c r="L780" s="7" t="s">
        <v>48</v>
      </c>
      <c r="M780" s="7" t="s">
        <v>1134</v>
      </c>
      <c r="N780" s="7" t="s">
        <v>7482</v>
      </c>
      <c r="O780" s="7" t="s">
        <v>0</v>
      </c>
      <c r="P780" s="7" t="s">
        <v>7483</v>
      </c>
      <c r="Q780" s="7" t="s">
        <v>7484</v>
      </c>
      <c r="R780" s="7" t="s">
        <v>393</v>
      </c>
      <c r="S780" s="7" t="s">
        <v>209</v>
      </c>
      <c r="T780" s="7" t="s">
        <v>54</v>
      </c>
      <c r="U780" s="7" t="s">
        <v>210</v>
      </c>
      <c r="V780" s="7" t="s">
        <v>126</v>
      </c>
      <c r="W780" s="7" t="s">
        <v>74</v>
      </c>
      <c r="X780" s="7" t="s">
        <v>58</v>
      </c>
      <c r="Y780" s="8">
        <v>45244</v>
      </c>
      <c r="Z780" s="8" t="s">
        <v>0</v>
      </c>
      <c r="AA780" s="7" t="s">
        <v>224</v>
      </c>
      <c r="AB780" s="7" t="s">
        <v>130</v>
      </c>
      <c r="AC780" s="7" t="s">
        <v>65</v>
      </c>
      <c r="AD780" s="7" t="s">
        <v>0</v>
      </c>
      <c r="AE780" s="7" t="s">
        <v>0</v>
      </c>
      <c r="AF780" s="7" t="s">
        <v>0</v>
      </c>
      <c r="AG780" s="7" t="s">
        <v>0</v>
      </c>
      <c r="AH780" s="9" t="s">
        <v>0</v>
      </c>
      <c r="AI780" s="9" t="s">
        <v>0</v>
      </c>
      <c r="AJ780" s="9" t="s">
        <v>0</v>
      </c>
      <c r="AK780" s="7" t="s">
        <v>61</v>
      </c>
      <c r="AL780" s="7" t="s">
        <v>61</v>
      </c>
      <c r="AM780" s="7" t="s">
        <v>0</v>
      </c>
      <c r="AN780" s="7" t="s">
        <v>0</v>
      </c>
      <c r="AO780" s="7" t="s">
        <v>0</v>
      </c>
      <c r="AP780" s="7" t="s">
        <v>0</v>
      </c>
      <c r="AQ780" s="7" t="s">
        <v>61</v>
      </c>
      <c r="AR780" s="7" t="s">
        <v>0</v>
      </c>
      <c r="AS780" s="10" t="str">
        <f>HYPERLINK("https://tessa.gazprom-neft.local/edo/card/9c8b5120-b9b4-4009-ae46-196da417e4d8", "https://tessa.gazprom-neft.local/edo/card/9c8b5120-b9b4-4009-ae46-196da417e4d8")</f>
        <v>https://tessa.gazprom-neft.local/edo/card/9c8b5120-b9b4-4009-ae46-196da417e4d8</v>
      </c>
    </row>
    <row r="781" spans="1:45" x14ac:dyDescent="0.25">
      <c r="A781" s="6" t="s">
        <v>44</v>
      </c>
      <c r="B781" s="7" t="s">
        <v>927</v>
      </c>
      <c r="C781" s="7" t="s">
        <v>67</v>
      </c>
      <c r="D781" s="8">
        <v>45250</v>
      </c>
      <c r="E781" s="8" t="s">
        <v>0</v>
      </c>
      <c r="F781" s="16" t="s">
        <v>928</v>
      </c>
      <c r="G781" s="7" t="s">
        <v>929</v>
      </c>
      <c r="H781" s="7" t="s">
        <v>1052</v>
      </c>
      <c r="I781" s="7" t="s">
        <v>0</v>
      </c>
      <c r="J781" s="7" t="s">
        <v>51</v>
      </c>
      <c r="K781" s="7" t="s">
        <v>85</v>
      </c>
      <c r="L781" s="7" t="s">
        <v>48</v>
      </c>
      <c r="M781" s="7" t="s">
        <v>1134</v>
      </c>
      <c r="N781" s="7" t="s">
        <v>7488</v>
      </c>
      <c r="O781" s="7" t="s">
        <v>0</v>
      </c>
      <c r="P781" s="7" t="s">
        <v>7489</v>
      </c>
      <c r="Q781" s="7" t="s">
        <v>7484</v>
      </c>
      <c r="R781" s="7" t="s">
        <v>393</v>
      </c>
      <c r="S781" s="7" t="s">
        <v>209</v>
      </c>
      <c r="T781" s="7" t="s">
        <v>54</v>
      </c>
      <c r="U781" s="7" t="s">
        <v>210</v>
      </c>
      <c r="V781" s="7" t="s">
        <v>126</v>
      </c>
      <c r="W781" s="7" t="s">
        <v>74</v>
      </c>
      <c r="X781" s="7" t="s">
        <v>58</v>
      </c>
      <c r="Y781" s="8">
        <v>45244</v>
      </c>
      <c r="Z781" s="8" t="s">
        <v>0</v>
      </c>
      <c r="AA781" s="7" t="s">
        <v>224</v>
      </c>
      <c r="AB781" s="7" t="s">
        <v>130</v>
      </c>
      <c r="AC781" s="7" t="s">
        <v>65</v>
      </c>
      <c r="AD781" s="7" t="s">
        <v>0</v>
      </c>
      <c r="AE781" s="7" t="s">
        <v>0</v>
      </c>
      <c r="AF781" s="7" t="s">
        <v>0</v>
      </c>
      <c r="AG781" s="7" t="s">
        <v>0</v>
      </c>
      <c r="AH781" s="9" t="s">
        <v>0</v>
      </c>
      <c r="AI781" s="9" t="s">
        <v>0</v>
      </c>
      <c r="AJ781" s="9" t="s">
        <v>0</v>
      </c>
      <c r="AK781" s="7" t="s">
        <v>61</v>
      </c>
      <c r="AL781" s="7" t="s">
        <v>61</v>
      </c>
      <c r="AM781" s="7" t="s">
        <v>0</v>
      </c>
      <c r="AN781" s="7" t="s">
        <v>0</v>
      </c>
      <c r="AO781" s="7" t="s">
        <v>0</v>
      </c>
      <c r="AP781" s="7" t="s">
        <v>0</v>
      </c>
      <c r="AQ781" s="7" t="s">
        <v>61</v>
      </c>
      <c r="AR781" s="7" t="s">
        <v>0</v>
      </c>
      <c r="AS781" s="10" t="str">
        <f>HYPERLINK("https://tessa.gazprom-neft.local/edo/card/cff7172b-6224-4e7a-8a48-0db53f0ba031", "https://tessa.gazprom-neft.local/edo/card/cff7172b-6224-4e7a-8a48-0db53f0ba031")</f>
        <v>https://tessa.gazprom-neft.local/edo/card/cff7172b-6224-4e7a-8a48-0db53f0ba031</v>
      </c>
    </row>
    <row r="782" spans="1:45" x14ac:dyDescent="0.25">
      <c r="A782" s="6" t="s">
        <v>44</v>
      </c>
      <c r="B782" s="7" t="s">
        <v>1216</v>
      </c>
      <c r="C782" s="7" t="s">
        <v>67</v>
      </c>
      <c r="D782" s="8">
        <v>45250</v>
      </c>
      <c r="E782" s="8" t="s">
        <v>0</v>
      </c>
      <c r="F782" s="16" t="s">
        <v>1217</v>
      </c>
      <c r="G782" s="7" t="s">
        <v>1218</v>
      </c>
      <c r="H782" s="7" t="s">
        <v>3734</v>
      </c>
      <c r="I782" s="7" t="s">
        <v>0</v>
      </c>
      <c r="J782" s="7" t="s">
        <v>51</v>
      </c>
      <c r="K782" s="7" t="s">
        <v>85</v>
      </c>
      <c r="L782" s="7" t="s">
        <v>48</v>
      </c>
      <c r="M782" s="7" t="s">
        <v>1134</v>
      </c>
      <c r="N782" s="7" t="s">
        <v>7522</v>
      </c>
      <c r="O782" s="7" t="s">
        <v>0</v>
      </c>
      <c r="P782" s="7" t="s">
        <v>7523</v>
      </c>
      <c r="Q782" s="7" t="s">
        <v>7484</v>
      </c>
      <c r="R782" s="7" t="s">
        <v>393</v>
      </c>
      <c r="S782" s="7" t="s">
        <v>209</v>
      </c>
      <c r="T782" s="7" t="s">
        <v>54</v>
      </c>
      <c r="U782" s="7" t="s">
        <v>210</v>
      </c>
      <c r="V782" s="7" t="s">
        <v>126</v>
      </c>
      <c r="W782" s="7" t="s">
        <v>74</v>
      </c>
      <c r="X782" s="7" t="s">
        <v>58</v>
      </c>
      <c r="Y782" s="8">
        <v>45244</v>
      </c>
      <c r="Z782" s="8" t="s">
        <v>0</v>
      </c>
      <c r="AA782" s="7" t="s">
        <v>224</v>
      </c>
      <c r="AB782" s="7" t="s">
        <v>130</v>
      </c>
      <c r="AC782" s="7" t="s">
        <v>65</v>
      </c>
      <c r="AD782" s="7" t="s">
        <v>0</v>
      </c>
      <c r="AE782" s="7" t="s">
        <v>0</v>
      </c>
      <c r="AF782" s="7" t="s">
        <v>0</v>
      </c>
      <c r="AG782" s="7" t="s">
        <v>0</v>
      </c>
      <c r="AH782" s="9" t="s">
        <v>0</v>
      </c>
      <c r="AI782" s="9" t="s">
        <v>0</v>
      </c>
      <c r="AJ782" s="9" t="s">
        <v>0</v>
      </c>
      <c r="AK782" s="7" t="s">
        <v>61</v>
      </c>
      <c r="AL782" s="7" t="s">
        <v>61</v>
      </c>
      <c r="AM782" s="7" t="s">
        <v>0</v>
      </c>
      <c r="AN782" s="7" t="s">
        <v>0</v>
      </c>
      <c r="AO782" s="7" t="s">
        <v>0</v>
      </c>
      <c r="AP782" s="7" t="s">
        <v>0</v>
      </c>
      <c r="AQ782" s="7" t="s">
        <v>61</v>
      </c>
      <c r="AR782" s="7" t="s">
        <v>0</v>
      </c>
      <c r="AS782" s="10" t="str">
        <f>HYPERLINK("https://tessa.gazprom-neft.local/edo/card/138ce0d2-8ce8-4553-a3da-5d16fc15e927", "https://tessa.gazprom-neft.local/edo/card/138ce0d2-8ce8-4553-a3da-5d16fc15e927")</f>
        <v>https://tessa.gazprom-neft.local/edo/card/138ce0d2-8ce8-4553-a3da-5d16fc15e927</v>
      </c>
    </row>
    <row r="783" spans="1:45" hidden="1" x14ac:dyDescent="0.25">
      <c r="A783" s="6" t="s">
        <v>44</v>
      </c>
      <c r="B783" s="7" t="s">
        <v>0</v>
      </c>
      <c r="C783" s="7" t="s">
        <v>67</v>
      </c>
      <c r="D783" s="8">
        <v>45247</v>
      </c>
      <c r="E783" s="8" t="s">
        <v>0</v>
      </c>
      <c r="F783" s="16" t="s">
        <v>93</v>
      </c>
      <c r="G783" s="7" t="s">
        <v>0</v>
      </c>
      <c r="H783" s="7" t="s">
        <v>0</v>
      </c>
      <c r="I783" s="7" t="s">
        <v>87</v>
      </c>
      <c r="J783" s="7" t="s">
        <v>87</v>
      </c>
      <c r="K783" s="7" t="s">
        <v>85</v>
      </c>
      <c r="L783" s="7" t="s">
        <v>86</v>
      </c>
      <c r="M783" s="7" t="s">
        <v>83</v>
      </c>
      <c r="N783" s="7" t="s">
        <v>84</v>
      </c>
      <c r="O783" s="7" t="s">
        <v>0</v>
      </c>
      <c r="P783" s="7" t="s">
        <v>83</v>
      </c>
      <c r="Q783" s="7" t="s">
        <v>88</v>
      </c>
      <c r="R783" s="7" t="s">
        <v>89</v>
      </c>
      <c r="S783" s="7" t="s">
        <v>89</v>
      </c>
      <c r="T783" s="7" t="s">
        <v>54</v>
      </c>
      <c r="U783" s="7" t="s">
        <v>90</v>
      </c>
      <c r="V783" s="7" t="s">
        <v>91</v>
      </c>
      <c r="W783" s="7" t="s">
        <v>57</v>
      </c>
      <c r="X783" s="7" t="s">
        <v>58</v>
      </c>
      <c r="Y783" s="8">
        <v>45247</v>
      </c>
      <c r="Z783" s="8" t="s">
        <v>0</v>
      </c>
      <c r="AA783" s="7" t="s">
        <v>92</v>
      </c>
      <c r="AB783" s="7" t="s">
        <v>94</v>
      </c>
      <c r="AC783" s="7" t="s">
        <v>65</v>
      </c>
      <c r="AD783" s="7" t="s">
        <v>0</v>
      </c>
      <c r="AE783" s="7" t="s">
        <v>0</v>
      </c>
      <c r="AF783" s="7" t="s">
        <v>0</v>
      </c>
      <c r="AG783" s="7" t="s">
        <v>0</v>
      </c>
      <c r="AH783" s="9" t="s">
        <v>0</v>
      </c>
      <c r="AI783" s="9" t="s">
        <v>0</v>
      </c>
      <c r="AJ783" s="9" t="s">
        <v>0</v>
      </c>
      <c r="AK783" s="7" t="s">
        <v>61</v>
      </c>
      <c r="AL783" s="7" t="s">
        <v>61</v>
      </c>
      <c r="AM783" s="7" t="s">
        <v>0</v>
      </c>
      <c r="AN783" s="7" t="s">
        <v>0</v>
      </c>
      <c r="AO783" s="7" t="s">
        <v>0</v>
      </c>
      <c r="AP783" s="7" t="s">
        <v>0</v>
      </c>
      <c r="AQ783" s="7" t="s">
        <v>61</v>
      </c>
      <c r="AR783" s="7" t="s">
        <v>0</v>
      </c>
      <c r="AS783" s="10" t="str">
        <f>HYPERLINK("https://tessa.gazprom-neft.local/edo/card/ed37cc06-c324-493e-b99c-7338d6ca6211", "https://tessa.gazprom-neft.local/edo/card/ed37cc06-c324-493e-b99c-7338d6ca6211")</f>
        <v>https://tessa.gazprom-neft.local/edo/card/ed37cc06-c324-493e-b99c-7338d6ca6211</v>
      </c>
    </row>
    <row r="784" spans="1:45" hidden="1" x14ac:dyDescent="0.25">
      <c r="A784" s="6" t="s">
        <v>44</v>
      </c>
      <c r="B784" s="7" t="s">
        <v>6976</v>
      </c>
      <c r="C784" s="7" t="s">
        <v>67</v>
      </c>
      <c r="D784" s="8">
        <v>45247</v>
      </c>
      <c r="E784" s="8" t="s">
        <v>0</v>
      </c>
      <c r="F784" s="16" t="s">
        <v>6977</v>
      </c>
      <c r="G784" s="7" t="s">
        <v>6978</v>
      </c>
      <c r="H784" s="7" t="s">
        <v>0</v>
      </c>
      <c r="I784" s="7" t="s">
        <v>6973</v>
      </c>
      <c r="J784" s="7" t="s">
        <v>6973</v>
      </c>
      <c r="K784" s="7" t="s">
        <v>47</v>
      </c>
      <c r="L784" s="7" t="s">
        <v>96</v>
      </c>
      <c r="M784" s="7" t="s">
        <v>0</v>
      </c>
      <c r="N784" s="7" t="s">
        <v>6972</v>
      </c>
      <c r="O784" s="7" t="s">
        <v>0</v>
      </c>
      <c r="P784" s="7" t="s">
        <v>6974</v>
      </c>
      <c r="Q784" s="7" t="s">
        <v>6975</v>
      </c>
      <c r="R784" s="7" t="s">
        <v>1062</v>
      </c>
      <c r="S784" s="7" t="s">
        <v>1062</v>
      </c>
      <c r="T784" s="7" t="s">
        <v>54</v>
      </c>
      <c r="U784" s="7" t="s">
        <v>294</v>
      </c>
      <c r="V784" s="7" t="s">
        <v>187</v>
      </c>
      <c r="W784" s="7" t="s">
        <v>74</v>
      </c>
      <c r="X784" s="7" t="s">
        <v>103</v>
      </c>
      <c r="Y784" s="8">
        <v>45243</v>
      </c>
      <c r="Z784" s="8">
        <v>45657</v>
      </c>
      <c r="AA784" s="7" t="s">
        <v>224</v>
      </c>
      <c r="AB784" s="7" t="s">
        <v>500</v>
      </c>
      <c r="AC784" s="7" t="s">
        <v>79</v>
      </c>
      <c r="AD784" s="7" t="s">
        <v>80</v>
      </c>
      <c r="AE784" s="7" t="s">
        <v>118</v>
      </c>
      <c r="AF784" s="7" t="s">
        <v>0</v>
      </c>
      <c r="AG784" s="7" t="s">
        <v>6979</v>
      </c>
      <c r="AH784" s="9" t="s">
        <v>13021</v>
      </c>
      <c r="AI784" s="9" t="s">
        <v>13021</v>
      </c>
      <c r="AJ784" s="9">
        <v>0</v>
      </c>
      <c r="AK784" s="7" t="s">
        <v>81</v>
      </c>
      <c r="AL784" s="7" t="s">
        <v>61</v>
      </c>
      <c r="AM784" s="7" t="s">
        <v>0</v>
      </c>
      <c r="AN784" s="7" t="s">
        <v>0</v>
      </c>
      <c r="AO784" s="7" t="s">
        <v>0</v>
      </c>
      <c r="AP784" s="7" t="s">
        <v>0</v>
      </c>
      <c r="AQ784" s="7" t="s">
        <v>61</v>
      </c>
      <c r="AR784" s="7" t="s">
        <v>0</v>
      </c>
      <c r="AS784" s="10" t="str">
        <f>HYPERLINK("https://tessa.gazprom-neft.local/edo/card/b027be1c-4fb5-4c72-a859-e7e35d99ebc6", "https://tessa.gazprom-neft.local/edo/card/b027be1c-4fb5-4c72-a859-e7e35d99ebc6")</f>
        <v>https://tessa.gazprom-neft.local/edo/card/b027be1c-4fb5-4c72-a859-e7e35d99ebc6</v>
      </c>
    </row>
    <row r="785" spans="1:45" hidden="1" x14ac:dyDescent="0.25">
      <c r="A785" s="6" t="s">
        <v>44</v>
      </c>
      <c r="B785" s="7" t="s">
        <v>6976</v>
      </c>
      <c r="C785" s="7" t="s">
        <v>67</v>
      </c>
      <c r="D785" s="8">
        <v>45247</v>
      </c>
      <c r="E785" s="8" t="s">
        <v>0</v>
      </c>
      <c r="F785" s="16" t="s">
        <v>6977</v>
      </c>
      <c r="G785" s="7" t="s">
        <v>6978</v>
      </c>
      <c r="H785" s="7" t="s">
        <v>0</v>
      </c>
      <c r="I785" s="7" t="s">
        <v>6997</v>
      </c>
      <c r="J785" s="7" t="s">
        <v>6997</v>
      </c>
      <c r="K785" s="7" t="s">
        <v>85</v>
      </c>
      <c r="L785" s="7" t="s">
        <v>86</v>
      </c>
      <c r="M785" s="7" t="s">
        <v>289</v>
      </c>
      <c r="N785" s="7" t="s">
        <v>6996</v>
      </c>
      <c r="O785" s="7" t="s">
        <v>0</v>
      </c>
      <c r="P785" s="7" t="s">
        <v>289</v>
      </c>
      <c r="Q785" s="7" t="s">
        <v>6998</v>
      </c>
      <c r="R785" s="7" t="s">
        <v>1062</v>
      </c>
      <c r="S785" s="7" t="s">
        <v>1062</v>
      </c>
      <c r="T785" s="7" t="s">
        <v>54</v>
      </c>
      <c r="U785" s="7" t="s">
        <v>294</v>
      </c>
      <c r="V785" s="7" t="s">
        <v>340</v>
      </c>
      <c r="W785" s="7" t="s">
        <v>74</v>
      </c>
      <c r="X785" s="7" t="s">
        <v>223</v>
      </c>
      <c r="Y785" s="8">
        <v>45243</v>
      </c>
      <c r="Z785" s="8" t="s">
        <v>0</v>
      </c>
      <c r="AA785" s="7" t="s">
        <v>341</v>
      </c>
      <c r="AB785" s="7" t="s">
        <v>300</v>
      </c>
      <c r="AC785" s="7" t="s">
        <v>65</v>
      </c>
      <c r="AD785" s="7" t="s">
        <v>0</v>
      </c>
      <c r="AE785" s="7" t="s">
        <v>0</v>
      </c>
      <c r="AF785" s="7" t="s">
        <v>0</v>
      </c>
      <c r="AG785" s="7" t="s">
        <v>0</v>
      </c>
      <c r="AH785" s="9" t="s">
        <v>0</v>
      </c>
      <c r="AI785" s="9" t="s">
        <v>0</v>
      </c>
      <c r="AJ785" s="9" t="s">
        <v>0</v>
      </c>
      <c r="AK785" s="7" t="s">
        <v>61</v>
      </c>
      <c r="AL785" s="7" t="s">
        <v>61</v>
      </c>
      <c r="AM785" s="7" t="s">
        <v>0</v>
      </c>
      <c r="AN785" s="7" t="s">
        <v>0</v>
      </c>
      <c r="AO785" s="7" t="s">
        <v>0</v>
      </c>
      <c r="AP785" s="7" t="s">
        <v>0</v>
      </c>
      <c r="AQ785" s="7" t="s">
        <v>61</v>
      </c>
      <c r="AR785" s="7" t="s">
        <v>0</v>
      </c>
      <c r="AS785" s="10" t="str">
        <f>HYPERLINK("https://tessa.gazprom-neft.local/edo/card/461fb3f5-bb49-428d-b2ac-3feffd3bcfa4", "https://tessa.gazprom-neft.local/edo/card/461fb3f5-bb49-428d-b2ac-3feffd3bcfa4")</f>
        <v>https://tessa.gazprom-neft.local/edo/card/461fb3f5-bb49-428d-b2ac-3feffd3bcfa4</v>
      </c>
    </row>
    <row r="786" spans="1:45" hidden="1" x14ac:dyDescent="0.25">
      <c r="A786" s="6" t="s">
        <v>44</v>
      </c>
      <c r="B786" s="7" t="s">
        <v>542</v>
      </c>
      <c r="C786" s="7" t="s">
        <v>67</v>
      </c>
      <c r="D786" s="8">
        <v>45247</v>
      </c>
      <c r="E786" s="8" t="s">
        <v>0</v>
      </c>
      <c r="F786" s="16" t="s">
        <v>543</v>
      </c>
      <c r="G786" s="7" t="s">
        <v>544</v>
      </c>
      <c r="H786" s="7" t="s">
        <v>536</v>
      </c>
      <c r="I786" s="7" t="s">
        <v>0</v>
      </c>
      <c r="J786" s="7" t="s">
        <v>6486</v>
      </c>
      <c r="K786" s="7" t="s">
        <v>47</v>
      </c>
      <c r="L786" s="7" t="s">
        <v>239</v>
      </c>
      <c r="M786" s="7" t="s">
        <v>0</v>
      </c>
      <c r="N786" s="7" t="s">
        <v>7306</v>
      </c>
      <c r="O786" s="7" t="s">
        <v>0</v>
      </c>
      <c r="P786" s="7" t="s">
        <v>7307</v>
      </c>
      <c r="Q786" s="7" t="s">
        <v>7308</v>
      </c>
      <c r="R786" s="7" t="s">
        <v>540</v>
      </c>
      <c r="S786" s="7" t="s">
        <v>0</v>
      </c>
      <c r="T786" s="7" t="s">
        <v>54</v>
      </c>
      <c r="U786" s="7" t="s">
        <v>541</v>
      </c>
      <c r="V786" s="7" t="s">
        <v>56</v>
      </c>
      <c r="W786" s="7" t="s">
        <v>74</v>
      </c>
      <c r="X786" s="7" t="s">
        <v>103</v>
      </c>
      <c r="Y786" s="8">
        <v>45247</v>
      </c>
      <c r="Z786" s="8">
        <v>45373</v>
      </c>
      <c r="AA786" s="7" t="s">
        <v>59</v>
      </c>
      <c r="AB786" s="7" t="s">
        <v>545</v>
      </c>
      <c r="AC786" s="7" t="s">
        <v>79</v>
      </c>
      <c r="AD786" s="7" t="s">
        <v>144</v>
      </c>
      <c r="AE786" s="7" t="s">
        <v>82</v>
      </c>
      <c r="AF786" s="7" t="s">
        <v>0</v>
      </c>
      <c r="AG786" s="7" t="s">
        <v>0</v>
      </c>
      <c r="AH786" s="9" t="s">
        <v>13141</v>
      </c>
      <c r="AI786" s="9" t="s">
        <v>13142</v>
      </c>
      <c r="AJ786" s="9" t="s">
        <v>13143</v>
      </c>
      <c r="AK786" s="7" t="s">
        <v>61</v>
      </c>
      <c r="AL786" s="7" t="s">
        <v>61</v>
      </c>
      <c r="AM786" s="7" t="s">
        <v>0</v>
      </c>
      <c r="AN786" s="7" t="s">
        <v>0</v>
      </c>
      <c r="AO786" s="7" t="s">
        <v>0</v>
      </c>
      <c r="AP786" s="7" t="s">
        <v>0</v>
      </c>
      <c r="AQ786" s="7" t="s">
        <v>61</v>
      </c>
      <c r="AR786" s="7" t="s">
        <v>0</v>
      </c>
      <c r="AS786" s="10" t="str">
        <f>HYPERLINK("https://tessa.gazprom-neft.local/edo/card/5b06b5c3-66a4-42ea-a3ae-5fd4795840c8", "https://tessa.gazprom-neft.local/edo/card/5b06b5c3-66a4-42ea-a3ae-5fd4795840c8")</f>
        <v>https://tessa.gazprom-neft.local/edo/card/5b06b5c3-66a4-42ea-a3ae-5fd4795840c8</v>
      </c>
    </row>
    <row r="787" spans="1:45" hidden="1" x14ac:dyDescent="0.25">
      <c r="A787" s="6" t="s">
        <v>44</v>
      </c>
      <c r="B787" s="7" t="s">
        <v>253</v>
      </c>
      <c r="C787" s="7" t="s">
        <v>67</v>
      </c>
      <c r="D787" s="8">
        <v>45247</v>
      </c>
      <c r="E787" s="8" t="s">
        <v>0</v>
      </c>
      <c r="F787" s="16" t="s">
        <v>254</v>
      </c>
      <c r="G787" s="7" t="s">
        <v>255</v>
      </c>
      <c r="H787" s="7" t="s">
        <v>0</v>
      </c>
      <c r="I787" s="7" t="s">
        <v>7539</v>
      </c>
      <c r="J787" s="7" t="s">
        <v>7539</v>
      </c>
      <c r="K787" s="7" t="s">
        <v>85</v>
      </c>
      <c r="L787" s="7" t="s">
        <v>86</v>
      </c>
      <c r="M787" s="7" t="s">
        <v>289</v>
      </c>
      <c r="N787" s="7" t="s">
        <v>7538</v>
      </c>
      <c r="O787" s="7" t="s">
        <v>0</v>
      </c>
      <c r="P787" s="7" t="s">
        <v>289</v>
      </c>
      <c r="Q787" s="7" t="s">
        <v>426</v>
      </c>
      <c r="R787" s="7" t="s">
        <v>244</v>
      </c>
      <c r="S787" s="7" t="s">
        <v>0</v>
      </c>
      <c r="T787" s="7" t="s">
        <v>54</v>
      </c>
      <c r="U787" s="7" t="s">
        <v>55</v>
      </c>
      <c r="V787" s="7" t="s">
        <v>56</v>
      </c>
      <c r="W787" s="7" t="s">
        <v>74</v>
      </c>
      <c r="X787" s="7" t="s">
        <v>223</v>
      </c>
      <c r="Y787" s="8">
        <v>45247</v>
      </c>
      <c r="Z787" s="8" t="s">
        <v>0</v>
      </c>
      <c r="AA787" s="7" t="s">
        <v>59</v>
      </c>
      <c r="AB787" s="7" t="s">
        <v>300</v>
      </c>
      <c r="AC787" s="7" t="s">
        <v>65</v>
      </c>
      <c r="AD787" s="7" t="s">
        <v>0</v>
      </c>
      <c r="AE787" s="7" t="s">
        <v>0</v>
      </c>
      <c r="AF787" s="7" t="s">
        <v>0</v>
      </c>
      <c r="AG787" s="7" t="s">
        <v>0</v>
      </c>
      <c r="AH787" s="9" t="s">
        <v>0</v>
      </c>
      <c r="AI787" s="9" t="s">
        <v>0</v>
      </c>
      <c r="AJ787" s="9" t="s">
        <v>0</v>
      </c>
      <c r="AK787" s="7" t="s">
        <v>61</v>
      </c>
      <c r="AL787" s="7" t="s">
        <v>61</v>
      </c>
      <c r="AM787" s="7" t="s">
        <v>0</v>
      </c>
      <c r="AN787" s="7" t="s">
        <v>0</v>
      </c>
      <c r="AO787" s="7" t="s">
        <v>0</v>
      </c>
      <c r="AP787" s="7" t="s">
        <v>0</v>
      </c>
      <c r="AQ787" s="7" t="s">
        <v>61</v>
      </c>
      <c r="AR787" s="7" t="s">
        <v>0</v>
      </c>
      <c r="AS787" s="10" t="str">
        <f>HYPERLINK("https://tessa.gazprom-neft.local/edo/card/2483c89a-e6ea-4d2c-a945-b0b74a30de65", "https://tessa.gazprom-neft.local/edo/card/2483c89a-e6ea-4d2c-a945-b0b74a30de65")</f>
        <v>https://tessa.gazprom-neft.local/edo/card/2483c89a-e6ea-4d2c-a945-b0b74a30de65</v>
      </c>
    </row>
    <row r="788" spans="1:45" x14ac:dyDescent="0.25">
      <c r="A788" s="6" t="s">
        <v>44</v>
      </c>
      <c r="B788" s="7" t="s">
        <v>1495</v>
      </c>
      <c r="C788" s="7" t="s">
        <v>67</v>
      </c>
      <c r="D788" s="8">
        <v>45247</v>
      </c>
      <c r="E788" s="8" t="s">
        <v>0</v>
      </c>
      <c r="F788" s="16" t="s">
        <v>1496</v>
      </c>
      <c r="G788" s="7" t="s">
        <v>1497</v>
      </c>
      <c r="H788" s="7" t="s">
        <v>1492</v>
      </c>
      <c r="I788" s="7" t="s">
        <v>0</v>
      </c>
      <c r="J788" s="7" t="s">
        <v>936</v>
      </c>
      <c r="K788" s="7" t="s">
        <v>85</v>
      </c>
      <c r="L788" s="7" t="s">
        <v>48</v>
      </c>
      <c r="M788" s="7" t="s">
        <v>2128</v>
      </c>
      <c r="N788" s="7" t="s">
        <v>7647</v>
      </c>
      <c r="O788" s="7" t="s">
        <v>0</v>
      </c>
      <c r="P788" s="7" t="s">
        <v>2128</v>
      </c>
      <c r="Q788" s="7" t="s">
        <v>7648</v>
      </c>
      <c r="R788" s="7" t="s">
        <v>282</v>
      </c>
      <c r="S788" s="7" t="s">
        <v>0</v>
      </c>
      <c r="T788" s="7" t="s">
        <v>54</v>
      </c>
      <c r="U788" s="7" t="s">
        <v>210</v>
      </c>
      <c r="V788" s="7" t="s">
        <v>126</v>
      </c>
      <c r="W788" s="7" t="s">
        <v>74</v>
      </c>
      <c r="X788" s="7" t="s">
        <v>103</v>
      </c>
      <c r="Y788" s="8">
        <v>45247</v>
      </c>
      <c r="Z788" s="8">
        <v>45657</v>
      </c>
      <c r="AA788" s="7" t="s">
        <v>224</v>
      </c>
      <c r="AB788" s="7" t="s">
        <v>1498</v>
      </c>
      <c r="AC788" s="7" t="s">
        <v>65</v>
      </c>
      <c r="AD788" s="7" t="s">
        <v>0</v>
      </c>
      <c r="AE788" s="7" t="s">
        <v>0</v>
      </c>
      <c r="AF788" s="7" t="s">
        <v>0</v>
      </c>
      <c r="AG788" s="7" t="s">
        <v>0</v>
      </c>
      <c r="AH788" s="9" t="s">
        <v>0</v>
      </c>
      <c r="AI788" s="9" t="s">
        <v>0</v>
      </c>
      <c r="AJ788" s="9" t="s">
        <v>0</v>
      </c>
      <c r="AK788" s="7" t="s">
        <v>61</v>
      </c>
      <c r="AL788" s="7" t="s">
        <v>61</v>
      </c>
      <c r="AM788" s="7" t="s">
        <v>0</v>
      </c>
      <c r="AN788" s="7" t="s">
        <v>0</v>
      </c>
      <c r="AO788" s="7" t="s">
        <v>0</v>
      </c>
      <c r="AP788" s="7" t="s">
        <v>0</v>
      </c>
      <c r="AQ788" s="7" t="s">
        <v>61</v>
      </c>
      <c r="AR788" s="7" t="s">
        <v>0</v>
      </c>
      <c r="AS788" s="10" t="str">
        <f>HYPERLINK("https://tessa.gazprom-neft.local/edo/card/cc742775-8134-4ec0-9c8e-b3f98c8237e7", "https://tessa.gazprom-neft.local/edo/card/cc742775-8134-4ec0-9c8e-b3f98c8237e7")</f>
        <v>https://tessa.gazprom-neft.local/edo/card/cc742775-8134-4ec0-9c8e-b3f98c8237e7</v>
      </c>
    </row>
    <row r="789" spans="1:45" hidden="1" x14ac:dyDescent="0.25">
      <c r="A789" s="6" t="s">
        <v>44</v>
      </c>
      <c r="B789" s="7" t="s">
        <v>0</v>
      </c>
      <c r="C789" s="7" t="s">
        <v>67</v>
      </c>
      <c r="D789" s="8">
        <v>45247</v>
      </c>
      <c r="E789" s="8" t="s">
        <v>0</v>
      </c>
      <c r="F789" s="16" t="s">
        <v>7818</v>
      </c>
      <c r="G789" s="7" t="s">
        <v>0</v>
      </c>
      <c r="H789" s="7" t="s">
        <v>0</v>
      </c>
      <c r="I789" s="7" t="s">
        <v>7816</v>
      </c>
      <c r="J789" s="7" t="s">
        <v>7816</v>
      </c>
      <c r="K789" s="7" t="s">
        <v>85</v>
      </c>
      <c r="L789" s="7" t="s">
        <v>86</v>
      </c>
      <c r="M789" s="7" t="s">
        <v>83</v>
      </c>
      <c r="N789" s="7" t="s">
        <v>7815</v>
      </c>
      <c r="O789" s="7" t="s">
        <v>0</v>
      </c>
      <c r="P789" s="7" t="s">
        <v>83</v>
      </c>
      <c r="Q789" s="7" t="s">
        <v>7817</v>
      </c>
      <c r="R789" s="7" t="s">
        <v>89</v>
      </c>
      <c r="S789" s="7" t="s">
        <v>89</v>
      </c>
      <c r="T789" s="7" t="s">
        <v>54</v>
      </c>
      <c r="U789" s="7" t="s">
        <v>90</v>
      </c>
      <c r="V789" s="7" t="s">
        <v>91</v>
      </c>
      <c r="W789" s="7" t="s">
        <v>57</v>
      </c>
      <c r="X789" s="7" t="s">
        <v>58</v>
      </c>
      <c r="Y789" s="8">
        <v>45247</v>
      </c>
      <c r="Z789" s="8" t="s">
        <v>0</v>
      </c>
      <c r="AA789" s="7" t="s">
        <v>92</v>
      </c>
      <c r="AB789" s="7" t="s">
        <v>94</v>
      </c>
      <c r="AC789" s="7" t="s">
        <v>65</v>
      </c>
      <c r="AD789" s="7" t="s">
        <v>0</v>
      </c>
      <c r="AE789" s="7" t="s">
        <v>0</v>
      </c>
      <c r="AF789" s="7" t="s">
        <v>0</v>
      </c>
      <c r="AG789" s="7" t="s">
        <v>0</v>
      </c>
      <c r="AH789" s="9" t="s">
        <v>0</v>
      </c>
      <c r="AI789" s="9" t="s">
        <v>0</v>
      </c>
      <c r="AJ789" s="9" t="s">
        <v>0</v>
      </c>
      <c r="AK789" s="7" t="s">
        <v>61</v>
      </c>
      <c r="AL789" s="7" t="s">
        <v>61</v>
      </c>
      <c r="AM789" s="7" t="s">
        <v>0</v>
      </c>
      <c r="AN789" s="7" t="s">
        <v>0</v>
      </c>
      <c r="AO789" s="7" t="s">
        <v>0</v>
      </c>
      <c r="AP789" s="7" t="s">
        <v>0</v>
      </c>
      <c r="AQ789" s="7" t="s">
        <v>61</v>
      </c>
      <c r="AR789" s="7" t="s">
        <v>0</v>
      </c>
      <c r="AS789" s="10" t="str">
        <f>HYPERLINK("https://tessa.gazprom-neft.local/edo/card/4d5c7c1b-5c97-47c5-87e2-4851689330ae", "https://tessa.gazprom-neft.local/edo/card/4d5c7c1b-5c97-47c5-87e2-4851689330ae")</f>
        <v>https://tessa.gazprom-neft.local/edo/card/4d5c7c1b-5c97-47c5-87e2-4851689330ae</v>
      </c>
    </row>
    <row r="790" spans="1:45" x14ac:dyDescent="0.25">
      <c r="A790" s="6" t="s">
        <v>44</v>
      </c>
      <c r="B790" s="7" t="s">
        <v>395</v>
      </c>
      <c r="C790" s="7" t="s">
        <v>67</v>
      </c>
      <c r="D790" s="8">
        <v>45246</v>
      </c>
      <c r="E790" s="8" t="s">
        <v>0</v>
      </c>
      <c r="F790" s="16" t="s">
        <v>396</v>
      </c>
      <c r="G790" s="7" t="s">
        <v>397</v>
      </c>
      <c r="H790" s="7" t="s">
        <v>390</v>
      </c>
      <c r="I790" s="7" t="s">
        <v>0</v>
      </c>
      <c r="J790" s="7" t="s">
        <v>156</v>
      </c>
      <c r="K790" s="7" t="s">
        <v>85</v>
      </c>
      <c r="L790" s="7" t="s">
        <v>48</v>
      </c>
      <c r="M790" s="7" t="s">
        <v>1134</v>
      </c>
      <c r="N790" s="7" t="s">
        <v>7546</v>
      </c>
      <c r="O790" s="7" t="s">
        <v>0</v>
      </c>
      <c r="P790" s="7" t="s">
        <v>7547</v>
      </c>
      <c r="Q790" s="7" t="s">
        <v>7484</v>
      </c>
      <c r="R790" s="7" t="s">
        <v>393</v>
      </c>
      <c r="S790" s="7" t="s">
        <v>590</v>
      </c>
      <c r="T790" s="7" t="s">
        <v>54</v>
      </c>
      <c r="U790" s="7" t="s">
        <v>591</v>
      </c>
      <c r="V790" s="7" t="s">
        <v>126</v>
      </c>
      <c r="W790" s="7" t="s">
        <v>74</v>
      </c>
      <c r="X790" s="7" t="s">
        <v>58</v>
      </c>
      <c r="Y790" s="8">
        <v>45246</v>
      </c>
      <c r="Z790" s="8" t="s">
        <v>0</v>
      </c>
      <c r="AA790" s="7" t="s">
        <v>224</v>
      </c>
      <c r="AB790" s="7" t="s">
        <v>387</v>
      </c>
      <c r="AC790" s="7" t="s">
        <v>65</v>
      </c>
      <c r="AD790" s="7" t="s">
        <v>0</v>
      </c>
      <c r="AE790" s="7" t="s">
        <v>0</v>
      </c>
      <c r="AF790" s="7" t="s">
        <v>0</v>
      </c>
      <c r="AG790" s="7" t="s">
        <v>0</v>
      </c>
      <c r="AH790" s="9" t="s">
        <v>0</v>
      </c>
      <c r="AI790" s="9" t="s">
        <v>0</v>
      </c>
      <c r="AJ790" s="9" t="s">
        <v>0</v>
      </c>
      <c r="AK790" s="7" t="s">
        <v>61</v>
      </c>
      <c r="AL790" s="7" t="s">
        <v>61</v>
      </c>
      <c r="AM790" s="7" t="s">
        <v>0</v>
      </c>
      <c r="AN790" s="7" t="s">
        <v>0</v>
      </c>
      <c r="AO790" s="7" t="s">
        <v>0</v>
      </c>
      <c r="AP790" s="7" t="s">
        <v>0</v>
      </c>
      <c r="AQ790" s="7" t="s">
        <v>61</v>
      </c>
      <c r="AR790" s="7" t="s">
        <v>0</v>
      </c>
      <c r="AS790" s="10" t="str">
        <f>HYPERLINK("https://tessa.gazprom-neft.local/edo/card/589cbc70-5214-4761-b62f-5f57dc97ceae", "https://tessa.gazprom-neft.local/edo/card/589cbc70-5214-4761-b62f-5f57dc97ceae")</f>
        <v>https://tessa.gazprom-neft.local/edo/card/589cbc70-5214-4761-b62f-5f57dc97ceae</v>
      </c>
    </row>
    <row r="791" spans="1:45" x14ac:dyDescent="0.25">
      <c r="A791" s="6" t="s">
        <v>44</v>
      </c>
      <c r="B791" s="7" t="s">
        <v>7566</v>
      </c>
      <c r="C791" s="7" t="s">
        <v>67</v>
      </c>
      <c r="D791" s="8">
        <v>45246</v>
      </c>
      <c r="E791" s="8" t="s">
        <v>0</v>
      </c>
      <c r="F791" s="16" t="s">
        <v>7567</v>
      </c>
      <c r="G791" s="7" t="s">
        <v>7568</v>
      </c>
      <c r="H791" s="7" t="s">
        <v>6426</v>
      </c>
      <c r="I791" s="7" t="s">
        <v>0</v>
      </c>
      <c r="J791" s="7" t="s">
        <v>271</v>
      </c>
      <c r="K791" s="7" t="s">
        <v>85</v>
      </c>
      <c r="L791" s="7" t="s">
        <v>48</v>
      </c>
      <c r="M791" s="7" t="s">
        <v>2128</v>
      </c>
      <c r="N791" s="7" t="s">
        <v>7563</v>
      </c>
      <c r="O791" s="7" t="s">
        <v>0</v>
      </c>
      <c r="P791" s="7" t="s">
        <v>7564</v>
      </c>
      <c r="Q791" s="7" t="s">
        <v>7565</v>
      </c>
      <c r="R791" s="7" t="s">
        <v>836</v>
      </c>
      <c r="S791" s="7" t="s">
        <v>836</v>
      </c>
      <c r="T791" s="7" t="s">
        <v>54</v>
      </c>
      <c r="U791" s="7" t="s">
        <v>294</v>
      </c>
      <c r="V791" s="7" t="s">
        <v>295</v>
      </c>
      <c r="W791" s="7" t="s">
        <v>74</v>
      </c>
      <c r="X791" s="7" t="s">
        <v>103</v>
      </c>
      <c r="Y791" s="8">
        <v>45246</v>
      </c>
      <c r="Z791" s="8">
        <v>45291</v>
      </c>
      <c r="AA791" s="7" t="s">
        <v>296</v>
      </c>
      <c r="AB791" s="7" t="s">
        <v>64</v>
      </c>
      <c r="AC791" s="7" t="s">
        <v>65</v>
      </c>
      <c r="AD791" s="7" t="s">
        <v>0</v>
      </c>
      <c r="AE791" s="7" t="s">
        <v>0</v>
      </c>
      <c r="AF791" s="7" t="s">
        <v>0</v>
      </c>
      <c r="AG791" s="7" t="s">
        <v>0</v>
      </c>
      <c r="AH791" s="9" t="s">
        <v>0</v>
      </c>
      <c r="AI791" s="9" t="s">
        <v>0</v>
      </c>
      <c r="AJ791" s="9" t="s">
        <v>0</v>
      </c>
      <c r="AK791" s="7" t="s">
        <v>61</v>
      </c>
      <c r="AL791" s="7" t="s">
        <v>61</v>
      </c>
      <c r="AM791" s="7" t="s">
        <v>0</v>
      </c>
      <c r="AN791" s="7" t="s">
        <v>0</v>
      </c>
      <c r="AO791" s="7" t="s">
        <v>0</v>
      </c>
      <c r="AP791" s="7" t="s">
        <v>0</v>
      </c>
      <c r="AQ791" s="7" t="s">
        <v>61</v>
      </c>
      <c r="AR791" s="7" t="s">
        <v>0</v>
      </c>
      <c r="AS791" s="10" t="str">
        <f>HYPERLINK("https://tessa.gazprom-neft.local/edo/card/6ccd2ef1-9eb4-4810-b7e2-1cc35323a539", "https://tessa.gazprom-neft.local/edo/card/6ccd2ef1-9eb4-4810-b7e2-1cc35323a539")</f>
        <v>https://tessa.gazprom-neft.local/edo/card/6ccd2ef1-9eb4-4810-b7e2-1cc35323a539</v>
      </c>
    </row>
    <row r="792" spans="1:45" x14ac:dyDescent="0.25">
      <c r="A792" s="6" t="s">
        <v>44</v>
      </c>
      <c r="B792" s="7" t="s">
        <v>363</v>
      </c>
      <c r="C792" s="7" t="s">
        <v>67</v>
      </c>
      <c r="D792" s="8">
        <v>45246</v>
      </c>
      <c r="E792" s="8" t="s">
        <v>0</v>
      </c>
      <c r="F792" s="16" t="s">
        <v>364</v>
      </c>
      <c r="G792" s="7" t="s">
        <v>365</v>
      </c>
      <c r="H792" s="7" t="s">
        <v>358</v>
      </c>
      <c r="I792" s="7" t="s">
        <v>0</v>
      </c>
      <c r="J792" s="7" t="s">
        <v>271</v>
      </c>
      <c r="K792" s="7" t="s">
        <v>47</v>
      </c>
      <c r="L792" s="7" t="s">
        <v>48</v>
      </c>
      <c r="M792" s="7" t="s">
        <v>0</v>
      </c>
      <c r="N792" s="7" t="s">
        <v>7573</v>
      </c>
      <c r="O792" s="7" t="s">
        <v>0</v>
      </c>
      <c r="P792" s="7" t="s">
        <v>7574</v>
      </c>
      <c r="Q792" s="7" t="s">
        <v>360</v>
      </c>
      <c r="R792" s="7" t="s">
        <v>361</v>
      </c>
      <c r="S792" s="7" t="s">
        <v>361</v>
      </c>
      <c r="T792" s="7" t="s">
        <v>54</v>
      </c>
      <c r="U792" s="7" t="s">
        <v>362</v>
      </c>
      <c r="V792" s="7" t="s">
        <v>295</v>
      </c>
      <c r="W792" s="7" t="s">
        <v>74</v>
      </c>
      <c r="X792" s="7" t="s">
        <v>103</v>
      </c>
      <c r="Y792" s="8">
        <v>45246</v>
      </c>
      <c r="Z792" s="8">
        <v>45412</v>
      </c>
      <c r="AA792" s="7" t="s">
        <v>296</v>
      </c>
      <c r="AB792" s="7" t="s">
        <v>366</v>
      </c>
      <c r="AC792" s="7" t="s">
        <v>278</v>
      </c>
      <c r="AD792" s="7" t="s">
        <v>367</v>
      </c>
      <c r="AE792" s="7" t="s">
        <v>82</v>
      </c>
      <c r="AF792" s="7" t="s">
        <v>0</v>
      </c>
      <c r="AG792" s="7" t="s">
        <v>0</v>
      </c>
      <c r="AH792" s="9" t="s">
        <v>13225</v>
      </c>
      <c r="AI792" s="9" t="s">
        <v>13226</v>
      </c>
      <c r="AJ792" s="9" t="s">
        <v>13227</v>
      </c>
      <c r="AK792" s="7" t="s">
        <v>61</v>
      </c>
      <c r="AL792" s="7" t="s">
        <v>61</v>
      </c>
      <c r="AM792" s="7" t="s">
        <v>0</v>
      </c>
      <c r="AN792" s="7" t="s">
        <v>0</v>
      </c>
      <c r="AO792" s="7" t="s">
        <v>0</v>
      </c>
      <c r="AP792" s="7" t="s">
        <v>0</v>
      </c>
      <c r="AQ792" s="7" t="s">
        <v>61</v>
      </c>
      <c r="AR792" s="7" t="s">
        <v>0</v>
      </c>
      <c r="AS792" s="10" t="str">
        <f>HYPERLINK("https://tessa.gazprom-neft.local/edo/card/e83b3f5b-d140-48cd-a18c-a60135477d98", "https://tessa.gazprom-neft.local/edo/card/e83b3f5b-d140-48cd-a18c-a60135477d98")</f>
        <v>https://tessa.gazprom-neft.local/edo/card/e83b3f5b-d140-48cd-a18c-a60135477d98</v>
      </c>
    </row>
    <row r="793" spans="1:45" x14ac:dyDescent="0.25">
      <c r="A793" s="6" t="s">
        <v>44</v>
      </c>
      <c r="B793" s="7" t="s">
        <v>639</v>
      </c>
      <c r="C793" s="7" t="s">
        <v>67</v>
      </c>
      <c r="D793" s="8">
        <v>45245</v>
      </c>
      <c r="E793" s="8" t="s">
        <v>0</v>
      </c>
      <c r="F793" s="16" t="s">
        <v>640</v>
      </c>
      <c r="G793" s="7" t="s">
        <v>641</v>
      </c>
      <c r="H793" s="7" t="s">
        <v>1813</v>
      </c>
      <c r="I793" s="7" t="s">
        <v>0</v>
      </c>
      <c r="J793" s="7" t="s">
        <v>51</v>
      </c>
      <c r="K793" s="7" t="s">
        <v>85</v>
      </c>
      <c r="L793" s="7" t="s">
        <v>48</v>
      </c>
      <c r="M793" s="7" t="s">
        <v>1134</v>
      </c>
      <c r="N793" s="7" t="s">
        <v>7353</v>
      </c>
      <c r="O793" s="7" t="s">
        <v>0</v>
      </c>
      <c r="P793" s="7" t="s">
        <v>1134</v>
      </c>
      <c r="Q793" s="7" t="s">
        <v>7354</v>
      </c>
      <c r="R793" s="7" t="s">
        <v>646</v>
      </c>
      <c r="S793" s="7" t="s">
        <v>4214</v>
      </c>
      <c r="T793" s="7" t="s">
        <v>54</v>
      </c>
      <c r="U793" s="7" t="s">
        <v>55</v>
      </c>
      <c r="V793" s="7" t="s">
        <v>864</v>
      </c>
      <c r="W793" s="7" t="s">
        <v>74</v>
      </c>
      <c r="X793" s="7" t="s">
        <v>58</v>
      </c>
      <c r="Y793" s="8">
        <v>45245</v>
      </c>
      <c r="Z793" s="8" t="s">
        <v>0</v>
      </c>
      <c r="AA793" s="7" t="s">
        <v>865</v>
      </c>
      <c r="AB793" s="7" t="s">
        <v>130</v>
      </c>
      <c r="AC793" s="7" t="s">
        <v>65</v>
      </c>
      <c r="AD793" s="7" t="s">
        <v>0</v>
      </c>
      <c r="AE793" s="7" t="s">
        <v>0</v>
      </c>
      <c r="AF793" s="7" t="s">
        <v>0</v>
      </c>
      <c r="AG793" s="7" t="s">
        <v>0</v>
      </c>
      <c r="AH793" s="9" t="s">
        <v>0</v>
      </c>
      <c r="AI793" s="9" t="s">
        <v>0</v>
      </c>
      <c r="AJ793" s="9" t="s">
        <v>0</v>
      </c>
      <c r="AK793" s="7" t="s">
        <v>61</v>
      </c>
      <c r="AL793" s="7" t="s">
        <v>61</v>
      </c>
      <c r="AM793" s="7" t="s">
        <v>0</v>
      </c>
      <c r="AN793" s="7" t="s">
        <v>0</v>
      </c>
      <c r="AO793" s="7" t="s">
        <v>0</v>
      </c>
      <c r="AP793" s="7" t="s">
        <v>0</v>
      </c>
      <c r="AQ793" s="7" t="s">
        <v>61</v>
      </c>
      <c r="AR793" s="7" t="s">
        <v>0</v>
      </c>
      <c r="AS793" s="10" t="str">
        <f>HYPERLINK("https://tessa.gazprom-neft.local/edo/card/c5ea95bc-63a9-4115-9db2-99ad7be8bb15", "https://tessa.gazprom-neft.local/edo/card/c5ea95bc-63a9-4115-9db2-99ad7be8bb15")</f>
        <v>https://tessa.gazprom-neft.local/edo/card/c5ea95bc-63a9-4115-9db2-99ad7be8bb15</v>
      </c>
    </row>
    <row r="794" spans="1:45" x14ac:dyDescent="0.25">
      <c r="A794" s="6" t="s">
        <v>44</v>
      </c>
      <c r="B794" s="7" t="s">
        <v>2001</v>
      </c>
      <c r="C794" s="7" t="s">
        <v>67</v>
      </c>
      <c r="D794" s="8">
        <v>45245</v>
      </c>
      <c r="E794" s="8" t="s">
        <v>0</v>
      </c>
      <c r="F794" s="16" t="s">
        <v>2002</v>
      </c>
      <c r="G794" s="7" t="s">
        <v>2003</v>
      </c>
      <c r="H794" s="7" t="s">
        <v>1998</v>
      </c>
      <c r="I794" s="7" t="s">
        <v>0</v>
      </c>
      <c r="J794" s="7" t="s">
        <v>355</v>
      </c>
      <c r="K794" s="7" t="s">
        <v>47</v>
      </c>
      <c r="L794" s="7" t="s">
        <v>48</v>
      </c>
      <c r="M794" s="7" t="s">
        <v>0</v>
      </c>
      <c r="N794" s="7" t="s">
        <v>7412</v>
      </c>
      <c r="O794" s="7" t="s">
        <v>0</v>
      </c>
      <c r="P794" s="7" t="s">
        <v>7413</v>
      </c>
      <c r="Q794" s="7" t="s">
        <v>7414</v>
      </c>
      <c r="R794" s="7" t="s">
        <v>393</v>
      </c>
      <c r="S794" s="7" t="s">
        <v>1503</v>
      </c>
      <c r="T794" s="7" t="s">
        <v>54</v>
      </c>
      <c r="U794" s="7" t="s">
        <v>283</v>
      </c>
      <c r="V794" s="7" t="s">
        <v>168</v>
      </c>
      <c r="W794" s="7" t="s">
        <v>74</v>
      </c>
      <c r="X794" s="7" t="s">
        <v>58</v>
      </c>
      <c r="Y794" s="8">
        <v>45245</v>
      </c>
      <c r="Z794" s="8" t="s">
        <v>0</v>
      </c>
      <c r="AA794" s="7" t="s">
        <v>169</v>
      </c>
      <c r="AB794" s="7" t="s">
        <v>130</v>
      </c>
      <c r="AC794" s="7" t="s">
        <v>65</v>
      </c>
      <c r="AD794" s="7" t="s">
        <v>144</v>
      </c>
      <c r="AE794" s="7" t="s">
        <v>0</v>
      </c>
      <c r="AF794" s="7" t="s">
        <v>0</v>
      </c>
      <c r="AG794" s="7" t="s">
        <v>0</v>
      </c>
      <c r="AH794" s="9" t="s">
        <v>0</v>
      </c>
      <c r="AI794" s="9" t="s">
        <v>0</v>
      </c>
      <c r="AJ794" s="9" t="s">
        <v>0</v>
      </c>
      <c r="AK794" s="7" t="s">
        <v>61</v>
      </c>
      <c r="AL794" s="7" t="s">
        <v>61</v>
      </c>
      <c r="AM794" s="7" t="s">
        <v>0</v>
      </c>
      <c r="AN794" s="7" t="s">
        <v>0</v>
      </c>
      <c r="AO794" s="7" t="s">
        <v>0</v>
      </c>
      <c r="AP794" s="7" t="s">
        <v>0</v>
      </c>
      <c r="AQ794" s="7" t="s">
        <v>61</v>
      </c>
      <c r="AR794" s="7" t="s">
        <v>0</v>
      </c>
      <c r="AS794" s="10" t="str">
        <f>HYPERLINK("https://tessa.gazprom-neft.local/edo/card/bc07034b-fbe3-4091-b013-1c19fc0f1c9e", "https://tessa.gazprom-neft.local/edo/card/bc07034b-fbe3-4091-b013-1c19fc0f1c9e")</f>
        <v>https://tessa.gazprom-neft.local/edo/card/bc07034b-fbe3-4091-b013-1c19fc0f1c9e</v>
      </c>
    </row>
    <row r="795" spans="1:45" hidden="1" x14ac:dyDescent="0.25">
      <c r="A795" s="6" t="s">
        <v>44</v>
      </c>
      <c r="B795" s="7" t="s">
        <v>1396</v>
      </c>
      <c r="C795" s="7" t="s">
        <v>67</v>
      </c>
      <c r="D795" s="8">
        <v>45245</v>
      </c>
      <c r="E795" s="8" t="s">
        <v>0</v>
      </c>
      <c r="F795" s="16" t="s">
        <v>1397</v>
      </c>
      <c r="G795" s="7" t="s">
        <v>1398</v>
      </c>
      <c r="H795" s="7" t="s">
        <v>0</v>
      </c>
      <c r="I795" s="7" t="s">
        <v>3024</v>
      </c>
      <c r="J795" s="7" t="s">
        <v>3024</v>
      </c>
      <c r="K795" s="7" t="s">
        <v>85</v>
      </c>
      <c r="L795" s="7" t="s">
        <v>86</v>
      </c>
      <c r="M795" s="7" t="s">
        <v>216</v>
      </c>
      <c r="N795" s="7" t="s">
        <v>7419</v>
      </c>
      <c r="O795" s="7" t="s">
        <v>0</v>
      </c>
      <c r="P795" s="7" t="s">
        <v>216</v>
      </c>
      <c r="Q795" s="7" t="s">
        <v>7420</v>
      </c>
      <c r="R795" s="7" t="s">
        <v>135</v>
      </c>
      <c r="S795" s="7" t="s">
        <v>0</v>
      </c>
      <c r="T795" s="7" t="s">
        <v>54</v>
      </c>
      <c r="U795" s="7" t="s">
        <v>136</v>
      </c>
      <c r="V795" s="7" t="s">
        <v>308</v>
      </c>
      <c r="W795" s="7" t="s">
        <v>74</v>
      </c>
      <c r="X795" s="7" t="s">
        <v>223</v>
      </c>
      <c r="Y795" s="8">
        <v>45250</v>
      </c>
      <c r="Z795" s="8" t="s">
        <v>0</v>
      </c>
      <c r="AA795" s="7" t="s">
        <v>309</v>
      </c>
      <c r="AB795" s="7" t="s">
        <v>228</v>
      </c>
      <c r="AC795" s="7" t="s">
        <v>65</v>
      </c>
      <c r="AD795" s="7" t="s">
        <v>0</v>
      </c>
      <c r="AE795" s="7" t="s">
        <v>0</v>
      </c>
      <c r="AF795" s="7" t="s">
        <v>0</v>
      </c>
      <c r="AG795" s="7" t="s">
        <v>0</v>
      </c>
      <c r="AH795" s="9" t="s">
        <v>0</v>
      </c>
      <c r="AI795" s="9" t="s">
        <v>0</v>
      </c>
      <c r="AJ795" s="9" t="s">
        <v>0</v>
      </c>
      <c r="AK795" s="7" t="s">
        <v>61</v>
      </c>
      <c r="AL795" s="7" t="s">
        <v>61</v>
      </c>
      <c r="AM795" s="7" t="s">
        <v>0</v>
      </c>
      <c r="AN795" s="7" t="s">
        <v>0</v>
      </c>
      <c r="AO795" s="7" t="s">
        <v>0</v>
      </c>
      <c r="AP795" s="7" t="s">
        <v>0</v>
      </c>
      <c r="AQ795" s="7" t="s">
        <v>61</v>
      </c>
      <c r="AR795" s="7" t="s">
        <v>0</v>
      </c>
      <c r="AS795" s="10" t="str">
        <f>HYPERLINK("https://tessa.gazprom-neft.local/edo/card/102b1b7e-435b-46d0-baaa-08a91b177817", "https://tessa.gazprom-neft.local/edo/card/102b1b7e-435b-46d0-baaa-08a91b177817")</f>
        <v>https://tessa.gazprom-neft.local/edo/card/102b1b7e-435b-46d0-baaa-08a91b177817</v>
      </c>
    </row>
    <row r="796" spans="1:45" hidden="1" x14ac:dyDescent="0.25">
      <c r="A796" s="6" t="s">
        <v>44</v>
      </c>
      <c r="B796" s="7" t="s">
        <v>639</v>
      </c>
      <c r="C796" s="7" t="s">
        <v>67</v>
      </c>
      <c r="D796" s="8">
        <v>45245</v>
      </c>
      <c r="E796" s="8" t="s">
        <v>0</v>
      </c>
      <c r="F796" s="16" t="s">
        <v>640</v>
      </c>
      <c r="G796" s="7" t="s">
        <v>641</v>
      </c>
      <c r="H796" s="7" t="s">
        <v>0</v>
      </c>
      <c r="I796" s="7" t="s">
        <v>7441</v>
      </c>
      <c r="J796" s="7" t="s">
        <v>7441</v>
      </c>
      <c r="K796" s="7" t="s">
        <v>85</v>
      </c>
      <c r="L796" s="7" t="s">
        <v>86</v>
      </c>
      <c r="M796" s="7" t="s">
        <v>289</v>
      </c>
      <c r="N796" s="7" t="s">
        <v>7440</v>
      </c>
      <c r="O796" s="7" t="s">
        <v>0</v>
      </c>
      <c r="P796" s="7" t="s">
        <v>289</v>
      </c>
      <c r="Q796" s="7" t="s">
        <v>7442</v>
      </c>
      <c r="R796" s="7" t="s">
        <v>422</v>
      </c>
      <c r="S796" s="7" t="s">
        <v>0</v>
      </c>
      <c r="T796" s="7" t="s">
        <v>54</v>
      </c>
      <c r="U796" s="7" t="s">
        <v>362</v>
      </c>
      <c r="V796" s="7" t="s">
        <v>56</v>
      </c>
      <c r="W796" s="7" t="s">
        <v>74</v>
      </c>
      <c r="X796" s="7" t="s">
        <v>223</v>
      </c>
      <c r="Y796" s="8">
        <v>45245</v>
      </c>
      <c r="Z796" s="8" t="s">
        <v>0</v>
      </c>
      <c r="AA796" s="7" t="s">
        <v>0</v>
      </c>
      <c r="AB796" s="7" t="s">
        <v>300</v>
      </c>
      <c r="AC796" s="7" t="s">
        <v>65</v>
      </c>
      <c r="AD796" s="7" t="s">
        <v>0</v>
      </c>
      <c r="AE796" s="7" t="s">
        <v>0</v>
      </c>
      <c r="AF796" s="7" t="s">
        <v>0</v>
      </c>
      <c r="AG796" s="7" t="s">
        <v>0</v>
      </c>
      <c r="AH796" s="9" t="s">
        <v>0</v>
      </c>
      <c r="AI796" s="9" t="s">
        <v>0</v>
      </c>
      <c r="AJ796" s="9" t="s">
        <v>0</v>
      </c>
      <c r="AK796" s="7" t="s">
        <v>61</v>
      </c>
      <c r="AL796" s="7" t="s">
        <v>61</v>
      </c>
      <c r="AM796" s="7" t="s">
        <v>0</v>
      </c>
      <c r="AN796" s="7" t="s">
        <v>0</v>
      </c>
      <c r="AO796" s="7" t="s">
        <v>0</v>
      </c>
      <c r="AP796" s="7" t="s">
        <v>0</v>
      </c>
      <c r="AQ796" s="7" t="s">
        <v>61</v>
      </c>
      <c r="AR796" s="7" t="s">
        <v>0</v>
      </c>
      <c r="AS796" s="10" t="str">
        <f>HYPERLINK("https://tessa.gazprom-neft.local/edo/card/e893305b-5336-4a85-bc24-eb3ffd1c3010", "https://tessa.gazprom-neft.local/edo/card/e893305b-5336-4a85-bc24-eb3ffd1c3010")</f>
        <v>https://tessa.gazprom-neft.local/edo/card/e893305b-5336-4a85-bc24-eb3ffd1c3010</v>
      </c>
    </row>
    <row r="797" spans="1:45" hidden="1" x14ac:dyDescent="0.25">
      <c r="A797" s="6" t="s">
        <v>44</v>
      </c>
      <c r="B797" s="7" t="s">
        <v>1623</v>
      </c>
      <c r="C797" s="7" t="s">
        <v>67</v>
      </c>
      <c r="D797" s="8">
        <v>45245</v>
      </c>
      <c r="E797" s="8" t="s">
        <v>0</v>
      </c>
      <c r="F797" s="16" t="s">
        <v>1624</v>
      </c>
      <c r="G797" s="7" t="s">
        <v>1625</v>
      </c>
      <c r="H797" s="7" t="s">
        <v>0</v>
      </c>
      <c r="I797" s="7" t="s">
        <v>7458</v>
      </c>
      <c r="J797" s="7" t="s">
        <v>7458</v>
      </c>
      <c r="K797" s="7" t="s">
        <v>85</v>
      </c>
      <c r="L797" s="7" t="s">
        <v>86</v>
      </c>
      <c r="M797" s="7" t="s">
        <v>289</v>
      </c>
      <c r="N797" s="7" t="s">
        <v>7457</v>
      </c>
      <c r="O797" s="7" t="s">
        <v>0</v>
      </c>
      <c r="P797" s="7" t="s">
        <v>289</v>
      </c>
      <c r="Q797" s="7" t="s">
        <v>7442</v>
      </c>
      <c r="R797" s="7" t="s">
        <v>422</v>
      </c>
      <c r="S797" s="7" t="s">
        <v>0</v>
      </c>
      <c r="T797" s="7" t="s">
        <v>54</v>
      </c>
      <c r="U797" s="7" t="s">
        <v>362</v>
      </c>
      <c r="V797" s="7" t="s">
        <v>56</v>
      </c>
      <c r="W797" s="7" t="s">
        <v>74</v>
      </c>
      <c r="X797" s="7" t="s">
        <v>223</v>
      </c>
      <c r="Y797" s="8">
        <v>45245</v>
      </c>
      <c r="Z797" s="8" t="s">
        <v>0</v>
      </c>
      <c r="AA797" s="7" t="s">
        <v>0</v>
      </c>
      <c r="AB797" s="7" t="s">
        <v>300</v>
      </c>
      <c r="AC797" s="7" t="s">
        <v>65</v>
      </c>
      <c r="AD797" s="7" t="s">
        <v>0</v>
      </c>
      <c r="AE797" s="7" t="s">
        <v>0</v>
      </c>
      <c r="AF797" s="7" t="s">
        <v>0</v>
      </c>
      <c r="AG797" s="7" t="s">
        <v>0</v>
      </c>
      <c r="AH797" s="9" t="s">
        <v>0</v>
      </c>
      <c r="AI797" s="9" t="s">
        <v>0</v>
      </c>
      <c r="AJ797" s="9" t="s">
        <v>0</v>
      </c>
      <c r="AK797" s="7" t="s">
        <v>61</v>
      </c>
      <c r="AL797" s="7" t="s">
        <v>61</v>
      </c>
      <c r="AM797" s="7" t="s">
        <v>0</v>
      </c>
      <c r="AN797" s="7" t="s">
        <v>0</v>
      </c>
      <c r="AO797" s="7" t="s">
        <v>0</v>
      </c>
      <c r="AP797" s="7" t="s">
        <v>0</v>
      </c>
      <c r="AQ797" s="7" t="s">
        <v>61</v>
      </c>
      <c r="AR797" s="7" t="s">
        <v>0</v>
      </c>
      <c r="AS797" s="10" t="str">
        <f>HYPERLINK("https://tessa.gazprom-neft.local/edo/card/83f92a16-9c7e-416a-834d-9d929848bd11", "https://tessa.gazprom-neft.local/edo/card/83f92a16-9c7e-416a-834d-9d929848bd11")</f>
        <v>https://tessa.gazprom-neft.local/edo/card/83f92a16-9c7e-416a-834d-9d929848bd11</v>
      </c>
    </row>
    <row r="798" spans="1:45" x14ac:dyDescent="0.25">
      <c r="A798" s="6" t="s">
        <v>44</v>
      </c>
      <c r="B798" s="7" t="s">
        <v>620</v>
      </c>
      <c r="C798" s="7" t="s">
        <v>67</v>
      </c>
      <c r="D798" s="8">
        <v>45245</v>
      </c>
      <c r="E798" s="8" t="s">
        <v>0</v>
      </c>
      <c r="F798" s="16" t="s">
        <v>621</v>
      </c>
      <c r="G798" s="7" t="s">
        <v>622</v>
      </c>
      <c r="H798" s="7" t="s">
        <v>618</v>
      </c>
      <c r="I798" s="7" t="s">
        <v>0</v>
      </c>
      <c r="J798" s="7" t="s">
        <v>156</v>
      </c>
      <c r="K798" s="7" t="s">
        <v>85</v>
      </c>
      <c r="L798" s="7" t="s">
        <v>48</v>
      </c>
      <c r="M798" s="7" t="s">
        <v>1134</v>
      </c>
      <c r="N798" s="7" t="s">
        <v>7472</v>
      </c>
      <c r="O798" s="7" t="s">
        <v>0</v>
      </c>
      <c r="P798" s="7" t="s">
        <v>7473</v>
      </c>
      <c r="Q798" s="7" t="s">
        <v>7474</v>
      </c>
      <c r="R798" s="7" t="s">
        <v>393</v>
      </c>
      <c r="S798" s="7" t="s">
        <v>209</v>
      </c>
      <c r="T798" s="7" t="s">
        <v>54</v>
      </c>
      <c r="U798" s="7" t="s">
        <v>210</v>
      </c>
      <c r="V798" s="7" t="s">
        <v>126</v>
      </c>
      <c r="W798" s="7" t="s">
        <v>74</v>
      </c>
      <c r="X798" s="7" t="s">
        <v>58</v>
      </c>
      <c r="Y798" s="8">
        <v>45245</v>
      </c>
      <c r="Z798" s="8" t="s">
        <v>0</v>
      </c>
      <c r="AA798" s="7" t="s">
        <v>224</v>
      </c>
      <c r="AB798" s="7" t="s">
        <v>130</v>
      </c>
      <c r="AC798" s="7" t="s">
        <v>65</v>
      </c>
      <c r="AD798" s="7" t="s">
        <v>0</v>
      </c>
      <c r="AE798" s="7" t="s">
        <v>0</v>
      </c>
      <c r="AF798" s="7" t="s">
        <v>0</v>
      </c>
      <c r="AG798" s="7" t="s">
        <v>0</v>
      </c>
      <c r="AH798" s="9" t="s">
        <v>0</v>
      </c>
      <c r="AI798" s="9" t="s">
        <v>0</v>
      </c>
      <c r="AJ798" s="9" t="s">
        <v>0</v>
      </c>
      <c r="AK798" s="7" t="s">
        <v>61</v>
      </c>
      <c r="AL798" s="7" t="s">
        <v>61</v>
      </c>
      <c r="AM798" s="7" t="s">
        <v>0</v>
      </c>
      <c r="AN798" s="7" t="s">
        <v>0</v>
      </c>
      <c r="AO798" s="7" t="s">
        <v>0</v>
      </c>
      <c r="AP798" s="7" t="s">
        <v>0</v>
      </c>
      <c r="AQ798" s="7" t="s">
        <v>61</v>
      </c>
      <c r="AR798" s="7" t="s">
        <v>0</v>
      </c>
      <c r="AS798" s="10" t="str">
        <f>HYPERLINK("https://tessa.gazprom-neft.local/edo/card/fa8c64d2-818d-4803-97ea-df794567f7ce", "https://tessa.gazprom-neft.local/edo/card/fa8c64d2-818d-4803-97ea-df794567f7ce")</f>
        <v>https://tessa.gazprom-neft.local/edo/card/fa8c64d2-818d-4803-97ea-df794567f7ce</v>
      </c>
    </row>
    <row r="799" spans="1:45" hidden="1" x14ac:dyDescent="0.25">
      <c r="A799" s="6" t="s">
        <v>44</v>
      </c>
      <c r="B799" s="7" t="s">
        <v>1279</v>
      </c>
      <c r="C799" s="7" t="s">
        <v>2030</v>
      </c>
      <c r="D799" s="8">
        <v>45245</v>
      </c>
      <c r="E799" s="8" t="s">
        <v>0</v>
      </c>
      <c r="F799" s="16" t="s">
        <v>1280</v>
      </c>
      <c r="G799" s="7" t="s">
        <v>1281</v>
      </c>
      <c r="H799" s="7" t="s">
        <v>0</v>
      </c>
      <c r="I799" s="7" t="s">
        <v>7498</v>
      </c>
      <c r="J799" s="7" t="s">
        <v>7498</v>
      </c>
      <c r="K799" s="7" t="s">
        <v>85</v>
      </c>
      <c r="L799" s="7" t="s">
        <v>86</v>
      </c>
      <c r="M799" s="7" t="s">
        <v>289</v>
      </c>
      <c r="N799" s="7" t="s">
        <v>7497</v>
      </c>
      <c r="O799" s="7" t="s">
        <v>0</v>
      </c>
      <c r="P799" s="7" t="s">
        <v>289</v>
      </c>
      <c r="Q799" s="7" t="s">
        <v>7499</v>
      </c>
      <c r="R799" s="7" t="s">
        <v>244</v>
      </c>
      <c r="S799" s="7" t="s">
        <v>0</v>
      </c>
      <c r="T799" s="7" t="s">
        <v>54</v>
      </c>
      <c r="U799" s="7" t="s">
        <v>55</v>
      </c>
      <c r="V799" s="7" t="s">
        <v>56</v>
      </c>
      <c r="W799" s="7" t="s">
        <v>74</v>
      </c>
      <c r="X799" s="7" t="s">
        <v>223</v>
      </c>
      <c r="Y799" s="8">
        <v>45260</v>
      </c>
      <c r="Z799" s="8" t="s">
        <v>0</v>
      </c>
      <c r="AA799" s="7" t="s">
        <v>59</v>
      </c>
      <c r="AB799" s="7" t="s">
        <v>300</v>
      </c>
      <c r="AC799" s="7" t="s">
        <v>65</v>
      </c>
      <c r="AD799" s="7" t="s">
        <v>0</v>
      </c>
      <c r="AE799" s="7" t="s">
        <v>0</v>
      </c>
      <c r="AF799" s="7" t="s">
        <v>0</v>
      </c>
      <c r="AG799" s="7" t="s">
        <v>0</v>
      </c>
      <c r="AH799" s="9" t="s">
        <v>0</v>
      </c>
      <c r="AI799" s="9" t="s">
        <v>0</v>
      </c>
      <c r="AJ799" s="9" t="s">
        <v>0</v>
      </c>
      <c r="AK799" s="7" t="s">
        <v>61</v>
      </c>
      <c r="AL799" s="7" t="s">
        <v>61</v>
      </c>
      <c r="AM799" s="7" t="s">
        <v>0</v>
      </c>
      <c r="AN799" s="7" t="s">
        <v>0</v>
      </c>
      <c r="AO799" s="7" t="s">
        <v>0</v>
      </c>
      <c r="AP799" s="7" t="s">
        <v>0</v>
      </c>
      <c r="AQ799" s="7" t="s">
        <v>61</v>
      </c>
      <c r="AR799" s="7" t="s">
        <v>0</v>
      </c>
      <c r="AS799" s="10" t="str">
        <f>HYPERLINK("https://tessa.gazprom-neft.local/edo/card/061990b2-ecb6-443f-bfd3-1304493b9d85", "https://tessa.gazprom-neft.local/edo/card/061990b2-ecb6-443f-bfd3-1304493b9d85")</f>
        <v>https://tessa.gazprom-neft.local/edo/card/061990b2-ecb6-443f-bfd3-1304493b9d85</v>
      </c>
    </row>
    <row r="800" spans="1:45" hidden="1" x14ac:dyDescent="0.25">
      <c r="A800" s="6" t="s">
        <v>44</v>
      </c>
      <c r="B800" s="7" t="s">
        <v>1165</v>
      </c>
      <c r="C800" s="7" t="s">
        <v>67</v>
      </c>
      <c r="D800" s="8">
        <v>45245</v>
      </c>
      <c r="E800" s="8" t="s">
        <v>0</v>
      </c>
      <c r="F800" s="16" t="s">
        <v>1166</v>
      </c>
      <c r="G800" s="7" t="s">
        <v>1167</v>
      </c>
      <c r="H800" s="7" t="s">
        <v>0</v>
      </c>
      <c r="I800" s="7" t="s">
        <v>7508</v>
      </c>
      <c r="J800" s="7" t="s">
        <v>7508</v>
      </c>
      <c r="K800" s="7" t="s">
        <v>85</v>
      </c>
      <c r="L800" s="7" t="s">
        <v>86</v>
      </c>
      <c r="M800" s="7" t="s">
        <v>289</v>
      </c>
      <c r="N800" s="7" t="s">
        <v>7507</v>
      </c>
      <c r="O800" s="7" t="s">
        <v>0</v>
      </c>
      <c r="P800" s="7" t="s">
        <v>289</v>
      </c>
      <c r="Q800" s="7" t="s">
        <v>7509</v>
      </c>
      <c r="R800" s="7" t="s">
        <v>244</v>
      </c>
      <c r="S800" s="7" t="s">
        <v>0</v>
      </c>
      <c r="T800" s="7" t="s">
        <v>54</v>
      </c>
      <c r="U800" s="7" t="s">
        <v>55</v>
      </c>
      <c r="V800" s="7" t="s">
        <v>56</v>
      </c>
      <c r="W800" s="7" t="s">
        <v>74</v>
      </c>
      <c r="X800" s="7" t="s">
        <v>223</v>
      </c>
      <c r="Y800" s="8">
        <v>45245</v>
      </c>
      <c r="Z800" s="8" t="s">
        <v>0</v>
      </c>
      <c r="AA800" s="7" t="s">
        <v>59</v>
      </c>
      <c r="AB800" s="7" t="s">
        <v>300</v>
      </c>
      <c r="AC800" s="7" t="s">
        <v>65</v>
      </c>
      <c r="AD800" s="7" t="s">
        <v>0</v>
      </c>
      <c r="AE800" s="7" t="s">
        <v>0</v>
      </c>
      <c r="AF800" s="7" t="s">
        <v>0</v>
      </c>
      <c r="AG800" s="7" t="s">
        <v>0</v>
      </c>
      <c r="AH800" s="9" t="s">
        <v>0</v>
      </c>
      <c r="AI800" s="9" t="s">
        <v>0</v>
      </c>
      <c r="AJ800" s="9" t="s">
        <v>0</v>
      </c>
      <c r="AK800" s="7" t="s">
        <v>61</v>
      </c>
      <c r="AL800" s="7" t="s">
        <v>61</v>
      </c>
      <c r="AM800" s="7" t="s">
        <v>0</v>
      </c>
      <c r="AN800" s="7" t="s">
        <v>0</v>
      </c>
      <c r="AO800" s="7" t="s">
        <v>0</v>
      </c>
      <c r="AP800" s="7" t="s">
        <v>0</v>
      </c>
      <c r="AQ800" s="7" t="s">
        <v>61</v>
      </c>
      <c r="AR800" s="7" t="s">
        <v>0</v>
      </c>
      <c r="AS800" s="10" t="str">
        <f>HYPERLINK("https://tessa.gazprom-neft.local/edo/card/6f360adf-0aea-4a4c-b0d9-d5b57ef5fff0", "https://tessa.gazprom-neft.local/edo/card/6f360adf-0aea-4a4c-b0d9-d5b57ef5fff0")</f>
        <v>https://tessa.gazprom-neft.local/edo/card/6f360adf-0aea-4a4c-b0d9-d5b57ef5fff0</v>
      </c>
    </row>
    <row r="801" spans="1:45" x14ac:dyDescent="0.25">
      <c r="A801" s="6" t="s">
        <v>44</v>
      </c>
      <c r="B801" s="7" t="s">
        <v>639</v>
      </c>
      <c r="C801" s="7" t="s">
        <v>67</v>
      </c>
      <c r="D801" s="8">
        <v>45245</v>
      </c>
      <c r="E801" s="8" t="s">
        <v>0</v>
      </c>
      <c r="F801" s="16" t="s">
        <v>640</v>
      </c>
      <c r="G801" s="7" t="s">
        <v>641</v>
      </c>
      <c r="H801" s="7" t="s">
        <v>1813</v>
      </c>
      <c r="I801" s="7" t="s">
        <v>0</v>
      </c>
      <c r="J801" s="7" t="s">
        <v>271</v>
      </c>
      <c r="K801" s="7" t="s">
        <v>47</v>
      </c>
      <c r="L801" s="7" t="s">
        <v>48</v>
      </c>
      <c r="M801" s="7" t="s">
        <v>0</v>
      </c>
      <c r="N801" s="7" t="s">
        <v>7528</v>
      </c>
      <c r="O801" s="7" t="s">
        <v>0</v>
      </c>
      <c r="P801" s="7" t="s">
        <v>7529</v>
      </c>
      <c r="Q801" s="7" t="s">
        <v>7530</v>
      </c>
      <c r="R801" s="7" t="s">
        <v>422</v>
      </c>
      <c r="S801" s="7" t="s">
        <v>0</v>
      </c>
      <c r="T801" s="7" t="s">
        <v>54</v>
      </c>
      <c r="U801" s="7" t="s">
        <v>362</v>
      </c>
      <c r="V801" s="7" t="s">
        <v>864</v>
      </c>
      <c r="W801" s="7" t="s">
        <v>74</v>
      </c>
      <c r="X801" s="7" t="s">
        <v>103</v>
      </c>
      <c r="Y801" s="8">
        <v>45245</v>
      </c>
      <c r="Z801" s="8">
        <v>46022</v>
      </c>
      <c r="AA801" s="7" t="s">
        <v>865</v>
      </c>
      <c r="AB801" s="7" t="s">
        <v>130</v>
      </c>
      <c r="AC801" s="7" t="s">
        <v>65</v>
      </c>
      <c r="AD801" s="7" t="s">
        <v>0</v>
      </c>
      <c r="AE801" s="7" t="s">
        <v>0</v>
      </c>
      <c r="AF801" s="7" t="s">
        <v>0</v>
      </c>
      <c r="AG801" s="7" t="s">
        <v>0</v>
      </c>
      <c r="AH801" s="9" t="s">
        <v>0</v>
      </c>
      <c r="AI801" s="9" t="s">
        <v>0</v>
      </c>
      <c r="AJ801" s="9" t="s">
        <v>0</v>
      </c>
      <c r="AK801" s="7" t="s">
        <v>61</v>
      </c>
      <c r="AL801" s="7" t="s">
        <v>61</v>
      </c>
      <c r="AM801" s="7" t="s">
        <v>0</v>
      </c>
      <c r="AN801" s="7" t="s">
        <v>0</v>
      </c>
      <c r="AO801" s="7" t="s">
        <v>0</v>
      </c>
      <c r="AP801" s="7" t="s">
        <v>0</v>
      </c>
      <c r="AQ801" s="7" t="s">
        <v>61</v>
      </c>
      <c r="AR801" s="7" t="s">
        <v>0</v>
      </c>
      <c r="AS801" s="10" t="str">
        <f>HYPERLINK("https://tessa.gazprom-neft.local/edo/card/1307e6f1-cd8a-46bf-a39b-b65aa273744f", "https://tessa.gazprom-neft.local/edo/card/1307e6f1-cd8a-46bf-a39b-b65aa273744f")</f>
        <v>https://tessa.gazprom-neft.local/edo/card/1307e6f1-cd8a-46bf-a39b-b65aa273744f</v>
      </c>
    </row>
    <row r="802" spans="1:45" hidden="1" x14ac:dyDescent="0.25">
      <c r="A802" s="6" t="s">
        <v>44</v>
      </c>
      <c r="B802" s="7" t="s">
        <v>8093</v>
      </c>
      <c r="C802" s="7" t="s">
        <v>67</v>
      </c>
      <c r="D802" s="8">
        <v>45245</v>
      </c>
      <c r="E802" s="8" t="s">
        <v>0</v>
      </c>
      <c r="F802" s="16" t="s">
        <v>8094</v>
      </c>
      <c r="G802" s="7" t="s">
        <v>8095</v>
      </c>
      <c r="H802" s="7" t="s">
        <v>0</v>
      </c>
      <c r="I802" s="7" t="s">
        <v>8090</v>
      </c>
      <c r="J802" s="7" t="s">
        <v>8090</v>
      </c>
      <c r="K802" s="7" t="s">
        <v>47</v>
      </c>
      <c r="L802" s="7" t="s">
        <v>96</v>
      </c>
      <c r="M802" s="7" t="s">
        <v>0</v>
      </c>
      <c r="N802" s="7" t="s">
        <v>8089</v>
      </c>
      <c r="O802" s="7" t="s">
        <v>0</v>
      </c>
      <c r="P802" s="7" t="s">
        <v>8091</v>
      </c>
      <c r="Q802" s="7" t="s">
        <v>8092</v>
      </c>
      <c r="R802" s="7" t="s">
        <v>459</v>
      </c>
      <c r="S802" s="7" t="s">
        <v>0</v>
      </c>
      <c r="T802" s="7" t="s">
        <v>54</v>
      </c>
      <c r="U802" s="7" t="s">
        <v>111</v>
      </c>
      <c r="V802" s="7" t="s">
        <v>137</v>
      </c>
      <c r="W802" s="7" t="s">
        <v>57</v>
      </c>
      <c r="X802" s="7" t="s">
        <v>223</v>
      </c>
      <c r="Y802" s="8">
        <v>45292</v>
      </c>
      <c r="Z802" s="8" t="s">
        <v>0</v>
      </c>
      <c r="AA802" s="7" t="s">
        <v>0</v>
      </c>
      <c r="AB802" s="7" t="s">
        <v>117</v>
      </c>
      <c r="AC802" s="7" t="s">
        <v>79</v>
      </c>
      <c r="AD802" s="7" t="s">
        <v>80</v>
      </c>
      <c r="AE802" s="7" t="s">
        <v>118</v>
      </c>
      <c r="AF802" s="7" t="s">
        <v>0</v>
      </c>
      <c r="AG802" s="7" t="s">
        <v>0</v>
      </c>
      <c r="AH802" s="9" t="s">
        <v>13435</v>
      </c>
      <c r="AI802" s="9" t="s">
        <v>13435</v>
      </c>
      <c r="AJ802" s="9">
        <v>0</v>
      </c>
      <c r="AK802" s="7" t="s">
        <v>61</v>
      </c>
      <c r="AL802" s="7" t="s">
        <v>61</v>
      </c>
      <c r="AM802" s="7" t="s">
        <v>0</v>
      </c>
      <c r="AN802" s="7" t="s">
        <v>0</v>
      </c>
      <c r="AO802" s="7" t="s">
        <v>0</v>
      </c>
      <c r="AP802" s="7" t="s">
        <v>0</v>
      </c>
      <c r="AQ802" s="7" t="s">
        <v>61</v>
      </c>
      <c r="AR802" s="7" t="s">
        <v>0</v>
      </c>
      <c r="AS802" s="10" t="str">
        <f>HYPERLINK("https://tessa.gazprom-neft.local/edo/card/3f05910a-c5e7-4a10-82cb-4e4dcd6e54fb", "https://tessa.gazprom-neft.local/edo/card/3f05910a-c5e7-4a10-82cb-4e4dcd6e54fb")</f>
        <v>https://tessa.gazprom-neft.local/edo/card/3f05910a-c5e7-4a10-82cb-4e4dcd6e54fb</v>
      </c>
    </row>
    <row r="803" spans="1:45" x14ac:dyDescent="0.25">
      <c r="A803" s="6" t="s">
        <v>44</v>
      </c>
      <c r="B803" s="7" t="s">
        <v>582</v>
      </c>
      <c r="C803" s="7" t="s">
        <v>67</v>
      </c>
      <c r="D803" s="8">
        <v>45244</v>
      </c>
      <c r="E803" s="8" t="s">
        <v>0</v>
      </c>
      <c r="F803" s="16" t="s">
        <v>583</v>
      </c>
      <c r="G803" s="7" t="s">
        <v>584</v>
      </c>
      <c r="H803" s="7" t="s">
        <v>1033</v>
      </c>
      <c r="I803" s="7" t="s">
        <v>0</v>
      </c>
      <c r="J803" s="7" t="s">
        <v>51</v>
      </c>
      <c r="K803" s="7" t="s">
        <v>85</v>
      </c>
      <c r="L803" s="7" t="s">
        <v>48</v>
      </c>
      <c r="M803" s="7" t="s">
        <v>1183</v>
      </c>
      <c r="N803" s="7" t="s">
        <v>7519</v>
      </c>
      <c r="O803" s="7" t="s">
        <v>0</v>
      </c>
      <c r="P803" s="7" t="s">
        <v>1183</v>
      </c>
      <c r="Q803" s="7" t="s">
        <v>1185</v>
      </c>
      <c r="R803" s="7" t="s">
        <v>282</v>
      </c>
      <c r="S803" s="7" t="s">
        <v>0</v>
      </c>
      <c r="T803" s="7" t="s">
        <v>54</v>
      </c>
      <c r="U803" s="7" t="s">
        <v>283</v>
      </c>
      <c r="V803" s="7" t="s">
        <v>308</v>
      </c>
      <c r="W803" s="7" t="s">
        <v>74</v>
      </c>
      <c r="X803" s="7" t="s">
        <v>58</v>
      </c>
      <c r="Y803" s="8">
        <v>45244</v>
      </c>
      <c r="Z803" s="8" t="s">
        <v>0</v>
      </c>
      <c r="AA803" s="7" t="s">
        <v>309</v>
      </c>
      <c r="AB803" s="7" t="s">
        <v>228</v>
      </c>
      <c r="AC803" s="7" t="s">
        <v>65</v>
      </c>
      <c r="AD803" s="7" t="s">
        <v>0</v>
      </c>
      <c r="AE803" s="7" t="s">
        <v>0</v>
      </c>
      <c r="AF803" s="7" t="s">
        <v>0</v>
      </c>
      <c r="AG803" s="7" t="s">
        <v>0</v>
      </c>
      <c r="AH803" s="9" t="s">
        <v>0</v>
      </c>
      <c r="AI803" s="9" t="s">
        <v>0</v>
      </c>
      <c r="AJ803" s="9" t="s">
        <v>0</v>
      </c>
      <c r="AK803" s="7" t="s">
        <v>61</v>
      </c>
      <c r="AL803" s="7" t="s">
        <v>61</v>
      </c>
      <c r="AM803" s="7" t="s">
        <v>0</v>
      </c>
      <c r="AN803" s="7" t="s">
        <v>0</v>
      </c>
      <c r="AO803" s="7" t="s">
        <v>0</v>
      </c>
      <c r="AP803" s="7" t="s">
        <v>0</v>
      </c>
      <c r="AQ803" s="7" t="s">
        <v>61</v>
      </c>
      <c r="AR803" s="7" t="s">
        <v>0</v>
      </c>
      <c r="AS803" s="10" t="str">
        <f>HYPERLINK("https://tessa.gazprom-neft.local/edo/card/e361cb23-2497-4825-929e-b74bfa07f39e", "https://tessa.gazprom-neft.local/edo/card/e361cb23-2497-4825-929e-b74bfa07f39e")</f>
        <v>https://tessa.gazprom-neft.local/edo/card/e361cb23-2497-4825-929e-b74bfa07f39e</v>
      </c>
    </row>
    <row r="804" spans="1:45" x14ac:dyDescent="0.25">
      <c r="A804" s="6" t="s">
        <v>44</v>
      </c>
      <c r="B804" s="7" t="s">
        <v>1165</v>
      </c>
      <c r="C804" s="7" t="s">
        <v>67</v>
      </c>
      <c r="D804" s="8">
        <v>45244</v>
      </c>
      <c r="E804" s="8" t="s">
        <v>0</v>
      </c>
      <c r="F804" s="16" t="s">
        <v>1166</v>
      </c>
      <c r="G804" s="7" t="s">
        <v>1167</v>
      </c>
      <c r="H804" s="7" t="s">
        <v>1847</v>
      </c>
      <c r="I804" s="7" t="s">
        <v>0</v>
      </c>
      <c r="J804" s="7" t="s">
        <v>872</v>
      </c>
      <c r="K804" s="7" t="s">
        <v>47</v>
      </c>
      <c r="L804" s="7" t="s">
        <v>48</v>
      </c>
      <c r="M804" s="7" t="s">
        <v>0</v>
      </c>
      <c r="N804" s="7" t="s">
        <v>7628</v>
      </c>
      <c r="O804" s="7" t="s">
        <v>0</v>
      </c>
      <c r="P804" s="7" t="s">
        <v>7629</v>
      </c>
      <c r="Q804" s="7" t="s">
        <v>7630</v>
      </c>
      <c r="R804" s="7" t="s">
        <v>244</v>
      </c>
      <c r="S804" s="7" t="s">
        <v>0</v>
      </c>
      <c r="T804" s="7" t="s">
        <v>54</v>
      </c>
      <c r="U804" s="7" t="s">
        <v>55</v>
      </c>
      <c r="V804" s="7" t="s">
        <v>864</v>
      </c>
      <c r="W804" s="7" t="s">
        <v>74</v>
      </c>
      <c r="X804" s="7" t="s">
        <v>103</v>
      </c>
      <c r="Y804" s="8">
        <v>45244</v>
      </c>
      <c r="Z804" s="8">
        <v>45657</v>
      </c>
      <c r="AA804" s="7" t="s">
        <v>865</v>
      </c>
      <c r="AB804" s="7" t="s">
        <v>256</v>
      </c>
      <c r="AC804" s="7" t="s">
        <v>79</v>
      </c>
      <c r="AD804" s="7" t="s">
        <v>144</v>
      </c>
      <c r="AE804" s="7" t="s">
        <v>82</v>
      </c>
      <c r="AF804" s="7" t="s">
        <v>0</v>
      </c>
      <c r="AG804" s="7" t="s">
        <v>0</v>
      </c>
      <c r="AH804" s="9" t="s">
        <v>13241</v>
      </c>
      <c r="AI804" s="9" t="s">
        <v>13242</v>
      </c>
      <c r="AJ804" s="9" t="s">
        <v>13243</v>
      </c>
      <c r="AK804" s="7" t="s">
        <v>61</v>
      </c>
      <c r="AL804" s="7" t="s">
        <v>61</v>
      </c>
      <c r="AM804" s="7" t="s">
        <v>0</v>
      </c>
      <c r="AN804" s="7" t="s">
        <v>0</v>
      </c>
      <c r="AO804" s="7" t="s">
        <v>0</v>
      </c>
      <c r="AP804" s="7" t="s">
        <v>0</v>
      </c>
      <c r="AQ804" s="7" t="s">
        <v>61</v>
      </c>
      <c r="AR804" s="7" t="s">
        <v>0</v>
      </c>
      <c r="AS804" s="10" t="str">
        <f>HYPERLINK("https://tessa.gazprom-neft.local/edo/card/62385876-ffe7-42ea-a8ec-950920605266", "https://tessa.gazprom-neft.local/edo/card/62385876-ffe7-42ea-a8ec-950920605266")</f>
        <v>https://tessa.gazprom-neft.local/edo/card/62385876-ffe7-42ea-a8ec-950920605266</v>
      </c>
    </row>
    <row r="805" spans="1:45" hidden="1" x14ac:dyDescent="0.25">
      <c r="A805" s="6" t="s">
        <v>44</v>
      </c>
      <c r="B805" s="7" t="s">
        <v>170</v>
      </c>
      <c r="C805" s="7" t="s">
        <v>67</v>
      </c>
      <c r="D805" s="8">
        <v>45243</v>
      </c>
      <c r="E805" s="8" t="s">
        <v>0</v>
      </c>
      <c r="F805" s="16" t="s">
        <v>171</v>
      </c>
      <c r="G805" s="7" t="s">
        <v>172</v>
      </c>
      <c r="H805" s="7" t="s">
        <v>0</v>
      </c>
      <c r="I805" s="7" t="s">
        <v>4553</v>
      </c>
      <c r="J805" s="7" t="s">
        <v>4553</v>
      </c>
      <c r="K805" s="7" t="s">
        <v>85</v>
      </c>
      <c r="L805" s="7" t="s">
        <v>86</v>
      </c>
      <c r="M805" s="7" t="s">
        <v>216</v>
      </c>
      <c r="N805" s="7" t="s">
        <v>7376</v>
      </c>
      <c r="O805" s="7" t="s">
        <v>0</v>
      </c>
      <c r="P805" s="7" t="s">
        <v>216</v>
      </c>
      <c r="Q805" s="7" t="s">
        <v>7366</v>
      </c>
      <c r="R805" s="7" t="s">
        <v>124</v>
      </c>
      <c r="S805" s="7" t="s">
        <v>124</v>
      </c>
      <c r="T805" s="7" t="s">
        <v>54</v>
      </c>
      <c r="U805" s="7" t="s">
        <v>101</v>
      </c>
      <c r="V805" s="7" t="s">
        <v>308</v>
      </c>
      <c r="W805" s="7" t="s">
        <v>74</v>
      </c>
      <c r="X805" s="7" t="s">
        <v>223</v>
      </c>
      <c r="Y805" s="8">
        <v>45243</v>
      </c>
      <c r="Z805" s="8" t="s">
        <v>0</v>
      </c>
      <c r="AA805" s="7" t="s">
        <v>309</v>
      </c>
      <c r="AB805" s="7" t="s">
        <v>228</v>
      </c>
      <c r="AC805" s="7" t="s">
        <v>65</v>
      </c>
      <c r="AD805" s="7" t="s">
        <v>0</v>
      </c>
      <c r="AE805" s="7" t="s">
        <v>0</v>
      </c>
      <c r="AF805" s="7" t="s">
        <v>0</v>
      </c>
      <c r="AG805" s="7" t="s">
        <v>0</v>
      </c>
      <c r="AH805" s="9" t="s">
        <v>0</v>
      </c>
      <c r="AI805" s="9" t="s">
        <v>0</v>
      </c>
      <c r="AJ805" s="9" t="s">
        <v>0</v>
      </c>
      <c r="AK805" s="7" t="s">
        <v>61</v>
      </c>
      <c r="AL805" s="7" t="s">
        <v>61</v>
      </c>
      <c r="AM805" s="7" t="s">
        <v>0</v>
      </c>
      <c r="AN805" s="7" t="s">
        <v>0</v>
      </c>
      <c r="AO805" s="7" t="s">
        <v>0</v>
      </c>
      <c r="AP805" s="7" t="s">
        <v>0</v>
      </c>
      <c r="AQ805" s="7" t="s">
        <v>61</v>
      </c>
      <c r="AR805" s="7" t="s">
        <v>0</v>
      </c>
      <c r="AS805" s="10" t="str">
        <f>HYPERLINK("https://tessa.gazprom-neft.local/edo/card/7ba870f7-b883-419d-8c0f-d7a9e05441df", "https://tessa.gazprom-neft.local/edo/card/7ba870f7-b883-419d-8c0f-d7a9e05441df")</f>
        <v>https://tessa.gazprom-neft.local/edo/card/7ba870f7-b883-419d-8c0f-d7a9e05441df</v>
      </c>
    </row>
    <row r="806" spans="1:45" hidden="1" x14ac:dyDescent="0.25">
      <c r="A806" s="6" t="s">
        <v>44</v>
      </c>
      <c r="B806" s="7" t="s">
        <v>350</v>
      </c>
      <c r="C806" s="7" t="s">
        <v>67</v>
      </c>
      <c r="D806" s="8">
        <v>45243</v>
      </c>
      <c r="E806" s="8" t="s">
        <v>0</v>
      </c>
      <c r="F806" s="16" t="s">
        <v>1027</v>
      </c>
      <c r="G806" s="7" t="s">
        <v>352</v>
      </c>
      <c r="H806" s="7" t="s">
        <v>0</v>
      </c>
      <c r="I806" s="7" t="s">
        <v>4454</v>
      </c>
      <c r="J806" s="7" t="s">
        <v>4454</v>
      </c>
      <c r="K806" s="7" t="s">
        <v>85</v>
      </c>
      <c r="L806" s="7" t="s">
        <v>86</v>
      </c>
      <c r="M806" s="7" t="s">
        <v>216</v>
      </c>
      <c r="N806" s="7" t="s">
        <v>7395</v>
      </c>
      <c r="O806" s="7" t="s">
        <v>0</v>
      </c>
      <c r="P806" s="7" t="s">
        <v>216</v>
      </c>
      <c r="Q806" s="7" t="s">
        <v>7366</v>
      </c>
      <c r="R806" s="7" t="s">
        <v>124</v>
      </c>
      <c r="S806" s="7" t="s">
        <v>124</v>
      </c>
      <c r="T806" s="7" t="s">
        <v>54</v>
      </c>
      <c r="U806" s="7" t="s">
        <v>101</v>
      </c>
      <c r="V806" s="7" t="s">
        <v>308</v>
      </c>
      <c r="W806" s="7" t="s">
        <v>74</v>
      </c>
      <c r="X806" s="7" t="s">
        <v>223</v>
      </c>
      <c r="Y806" s="8">
        <v>45243</v>
      </c>
      <c r="Z806" s="8" t="s">
        <v>0</v>
      </c>
      <c r="AA806" s="7" t="s">
        <v>309</v>
      </c>
      <c r="AB806" s="7" t="s">
        <v>228</v>
      </c>
      <c r="AC806" s="7" t="s">
        <v>65</v>
      </c>
      <c r="AD806" s="7" t="s">
        <v>0</v>
      </c>
      <c r="AE806" s="7" t="s">
        <v>0</v>
      </c>
      <c r="AF806" s="7" t="s">
        <v>0</v>
      </c>
      <c r="AG806" s="7" t="s">
        <v>0</v>
      </c>
      <c r="AH806" s="9" t="s">
        <v>0</v>
      </c>
      <c r="AI806" s="9" t="s">
        <v>0</v>
      </c>
      <c r="AJ806" s="9" t="s">
        <v>0</v>
      </c>
      <c r="AK806" s="7" t="s">
        <v>61</v>
      </c>
      <c r="AL806" s="7" t="s">
        <v>61</v>
      </c>
      <c r="AM806" s="7" t="s">
        <v>0</v>
      </c>
      <c r="AN806" s="7" t="s">
        <v>0</v>
      </c>
      <c r="AO806" s="7" t="s">
        <v>0</v>
      </c>
      <c r="AP806" s="7" t="s">
        <v>0</v>
      </c>
      <c r="AQ806" s="7" t="s">
        <v>61</v>
      </c>
      <c r="AR806" s="7" t="s">
        <v>0</v>
      </c>
      <c r="AS806" s="10" t="str">
        <f>HYPERLINK("https://tessa.gazprom-neft.local/edo/card/19bff007-86ed-4fa5-92de-75658d16a751", "https://tessa.gazprom-neft.local/edo/card/19bff007-86ed-4fa5-92de-75658d16a751")</f>
        <v>https://tessa.gazprom-neft.local/edo/card/19bff007-86ed-4fa5-92de-75658d16a751</v>
      </c>
    </row>
    <row r="807" spans="1:45" x14ac:dyDescent="0.25">
      <c r="A807" s="6" t="s">
        <v>44</v>
      </c>
      <c r="B807" s="7" t="s">
        <v>542</v>
      </c>
      <c r="C807" s="7" t="s">
        <v>67</v>
      </c>
      <c r="D807" s="8">
        <v>45243</v>
      </c>
      <c r="E807" s="8" t="s">
        <v>0</v>
      </c>
      <c r="F807" s="16" t="s">
        <v>543</v>
      </c>
      <c r="G807" s="7" t="s">
        <v>544</v>
      </c>
      <c r="H807" s="7" t="s">
        <v>1289</v>
      </c>
      <c r="I807" s="7" t="s">
        <v>0</v>
      </c>
      <c r="J807" s="7" t="s">
        <v>271</v>
      </c>
      <c r="K807" s="7" t="s">
        <v>47</v>
      </c>
      <c r="L807" s="7" t="s">
        <v>48</v>
      </c>
      <c r="M807" s="7" t="s">
        <v>0</v>
      </c>
      <c r="N807" s="7" t="s">
        <v>7555</v>
      </c>
      <c r="O807" s="7" t="s">
        <v>7556</v>
      </c>
      <c r="P807" s="7" t="s">
        <v>7557</v>
      </c>
      <c r="Q807" s="7" t="s">
        <v>7558</v>
      </c>
      <c r="R807" s="7" t="s">
        <v>540</v>
      </c>
      <c r="S807" s="7" t="s">
        <v>0</v>
      </c>
      <c r="T807" s="7" t="s">
        <v>54</v>
      </c>
      <c r="U807" s="7" t="s">
        <v>541</v>
      </c>
      <c r="V807" s="7" t="s">
        <v>864</v>
      </c>
      <c r="W807" s="7" t="s">
        <v>74</v>
      </c>
      <c r="X807" s="7" t="s">
        <v>223</v>
      </c>
      <c r="Y807" s="8">
        <v>45243</v>
      </c>
      <c r="Z807" s="8" t="s">
        <v>0</v>
      </c>
      <c r="AA807" s="7" t="s">
        <v>865</v>
      </c>
      <c r="AB807" s="7" t="s">
        <v>256</v>
      </c>
      <c r="AC807" s="7" t="s">
        <v>65</v>
      </c>
      <c r="AD807" s="7" t="s">
        <v>0</v>
      </c>
      <c r="AE807" s="7" t="s">
        <v>0</v>
      </c>
      <c r="AF807" s="7" t="s">
        <v>0</v>
      </c>
      <c r="AG807" s="7" t="s">
        <v>0</v>
      </c>
      <c r="AH807" s="9" t="s">
        <v>0</v>
      </c>
      <c r="AI807" s="9" t="s">
        <v>0</v>
      </c>
      <c r="AJ807" s="9" t="s">
        <v>0</v>
      </c>
      <c r="AK807" s="7" t="s">
        <v>61</v>
      </c>
      <c r="AL807" s="7" t="s">
        <v>61</v>
      </c>
      <c r="AM807" s="7" t="s">
        <v>0</v>
      </c>
      <c r="AN807" s="7" t="s">
        <v>0</v>
      </c>
      <c r="AO807" s="7" t="s">
        <v>0</v>
      </c>
      <c r="AP807" s="7" t="s">
        <v>0</v>
      </c>
      <c r="AQ807" s="7" t="s">
        <v>61</v>
      </c>
      <c r="AR807" s="7" t="s">
        <v>0</v>
      </c>
      <c r="AS807" s="10" t="str">
        <f>HYPERLINK("https://tessa.gazprom-neft.local/edo/card/8b3c2348-9173-4c74-89cc-70f62bfe1a20", "https://tessa.gazprom-neft.local/edo/card/8b3c2348-9173-4c74-89cc-70f62bfe1a20")</f>
        <v>https://tessa.gazprom-neft.local/edo/card/8b3c2348-9173-4c74-89cc-70f62bfe1a20</v>
      </c>
    </row>
    <row r="808" spans="1:45" x14ac:dyDescent="0.25">
      <c r="A808" s="6" t="s">
        <v>44</v>
      </c>
      <c r="B808" s="7" t="s">
        <v>1192</v>
      </c>
      <c r="C808" s="7" t="s">
        <v>67</v>
      </c>
      <c r="D808" s="8">
        <v>45241</v>
      </c>
      <c r="E808" s="8" t="s">
        <v>0</v>
      </c>
      <c r="F808" s="16" t="s">
        <v>4005</v>
      </c>
      <c r="G808" s="7" t="s">
        <v>1194</v>
      </c>
      <c r="H808" s="7" t="s">
        <v>4003</v>
      </c>
      <c r="I808" s="7" t="s">
        <v>0</v>
      </c>
      <c r="J808" s="7" t="s">
        <v>271</v>
      </c>
      <c r="K808" s="7" t="s">
        <v>47</v>
      </c>
      <c r="L808" s="7" t="s">
        <v>48</v>
      </c>
      <c r="M808" s="7" t="s">
        <v>0</v>
      </c>
      <c r="N808" s="7" t="s">
        <v>7406</v>
      </c>
      <c r="O808" s="7" t="s">
        <v>0</v>
      </c>
      <c r="P808" s="7" t="s">
        <v>4432</v>
      </c>
      <c r="Q808" s="7" t="s">
        <v>4433</v>
      </c>
      <c r="R808" s="7" t="s">
        <v>393</v>
      </c>
      <c r="S808" s="7" t="s">
        <v>2349</v>
      </c>
      <c r="T808" s="7" t="s">
        <v>54</v>
      </c>
      <c r="U808" s="7" t="s">
        <v>362</v>
      </c>
      <c r="V808" s="7" t="s">
        <v>295</v>
      </c>
      <c r="W808" s="7" t="s">
        <v>74</v>
      </c>
      <c r="X808" s="7" t="s">
        <v>58</v>
      </c>
      <c r="Y808" s="8">
        <v>45241</v>
      </c>
      <c r="Z808" s="8" t="s">
        <v>0</v>
      </c>
      <c r="AA808" s="7" t="s">
        <v>296</v>
      </c>
      <c r="AB808" s="7" t="s">
        <v>1748</v>
      </c>
      <c r="AC808" s="7" t="s">
        <v>79</v>
      </c>
      <c r="AD808" s="7" t="s">
        <v>80</v>
      </c>
      <c r="AE808" s="7" t="s">
        <v>82</v>
      </c>
      <c r="AF808" s="7" t="s">
        <v>0</v>
      </c>
      <c r="AG808" s="7" t="s">
        <v>0</v>
      </c>
      <c r="AH808" s="9" t="s">
        <v>13174</v>
      </c>
      <c r="AI808" s="9" t="s">
        <v>13175</v>
      </c>
      <c r="AJ808" s="9" t="s">
        <v>13176</v>
      </c>
      <c r="AK808" s="7" t="s">
        <v>61</v>
      </c>
      <c r="AL808" s="7" t="s">
        <v>61</v>
      </c>
      <c r="AM808" s="7" t="s">
        <v>0</v>
      </c>
      <c r="AN808" s="7" t="s">
        <v>0</v>
      </c>
      <c r="AO808" s="7" t="s">
        <v>0</v>
      </c>
      <c r="AP808" s="7" t="s">
        <v>0</v>
      </c>
      <c r="AQ808" s="7" t="s">
        <v>61</v>
      </c>
      <c r="AR808" s="7" t="s">
        <v>0</v>
      </c>
      <c r="AS808" s="10" t="str">
        <f>HYPERLINK("https://tessa.gazprom-neft.local/edo/card/06f0b93b-28a9-448a-9fe0-0f316060e0bd", "https://tessa.gazprom-neft.local/edo/card/06f0b93b-28a9-448a-9fe0-0f316060e0bd")</f>
        <v>https://tessa.gazprom-neft.local/edo/card/06f0b93b-28a9-448a-9fe0-0f316060e0bd</v>
      </c>
    </row>
    <row r="809" spans="1:45" hidden="1" x14ac:dyDescent="0.25">
      <c r="A809" s="6" t="s">
        <v>44</v>
      </c>
      <c r="B809" s="7" t="s">
        <v>2724</v>
      </c>
      <c r="C809" s="7" t="s">
        <v>67</v>
      </c>
      <c r="D809" s="8">
        <v>45240</v>
      </c>
      <c r="E809" s="8" t="s">
        <v>0</v>
      </c>
      <c r="F809" s="16" t="s">
        <v>2671</v>
      </c>
      <c r="G809" s="7" t="s">
        <v>2725</v>
      </c>
      <c r="H809" s="7" t="s">
        <v>0</v>
      </c>
      <c r="I809" s="7" t="s">
        <v>2672</v>
      </c>
      <c r="J809" s="7" t="s">
        <v>2672</v>
      </c>
      <c r="K809" s="7" t="s">
        <v>47</v>
      </c>
      <c r="L809" s="7" t="s">
        <v>96</v>
      </c>
      <c r="M809" s="7" t="s">
        <v>0</v>
      </c>
      <c r="N809" s="7" t="s">
        <v>6872</v>
      </c>
      <c r="O809" s="7" t="s">
        <v>0</v>
      </c>
      <c r="P809" s="7" t="s">
        <v>6873</v>
      </c>
      <c r="Q809" s="7" t="s">
        <v>6874</v>
      </c>
      <c r="R809" s="7" t="s">
        <v>484</v>
      </c>
      <c r="S809" s="7" t="s">
        <v>484</v>
      </c>
      <c r="T809" s="7" t="s">
        <v>54</v>
      </c>
      <c r="U809" s="7" t="s">
        <v>274</v>
      </c>
      <c r="V809" s="7" t="s">
        <v>137</v>
      </c>
      <c r="W809" s="7" t="s">
        <v>57</v>
      </c>
      <c r="X809" s="7" t="s">
        <v>103</v>
      </c>
      <c r="Y809" s="8">
        <v>45219</v>
      </c>
      <c r="Z809" s="8">
        <v>46022</v>
      </c>
      <c r="AA809" s="7" t="s">
        <v>0</v>
      </c>
      <c r="AB809" s="7" t="s">
        <v>64</v>
      </c>
      <c r="AC809" s="7" t="s">
        <v>278</v>
      </c>
      <c r="AD809" s="7" t="s">
        <v>144</v>
      </c>
      <c r="AE809" s="7" t="s">
        <v>82</v>
      </c>
      <c r="AF809" s="7" t="s">
        <v>0</v>
      </c>
      <c r="AG809" s="7" t="s">
        <v>0</v>
      </c>
      <c r="AH809" s="9" t="s">
        <v>12977</v>
      </c>
      <c r="AI809" s="9" t="s">
        <v>12978</v>
      </c>
      <c r="AJ809" s="9" t="s">
        <v>12979</v>
      </c>
      <c r="AK809" s="7" t="s">
        <v>61</v>
      </c>
      <c r="AL809" s="7" t="s">
        <v>61</v>
      </c>
      <c r="AM809" s="7" t="s">
        <v>0</v>
      </c>
      <c r="AN809" s="7" t="s">
        <v>0</v>
      </c>
      <c r="AO809" s="7" t="s">
        <v>0</v>
      </c>
      <c r="AP809" s="7" t="s">
        <v>0</v>
      </c>
      <c r="AQ809" s="7" t="s">
        <v>61</v>
      </c>
      <c r="AR809" s="7" t="s">
        <v>0</v>
      </c>
      <c r="AS809" s="10" t="str">
        <f>HYPERLINK("https://tessa.gazprom-neft.local/edo/card/88a003b7-e40c-4f8d-95b3-868721a009b1", "https://tessa.gazprom-neft.local/edo/card/88a003b7-e40c-4f8d-95b3-868721a009b1")</f>
        <v>https://tessa.gazprom-neft.local/edo/card/88a003b7-e40c-4f8d-95b3-868721a009b1</v>
      </c>
    </row>
    <row r="810" spans="1:45" x14ac:dyDescent="0.25">
      <c r="A810" s="6" t="s">
        <v>44</v>
      </c>
      <c r="B810" s="7" t="s">
        <v>1712</v>
      </c>
      <c r="C810" s="7" t="s">
        <v>67</v>
      </c>
      <c r="D810" s="8">
        <v>45240</v>
      </c>
      <c r="E810" s="8" t="s">
        <v>0</v>
      </c>
      <c r="F810" s="16" t="s">
        <v>1713</v>
      </c>
      <c r="G810" s="7" t="s">
        <v>1714</v>
      </c>
      <c r="H810" s="7" t="s">
        <v>1707</v>
      </c>
      <c r="I810" s="7" t="s">
        <v>0</v>
      </c>
      <c r="J810" s="7" t="s">
        <v>955</v>
      </c>
      <c r="K810" s="7" t="s">
        <v>47</v>
      </c>
      <c r="L810" s="7" t="s">
        <v>48</v>
      </c>
      <c r="M810" s="7" t="s">
        <v>0</v>
      </c>
      <c r="N810" s="7" t="s">
        <v>7246</v>
      </c>
      <c r="O810" s="7" t="s">
        <v>0</v>
      </c>
      <c r="P810" s="7" t="s">
        <v>7247</v>
      </c>
      <c r="Q810" s="7" t="s">
        <v>7248</v>
      </c>
      <c r="R810" s="7" t="s">
        <v>1711</v>
      </c>
      <c r="S810" s="7" t="s">
        <v>1711</v>
      </c>
      <c r="T810" s="7" t="s">
        <v>54</v>
      </c>
      <c r="U810" s="7" t="s">
        <v>605</v>
      </c>
      <c r="V810" s="7" t="s">
        <v>126</v>
      </c>
      <c r="W810" s="7" t="s">
        <v>74</v>
      </c>
      <c r="X810" s="7" t="s">
        <v>103</v>
      </c>
      <c r="Y810" s="8">
        <v>45240</v>
      </c>
      <c r="Z810" s="8">
        <v>46387</v>
      </c>
      <c r="AA810" s="7" t="s">
        <v>224</v>
      </c>
      <c r="AB810" s="7" t="s">
        <v>64</v>
      </c>
      <c r="AC810" s="7" t="s">
        <v>65</v>
      </c>
      <c r="AD810" s="7" t="s">
        <v>0</v>
      </c>
      <c r="AE810" s="7" t="s">
        <v>0</v>
      </c>
      <c r="AF810" s="7" t="s">
        <v>0</v>
      </c>
      <c r="AG810" s="7" t="s">
        <v>0</v>
      </c>
      <c r="AH810" s="9" t="s">
        <v>0</v>
      </c>
      <c r="AI810" s="9" t="s">
        <v>0</v>
      </c>
      <c r="AJ810" s="9" t="s">
        <v>0</v>
      </c>
      <c r="AK810" s="7" t="s">
        <v>61</v>
      </c>
      <c r="AL810" s="7" t="s">
        <v>61</v>
      </c>
      <c r="AM810" s="7" t="s">
        <v>0</v>
      </c>
      <c r="AN810" s="7" t="s">
        <v>0</v>
      </c>
      <c r="AO810" s="7" t="s">
        <v>0</v>
      </c>
      <c r="AP810" s="7" t="s">
        <v>0</v>
      </c>
      <c r="AQ810" s="7" t="s">
        <v>61</v>
      </c>
      <c r="AR810" s="7" t="s">
        <v>0</v>
      </c>
      <c r="AS810" s="10" t="str">
        <f>HYPERLINK("https://tessa.gazprom-neft.local/edo/card/499209f3-e3a8-43fd-8fb2-5b0d310a13f1", "https://tessa.gazprom-neft.local/edo/card/499209f3-e3a8-43fd-8fb2-5b0d310a13f1")</f>
        <v>https://tessa.gazprom-neft.local/edo/card/499209f3-e3a8-43fd-8fb2-5b0d310a13f1</v>
      </c>
    </row>
    <row r="811" spans="1:45" hidden="1" x14ac:dyDescent="0.25">
      <c r="A811" s="6" t="s">
        <v>44</v>
      </c>
      <c r="B811" s="7" t="s">
        <v>592</v>
      </c>
      <c r="C811" s="7" t="s">
        <v>67</v>
      </c>
      <c r="D811" s="8">
        <v>45239</v>
      </c>
      <c r="E811" s="8" t="s">
        <v>0</v>
      </c>
      <c r="F811" s="16" t="s">
        <v>593</v>
      </c>
      <c r="G811" s="7" t="s">
        <v>594</v>
      </c>
      <c r="H811" s="7" t="s">
        <v>2688</v>
      </c>
      <c r="I811" s="7" t="s">
        <v>0</v>
      </c>
      <c r="J811" s="7" t="s">
        <v>271</v>
      </c>
      <c r="K811" s="7" t="s">
        <v>47</v>
      </c>
      <c r="L811" s="7" t="s">
        <v>389</v>
      </c>
      <c r="M811" s="7" t="s">
        <v>0</v>
      </c>
      <c r="N811" s="7" t="s">
        <v>8075</v>
      </c>
      <c r="O811" s="7" t="s">
        <v>51</v>
      </c>
      <c r="P811" s="7" t="s">
        <v>8076</v>
      </c>
      <c r="Q811" s="7" t="s">
        <v>1799</v>
      </c>
      <c r="R811" s="7" t="s">
        <v>590</v>
      </c>
      <c r="S811" s="7" t="s">
        <v>394</v>
      </c>
      <c r="T811" s="7" t="s">
        <v>54</v>
      </c>
      <c r="U811" s="7" t="s">
        <v>591</v>
      </c>
      <c r="V811" s="7" t="s">
        <v>864</v>
      </c>
      <c r="W811" s="7" t="s">
        <v>74</v>
      </c>
      <c r="X811" s="7" t="s">
        <v>58</v>
      </c>
      <c r="Y811" s="8">
        <v>45239</v>
      </c>
      <c r="Z811" s="8" t="s">
        <v>0</v>
      </c>
      <c r="AA811" s="7" t="s">
        <v>865</v>
      </c>
      <c r="AB811" s="7" t="s">
        <v>387</v>
      </c>
      <c r="AC811" s="7" t="s">
        <v>79</v>
      </c>
      <c r="AD811" s="7" t="s">
        <v>144</v>
      </c>
      <c r="AE811" s="7" t="s">
        <v>82</v>
      </c>
      <c r="AF811" s="7" t="s">
        <v>0</v>
      </c>
      <c r="AG811" s="7" t="s">
        <v>0</v>
      </c>
      <c r="AH811" s="9" t="s">
        <v>13431</v>
      </c>
      <c r="AI811" s="9" t="s">
        <v>13432</v>
      </c>
      <c r="AJ811" s="9" t="s">
        <v>13433</v>
      </c>
      <c r="AK811" s="7" t="s">
        <v>61</v>
      </c>
      <c r="AL811" s="7" t="s">
        <v>61</v>
      </c>
      <c r="AM811" s="7" t="s">
        <v>0</v>
      </c>
      <c r="AN811" s="7" t="s">
        <v>0</v>
      </c>
      <c r="AO811" s="7" t="s">
        <v>0</v>
      </c>
      <c r="AP811" s="7" t="s">
        <v>0</v>
      </c>
      <c r="AQ811" s="7" t="s">
        <v>61</v>
      </c>
      <c r="AR811" s="7" t="s">
        <v>0</v>
      </c>
      <c r="AS811" s="10" t="str">
        <f>HYPERLINK("https://tessa.gazprom-neft.local/edo/card/24fdd6ef-9c0a-49bf-ac26-874727845a84", "https://tessa.gazprom-neft.local/edo/card/24fdd6ef-9c0a-49bf-ac26-874727845a84")</f>
        <v>https://tessa.gazprom-neft.local/edo/card/24fdd6ef-9c0a-49bf-ac26-874727845a84</v>
      </c>
    </row>
    <row r="812" spans="1:45" hidden="1" x14ac:dyDescent="0.25">
      <c r="A812" s="6" t="s">
        <v>44</v>
      </c>
      <c r="B812" s="7" t="s">
        <v>7057</v>
      </c>
      <c r="C812" s="7" t="s">
        <v>67</v>
      </c>
      <c r="D812" s="8">
        <v>45237</v>
      </c>
      <c r="E812" s="8" t="s">
        <v>0</v>
      </c>
      <c r="F812" s="16" t="s">
        <v>7058</v>
      </c>
      <c r="G812" s="7" t="s">
        <v>7059</v>
      </c>
      <c r="H812" s="7" t="s">
        <v>0</v>
      </c>
      <c r="I812" s="7" t="s">
        <v>7054</v>
      </c>
      <c r="J812" s="7" t="s">
        <v>7054</v>
      </c>
      <c r="K812" s="7" t="s">
        <v>85</v>
      </c>
      <c r="L812" s="7" t="s">
        <v>96</v>
      </c>
      <c r="M812" s="7" t="s">
        <v>183</v>
      </c>
      <c r="N812" s="7" t="s">
        <v>7053</v>
      </c>
      <c r="O812" s="7" t="s">
        <v>0</v>
      </c>
      <c r="P812" s="7" t="s">
        <v>183</v>
      </c>
      <c r="Q812" s="7" t="s">
        <v>7055</v>
      </c>
      <c r="R812" s="7" t="s">
        <v>646</v>
      </c>
      <c r="S812" s="7" t="s">
        <v>0</v>
      </c>
      <c r="T812" s="7" t="s">
        <v>54</v>
      </c>
      <c r="U812" s="7" t="s">
        <v>7056</v>
      </c>
      <c r="V812" s="7" t="s">
        <v>137</v>
      </c>
      <c r="W812" s="7" t="s">
        <v>57</v>
      </c>
      <c r="X812" s="7" t="s">
        <v>103</v>
      </c>
      <c r="Y812" s="8">
        <v>45237</v>
      </c>
      <c r="Z812" s="8">
        <v>45260</v>
      </c>
      <c r="AA812" s="7" t="s">
        <v>0</v>
      </c>
      <c r="AB812" s="7" t="s">
        <v>192</v>
      </c>
      <c r="AC812" s="7" t="s">
        <v>79</v>
      </c>
      <c r="AD812" s="7" t="s">
        <v>80</v>
      </c>
      <c r="AE812" s="7" t="s">
        <v>193</v>
      </c>
      <c r="AF812" s="7" t="s">
        <v>0</v>
      </c>
      <c r="AG812" s="7" t="s">
        <v>0</v>
      </c>
      <c r="AH812" s="9" t="s">
        <v>13046</v>
      </c>
      <c r="AI812" s="9" t="s">
        <v>13047</v>
      </c>
      <c r="AJ812" s="9" t="s">
        <v>13048</v>
      </c>
      <c r="AK812" s="7" t="s">
        <v>61</v>
      </c>
      <c r="AL812" s="7" t="s">
        <v>61</v>
      </c>
      <c r="AM812" s="7" t="s">
        <v>0</v>
      </c>
      <c r="AN812" s="7" t="s">
        <v>0</v>
      </c>
      <c r="AO812" s="7" t="s">
        <v>0</v>
      </c>
      <c r="AP812" s="7" t="s">
        <v>0</v>
      </c>
      <c r="AQ812" s="7" t="s">
        <v>61</v>
      </c>
      <c r="AR812" s="7" t="s">
        <v>0</v>
      </c>
      <c r="AS812" s="10" t="str">
        <f>HYPERLINK("https://tessa.gazprom-neft.local/edo/card/d2639a43-1735-4c24-b808-269be39713b2", "https://tessa.gazprom-neft.local/edo/card/d2639a43-1735-4c24-b808-269be39713b2")</f>
        <v>https://tessa.gazprom-neft.local/edo/card/d2639a43-1735-4c24-b808-269be39713b2</v>
      </c>
    </row>
    <row r="813" spans="1:45" hidden="1" x14ac:dyDescent="0.25">
      <c r="A813" s="6" t="s">
        <v>44</v>
      </c>
      <c r="B813" s="7" t="s">
        <v>7083</v>
      </c>
      <c r="C813" s="7" t="s">
        <v>67</v>
      </c>
      <c r="D813" s="8">
        <v>45237</v>
      </c>
      <c r="E813" s="8" t="s">
        <v>0</v>
      </c>
      <c r="F813" s="16" t="s">
        <v>7084</v>
      </c>
      <c r="G813" s="7" t="s">
        <v>7085</v>
      </c>
      <c r="H813" s="7" t="s">
        <v>0</v>
      </c>
      <c r="I813" s="7" t="s">
        <v>7081</v>
      </c>
      <c r="J813" s="7" t="s">
        <v>7081</v>
      </c>
      <c r="K813" s="7" t="s">
        <v>85</v>
      </c>
      <c r="L813" s="7" t="s">
        <v>96</v>
      </c>
      <c r="M813" s="7" t="s">
        <v>183</v>
      </c>
      <c r="N813" s="7" t="s">
        <v>7080</v>
      </c>
      <c r="O813" s="7" t="s">
        <v>0</v>
      </c>
      <c r="P813" s="7" t="s">
        <v>183</v>
      </c>
      <c r="Q813" s="7" t="s">
        <v>7082</v>
      </c>
      <c r="R813" s="7" t="s">
        <v>646</v>
      </c>
      <c r="S813" s="7" t="s">
        <v>102</v>
      </c>
      <c r="T813" s="7" t="s">
        <v>54</v>
      </c>
      <c r="U813" s="7" t="s">
        <v>44</v>
      </c>
      <c r="V813" s="7" t="s">
        <v>137</v>
      </c>
      <c r="W813" s="7" t="s">
        <v>57</v>
      </c>
      <c r="X813" s="7" t="s">
        <v>103</v>
      </c>
      <c r="Y813" s="8">
        <v>45237</v>
      </c>
      <c r="Z813" s="8">
        <v>45260</v>
      </c>
      <c r="AA813" s="7" t="s">
        <v>0</v>
      </c>
      <c r="AB813" s="7" t="s">
        <v>192</v>
      </c>
      <c r="AC813" s="7" t="s">
        <v>79</v>
      </c>
      <c r="AD813" s="7" t="s">
        <v>80</v>
      </c>
      <c r="AE813" s="7" t="s">
        <v>193</v>
      </c>
      <c r="AF813" s="7" t="s">
        <v>0</v>
      </c>
      <c r="AG813" s="7" t="s">
        <v>0</v>
      </c>
      <c r="AH813" s="9" t="s">
        <v>13053</v>
      </c>
      <c r="AI813" s="9" t="s">
        <v>13054</v>
      </c>
      <c r="AJ813" s="9" t="s">
        <v>13055</v>
      </c>
      <c r="AK813" s="7" t="s">
        <v>61</v>
      </c>
      <c r="AL813" s="7" t="s">
        <v>61</v>
      </c>
      <c r="AM813" s="7" t="s">
        <v>0</v>
      </c>
      <c r="AN813" s="7" t="s">
        <v>0</v>
      </c>
      <c r="AO813" s="7" t="s">
        <v>0</v>
      </c>
      <c r="AP813" s="7" t="s">
        <v>0</v>
      </c>
      <c r="AQ813" s="7" t="s">
        <v>61</v>
      </c>
      <c r="AR813" s="7" t="s">
        <v>0</v>
      </c>
      <c r="AS813" s="10" t="str">
        <f>HYPERLINK("https://tessa.gazprom-neft.local/edo/card/b1a44592-072a-4356-801d-aaf08f0a0c99", "https://tessa.gazprom-neft.local/edo/card/b1a44592-072a-4356-801d-aaf08f0a0c99")</f>
        <v>https://tessa.gazprom-neft.local/edo/card/b1a44592-072a-4356-801d-aaf08f0a0c99</v>
      </c>
    </row>
    <row r="814" spans="1:45" hidden="1" x14ac:dyDescent="0.25">
      <c r="A814" s="6" t="s">
        <v>44</v>
      </c>
      <c r="B814" s="7" t="s">
        <v>7120</v>
      </c>
      <c r="C814" s="7" t="s">
        <v>67</v>
      </c>
      <c r="D814" s="8">
        <v>45237</v>
      </c>
      <c r="E814" s="8" t="s">
        <v>0</v>
      </c>
      <c r="F814" s="16" t="s">
        <v>7121</v>
      </c>
      <c r="G814" s="7" t="s">
        <v>7122</v>
      </c>
      <c r="H814" s="7" t="s">
        <v>0</v>
      </c>
      <c r="I814" s="7" t="s">
        <v>7118</v>
      </c>
      <c r="J814" s="7" t="s">
        <v>7118</v>
      </c>
      <c r="K814" s="7" t="s">
        <v>85</v>
      </c>
      <c r="L814" s="7" t="s">
        <v>96</v>
      </c>
      <c r="M814" s="7" t="s">
        <v>183</v>
      </c>
      <c r="N814" s="7" t="s">
        <v>7117</v>
      </c>
      <c r="O814" s="7" t="s">
        <v>0</v>
      </c>
      <c r="P814" s="7" t="s">
        <v>183</v>
      </c>
      <c r="Q814" s="7" t="s">
        <v>7119</v>
      </c>
      <c r="R814" s="7" t="s">
        <v>646</v>
      </c>
      <c r="S814" s="7" t="s">
        <v>102</v>
      </c>
      <c r="T814" s="7" t="s">
        <v>54</v>
      </c>
      <c r="U814" s="7" t="s">
        <v>44</v>
      </c>
      <c r="V814" s="7" t="s">
        <v>137</v>
      </c>
      <c r="W814" s="7" t="s">
        <v>57</v>
      </c>
      <c r="X814" s="7" t="s">
        <v>103</v>
      </c>
      <c r="Y814" s="8">
        <v>45237</v>
      </c>
      <c r="Z814" s="8">
        <v>45255</v>
      </c>
      <c r="AA814" s="7" t="s">
        <v>0</v>
      </c>
      <c r="AB814" s="7" t="s">
        <v>192</v>
      </c>
      <c r="AC814" s="7" t="s">
        <v>79</v>
      </c>
      <c r="AD814" s="7" t="s">
        <v>80</v>
      </c>
      <c r="AE814" s="7" t="s">
        <v>193</v>
      </c>
      <c r="AF814" s="7" t="s">
        <v>0</v>
      </c>
      <c r="AG814" s="7" t="s">
        <v>0</v>
      </c>
      <c r="AH814" s="9" t="s">
        <v>13071</v>
      </c>
      <c r="AI814" s="9" t="s">
        <v>13072</v>
      </c>
      <c r="AJ814" s="9" t="s">
        <v>13073</v>
      </c>
      <c r="AK814" s="7" t="s">
        <v>61</v>
      </c>
      <c r="AL814" s="7" t="s">
        <v>61</v>
      </c>
      <c r="AM814" s="7" t="s">
        <v>0</v>
      </c>
      <c r="AN814" s="7" t="s">
        <v>0</v>
      </c>
      <c r="AO814" s="7" t="s">
        <v>0</v>
      </c>
      <c r="AP814" s="7" t="s">
        <v>0</v>
      </c>
      <c r="AQ814" s="7" t="s">
        <v>61</v>
      </c>
      <c r="AR814" s="7" t="s">
        <v>0</v>
      </c>
      <c r="AS814" s="10" t="str">
        <f>HYPERLINK("https://tessa.gazprom-neft.local/edo/card/32213bb2-d01d-4f37-be3f-c0074169d2f0", "https://tessa.gazprom-neft.local/edo/card/32213bb2-d01d-4f37-be3f-c0074169d2f0")</f>
        <v>https://tessa.gazprom-neft.local/edo/card/32213bb2-d01d-4f37-be3f-c0074169d2f0</v>
      </c>
    </row>
    <row r="815" spans="1:45" x14ac:dyDescent="0.25">
      <c r="A815" s="6" t="s">
        <v>44</v>
      </c>
      <c r="B815" s="7" t="s">
        <v>1067</v>
      </c>
      <c r="C815" s="7" t="s">
        <v>67</v>
      </c>
      <c r="D815" s="8">
        <v>45237</v>
      </c>
      <c r="E815" s="8" t="s">
        <v>0</v>
      </c>
      <c r="F815" s="16" t="s">
        <v>1068</v>
      </c>
      <c r="G815" s="7" t="s">
        <v>1069</v>
      </c>
      <c r="H815" s="7" t="s">
        <v>4323</v>
      </c>
      <c r="I815" s="7" t="s">
        <v>0</v>
      </c>
      <c r="J815" s="7" t="s">
        <v>156</v>
      </c>
      <c r="K815" s="7" t="s">
        <v>85</v>
      </c>
      <c r="L815" s="7" t="s">
        <v>48</v>
      </c>
      <c r="M815" s="7" t="s">
        <v>1134</v>
      </c>
      <c r="N815" s="7" t="s">
        <v>7167</v>
      </c>
      <c r="O815" s="7" t="s">
        <v>0</v>
      </c>
      <c r="P815" s="7" t="s">
        <v>7168</v>
      </c>
      <c r="Q815" s="7" t="s">
        <v>1134</v>
      </c>
      <c r="R815" s="7" t="s">
        <v>1066</v>
      </c>
      <c r="S815" s="7" t="s">
        <v>0</v>
      </c>
      <c r="T815" s="7" t="s">
        <v>54</v>
      </c>
      <c r="U815" s="7" t="s">
        <v>136</v>
      </c>
      <c r="V815" s="7" t="s">
        <v>308</v>
      </c>
      <c r="W815" s="7" t="s">
        <v>74</v>
      </c>
      <c r="X815" s="7" t="s">
        <v>58</v>
      </c>
      <c r="Y815" s="8">
        <v>45237</v>
      </c>
      <c r="Z815" s="8" t="s">
        <v>0</v>
      </c>
      <c r="AA815" s="7" t="s">
        <v>309</v>
      </c>
      <c r="AB815" s="7" t="s">
        <v>2425</v>
      </c>
      <c r="AC815" s="7" t="s">
        <v>65</v>
      </c>
      <c r="AD815" s="7" t="s">
        <v>144</v>
      </c>
      <c r="AE815" s="7" t="s">
        <v>0</v>
      </c>
      <c r="AF815" s="7" t="s">
        <v>0</v>
      </c>
      <c r="AG815" s="7" t="s">
        <v>0</v>
      </c>
      <c r="AH815" s="9" t="s">
        <v>0</v>
      </c>
      <c r="AI815" s="9" t="s">
        <v>0</v>
      </c>
      <c r="AJ815" s="9" t="s">
        <v>0</v>
      </c>
      <c r="AK815" s="7" t="s">
        <v>61</v>
      </c>
      <c r="AL815" s="7" t="s">
        <v>61</v>
      </c>
      <c r="AM815" s="7" t="s">
        <v>0</v>
      </c>
      <c r="AN815" s="7" t="s">
        <v>0</v>
      </c>
      <c r="AO815" s="7" t="s">
        <v>0</v>
      </c>
      <c r="AP815" s="7" t="s">
        <v>0</v>
      </c>
      <c r="AQ815" s="7" t="s">
        <v>61</v>
      </c>
      <c r="AR815" s="7" t="s">
        <v>0</v>
      </c>
      <c r="AS815" s="10" t="str">
        <f>HYPERLINK("https://tessa.gazprom-neft.local/edo/card/c924f130-bab0-4658-9f14-3ceac440833d", "https://tessa.gazprom-neft.local/edo/card/c924f130-bab0-4658-9f14-3ceac440833d")</f>
        <v>https://tessa.gazprom-neft.local/edo/card/c924f130-bab0-4658-9f14-3ceac440833d</v>
      </c>
    </row>
    <row r="816" spans="1:45" x14ac:dyDescent="0.25">
      <c r="A816" s="6" t="s">
        <v>44</v>
      </c>
      <c r="B816" s="7" t="s">
        <v>1843</v>
      </c>
      <c r="C816" s="7" t="s">
        <v>67</v>
      </c>
      <c r="D816" s="8">
        <v>45237</v>
      </c>
      <c r="E816" s="8" t="s">
        <v>0</v>
      </c>
      <c r="F816" s="16" t="s">
        <v>1844</v>
      </c>
      <c r="G816" s="7" t="s">
        <v>1845</v>
      </c>
      <c r="H816" s="7" t="s">
        <v>3215</v>
      </c>
      <c r="I816" s="7" t="s">
        <v>0</v>
      </c>
      <c r="J816" s="7" t="s">
        <v>355</v>
      </c>
      <c r="K816" s="7" t="s">
        <v>85</v>
      </c>
      <c r="L816" s="7" t="s">
        <v>48</v>
      </c>
      <c r="M816" s="7" t="s">
        <v>1134</v>
      </c>
      <c r="N816" s="7" t="s">
        <v>7181</v>
      </c>
      <c r="O816" s="7" t="s">
        <v>0</v>
      </c>
      <c r="P816" s="7" t="s">
        <v>7182</v>
      </c>
      <c r="Q816" s="7" t="s">
        <v>1134</v>
      </c>
      <c r="R816" s="7" t="s">
        <v>1066</v>
      </c>
      <c r="S816" s="7" t="s">
        <v>0</v>
      </c>
      <c r="T816" s="7" t="s">
        <v>54</v>
      </c>
      <c r="U816" s="7" t="s">
        <v>136</v>
      </c>
      <c r="V816" s="7" t="s">
        <v>308</v>
      </c>
      <c r="W816" s="7" t="s">
        <v>74</v>
      </c>
      <c r="X816" s="7" t="s">
        <v>58</v>
      </c>
      <c r="Y816" s="8">
        <v>45237</v>
      </c>
      <c r="Z816" s="8" t="s">
        <v>0</v>
      </c>
      <c r="AA816" s="7" t="s">
        <v>309</v>
      </c>
      <c r="AB816" s="7" t="s">
        <v>1143</v>
      </c>
      <c r="AC816" s="7" t="s">
        <v>65</v>
      </c>
      <c r="AD816" s="7" t="s">
        <v>0</v>
      </c>
      <c r="AE816" s="7" t="s">
        <v>0</v>
      </c>
      <c r="AF816" s="7" t="s">
        <v>0</v>
      </c>
      <c r="AG816" s="7" t="s">
        <v>0</v>
      </c>
      <c r="AH816" s="9" t="s">
        <v>0</v>
      </c>
      <c r="AI816" s="9" t="s">
        <v>0</v>
      </c>
      <c r="AJ816" s="9" t="s">
        <v>0</v>
      </c>
      <c r="AK816" s="7" t="s">
        <v>61</v>
      </c>
      <c r="AL816" s="7" t="s">
        <v>61</v>
      </c>
      <c r="AM816" s="7" t="s">
        <v>0</v>
      </c>
      <c r="AN816" s="7" t="s">
        <v>0</v>
      </c>
      <c r="AO816" s="7" t="s">
        <v>0</v>
      </c>
      <c r="AP816" s="7" t="s">
        <v>0</v>
      </c>
      <c r="AQ816" s="7" t="s">
        <v>61</v>
      </c>
      <c r="AR816" s="7" t="s">
        <v>0</v>
      </c>
      <c r="AS816" s="10" t="str">
        <f>HYPERLINK("https://tessa.gazprom-neft.local/edo/card/0b605c38-d35c-43c9-81b8-25ea16be3d73", "https://tessa.gazprom-neft.local/edo/card/0b605c38-d35c-43c9-81b8-25ea16be3d73")</f>
        <v>https://tessa.gazprom-neft.local/edo/card/0b605c38-d35c-43c9-81b8-25ea16be3d73</v>
      </c>
    </row>
    <row r="817" spans="1:45" x14ac:dyDescent="0.25">
      <c r="A817" s="6" t="s">
        <v>44</v>
      </c>
      <c r="B817" s="7" t="s">
        <v>1843</v>
      </c>
      <c r="C817" s="7" t="s">
        <v>67</v>
      </c>
      <c r="D817" s="8">
        <v>45237</v>
      </c>
      <c r="E817" s="8" t="s">
        <v>0</v>
      </c>
      <c r="F817" s="16" t="s">
        <v>1844</v>
      </c>
      <c r="G817" s="7" t="s">
        <v>1845</v>
      </c>
      <c r="H817" s="7" t="s">
        <v>1841</v>
      </c>
      <c r="I817" s="7" t="s">
        <v>0</v>
      </c>
      <c r="J817" s="7" t="s">
        <v>271</v>
      </c>
      <c r="K817" s="7" t="s">
        <v>85</v>
      </c>
      <c r="L817" s="7" t="s">
        <v>48</v>
      </c>
      <c r="M817" s="7" t="s">
        <v>1134</v>
      </c>
      <c r="N817" s="7" t="s">
        <v>7189</v>
      </c>
      <c r="O817" s="7" t="s">
        <v>0</v>
      </c>
      <c r="P817" s="7" t="s">
        <v>7190</v>
      </c>
      <c r="Q817" s="7" t="s">
        <v>1134</v>
      </c>
      <c r="R817" s="7" t="s">
        <v>1066</v>
      </c>
      <c r="S817" s="7" t="s">
        <v>0</v>
      </c>
      <c r="T817" s="7" t="s">
        <v>54</v>
      </c>
      <c r="U817" s="7" t="s">
        <v>136</v>
      </c>
      <c r="V817" s="7" t="s">
        <v>308</v>
      </c>
      <c r="W817" s="7" t="s">
        <v>74</v>
      </c>
      <c r="X817" s="7" t="s">
        <v>58</v>
      </c>
      <c r="Y817" s="8">
        <v>45237</v>
      </c>
      <c r="Z817" s="8" t="s">
        <v>0</v>
      </c>
      <c r="AA817" s="7" t="s">
        <v>309</v>
      </c>
      <c r="AB817" s="7" t="s">
        <v>1143</v>
      </c>
      <c r="AC817" s="7" t="s">
        <v>65</v>
      </c>
      <c r="AD817" s="7" t="s">
        <v>0</v>
      </c>
      <c r="AE817" s="7" t="s">
        <v>0</v>
      </c>
      <c r="AF817" s="7" t="s">
        <v>0</v>
      </c>
      <c r="AG817" s="7" t="s">
        <v>0</v>
      </c>
      <c r="AH817" s="9" t="s">
        <v>0</v>
      </c>
      <c r="AI817" s="9" t="s">
        <v>0</v>
      </c>
      <c r="AJ817" s="9" t="s">
        <v>0</v>
      </c>
      <c r="AK817" s="7" t="s">
        <v>61</v>
      </c>
      <c r="AL817" s="7" t="s">
        <v>61</v>
      </c>
      <c r="AM817" s="7" t="s">
        <v>0</v>
      </c>
      <c r="AN817" s="7" t="s">
        <v>0</v>
      </c>
      <c r="AO817" s="7" t="s">
        <v>0</v>
      </c>
      <c r="AP817" s="7" t="s">
        <v>0</v>
      </c>
      <c r="AQ817" s="7" t="s">
        <v>61</v>
      </c>
      <c r="AR817" s="7" t="s">
        <v>0</v>
      </c>
      <c r="AS817" s="10" t="str">
        <f>HYPERLINK("https://tessa.gazprom-neft.local/edo/card/7c5fa231-5baa-427d-8c41-3c793d484dc3", "https://tessa.gazprom-neft.local/edo/card/7c5fa231-5baa-427d-8c41-3c793d484dc3")</f>
        <v>https://tessa.gazprom-neft.local/edo/card/7c5fa231-5baa-427d-8c41-3c793d484dc3</v>
      </c>
    </row>
    <row r="818" spans="1:45" hidden="1" x14ac:dyDescent="0.25">
      <c r="A818" s="6" t="s">
        <v>44</v>
      </c>
      <c r="B818" s="7" t="s">
        <v>395</v>
      </c>
      <c r="C818" s="7" t="s">
        <v>67</v>
      </c>
      <c r="D818" s="8">
        <v>45237</v>
      </c>
      <c r="E818" s="8" t="s">
        <v>0</v>
      </c>
      <c r="F818" s="16" t="s">
        <v>396</v>
      </c>
      <c r="G818" s="7" t="s">
        <v>397</v>
      </c>
      <c r="H818" s="7" t="s">
        <v>390</v>
      </c>
      <c r="I818" s="7" t="s">
        <v>0</v>
      </c>
      <c r="J818" s="7" t="s">
        <v>271</v>
      </c>
      <c r="K818" s="7" t="s">
        <v>47</v>
      </c>
      <c r="L818" s="7" t="s">
        <v>389</v>
      </c>
      <c r="M818" s="7" t="s">
        <v>0</v>
      </c>
      <c r="N818" s="7" t="s">
        <v>7339</v>
      </c>
      <c r="O818" s="7" t="s">
        <v>4134</v>
      </c>
      <c r="P818" s="7" t="s">
        <v>7340</v>
      </c>
      <c r="Q818" s="7" t="s">
        <v>7341</v>
      </c>
      <c r="R818" s="7" t="s">
        <v>393</v>
      </c>
      <c r="S818" s="7" t="s">
        <v>394</v>
      </c>
      <c r="T818" s="7" t="s">
        <v>54</v>
      </c>
      <c r="U818" s="7" t="s">
        <v>222</v>
      </c>
      <c r="V818" s="7" t="s">
        <v>126</v>
      </c>
      <c r="W818" s="7" t="s">
        <v>74</v>
      </c>
      <c r="X818" s="7" t="s">
        <v>58</v>
      </c>
      <c r="Y818" s="8">
        <v>45237</v>
      </c>
      <c r="Z818" s="8" t="s">
        <v>0</v>
      </c>
      <c r="AA818" s="7" t="s">
        <v>224</v>
      </c>
      <c r="AB818" s="7" t="s">
        <v>387</v>
      </c>
      <c r="AC818" s="7" t="s">
        <v>79</v>
      </c>
      <c r="AD818" s="7" t="s">
        <v>80</v>
      </c>
      <c r="AE818" s="7" t="s">
        <v>82</v>
      </c>
      <c r="AF818" s="7" t="s">
        <v>0</v>
      </c>
      <c r="AG818" s="7" t="s">
        <v>4835</v>
      </c>
      <c r="AH818" s="9" t="s">
        <v>13156</v>
      </c>
      <c r="AI818" s="9" t="s">
        <v>13157</v>
      </c>
      <c r="AJ818" s="9" t="s">
        <v>13158</v>
      </c>
      <c r="AK818" s="7" t="s">
        <v>81</v>
      </c>
      <c r="AL818" s="7" t="s">
        <v>61</v>
      </c>
      <c r="AM818" s="7" t="s">
        <v>0</v>
      </c>
      <c r="AN818" s="7" t="s">
        <v>0</v>
      </c>
      <c r="AO818" s="7" t="s">
        <v>0</v>
      </c>
      <c r="AP818" s="7" t="s">
        <v>0</v>
      </c>
      <c r="AQ818" s="7" t="s">
        <v>61</v>
      </c>
      <c r="AR818" s="7" t="s">
        <v>0</v>
      </c>
      <c r="AS818" s="10" t="str">
        <f>HYPERLINK("https://tessa.gazprom-neft.local/edo/card/14ce575c-a78c-48e9-b1b6-b8a64c1cad27", "https://tessa.gazprom-neft.local/edo/card/14ce575c-a78c-48e9-b1b6-b8a64c1cad27")</f>
        <v>https://tessa.gazprom-neft.local/edo/card/14ce575c-a78c-48e9-b1b6-b8a64c1cad27</v>
      </c>
    </row>
    <row r="819" spans="1:45" hidden="1" x14ac:dyDescent="0.25">
      <c r="A819" s="6" t="s">
        <v>44</v>
      </c>
      <c r="B819" s="7" t="s">
        <v>715</v>
      </c>
      <c r="C819" s="7" t="s">
        <v>67</v>
      </c>
      <c r="D819" s="8">
        <v>45233</v>
      </c>
      <c r="E819" s="8" t="s">
        <v>0</v>
      </c>
      <c r="F819" s="16" t="s">
        <v>716</v>
      </c>
      <c r="G819" s="7" t="s">
        <v>717</v>
      </c>
      <c r="H819" s="7" t="s">
        <v>710</v>
      </c>
      <c r="I819" s="7" t="s">
        <v>0</v>
      </c>
      <c r="J819" s="7" t="s">
        <v>51</v>
      </c>
      <c r="K819" s="7" t="s">
        <v>47</v>
      </c>
      <c r="L819" s="7" t="s">
        <v>389</v>
      </c>
      <c r="M819" s="7" t="s">
        <v>0</v>
      </c>
      <c r="N819" s="7" t="s">
        <v>7287</v>
      </c>
      <c r="O819" s="7" t="s">
        <v>271</v>
      </c>
      <c r="P819" s="7" t="s">
        <v>7288</v>
      </c>
      <c r="Q819" s="7" t="s">
        <v>7289</v>
      </c>
      <c r="R819" s="7" t="s">
        <v>714</v>
      </c>
      <c r="S819" s="7" t="s">
        <v>714</v>
      </c>
      <c r="T819" s="7" t="s">
        <v>54</v>
      </c>
      <c r="U819" s="7" t="s">
        <v>101</v>
      </c>
      <c r="V819" s="7" t="s">
        <v>308</v>
      </c>
      <c r="W819" s="7" t="s">
        <v>74</v>
      </c>
      <c r="X819" s="7" t="s">
        <v>103</v>
      </c>
      <c r="Y819" s="8">
        <v>45219</v>
      </c>
      <c r="Z819" s="8">
        <v>45322</v>
      </c>
      <c r="AA819" s="7" t="s">
        <v>309</v>
      </c>
      <c r="AB819" s="7" t="s">
        <v>64</v>
      </c>
      <c r="AC819" s="7" t="s">
        <v>65</v>
      </c>
      <c r="AD819" s="7" t="s">
        <v>144</v>
      </c>
      <c r="AE819" s="7" t="s">
        <v>0</v>
      </c>
      <c r="AF819" s="7" t="s">
        <v>0</v>
      </c>
      <c r="AG819" s="7" t="s">
        <v>0</v>
      </c>
      <c r="AH819" s="9" t="s">
        <v>0</v>
      </c>
      <c r="AI819" s="9" t="s">
        <v>0</v>
      </c>
      <c r="AJ819" s="9" t="s">
        <v>0</v>
      </c>
      <c r="AK819" s="7" t="s">
        <v>61</v>
      </c>
      <c r="AL819" s="7" t="s">
        <v>61</v>
      </c>
      <c r="AM819" s="7" t="s">
        <v>0</v>
      </c>
      <c r="AN819" s="7" t="s">
        <v>0</v>
      </c>
      <c r="AO819" s="7" t="s">
        <v>0</v>
      </c>
      <c r="AP819" s="7" t="s">
        <v>0</v>
      </c>
      <c r="AQ819" s="7" t="s">
        <v>61</v>
      </c>
      <c r="AR819" s="7" t="s">
        <v>0</v>
      </c>
      <c r="AS819" s="10" t="str">
        <f>HYPERLINK("https://tessa.gazprom-neft.local/edo/card/89d440ca-e51e-4a69-af74-cdc760e7374f", "https://tessa.gazprom-neft.local/edo/card/89d440ca-e51e-4a69-af74-cdc760e7374f")</f>
        <v>https://tessa.gazprom-neft.local/edo/card/89d440ca-e51e-4a69-af74-cdc760e7374f</v>
      </c>
    </row>
    <row r="820" spans="1:45" hidden="1" x14ac:dyDescent="0.25">
      <c r="A820" s="6" t="s">
        <v>44</v>
      </c>
      <c r="B820" s="7" t="s">
        <v>1328</v>
      </c>
      <c r="C820" s="7" t="s">
        <v>67</v>
      </c>
      <c r="D820" s="8">
        <v>45233</v>
      </c>
      <c r="E820" s="8" t="s">
        <v>0</v>
      </c>
      <c r="F820" s="16" t="s">
        <v>1329</v>
      </c>
      <c r="G820" s="7" t="s">
        <v>1330</v>
      </c>
      <c r="H820" s="7" t="s">
        <v>3640</v>
      </c>
      <c r="I820" s="7" t="s">
        <v>0</v>
      </c>
      <c r="J820" s="7" t="s">
        <v>271</v>
      </c>
      <c r="K820" s="7" t="s">
        <v>47</v>
      </c>
      <c r="L820" s="7" t="s">
        <v>239</v>
      </c>
      <c r="M820" s="7" t="s">
        <v>0</v>
      </c>
      <c r="N820" s="7" t="s">
        <v>7633</v>
      </c>
      <c r="O820" s="7" t="s">
        <v>0</v>
      </c>
      <c r="P820" s="7" t="s">
        <v>7634</v>
      </c>
      <c r="Q820" s="7" t="s">
        <v>7635</v>
      </c>
      <c r="R820" s="7" t="s">
        <v>393</v>
      </c>
      <c r="S820" s="7" t="s">
        <v>166</v>
      </c>
      <c r="T820" s="7" t="s">
        <v>54</v>
      </c>
      <c r="U820" s="7" t="s">
        <v>283</v>
      </c>
      <c r="V820" s="7" t="s">
        <v>308</v>
      </c>
      <c r="W820" s="7" t="s">
        <v>74</v>
      </c>
      <c r="X820" s="7" t="s">
        <v>58</v>
      </c>
      <c r="Y820" s="8">
        <v>45233</v>
      </c>
      <c r="Z820" s="8" t="s">
        <v>0</v>
      </c>
      <c r="AA820" s="7" t="s">
        <v>309</v>
      </c>
      <c r="AB820" s="7" t="s">
        <v>130</v>
      </c>
      <c r="AC820" s="7" t="s">
        <v>79</v>
      </c>
      <c r="AD820" s="7" t="s">
        <v>80</v>
      </c>
      <c r="AE820" s="7" t="s">
        <v>82</v>
      </c>
      <c r="AF820" s="7" t="s">
        <v>0</v>
      </c>
      <c r="AG820" s="7" t="s">
        <v>0</v>
      </c>
      <c r="AH820" s="9" t="s">
        <v>13247</v>
      </c>
      <c r="AI820" s="9" t="s">
        <v>13248</v>
      </c>
      <c r="AJ820" s="9" t="s">
        <v>13249</v>
      </c>
      <c r="AK820" s="7" t="s">
        <v>61</v>
      </c>
      <c r="AL820" s="7" t="s">
        <v>61</v>
      </c>
      <c r="AM820" s="7" t="s">
        <v>0</v>
      </c>
      <c r="AN820" s="7" t="s">
        <v>0</v>
      </c>
      <c r="AO820" s="7" t="s">
        <v>0</v>
      </c>
      <c r="AP820" s="7" t="s">
        <v>0</v>
      </c>
      <c r="AQ820" s="7" t="s">
        <v>61</v>
      </c>
      <c r="AR820" s="7" t="s">
        <v>0</v>
      </c>
      <c r="AS820" s="10" t="str">
        <f>HYPERLINK("https://tessa.gazprom-neft.local/edo/card/4bf6fe03-c265-4287-b8f2-38d9e9a50e31", "https://tessa.gazprom-neft.local/edo/card/4bf6fe03-c265-4287-b8f2-38d9e9a50e31")</f>
        <v>https://tessa.gazprom-neft.local/edo/card/4bf6fe03-c265-4287-b8f2-38d9e9a50e31</v>
      </c>
    </row>
    <row r="821" spans="1:45" x14ac:dyDescent="0.25">
      <c r="A821" s="6" t="s">
        <v>44</v>
      </c>
      <c r="B821" s="7" t="s">
        <v>715</v>
      </c>
      <c r="C821" s="7" t="s">
        <v>67</v>
      </c>
      <c r="D821" s="8">
        <v>45232</v>
      </c>
      <c r="E821" s="8" t="s">
        <v>0</v>
      </c>
      <c r="F821" s="16" t="s">
        <v>716</v>
      </c>
      <c r="G821" s="7" t="s">
        <v>717</v>
      </c>
      <c r="H821" s="7" t="s">
        <v>710</v>
      </c>
      <c r="I821" s="7" t="s">
        <v>0</v>
      </c>
      <c r="J821" s="7" t="s">
        <v>51</v>
      </c>
      <c r="K821" s="7" t="s">
        <v>47</v>
      </c>
      <c r="L821" s="7" t="s">
        <v>48</v>
      </c>
      <c r="M821" s="7" t="s">
        <v>0</v>
      </c>
      <c r="N821" s="7" t="s">
        <v>7126</v>
      </c>
      <c r="O821" s="7" t="s">
        <v>0</v>
      </c>
      <c r="P821" s="7" t="s">
        <v>7127</v>
      </c>
      <c r="Q821" s="7" t="s">
        <v>7128</v>
      </c>
      <c r="R821" s="7" t="s">
        <v>338</v>
      </c>
      <c r="S821" s="7" t="s">
        <v>714</v>
      </c>
      <c r="T821" s="7" t="s">
        <v>54</v>
      </c>
      <c r="U821" s="7" t="s">
        <v>283</v>
      </c>
      <c r="V821" s="7" t="s">
        <v>308</v>
      </c>
      <c r="W821" s="7" t="s">
        <v>74</v>
      </c>
      <c r="X821" s="7" t="s">
        <v>58</v>
      </c>
      <c r="Y821" s="8">
        <v>45232</v>
      </c>
      <c r="Z821" s="8" t="s">
        <v>0</v>
      </c>
      <c r="AA821" s="7" t="s">
        <v>309</v>
      </c>
      <c r="AB821" s="7" t="s">
        <v>64</v>
      </c>
      <c r="AC821" s="7" t="s">
        <v>65</v>
      </c>
      <c r="AD821" s="7" t="s">
        <v>144</v>
      </c>
      <c r="AE821" s="7" t="s">
        <v>0</v>
      </c>
      <c r="AF821" s="7" t="s">
        <v>0</v>
      </c>
      <c r="AG821" s="7" t="s">
        <v>0</v>
      </c>
      <c r="AH821" s="9" t="s">
        <v>0</v>
      </c>
      <c r="AI821" s="9" t="s">
        <v>0</v>
      </c>
      <c r="AJ821" s="9" t="s">
        <v>0</v>
      </c>
      <c r="AK821" s="7" t="s">
        <v>61</v>
      </c>
      <c r="AL821" s="7" t="s">
        <v>61</v>
      </c>
      <c r="AM821" s="7" t="s">
        <v>0</v>
      </c>
      <c r="AN821" s="7" t="s">
        <v>0</v>
      </c>
      <c r="AO821" s="7" t="s">
        <v>0</v>
      </c>
      <c r="AP821" s="7" t="s">
        <v>0</v>
      </c>
      <c r="AQ821" s="7" t="s">
        <v>61</v>
      </c>
      <c r="AR821" s="7" t="s">
        <v>0</v>
      </c>
      <c r="AS821" s="10" t="str">
        <f>HYPERLINK("https://tessa.gazprom-neft.local/edo/card/e770327f-a09e-4810-9220-95e33e3a3ec9", "https://tessa.gazprom-neft.local/edo/card/e770327f-a09e-4810-9220-95e33e3a3ec9")</f>
        <v>https://tessa.gazprom-neft.local/edo/card/e770327f-a09e-4810-9220-95e33e3a3ec9</v>
      </c>
    </row>
    <row r="822" spans="1:45" x14ac:dyDescent="0.25">
      <c r="A822" s="6" t="s">
        <v>44</v>
      </c>
      <c r="B822" s="7" t="s">
        <v>2179</v>
      </c>
      <c r="C822" s="7" t="s">
        <v>218</v>
      </c>
      <c r="D822" s="8">
        <v>45232</v>
      </c>
      <c r="E822" s="8" t="s">
        <v>0</v>
      </c>
      <c r="F822" s="16" t="s">
        <v>2180</v>
      </c>
      <c r="G822" s="7" t="s">
        <v>2181</v>
      </c>
      <c r="H822" s="7" t="s">
        <v>2176</v>
      </c>
      <c r="I822" s="7" t="s">
        <v>0</v>
      </c>
      <c r="J822" s="7" t="s">
        <v>51</v>
      </c>
      <c r="K822" s="7" t="s">
        <v>85</v>
      </c>
      <c r="L822" s="7" t="s">
        <v>48</v>
      </c>
      <c r="M822" s="7" t="s">
        <v>1134</v>
      </c>
      <c r="N822" s="7" t="s">
        <v>7211</v>
      </c>
      <c r="O822" s="7" t="s">
        <v>0</v>
      </c>
      <c r="P822" s="7" t="s">
        <v>1134</v>
      </c>
      <c r="Q822" s="7" t="s">
        <v>6954</v>
      </c>
      <c r="R822" s="7" t="s">
        <v>2178</v>
      </c>
      <c r="S822" s="7" t="s">
        <v>2178</v>
      </c>
      <c r="T822" s="7" t="s">
        <v>54</v>
      </c>
      <c r="U822" s="7" t="s">
        <v>605</v>
      </c>
      <c r="V822" s="7" t="s">
        <v>126</v>
      </c>
      <c r="W822" s="7" t="s">
        <v>74</v>
      </c>
      <c r="X822" s="7" t="s">
        <v>103</v>
      </c>
      <c r="Y822" s="8">
        <v>45232</v>
      </c>
      <c r="Z822" s="8">
        <v>46022</v>
      </c>
      <c r="AA822" s="7" t="s">
        <v>224</v>
      </c>
      <c r="AB822" s="7" t="s">
        <v>130</v>
      </c>
      <c r="AC822" s="7" t="s">
        <v>65</v>
      </c>
      <c r="AD822" s="7" t="s">
        <v>144</v>
      </c>
      <c r="AE822" s="7" t="s">
        <v>0</v>
      </c>
      <c r="AF822" s="7" t="s">
        <v>0</v>
      </c>
      <c r="AG822" s="7" t="s">
        <v>0</v>
      </c>
      <c r="AH822" s="9" t="s">
        <v>0</v>
      </c>
      <c r="AI822" s="9" t="s">
        <v>0</v>
      </c>
      <c r="AJ822" s="9" t="s">
        <v>0</v>
      </c>
      <c r="AK822" s="7" t="s">
        <v>61</v>
      </c>
      <c r="AL822" s="7" t="s">
        <v>61</v>
      </c>
      <c r="AM822" s="7" t="s">
        <v>0</v>
      </c>
      <c r="AN822" s="7" t="s">
        <v>0</v>
      </c>
      <c r="AO822" s="7" t="s">
        <v>0</v>
      </c>
      <c r="AP822" s="7" t="s">
        <v>0</v>
      </c>
      <c r="AQ822" s="7" t="s">
        <v>61</v>
      </c>
      <c r="AR822" s="7" t="s">
        <v>0</v>
      </c>
      <c r="AS822" s="10" t="str">
        <f>HYPERLINK("https://tessa.gazprom-neft.local/edo/card/f5a8fe9e-6544-4ef3-bd97-a4988903e6ae", "https://tessa.gazprom-neft.local/edo/card/f5a8fe9e-6544-4ef3-bd97-a4988903e6ae")</f>
        <v>https://tessa.gazprom-neft.local/edo/card/f5a8fe9e-6544-4ef3-bd97-a4988903e6ae</v>
      </c>
    </row>
    <row r="823" spans="1:45" hidden="1" x14ac:dyDescent="0.25">
      <c r="A823" s="6" t="s">
        <v>44</v>
      </c>
      <c r="B823" s="7" t="s">
        <v>3149</v>
      </c>
      <c r="C823" s="7" t="s">
        <v>67</v>
      </c>
      <c r="D823" s="8">
        <v>45231</v>
      </c>
      <c r="E823" s="8" t="s">
        <v>0</v>
      </c>
      <c r="F823" s="16" t="s">
        <v>3150</v>
      </c>
      <c r="G823" s="7" t="s">
        <v>3151</v>
      </c>
      <c r="H823" s="7" t="s">
        <v>0</v>
      </c>
      <c r="I823" s="7" t="s">
        <v>6731</v>
      </c>
      <c r="J823" s="7" t="s">
        <v>6731</v>
      </c>
      <c r="K823" s="7" t="s">
        <v>47</v>
      </c>
      <c r="L823" s="7" t="s">
        <v>96</v>
      </c>
      <c r="M823" s="7" t="s">
        <v>0</v>
      </c>
      <c r="N823" s="7" t="s">
        <v>6730</v>
      </c>
      <c r="O823" s="7" t="s">
        <v>0</v>
      </c>
      <c r="P823" s="7" t="s">
        <v>6732</v>
      </c>
      <c r="Q823" s="7" t="s">
        <v>6733</v>
      </c>
      <c r="R823" s="7" t="s">
        <v>338</v>
      </c>
      <c r="S823" s="7" t="s">
        <v>56</v>
      </c>
      <c r="T823" s="7" t="s">
        <v>54</v>
      </c>
      <c r="U823" s="7" t="s">
        <v>55</v>
      </c>
      <c r="V823" s="7" t="s">
        <v>864</v>
      </c>
      <c r="W823" s="7" t="s">
        <v>74</v>
      </c>
      <c r="X823" s="7" t="s">
        <v>103</v>
      </c>
      <c r="Y823" s="8">
        <v>45231</v>
      </c>
      <c r="Z823" s="8">
        <v>46752</v>
      </c>
      <c r="AA823" s="7" t="s">
        <v>865</v>
      </c>
      <c r="AB823" s="7" t="s">
        <v>130</v>
      </c>
      <c r="AC823" s="7" t="s">
        <v>79</v>
      </c>
      <c r="AD823" s="7" t="s">
        <v>144</v>
      </c>
      <c r="AE823" s="7" t="s">
        <v>82</v>
      </c>
      <c r="AF823" s="7" t="s">
        <v>0</v>
      </c>
      <c r="AG823" s="7" t="s">
        <v>0</v>
      </c>
      <c r="AH823" s="9" t="s">
        <v>12933</v>
      </c>
      <c r="AI823" s="9" t="s">
        <v>12934</v>
      </c>
      <c r="AJ823" s="9" t="s">
        <v>12935</v>
      </c>
      <c r="AK823" s="7" t="s">
        <v>61</v>
      </c>
      <c r="AL823" s="7" t="s">
        <v>61</v>
      </c>
      <c r="AM823" s="7" t="s">
        <v>0</v>
      </c>
      <c r="AN823" s="7" t="s">
        <v>0</v>
      </c>
      <c r="AO823" s="7" t="s">
        <v>0</v>
      </c>
      <c r="AP823" s="7" t="s">
        <v>0</v>
      </c>
      <c r="AQ823" s="7" t="s">
        <v>61</v>
      </c>
      <c r="AR823" s="7" t="s">
        <v>0</v>
      </c>
      <c r="AS823" s="10" t="str">
        <f>HYPERLINK("https://tessa.gazprom-neft.local/edo/card/e1766d65-e506-4764-a2be-238697371334", "https://tessa.gazprom-neft.local/edo/card/e1766d65-e506-4764-a2be-238697371334")</f>
        <v>https://tessa.gazprom-neft.local/edo/card/e1766d65-e506-4764-a2be-238697371334</v>
      </c>
    </row>
    <row r="824" spans="1:45" hidden="1" x14ac:dyDescent="0.25">
      <c r="A824" s="6" t="s">
        <v>44</v>
      </c>
      <c r="B824" s="7" t="s">
        <v>3149</v>
      </c>
      <c r="C824" s="7" t="s">
        <v>67</v>
      </c>
      <c r="D824" s="8">
        <v>45231</v>
      </c>
      <c r="E824" s="8" t="s">
        <v>0</v>
      </c>
      <c r="F824" s="16" t="s">
        <v>3150</v>
      </c>
      <c r="G824" s="7" t="s">
        <v>3151</v>
      </c>
      <c r="H824" s="7" t="s">
        <v>0</v>
      </c>
      <c r="I824" s="7" t="s">
        <v>6990</v>
      </c>
      <c r="J824" s="7" t="s">
        <v>6990</v>
      </c>
      <c r="K824" s="7" t="s">
        <v>85</v>
      </c>
      <c r="L824" s="7" t="s">
        <v>86</v>
      </c>
      <c r="M824" s="7" t="s">
        <v>289</v>
      </c>
      <c r="N824" s="7" t="s">
        <v>6989</v>
      </c>
      <c r="O824" s="7" t="s">
        <v>0</v>
      </c>
      <c r="P824" s="7" t="s">
        <v>289</v>
      </c>
      <c r="Q824" s="7" t="s">
        <v>6991</v>
      </c>
      <c r="R824" s="7" t="s">
        <v>338</v>
      </c>
      <c r="S824" s="7" t="s">
        <v>56</v>
      </c>
      <c r="T824" s="7" t="s">
        <v>54</v>
      </c>
      <c r="U824" s="7" t="s">
        <v>55</v>
      </c>
      <c r="V824" s="7" t="s">
        <v>864</v>
      </c>
      <c r="W824" s="7" t="s">
        <v>57</v>
      </c>
      <c r="X824" s="7" t="s">
        <v>58</v>
      </c>
      <c r="Y824" s="8">
        <v>45231</v>
      </c>
      <c r="Z824" s="8" t="s">
        <v>0</v>
      </c>
      <c r="AA824" s="7" t="s">
        <v>865</v>
      </c>
      <c r="AB824" s="7" t="s">
        <v>300</v>
      </c>
      <c r="AC824" s="7" t="s">
        <v>65</v>
      </c>
      <c r="AD824" s="7" t="s">
        <v>0</v>
      </c>
      <c r="AE824" s="7" t="s">
        <v>0</v>
      </c>
      <c r="AF824" s="7" t="s">
        <v>0</v>
      </c>
      <c r="AG824" s="7" t="s">
        <v>0</v>
      </c>
      <c r="AH824" s="9" t="s">
        <v>0</v>
      </c>
      <c r="AI824" s="9" t="s">
        <v>0</v>
      </c>
      <c r="AJ824" s="9" t="s">
        <v>0</v>
      </c>
      <c r="AK824" s="7" t="s">
        <v>61</v>
      </c>
      <c r="AL824" s="7" t="s">
        <v>61</v>
      </c>
      <c r="AM824" s="7" t="s">
        <v>0</v>
      </c>
      <c r="AN824" s="7" t="s">
        <v>0</v>
      </c>
      <c r="AO824" s="7" t="s">
        <v>0</v>
      </c>
      <c r="AP824" s="7" t="s">
        <v>0</v>
      </c>
      <c r="AQ824" s="7" t="s">
        <v>61</v>
      </c>
      <c r="AR824" s="7" t="s">
        <v>0</v>
      </c>
      <c r="AS824" s="10" t="str">
        <f>HYPERLINK("https://tessa.gazprom-neft.local/edo/card/093ccd2b-3472-4129-8405-2a9a6fa11d55", "https://tessa.gazprom-neft.local/edo/card/093ccd2b-3472-4129-8405-2a9a6fa11d55")</f>
        <v>https://tessa.gazprom-neft.local/edo/card/093ccd2b-3472-4129-8405-2a9a6fa11d55</v>
      </c>
    </row>
    <row r="825" spans="1:45" hidden="1" x14ac:dyDescent="0.25">
      <c r="A825" s="6" t="s">
        <v>44</v>
      </c>
      <c r="B825" s="7" t="s">
        <v>1240</v>
      </c>
      <c r="C825" s="7" t="s">
        <v>67</v>
      </c>
      <c r="D825" s="8">
        <v>45231</v>
      </c>
      <c r="E825" s="8" t="s">
        <v>0</v>
      </c>
      <c r="F825" s="16" t="s">
        <v>1241</v>
      </c>
      <c r="G825" s="7" t="s">
        <v>1242</v>
      </c>
      <c r="H825" s="7" t="s">
        <v>1237</v>
      </c>
      <c r="I825" s="7" t="s">
        <v>0</v>
      </c>
      <c r="J825" s="7" t="s">
        <v>355</v>
      </c>
      <c r="K825" s="7" t="s">
        <v>47</v>
      </c>
      <c r="L825" s="7" t="s">
        <v>239</v>
      </c>
      <c r="M825" s="7" t="s">
        <v>0</v>
      </c>
      <c r="N825" s="7" t="s">
        <v>7094</v>
      </c>
      <c r="O825" s="7" t="s">
        <v>0</v>
      </c>
      <c r="P825" s="7" t="s">
        <v>7095</v>
      </c>
      <c r="Q825" s="7" t="s">
        <v>7096</v>
      </c>
      <c r="R825" s="7" t="s">
        <v>393</v>
      </c>
      <c r="S825" s="7" t="s">
        <v>221</v>
      </c>
      <c r="T825" s="7" t="s">
        <v>54</v>
      </c>
      <c r="U825" s="7" t="s">
        <v>125</v>
      </c>
      <c r="V825" s="7" t="s">
        <v>126</v>
      </c>
      <c r="W825" s="7" t="s">
        <v>74</v>
      </c>
      <c r="X825" s="7" t="s">
        <v>58</v>
      </c>
      <c r="Y825" s="8">
        <v>45231</v>
      </c>
      <c r="Z825" s="8" t="s">
        <v>0</v>
      </c>
      <c r="AA825" s="7" t="s">
        <v>224</v>
      </c>
      <c r="AB825" s="7" t="s">
        <v>1243</v>
      </c>
      <c r="AC825" s="7" t="s">
        <v>79</v>
      </c>
      <c r="AD825" s="7" t="s">
        <v>144</v>
      </c>
      <c r="AE825" s="7" t="s">
        <v>82</v>
      </c>
      <c r="AF825" s="7" t="s">
        <v>0</v>
      </c>
      <c r="AG825" s="7" t="s">
        <v>0</v>
      </c>
      <c r="AH825" s="9" t="s">
        <v>13060</v>
      </c>
      <c r="AI825" s="9" t="s">
        <v>13061</v>
      </c>
      <c r="AJ825" s="9" t="s">
        <v>13062</v>
      </c>
      <c r="AK825" s="7" t="s">
        <v>61</v>
      </c>
      <c r="AL825" s="7" t="s">
        <v>61</v>
      </c>
      <c r="AM825" s="7" t="s">
        <v>0</v>
      </c>
      <c r="AN825" s="7" t="s">
        <v>0</v>
      </c>
      <c r="AO825" s="7" t="s">
        <v>0</v>
      </c>
      <c r="AP825" s="7" t="s">
        <v>0</v>
      </c>
      <c r="AQ825" s="7" t="s">
        <v>61</v>
      </c>
      <c r="AR825" s="7" t="s">
        <v>0</v>
      </c>
      <c r="AS825" s="10" t="str">
        <f>HYPERLINK("https://tessa.gazprom-neft.local/edo/card/5de6ee85-496f-468a-b7b0-e4c80a5d9901", "https://tessa.gazprom-neft.local/edo/card/5de6ee85-496f-468a-b7b0-e4c80a5d9901")</f>
        <v>https://tessa.gazprom-neft.local/edo/card/5de6ee85-496f-468a-b7b0-e4c80a5d9901</v>
      </c>
    </row>
    <row r="826" spans="1:45" hidden="1" x14ac:dyDescent="0.25">
      <c r="A826" s="6" t="s">
        <v>44</v>
      </c>
      <c r="B826" s="7" t="s">
        <v>1240</v>
      </c>
      <c r="C826" s="7" t="s">
        <v>67</v>
      </c>
      <c r="D826" s="8">
        <v>45231</v>
      </c>
      <c r="E826" s="8" t="s">
        <v>0</v>
      </c>
      <c r="F826" s="16" t="s">
        <v>1241</v>
      </c>
      <c r="G826" s="7" t="s">
        <v>1242</v>
      </c>
      <c r="H826" s="7" t="s">
        <v>3083</v>
      </c>
      <c r="I826" s="7" t="s">
        <v>0</v>
      </c>
      <c r="J826" s="7" t="s">
        <v>872</v>
      </c>
      <c r="K826" s="7" t="s">
        <v>47</v>
      </c>
      <c r="L826" s="7" t="s">
        <v>239</v>
      </c>
      <c r="M826" s="7" t="s">
        <v>0</v>
      </c>
      <c r="N826" s="7" t="s">
        <v>7106</v>
      </c>
      <c r="O826" s="7" t="s">
        <v>0</v>
      </c>
      <c r="P826" s="7" t="s">
        <v>7107</v>
      </c>
      <c r="Q826" s="7" t="s">
        <v>7108</v>
      </c>
      <c r="R826" s="7" t="s">
        <v>393</v>
      </c>
      <c r="S826" s="7" t="s">
        <v>0</v>
      </c>
      <c r="T826" s="7" t="s">
        <v>54</v>
      </c>
      <c r="U826" s="7" t="s">
        <v>125</v>
      </c>
      <c r="V826" s="7" t="s">
        <v>126</v>
      </c>
      <c r="W826" s="7" t="s">
        <v>74</v>
      </c>
      <c r="X826" s="7" t="s">
        <v>58</v>
      </c>
      <c r="Y826" s="8">
        <v>45240</v>
      </c>
      <c r="Z826" s="8" t="s">
        <v>0</v>
      </c>
      <c r="AA826" s="7" t="s">
        <v>224</v>
      </c>
      <c r="AB826" s="7" t="s">
        <v>1243</v>
      </c>
      <c r="AC826" s="7" t="s">
        <v>79</v>
      </c>
      <c r="AD826" s="7" t="s">
        <v>144</v>
      </c>
      <c r="AE826" s="7" t="s">
        <v>82</v>
      </c>
      <c r="AF826" s="7" t="s">
        <v>0</v>
      </c>
      <c r="AG826" s="7" t="s">
        <v>0</v>
      </c>
      <c r="AH826" s="9" t="s">
        <v>13065</v>
      </c>
      <c r="AI826" s="9" t="s">
        <v>13066</v>
      </c>
      <c r="AJ826" s="9" t="s">
        <v>13067</v>
      </c>
      <c r="AK826" s="7" t="s">
        <v>61</v>
      </c>
      <c r="AL826" s="7" t="s">
        <v>61</v>
      </c>
      <c r="AM826" s="7" t="s">
        <v>0</v>
      </c>
      <c r="AN826" s="7" t="s">
        <v>0</v>
      </c>
      <c r="AO826" s="7" t="s">
        <v>0</v>
      </c>
      <c r="AP826" s="7" t="s">
        <v>0</v>
      </c>
      <c r="AQ826" s="7" t="s">
        <v>61</v>
      </c>
      <c r="AR826" s="7" t="s">
        <v>0</v>
      </c>
      <c r="AS826" s="10" t="str">
        <f>HYPERLINK("https://tessa.gazprom-neft.local/edo/card/212aadec-a469-40d9-bbb7-9fb93ec83cd4", "https://tessa.gazprom-neft.local/edo/card/212aadec-a469-40d9-bbb7-9fb93ec83cd4")</f>
        <v>https://tessa.gazprom-neft.local/edo/card/212aadec-a469-40d9-bbb7-9fb93ec83cd4</v>
      </c>
    </row>
    <row r="827" spans="1:45" x14ac:dyDescent="0.25">
      <c r="A827" s="6" t="s">
        <v>44</v>
      </c>
      <c r="B827" s="7" t="s">
        <v>2495</v>
      </c>
      <c r="C827" s="7" t="s">
        <v>67</v>
      </c>
      <c r="D827" s="8">
        <v>45231</v>
      </c>
      <c r="E827" s="8" t="s">
        <v>0</v>
      </c>
      <c r="F827" s="16" t="s">
        <v>2496</v>
      </c>
      <c r="G827" s="7" t="s">
        <v>2497</v>
      </c>
      <c r="H827" s="7" t="s">
        <v>3129</v>
      </c>
      <c r="I827" s="7" t="s">
        <v>0</v>
      </c>
      <c r="J827" s="7" t="s">
        <v>355</v>
      </c>
      <c r="K827" s="7" t="s">
        <v>47</v>
      </c>
      <c r="L827" s="7" t="s">
        <v>48</v>
      </c>
      <c r="M827" s="7" t="s">
        <v>0</v>
      </c>
      <c r="N827" s="7" t="s">
        <v>7132</v>
      </c>
      <c r="O827" s="7" t="s">
        <v>0</v>
      </c>
      <c r="P827" s="7" t="s">
        <v>7133</v>
      </c>
      <c r="Q827" s="7" t="s">
        <v>7134</v>
      </c>
      <c r="R827" s="7" t="s">
        <v>393</v>
      </c>
      <c r="S827" s="7" t="s">
        <v>2859</v>
      </c>
      <c r="T827" s="7" t="s">
        <v>54</v>
      </c>
      <c r="U827" s="7" t="s">
        <v>125</v>
      </c>
      <c r="V827" s="7" t="s">
        <v>126</v>
      </c>
      <c r="W827" s="7" t="s">
        <v>57</v>
      </c>
      <c r="X827" s="7" t="s">
        <v>58</v>
      </c>
      <c r="Y827" s="8">
        <v>45231</v>
      </c>
      <c r="Z827" s="8" t="s">
        <v>0</v>
      </c>
      <c r="AA827" s="7" t="s">
        <v>224</v>
      </c>
      <c r="AB827" s="7" t="s">
        <v>130</v>
      </c>
      <c r="AC827" s="7" t="s">
        <v>65</v>
      </c>
      <c r="AD827" s="7" t="s">
        <v>80</v>
      </c>
      <c r="AE827" s="7" t="s">
        <v>0</v>
      </c>
      <c r="AF827" s="7" t="s">
        <v>0</v>
      </c>
      <c r="AG827" s="7" t="s">
        <v>0</v>
      </c>
      <c r="AH827" s="9" t="s">
        <v>0</v>
      </c>
      <c r="AI827" s="9" t="s">
        <v>0</v>
      </c>
      <c r="AJ827" s="9" t="s">
        <v>0</v>
      </c>
      <c r="AK827" s="7" t="s">
        <v>61</v>
      </c>
      <c r="AL827" s="7" t="s">
        <v>61</v>
      </c>
      <c r="AM827" s="7" t="s">
        <v>0</v>
      </c>
      <c r="AN827" s="7" t="s">
        <v>0</v>
      </c>
      <c r="AO827" s="7" t="s">
        <v>0</v>
      </c>
      <c r="AP827" s="7" t="s">
        <v>0</v>
      </c>
      <c r="AQ827" s="7" t="s">
        <v>61</v>
      </c>
      <c r="AR827" s="7" t="s">
        <v>0</v>
      </c>
      <c r="AS827" s="10" t="str">
        <f>HYPERLINK("https://tessa.gazprom-neft.local/edo/card/a3f6dc61-6201-4e5d-b78a-94fada89a6a4", "https://tessa.gazprom-neft.local/edo/card/a3f6dc61-6201-4e5d-b78a-94fada89a6a4")</f>
        <v>https://tessa.gazprom-neft.local/edo/card/a3f6dc61-6201-4e5d-b78a-94fada89a6a4</v>
      </c>
    </row>
    <row r="828" spans="1:45" x14ac:dyDescent="0.25">
      <c r="A828" s="6" t="s">
        <v>44</v>
      </c>
      <c r="B828" s="7" t="s">
        <v>606</v>
      </c>
      <c r="C828" s="7" t="s">
        <v>67</v>
      </c>
      <c r="D828" s="8">
        <v>45231</v>
      </c>
      <c r="E828" s="8" t="s">
        <v>0</v>
      </c>
      <c r="F828" s="16" t="s">
        <v>607</v>
      </c>
      <c r="G828" s="7" t="s">
        <v>608</v>
      </c>
      <c r="H828" s="7" t="s">
        <v>600</v>
      </c>
      <c r="I828" s="7" t="s">
        <v>0</v>
      </c>
      <c r="J828" s="7" t="s">
        <v>355</v>
      </c>
      <c r="K828" s="7" t="s">
        <v>85</v>
      </c>
      <c r="L828" s="7" t="s">
        <v>48</v>
      </c>
      <c r="M828" s="7" t="s">
        <v>1134</v>
      </c>
      <c r="N828" s="7" t="s">
        <v>7144</v>
      </c>
      <c r="O828" s="7" t="s">
        <v>0</v>
      </c>
      <c r="P828" s="7" t="s">
        <v>1134</v>
      </c>
      <c r="Q828" s="7" t="s">
        <v>6954</v>
      </c>
      <c r="R828" s="7" t="s">
        <v>604</v>
      </c>
      <c r="S828" s="7" t="s">
        <v>604</v>
      </c>
      <c r="T828" s="7" t="s">
        <v>54</v>
      </c>
      <c r="U828" s="7" t="s">
        <v>605</v>
      </c>
      <c r="V828" s="7" t="s">
        <v>126</v>
      </c>
      <c r="W828" s="7" t="s">
        <v>74</v>
      </c>
      <c r="X828" s="7" t="s">
        <v>103</v>
      </c>
      <c r="Y828" s="8">
        <v>45231</v>
      </c>
      <c r="Z828" s="8">
        <v>45657</v>
      </c>
      <c r="AA828" s="7" t="s">
        <v>224</v>
      </c>
      <c r="AB828" s="7" t="s">
        <v>64</v>
      </c>
      <c r="AC828" s="7" t="s">
        <v>65</v>
      </c>
      <c r="AD828" s="7" t="s">
        <v>0</v>
      </c>
      <c r="AE828" s="7" t="s">
        <v>0</v>
      </c>
      <c r="AF828" s="7" t="s">
        <v>0</v>
      </c>
      <c r="AG828" s="7" t="s">
        <v>0</v>
      </c>
      <c r="AH828" s="9" t="s">
        <v>0</v>
      </c>
      <c r="AI828" s="9" t="s">
        <v>0</v>
      </c>
      <c r="AJ828" s="9" t="s">
        <v>0</v>
      </c>
      <c r="AK828" s="7" t="s">
        <v>61</v>
      </c>
      <c r="AL828" s="7" t="s">
        <v>61</v>
      </c>
      <c r="AM828" s="7" t="s">
        <v>0</v>
      </c>
      <c r="AN828" s="7" t="s">
        <v>0</v>
      </c>
      <c r="AO828" s="7" t="s">
        <v>0</v>
      </c>
      <c r="AP828" s="7" t="s">
        <v>0</v>
      </c>
      <c r="AQ828" s="7" t="s">
        <v>61</v>
      </c>
      <c r="AR828" s="7" t="s">
        <v>0</v>
      </c>
      <c r="AS828" s="10" t="str">
        <f>HYPERLINK("https://tessa.gazprom-neft.local/edo/card/a6fb0bf7-c032-4374-8311-cf3f47973939", "https://tessa.gazprom-neft.local/edo/card/a6fb0bf7-c032-4374-8311-cf3f47973939")</f>
        <v>https://tessa.gazprom-neft.local/edo/card/a6fb0bf7-c032-4374-8311-cf3f47973939</v>
      </c>
    </row>
    <row r="829" spans="1:45" hidden="1" x14ac:dyDescent="0.25">
      <c r="A829" s="6" t="s">
        <v>44</v>
      </c>
      <c r="B829" s="7" t="s">
        <v>1240</v>
      </c>
      <c r="C829" s="7" t="s">
        <v>67</v>
      </c>
      <c r="D829" s="8">
        <v>45231</v>
      </c>
      <c r="E829" s="8" t="s">
        <v>0</v>
      </c>
      <c r="F829" s="16" t="s">
        <v>1241</v>
      </c>
      <c r="G829" s="7" t="s">
        <v>1242</v>
      </c>
      <c r="H829" s="7" t="s">
        <v>1237</v>
      </c>
      <c r="I829" s="7" t="s">
        <v>0</v>
      </c>
      <c r="J829" s="7" t="s">
        <v>872</v>
      </c>
      <c r="K829" s="7" t="s">
        <v>47</v>
      </c>
      <c r="L829" s="7" t="s">
        <v>239</v>
      </c>
      <c r="M829" s="7" t="s">
        <v>0</v>
      </c>
      <c r="N829" s="7" t="s">
        <v>7160</v>
      </c>
      <c r="O829" s="7" t="s">
        <v>0</v>
      </c>
      <c r="P829" s="7" t="s">
        <v>7161</v>
      </c>
      <c r="Q829" s="7" t="s">
        <v>7162</v>
      </c>
      <c r="R829" s="7" t="s">
        <v>393</v>
      </c>
      <c r="S829" s="7" t="s">
        <v>0</v>
      </c>
      <c r="T829" s="7" t="s">
        <v>54</v>
      </c>
      <c r="U829" s="7" t="s">
        <v>125</v>
      </c>
      <c r="V829" s="7" t="s">
        <v>126</v>
      </c>
      <c r="W829" s="7" t="s">
        <v>74</v>
      </c>
      <c r="X829" s="7" t="s">
        <v>58</v>
      </c>
      <c r="Y829" s="8">
        <v>45231</v>
      </c>
      <c r="Z829" s="8" t="s">
        <v>0</v>
      </c>
      <c r="AA829" s="7" t="s">
        <v>224</v>
      </c>
      <c r="AB829" s="7" t="s">
        <v>1243</v>
      </c>
      <c r="AC829" s="7" t="s">
        <v>79</v>
      </c>
      <c r="AD829" s="7" t="s">
        <v>144</v>
      </c>
      <c r="AE829" s="7" t="s">
        <v>82</v>
      </c>
      <c r="AF829" s="7" t="s">
        <v>0</v>
      </c>
      <c r="AG829" s="7" t="s">
        <v>0</v>
      </c>
      <c r="AH829" s="9" t="s">
        <v>13083</v>
      </c>
      <c r="AI829" s="9" t="s">
        <v>13084</v>
      </c>
      <c r="AJ829" s="9" t="s">
        <v>13085</v>
      </c>
      <c r="AK829" s="7" t="s">
        <v>61</v>
      </c>
      <c r="AL829" s="7" t="s">
        <v>61</v>
      </c>
      <c r="AM829" s="7" t="s">
        <v>0</v>
      </c>
      <c r="AN829" s="7" t="s">
        <v>0</v>
      </c>
      <c r="AO829" s="7" t="s">
        <v>0</v>
      </c>
      <c r="AP829" s="7" t="s">
        <v>0</v>
      </c>
      <c r="AQ829" s="7" t="s">
        <v>61</v>
      </c>
      <c r="AR829" s="7" t="s">
        <v>0</v>
      </c>
      <c r="AS829" s="10" t="str">
        <f>HYPERLINK("https://tessa.gazprom-neft.local/edo/card/5a5c8093-34cb-4498-bcca-e88c3d20e556", "https://tessa.gazprom-neft.local/edo/card/5a5c8093-34cb-4498-bcca-e88c3d20e556")</f>
        <v>https://tessa.gazprom-neft.local/edo/card/5a5c8093-34cb-4498-bcca-e88c3d20e556</v>
      </c>
    </row>
    <row r="830" spans="1:45" x14ac:dyDescent="0.25">
      <c r="A830" s="6" t="s">
        <v>44</v>
      </c>
      <c r="B830" s="7" t="s">
        <v>900</v>
      </c>
      <c r="C830" s="7" t="s">
        <v>67</v>
      </c>
      <c r="D830" s="8">
        <v>45231</v>
      </c>
      <c r="E830" s="8" t="s">
        <v>0</v>
      </c>
      <c r="F830" s="16" t="s">
        <v>901</v>
      </c>
      <c r="G830" s="7" t="s">
        <v>902</v>
      </c>
      <c r="H830" s="7" t="s">
        <v>894</v>
      </c>
      <c r="I830" s="7" t="s">
        <v>0</v>
      </c>
      <c r="J830" s="7" t="s">
        <v>70</v>
      </c>
      <c r="K830" s="7" t="s">
        <v>85</v>
      </c>
      <c r="L830" s="7" t="s">
        <v>48</v>
      </c>
      <c r="M830" s="7" t="s">
        <v>1134</v>
      </c>
      <c r="N830" s="7" t="s">
        <v>7225</v>
      </c>
      <c r="O830" s="7" t="s">
        <v>0</v>
      </c>
      <c r="P830" s="7" t="s">
        <v>1134</v>
      </c>
      <c r="Q830" s="7" t="s">
        <v>7226</v>
      </c>
      <c r="R830" s="7" t="s">
        <v>898</v>
      </c>
      <c r="S830" s="7" t="s">
        <v>898</v>
      </c>
      <c r="T830" s="7" t="s">
        <v>54</v>
      </c>
      <c r="U830" s="7" t="s">
        <v>899</v>
      </c>
      <c r="V830" s="7" t="s">
        <v>308</v>
      </c>
      <c r="W830" s="7" t="s">
        <v>74</v>
      </c>
      <c r="X830" s="7" t="s">
        <v>103</v>
      </c>
      <c r="Y830" s="8">
        <v>45231</v>
      </c>
      <c r="Z830" s="8">
        <v>45657</v>
      </c>
      <c r="AA830" s="7" t="s">
        <v>309</v>
      </c>
      <c r="AB830" s="7" t="s">
        <v>130</v>
      </c>
      <c r="AC830" s="7" t="s">
        <v>65</v>
      </c>
      <c r="AD830" s="7" t="s">
        <v>0</v>
      </c>
      <c r="AE830" s="7" t="s">
        <v>0</v>
      </c>
      <c r="AF830" s="7" t="s">
        <v>0</v>
      </c>
      <c r="AG830" s="7" t="s">
        <v>0</v>
      </c>
      <c r="AH830" s="9" t="s">
        <v>0</v>
      </c>
      <c r="AI830" s="9" t="s">
        <v>0</v>
      </c>
      <c r="AJ830" s="9" t="s">
        <v>0</v>
      </c>
      <c r="AK830" s="7" t="s">
        <v>61</v>
      </c>
      <c r="AL830" s="7" t="s">
        <v>61</v>
      </c>
      <c r="AM830" s="7" t="s">
        <v>0</v>
      </c>
      <c r="AN830" s="7" t="s">
        <v>0</v>
      </c>
      <c r="AO830" s="7" t="s">
        <v>0</v>
      </c>
      <c r="AP830" s="7" t="s">
        <v>0</v>
      </c>
      <c r="AQ830" s="7" t="s">
        <v>61</v>
      </c>
      <c r="AR830" s="7" t="s">
        <v>0</v>
      </c>
      <c r="AS830" s="10" t="str">
        <f>HYPERLINK("https://tessa.gazprom-neft.local/edo/card/04813ee6-e0de-4523-9d34-1bf2cfdb902e", "https://tessa.gazprom-neft.local/edo/card/04813ee6-e0de-4523-9d34-1bf2cfdb902e")</f>
        <v>https://tessa.gazprom-neft.local/edo/card/04813ee6-e0de-4523-9d34-1bf2cfdb902e</v>
      </c>
    </row>
    <row r="831" spans="1:45" hidden="1" x14ac:dyDescent="0.25">
      <c r="A831" s="6" t="s">
        <v>44</v>
      </c>
      <c r="B831" s="7" t="s">
        <v>4393</v>
      </c>
      <c r="C831" s="7" t="s">
        <v>67</v>
      </c>
      <c r="D831" s="8">
        <v>45231</v>
      </c>
      <c r="E831" s="8" t="s">
        <v>0</v>
      </c>
      <c r="F831" s="16" t="s">
        <v>4394</v>
      </c>
      <c r="G831" s="7" t="s">
        <v>4395</v>
      </c>
      <c r="H831" s="7" t="s">
        <v>0</v>
      </c>
      <c r="I831" s="7" t="s">
        <v>7269</v>
      </c>
      <c r="J831" s="7" t="s">
        <v>7269</v>
      </c>
      <c r="K831" s="7" t="s">
        <v>47</v>
      </c>
      <c r="L831" s="7" t="s">
        <v>96</v>
      </c>
      <c r="M831" s="7" t="s">
        <v>0</v>
      </c>
      <c r="N831" s="7" t="s">
        <v>7268</v>
      </c>
      <c r="O831" s="7" t="s">
        <v>0</v>
      </c>
      <c r="P831" s="7" t="s">
        <v>7270</v>
      </c>
      <c r="Q831" s="7" t="s">
        <v>7271</v>
      </c>
      <c r="R831" s="7" t="s">
        <v>646</v>
      </c>
      <c r="S831" s="7" t="s">
        <v>2788</v>
      </c>
      <c r="T831" s="7" t="s">
        <v>54</v>
      </c>
      <c r="U831" s="7" t="s">
        <v>55</v>
      </c>
      <c r="V831" s="7" t="s">
        <v>864</v>
      </c>
      <c r="W831" s="7" t="s">
        <v>57</v>
      </c>
      <c r="X831" s="7" t="s">
        <v>58</v>
      </c>
      <c r="Y831" s="8">
        <v>45231</v>
      </c>
      <c r="Z831" s="8" t="s">
        <v>0</v>
      </c>
      <c r="AA831" s="7" t="s">
        <v>865</v>
      </c>
      <c r="AB831" s="7" t="s">
        <v>1408</v>
      </c>
      <c r="AC831" s="7" t="s">
        <v>79</v>
      </c>
      <c r="AD831" s="7" t="s">
        <v>80</v>
      </c>
      <c r="AE831" s="7" t="s">
        <v>118</v>
      </c>
      <c r="AF831" s="7" t="s">
        <v>0</v>
      </c>
      <c r="AG831" s="7" t="s">
        <v>0</v>
      </c>
      <c r="AH831" s="9" t="s">
        <v>13124</v>
      </c>
      <c r="AI831" s="9" t="s">
        <v>13124</v>
      </c>
      <c r="AJ831" s="9">
        <v>0</v>
      </c>
      <c r="AK831" s="7" t="s">
        <v>61</v>
      </c>
      <c r="AL831" s="7" t="s">
        <v>61</v>
      </c>
      <c r="AM831" s="7" t="s">
        <v>0</v>
      </c>
      <c r="AN831" s="7" t="s">
        <v>0</v>
      </c>
      <c r="AO831" s="7" t="s">
        <v>0</v>
      </c>
      <c r="AP831" s="7" t="s">
        <v>0</v>
      </c>
      <c r="AQ831" s="7" t="s">
        <v>61</v>
      </c>
      <c r="AR831" s="7" t="s">
        <v>0</v>
      </c>
      <c r="AS831" s="10" t="str">
        <f>HYPERLINK("https://tessa.gazprom-neft.local/edo/card/ef8ce4bf-fa68-40b6-bf3e-3fbbef136ebf", "https://tessa.gazprom-neft.local/edo/card/ef8ce4bf-fa68-40b6-bf3e-3fbbef136ebf")</f>
        <v>https://tessa.gazprom-neft.local/edo/card/ef8ce4bf-fa68-40b6-bf3e-3fbbef136ebf</v>
      </c>
    </row>
    <row r="832" spans="1:45" hidden="1" x14ac:dyDescent="0.25">
      <c r="A832" s="6" t="s">
        <v>44</v>
      </c>
      <c r="B832" s="7" t="s">
        <v>673</v>
      </c>
      <c r="C832" s="7" t="s">
        <v>67</v>
      </c>
      <c r="D832" s="8">
        <v>45231</v>
      </c>
      <c r="E832" s="8" t="s">
        <v>0</v>
      </c>
      <c r="F832" s="16" t="s">
        <v>674</v>
      </c>
      <c r="G832" s="7" t="s">
        <v>675</v>
      </c>
      <c r="H832" s="7" t="s">
        <v>668</v>
      </c>
      <c r="I832" s="7" t="s">
        <v>0</v>
      </c>
      <c r="J832" s="7" t="s">
        <v>156</v>
      </c>
      <c r="K832" s="7" t="s">
        <v>47</v>
      </c>
      <c r="L832" s="7" t="s">
        <v>239</v>
      </c>
      <c r="M832" s="7" t="s">
        <v>0</v>
      </c>
      <c r="N832" s="7" t="s">
        <v>7294</v>
      </c>
      <c r="O832" s="7" t="s">
        <v>0</v>
      </c>
      <c r="P832" s="7" t="s">
        <v>7295</v>
      </c>
      <c r="Q832" s="7" t="s">
        <v>7296</v>
      </c>
      <c r="R832" s="7" t="s">
        <v>198</v>
      </c>
      <c r="S832" s="7" t="s">
        <v>198</v>
      </c>
      <c r="T832" s="7" t="s">
        <v>54</v>
      </c>
      <c r="U832" s="7" t="s">
        <v>199</v>
      </c>
      <c r="V832" s="7" t="s">
        <v>126</v>
      </c>
      <c r="W832" s="7" t="s">
        <v>74</v>
      </c>
      <c r="X832" s="7" t="s">
        <v>103</v>
      </c>
      <c r="Y832" s="8">
        <v>45231</v>
      </c>
      <c r="Z832" s="8">
        <v>45291</v>
      </c>
      <c r="AA832" s="7" t="s">
        <v>224</v>
      </c>
      <c r="AB832" s="7" t="s">
        <v>130</v>
      </c>
      <c r="AC832" s="7" t="s">
        <v>79</v>
      </c>
      <c r="AD832" s="7" t="s">
        <v>144</v>
      </c>
      <c r="AE832" s="7" t="s">
        <v>82</v>
      </c>
      <c r="AF832" s="7" t="s">
        <v>0</v>
      </c>
      <c r="AG832" s="7" t="s">
        <v>0</v>
      </c>
      <c r="AH832" s="9" t="s">
        <v>13132</v>
      </c>
      <c r="AI832" s="9" t="s">
        <v>13133</v>
      </c>
      <c r="AJ832" s="9" t="s">
        <v>13134</v>
      </c>
      <c r="AK832" s="7" t="s">
        <v>61</v>
      </c>
      <c r="AL832" s="7" t="s">
        <v>61</v>
      </c>
      <c r="AM832" s="7" t="s">
        <v>0</v>
      </c>
      <c r="AN832" s="7" t="s">
        <v>0</v>
      </c>
      <c r="AO832" s="7" t="s">
        <v>0</v>
      </c>
      <c r="AP832" s="7" t="s">
        <v>0</v>
      </c>
      <c r="AQ832" s="7" t="s">
        <v>61</v>
      </c>
      <c r="AR832" s="7" t="s">
        <v>0</v>
      </c>
      <c r="AS832" s="10" t="str">
        <f>HYPERLINK("https://tessa.gazprom-neft.local/edo/card/95feb1c2-fd3d-4829-94a5-44acb056d69a", "https://tessa.gazprom-neft.local/edo/card/95feb1c2-fd3d-4829-94a5-44acb056d69a")</f>
        <v>https://tessa.gazprom-neft.local/edo/card/95feb1c2-fd3d-4829-94a5-44acb056d69a</v>
      </c>
    </row>
    <row r="833" spans="1:45" x14ac:dyDescent="0.25">
      <c r="A833" s="6" t="s">
        <v>44</v>
      </c>
      <c r="B833" s="7" t="s">
        <v>1495</v>
      </c>
      <c r="C833" s="7" t="s">
        <v>67</v>
      </c>
      <c r="D833" s="8">
        <v>45230</v>
      </c>
      <c r="E833" s="8" t="s">
        <v>0</v>
      </c>
      <c r="F833" s="16" t="s">
        <v>1496</v>
      </c>
      <c r="G833" s="7" t="s">
        <v>1497</v>
      </c>
      <c r="H833" s="7" t="s">
        <v>0</v>
      </c>
      <c r="I833" s="7" t="s">
        <v>0</v>
      </c>
      <c r="J833" s="7" t="s">
        <v>1098</v>
      </c>
      <c r="K833" s="7" t="s">
        <v>85</v>
      </c>
      <c r="L833" s="7" t="s">
        <v>48</v>
      </c>
      <c r="M833" s="7" t="s">
        <v>2128</v>
      </c>
      <c r="N833" s="7" t="s">
        <v>7071</v>
      </c>
      <c r="O833" s="7" t="s">
        <v>0</v>
      </c>
      <c r="P833" s="7" t="s">
        <v>2128</v>
      </c>
      <c r="Q833" s="7" t="s">
        <v>7072</v>
      </c>
      <c r="R833" s="7" t="s">
        <v>505</v>
      </c>
      <c r="S833" s="7" t="s">
        <v>3144</v>
      </c>
      <c r="T833" s="7" t="s">
        <v>54</v>
      </c>
      <c r="U833" s="7" t="s">
        <v>210</v>
      </c>
      <c r="V833" s="7" t="s">
        <v>126</v>
      </c>
      <c r="W833" s="7" t="s">
        <v>74</v>
      </c>
      <c r="X833" s="7" t="s">
        <v>58</v>
      </c>
      <c r="Y833" s="8">
        <v>45230</v>
      </c>
      <c r="Z833" s="8" t="s">
        <v>0</v>
      </c>
      <c r="AA833" s="7" t="s">
        <v>224</v>
      </c>
      <c r="AB833" s="7" t="s">
        <v>130</v>
      </c>
      <c r="AC833" s="7" t="s">
        <v>65</v>
      </c>
      <c r="AD833" s="7" t="s">
        <v>0</v>
      </c>
      <c r="AE833" s="7" t="s">
        <v>0</v>
      </c>
      <c r="AF833" s="7" t="s">
        <v>0</v>
      </c>
      <c r="AG833" s="7" t="s">
        <v>0</v>
      </c>
      <c r="AH833" s="9" t="s">
        <v>0</v>
      </c>
      <c r="AI833" s="9" t="s">
        <v>0</v>
      </c>
      <c r="AJ833" s="9" t="s">
        <v>0</v>
      </c>
      <c r="AK833" s="7" t="s">
        <v>61</v>
      </c>
      <c r="AL833" s="7" t="s">
        <v>61</v>
      </c>
      <c r="AM833" s="7" t="s">
        <v>0</v>
      </c>
      <c r="AN833" s="7" t="s">
        <v>0</v>
      </c>
      <c r="AO833" s="7" t="s">
        <v>0</v>
      </c>
      <c r="AP833" s="7" t="s">
        <v>0</v>
      </c>
      <c r="AQ833" s="7" t="s">
        <v>61</v>
      </c>
      <c r="AR833" s="7" t="s">
        <v>0</v>
      </c>
      <c r="AS833" s="10" t="str">
        <f>HYPERLINK("https://tessa.gazprom-neft.local/edo/card/92c2e20b-e2c7-4a11-a162-c6e06498f63b", "https://tessa.gazprom-neft.local/edo/card/92c2e20b-e2c7-4a11-a162-c6e06498f63b")</f>
        <v>https://tessa.gazprom-neft.local/edo/card/92c2e20b-e2c7-4a11-a162-c6e06498f63b</v>
      </c>
    </row>
    <row r="834" spans="1:45" x14ac:dyDescent="0.25">
      <c r="A834" s="6" t="s">
        <v>44</v>
      </c>
      <c r="B834" s="7" t="s">
        <v>1623</v>
      </c>
      <c r="C834" s="7" t="s">
        <v>67</v>
      </c>
      <c r="D834" s="8">
        <v>45230</v>
      </c>
      <c r="E834" s="8" t="s">
        <v>0</v>
      </c>
      <c r="F834" s="16" t="s">
        <v>1624</v>
      </c>
      <c r="G834" s="7" t="s">
        <v>1625</v>
      </c>
      <c r="H834" s="7" t="s">
        <v>1621</v>
      </c>
      <c r="I834" s="7" t="s">
        <v>0</v>
      </c>
      <c r="J834" s="7" t="s">
        <v>51</v>
      </c>
      <c r="K834" s="7" t="s">
        <v>47</v>
      </c>
      <c r="L834" s="7" t="s">
        <v>48</v>
      </c>
      <c r="M834" s="7" t="s">
        <v>0</v>
      </c>
      <c r="N834" s="7" t="s">
        <v>7240</v>
      </c>
      <c r="O834" s="7" t="s">
        <v>0</v>
      </c>
      <c r="P834" s="7" t="s">
        <v>7241</v>
      </c>
      <c r="Q834" s="7" t="s">
        <v>7242</v>
      </c>
      <c r="R834" s="7" t="s">
        <v>646</v>
      </c>
      <c r="S834" s="7" t="s">
        <v>422</v>
      </c>
      <c r="T834" s="7" t="s">
        <v>54</v>
      </c>
      <c r="U834" s="7" t="s">
        <v>55</v>
      </c>
      <c r="V834" s="7" t="s">
        <v>56</v>
      </c>
      <c r="W834" s="7" t="s">
        <v>74</v>
      </c>
      <c r="X834" s="7" t="s">
        <v>58</v>
      </c>
      <c r="Y834" s="8">
        <v>45230</v>
      </c>
      <c r="Z834" s="8" t="s">
        <v>0</v>
      </c>
      <c r="AA834" s="7" t="s">
        <v>0</v>
      </c>
      <c r="AB834" s="7" t="s">
        <v>256</v>
      </c>
      <c r="AC834" s="7" t="s">
        <v>65</v>
      </c>
      <c r="AD834" s="7" t="s">
        <v>144</v>
      </c>
      <c r="AE834" s="7" t="s">
        <v>0</v>
      </c>
      <c r="AF834" s="7" t="s">
        <v>0</v>
      </c>
      <c r="AG834" s="7" t="s">
        <v>0</v>
      </c>
      <c r="AH834" s="9" t="s">
        <v>0</v>
      </c>
      <c r="AI834" s="9" t="s">
        <v>0</v>
      </c>
      <c r="AJ834" s="9" t="s">
        <v>0</v>
      </c>
      <c r="AK834" s="7" t="s">
        <v>61</v>
      </c>
      <c r="AL834" s="7" t="s">
        <v>61</v>
      </c>
      <c r="AM834" s="7" t="s">
        <v>0</v>
      </c>
      <c r="AN834" s="7" t="s">
        <v>0</v>
      </c>
      <c r="AO834" s="7" t="s">
        <v>0</v>
      </c>
      <c r="AP834" s="7" t="s">
        <v>0</v>
      </c>
      <c r="AQ834" s="7" t="s">
        <v>61</v>
      </c>
      <c r="AR834" s="7" t="s">
        <v>0</v>
      </c>
      <c r="AS834" s="10" t="str">
        <f>HYPERLINK("https://tessa.gazprom-neft.local/edo/card/aca1c1af-e5cc-418e-8684-7de380cfd6e9", "https://tessa.gazprom-neft.local/edo/card/aca1c1af-e5cc-418e-8684-7de380cfd6e9")</f>
        <v>https://tessa.gazprom-neft.local/edo/card/aca1c1af-e5cc-418e-8684-7de380cfd6e9</v>
      </c>
    </row>
    <row r="835" spans="1:45" x14ac:dyDescent="0.25">
      <c r="A835" s="6" t="s">
        <v>44</v>
      </c>
      <c r="B835" s="7" t="s">
        <v>2448</v>
      </c>
      <c r="C835" s="7" t="s">
        <v>67</v>
      </c>
      <c r="D835" s="8">
        <v>45230</v>
      </c>
      <c r="E835" s="8" t="s">
        <v>0</v>
      </c>
      <c r="F835" s="16" t="s">
        <v>2449</v>
      </c>
      <c r="G835" s="7" t="s">
        <v>2450</v>
      </c>
      <c r="H835" s="7" t="s">
        <v>2445</v>
      </c>
      <c r="I835" s="7" t="s">
        <v>0</v>
      </c>
      <c r="J835" s="7" t="s">
        <v>355</v>
      </c>
      <c r="K835" s="7" t="s">
        <v>47</v>
      </c>
      <c r="L835" s="7" t="s">
        <v>48</v>
      </c>
      <c r="M835" s="7" t="s">
        <v>0</v>
      </c>
      <c r="N835" s="7" t="s">
        <v>7256</v>
      </c>
      <c r="O835" s="7" t="s">
        <v>0</v>
      </c>
      <c r="P835" s="7" t="s">
        <v>7257</v>
      </c>
      <c r="Q835" s="7" t="s">
        <v>7258</v>
      </c>
      <c r="R835" s="7" t="s">
        <v>110</v>
      </c>
      <c r="S835" s="7" t="s">
        <v>907</v>
      </c>
      <c r="T835" s="7" t="s">
        <v>54</v>
      </c>
      <c r="U835" s="7" t="s">
        <v>111</v>
      </c>
      <c r="V835" s="7" t="s">
        <v>112</v>
      </c>
      <c r="W835" s="7" t="s">
        <v>57</v>
      </c>
      <c r="X835" s="7" t="s">
        <v>103</v>
      </c>
      <c r="Y835" s="8">
        <v>45230</v>
      </c>
      <c r="Z835" s="8">
        <v>45291</v>
      </c>
      <c r="AA835" s="7" t="s">
        <v>113</v>
      </c>
      <c r="AB835" s="7" t="s">
        <v>64</v>
      </c>
      <c r="AC835" s="7" t="s">
        <v>79</v>
      </c>
      <c r="AD835" s="7" t="s">
        <v>80</v>
      </c>
      <c r="AE835" s="7" t="s">
        <v>118</v>
      </c>
      <c r="AF835" s="7" t="s">
        <v>0</v>
      </c>
      <c r="AG835" s="7" t="s">
        <v>0</v>
      </c>
      <c r="AH835" s="9" t="s">
        <v>13120</v>
      </c>
      <c r="AI835" s="9" t="s">
        <v>13120</v>
      </c>
      <c r="AJ835" s="9">
        <v>0</v>
      </c>
      <c r="AK835" s="7" t="s">
        <v>61</v>
      </c>
      <c r="AL835" s="7" t="s">
        <v>61</v>
      </c>
      <c r="AM835" s="7" t="s">
        <v>0</v>
      </c>
      <c r="AN835" s="7" t="s">
        <v>0</v>
      </c>
      <c r="AO835" s="7" t="s">
        <v>0</v>
      </c>
      <c r="AP835" s="7" t="s">
        <v>0</v>
      </c>
      <c r="AQ835" s="7" t="s">
        <v>61</v>
      </c>
      <c r="AR835" s="7" t="s">
        <v>0</v>
      </c>
      <c r="AS835" s="10" t="str">
        <f>HYPERLINK("https://tessa.gazprom-neft.local/edo/card/c4033b9c-2aa1-4e2d-b858-e3345d0a9fbd", "https://tessa.gazprom-neft.local/edo/card/c4033b9c-2aa1-4e2d-b858-e3345d0a9fbd")</f>
        <v>https://tessa.gazprom-neft.local/edo/card/c4033b9c-2aa1-4e2d-b858-e3345d0a9fbd</v>
      </c>
    </row>
    <row r="836" spans="1:45" hidden="1" x14ac:dyDescent="0.25">
      <c r="A836" s="6" t="s">
        <v>44</v>
      </c>
      <c r="B836" s="7" t="s">
        <v>6779</v>
      </c>
      <c r="C836" s="7" t="s">
        <v>67</v>
      </c>
      <c r="D836" s="8">
        <v>45229</v>
      </c>
      <c r="E836" s="8" t="s">
        <v>0</v>
      </c>
      <c r="F836" s="16" t="s">
        <v>3580</v>
      </c>
      <c r="G836" s="7" t="s">
        <v>6780</v>
      </c>
      <c r="H836" s="7" t="s">
        <v>0</v>
      </c>
      <c r="I836" s="7" t="s">
        <v>6776</v>
      </c>
      <c r="J836" s="7" t="s">
        <v>6776</v>
      </c>
      <c r="K836" s="7" t="s">
        <v>47</v>
      </c>
      <c r="L836" s="7" t="s">
        <v>96</v>
      </c>
      <c r="M836" s="7" t="s">
        <v>0</v>
      </c>
      <c r="N836" s="7" t="s">
        <v>6775</v>
      </c>
      <c r="O836" s="7" t="s">
        <v>0</v>
      </c>
      <c r="P836" s="7" t="s">
        <v>6777</v>
      </c>
      <c r="Q836" s="7" t="s">
        <v>6778</v>
      </c>
      <c r="R836" s="7" t="s">
        <v>484</v>
      </c>
      <c r="S836" s="7" t="s">
        <v>484</v>
      </c>
      <c r="T836" s="7" t="s">
        <v>54</v>
      </c>
      <c r="U836" s="7" t="s">
        <v>274</v>
      </c>
      <c r="V836" s="7" t="s">
        <v>137</v>
      </c>
      <c r="W836" s="7" t="s">
        <v>57</v>
      </c>
      <c r="X836" s="7" t="s">
        <v>103</v>
      </c>
      <c r="Y836" s="8">
        <v>45595</v>
      </c>
      <c r="Z836" s="8">
        <v>45291</v>
      </c>
      <c r="AA836" s="7" t="s">
        <v>0</v>
      </c>
      <c r="AB836" s="7" t="s">
        <v>64</v>
      </c>
      <c r="AC836" s="7" t="s">
        <v>278</v>
      </c>
      <c r="AD836" s="7" t="s">
        <v>144</v>
      </c>
      <c r="AE836" s="7" t="s">
        <v>82</v>
      </c>
      <c r="AF836" s="7" t="s">
        <v>0</v>
      </c>
      <c r="AG836" s="7" t="s">
        <v>0</v>
      </c>
      <c r="AH836" s="9" t="s">
        <v>12943</v>
      </c>
      <c r="AI836" s="9" t="s">
        <v>12944</v>
      </c>
      <c r="AJ836" s="9" t="s">
        <v>12945</v>
      </c>
      <c r="AK836" s="7" t="s">
        <v>61</v>
      </c>
      <c r="AL836" s="7" t="s">
        <v>61</v>
      </c>
      <c r="AM836" s="7" t="s">
        <v>0</v>
      </c>
      <c r="AN836" s="7" t="s">
        <v>0</v>
      </c>
      <c r="AO836" s="7" t="s">
        <v>0</v>
      </c>
      <c r="AP836" s="7" t="s">
        <v>0</v>
      </c>
      <c r="AQ836" s="7" t="s">
        <v>61</v>
      </c>
      <c r="AR836" s="7" t="s">
        <v>0</v>
      </c>
      <c r="AS836" s="10" t="str">
        <f>HYPERLINK("https://tessa.gazprom-neft.local/edo/card/1465d1ce-4a23-4219-902e-967c0cfb712e", "https://tessa.gazprom-neft.local/edo/card/1465d1ce-4a23-4219-902e-967c0cfb712e")</f>
        <v>https://tessa.gazprom-neft.local/edo/card/1465d1ce-4a23-4219-902e-967c0cfb712e</v>
      </c>
    </row>
    <row r="837" spans="1:45" x14ac:dyDescent="0.25">
      <c r="A837" s="6" t="s">
        <v>44</v>
      </c>
      <c r="B837" s="7" t="s">
        <v>885</v>
      </c>
      <c r="C837" s="7" t="s">
        <v>67</v>
      </c>
      <c r="D837" s="8">
        <v>45229</v>
      </c>
      <c r="E837" s="8" t="s">
        <v>0</v>
      </c>
      <c r="F837" s="16" t="s">
        <v>886</v>
      </c>
      <c r="G837" s="7" t="s">
        <v>887</v>
      </c>
      <c r="H837" s="7" t="s">
        <v>2084</v>
      </c>
      <c r="I837" s="7" t="s">
        <v>0</v>
      </c>
      <c r="J837" s="7" t="s">
        <v>70</v>
      </c>
      <c r="K837" s="7" t="s">
        <v>85</v>
      </c>
      <c r="L837" s="7" t="s">
        <v>48</v>
      </c>
      <c r="M837" s="7" t="s">
        <v>1134</v>
      </c>
      <c r="N837" s="7" t="s">
        <v>6952</v>
      </c>
      <c r="O837" s="7" t="s">
        <v>0</v>
      </c>
      <c r="P837" s="7" t="s">
        <v>6953</v>
      </c>
      <c r="Q837" s="7" t="s">
        <v>6954</v>
      </c>
      <c r="R837" s="7" t="s">
        <v>604</v>
      </c>
      <c r="S837" s="7" t="s">
        <v>0</v>
      </c>
      <c r="T837" s="7" t="s">
        <v>54</v>
      </c>
      <c r="U837" s="7" t="s">
        <v>605</v>
      </c>
      <c r="V837" s="7" t="s">
        <v>126</v>
      </c>
      <c r="W837" s="7" t="s">
        <v>74</v>
      </c>
      <c r="X837" s="7" t="s">
        <v>103</v>
      </c>
      <c r="Y837" s="8">
        <v>45229</v>
      </c>
      <c r="Z837" s="8">
        <v>45657</v>
      </c>
      <c r="AA837" s="7" t="s">
        <v>224</v>
      </c>
      <c r="AB837" s="7" t="s">
        <v>64</v>
      </c>
      <c r="AC837" s="7" t="s">
        <v>65</v>
      </c>
      <c r="AD837" s="7" t="s">
        <v>0</v>
      </c>
      <c r="AE837" s="7" t="s">
        <v>0</v>
      </c>
      <c r="AF837" s="7" t="s">
        <v>0</v>
      </c>
      <c r="AG837" s="7" t="s">
        <v>0</v>
      </c>
      <c r="AH837" s="9" t="s">
        <v>0</v>
      </c>
      <c r="AI837" s="9" t="s">
        <v>0</v>
      </c>
      <c r="AJ837" s="9" t="s">
        <v>0</v>
      </c>
      <c r="AK837" s="7" t="s">
        <v>61</v>
      </c>
      <c r="AL837" s="7" t="s">
        <v>61</v>
      </c>
      <c r="AM837" s="7" t="s">
        <v>0</v>
      </c>
      <c r="AN837" s="7" t="s">
        <v>0</v>
      </c>
      <c r="AO837" s="7" t="s">
        <v>0</v>
      </c>
      <c r="AP837" s="7" t="s">
        <v>0</v>
      </c>
      <c r="AQ837" s="7" t="s">
        <v>61</v>
      </c>
      <c r="AR837" s="7" t="s">
        <v>0</v>
      </c>
      <c r="AS837" s="10" t="str">
        <f>HYPERLINK("https://tessa.gazprom-neft.local/edo/card/0e6b1408-ae3d-45d6-84dc-3307f6cca632", "https://tessa.gazprom-neft.local/edo/card/0e6b1408-ae3d-45d6-84dc-3307f6cca632")</f>
        <v>https://tessa.gazprom-neft.local/edo/card/0e6b1408-ae3d-45d6-84dc-3307f6cca632</v>
      </c>
    </row>
    <row r="838" spans="1:45" x14ac:dyDescent="0.25">
      <c r="A838" s="6" t="s">
        <v>44</v>
      </c>
      <c r="B838" s="7" t="s">
        <v>2132</v>
      </c>
      <c r="C838" s="7" t="s">
        <v>67</v>
      </c>
      <c r="D838" s="8">
        <v>45229</v>
      </c>
      <c r="E838" s="8" t="s">
        <v>0</v>
      </c>
      <c r="F838" s="16" t="s">
        <v>2133</v>
      </c>
      <c r="G838" s="7" t="s">
        <v>739</v>
      </c>
      <c r="H838" s="7" t="s">
        <v>2130</v>
      </c>
      <c r="I838" s="7" t="s">
        <v>0</v>
      </c>
      <c r="J838" s="7" t="s">
        <v>872</v>
      </c>
      <c r="K838" s="7" t="s">
        <v>47</v>
      </c>
      <c r="L838" s="7" t="s">
        <v>48</v>
      </c>
      <c r="M838" s="7" t="s">
        <v>0</v>
      </c>
      <c r="N838" s="7" t="s">
        <v>7028</v>
      </c>
      <c r="O838" s="7" t="s">
        <v>0</v>
      </c>
      <c r="P838" s="7" t="s">
        <v>7029</v>
      </c>
      <c r="Q838" s="7" t="s">
        <v>6247</v>
      </c>
      <c r="R838" s="7" t="s">
        <v>1774</v>
      </c>
      <c r="S838" s="7" t="s">
        <v>1774</v>
      </c>
      <c r="T838" s="7" t="s">
        <v>54</v>
      </c>
      <c r="U838" s="7" t="s">
        <v>307</v>
      </c>
      <c r="V838" s="7" t="s">
        <v>126</v>
      </c>
      <c r="W838" s="7" t="s">
        <v>57</v>
      </c>
      <c r="X838" s="7" t="s">
        <v>103</v>
      </c>
      <c r="Y838" s="8">
        <v>45229</v>
      </c>
      <c r="Z838" s="8">
        <v>45657</v>
      </c>
      <c r="AA838" s="7" t="s">
        <v>224</v>
      </c>
      <c r="AB838" s="7" t="s">
        <v>130</v>
      </c>
      <c r="AC838" s="7" t="s">
        <v>79</v>
      </c>
      <c r="AD838" s="7" t="s">
        <v>514</v>
      </c>
      <c r="AE838" s="7" t="s">
        <v>82</v>
      </c>
      <c r="AF838" s="7" t="s">
        <v>0</v>
      </c>
      <c r="AG838" s="7" t="s">
        <v>0</v>
      </c>
      <c r="AH838" s="9" t="s">
        <v>13037</v>
      </c>
      <c r="AI838" s="9" t="s">
        <v>13038</v>
      </c>
      <c r="AJ838" s="9" t="s">
        <v>13039</v>
      </c>
      <c r="AK838" s="7" t="s">
        <v>61</v>
      </c>
      <c r="AL838" s="7" t="s">
        <v>61</v>
      </c>
      <c r="AM838" s="7" t="s">
        <v>0</v>
      </c>
      <c r="AN838" s="7" t="s">
        <v>0</v>
      </c>
      <c r="AO838" s="7" t="s">
        <v>0</v>
      </c>
      <c r="AP838" s="7" t="s">
        <v>0</v>
      </c>
      <c r="AQ838" s="7" t="s">
        <v>61</v>
      </c>
      <c r="AR838" s="7" t="s">
        <v>0</v>
      </c>
      <c r="AS838" s="10" t="str">
        <f>HYPERLINK("https://tessa.gazprom-neft.local/edo/card/b4cbd8cd-e5b0-4ab6-8e6c-25e290842e0b", "https://tessa.gazprom-neft.local/edo/card/b4cbd8cd-e5b0-4ab6-8e6c-25e290842e0b")</f>
        <v>https://tessa.gazprom-neft.local/edo/card/b4cbd8cd-e5b0-4ab6-8e6c-25e290842e0b</v>
      </c>
    </row>
    <row r="839" spans="1:45" hidden="1" x14ac:dyDescent="0.25">
      <c r="A839" s="6" t="s">
        <v>44</v>
      </c>
      <c r="B839" s="7" t="s">
        <v>715</v>
      </c>
      <c r="C839" s="7" t="s">
        <v>67</v>
      </c>
      <c r="D839" s="8">
        <v>45228</v>
      </c>
      <c r="E839" s="8" t="s">
        <v>0</v>
      </c>
      <c r="F839" s="16" t="s">
        <v>716</v>
      </c>
      <c r="G839" s="7" t="s">
        <v>717</v>
      </c>
      <c r="H839" s="7" t="s">
        <v>710</v>
      </c>
      <c r="I839" s="7" t="s">
        <v>0</v>
      </c>
      <c r="J839" s="7" t="s">
        <v>872</v>
      </c>
      <c r="K839" s="7" t="s">
        <v>47</v>
      </c>
      <c r="L839" s="7" t="s">
        <v>709</v>
      </c>
      <c r="M839" s="7" t="s">
        <v>0</v>
      </c>
      <c r="N839" s="7" t="s">
        <v>6916</v>
      </c>
      <c r="O839" s="7" t="s">
        <v>0</v>
      </c>
      <c r="P839" s="7" t="s">
        <v>6917</v>
      </c>
      <c r="Q839" s="7" t="s">
        <v>6918</v>
      </c>
      <c r="R839" s="7" t="s">
        <v>714</v>
      </c>
      <c r="S839" s="7" t="s">
        <v>714</v>
      </c>
      <c r="T839" s="7" t="s">
        <v>54</v>
      </c>
      <c r="U839" s="7" t="s">
        <v>101</v>
      </c>
      <c r="V839" s="7" t="s">
        <v>308</v>
      </c>
      <c r="W839" s="7" t="s">
        <v>74</v>
      </c>
      <c r="X839" s="7" t="s">
        <v>103</v>
      </c>
      <c r="Y839" s="8">
        <v>45228</v>
      </c>
      <c r="Z839" s="8">
        <v>45270</v>
      </c>
      <c r="AA839" s="7" t="s">
        <v>309</v>
      </c>
      <c r="AB839" s="7" t="s">
        <v>64</v>
      </c>
      <c r="AC839" s="7" t="s">
        <v>79</v>
      </c>
      <c r="AD839" s="7" t="s">
        <v>144</v>
      </c>
      <c r="AE839" s="7" t="s">
        <v>82</v>
      </c>
      <c r="AF839" s="7" t="s">
        <v>0</v>
      </c>
      <c r="AG839" s="7" t="s">
        <v>0</v>
      </c>
      <c r="AH839" s="9" t="s">
        <v>13001</v>
      </c>
      <c r="AI839" s="9" t="s">
        <v>13002</v>
      </c>
      <c r="AJ839" s="9" t="s">
        <v>13003</v>
      </c>
      <c r="AK839" s="7" t="s">
        <v>61</v>
      </c>
      <c r="AL839" s="7" t="s">
        <v>61</v>
      </c>
      <c r="AM839" s="7" t="s">
        <v>0</v>
      </c>
      <c r="AN839" s="7" t="s">
        <v>0</v>
      </c>
      <c r="AO839" s="7" t="s">
        <v>0</v>
      </c>
      <c r="AP839" s="7" t="s">
        <v>0</v>
      </c>
      <c r="AQ839" s="7" t="s">
        <v>61</v>
      </c>
      <c r="AR839" s="7" t="s">
        <v>0</v>
      </c>
      <c r="AS839" s="10" t="str">
        <f>HYPERLINK("https://tessa.gazprom-neft.local/edo/card/b5bca3a9-c383-4578-81f5-5edd62708ca7", "https://tessa.gazprom-neft.local/edo/card/b5bca3a9-c383-4578-81f5-5edd62708ca7")</f>
        <v>https://tessa.gazprom-neft.local/edo/card/b5bca3a9-c383-4578-81f5-5edd62708ca7</v>
      </c>
    </row>
    <row r="840" spans="1:45" hidden="1" x14ac:dyDescent="0.25">
      <c r="A840" s="6" t="s">
        <v>44</v>
      </c>
      <c r="B840" s="7" t="s">
        <v>1712</v>
      </c>
      <c r="C840" s="7" t="s">
        <v>67</v>
      </c>
      <c r="D840" s="8">
        <v>45224</v>
      </c>
      <c r="E840" s="8" t="s">
        <v>0</v>
      </c>
      <c r="F840" s="16" t="s">
        <v>1713</v>
      </c>
      <c r="G840" s="7" t="s">
        <v>1714</v>
      </c>
      <c r="H840" s="7" t="s">
        <v>1707</v>
      </c>
      <c r="I840" s="7" t="s">
        <v>0</v>
      </c>
      <c r="J840" s="7" t="s">
        <v>70</v>
      </c>
      <c r="K840" s="7" t="s">
        <v>47</v>
      </c>
      <c r="L840" s="7" t="s">
        <v>239</v>
      </c>
      <c r="M840" s="7" t="s">
        <v>0</v>
      </c>
      <c r="N840" s="7" t="s">
        <v>6823</v>
      </c>
      <c r="O840" s="7" t="s">
        <v>0</v>
      </c>
      <c r="P840" s="7" t="s">
        <v>6824</v>
      </c>
      <c r="Q840" s="7" t="s">
        <v>1710</v>
      </c>
      <c r="R840" s="7" t="s">
        <v>1711</v>
      </c>
      <c r="S840" s="7" t="s">
        <v>0</v>
      </c>
      <c r="T840" s="7" t="s">
        <v>54</v>
      </c>
      <c r="U840" s="7" t="s">
        <v>605</v>
      </c>
      <c r="V840" s="7" t="s">
        <v>126</v>
      </c>
      <c r="W840" s="7" t="s">
        <v>74</v>
      </c>
      <c r="X840" s="7" t="s">
        <v>103</v>
      </c>
      <c r="Y840" s="8">
        <v>45224</v>
      </c>
      <c r="Z840" s="8">
        <v>45289</v>
      </c>
      <c r="AA840" s="7" t="s">
        <v>224</v>
      </c>
      <c r="AB840" s="7" t="s">
        <v>130</v>
      </c>
      <c r="AC840" s="7" t="s">
        <v>79</v>
      </c>
      <c r="AD840" s="7" t="s">
        <v>144</v>
      </c>
      <c r="AE840" s="7" t="s">
        <v>118</v>
      </c>
      <c r="AF840" s="7" t="s">
        <v>0</v>
      </c>
      <c r="AG840" s="7" t="s">
        <v>0</v>
      </c>
      <c r="AH840" s="9" t="s">
        <v>12961</v>
      </c>
      <c r="AI840" s="9" t="s">
        <v>12961</v>
      </c>
      <c r="AJ840" s="9">
        <v>0</v>
      </c>
      <c r="AK840" s="7" t="s">
        <v>61</v>
      </c>
      <c r="AL840" s="7" t="s">
        <v>61</v>
      </c>
      <c r="AM840" s="7" t="s">
        <v>0</v>
      </c>
      <c r="AN840" s="7" t="s">
        <v>0</v>
      </c>
      <c r="AO840" s="7" t="s">
        <v>0</v>
      </c>
      <c r="AP840" s="7" t="s">
        <v>0</v>
      </c>
      <c r="AQ840" s="7" t="s">
        <v>61</v>
      </c>
      <c r="AR840" s="7" t="s">
        <v>0</v>
      </c>
      <c r="AS840" s="10" t="str">
        <f>HYPERLINK("https://tessa.gazprom-neft.local/edo/card/5c419d2b-ba8f-49e6-9ece-2ef7b1d4bc95", "https://tessa.gazprom-neft.local/edo/card/5c419d2b-ba8f-49e6-9ece-2ef7b1d4bc95")</f>
        <v>https://tessa.gazprom-neft.local/edo/card/5c419d2b-ba8f-49e6-9ece-2ef7b1d4bc95</v>
      </c>
    </row>
    <row r="841" spans="1:45" hidden="1" x14ac:dyDescent="0.25">
      <c r="A841" s="6" t="s">
        <v>44</v>
      </c>
      <c r="B841" s="7" t="s">
        <v>6789</v>
      </c>
      <c r="C841" s="7" t="s">
        <v>67</v>
      </c>
      <c r="D841" s="8">
        <v>45223</v>
      </c>
      <c r="E841" s="8" t="s">
        <v>0</v>
      </c>
      <c r="F841" s="16" t="s">
        <v>6790</v>
      </c>
      <c r="G841" s="7" t="s">
        <v>6791</v>
      </c>
      <c r="H841" s="7" t="s">
        <v>0</v>
      </c>
      <c r="I841" s="7" t="s">
        <v>6786</v>
      </c>
      <c r="J841" s="7" t="s">
        <v>6786</v>
      </c>
      <c r="K841" s="7" t="s">
        <v>47</v>
      </c>
      <c r="L841" s="7" t="s">
        <v>96</v>
      </c>
      <c r="M841" s="7" t="s">
        <v>0</v>
      </c>
      <c r="N841" s="7" t="s">
        <v>6785</v>
      </c>
      <c r="O841" s="7" t="s">
        <v>0</v>
      </c>
      <c r="P841" s="7" t="s">
        <v>6787</v>
      </c>
      <c r="Q841" s="7" t="s">
        <v>6788</v>
      </c>
      <c r="R841" s="7" t="s">
        <v>646</v>
      </c>
      <c r="S841" s="7" t="s">
        <v>0</v>
      </c>
      <c r="T841" s="7" t="s">
        <v>54</v>
      </c>
      <c r="U841" s="7" t="s">
        <v>44</v>
      </c>
      <c r="V841" s="7" t="s">
        <v>102</v>
      </c>
      <c r="W841" s="7" t="s">
        <v>57</v>
      </c>
      <c r="X841" s="7" t="s">
        <v>103</v>
      </c>
      <c r="Y841" s="8">
        <v>45223</v>
      </c>
      <c r="Z841" s="8">
        <v>45589</v>
      </c>
      <c r="AA841" s="7" t="s">
        <v>1767</v>
      </c>
      <c r="AB841" s="7" t="s">
        <v>1408</v>
      </c>
      <c r="AC841" s="7" t="s">
        <v>79</v>
      </c>
      <c r="AD841" s="7" t="s">
        <v>514</v>
      </c>
      <c r="AE841" s="7" t="s">
        <v>82</v>
      </c>
      <c r="AF841" s="7" t="s">
        <v>0</v>
      </c>
      <c r="AG841" s="7" t="s">
        <v>0</v>
      </c>
      <c r="AH841" s="9" t="s">
        <v>12949</v>
      </c>
      <c r="AI841" s="9" t="s">
        <v>12950</v>
      </c>
      <c r="AJ841" s="9" t="s">
        <v>12951</v>
      </c>
      <c r="AK841" s="7" t="s">
        <v>61</v>
      </c>
      <c r="AL841" s="7" t="s">
        <v>81</v>
      </c>
      <c r="AM841" s="7" t="s">
        <v>1410</v>
      </c>
      <c r="AN841" s="7" t="s">
        <v>6792</v>
      </c>
      <c r="AO841" s="7" t="s">
        <v>0</v>
      </c>
      <c r="AP841" s="7" t="s">
        <v>0</v>
      </c>
      <c r="AQ841" s="7" t="s">
        <v>61</v>
      </c>
      <c r="AR841" s="7" t="s">
        <v>0</v>
      </c>
      <c r="AS841" s="10" t="str">
        <f>HYPERLINK("https://tessa.gazprom-neft.local/edo/card/6e6232af-15df-479f-9e65-6d673befb479", "https://tessa.gazprom-neft.local/edo/card/6e6232af-15df-479f-9e65-6d673befb479")</f>
        <v>https://tessa.gazprom-neft.local/edo/card/6e6232af-15df-479f-9e65-6d673befb479</v>
      </c>
    </row>
    <row r="842" spans="1:45" hidden="1" x14ac:dyDescent="0.25">
      <c r="A842" s="6" t="s">
        <v>44</v>
      </c>
      <c r="B842" s="7" t="s">
        <v>7282</v>
      </c>
      <c r="C842" s="7" t="s">
        <v>67</v>
      </c>
      <c r="D842" s="8">
        <v>45223</v>
      </c>
      <c r="E842" s="8" t="s">
        <v>0</v>
      </c>
      <c r="F842" s="16" t="s">
        <v>7283</v>
      </c>
      <c r="G842" s="7" t="s">
        <v>7284</v>
      </c>
      <c r="H842" s="7" t="s">
        <v>0</v>
      </c>
      <c r="I842" s="7" t="s">
        <v>7279</v>
      </c>
      <c r="J842" s="7" t="s">
        <v>7279</v>
      </c>
      <c r="K842" s="7" t="s">
        <v>47</v>
      </c>
      <c r="L842" s="7" t="s">
        <v>96</v>
      </c>
      <c r="M842" s="7" t="s">
        <v>0</v>
      </c>
      <c r="N842" s="7" t="s">
        <v>7278</v>
      </c>
      <c r="O842" s="7" t="s">
        <v>0</v>
      </c>
      <c r="P842" s="7" t="s">
        <v>7280</v>
      </c>
      <c r="Q842" s="7" t="s">
        <v>7281</v>
      </c>
      <c r="R842" s="7" t="s">
        <v>1120</v>
      </c>
      <c r="S842" s="7" t="s">
        <v>1120</v>
      </c>
      <c r="T842" s="7" t="s">
        <v>54</v>
      </c>
      <c r="U842" s="7" t="s">
        <v>294</v>
      </c>
      <c r="V842" s="7" t="s">
        <v>295</v>
      </c>
      <c r="W842" s="7" t="s">
        <v>57</v>
      </c>
      <c r="X842" s="7" t="s">
        <v>103</v>
      </c>
      <c r="Y842" s="8">
        <v>45223</v>
      </c>
      <c r="Z842" s="8">
        <v>45291</v>
      </c>
      <c r="AA842" s="7" t="s">
        <v>296</v>
      </c>
      <c r="AB842" s="7" t="s">
        <v>500</v>
      </c>
      <c r="AC842" s="7" t="s">
        <v>278</v>
      </c>
      <c r="AD842" s="7" t="s">
        <v>80</v>
      </c>
      <c r="AE842" s="7" t="s">
        <v>82</v>
      </c>
      <c r="AF842" s="7" t="s">
        <v>0</v>
      </c>
      <c r="AG842" s="7" t="s">
        <v>0</v>
      </c>
      <c r="AH842" s="9" t="s">
        <v>13126</v>
      </c>
      <c r="AI842" s="9" t="s">
        <v>13127</v>
      </c>
      <c r="AJ842" s="9" t="s">
        <v>13128</v>
      </c>
      <c r="AK842" s="7" t="s">
        <v>61</v>
      </c>
      <c r="AL842" s="7" t="s">
        <v>61</v>
      </c>
      <c r="AM842" s="7" t="s">
        <v>0</v>
      </c>
      <c r="AN842" s="7" t="s">
        <v>0</v>
      </c>
      <c r="AO842" s="7" t="s">
        <v>0</v>
      </c>
      <c r="AP842" s="7" t="s">
        <v>0</v>
      </c>
      <c r="AQ842" s="7" t="s">
        <v>61</v>
      </c>
      <c r="AR842" s="7" t="s">
        <v>0</v>
      </c>
      <c r="AS842" s="10" t="str">
        <f>HYPERLINK("https://tessa.gazprom-neft.local/edo/card/3c13c6cb-1b04-4461-b7ec-cb32a7f3ab56", "https://tessa.gazprom-neft.local/edo/card/3c13c6cb-1b04-4461-b7ec-cb32a7f3ab56")</f>
        <v>https://tessa.gazprom-neft.local/edo/card/3c13c6cb-1b04-4461-b7ec-cb32a7f3ab56</v>
      </c>
    </row>
    <row r="843" spans="1:45" x14ac:dyDescent="0.25">
      <c r="A843" s="6" t="s">
        <v>44</v>
      </c>
      <c r="B843" s="7" t="s">
        <v>488</v>
      </c>
      <c r="C843" s="7" t="s">
        <v>67</v>
      </c>
      <c r="D843" s="8">
        <v>45222</v>
      </c>
      <c r="E843" s="8" t="s">
        <v>0</v>
      </c>
      <c r="F843" s="16" t="s">
        <v>489</v>
      </c>
      <c r="G843" s="7" t="s">
        <v>490</v>
      </c>
      <c r="H843" s="7" t="s">
        <v>2861</v>
      </c>
      <c r="I843" s="7" t="s">
        <v>0</v>
      </c>
      <c r="J843" s="7" t="s">
        <v>51</v>
      </c>
      <c r="K843" s="7" t="s">
        <v>85</v>
      </c>
      <c r="L843" s="7" t="s">
        <v>48</v>
      </c>
      <c r="M843" s="7" t="s">
        <v>1183</v>
      </c>
      <c r="N843" s="7" t="s">
        <v>6627</v>
      </c>
      <c r="O843" s="7" t="s">
        <v>0</v>
      </c>
      <c r="P843" s="7" t="s">
        <v>1183</v>
      </c>
      <c r="Q843" s="7" t="s">
        <v>6288</v>
      </c>
      <c r="R843" s="7" t="s">
        <v>6254</v>
      </c>
      <c r="S843" s="7" t="s">
        <v>6367</v>
      </c>
      <c r="T843" s="7" t="s">
        <v>54</v>
      </c>
      <c r="U843" s="7" t="s">
        <v>362</v>
      </c>
      <c r="V843" s="7" t="s">
        <v>308</v>
      </c>
      <c r="W843" s="7" t="s">
        <v>74</v>
      </c>
      <c r="X843" s="7" t="s">
        <v>58</v>
      </c>
      <c r="Y843" s="8">
        <v>45222</v>
      </c>
      <c r="Z843" s="8" t="s">
        <v>0</v>
      </c>
      <c r="AA843" s="7" t="s">
        <v>309</v>
      </c>
      <c r="AB843" s="7" t="s">
        <v>228</v>
      </c>
      <c r="AC843" s="7" t="s">
        <v>65</v>
      </c>
      <c r="AD843" s="7" t="s">
        <v>0</v>
      </c>
      <c r="AE843" s="7" t="s">
        <v>0</v>
      </c>
      <c r="AF843" s="7" t="s">
        <v>0</v>
      </c>
      <c r="AG843" s="7" t="s">
        <v>0</v>
      </c>
      <c r="AH843" s="9" t="s">
        <v>0</v>
      </c>
      <c r="AI843" s="9" t="s">
        <v>0</v>
      </c>
      <c r="AJ843" s="9" t="s">
        <v>0</v>
      </c>
      <c r="AK843" s="7" t="s">
        <v>61</v>
      </c>
      <c r="AL843" s="7" t="s">
        <v>61</v>
      </c>
      <c r="AM843" s="7" t="s">
        <v>0</v>
      </c>
      <c r="AN843" s="7" t="s">
        <v>0</v>
      </c>
      <c r="AO843" s="7" t="s">
        <v>0</v>
      </c>
      <c r="AP843" s="7" t="s">
        <v>0</v>
      </c>
      <c r="AQ843" s="7" t="s">
        <v>61</v>
      </c>
      <c r="AR843" s="7" t="s">
        <v>0</v>
      </c>
      <c r="AS843" s="10" t="str">
        <f>HYPERLINK("https://tessa.gazprom-neft.local/edo/card/ef4821be-3f72-4316-8fb4-292b8a5f9751", "https://tessa.gazprom-neft.local/edo/card/ef4821be-3f72-4316-8fb4-292b8a5f9751")</f>
        <v>https://tessa.gazprom-neft.local/edo/card/ef4821be-3f72-4316-8fb4-292b8a5f9751</v>
      </c>
    </row>
    <row r="844" spans="1:45" x14ac:dyDescent="0.25">
      <c r="A844" s="6" t="s">
        <v>44</v>
      </c>
      <c r="B844" s="7" t="s">
        <v>727</v>
      </c>
      <c r="C844" s="7" t="s">
        <v>67</v>
      </c>
      <c r="D844" s="8">
        <v>45222</v>
      </c>
      <c r="E844" s="8" t="s">
        <v>0</v>
      </c>
      <c r="F844" s="16" t="s">
        <v>728</v>
      </c>
      <c r="G844" s="7" t="s">
        <v>729</v>
      </c>
      <c r="H844" s="7" t="s">
        <v>3044</v>
      </c>
      <c r="I844" s="7" t="s">
        <v>0</v>
      </c>
      <c r="J844" s="7" t="s">
        <v>51</v>
      </c>
      <c r="K844" s="7" t="s">
        <v>85</v>
      </c>
      <c r="L844" s="7" t="s">
        <v>48</v>
      </c>
      <c r="M844" s="7" t="s">
        <v>1183</v>
      </c>
      <c r="N844" s="7" t="s">
        <v>7021</v>
      </c>
      <c r="O844" s="7" t="s">
        <v>0</v>
      </c>
      <c r="P844" s="7" t="s">
        <v>1183</v>
      </c>
      <c r="Q844" s="7" t="s">
        <v>7022</v>
      </c>
      <c r="R844" s="7" t="s">
        <v>282</v>
      </c>
      <c r="S844" s="7" t="s">
        <v>0</v>
      </c>
      <c r="T844" s="7" t="s">
        <v>54</v>
      </c>
      <c r="U844" s="7" t="s">
        <v>362</v>
      </c>
      <c r="V844" s="7" t="s">
        <v>308</v>
      </c>
      <c r="W844" s="7" t="s">
        <v>74</v>
      </c>
      <c r="X844" s="7" t="s">
        <v>58</v>
      </c>
      <c r="Y844" s="8">
        <v>45222</v>
      </c>
      <c r="Z844" s="8" t="s">
        <v>0</v>
      </c>
      <c r="AA844" s="7" t="s">
        <v>309</v>
      </c>
      <c r="AB844" s="7" t="s">
        <v>228</v>
      </c>
      <c r="AC844" s="7" t="s">
        <v>65</v>
      </c>
      <c r="AD844" s="7" t="s">
        <v>0</v>
      </c>
      <c r="AE844" s="7" t="s">
        <v>0</v>
      </c>
      <c r="AF844" s="7" t="s">
        <v>0</v>
      </c>
      <c r="AG844" s="7" t="s">
        <v>0</v>
      </c>
      <c r="AH844" s="9" t="s">
        <v>0</v>
      </c>
      <c r="AI844" s="9" t="s">
        <v>0</v>
      </c>
      <c r="AJ844" s="9" t="s">
        <v>0</v>
      </c>
      <c r="AK844" s="7" t="s">
        <v>61</v>
      </c>
      <c r="AL844" s="7" t="s">
        <v>61</v>
      </c>
      <c r="AM844" s="7" t="s">
        <v>0</v>
      </c>
      <c r="AN844" s="7" t="s">
        <v>0</v>
      </c>
      <c r="AO844" s="7" t="s">
        <v>0</v>
      </c>
      <c r="AP844" s="7" t="s">
        <v>0</v>
      </c>
      <c r="AQ844" s="7" t="s">
        <v>61</v>
      </c>
      <c r="AR844" s="7" t="s">
        <v>0</v>
      </c>
      <c r="AS844" s="10" t="str">
        <f>HYPERLINK("https://tessa.gazprom-neft.local/edo/card/5535f051-3dcb-479f-9baf-43553a7de914", "https://tessa.gazprom-neft.local/edo/card/5535f051-3dcb-479f-9baf-43553a7de914")</f>
        <v>https://tessa.gazprom-neft.local/edo/card/5535f051-3dcb-479f-9baf-43553a7de914</v>
      </c>
    </row>
    <row r="845" spans="1:45" hidden="1" x14ac:dyDescent="0.25">
      <c r="A845" s="6" t="s">
        <v>44</v>
      </c>
      <c r="B845" s="7" t="s">
        <v>715</v>
      </c>
      <c r="C845" s="7" t="s">
        <v>67</v>
      </c>
      <c r="D845" s="8">
        <v>45221</v>
      </c>
      <c r="E845" s="8" t="s">
        <v>0</v>
      </c>
      <c r="F845" s="16" t="s">
        <v>716</v>
      </c>
      <c r="G845" s="7" t="s">
        <v>717</v>
      </c>
      <c r="H845" s="7" t="s">
        <v>710</v>
      </c>
      <c r="I845" s="7" t="s">
        <v>0</v>
      </c>
      <c r="J845" s="7" t="s">
        <v>355</v>
      </c>
      <c r="K845" s="7" t="s">
        <v>47</v>
      </c>
      <c r="L845" s="7" t="s">
        <v>709</v>
      </c>
      <c r="M845" s="7" t="s">
        <v>0</v>
      </c>
      <c r="N845" s="7" t="s">
        <v>6814</v>
      </c>
      <c r="O845" s="7" t="s">
        <v>0</v>
      </c>
      <c r="P845" s="7" t="s">
        <v>6815</v>
      </c>
      <c r="Q845" s="7" t="s">
        <v>6816</v>
      </c>
      <c r="R845" s="7" t="s">
        <v>714</v>
      </c>
      <c r="S845" s="7" t="s">
        <v>714</v>
      </c>
      <c r="T845" s="7" t="s">
        <v>54</v>
      </c>
      <c r="U845" s="7" t="s">
        <v>101</v>
      </c>
      <c r="V845" s="7" t="s">
        <v>308</v>
      </c>
      <c r="W845" s="7" t="s">
        <v>74</v>
      </c>
      <c r="X845" s="7" t="s">
        <v>103</v>
      </c>
      <c r="Y845" s="8">
        <v>45221</v>
      </c>
      <c r="Z845" s="8">
        <v>45260</v>
      </c>
      <c r="AA845" s="7" t="s">
        <v>309</v>
      </c>
      <c r="AB845" s="7" t="s">
        <v>64</v>
      </c>
      <c r="AC845" s="7" t="s">
        <v>79</v>
      </c>
      <c r="AD845" s="7" t="s">
        <v>144</v>
      </c>
      <c r="AE845" s="7" t="s">
        <v>82</v>
      </c>
      <c r="AF845" s="7" t="s">
        <v>0</v>
      </c>
      <c r="AG845" s="7" t="s">
        <v>0</v>
      </c>
      <c r="AH845" s="9" t="s">
        <v>12958</v>
      </c>
      <c r="AI845" s="9" t="s">
        <v>12959</v>
      </c>
      <c r="AJ845" s="9" t="s">
        <v>12960</v>
      </c>
      <c r="AK845" s="7" t="s">
        <v>61</v>
      </c>
      <c r="AL845" s="7" t="s">
        <v>61</v>
      </c>
      <c r="AM845" s="7" t="s">
        <v>0</v>
      </c>
      <c r="AN845" s="7" t="s">
        <v>0</v>
      </c>
      <c r="AO845" s="7" t="s">
        <v>0</v>
      </c>
      <c r="AP845" s="7" t="s">
        <v>0</v>
      </c>
      <c r="AQ845" s="7" t="s">
        <v>61</v>
      </c>
      <c r="AR845" s="7" t="s">
        <v>0</v>
      </c>
      <c r="AS845" s="10" t="str">
        <f>HYPERLINK("https://tessa.gazprom-neft.local/edo/card/18956a50-9454-4616-87ca-59978d549c71", "https://tessa.gazprom-neft.local/edo/card/18956a50-9454-4616-87ca-59978d549c71")</f>
        <v>https://tessa.gazprom-neft.local/edo/card/18956a50-9454-4616-87ca-59978d549c71</v>
      </c>
    </row>
    <row r="846" spans="1:45" x14ac:dyDescent="0.25">
      <c r="A846" s="6" t="s">
        <v>44</v>
      </c>
      <c r="B846" s="7" t="s">
        <v>4951</v>
      </c>
      <c r="C846" s="7" t="s">
        <v>67</v>
      </c>
      <c r="D846" s="8">
        <v>45220</v>
      </c>
      <c r="E846" s="8" t="s">
        <v>0</v>
      </c>
      <c r="F846" s="16" t="s">
        <v>4952</v>
      </c>
      <c r="G846" s="7" t="s">
        <v>2497</v>
      </c>
      <c r="H846" s="7" t="s">
        <v>6808</v>
      </c>
      <c r="I846" s="7" t="s">
        <v>0</v>
      </c>
      <c r="J846" s="7" t="s">
        <v>51</v>
      </c>
      <c r="K846" s="7" t="s">
        <v>85</v>
      </c>
      <c r="L846" s="7" t="s">
        <v>48</v>
      </c>
      <c r="M846" s="7" t="s">
        <v>1183</v>
      </c>
      <c r="N846" s="7" t="s">
        <v>6807</v>
      </c>
      <c r="O846" s="7" t="s">
        <v>0</v>
      </c>
      <c r="P846" s="7" t="s">
        <v>6809</v>
      </c>
      <c r="Q846" s="7" t="s">
        <v>6810</v>
      </c>
      <c r="R846" s="7" t="s">
        <v>393</v>
      </c>
      <c r="S846" s="7" t="s">
        <v>1476</v>
      </c>
      <c r="T846" s="7" t="s">
        <v>54</v>
      </c>
      <c r="U846" s="7" t="s">
        <v>283</v>
      </c>
      <c r="V846" s="7" t="s">
        <v>308</v>
      </c>
      <c r="W846" s="7" t="s">
        <v>57</v>
      </c>
      <c r="X846" s="7" t="s">
        <v>58</v>
      </c>
      <c r="Y846" s="8">
        <v>45220</v>
      </c>
      <c r="Z846" s="8" t="s">
        <v>0</v>
      </c>
      <c r="AA846" s="7" t="s">
        <v>309</v>
      </c>
      <c r="AB846" s="7" t="s">
        <v>228</v>
      </c>
      <c r="AC846" s="7" t="s">
        <v>65</v>
      </c>
      <c r="AD846" s="7" t="s">
        <v>0</v>
      </c>
      <c r="AE846" s="7" t="s">
        <v>0</v>
      </c>
      <c r="AF846" s="7" t="s">
        <v>0</v>
      </c>
      <c r="AG846" s="7" t="s">
        <v>0</v>
      </c>
      <c r="AH846" s="9" t="s">
        <v>0</v>
      </c>
      <c r="AI846" s="9" t="s">
        <v>0</v>
      </c>
      <c r="AJ846" s="9" t="s">
        <v>0</v>
      </c>
      <c r="AK846" s="7" t="s">
        <v>61</v>
      </c>
      <c r="AL846" s="7" t="s">
        <v>61</v>
      </c>
      <c r="AM846" s="7" t="s">
        <v>0</v>
      </c>
      <c r="AN846" s="7" t="s">
        <v>0</v>
      </c>
      <c r="AO846" s="7" t="s">
        <v>0</v>
      </c>
      <c r="AP846" s="7" t="s">
        <v>0</v>
      </c>
      <c r="AQ846" s="7" t="s">
        <v>61</v>
      </c>
      <c r="AR846" s="7" t="s">
        <v>0</v>
      </c>
      <c r="AS846" s="10" t="str">
        <f>HYPERLINK("https://tessa.gazprom-neft.local/edo/card/27e967fb-46aa-4ab8-b4f4-b4bdc93f42b4", "https://tessa.gazprom-neft.local/edo/card/27e967fb-46aa-4ab8-b4f4-b4bdc93f42b4")</f>
        <v>https://tessa.gazprom-neft.local/edo/card/27e967fb-46aa-4ab8-b4f4-b4bdc93f42b4</v>
      </c>
    </row>
    <row r="847" spans="1:45" x14ac:dyDescent="0.25">
      <c r="A847" s="6" t="s">
        <v>44</v>
      </c>
      <c r="B847" s="7" t="s">
        <v>620</v>
      </c>
      <c r="C847" s="7" t="s">
        <v>67</v>
      </c>
      <c r="D847" s="8">
        <v>45220</v>
      </c>
      <c r="E847" s="8" t="s">
        <v>0</v>
      </c>
      <c r="F847" s="16" t="s">
        <v>621</v>
      </c>
      <c r="G847" s="7" t="s">
        <v>622</v>
      </c>
      <c r="H847" s="7" t="s">
        <v>618</v>
      </c>
      <c r="I847" s="7" t="s">
        <v>0</v>
      </c>
      <c r="J847" s="7" t="s">
        <v>271</v>
      </c>
      <c r="K847" s="7" t="s">
        <v>47</v>
      </c>
      <c r="L847" s="7" t="s">
        <v>48</v>
      </c>
      <c r="M847" s="7" t="s">
        <v>0</v>
      </c>
      <c r="N847" s="7" t="s">
        <v>6858</v>
      </c>
      <c r="O847" s="7" t="s">
        <v>0</v>
      </c>
      <c r="P847" s="7" t="s">
        <v>6859</v>
      </c>
      <c r="Q847" s="7" t="s">
        <v>6860</v>
      </c>
      <c r="R847" s="7" t="s">
        <v>393</v>
      </c>
      <c r="S847" s="7" t="s">
        <v>209</v>
      </c>
      <c r="T847" s="7" t="s">
        <v>54</v>
      </c>
      <c r="U847" s="7" t="s">
        <v>125</v>
      </c>
      <c r="V847" s="7" t="s">
        <v>126</v>
      </c>
      <c r="W847" s="7" t="s">
        <v>74</v>
      </c>
      <c r="X847" s="7" t="s">
        <v>58</v>
      </c>
      <c r="Y847" s="8">
        <v>45220</v>
      </c>
      <c r="Z847" s="8" t="s">
        <v>0</v>
      </c>
      <c r="AA847" s="7" t="s">
        <v>224</v>
      </c>
      <c r="AB847" s="7" t="s">
        <v>130</v>
      </c>
      <c r="AC847" s="7" t="s">
        <v>65</v>
      </c>
      <c r="AD847" s="7" t="s">
        <v>80</v>
      </c>
      <c r="AE847" s="7" t="s">
        <v>0</v>
      </c>
      <c r="AF847" s="7" t="s">
        <v>0</v>
      </c>
      <c r="AG847" s="7" t="s">
        <v>0</v>
      </c>
      <c r="AH847" s="9" t="s">
        <v>0</v>
      </c>
      <c r="AI847" s="9" t="s">
        <v>0</v>
      </c>
      <c r="AJ847" s="9" t="s">
        <v>0</v>
      </c>
      <c r="AK847" s="7" t="s">
        <v>61</v>
      </c>
      <c r="AL847" s="7" t="s">
        <v>61</v>
      </c>
      <c r="AM847" s="7" t="s">
        <v>0</v>
      </c>
      <c r="AN847" s="7" t="s">
        <v>0</v>
      </c>
      <c r="AO847" s="7" t="s">
        <v>0</v>
      </c>
      <c r="AP847" s="7" t="s">
        <v>0</v>
      </c>
      <c r="AQ847" s="7" t="s">
        <v>61</v>
      </c>
      <c r="AR847" s="7" t="s">
        <v>0</v>
      </c>
      <c r="AS847" s="10" t="str">
        <f>HYPERLINK("https://tessa.gazprom-neft.local/edo/card/569f2656-1326-4399-bba2-aa04304a8544", "https://tessa.gazprom-neft.local/edo/card/569f2656-1326-4399-bba2-aa04304a8544")</f>
        <v>https://tessa.gazprom-neft.local/edo/card/569f2656-1326-4399-bba2-aa04304a8544</v>
      </c>
    </row>
    <row r="848" spans="1:45" hidden="1" x14ac:dyDescent="0.25">
      <c r="A848" s="6" t="s">
        <v>44</v>
      </c>
      <c r="B848" s="7" t="s">
        <v>2001</v>
      </c>
      <c r="C848" s="7" t="s">
        <v>67</v>
      </c>
      <c r="D848" s="8">
        <v>45219</v>
      </c>
      <c r="E848" s="8" t="s">
        <v>0</v>
      </c>
      <c r="F848" s="16" t="s">
        <v>2002</v>
      </c>
      <c r="G848" s="7" t="s">
        <v>2003</v>
      </c>
      <c r="H848" s="7" t="s">
        <v>1998</v>
      </c>
      <c r="I848" s="7" t="s">
        <v>0</v>
      </c>
      <c r="J848" s="7" t="s">
        <v>712</v>
      </c>
      <c r="K848" s="7" t="s">
        <v>47</v>
      </c>
      <c r="L848" s="7" t="s">
        <v>239</v>
      </c>
      <c r="M848" s="7" t="s">
        <v>0</v>
      </c>
      <c r="N848" s="7" t="s">
        <v>6801</v>
      </c>
      <c r="O848" s="7" t="s">
        <v>0</v>
      </c>
      <c r="P848" s="7" t="s">
        <v>6802</v>
      </c>
      <c r="Q848" s="7" t="s">
        <v>6803</v>
      </c>
      <c r="R848" s="7" t="s">
        <v>393</v>
      </c>
      <c r="S848" s="7" t="s">
        <v>1503</v>
      </c>
      <c r="T848" s="7" t="s">
        <v>54</v>
      </c>
      <c r="U848" s="7" t="s">
        <v>283</v>
      </c>
      <c r="V848" s="7" t="s">
        <v>308</v>
      </c>
      <c r="W848" s="7" t="s">
        <v>74</v>
      </c>
      <c r="X848" s="7" t="s">
        <v>58</v>
      </c>
      <c r="Y848" s="8">
        <v>45219</v>
      </c>
      <c r="Z848" s="8" t="s">
        <v>0</v>
      </c>
      <c r="AA848" s="7" t="s">
        <v>309</v>
      </c>
      <c r="AB848" s="7" t="s">
        <v>130</v>
      </c>
      <c r="AC848" s="7" t="s">
        <v>79</v>
      </c>
      <c r="AD848" s="7" t="s">
        <v>144</v>
      </c>
      <c r="AE848" s="7" t="s">
        <v>82</v>
      </c>
      <c r="AF848" s="7" t="s">
        <v>0</v>
      </c>
      <c r="AG848" s="7" t="s">
        <v>0</v>
      </c>
      <c r="AH848" s="9" t="s">
        <v>12955</v>
      </c>
      <c r="AI848" s="9" t="s">
        <v>12956</v>
      </c>
      <c r="AJ848" s="9" t="s">
        <v>12957</v>
      </c>
      <c r="AK848" s="7" t="s">
        <v>61</v>
      </c>
      <c r="AL848" s="7" t="s">
        <v>61</v>
      </c>
      <c r="AM848" s="7" t="s">
        <v>0</v>
      </c>
      <c r="AN848" s="7" t="s">
        <v>0</v>
      </c>
      <c r="AO848" s="7" t="s">
        <v>0</v>
      </c>
      <c r="AP848" s="7" t="s">
        <v>0</v>
      </c>
      <c r="AQ848" s="7" t="s">
        <v>61</v>
      </c>
      <c r="AR848" s="7" t="s">
        <v>0</v>
      </c>
      <c r="AS848" s="10" t="str">
        <f>HYPERLINK("https://tessa.gazprom-neft.local/edo/card/1de4997b-5a7f-464b-b5be-0f18ccd42b95", "https://tessa.gazprom-neft.local/edo/card/1de4997b-5a7f-464b-b5be-0f18ccd42b95")</f>
        <v>https://tessa.gazprom-neft.local/edo/card/1de4997b-5a7f-464b-b5be-0f18ccd42b95</v>
      </c>
    </row>
    <row r="849" spans="1:45" x14ac:dyDescent="0.25">
      <c r="A849" s="6" t="s">
        <v>44</v>
      </c>
      <c r="B849" s="7" t="s">
        <v>1351</v>
      </c>
      <c r="C849" s="7" t="s">
        <v>67</v>
      </c>
      <c r="D849" s="8">
        <v>45219</v>
      </c>
      <c r="E849" s="8" t="s">
        <v>0</v>
      </c>
      <c r="F849" s="16" t="s">
        <v>1352</v>
      </c>
      <c r="G849" s="7" t="s">
        <v>1353</v>
      </c>
      <c r="H849" s="7" t="s">
        <v>1818</v>
      </c>
      <c r="I849" s="7" t="s">
        <v>0</v>
      </c>
      <c r="J849" s="7" t="s">
        <v>355</v>
      </c>
      <c r="K849" s="7" t="s">
        <v>47</v>
      </c>
      <c r="L849" s="7" t="s">
        <v>48</v>
      </c>
      <c r="M849" s="7" t="s">
        <v>0</v>
      </c>
      <c r="N849" s="7" t="s">
        <v>6885</v>
      </c>
      <c r="O849" s="7" t="s">
        <v>0</v>
      </c>
      <c r="P849" s="7" t="s">
        <v>6886</v>
      </c>
      <c r="Q849" s="7" t="s">
        <v>1820</v>
      </c>
      <c r="R849" s="7" t="s">
        <v>124</v>
      </c>
      <c r="S849" s="7" t="s">
        <v>124</v>
      </c>
      <c r="T849" s="7" t="s">
        <v>54</v>
      </c>
      <c r="U849" s="7" t="s">
        <v>125</v>
      </c>
      <c r="V849" s="7" t="s">
        <v>126</v>
      </c>
      <c r="W849" s="7" t="s">
        <v>74</v>
      </c>
      <c r="X849" s="7" t="s">
        <v>58</v>
      </c>
      <c r="Y849" s="8">
        <v>45219</v>
      </c>
      <c r="Z849" s="8" t="s">
        <v>0</v>
      </c>
      <c r="AA849" s="7" t="s">
        <v>224</v>
      </c>
      <c r="AB849" s="7" t="s">
        <v>804</v>
      </c>
      <c r="AC849" s="7" t="s">
        <v>65</v>
      </c>
      <c r="AD849" s="7" t="s">
        <v>0</v>
      </c>
      <c r="AE849" s="7" t="s">
        <v>0</v>
      </c>
      <c r="AF849" s="7" t="s">
        <v>0</v>
      </c>
      <c r="AG849" s="7" t="s">
        <v>0</v>
      </c>
      <c r="AH849" s="9" t="s">
        <v>0</v>
      </c>
      <c r="AI849" s="9" t="s">
        <v>0</v>
      </c>
      <c r="AJ849" s="9" t="s">
        <v>0</v>
      </c>
      <c r="AK849" s="7" t="s">
        <v>61</v>
      </c>
      <c r="AL849" s="7" t="s">
        <v>61</v>
      </c>
      <c r="AM849" s="7" t="s">
        <v>0</v>
      </c>
      <c r="AN849" s="7" t="s">
        <v>0</v>
      </c>
      <c r="AO849" s="7" t="s">
        <v>0</v>
      </c>
      <c r="AP849" s="7" t="s">
        <v>0</v>
      </c>
      <c r="AQ849" s="7" t="s">
        <v>61</v>
      </c>
      <c r="AR849" s="7" t="s">
        <v>0</v>
      </c>
      <c r="AS849" s="10" t="str">
        <f>HYPERLINK("https://tessa.gazprom-neft.local/edo/card/07027bc3-6d4d-43ec-a154-755bdca689d0", "https://tessa.gazprom-neft.local/edo/card/07027bc3-6d4d-43ec-a154-755bdca689d0")</f>
        <v>https://tessa.gazprom-neft.local/edo/card/07027bc3-6d4d-43ec-a154-755bdca689d0</v>
      </c>
    </row>
    <row r="850" spans="1:45" hidden="1" x14ac:dyDescent="0.25">
      <c r="A850" s="6" t="s">
        <v>44</v>
      </c>
      <c r="B850" s="7" t="s">
        <v>1351</v>
      </c>
      <c r="C850" s="7" t="s">
        <v>67</v>
      </c>
      <c r="D850" s="8">
        <v>45219</v>
      </c>
      <c r="E850" s="8" t="s">
        <v>0</v>
      </c>
      <c r="F850" s="16" t="s">
        <v>1352</v>
      </c>
      <c r="G850" s="7" t="s">
        <v>1353</v>
      </c>
      <c r="H850" s="7" t="s">
        <v>1818</v>
      </c>
      <c r="I850" s="7" t="s">
        <v>0</v>
      </c>
      <c r="J850" s="7" t="s">
        <v>51</v>
      </c>
      <c r="K850" s="7" t="s">
        <v>47</v>
      </c>
      <c r="L850" s="7" t="s">
        <v>239</v>
      </c>
      <c r="M850" s="7" t="s">
        <v>0</v>
      </c>
      <c r="N850" s="7" t="s">
        <v>6898</v>
      </c>
      <c r="O850" s="7" t="s">
        <v>0</v>
      </c>
      <c r="P850" s="7" t="s">
        <v>6899</v>
      </c>
      <c r="Q850" s="7" t="s">
        <v>6900</v>
      </c>
      <c r="R850" s="7" t="s">
        <v>124</v>
      </c>
      <c r="S850" s="7" t="s">
        <v>0</v>
      </c>
      <c r="T850" s="7" t="s">
        <v>54</v>
      </c>
      <c r="U850" s="7" t="s">
        <v>125</v>
      </c>
      <c r="V850" s="7" t="s">
        <v>126</v>
      </c>
      <c r="W850" s="7" t="s">
        <v>74</v>
      </c>
      <c r="X850" s="7" t="s">
        <v>58</v>
      </c>
      <c r="Y850" s="8">
        <v>45220</v>
      </c>
      <c r="Z850" s="8" t="s">
        <v>0</v>
      </c>
      <c r="AA850" s="7" t="s">
        <v>224</v>
      </c>
      <c r="AB850" s="7" t="s">
        <v>804</v>
      </c>
      <c r="AC850" s="7" t="s">
        <v>65</v>
      </c>
      <c r="AD850" s="7" t="s">
        <v>0</v>
      </c>
      <c r="AE850" s="7" t="s">
        <v>0</v>
      </c>
      <c r="AF850" s="7" t="s">
        <v>0</v>
      </c>
      <c r="AG850" s="7" t="s">
        <v>0</v>
      </c>
      <c r="AH850" s="9" t="s">
        <v>0</v>
      </c>
      <c r="AI850" s="9" t="s">
        <v>0</v>
      </c>
      <c r="AJ850" s="9" t="s">
        <v>0</v>
      </c>
      <c r="AK850" s="7" t="s">
        <v>61</v>
      </c>
      <c r="AL850" s="7" t="s">
        <v>61</v>
      </c>
      <c r="AM850" s="7" t="s">
        <v>0</v>
      </c>
      <c r="AN850" s="7" t="s">
        <v>0</v>
      </c>
      <c r="AO850" s="7" t="s">
        <v>0</v>
      </c>
      <c r="AP850" s="7" t="s">
        <v>0</v>
      </c>
      <c r="AQ850" s="7" t="s">
        <v>61</v>
      </c>
      <c r="AR850" s="7" t="s">
        <v>0</v>
      </c>
      <c r="AS850" s="10" t="str">
        <f>HYPERLINK("https://tessa.gazprom-neft.local/edo/card/62fb47a4-54d7-4244-9603-a6239505204d", "https://tessa.gazprom-neft.local/edo/card/62fb47a4-54d7-4244-9603-a6239505204d")</f>
        <v>https://tessa.gazprom-neft.local/edo/card/62fb47a4-54d7-4244-9603-a6239505204d</v>
      </c>
    </row>
    <row r="851" spans="1:45" x14ac:dyDescent="0.25">
      <c r="A851" s="6" t="s">
        <v>44</v>
      </c>
      <c r="B851" s="7" t="s">
        <v>1495</v>
      </c>
      <c r="C851" s="7" t="s">
        <v>67</v>
      </c>
      <c r="D851" s="8">
        <v>45219</v>
      </c>
      <c r="E851" s="8" t="s">
        <v>0</v>
      </c>
      <c r="F851" s="16" t="s">
        <v>1496</v>
      </c>
      <c r="G851" s="7" t="s">
        <v>1497</v>
      </c>
      <c r="H851" s="7" t="s">
        <v>1492</v>
      </c>
      <c r="I851" s="7" t="s">
        <v>0</v>
      </c>
      <c r="J851" s="7" t="s">
        <v>955</v>
      </c>
      <c r="K851" s="7" t="s">
        <v>47</v>
      </c>
      <c r="L851" s="7" t="s">
        <v>48</v>
      </c>
      <c r="M851" s="7" t="s">
        <v>0</v>
      </c>
      <c r="N851" s="7" t="s">
        <v>6909</v>
      </c>
      <c r="O851" s="7" t="s">
        <v>0</v>
      </c>
      <c r="P851" s="7" t="s">
        <v>6910</v>
      </c>
      <c r="Q851" s="7" t="s">
        <v>6911</v>
      </c>
      <c r="R851" s="7" t="s">
        <v>505</v>
      </c>
      <c r="S851" s="7" t="s">
        <v>3144</v>
      </c>
      <c r="T851" s="7" t="s">
        <v>54</v>
      </c>
      <c r="U851" s="7" t="s">
        <v>210</v>
      </c>
      <c r="V851" s="7" t="s">
        <v>126</v>
      </c>
      <c r="W851" s="7" t="s">
        <v>74</v>
      </c>
      <c r="X851" s="7" t="s">
        <v>58</v>
      </c>
      <c r="Y851" s="8">
        <v>45219</v>
      </c>
      <c r="Z851" s="8" t="s">
        <v>0</v>
      </c>
      <c r="AA851" s="7" t="s">
        <v>224</v>
      </c>
      <c r="AB851" s="7" t="s">
        <v>1498</v>
      </c>
      <c r="AC851" s="7" t="s">
        <v>79</v>
      </c>
      <c r="AD851" s="7" t="s">
        <v>144</v>
      </c>
      <c r="AE851" s="7" t="s">
        <v>82</v>
      </c>
      <c r="AF851" s="7" t="s">
        <v>0</v>
      </c>
      <c r="AG851" s="7" t="s">
        <v>0</v>
      </c>
      <c r="AH851" s="9" t="s">
        <v>12995</v>
      </c>
      <c r="AI851" s="9" t="s">
        <v>12996</v>
      </c>
      <c r="AJ851" s="9" t="s">
        <v>12997</v>
      </c>
      <c r="AK851" s="7" t="s">
        <v>61</v>
      </c>
      <c r="AL851" s="7" t="s">
        <v>61</v>
      </c>
      <c r="AM851" s="7" t="s">
        <v>0</v>
      </c>
      <c r="AN851" s="7" t="s">
        <v>0</v>
      </c>
      <c r="AO851" s="7" t="s">
        <v>0</v>
      </c>
      <c r="AP851" s="7" t="s">
        <v>0</v>
      </c>
      <c r="AQ851" s="7" t="s">
        <v>61</v>
      </c>
      <c r="AR851" s="7" t="s">
        <v>0</v>
      </c>
      <c r="AS851" s="10" t="str">
        <f>HYPERLINK("https://tessa.gazprom-neft.local/edo/card/250d0f74-d2f9-4134-bf73-36144d32b300", "https://tessa.gazprom-neft.local/edo/card/250d0f74-d2f9-4134-bf73-36144d32b300")</f>
        <v>https://tessa.gazprom-neft.local/edo/card/250d0f74-d2f9-4134-bf73-36144d32b300</v>
      </c>
    </row>
    <row r="852" spans="1:45" hidden="1" x14ac:dyDescent="0.25">
      <c r="A852" s="6" t="s">
        <v>44</v>
      </c>
      <c r="B852" s="7" t="s">
        <v>687</v>
      </c>
      <c r="C852" s="7" t="s">
        <v>67</v>
      </c>
      <c r="D852" s="8">
        <v>45217</v>
      </c>
      <c r="E852" s="8" t="s">
        <v>0</v>
      </c>
      <c r="F852" s="16" t="s">
        <v>688</v>
      </c>
      <c r="G852" s="7" t="s">
        <v>689</v>
      </c>
      <c r="H852" s="7" t="s">
        <v>0</v>
      </c>
      <c r="I852" s="7" t="s">
        <v>6025</v>
      </c>
      <c r="J852" s="7" t="s">
        <v>6025</v>
      </c>
      <c r="K852" s="7" t="s">
        <v>47</v>
      </c>
      <c r="L852" s="7" t="s">
        <v>96</v>
      </c>
      <c r="M852" s="7" t="s">
        <v>0</v>
      </c>
      <c r="N852" s="7" t="s">
        <v>6024</v>
      </c>
      <c r="O852" s="7" t="s">
        <v>0</v>
      </c>
      <c r="P852" s="7" t="s">
        <v>6017</v>
      </c>
      <c r="Q852" s="7" t="s">
        <v>6017</v>
      </c>
      <c r="R852" s="7" t="s">
        <v>751</v>
      </c>
      <c r="S852" s="7" t="s">
        <v>1094</v>
      </c>
      <c r="T852" s="7" t="s">
        <v>54</v>
      </c>
      <c r="U852" s="7" t="s">
        <v>125</v>
      </c>
      <c r="V852" s="7" t="s">
        <v>126</v>
      </c>
      <c r="W852" s="7" t="s">
        <v>74</v>
      </c>
      <c r="X852" s="7" t="s">
        <v>103</v>
      </c>
      <c r="Y852" s="8">
        <v>45189</v>
      </c>
      <c r="Z852" s="8">
        <v>45291</v>
      </c>
      <c r="AA852" s="7" t="s">
        <v>224</v>
      </c>
      <c r="AB852" s="7" t="s">
        <v>130</v>
      </c>
      <c r="AC852" s="7" t="s">
        <v>79</v>
      </c>
      <c r="AD852" s="7" t="s">
        <v>80</v>
      </c>
      <c r="AE852" s="7" t="s">
        <v>82</v>
      </c>
      <c r="AF852" s="7" t="s">
        <v>0</v>
      </c>
      <c r="AG852" s="7" t="s">
        <v>0</v>
      </c>
      <c r="AH852" s="9" t="s">
        <v>12696</v>
      </c>
      <c r="AI852" s="9" t="s">
        <v>12697</v>
      </c>
      <c r="AJ852" s="9" t="s">
        <v>12698</v>
      </c>
      <c r="AK852" s="7" t="s">
        <v>61</v>
      </c>
      <c r="AL852" s="7" t="s">
        <v>61</v>
      </c>
      <c r="AM852" s="7" t="s">
        <v>0</v>
      </c>
      <c r="AN852" s="7" t="s">
        <v>0</v>
      </c>
      <c r="AO852" s="7" t="s">
        <v>0</v>
      </c>
      <c r="AP852" s="7" t="s">
        <v>0</v>
      </c>
      <c r="AQ852" s="7" t="s">
        <v>61</v>
      </c>
      <c r="AR852" s="7" t="s">
        <v>0</v>
      </c>
      <c r="AS852" s="10" t="str">
        <f>HYPERLINK("https://tessa.gazprom-neft.local/edo/card/259cbbcd-94f9-484e-806d-48d6b15718d4", "https://tessa.gazprom-neft.local/edo/card/259cbbcd-94f9-484e-806d-48d6b15718d4")</f>
        <v>https://tessa.gazprom-neft.local/edo/card/259cbbcd-94f9-484e-806d-48d6b15718d4</v>
      </c>
    </row>
    <row r="853" spans="1:45" hidden="1" x14ac:dyDescent="0.25">
      <c r="A853" s="6" t="s">
        <v>44</v>
      </c>
      <c r="B853" s="7" t="s">
        <v>1675</v>
      </c>
      <c r="C853" s="7" t="s">
        <v>67</v>
      </c>
      <c r="D853" s="8">
        <v>45217</v>
      </c>
      <c r="E853" s="8" t="s">
        <v>0</v>
      </c>
      <c r="F853" s="16" t="s">
        <v>1676</v>
      </c>
      <c r="G853" s="7" t="s">
        <v>1677</v>
      </c>
      <c r="H853" s="7" t="s">
        <v>0</v>
      </c>
      <c r="I853" s="7" t="s">
        <v>6745</v>
      </c>
      <c r="J853" s="7" t="s">
        <v>6745</v>
      </c>
      <c r="K853" s="7" t="s">
        <v>85</v>
      </c>
      <c r="L853" s="7" t="s">
        <v>86</v>
      </c>
      <c r="M853" s="7" t="s">
        <v>83</v>
      </c>
      <c r="N853" s="7" t="s">
        <v>6744</v>
      </c>
      <c r="O853" s="7" t="s">
        <v>0</v>
      </c>
      <c r="P853" s="7" t="s">
        <v>83</v>
      </c>
      <c r="Q853" s="7" t="s">
        <v>6746</v>
      </c>
      <c r="R853" s="7" t="s">
        <v>282</v>
      </c>
      <c r="S853" s="7" t="s">
        <v>0</v>
      </c>
      <c r="T853" s="7" t="s">
        <v>54</v>
      </c>
      <c r="U853" s="7" t="s">
        <v>55</v>
      </c>
      <c r="V853" s="7" t="s">
        <v>91</v>
      </c>
      <c r="W853" s="7" t="s">
        <v>74</v>
      </c>
      <c r="X853" s="7" t="s">
        <v>103</v>
      </c>
      <c r="Y853" s="8">
        <v>45217</v>
      </c>
      <c r="Z853" s="8">
        <v>47038</v>
      </c>
      <c r="AA853" s="7" t="s">
        <v>92</v>
      </c>
      <c r="AB853" s="7" t="s">
        <v>94</v>
      </c>
      <c r="AC853" s="7" t="s">
        <v>65</v>
      </c>
      <c r="AD853" s="7" t="s">
        <v>0</v>
      </c>
      <c r="AE853" s="7" t="s">
        <v>0</v>
      </c>
      <c r="AF853" s="7" t="s">
        <v>0</v>
      </c>
      <c r="AG853" s="7" t="s">
        <v>0</v>
      </c>
      <c r="AH853" s="9" t="s">
        <v>0</v>
      </c>
      <c r="AI853" s="9" t="s">
        <v>0</v>
      </c>
      <c r="AJ853" s="9" t="s">
        <v>0</v>
      </c>
      <c r="AK853" s="7" t="s">
        <v>61</v>
      </c>
      <c r="AL853" s="7" t="s">
        <v>61</v>
      </c>
      <c r="AM853" s="7" t="s">
        <v>0</v>
      </c>
      <c r="AN853" s="7" t="s">
        <v>0</v>
      </c>
      <c r="AO853" s="7" t="s">
        <v>0</v>
      </c>
      <c r="AP853" s="7" t="s">
        <v>0</v>
      </c>
      <c r="AQ853" s="7" t="s">
        <v>61</v>
      </c>
      <c r="AR853" s="7" t="s">
        <v>0</v>
      </c>
      <c r="AS853" s="10" t="str">
        <f>HYPERLINK("https://tessa.gazprom-neft.local/edo/card/708d7c53-f69c-42c7-851b-fe994a22ca93", "https://tessa.gazprom-neft.local/edo/card/708d7c53-f69c-42c7-851b-fe994a22ca93")</f>
        <v>https://tessa.gazprom-neft.local/edo/card/708d7c53-f69c-42c7-851b-fe994a22ca93</v>
      </c>
    </row>
    <row r="854" spans="1:45" x14ac:dyDescent="0.25">
      <c r="A854" s="6" t="s">
        <v>44</v>
      </c>
      <c r="B854" s="7" t="s">
        <v>488</v>
      </c>
      <c r="C854" s="7" t="s">
        <v>67</v>
      </c>
      <c r="D854" s="8">
        <v>45217</v>
      </c>
      <c r="E854" s="8" t="s">
        <v>0</v>
      </c>
      <c r="F854" s="16" t="s">
        <v>489</v>
      </c>
      <c r="G854" s="7" t="s">
        <v>490</v>
      </c>
      <c r="H854" s="7" t="s">
        <v>2173</v>
      </c>
      <c r="I854" s="7" t="s">
        <v>0</v>
      </c>
      <c r="J854" s="7" t="s">
        <v>1098</v>
      </c>
      <c r="K854" s="7" t="s">
        <v>47</v>
      </c>
      <c r="L854" s="7" t="s">
        <v>48</v>
      </c>
      <c r="M854" s="7" t="s">
        <v>0</v>
      </c>
      <c r="N854" s="7" t="s">
        <v>6845</v>
      </c>
      <c r="O854" s="7" t="s">
        <v>0</v>
      </c>
      <c r="P854" s="7" t="s">
        <v>6846</v>
      </c>
      <c r="Q854" s="7" t="s">
        <v>6847</v>
      </c>
      <c r="R854" s="7" t="s">
        <v>646</v>
      </c>
      <c r="S854" s="7" t="s">
        <v>6848</v>
      </c>
      <c r="T854" s="7" t="s">
        <v>54</v>
      </c>
      <c r="U854" s="7" t="s">
        <v>55</v>
      </c>
      <c r="V854" s="7" t="s">
        <v>864</v>
      </c>
      <c r="W854" s="7" t="s">
        <v>74</v>
      </c>
      <c r="X854" s="7" t="s">
        <v>58</v>
      </c>
      <c r="Y854" s="8">
        <v>45217</v>
      </c>
      <c r="Z854" s="8" t="s">
        <v>0</v>
      </c>
      <c r="AA854" s="7" t="s">
        <v>865</v>
      </c>
      <c r="AB854" s="7" t="s">
        <v>874</v>
      </c>
      <c r="AC854" s="7" t="s">
        <v>79</v>
      </c>
      <c r="AD854" s="7" t="s">
        <v>144</v>
      </c>
      <c r="AE854" s="7" t="s">
        <v>82</v>
      </c>
      <c r="AF854" s="7" t="s">
        <v>0</v>
      </c>
      <c r="AG854" s="7" t="s">
        <v>0</v>
      </c>
      <c r="AH854" s="9" t="s">
        <v>12971</v>
      </c>
      <c r="AI854" s="9" t="s">
        <v>12972</v>
      </c>
      <c r="AJ854" s="9" t="s">
        <v>12973</v>
      </c>
      <c r="AK854" s="7" t="s">
        <v>61</v>
      </c>
      <c r="AL854" s="7" t="s">
        <v>61</v>
      </c>
      <c r="AM854" s="7" t="s">
        <v>0</v>
      </c>
      <c r="AN854" s="7" t="s">
        <v>0</v>
      </c>
      <c r="AO854" s="7" t="s">
        <v>0</v>
      </c>
      <c r="AP854" s="7" t="s">
        <v>0</v>
      </c>
      <c r="AQ854" s="7" t="s">
        <v>61</v>
      </c>
      <c r="AR854" s="7" t="s">
        <v>0</v>
      </c>
      <c r="AS854" s="10" t="str">
        <f>HYPERLINK("https://tessa.gazprom-neft.local/edo/card/996db6c1-c433-44de-86e7-b85ac27b357b", "https://tessa.gazprom-neft.local/edo/card/996db6c1-c433-44de-86e7-b85ac27b357b")</f>
        <v>https://tessa.gazprom-neft.local/edo/card/996db6c1-c433-44de-86e7-b85ac27b357b</v>
      </c>
    </row>
    <row r="855" spans="1:45" x14ac:dyDescent="0.25">
      <c r="A855" s="6" t="s">
        <v>44</v>
      </c>
      <c r="B855" s="7" t="s">
        <v>1435</v>
      </c>
      <c r="C855" s="7" t="s">
        <v>67</v>
      </c>
      <c r="D855" s="8">
        <v>45216</v>
      </c>
      <c r="E855" s="8" t="s">
        <v>0</v>
      </c>
      <c r="F855" s="16" t="s">
        <v>1436</v>
      </c>
      <c r="G855" s="7" t="s">
        <v>1437</v>
      </c>
      <c r="H855" s="7" t="s">
        <v>1432</v>
      </c>
      <c r="I855" s="7" t="s">
        <v>0</v>
      </c>
      <c r="J855" s="7" t="s">
        <v>51</v>
      </c>
      <c r="K855" s="7" t="s">
        <v>47</v>
      </c>
      <c r="L855" s="7" t="s">
        <v>48</v>
      </c>
      <c r="M855" s="7" t="s">
        <v>0</v>
      </c>
      <c r="N855" s="7" t="s">
        <v>6553</v>
      </c>
      <c r="O855" s="7" t="s">
        <v>0</v>
      </c>
      <c r="P855" s="7" t="s">
        <v>6554</v>
      </c>
      <c r="Q855" s="7" t="s">
        <v>6555</v>
      </c>
      <c r="R855" s="7" t="s">
        <v>1523</v>
      </c>
      <c r="S855" s="7" t="s">
        <v>1523</v>
      </c>
      <c r="T855" s="7" t="s">
        <v>54</v>
      </c>
      <c r="U855" s="7" t="s">
        <v>188</v>
      </c>
      <c r="V855" s="7" t="s">
        <v>187</v>
      </c>
      <c r="W855" s="7" t="s">
        <v>74</v>
      </c>
      <c r="X855" s="7" t="s">
        <v>103</v>
      </c>
      <c r="Y855" s="8">
        <v>45216</v>
      </c>
      <c r="Z855" s="8">
        <v>46081</v>
      </c>
      <c r="AA855" s="7" t="s">
        <v>224</v>
      </c>
      <c r="AB855" s="7" t="s">
        <v>64</v>
      </c>
      <c r="AC855" s="7" t="s">
        <v>79</v>
      </c>
      <c r="AD855" s="7" t="s">
        <v>80</v>
      </c>
      <c r="AE855" s="7" t="s">
        <v>82</v>
      </c>
      <c r="AF855" s="7" t="s">
        <v>0</v>
      </c>
      <c r="AG855" s="7" t="s">
        <v>0</v>
      </c>
      <c r="AH855" s="9">
        <v>0</v>
      </c>
      <c r="AI855" s="9">
        <v>0</v>
      </c>
      <c r="AJ855" s="9">
        <v>0</v>
      </c>
      <c r="AK855" s="7" t="s">
        <v>61</v>
      </c>
      <c r="AL855" s="7" t="s">
        <v>61</v>
      </c>
      <c r="AM855" s="7" t="s">
        <v>0</v>
      </c>
      <c r="AN855" s="7" t="s">
        <v>0</v>
      </c>
      <c r="AO855" s="7" t="s">
        <v>0</v>
      </c>
      <c r="AP855" s="7" t="s">
        <v>0</v>
      </c>
      <c r="AQ855" s="7" t="s">
        <v>61</v>
      </c>
      <c r="AR855" s="7" t="s">
        <v>0</v>
      </c>
      <c r="AS855" s="10" t="str">
        <f>HYPERLINK("https://tessa.gazprom-neft.local/edo/card/fd80ba61-3d71-4442-90e5-134b744a193b", "https://tessa.gazprom-neft.local/edo/card/fd80ba61-3d71-4442-90e5-134b744a193b")</f>
        <v>https://tessa.gazprom-neft.local/edo/card/fd80ba61-3d71-4442-90e5-134b744a193b</v>
      </c>
    </row>
    <row r="856" spans="1:45" x14ac:dyDescent="0.25">
      <c r="A856" s="6" t="s">
        <v>44</v>
      </c>
      <c r="B856" s="7" t="s">
        <v>6400</v>
      </c>
      <c r="C856" s="7" t="s">
        <v>67</v>
      </c>
      <c r="D856" s="8">
        <v>45215</v>
      </c>
      <c r="E856" s="8" t="s">
        <v>0</v>
      </c>
      <c r="F856" s="16" t="s">
        <v>6401</v>
      </c>
      <c r="G856" s="7" t="s">
        <v>6402</v>
      </c>
      <c r="H856" s="7" t="s">
        <v>3674</v>
      </c>
      <c r="I856" s="7" t="s">
        <v>0</v>
      </c>
      <c r="J856" s="7" t="s">
        <v>51</v>
      </c>
      <c r="K856" s="7" t="s">
        <v>47</v>
      </c>
      <c r="L856" s="7" t="s">
        <v>48</v>
      </c>
      <c r="M856" s="7" t="s">
        <v>0</v>
      </c>
      <c r="N856" s="7" t="s">
        <v>6713</v>
      </c>
      <c r="O856" s="7" t="s">
        <v>0</v>
      </c>
      <c r="P856" s="7" t="s">
        <v>183</v>
      </c>
      <c r="Q856" s="7" t="s">
        <v>6714</v>
      </c>
      <c r="R856" s="7" t="s">
        <v>2349</v>
      </c>
      <c r="S856" s="7" t="s">
        <v>0</v>
      </c>
      <c r="T856" s="7" t="s">
        <v>54</v>
      </c>
      <c r="U856" s="7" t="s">
        <v>4582</v>
      </c>
      <c r="V856" s="7" t="s">
        <v>137</v>
      </c>
      <c r="W856" s="7" t="s">
        <v>57</v>
      </c>
      <c r="X856" s="7" t="s">
        <v>103</v>
      </c>
      <c r="Y856" s="8">
        <v>45215</v>
      </c>
      <c r="Z856" s="8">
        <v>45291</v>
      </c>
      <c r="AA856" s="7" t="s">
        <v>0</v>
      </c>
      <c r="AB856" s="7" t="s">
        <v>192</v>
      </c>
      <c r="AC856" s="7" t="s">
        <v>79</v>
      </c>
      <c r="AD856" s="7" t="s">
        <v>514</v>
      </c>
      <c r="AE856" s="7" t="s">
        <v>193</v>
      </c>
      <c r="AF856" s="7" t="s">
        <v>0</v>
      </c>
      <c r="AG856" s="7" t="s">
        <v>0</v>
      </c>
      <c r="AH856" s="9" t="s">
        <v>12930</v>
      </c>
      <c r="AI856" s="9" t="s">
        <v>12931</v>
      </c>
      <c r="AJ856" s="9" t="s">
        <v>12932</v>
      </c>
      <c r="AK856" s="7" t="s">
        <v>61</v>
      </c>
      <c r="AL856" s="7" t="s">
        <v>61</v>
      </c>
      <c r="AM856" s="7" t="s">
        <v>0</v>
      </c>
      <c r="AN856" s="7" t="s">
        <v>0</v>
      </c>
      <c r="AO856" s="7" t="s">
        <v>0</v>
      </c>
      <c r="AP856" s="7" t="s">
        <v>0</v>
      </c>
      <c r="AQ856" s="7" t="s">
        <v>61</v>
      </c>
      <c r="AR856" s="7" t="s">
        <v>0</v>
      </c>
      <c r="AS856" s="10" t="str">
        <f>HYPERLINK("https://tessa.gazprom-neft.local/edo/card/f4d4f948-84fd-43d7-8101-e863548ceb2b", "https://tessa.gazprom-neft.local/edo/card/f4d4f948-84fd-43d7-8101-e863548ceb2b")</f>
        <v>https://tessa.gazprom-neft.local/edo/card/f4d4f948-84fd-43d7-8101-e863548ceb2b</v>
      </c>
    </row>
    <row r="857" spans="1:45" x14ac:dyDescent="0.25">
      <c r="A857" s="6" t="s">
        <v>44</v>
      </c>
      <c r="B857" s="7" t="s">
        <v>5382</v>
      </c>
      <c r="C857" s="7" t="s">
        <v>67</v>
      </c>
      <c r="D857" s="8">
        <v>45211</v>
      </c>
      <c r="E857" s="8" t="s">
        <v>0</v>
      </c>
      <c r="F857" s="16" t="s">
        <v>5383</v>
      </c>
      <c r="G857" s="7" t="s">
        <v>5384</v>
      </c>
      <c r="H857" s="7" t="s">
        <v>5405</v>
      </c>
      <c r="I857" s="7" t="s">
        <v>0</v>
      </c>
      <c r="J857" s="7" t="s">
        <v>51</v>
      </c>
      <c r="K857" s="7" t="s">
        <v>85</v>
      </c>
      <c r="L857" s="7" t="s">
        <v>48</v>
      </c>
      <c r="M857" s="7" t="s">
        <v>1183</v>
      </c>
      <c r="N857" s="7" t="s">
        <v>6765</v>
      </c>
      <c r="O857" s="7" t="s">
        <v>0</v>
      </c>
      <c r="P857" s="7" t="s">
        <v>1183</v>
      </c>
      <c r="Q857" s="7" t="s">
        <v>5678</v>
      </c>
      <c r="R857" s="7" t="s">
        <v>898</v>
      </c>
      <c r="S857" s="7" t="s">
        <v>898</v>
      </c>
      <c r="T857" s="7" t="s">
        <v>54</v>
      </c>
      <c r="U857" s="7" t="s">
        <v>899</v>
      </c>
      <c r="V857" s="7" t="s">
        <v>308</v>
      </c>
      <c r="W857" s="7" t="s">
        <v>74</v>
      </c>
      <c r="X857" s="7" t="s">
        <v>223</v>
      </c>
      <c r="Y857" s="8">
        <v>45219</v>
      </c>
      <c r="Z857" s="8" t="s">
        <v>0</v>
      </c>
      <c r="AA857" s="7" t="s">
        <v>309</v>
      </c>
      <c r="AB857" s="7" t="s">
        <v>228</v>
      </c>
      <c r="AC857" s="7" t="s">
        <v>65</v>
      </c>
      <c r="AD857" s="7" t="s">
        <v>0</v>
      </c>
      <c r="AE857" s="7" t="s">
        <v>0</v>
      </c>
      <c r="AF857" s="7" t="s">
        <v>0</v>
      </c>
      <c r="AG857" s="7" t="s">
        <v>0</v>
      </c>
      <c r="AH857" s="9" t="s">
        <v>0</v>
      </c>
      <c r="AI857" s="9" t="s">
        <v>0</v>
      </c>
      <c r="AJ857" s="9" t="s">
        <v>0</v>
      </c>
      <c r="AK857" s="7" t="s">
        <v>61</v>
      </c>
      <c r="AL857" s="7" t="s">
        <v>61</v>
      </c>
      <c r="AM857" s="7" t="s">
        <v>0</v>
      </c>
      <c r="AN857" s="7" t="s">
        <v>0</v>
      </c>
      <c r="AO857" s="7" t="s">
        <v>0</v>
      </c>
      <c r="AP857" s="7" t="s">
        <v>0</v>
      </c>
      <c r="AQ857" s="7" t="s">
        <v>61</v>
      </c>
      <c r="AR857" s="7" t="s">
        <v>0</v>
      </c>
      <c r="AS857" s="10" t="str">
        <f>HYPERLINK("https://tessa.gazprom-neft.local/edo/card/8007d15c-2462-4517-894f-f9388a959ca1", "https://tessa.gazprom-neft.local/edo/card/8007d15c-2462-4517-894f-f9388a959ca1")</f>
        <v>https://tessa.gazprom-neft.local/edo/card/8007d15c-2462-4517-894f-f9388a959ca1</v>
      </c>
    </row>
    <row r="858" spans="1:45" x14ac:dyDescent="0.25">
      <c r="A858" s="6" t="s">
        <v>44</v>
      </c>
      <c r="B858" s="7" t="s">
        <v>620</v>
      </c>
      <c r="C858" s="7" t="s">
        <v>67</v>
      </c>
      <c r="D858" s="8">
        <v>45209</v>
      </c>
      <c r="E858" s="8" t="s">
        <v>0</v>
      </c>
      <c r="F858" s="16" t="s">
        <v>621</v>
      </c>
      <c r="G858" s="7" t="s">
        <v>622</v>
      </c>
      <c r="H858" s="7" t="s">
        <v>2846</v>
      </c>
      <c r="I858" s="7" t="s">
        <v>0</v>
      </c>
      <c r="J858" s="7" t="s">
        <v>6644</v>
      </c>
      <c r="K858" s="7" t="s">
        <v>85</v>
      </c>
      <c r="L858" s="7" t="s">
        <v>48</v>
      </c>
      <c r="M858" s="7" t="s">
        <v>1183</v>
      </c>
      <c r="N858" s="7" t="s">
        <v>6642</v>
      </c>
      <c r="O858" s="7" t="s">
        <v>0</v>
      </c>
      <c r="P858" s="7" t="s">
        <v>6643</v>
      </c>
      <c r="Q858" s="7" t="s">
        <v>6645</v>
      </c>
      <c r="R858" s="7" t="s">
        <v>393</v>
      </c>
      <c r="S858" s="7" t="s">
        <v>859</v>
      </c>
      <c r="T858" s="7" t="s">
        <v>54</v>
      </c>
      <c r="U858" s="7" t="s">
        <v>283</v>
      </c>
      <c r="V858" s="7" t="s">
        <v>308</v>
      </c>
      <c r="W858" s="7" t="s">
        <v>74</v>
      </c>
      <c r="X858" s="7" t="s">
        <v>58</v>
      </c>
      <c r="Y858" s="8">
        <v>45209</v>
      </c>
      <c r="Z858" s="8" t="s">
        <v>0</v>
      </c>
      <c r="AA858" s="7" t="s">
        <v>309</v>
      </c>
      <c r="AB858" s="7" t="s">
        <v>228</v>
      </c>
      <c r="AC858" s="7" t="s">
        <v>65</v>
      </c>
      <c r="AD858" s="7" t="s">
        <v>0</v>
      </c>
      <c r="AE858" s="7" t="s">
        <v>0</v>
      </c>
      <c r="AF858" s="7" t="s">
        <v>0</v>
      </c>
      <c r="AG858" s="7" t="s">
        <v>0</v>
      </c>
      <c r="AH858" s="9" t="s">
        <v>0</v>
      </c>
      <c r="AI858" s="9" t="s">
        <v>0</v>
      </c>
      <c r="AJ858" s="9" t="s">
        <v>0</v>
      </c>
      <c r="AK858" s="7" t="s">
        <v>61</v>
      </c>
      <c r="AL858" s="7" t="s">
        <v>61</v>
      </c>
      <c r="AM858" s="7" t="s">
        <v>0</v>
      </c>
      <c r="AN858" s="7" t="s">
        <v>0</v>
      </c>
      <c r="AO858" s="7" t="s">
        <v>0</v>
      </c>
      <c r="AP858" s="7" t="s">
        <v>0</v>
      </c>
      <c r="AQ858" s="7" t="s">
        <v>61</v>
      </c>
      <c r="AR858" s="7" t="s">
        <v>0</v>
      </c>
      <c r="AS858" s="10" t="str">
        <f>HYPERLINK("https://tessa.gazprom-neft.local/edo/card/23f09392-6452-4a6b-b608-6cd7db7db5b5", "https://tessa.gazprom-neft.local/edo/card/23f09392-6452-4a6b-b608-6cd7db7db5b5")</f>
        <v>https://tessa.gazprom-neft.local/edo/card/23f09392-6452-4a6b-b608-6cd7db7db5b5</v>
      </c>
    </row>
    <row r="859" spans="1:45" hidden="1" x14ac:dyDescent="0.25">
      <c r="A859" s="6" t="s">
        <v>44</v>
      </c>
      <c r="B859" s="7" t="s">
        <v>715</v>
      </c>
      <c r="C859" s="7" t="s">
        <v>67</v>
      </c>
      <c r="D859" s="8">
        <v>45209</v>
      </c>
      <c r="E859" s="8" t="s">
        <v>0</v>
      </c>
      <c r="F859" s="16" t="s">
        <v>716</v>
      </c>
      <c r="G859" s="7" t="s">
        <v>717</v>
      </c>
      <c r="H859" s="7" t="s">
        <v>0</v>
      </c>
      <c r="I859" s="7" t="s">
        <v>6701</v>
      </c>
      <c r="J859" s="7" t="s">
        <v>6701</v>
      </c>
      <c r="K859" s="7" t="s">
        <v>47</v>
      </c>
      <c r="L859" s="7" t="s">
        <v>96</v>
      </c>
      <c r="M859" s="7" t="s">
        <v>0</v>
      </c>
      <c r="N859" s="7" t="s">
        <v>6700</v>
      </c>
      <c r="O859" s="7" t="s">
        <v>0</v>
      </c>
      <c r="P859" s="7" t="s">
        <v>434</v>
      </c>
      <c r="Q859" s="7" t="s">
        <v>6702</v>
      </c>
      <c r="R859" s="7" t="s">
        <v>646</v>
      </c>
      <c r="S859" s="7" t="s">
        <v>714</v>
      </c>
      <c r="T859" s="7" t="s">
        <v>54</v>
      </c>
      <c r="U859" s="7" t="s">
        <v>283</v>
      </c>
      <c r="V859" s="7" t="s">
        <v>91</v>
      </c>
      <c r="W859" s="7" t="s">
        <v>74</v>
      </c>
      <c r="X859" s="7" t="s">
        <v>103</v>
      </c>
      <c r="Y859" s="8">
        <v>45209</v>
      </c>
      <c r="Z859" s="8">
        <v>45657</v>
      </c>
      <c r="AA859" s="7" t="s">
        <v>92</v>
      </c>
      <c r="AB859" s="7" t="s">
        <v>434</v>
      </c>
      <c r="AC859" s="7" t="s">
        <v>65</v>
      </c>
      <c r="AD859" s="7" t="s">
        <v>0</v>
      </c>
      <c r="AE859" s="7" t="s">
        <v>0</v>
      </c>
      <c r="AF859" s="7" t="s">
        <v>0</v>
      </c>
      <c r="AG859" s="7" t="s">
        <v>0</v>
      </c>
      <c r="AH859" s="9" t="s">
        <v>0</v>
      </c>
      <c r="AI859" s="9" t="s">
        <v>0</v>
      </c>
      <c r="AJ859" s="9" t="s">
        <v>0</v>
      </c>
      <c r="AK859" s="7" t="s">
        <v>61</v>
      </c>
      <c r="AL859" s="7" t="s">
        <v>61</v>
      </c>
      <c r="AM859" s="7" t="s">
        <v>0</v>
      </c>
      <c r="AN859" s="7" t="s">
        <v>0</v>
      </c>
      <c r="AO859" s="7" t="s">
        <v>0</v>
      </c>
      <c r="AP859" s="7" t="s">
        <v>0</v>
      </c>
      <c r="AQ859" s="7" t="s">
        <v>61</v>
      </c>
      <c r="AR859" s="7" t="s">
        <v>0</v>
      </c>
      <c r="AS859" s="10" t="str">
        <f>HYPERLINK("https://tessa.gazprom-neft.local/edo/card/70dff5fe-f7bb-445a-9b05-07926b37a763", "https://tessa.gazprom-neft.local/edo/card/70dff5fe-f7bb-445a-9b05-07926b37a763")</f>
        <v>https://tessa.gazprom-neft.local/edo/card/70dff5fe-f7bb-445a-9b05-07926b37a763</v>
      </c>
    </row>
    <row r="860" spans="1:45" x14ac:dyDescent="0.25">
      <c r="A860" s="6" t="s">
        <v>44</v>
      </c>
      <c r="B860" s="7" t="s">
        <v>927</v>
      </c>
      <c r="C860" s="7" t="s">
        <v>67</v>
      </c>
      <c r="D860" s="8">
        <v>45208</v>
      </c>
      <c r="E860" s="8" t="s">
        <v>0</v>
      </c>
      <c r="F860" s="16" t="s">
        <v>928</v>
      </c>
      <c r="G860" s="7" t="s">
        <v>929</v>
      </c>
      <c r="H860" s="7" t="s">
        <v>1644</v>
      </c>
      <c r="I860" s="7" t="s">
        <v>0</v>
      </c>
      <c r="J860" s="7" t="s">
        <v>51</v>
      </c>
      <c r="K860" s="7" t="s">
        <v>85</v>
      </c>
      <c r="L860" s="7" t="s">
        <v>48</v>
      </c>
      <c r="M860" s="7" t="s">
        <v>1183</v>
      </c>
      <c r="N860" s="7" t="s">
        <v>6672</v>
      </c>
      <c r="O860" s="7" t="s">
        <v>0</v>
      </c>
      <c r="P860" s="7" t="s">
        <v>6673</v>
      </c>
      <c r="Q860" s="7" t="s">
        <v>6674</v>
      </c>
      <c r="R860" s="7" t="s">
        <v>393</v>
      </c>
      <c r="S860" s="7" t="s">
        <v>859</v>
      </c>
      <c r="T860" s="7" t="s">
        <v>54</v>
      </c>
      <c r="U860" s="7" t="s">
        <v>283</v>
      </c>
      <c r="V860" s="7" t="s">
        <v>308</v>
      </c>
      <c r="W860" s="7" t="s">
        <v>74</v>
      </c>
      <c r="X860" s="7" t="s">
        <v>58</v>
      </c>
      <c r="Y860" s="8">
        <v>45209</v>
      </c>
      <c r="Z860" s="8" t="s">
        <v>0</v>
      </c>
      <c r="AA860" s="7" t="s">
        <v>309</v>
      </c>
      <c r="AB860" s="7" t="s">
        <v>228</v>
      </c>
      <c r="AC860" s="7" t="s">
        <v>65</v>
      </c>
      <c r="AD860" s="7" t="s">
        <v>0</v>
      </c>
      <c r="AE860" s="7" t="s">
        <v>0</v>
      </c>
      <c r="AF860" s="7" t="s">
        <v>0</v>
      </c>
      <c r="AG860" s="7" t="s">
        <v>0</v>
      </c>
      <c r="AH860" s="9" t="s">
        <v>0</v>
      </c>
      <c r="AI860" s="9" t="s">
        <v>0</v>
      </c>
      <c r="AJ860" s="9" t="s">
        <v>0</v>
      </c>
      <c r="AK860" s="7" t="s">
        <v>61</v>
      </c>
      <c r="AL860" s="7" t="s">
        <v>61</v>
      </c>
      <c r="AM860" s="7" t="s">
        <v>0</v>
      </c>
      <c r="AN860" s="7" t="s">
        <v>0</v>
      </c>
      <c r="AO860" s="7" t="s">
        <v>0</v>
      </c>
      <c r="AP860" s="7" t="s">
        <v>0</v>
      </c>
      <c r="AQ860" s="7" t="s">
        <v>61</v>
      </c>
      <c r="AR860" s="7" t="s">
        <v>0</v>
      </c>
      <c r="AS860" s="10" t="str">
        <f>HYPERLINK("https://tessa.gazprom-neft.local/edo/card/15d62ced-d944-4f99-b1d8-c4b0fd9ff5a8", "https://tessa.gazprom-neft.local/edo/card/15d62ced-d944-4f99-b1d8-c4b0fd9ff5a8")</f>
        <v>https://tessa.gazprom-neft.local/edo/card/15d62ced-d944-4f99-b1d8-c4b0fd9ff5a8</v>
      </c>
    </row>
    <row r="861" spans="1:45" x14ac:dyDescent="0.25">
      <c r="A861" s="6" t="s">
        <v>44</v>
      </c>
      <c r="B861" s="7" t="s">
        <v>2001</v>
      </c>
      <c r="C861" s="7" t="s">
        <v>67</v>
      </c>
      <c r="D861" s="8">
        <v>45205</v>
      </c>
      <c r="E861" s="8" t="s">
        <v>0</v>
      </c>
      <c r="F861" s="16" t="s">
        <v>2002</v>
      </c>
      <c r="G861" s="7" t="s">
        <v>2003</v>
      </c>
      <c r="H861" s="7" t="s">
        <v>1998</v>
      </c>
      <c r="I861" s="7" t="s">
        <v>0</v>
      </c>
      <c r="J861" s="7" t="s">
        <v>156</v>
      </c>
      <c r="K861" s="7" t="s">
        <v>47</v>
      </c>
      <c r="L861" s="7" t="s">
        <v>48</v>
      </c>
      <c r="M861" s="7" t="s">
        <v>0</v>
      </c>
      <c r="N861" s="7" t="s">
        <v>6656</v>
      </c>
      <c r="O861" s="7" t="s">
        <v>0</v>
      </c>
      <c r="P861" s="7" t="s">
        <v>6657</v>
      </c>
      <c r="Q861" s="7" t="s">
        <v>6658</v>
      </c>
      <c r="R861" s="7" t="s">
        <v>393</v>
      </c>
      <c r="S861" s="7" t="s">
        <v>0</v>
      </c>
      <c r="T861" s="7" t="s">
        <v>54</v>
      </c>
      <c r="U861" s="7" t="s">
        <v>283</v>
      </c>
      <c r="V861" s="7" t="s">
        <v>308</v>
      </c>
      <c r="W861" s="7" t="s">
        <v>74</v>
      </c>
      <c r="X861" s="7" t="s">
        <v>58</v>
      </c>
      <c r="Y861" s="8">
        <v>45205</v>
      </c>
      <c r="Z861" s="8" t="s">
        <v>0</v>
      </c>
      <c r="AA861" s="7" t="s">
        <v>309</v>
      </c>
      <c r="AB861" s="7" t="s">
        <v>130</v>
      </c>
      <c r="AC861" s="7" t="s">
        <v>65</v>
      </c>
      <c r="AD861" s="7" t="s">
        <v>144</v>
      </c>
      <c r="AE861" s="7" t="s">
        <v>0</v>
      </c>
      <c r="AF861" s="7" t="s">
        <v>0</v>
      </c>
      <c r="AG861" s="7" t="s">
        <v>0</v>
      </c>
      <c r="AH861" s="9" t="s">
        <v>0</v>
      </c>
      <c r="AI861" s="9" t="s">
        <v>0</v>
      </c>
      <c r="AJ861" s="9" t="s">
        <v>0</v>
      </c>
      <c r="AK861" s="7" t="s">
        <v>61</v>
      </c>
      <c r="AL861" s="7" t="s">
        <v>61</v>
      </c>
      <c r="AM861" s="7" t="s">
        <v>0</v>
      </c>
      <c r="AN861" s="7" t="s">
        <v>0</v>
      </c>
      <c r="AO861" s="7" t="s">
        <v>0</v>
      </c>
      <c r="AP861" s="7" t="s">
        <v>0</v>
      </c>
      <c r="AQ861" s="7" t="s">
        <v>61</v>
      </c>
      <c r="AR861" s="7" t="s">
        <v>0</v>
      </c>
      <c r="AS861" s="10" t="str">
        <f>HYPERLINK("https://tessa.gazprom-neft.local/edo/card/2dcce9c1-d096-4a2a-849d-71d3f3ccc924", "https://tessa.gazprom-neft.local/edo/card/2dcce9c1-d096-4a2a-849d-71d3f3ccc924")</f>
        <v>https://tessa.gazprom-neft.local/edo/card/2dcce9c1-d096-4a2a-849d-71d3f3ccc924</v>
      </c>
    </row>
    <row r="862" spans="1:45" x14ac:dyDescent="0.25">
      <c r="A862" s="6" t="s">
        <v>44</v>
      </c>
      <c r="B862" s="7" t="s">
        <v>4898</v>
      </c>
      <c r="C862" s="7" t="s">
        <v>67</v>
      </c>
      <c r="D862" s="8">
        <v>45205</v>
      </c>
      <c r="E862" s="8" t="s">
        <v>0</v>
      </c>
      <c r="F862" s="16" t="s">
        <v>4899</v>
      </c>
      <c r="G862" s="7" t="s">
        <v>4900</v>
      </c>
      <c r="H862" s="7" t="s">
        <v>4922</v>
      </c>
      <c r="I862" s="7" t="s">
        <v>0</v>
      </c>
      <c r="J862" s="7" t="s">
        <v>51</v>
      </c>
      <c r="K862" s="7" t="s">
        <v>47</v>
      </c>
      <c r="L862" s="7" t="s">
        <v>48</v>
      </c>
      <c r="M862" s="7" t="s">
        <v>0</v>
      </c>
      <c r="N862" s="7" t="s">
        <v>6723</v>
      </c>
      <c r="O862" s="7" t="s">
        <v>0</v>
      </c>
      <c r="P862" s="7" t="s">
        <v>6724</v>
      </c>
      <c r="Q862" s="7" t="s">
        <v>6725</v>
      </c>
      <c r="R862" s="7" t="s">
        <v>646</v>
      </c>
      <c r="S862" s="7" t="s">
        <v>233</v>
      </c>
      <c r="T862" s="7" t="s">
        <v>54</v>
      </c>
      <c r="U862" s="7" t="s">
        <v>55</v>
      </c>
      <c r="V862" s="7" t="s">
        <v>864</v>
      </c>
      <c r="W862" s="7" t="s">
        <v>74</v>
      </c>
      <c r="X862" s="7" t="s">
        <v>58</v>
      </c>
      <c r="Y862" s="8">
        <v>45205</v>
      </c>
      <c r="Z862" s="8" t="s">
        <v>0</v>
      </c>
      <c r="AA862" s="7" t="s">
        <v>865</v>
      </c>
      <c r="AB862" s="7" t="s">
        <v>130</v>
      </c>
      <c r="AC862" s="7" t="s">
        <v>65</v>
      </c>
      <c r="AD862" s="7" t="s">
        <v>0</v>
      </c>
      <c r="AE862" s="7" t="s">
        <v>0</v>
      </c>
      <c r="AF862" s="7" t="s">
        <v>0</v>
      </c>
      <c r="AG862" s="7" t="s">
        <v>0</v>
      </c>
      <c r="AH862" s="9" t="s">
        <v>0</v>
      </c>
      <c r="AI862" s="9" t="s">
        <v>0</v>
      </c>
      <c r="AJ862" s="9" t="s">
        <v>0</v>
      </c>
      <c r="AK862" s="7" t="s">
        <v>61</v>
      </c>
      <c r="AL862" s="7" t="s">
        <v>61</v>
      </c>
      <c r="AM862" s="7" t="s">
        <v>0</v>
      </c>
      <c r="AN862" s="7" t="s">
        <v>0</v>
      </c>
      <c r="AO862" s="7" t="s">
        <v>0</v>
      </c>
      <c r="AP862" s="7" t="s">
        <v>0</v>
      </c>
      <c r="AQ862" s="7" t="s">
        <v>61</v>
      </c>
      <c r="AR862" s="7" t="s">
        <v>0</v>
      </c>
      <c r="AS862" s="10" t="str">
        <f>HYPERLINK("https://tessa.gazprom-neft.local/edo/card/5d01b689-ba00-49f6-bfd9-291b2dc7e548", "https://tessa.gazprom-neft.local/edo/card/5d01b689-ba00-49f6-bfd9-291b2dc7e548")</f>
        <v>https://tessa.gazprom-neft.local/edo/card/5d01b689-ba00-49f6-bfd9-291b2dc7e548</v>
      </c>
    </row>
    <row r="863" spans="1:45" hidden="1" x14ac:dyDescent="0.25">
      <c r="A863" s="6" t="s">
        <v>44</v>
      </c>
      <c r="B863" s="7" t="s">
        <v>715</v>
      </c>
      <c r="C863" s="7" t="s">
        <v>67</v>
      </c>
      <c r="D863" s="8">
        <v>45204</v>
      </c>
      <c r="E863" s="8" t="s">
        <v>0</v>
      </c>
      <c r="F863" s="16" t="s">
        <v>716</v>
      </c>
      <c r="G863" s="7" t="s">
        <v>717</v>
      </c>
      <c r="H863" s="7" t="s">
        <v>0</v>
      </c>
      <c r="I863" s="7" t="s">
        <v>6596</v>
      </c>
      <c r="J863" s="7" t="s">
        <v>6596</v>
      </c>
      <c r="K863" s="7" t="s">
        <v>47</v>
      </c>
      <c r="L863" s="7" t="s">
        <v>86</v>
      </c>
      <c r="M863" s="7" t="s">
        <v>0</v>
      </c>
      <c r="N863" s="7" t="s">
        <v>6595</v>
      </c>
      <c r="O863" s="7" t="s">
        <v>0</v>
      </c>
      <c r="P863" s="7" t="s">
        <v>2017</v>
      </c>
      <c r="Q863" s="7" t="s">
        <v>5420</v>
      </c>
      <c r="R863" s="7" t="s">
        <v>646</v>
      </c>
      <c r="S863" s="7" t="s">
        <v>714</v>
      </c>
      <c r="T863" s="7" t="s">
        <v>54</v>
      </c>
      <c r="U863" s="7" t="s">
        <v>283</v>
      </c>
      <c r="V863" s="7" t="s">
        <v>91</v>
      </c>
      <c r="W863" s="7" t="s">
        <v>74</v>
      </c>
      <c r="X863" s="7" t="s">
        <v>103</v>
      </c>
      <c r="Y863" s="8">
        <v>45204</v>
      </c>
      <c r="Z863" s="8">
        <v>45657</v>
      </c>
      <c r="AA863" s="7" t="s">
        <v>92</v>
      </c>
      <c r="AB863" s="7" t="s">
        <v>237</v>
      </c>
      <c r="AC863" s="7" t="s">
        <v>65</v>
      </c>
      <c r="AD863" s="7" t="s">
        <v>0</v>
      </c>
      <c r="AE863" s="7" t="s">
        <v>0</v>
      </c>
      <c r="AF863" s="7" t="s">
        <v>0</v>
      </c>
      <c r="AG863" s="7" t="s">
        <v>0</v>
      </c>
      <c r="AH863" s="9" t="s">
        <v>0</v>
      </c>
      <c r="AI863" s="9" t="s">
        <v>0</v>
      </c>
      <c r="AJ863" s="9" t="s">
        <v>0</v>
      </c>
      <c r="AK863" s="7" t="s">
        <v>61</v>
      </c>
      <c r="AL863" s="7" t="s">
        <v>61</v>
      </c>
      <c r="AM863" s="7" t="s">
        <v>0</v>
      </c>
      <c r="AN863" s="7" t="s">
        <v>0</v>
      </c>
      <c r="AO863" s="7" t="s">
        <v>0</v>
      </c>
      <c r="AP863" s="7" t="s">
        <v>0</v>
      </c>
      <c r="AQ863" s="7" t="s">
        <v>61</v>
      </c>
      <c r="AR863" s="7" t="s">
        <v>0</v>
      </c>
      <c r="AS863" s="10" t="str">
        <f>HYPERLINK("https://tessa.gazprom-neft.local/edo/card/d6f53aa1-7817-47c5-815e-0fe3812f7dd3", "https://tessa.gazprom-neft.local/edo/card/d6f53aa1-7817-47c5-815e-0fe3812f7dd3")</f>
        <v>https://tessa.gazprom-neft.local/edo/card/d6f53aa1-7817-47c5-815e-0fe3812f7dd3</v>
      </c>
    </row>
    <row r="864" spans="1:45" x14ac:dyDescent="0.25">
      <c r="A864" s="6" t="s">
        <v>44</v>
      </c>
      <c r="B864" s="7" t="s">
        <v>592</v>
      </c>
      <c r="C864" s="7" t="s">
        <v>67</v>
      </c>
      <c r="D864" s="8">
        <v>45204</v>
      </c>
      <c r="E864" s="8" t="s">
        <v>0</v>
      </c>
      <c r="F864" s="16" t="s">
        <v>593</v>
      </c>
      <c r="G864" s="7" t="s">
        <v>594</v>
      </c>
      <c r="H864" s="7" t="s">
        <v>3120</v>
      </c>
      <c r="I864" s="7" t="s">
        <v>0</v>
      </c>
      <c r="J864" s="7" t="s">
        <v>51</v>
      </c>
      <c r="K864" s="7" t="s">
        <v>47</v>
      </c>
      <c r="L864" s="7" t="s">
        <v>48</v>
      </c>
      <c r="M864" s="7" t="s">
        <v>0</v>
      </c>
      <c r="N864" s="7" t="s">
        <v>6692</v>
      </c>
      <c r="O864" s="7" t="s">
        <v>0</v>
      </c>
      <c r="P864" s="7" t="s">
        <v>6693</v>
      </c>
      <c r="Q864" s="7" t="s">
        <v>6694</v>
      </c>
      <c r="R864" s="7" t="s">
        <v>590</v>
      </c>
      <c r="S864" s="7" t="s">
        <v>394</v>
      </c>
      <c r="T864" s="7" t="s">
        <v>54</v>
      </c>
      <c r="U864" s="7" t="s">
        <v>591</v>
      </c>
      <c r="V864" s="7" t="s">
        <v>126</v>
      </c>
      <c r="W864" s="7" t="s">
        <v>74</v>
      </c>
      <c r="X864" s="7" t="s">
        <v>58</v>
      </c>
      <c r="Y864" s="8">
        <v>45204</v>
      </c>
      <c r="Z864" s="8" t="s">
        <v>0</v>
      </c>
      <c r="AA864" s="7" t="s">
        <v>224</v>
      </c>
      <c r="AB864" s="7" t="s">
        <v>387</v>
      </c>
      <c r="AC864" s="7" t="s">
        <v>65</v>
      </c>
      <c r="AD864" s="7" t="s">
        <v>0</v>
      </c>
      <c r="AE864" s="7" t="s">
        <v>0</v>
      </c>
      <c r="AF864" s="7" t="s">
        <v>0</v>
      </c>
      <c r="AG864" s="7" t="s">
        <v>0</v>
      </c>
      <c r="AH864" s="9" t="s">
        <v>0</v>
      </c>
      <c r="AI864" s="9" t="s">
        <v>0</v>
      </c>
      <c r="AJ864" s="9" t="s">
        <v>0</v>
      </c>
      <c r="AK864" s="7" t="s">
        <v>61</v>
      </c>
      <c r="AL864" s="7" t="s">
        <v>61</v>
      </c>
      <c r="AM864" s="7" t="s">
        <v>0</v>
      </c>
      <c r="AN864" s="7" t="s">
        <v>0</v>
      </c>
      <c r="AO864" s="7" t="s">
        <v>0</v>
      </c>
      <c r="AP864" s="7" t="s">
        <v>0</v>
      </c>
      <c r="AQ864" s="7" t="s">
        <v>61</v>
      </c>
      <c r="AR864" s="7" t="s">
        <v>0</v>
      </c>
      <c r="AS864" s="10" t="str">
        <f>HYPERLINK("https://tessa.gazprom-neft.local/edo/card/84a3b208-d2a1-4a05-907f-338e48f1558e", "https://tessa.gazprom-neft.local/edo/card/84a3b208-d2a1-4a05-907f-338e48f1558e")</f>
        <v>https://tessa.gazprom-neft.local/edo/card/84a3b208-d2a1-4a05-907f-338e48f1558e</v>
      </c>
    </row>
    <row r="865" spans="1:45" x14ac:dyDescent="0.25">
      <c r="A865" s="6" t="s">
        <v>44</v>
      </c>
      <c r="B865" s="7" t="s">
        <v>1147</v>
      </c>
      <c r="C865" s="7" t="s">
        <v>67</v>
      </c>
      <c r="D865" s="8">
        <v>45203</v>
      </c>
      <c r="E865" s="8" t="s">
        <v>0</v>
      </c>
      <c r="F865" s="16" t="s">
        <v>1148</v>
      </c>
      <c r="G865" s="7" t="s">
        <v>1149</v>
      </c>
      <c r="H865" s="7" t="s">
        <v>1145</v>
      </c>
      <c r="I865" s="7" t="s">
        <v>0</v>
      </c>
      <c r="J865" s="7" t="s">
        <v>51</v>
      </c>
      <c r="K865" s="7" t="s">
        <v>47</v>
      </c>
      <c r="L865" s="7" t="s">
        <v>48</v>
      </c>
      <c r="M865" s="7" t="s">
        <v>0</v>
      </c>
      <c r="N865" s="7" t="s">
        <v>6633</v>
      </c>
      <c r="O865" s="7" t="s">
        <v>0</v>
      </c>
      <c r="P865" s="7" t="s">
        <v>6634</v>
      </c>
      <c r="Q865" s="7" t="s">
        <v>6635</v>
      </c>
      <c r="R865" s="7" t="s">
        <v>898</v>
      </c>
      <c r="S865" s="7" t="s">
        <v>898</v>
      </c>
      <c r="T865" s="7" t="s">
        <v>54</v>
      </c>
      <c r="U865" s="7" t="s">
        <v>899</v>
      </c>
      <c r="V865" s="7" t="s">
        <v>308</v>
      </c>
      <c r="W865" s="7" t="s">
        <v>74</v>
      </c>
      <c r="X865" s="7" t="s">
        <v>223</v>
      </c>
      <c r="Y865" s="8">
        <v>45203</v>
      </c>
      <c r="Z865" s="8" t="s">
        <v>0</v>
      </c>
      <c r="AA865" s="7" t="s">
        <v>309</v>
      </c>
      <c r="AB865" s="7" t="s">
        <v>130</v>
      </c>
      <c r="AC865" s="7" t="s">
        <v>65</v>
      </c>
      <c r="AD865" s="7" t="s">
        <v>0</v>
      </c>
      <c r="AE865" s="7" t="s">
        <v>0</v>
      </c>
      <c r="AF865" s="7" t="s">
        <v>0</v>
      </c>
      <c r="AG865" s="7" t="s">
        <v>0</v>
      </c>
      <c r="AH865" s="9" t="s">
        <v>0</v>
      </c>
      <c r="AI865" s="9" t="s">
        <v>0</v>
      </c>
      <c r="AJ865" s="9" t="s">
        <v>0</v>
      </c>
      <c r="AK865" s="7" t="s">
        <v>61</v>
      </c>
      <c r="AL865" s="7" t="s">
        <v>61</v>
      </c>
      <c r="AM865" s="7" t="s">
        <v>0</v>
      </c>
      <c r="AN865" s="7" t="s">
        <v>0</v>
      </c>
      <c r="AO865" s="7" t="s">
        <v>0</v>
      </c>
      <c r="AP865" s="7" t="s">
        <v>0</v>
      </c>
      <c r="AQ865" s="7" t="s">
        <v>61</v>
      </c>
      <c r="AR865" s="7" t="s">
        <v>0</v>
      </c>
      <c r="AS865" s="10" t="str">
        <f>HYPERLINK("https://tessa.gazprom-neft.local/edo/card/fa41650a-49bc-4010-af83-97dcc8b0d98f", "https://tessa.gazprom-neft.local/edo/card/fa41650a-49bc-4010-af83-97dcc8b0d98f")</f>
        <v>https://tessa.gazprom-neft.local/edo/card/fa41650a-49bc-4010-af83-97dcc8b0d98f</v>
      </c>
    </row>
    <row r="866" spans="1:45" hidden="1" x14ac:dyDescent="0.25">
      <c r="A866" s="6" t="s">
        <v>44</v>
      </c>
      <c r="B866" s="7" t="s">
        <v>592</v>
      </c>
      <c r="C866" s="7" t="s">
        <v>67</v>
      </c>
      <c r="D866" s="8">
        <v>45203</v>
      </c>
      <c r="E866" s="8" t="s">
        <v>0</v>
      </c>
      <c r="F866" s="16" t="s">
        <v>593</v>
      </c>
      <c r="G866" s="7" t="s">
        <v>594</v>
      </c>
      <c r="H866" s="7" t="s">
        <v>953</v>
      </c>
      <c r="I866" s="7" t="s">
        <v>0</v>
      </c>
      <c r="J866" s="7" t="s">
        <v>872</v>
      </c>
      <c r="K866" s="7" t="s">
        <v>47</v>
      </c>
      <c r="L866" s="7" t="s">
        <v>239</v>
      </c>
      <c r="M866" s="7" t="s">
        <v>0</v>
      </c>
      <c r="N866" s="7" t="s">
        <v>6683</v>
      </c>
      <c r="O866" s="7" t="s">
        <v>0</v>
      </c>
      <c r="P866" s="7" t="s">
        <v>6684</v>
      </c>
      <c r="Q866" s="7" t="s">
        <v>6685</v>
      </c>
      <c r="R866" s="7" t="s">
        <v>590</v>
      </c>
      <c r="S866" s="7" t="s">
        <v>394</v>
      </c>
      <c r="T866" s="7" t="s">
        <v>54</v>
      </c>
      <c r="U866" s="7" t="s">
        <v>591</v>
      </c>
      <c r="V866" s="7" t="s">
        <v>126</v>
      </c>
      <c r="W866" s="7" t="s">
        <v>74</v>
      </c>
      <c r="X866" s="7" t="s">
        <v>58</v>
      </c>
      <c r="Y866" s="8">
        <v>45208</v>
      </c>
      <c r="Z866" s="8" t="s">
        <v>0</v>
      </c>
      <c r="AA866" s="7" t="s">
        <v>224</v>
      </c>
      <c r="AB866" s="7" t="s">
        <v>387</v>
      </c>
      <c r="AC866" s="7" t="s">
        <v>79</v>
      </c>
      <c r="AD866" s="7" t="s">
        <v>144</v>
      </c>
      <c r="AE866" s="7" t="s">
        <v>82</v>
      </c>
      <c r="AF866" s="7" t="s">
        <v>0</v>
      </c>
      <c r="AG866" s="7" t="s">
        <v>0</v>
      </c>
      <c r="AH866" s="9" t="s">
        <v>11638</v>
      </c>
      <c r="AI866" s="9" t="s">
        <v>11639</v>
      </c>
      <c r="AJ866" s="9" t="s">
        <v>11640</v>
      </c>
      <c r="AK866" s="7" t="s">
        <v>61</v>
      </c>
      <c r="AL866" s="7" t="s">
        <v>61</v>
      </c>
      <c r="AM866" s="7" t="s">
        <v>0</v>
      </c>
      <c r="AN866" s="7" t="s">
        <v>0</v>
      </c>
      <c r="AO866" s="7" t="s">
        <v>0</v>
      </c>
      <c r="AP866" s="7" t="s">
        <v>0</v>
      </c>
      <c r="AQ866" s="7" t="s">
        <v>61</v>
      </c>
      <c r="AR866" s="7" t="s">
        <v>0</v>
      </c>
      <c r="AS866" s="10" t="str">
        <f>HYPERLINK("https://tessa.gazprom-neft.local/edo/card/9debe5bc-8efd-449a-8407-a5ee99642c38", "https://tessa.gazprom-neft.local/edo/card/9debe5bc-8efd-449a-8407-a5ee99642c38")</f>
        <v>https://tessa.gazprom-neft.local/edo/card/9debe5bc-8efd-449a-8407-a5ee99642c38</v>
      </c>
    </row>
    <row r="867" spans="1:45" hidden="1" x14ac:dyDescent="0.25">
      <c r="A867" s="6" t="s">
        <v>44</v>
      </c>
      <c r="B867" s="7" t="s">
        <v>6351</v>
      </c>
      <c r="C867" s="7" t="s">
        <v>67</v>
      </c>
      <c r="D867" s="8">
        <v>45202</v>
      </c>
      <c r="E867" s="8" t="s">
        <v>0</v>
      </c>
      <c r="F867" s="16" t="s">
        <v>6352</v>
      </c>
      <c r="G867" s="7" t="s">
        <v>6353</v>
      </c>
      <c r="H867" s="7" t="s">
        <v>0</v>
      </c>
      <c r="I867" s="7" t="s">
        <v>6617</v>
      </c>
      <c r="J867" s="7" t="s">
        <v>6617</v>
      </c>
      <c r="K867" s="7" t="s">
        <v>85</v>
      </c>
      <c r="L867" s="7" t="s">
        <v>86</v>
      </c>
      <c r="M867" s="7" t="s">
        <v>289</v>
      </c>
      <c r="N867" s="7" t="s">
        <v>6616</v>
      </c>
      <c r="O867" s="7" t="s">
        <v>0</v>
      </c>
      <c r="P867" s="7" t="s">
        <v>289</v>
      </c>
      <c r="Q867" s="7" t="s">
        <v>6511</v>
      </c>
      <c r="R867" s="7" t="s">
        <v>549</v>
      </c>
      <c r="S867" s="7" t="s">
        <v>549</v>
      </c>
      <c r="T867" s="7" t="s">
        <v>54</v>
      </c>
      <c r="U867" s="7" t="s">
        <v>303</v>
      </c>
      <c r="V867" s="7" t="s">
        <v>91</v>
      </c>
      <c r="W867" s="7" t="s">
        <v>74</v>
      </c>
      <c r="X867" s="7" t="s">
        <v>223</v>
      </c>
      <c r="Y867" s="8">
        <v>45202</v>
      </c>
      <c r="Z867" s="8" t="s">
        <v>0</v>
      </c>
      <c r="AA867" s="7" t="s">
        <v>92</v>
      </c>
      <c r="AB867" s="7" t="s">
        <v>300</v>
      </c>
      <c r="AC867" s="7" t="s">
        <v>65</v>
      </c>
      <c r="AD867" s="7" t="s">
        <v>0</v>
      </c>
      <c r="AE867" s="7" t="s">
        <v>0</v>
      </c>
      <c r="AF867" s="7" t="s">
        <v>0</v>
      </c>
      <c r="AG867" s="7" t="s">
        <v>0</v>
      </c>
      <c r="AH867" s="9" t="s">
        <v>0</v>
      </c>
      <c r="AI867" s="9" t="s">
        <v>0</v>
      </c>
      <c r="AJ867" s="9" t="s">
        <v>0</v>
      </c>
      <c r="AK867" s="7" t="s">
        <v>61</v>
      </c>
      <c r="AL867" s="7" t="s">
        <v>61</v>
      </c>
      <c r="AM867" s="7" t="s">
        <v>0</v>
      </c>
      <c r="AN867" s="7" t="s">
        <v>0</v>
      </c>
      <c r="AO867" s="7" t="s">
        <v>0</v>
      </c>
      <c r="AP867" s="7" t="s">
        <v>0</v>
      </c>
      <c r="AQ867" s="7" t="s">
        <v>61</v>
      </c>
      <c r="AR867" s="7" t="s">
        <v>0</v>
      </c>
      <c r="AS867" s="10" t="str">
        <f>HYPERLINK("https://tessa.gazprom-neft.local/edo/card/4f1d6394-e8af-4803-9c42-21e0c0e7c819", "https://tessa.gazprom-neft.local/edo/card/4f1d6394-e8af-4803-9c42-21e0c0e7c819")</f>
        <v>https://tessa.gazprom-neft.local/edo/card/4f1d6394-e8af-4803-9c42-21e0c0e7c819</v>
      </c>
    </row>
    <row r="868" spans="1:45" hidden="1" x14ac:dyDescent="0.25">
      <c r="A868" s="6" t="s">
        <v>44</v>
      </c>
      <c r="B868" s="7" t="s">
        <v>1731</v>
      </c>
      <c r="C868" s="7" t="s">
        <v>67</v>
      </c>
      <c r="D868" s="8">
        <v>45201</v>
      </c>
      <c r="E868" s="8" t="s">
        <v>0</v>
      </c>
      <c r="F868" s="16" t="s">
        <v>6541</v>
      </c>
      <c r="G868" s="7" t="s">
        <v>1733</v>
      </c>
      <c r="H868" s="7" t="s">
        <v>0</v>
      </c>
      <c r="I868" s="7" t="s">
        <v>6538</v>
      </c>
      <c r="J868" s="7" t="s">
        <v>6538</v>
      </c>
      <c r="K868" s="7" t="s">
        <v>47</v>
      </c>
      <c r="L868" s="7" t="s">
        <v>96</v>
      </c>
      <c r="M868" s="7" t="s">
        <v>0</v>
      </c>
      <c r="N868" s="7" t="s">
        <v>6537</v>
      </c>
      <c r="O868" s="7" t="s">
        <v>0</v>
      </c>
      <c r="P868" s="7" t="s">
        <v>6539</v>
      </c>
      <c r="Q868" s="7" t="s">
        <v>6540</v>
      </c>
      <c r="R868" s="7" t="s">
        <v>53</v>
      </c>
      <c r="S868" s="7" t="s">
        <v>53</v>
      </c>
      <c r="T868" s="7" t="s">
        <v>54</v>
      </c>
      <c r="U868" s="7" t="s">
        <v>55</v>
      </c>
      <c r="V868" s="7" t="s">
        <v>56</v>
      </c>
      <c r="W868" s="7" t="s">
        <v>57</v>
      </c>
      <c r="X868" s="7" t="s">
        <v>58</v>
      </c>
      <c r="Y868" s="8">
        <v>45201</v>
      </c>
      <c r="Z868" s="8" t="s">
        <v>0</v>
      </c>
      <c r="AA868" s="7" t="s">
        <v>59</v>
      </c>
      <c r="AB868" s="7" t="s">
        <v>500</v>
      </c>
      <c r="AC868" s="7" t="s">
        <v>79</v>
      </c>
      <c r="AD868" s="7" t="s">
        <v>80</v>
      </c>
      <c r="AE868" s="7" t="s">
        <v>82</v>
      </c>
      <c r="AF868" s="7" t="s">
        <v>0</v>
      </c>
      <c r="AG868" s="7" t="s">
        <v>0</v>
      </c>
      <c r="AH868" s="9" t="s">
        <v>12881</v>
      </c>
      <c r="AI868" s="9" t="s">
        <v>12882</v>
      </c>
      <c r="AJ868" s="9" t="s">
        <v>12883</v>
      </c>
      <c r="AK868" s="7" t="s">
        <v>61</v>
      </c>
      <c r="AL868" s="7" t="s">
        <v>61</v>
      </c>
      <c r="AM868" s="7" t="s">
        <v>0</v>
      </c>
      <c r="AN868" s="7" t="s">
        <v>0</v>
      </c>
      <c r="AO868" s="7" t="s">
        <v>0</v>
      </c>
      <c r="AP868" s="7" t="s">
        <v>0</v>
      </c>
      <c r="AQ868" s="7" t="s">
        <v>61</v>
      </c>
      <c r="AR868" s="7" t="s">
        <v>0</v>
      </c>
      <c r="AS868" s="10" t="str">
        <f>HYPERLINK("https://tessa.gazprom-neft.local/edo/card/7daf450b-9944-4b3a-b4ed-453d1e01efa3", "https://tessa.gazprom-neft.local/edo/card/7daf450b-9944-4b3a-b4ed-453d1e01efa3")</f>
        <v>https://tessa.gazprom-neft.local/edo/card/7daf450b-9944-4b3a-b4ed-453d1e01efa3</v>
      </c>
    </row>
    <row r="869" spans="1:45" x14ac:dyDescent="0.25">
      <c r="A869" s="6" t="s">
        <v>44</v>
      </c>
      <c r="B869" s="7" t="s">
        <v>1386</v>
      </c>
      <c r="C869" s="7" t="s">
        <v>67</v>
      </c>
      <c r="D869" s="8">
        <v>45200</v>
      </c>
      <c r="E869" s="8" t="s">
        <v>0</v>
      </c>
      <c r="F869" s="16" t="s">
        <v>1387</v>
      </c>
      <c r="G869" s="7" t="s">
        <v>1388</v>
      </c>
      <c r="H869" s="7" t="s">
        <v>3881</v>
      </c>
      <c r="I869" s="7" t="s">
        <v>0</v>
      </c>
      <c r="J869" s="7" t="s">
        <v>316</v>
      </c>
      <c r="K869" s="7" t="s">
        <v>47</v>
      </c>
      <c r="L869" s="7" t="s">
        <v>48</v>
      </c>
      <c r="M869" s="7" t="s">
        <v>0</v>
      </c>
      <c r="N869" s="7" t="s">
        <v>5997</v>
      </c>
      <c r="O869" s="7" t="s">
        <v>0</v>
      </c>
      <c r="P869" s="7" t="s">
        <v>5998</v>
      </c>
      <c r="Q869" s="7" t="s">
        <v>5999</v>
      </c>
      <c r="R869" s="7" t="s">
        <v>484</v>
      </c>
      <c r="S869" s="7" t="s">
        <v>484</v>
      </c>
      <c r="T869" s="7" t="s">
        <v>54</v>
      </c>
      <c r="U869" s="7" t="s">
        <v>274</v>
      </c>
      <c r="V869" s="7" t="s">
        <v>864</v>
      </c>
      <c r="W869" s="7" t="s">
        <v>74</v>
      </c>
      <c r="X869" s="7" t="s">
        <v>58</v>
      </c>
      <c r="Y869" s="8">
        <v>45200</v>
      </c>
      <c r="Z869" s="8" t="s">
        <v>0</v>
      </c>
      <c r="AA869" s="7" t="s">
        <v>865</v>
      </c>
      <c r="AB869" s="7" t="s">
        <v>64</v>
      </c>
      <c r="AC869" s="7" t="s">
        <v>65</v>
      </c>
      <c r="AD869" s="7" t="s">
        <v>144</v>
      </c>
      <c r="AE869" s="7" t="s">
        <v>0</v>
      </c>
      <c r="AF869" s="7" t="s">
        <v>0</v>
      </c>
      <c r="AG869" s="7" t="s">
        <v>0</v>
      </c>
      <c r="AH869" s="9" t="s">
        <v>0</v>
      </c>
      <c r="AI869" s="9" t="s">
        <v>0</v>
      </c>
      <c r="AJ869" s="9" t="s">
        <v>0</v>
      </c>
      <c r="AK869" s="7" t="s">
        <v>61</v>
      </c>
      <c r="AL869" s="7" t="s">
        <v>61</v>
      </c>
      <c r="AM869" s="7" t="s">
        <v>0</v>
      </c>
      <c r="AN869" s="7" t="s">
        <v>0</v>
      </c>
      <c r="AO869" s="7" t="s">
        <v>0</v>
      </c>
      <c r="AP869" s="7" t="s">
        <v>0</v>
      </c>
      <c r="AQ869" s="7" t="s">
        <v>61</v>
      </c>
      <c r="AR869" s="7" t="s">
        <v>0</v>
      </c>
      <c r="AS869" s="10" t="str">
        <f>HYPERLINK("https://tessa.gazprom-neft.local/edo/card/1195ffd1-bf3d-44c7-aa78-16fb9237e2cc", "https://tessa.gazprom-neft.local/edo/card/1195ffd1-bf3d-44c7-aa78-16fb9237e2cc")</f>
        <v>https://tessa.gazprom-neft.local/edo/card/1195ffd1-bf3d-44c7-aa78-16fb9237e2cc</v>
      </c>
    </row>
    <row r="870" spans="1:45" hidden="1" x14ac:dyDescent="0.25">
      <c r="A870" s="6" t="s">
        <v>44</v>
      </c>
      <c r="B870" s="7" t="s">
        <v>715</v>
      </c>
      <c r="C870" s="7" t="s">
        <v>67</v>
      </c>
      <c r="D870" s="8">
        <v>45200</v>
      </c>
      <c r="E870" s="8" t="s">
        <v>0</v>
      </c>
      <c r="F870" s="16" t="s">
        <v>716</v>
      </c>
      <c r="G870" s="7" t="s">
        <v>717</v>
      </c>
      <c r="H870" s="7" t="s">
        <v>710</v>
      </c>
      <c r="I870" s="7" t="s">
        <v>0</v>
      </c>
      <c r="J870" s="7" t="s">
        <v>156</v>
      </c>
      <c r="K870" s="7" t="s">
        <v>47</v>
      </c>
      <c r="L870" s="7" t="s">
        <v>709</v>
      </c>
      <c r="M870" s="7" t="s">
        <v>0</v>
      </c>
      <c r="N870" s="7" t="s">
        <v>6304</v>
      </c>
      <c r="O870" s="7" t="s">
        <v>0</v>
      </c>
      <c r="P870" s="7" t="s">
        <v>6305</v>
      </c>
      <c r="Q870" s="7" t="s">
        <v>1526</v>
      </c>
      <c r="R870" s="7" t="s">
        <v>714</v>
      </c>
      <c r="S870" s="7" t="s">
        <v>714</v>
      </c>
      <c r="T870" s="7" t="s">
        <v>54</v>
      </c>
      <c r="U870" s="7" t="s">
        <v>101</v>
      </c>
      <c r="V870" s="7" t="s">
        <v>168</v>
      </c>
      <c r="W870" s="7" t="s">
        <v>74</v>
      </c>
      <c r="X870" s="7" t="s">
        <v>103</v>
      </c>
      <c r="Y870" s="8">
        <v>45200</v>
      </c>
      <c r="Z870" s="8">
        <v>45351</v>
      </c>
      <c r="AA870" s="7" t="s">
        <v>169</v>
      </c>
      <c r="AB870" s="7" t="s">
        <v>64</v>
      </c>
      <c r="AC870" s="7" t="s">
        <v>79</v>
      </c>
      <c r="AD870" s="7" t="s">
        <v>144</v>
      </c>
      <c r="AE870" s="7" t="s">
        <v>82</v>
      </c>
      <c r="AF870" s="7" t="s">
        <v>0</v>
      </c>
      <c r="AG870" s="7" t="s">
        <v>0</v>
      </c>
      <c r="AH870" s="9" t="s">
        <v>12794</v>
      </c>
      <c r="AI870" s="9" t="s">
        <v>12795</v>
      </c>
      <c r="AJ870" s="9" t="s">
        <v>12796</v>
      </c>
      <c r="AK870" s="7" t="s">
        <v>61</v>
      </c>
      <c r="AL870" s="7" t="s">
        <v>61</v>
      </c>
      <c r="AM870" s="7" t="s">
        <v>0</v>
      </c>
      <c r="AN870" s="7" t="s">
        <v>0</v>
      </c>
      <c r="AO870" s="7" t="s">
        <v>0</v>
      </c>
      <c r="AP870" s="7" t="s">
        <v>0</v>
      </c>
      <c r="AQ870" s="7" t="s">
        <v>61</v>
      </c>
      <c r="AR870" s="7" t="s">
        <v>0</v>
      </c>
      <c r="AS870" s="10" t="str">
        <f>HYPERLINK("https://tessa.gazprom-neft.local/edo/card/c7198be2-5a7a-476c-84af-5f94aa9d780b", "https://tessa.gazprom-neft.local/edo/card/c7198be2-5a7a-476c-84af-5f94aa9d780b")</f>
        <v>https://tessa.gazprom-neft.local/edo/card/c7198be2-5a7a-476c-84af-5f94aa9d780b</v>
      </c>
    </row>
    <row r="871" spans="1:45" x14ac:dyDescent="0.25">
      <c r="A871" s="6" t="s">
        <v>44</v>
      </c>
      <c r="B871" s="7" t="s">
        <v>4071</v>
      </c>
      <c r="C871" s="7" t="s">
        <v>67</v>
      </c>
      <c r="D871" s="8">
        <v>45200</v>
      </c>
      <c r="E871" s="8" t="s">
        <v>0</v>
      </c>
      <c r="F871" s="16" t="s">
        <v>4072</v>
      </c>
      <c r="G871" s="7" t="s">
        <v>4073</v>
      </c>
      <c r="H871" s="7" t="s">
        <v>4580</v>
      </c>
      <c r="I871" s="7" t="s">
        <v>0</v>
      </c>
      <c r="J871" s="7" t="s">
        <v>712</v>
      </c>
      <c r="K871" s="7" t="s">
        <v>47</v>
      </c>
      <c r="L871" s="7" t="s">
        <v>48</v>
      </c>
      <c r="M871" s="7" t="s">
        <v>0</v>
      </c>
      <c r="N871" s="7" t="s">
        <v>6439</v>
      </c>
      <c r="O871" s="7" t="s">
        <v>0</v>
      </c>
      <c r="P871" s="7" t="s">
        <v>6440</v>
      </c>
      <c r="Q871" s="7" t="s">
        <v>6441</v>
      </c>
      <c r="R871" s="7" t="s">
        <v>519</v>
      </c>
      <c r="S871" s="7" t="s">
        <v>519</v>
      </c>
      <c r="T871" s="7" t="s">
        <v>54</v>
      </c>
      <c r="U871" s="7" t="s">
        <v>4582</v>
      </c>
      <c r="V871" s="7" t="s">
        <v>295</v>
      </c>
      <c r="W871" s="7" t="s">
        <v>74</v>
      </c>
      <c r="X871" s="7" t="s">
        <v>103</v>
      </c>
      <c r="Y871" s="8">
        <v>45200</v>
      </c>
      <c r="Z871" s="8">
        <v>45291</v>
      </c>
      <c r="AA871" s="7" t="s">
        <v>296</v>
      </c>
      <c r="AB871" s="7" t="s">
        <v>130</v>
      </c>
      <c r="AC871" s="7" t="s">
        <v>65</v>
      </c>
      <c r="AD871" s="7" t="s">
        <v>0</v>
      </c>
      <c r="AE871" s="7" t="s">
        <v>0</v>
      </c>
      <c r="AF871" s="7" t="s">
        <v>0</v>
      </c>
      <c r="AG871" s="7" t="s">
        <v>0</v>
      </c>
      <c r="AH871" s="9" t="s">
        <v>0</v>
      </c>
      <c r="AI871" s="9" t="s">
        <v>0</v>
      </c>
      <c r="AJ871" s="9" t="s">
        <v>0</v>
      </c>
      <c r="AK871" s="7" t="s">
        <v>61</v>
      </c>
      <c r="AL871" s="7" t="s">
        <v>61</v>
      </c>
      <c r="AM871" s="7" t="s">
        <v>0</v>
      </c>
      <c r="AN871" s="7" t="s">
        <v>0</v>
      </c>
      <c r="AO871" s="7" t="s">
        <v>0</v>
      </c>
      <c r="AP871" s="7" t="s">
        <v>0</v>
      </c>
      <c r="AQ871" s="7" t="s">
        <v>61</v>
      </c>
      <c r="AR871" s="7" t="s">
        <v>0</v>
      </c>
      <c r="AS871" s="10" t="str">
        <f>HYPERLINK("https://tessa.gazprom-neft.local/edo/card/29bb606f-81cd-4a2a-adb5-acf5c1c8d883", "https://tessa.gazprom-neft.local/edo/card/29bb606f-81cd-4a2a-adb5-acf5c1c8d883")</f>
        <v>https://tessa.gazprom-neft.local/edo/card/29bb606f-81cd-4a2a-adb5-acf5c1c8d883</v>
      </c>
    </row>
    <row r="872" spans="1:45" x14ac:dyDescent="0.25">
      <c r="A872" s="6" t="s">
        <v>44</v>
      </c>
      <c r="B872" s="7" t="s">
        <v>275</v>
      </c>
      <c r="C872" s="7" t="s">
        <v>67</v>
      </c>
      <c r="D872" s="8">
        <v>45200</v>
      </c>
      <c r="E872" s="8" t="s">
        <v>0</v>
      </c>
      <c r="F872" s="16" t="s">
        <v>276</v>
      </c>
      <c r="G872" s="7" t="s">
        <v>277</v>
      </c>
      <c r="H872" s="7" t="s">
        <v>4939</v>
      </c>
      <c r="I872" s="7" t="s">
        <v>0</v>
      </c>
      <c r="J872" s="7" t="s">
        <v>70</v>
      </c>
      <c r="K872" s="7" t="s">
        <v>47</v>
      </c>
      <c r="L872" s="7" t="s">
        <v>48</v>
      </c>
      <c r="M872" s="7" t="s">
        <v>0</v>
      </c>
      <c r="N872" s="7" t="s">
        <v>6964</v>
      </c>
      <c r="O872" s="7" t="s">
        <v>0</v>
      </c>
      <c r="P872" s="7" t="s">
        <v>6965</v>
      </c>
      <c r="Q872" s="7" t="s">
        <v>6966</v>
      </c>
      <c r="R872" s="7" t="s">
        <v>1083</v>
      </c>
      <c r="S872" s="7" t="s">
        <v>1083</v>
      </c>
      <c r="T872" s="7" t="s">
        <v>54</v>
      </c>
      <c r="U872" s="7" t="s">
        <v>1043</v>
      </c>
      <c r="V872" s="7" t="s">
        <v>723</v>
      </c>
      <c r="W872" s="7" t="s">
        <v>74</v>
      </c>
      <c r="X872" s="7" t="s">
        <v>58</v>
      </c>
      <c r="Y872" s="8">
        <v>45200</v>
      </c>
      <c r="Z872" s="8" t="s">
        <v>0</v>
      </c>
      <c r="AA872" s="7" t="s">
        <v>1031</v>
      </c>
      <c r="AB872" s="7" t="s">
        <v>64</v>
      </c>
      <c r="AC872" s="7" t="s">
        <v>65</v>
      </c>
      <c r="AD872" s="7" t="s">
        <v>0</v>
      </c>
      <c r="AE872" s="7" t="s">
        <v>0</v>
      </c>
      <c r="AF872" s="7" t="s">
        <v>0</v>
      </c>
      <c r="AG872" s="7" t="s">
        <v>0</v>
      </c>
      <c r="AH872" s="9" t="s">
        <v>0</v>
      </c>
      <c r="AI872" s="9" t="s">
        <v>0</v>
      </c>
      <c r="AJ872" s="9" t="s">
        <v>0</v>
      </c>
      <c r="AK872" s="7" t="s">
        <v>61</v>
      </c>
      <c r="AL872" s="7" t="s">
        <v>61</v>
      </c>
      <c r="AM872" s="7" t="s">
        <v>0</v>
      </c>
      <c r="AN872" s="7" t="s">
        <v>0</v>
      </c>
      <c r="AO872" s="7" t="s">
        <v>0</v>
      </c>
      <c r="AP872" s="7" t="s">
        <v>0</v>
      </c>
      <c r="AQ872" s="7" t="s">
        <v>61</v>
      </c>
      <c r="AR872" s="7" t="s">
        <v>0</v>
      </c>
      <c r="AS872" s="10" t="str">
        <f>HYPERLINK("https://tessa.gazprom-neft.local/edo/card/10657eb5-c271-4a2a-96bc-2cb9232d3d35", "https://tessa.gazprom-neft.local/edo/card/10657eb5-c271-4a2a-96bc-2cb9232d3d35")</f>
        <v>https://tessa.gazprom-neft.local/edo/card/10657eb5-c271-4a2a-96bc-2cb9232d3d35</v>
      </c>
    </row>
    <row r="873" spans="1:45" hidden="1" x14ac:dyDescent="0.25">
      <c r="A873" s="6" t="s">
        <v>44</v>
      </c>
      <c r="B873" s="7" t="s">
        <v>1200</v>
      </c>
      <c r="C873" s="7" t="s">
        <v>67</v>
      </c>
      <c r="D873" s="8">
        <v>45199</v>
      </c>
      <c r="E873" s="8" t="s">
        <v>0</v>
      </c>
      <c r="F873" s="16" t="s">
        <v>1201</v>
      </c>
      <c r="G873" s="7" t="s">
        <v>1202</v>
      </c>
      <c r="H873" s="7" t="s">
        <v>0</v>
      </c>
      <c r="I873" s="7" t="s">
        <v>1196</v>
      </c>
      <c r="J873" s="7" t="s">
        <v>1196</v>
      </c>
      <c r="K873" s="7" t="s">
        <v>85</v>
      </c>
      <c r="L873" s="7" t="s">
        <v>96</v>
      </c>
      <c r="M873" s="7" t="s">
        <v>1931</v>
      </c>
      <c r="N873" s="7" t="s">
        <v>6308</v>
      </c>
      <c r="O873" s="7" t="s">
        <v>0</v>
      </c>
      <c r="P873" s="7" t="s">
        <v>1931</v>
      </c>
      <c r="Q873" s="7" t="s">
        <v>4480</v>
      </c>
      <c r="R873" s="7" t="s">
        <v>1199</v>
      </c>
      <c r="S873" s="7" t="s">
        <v>1199</v>
      </c>
      <c r="T873" s="7" t="s">
        <v>54</v>
      </c>
      <c r="U873" s="7" t="s">
        <v>605</v>
      </c>
      <c r="V873" s="7" t="s">
        <v>126</v>
      </c>
      <c r="W873" s="7" t="s">
        <v>57</v>
      </c>
      <c r="X873" s="7" t="s">
        <v>103</v>
      </c>
      <c r="Y873" s="8">
        <v>45199</v>
      </c>
      <c r="Z873" s="8">
        <v>45534</v>
      </c>
      <c r="AA873" s="7" t="s">
        <v>224</v>
      </c>
      <c r="AB873" s="7" t="s">
        <v>1203</v>
      </c>
      <c r="AC873" s="7" t="s">
        <v>79</v>
      </c>
      <c r="AD873" s="7" t="s">
        <v>80</v>
      </c>
      <c r="AE873" s="7" t="s">
        <v>82</v>
      </c>
      <c r="AF873" s="7" t="s">
        <v>0</v>
      </c>
      <c r="AG873" s="7" t="s">
        <v>0</v>
      </c>
      <c r="AH873" s="9" t="s">
        <v>12797</v>
      </c>
      <c r="AI873" s="9" t="s">
        <v>12798</v>
      </c>
      <c r="AJ873" s="9" t="s">
        <v>12799</v>
      </c>
      <c r="AK873" s="7" t="s">
        <v>61</v>
      </c>
      <c r="AL873" s="7" t="s">
        <v>61</v>
      </c>
      <c r="AM873" s="7" t="s">
        <v>0</v>
      </c>
      <c r="AN873" s="7" t="s">
        <v>0</v>
      </c>
      <c r="AO873" s="7" t="s">
        <v>0</v>
      </c>
      <c r="AP873" s="7" t="s">
        <v>0</v>
      </c>
      <c r="AQ873" s="7" t="s">
        <v>61</v>
      </c>
      <c r="AR873" s="7" t="s">
        <v>0</v>
      </c>
      <c r="AS873" s="10" t="str">
        <f>HYPERLINK("https://tessa.gazprom-neft.local/edo/card/fe8bad30-d7b4-428f-99fc-9197722136a9", "https://tessa.gazprom-neft.local/edo/card/fe8bad30-d7b4-428f-99fc-9197722136a9")</f>
        <v>https://tessa.gazprom-neft.local/edo/card/fe8bad30-d7b4-428f-99fc-9197722136a9</v>
      </c>
    </row>
    <row r="874" spans="1:45" hidden="1" x14ac:dyDescent="0.25">
      <c r="A874" s="6" t="s">
        <v>44</v>
      </c>
      <c r="B874" s="7" t="s">
        <v>1200</v>
      </c>
      <c r="C874" s="7" t="s">
        <v>67</v>
      </c>
      <c r="D874" s="8">
        <v>45199</v>
      </c>
      <c r="E874" s="8" t="s">
        <v>0</v>
      </c>
      <c r="F874" s="16" t="s">
        <v>1201</v>
      </c>
      <c r="G874" s="7" t="s">
        <v>1202</v>
      </c>
      <c r="H874" s="7" t="s">
        <v>0</v>
      </c>
      <c r="I874" s="7" t="s">
        <v>6312</v>
      </c>
      <c r="J874" s="7" t="s">
        <v>6312</v>
      </c>
      <c r="K874" s="7" t="s">
        <v>47</v>
      </c>
      <c r="L874" s="7" t="s">
        <v>96</v>
      </c>
      <c r="M874" s="7" t="s">
        <v>0</v>
      </c>
      <c r="N874" s="7" t="s">
        <v>6311</v>
      </c>
      <c r="O874" s="7" t="s">
        <v>0</v>
      </c>
      <c r="P874" s="7" t="s">
        <v>6313</v>
      </c>
      <c r="Q874" s="7" t="s">
        <v>6314</v>
      </c>
      <c r="R874" s="7" t="s">
        <v>1199</v>
      </c>
      <c r="S874" s="7" t="s">
        <v>1199</v>
      </c>
      <c r="T874" s="7" t="s">
        <v>54</v>
      </c>
      <c r="U874" s="7" t="s">
        <v>605</v>
      </c>
      <c r="V874" s="7" t="s">
        <v>126</v>
      </c>
      <c r="W874" s="7" t="s">
        <v>57</v>
      </c>
      <c r="X874" s="7" t="s">
        <v>103</v>
      </c>
      <c r="Y874" s="8">
        <v>45199</v>
      </c>
      <c r="Z874" s="8">
        <v>45534</v>
      </c>
      <c r="AA874" s="7" t="s">
        <v>224</v>
      </c>
      <c r="AB874" s="7" t="s">
        <v>2985</v>
      </c>
      <c r="AC874" s="7" t="s">
        <v>79</v>
      </c>
      <c r="AD874" s="7" t="s">
        <v>80</v>
      </c>
      <c r="AE874" s="7" t="s">
        <v>82</v>
      </c>
      <c r="AF874" s="7" t="s">
        <v>0</v>
      </c>
      <c r="AG874" s="7" t="s">
        <v>0</v>
      </c>
      <c r="AH874" s="9" t="s">
        <v>12800</v>
      </c>
      <c r="AI874" s="9" t="s">
        <v>12801</v>
      </c>
      <c r="AJ874" s="9" t="s">
        <v>12802</v>
      </c>
      <c r="AK874" s="7" t="s">
        <v>61</v>
      </c>
      <c r="AL874" s="7" t="s">
        <v>61</v>
      </c>
      <c r="AM874" s="7" t="s">
        <v>0</v>
      </c>
      <c r="AN874" s="7" t="s">
        <v>0</v>
      </c>
      <c r="AO874" s="7" t="s">
        <v>0</v>
      </c>
      <c r="AP874" s="7" t="s">
        <v>0</v>
      </c>
      <c r="AQ874" s="7" t="s">
        <v>61</v>
      </c>
      <c r="AR874" s="7" t="s">
        <v>0</v>
      </c>
      <c r="AS874" s="10" t="str">
        <f>HYPERLINK("https://tessa.gazprom-neft.local/edo/card/696d8a39-e575-4a56-bd01-1ffd2ae8deae", "https://tessa.gazprom-neft.local/edo/card/696d8a39-e575-4a56-bd01-1ffd2ae8deae")</f>
        <v>https://tessa.gazprom-neft.local/edo/card/696d8a39-e575-4a56-bd01-1ffd2ae8deae</v>
      </c>
    </row>
    <row r="875" spans="1:45" hidden="1" x14ac:dyDescent="0.25">
      <c r="A875" s="6" t="s">
        <v>44</v>
      </c>
      <c r="B875" s="7" t="s">
        <v>4496</v>
      </c>
      <c r="C875" s="7" t="s">
        <v>67</v>
      </c>
      <c r="D875" s="8">
        <v>45199</v>
      </c>
      <c r="E875" s="8" t="s">
        <v>0</v>
      </c>
      <c r="F875" s="16" t="s">
        <v>4497</v>
      </c>
      <c r="G875" s="7" t="s">
        <v>4498</v>
      </c>
      <c r="H875" s="7" t="s">
        <v>0</v>
      </c>
      <c r="I875" s="7" t="s">
        <v>6331</v>
      </c>
      <c r="J875" s="7" t="s">
        <v>6331</v>
      </c>
      <c r="K875" s="7" t="s">
        <v>47</v>
      </c>
      <c r="L875" s="7" t="s">
        <v>96</v>
      </c>
      <c r="M875" s="7" t="s">
        <v>0</v>
      </c>
      <c r="N875" s="7" t="s">
        <v>6330</v>
      </c>
      <c r="O875" s="7" t="s">
        <v>0</v>
      </c>
      <c r="P875" s="7" t="s">
        <v>6332</v>
      </c>
      <c r="Q875" s="7" t="s">
        <v>6314</v>
      </c>
      <c r="R875" s="7" t="s">
        <v>1199</v>
      </c>
      <c r="S875" s="7" t="s">
        <v>1199</v>
      </c>
      <c r="T875" s="7" t="s">
        <v>54</v>
      </c>
      <c r="U875" s="7" t="s">
        <v>605</v>
      </c>
      <c r="V875" s="7" t="s">
        <v>126</v>
      </c>
      <c r="W875" s="7" t="s">
        <v>57</v>
      </c>
      <c r="X875" s="7" t="s">
        <v>103</v>
      </c>
      <c r="Y875" s="8">
        <v>45199</v>
      </c>
      <c r="Z875" s="8">
        <v>45534</v>
      </c>
      <c r="AA875" s="7" t="s">
        <v>224</v>
      </c>
      <c r="AB875" s="7" t="s">
        <v>2985</v>
      </c>
      <c r="AC875" s="7" t="s">
        <v>79</v>
      </c>
      <c r="AD875" s="7" t="s">
        <v>80</v>
      </c>
      <c r="AE875" s="7" t="s">
        <v>82</v>
      </c>
      <c r="AF875" s="7" t="s">
        <v>0</v>
      </c>
      <c r="AG875" s="7" t="s">
        <v>0</v>
      </c>
      <c r="AH875" s="9" t="s">
        <v>12810</v>
      </c>
      <c r="AI875" s="9" t="s">
        <v>12811</v>
      </c>
      <c r="AJ875" s="9" t="s">
        <v>12812</v>
      </c>
      <c r="AK875" s="7" t="s">
        <v>61</v>
      </c>
      <c r="AL875" s="7" t="s">
        <v>61</v>
      </c>
      <c r="AM875" s="7" t="s">
        <v>0</v>
      </c>
      <c r="AN875" s="7" t="s">
        <v>0</v>
      </c>
      <c r="AO875" s="7" t="s">
        <v>0</v>
      </c>
      <c r="AP875" s="7" t="s">
        <v>0</v>
      </c>
      <c r="AQ875" s="7" t="s">
        <v>61</v>
      </c>
      <c r="AR875" s="7" t="s">
        <v>0</v>
      </c>
      <c r="AS875" s="10" t="str">
        <f>HYPERLINK("https://tessa.gazprom-neft.local/edo/card/ce55df66-3225-45ad-88b6-3db4feba2b36", "https://tessa.gazprom-neft.local/edo/card/ce55df66-3225-45ad-88b6-3db4feba2b36")</f>
        <v>https://tessa.gazprom-neft.local/edo/card/ce55df66-3225-45ad-88b6-3db4feba2b36</v>
      </c>
    </row>
    <row r="876" spans="1:45" x14ac:dyDescent="0.25">
      <c r="A876" s="6" t="s">
        <v>44</v>
      </c>
      <c r="B876" s="7" t="s">
        <v>1147</v>
      </c>
      <c r="C876" s="7" t="s">
        <v>67</v>
      </c>
      <c r="D876" s="8">
        <v>45199</v>
      </c>
      <c r="E876" s="8">
        <v>45199</v>
      </c>
      <c r="F876" s="16" t="s">
        <v>1148</v>
      </c>
      <c r="G876" s="7" t="s">
        <v>1149</v>
      </c>
      <c r="H876" s="7" t="s">
        <v>1145</v>
      </c>
      <c r="I876" s="7" t="s">
        <v>0</v>
      </c>
      <c r="J876" s="7" t="s">
        <v>6608</v>
      </c>
      <c r="K876" s="7" t="s">
        <v>47</v>
      </c>
      <c r="L876" s="7" t="s">
        <v>48</v>
      </c>
      <c r="M876" s="7" t="s">
        <v>0</v>
      </c>
      <c r="N876" s="7" t="s">
        <v>6607</v>
      </c>
      <c r="O876" s="7" t="s">
        <v>0</v>
      </c>
      <c r="P876" s="7" t="s">
        <v>1474</v>
      </c>
      <c r="Q876" s="7" t="s">
        <v>6609</v>
      </c>
      <c r="R876" s="7" t="s">
        <v>898</v>
      </c>
      <c r="S876" s="7" t="s">
        <v>898</v>
      </c>
      <c r="T876" s="7" t="s">
        <v>54</v>
      </c>
      <c r="U876" s="7" t="s">
        <v>899</v>
      </c>
      <c r="V876" s="7" t="s">
        <v>126</v>
      </c>
      <c r="W876" s="7" t="s">
        <v>74</v>
      </c>
      <c r="X876" s="7" t="s">
        <v>103</v>
      </c>
      <c r="Y876" s="8">
        <v>45199</v>
      </c>
      <c r="Z876" s="8">
        <v>45657</v>
      </c>
      <c r="AA876" s="7" t="s">
        <v>224</v>
      </c>
      <c r="AB876" s="7" t="s">
        <v>130</v>
      </c>
      <c r="AC876" s="7" t="s">
        <v>65</v>
      </c>
      <c r="AD876" s="7" t="s">
        <v>0</v>
      </c>
      <c r="AE876" s="7" t="s">
        <v>0</v>
      </c>
      <c r="AF876" s="7" t="s">
        <v>0</v>
      </c>
      <c r="AG876" s="7" t="s">
        <v>0</v>
      </c>
      <c r="AH876" s="9" t="s">
        <v>0</v>
      </c>
      <c r="AI876" s="9" t="s">
        <v>0</v>
      </c>
      <c r="AJ876" s="9" t="s">
        <v>0</v>
      </c>
      <c r="AK876" s="7" t="s">
        <v>61</v>
      </c>
      <c r="AL876" s="7" t="s">
        <v>61</v>
      </c>
      <c r="AM876" s="7" t="s">
        <v>0</v>
      </c>
      <c r="AN876" s="7" t="s">
        <v>0</v>
      </c>
      <c r="AO876" s="7" t="s">
        <v>0</v>
      </c>
      <c r="AP876" s="7" t="s">
        <v>0</v>
      </c>
      <c r="AQ876" s="7" t="s">
        <v>61</v>
      </c>
      <c r="AR876" s="7" t="s">
        <v>0</v>
      </c>
      <c r="AS876" s="10" t="str">
        <f>HYPERLINK("https://tessa.gazprom-neft.local/edo/card/863801b0-540b-456b-9ce9-fb6cd2f07469", "https://tessa.gazprom-neft.local/edo/card/863801b0-540b-456b-9ce9-fb6cd2f07469")</f>
        <v>https://tessa.gazprom-neft.local/edo/card/863801b0-540b-456b-9ce9-fb6cd2f07469</v>
      </c>
    </row>
    <row r="877" spans="1:45" hidden="1" x14ac:dyDescent="0.25">
      <c r="A877" s="6" t="s">
        <v>44</v>
      </c>
      <c r="B877" s="7" t="s">
        <v>1623</v>
      </c>
      <c r="C877" s="7" t="s">
        <v>46</v>
      </c>
      <c r="D877" s="8">
        <v>45197</v>
      </c>
      <c r="E877" s="8" t="s">
        <v>0</v>
      </c>
      <c r="F877" s="16" t="s">
        <v>1624</v>
      </c>
      <c r="G877" s="7" t="s">
        <v>1625</v>
      </c>
      <c r="H877" s="7" t="s">
        <v>0</v>
      </c>
      <c r="I877" s="7" t="s">
        <v>6510</v>
      </c>
      <c r="J877" s="7" t="s">
        <v>6510</v>
      </c>
      <c r="K877" s="7" t="s">
        <v>85</v>
      </c>
      <c r="L877" s="7" t="s">
        <v>86</v>
      </c>
      <c r="M877" s="7" t="s">
        <v>289</v>
      </c>
      <c r="N877" s="7" t="s">
        <v>6509</v>
      </c>
      <c r="O877" s="7" t="s">
        <v>0</v>
      </c>
      <c r="P877" s="7" t="s">
        <v>289</v>
      </c>
      <c r="Q877" s="7" t="s">
        <v>6511</v>
      </c>
      <c r="R877" s="7" t="s">
        <v>6254</v>
      </c>
      <c r="S877" s="7" t="s">
        <v>0</v>
      </c>
      <c r="T877" s="7" t="s">
        <v>54</v>
      </c>
      <c r="U877" s="7" t="s">
        <v>362</v>
      </c>
      <c r="V877" s="7" t="s">
        <v>340</v>
      </c>
      <c r="W877" s="7" t="s">
        <v>74</v>
      </c>
      <c r="X877" s="7" t="s">
        <v>223</v>
      </c>
      <c r="Y877" s="8">
        <v>45197</v>
      </c>
      <c r="Z877" s="8" t="s">
        <v>0</v>
      </c>
      <c r="AA877" s="7" t="s">
        <v>341</v>
      </c>
      <c r="AB877" s="7" t="s">
        <v>300</v>
      </c>
      <c r="AC877" s="7" t="s">
        <v>65</v>
      </c>
      <c r="AD877" s="7" t="s">
        <v>0</v>
      </c>
      <c r="AE877" s="7" t="s">
        <v>0</v>
      </c>
      <c r="AF877" s="7" t="s">
        <v>0</v>
      </c>
      <c r="AG877" s="7" t="s">
        <v>0</v>
      </c>
      <c r="AH877" s="9" t="s">
        <v>0</v>
      </c>
      <c r="AI877" s="9" t="s">
        <v>0</v>
      </c>
      <c r="AJ877" s="9" t="s">
        <v>0</v>
      </c>
      <c r="AK877" s="7" t="s">
        <v>61</v>
      </c>
      <c r="AL877" s="7" t="s">
        <v>61</v>
      </c>
      <c r="AM877" s="7" t="s">
        <v>0</v>
      </c>
      <c r="AN877" s="7" t="s">
        <v>0</v>
      </c>
      <c r="AO877" s="7" t="s">
        <v>0</v>
      </c>
      <c r="AP877" s="7" t="s">
        <v>0</v>
      </c>
      <c r="AQ877" s="7" t="s">
        <v>61</v>
      </c>
      <c r="AR877" s="7" t="s">
        <v>0</v>
      </c>
      <c r="AS877" s="10" t="str">
        <f>HYPERLINK("https://tessa.gazprom-neft.local/edo/card/3a60dd37-43b8-4c3d-bc86-ca9ece684327", "https://tessa.gazprom-neft.local/edo/card/3a60dd37-43b8-4c3d-bc86-ca9ece684327")</f>
        <v>https://tessa.gazprom-neft.local/edo/card/3a60dd37-43b8-4c3d-bc86-ca9ece684327</v>
      </c>
    </row>
    <row r="878" spans="1:45" x14ac:dyDescent="0.25">
      <c r="A878" s="6" t="s">
        <v>44</v>
      </c>
      <c r="B878" s="7" t="s">
        <v>350</v>
      </c>
      <c r="C878" s="7" t="s">
        <v>67</v>
      </c>
      <c r="D878" s="8">
        <v>45196</v>
      </c>
      <c r="E878" s="8" t="s">
        <v>0</v>
      </c>
      <c r="F878" s="16" t="s">
        <v>1027</v>
      </c>
      <c r="G878" s="7" t="s">
        <v>352</v>
      </c>
      <c r="H878" s="7" t="s">
        <v>1024</v>
      </c>
      <c r="I878" s="7" t="s">
        <v>0</v>
      </c>
      <c r="J878" s="7" t="s">
        <v>1098</v>
      </c>
      <c r="K878" s="7" t="s">
        <v>47</v>
      </c>
      <c r="L878" s="7" t="s">
        <v>48</v>
      </c>
      <c r="M878" s="7" t="s">
        <v>0</v>
      </c>
      <c r="N878" s="7" t="s">
        <v>6497</v>
      </c>
      <c r="O878" s="7" t="s">
        <v>0</v>
      </c>
      <c r="P878" s="7" t="s">
        <v>6498</v>
      </c>
      <c r="Q878" s="7" t="s">
        <v>6499</v>
      </c>
      <c r="R878" s="7" t="s">
        <v>124</v>
      </c>
      <c r="S878" s="7" t="s">
        <v>0</v>
      </c>
      <c r="T878" s="7" t="s">
        <v>54</v>
      </c>
      <c r="U878" s="7" t="s">
        <v>101</v>
      </c>
      <c r="V878" s="7" t="s">
        <v>308</v>
      </c>
      <c r="W878" s="7" t="s">
        <v>74</v>
      </c>
      <c r="X878" s="7" t="s">
        <v>58</v>
      </c>
      <c r="Y878" s="8">
        <v>45196</v>
      </c>
      <c r="Z878" s="8" t="s">
        <v>0</v>
      </c>
      <c r="AA878" s="7" t="s">
        <v>309</v>
      </c>
      <c r="AB878" s="7" t="s">
        <v>64</v>
      </c>
      <c r="AC878" s="7" t="s">
        <v>65</v>
      </c>
      <c r="AD878" s="7" t="s">
        <v>0</v>
      </c>
      <c r="AE878" s="7" t="s">
        <v>0</v>
      </c>
      <c r="AF878" s="7" t="s">
        <v>0</v>
      </c>
      <c r="AG878" s="7" t="s">
        <v>0</v>
      </c>
      <c r="AH878" s="9" t="s">
        <v>0</v>
      </c>
      <c r="AI878" s="9" t="s">
        <v>0</v>
      </c>
      <c r="AJ878" s="9" t="s">
        <v>0</v>
      </c>
      <c r="AK878" s="7" t="s">
        <v>61</v>
      </c>
      <c r="AL878" s="7" t="s">
        <v>61</v>
      </c>
      <c r="AM878" s="7" t="s">
        <v>0</v>
      </c>
      <c r="AN878" s="7" t="s">
        <v>0</v>
      </c>
      <c r="AO878" s="7" t="s">
        <v>0</v>
      </c>
      <c r="AP878" s="7" t="s">
        <v>0</v>
      </c>
      <c r="AQ878" s="7" t="s">
        <v>61</v>
      </c>
      <c r="AR878" s="7" t="s">
        <v>0</v>
      </c>
      <c r="AS878" s="10" t="str">
        <f>HYPERLINK("https://tessa.gazprom-neft.local/edo/card/41ea3e75-2cd6-4c96-ab21-72021b83bea2", "https://tessa.gazprom-neft.local/edo/card/41ea3e75-2cd6-4c96-ab21-72021b83bea2")</f>
        <v>https://tessa.gazprom-neft.local/edo/card/41ea3e75-2cd6-4c96-ab21-72021b83bea2</v>
      </c>
    </row>
    <row r="879" spans="1:45" hidden="1" x14ac:dyDescent="0.25">
      <c r="A879" s="6" t="s">
        <v>44</v>
      </c>
      <c r="B879" s="7" t="s">
        <v>1165</v>
      </c>
      <c r="C879" s="7" t="s">
        <v>67</v>
      </c>
      <c r="D879" s="8">
        <v>45196</v>
      </c>
      <c r="E879" s="8" t="s">
        <v>0</v>
      </c>
      <c r="F879" s="16" t="s">
        <v>1166</v>
      </c>
      <c r="G879" s="7" t="s">
        <v>1167</v>
      </c>
      <c r="H879" s="7" t="s">
        <v>1161</v>
      </c>
      <c r="I879" s="7" t="s">
        <v>0</v>
      </c>
      <c r="J879" s="7" t="s">
        <v>6564</v>
      </c>
      <c r="K879" s="7" t="s">
        <v>47</v>
      </c>
      <c r="L879" s="7" t="s">
        <v>239</v>
      </c>
      <c r="M879" s="7" t="s">
        <v>0</v>
      </c>
      <c r="N879" s="7" t="s">
        <v>6562</v>
      </c>
      <c r="O879" s="7" t="s">
        <v>0</v>
      </c>
      <c r="P879" s="7" t="s">
        <v>6563</v>
      </c>
      <c r="Q879" s="7" t="s">
        <v>6565</v>
      </c>
      <c r="R879" s="7" t="s">
        <v>244</v>
      </c>
      <c r="S879" s="7" t="s">
        <v>0</v>
      </c>
      <c r="T879" s="7" t="s">
        <v>54</v>
      </c>
      <c r="U879" s="7" t="s">
        <v>55</v>
      </c>
      <c r="V879" s="7" t="s">
        <v>340</v>
      </c>
      <c r="W879" s="7" t="s">
        <v>57</v>
      </c>
      <c r="X879" s="7" t="s">
        <v>103</v>
      </c>
      <c r="Y879" s="8">
        <v>45196</v>
      </c>
      <c r="Z879" s="8">
        <v>45224</v>
      </c>
      <c r="AA879" s="7" t="s">
        <v>341</v>
      </c>
      <c r="AB879" s="7" t="s">
        <v>256</v>
      </c>
      <c r="AC879" s="7" t="s">
        <v>79</v>
      </c>
      <c r="AD879" s="7" t="s">
        <v>144</v>
      </c>
      <c r="AE879" s="7" t="s">
        <v>82</v>
      </c>
      <c r="AF879" s="7" t="s">
        <v>0</v>
      </c>
      <c r="AG879" s="7" t="s">
        <v>0</v>
      </c>
      <c r="AH879" s="9" t="s">
        <v>12893</v>
      </c>
      <c r="AI879" s="9" t="s">
        <v>12894</v>
      </c>
      <c r="AJ879" s="9" t="s">
        <v>12895</v>
      </c>
      <c r="AK879" s="7" t="s">
        <v>61</v>
      </c>
      <c r="AL879" s="7" t="s">
        <v>61</v>
      </c>
      <c r="AM879" s="7" t="s">
        <v>0</v>
      </c>
      <c r="AN879" s="7" t="s">
        <v>0</v>
      </c>
      <c r="AO879" s="7" t="s">
        <v>0</v>
      </c>
      <c r="AP879" s="7" t="s">
        <v>0</v>
      </c>
      <c r="AQ879" s="7" t="s">
        <v>61</v>
      </c>
      <c r="AR879" s="7" t="s">
        <v>0</v>
      </c>
      <c r="AS879" s="10" t="str">
        <f>HYPERLINK("https://tessa.gazprom-neft.local/edo/card/ee4fbda2-08dc-447f-a7df-32e4f9e124d2", "https://tessa.gazprom-neft.local/edo/card/ee4fbda2-08dc-447f-a7df-32e4f9e124d2")</f>
        <v>https://tessa.gazprom-neft.local/edo/card/ee4fbda2-08dc-447f-a7df-32e4f9e124d2</v>
      </c>
    </row>
    <row r="880" spans="1:45" hidden="1" x14ac:dyDescent="0.25">
      <c r="A880" s="6" t="s">
        <v>44</v>
      </c>
      <c r="B880" s="7" t="s">
        <v>1165</v>
      </c>
      <c r="C880" s="7" t="s">
        <v>67</v>
      </c>
      <c r="D880" s="8">
        <v>45196</v>
      </c>
      <c r="E880" s="8" t="s">
        <v>0</v>
      </c>
      <c r="F880" s="16" t="s">
        <v>1166</v>
      </c>
      <c r="G880" s="7" t="s">
        <v>1167</v>
      </c>
      <c r="H880" s="7" t="s">
        <v>1161</v>
      </c>
      <c r="I880" s="7" t="s">
        <v>0</v>
      </c>
      <c r="J880" s="7" t="s">
        <v>6576</v>
      </c>
      <c r="K880" s="7" t="s">
        <v>47</v>
      </c>
      <c r="L880" s="7" t="s">
        <v>239</v>
      </c>
      <c r="M880" s="7" t="s">
        <v>0</v>
      </c>
      <c r="N880" s="7" t="s">
        <v>6574</v>
      </c>
      <c r="O880" s="7" t="s">
        <v>0</v>
      </c>
      <c r="P880" s="7" t="s">
        <v>6575</v>
      </c>
      <c r="Q880" s="7" t="s">
        <v>6577</v>
      </c>
      <c r="R880" s="7" t="s">
        <v>244</v>
      </c>
      <c r="S880" s="7" t="s">
        <v>0</v>
      </c>
      <c r="T880" s="7" t="s">
        <v>54</v>
      </c>
      <c r="U880" s="7" t="s">
        <v>55</v>
      </c>
      <c r="V880" s="7" t="s">
        <v>340</v>
      </c>
      <c r="W880" s="7" t="s">
        <v>57</v>
      </c>
      <c r="X880" s="7" t="s">
        <v>103</v>
      </c>
      <c r="Y880" s="8">
        <v>45196</v>
      </c>
      <c r="Z880" s="8">
        <v>45229</v>
      </c>
      <c r="AA880" s="7" t="s">
        <v>341</v>
      </c>
      <c r="AB880" s="7" t="s">
        <v>256</v>
      </c>
      <c r="AC880" s="7" t="s">
        <v>79</v>
      </c>
      <c r="AD880" s="7" t="s">
        <v>144</v>
      </c>
      <c r="AE880" s="7" t="s">
        <v>82</v>
      </c>
      <c r="AF880" s="7" t="s">
        <v>0</v>
      </c>
      <c r="AG880" s="7" t="s">
        <v>0</v>
      </c>
      <c r="AH880" s="9" t="s">
        <v>12896</v>
      </c>
      <c r="AI880" s="9" t="s">
        <v>12897</v>
      </c>
      <c r="AJ880" s="9" t="s">
        <v>12898</v>
      </c>
      <c r="AK880" s="7" t="s">
        <v>61</v>
      </c>
      <c r="AL880" s="7" t="s">
        <v>61</v>
      </c>
      <c r="AM880" s="7" t="s">
        <v>0</v>
      </c>
      <c r="AN880" s="7" t="s">
        <v>0</v>
      </c>
      <c r="AO880" s="7" t="s">
        <v>0</v>
      </c>
      <c r="AP880" s="7" t="s">
        <v>0</v>
      </c>
      <c r="AQ880" s="7" t="s">
        <v>61</v>
      </c>
      <c r="AR880" s="7" t="s">
        <v>0</v>
      </c>
      <c r="AS880" s="10" t="str">
        <f>HYPERLINK("https://tessa.gazprom-neft.local/edo/card/4d5306ca-ad6f-4244-8f45-74fb2134ca31", "https://tessa.gazprom-neft.local/edo/card/4d5306ca-ad6f-4244-8f45-74fb2134ca31")</f>
        <v>https://tessa.gazprom-neft.local/edo/card/4d5306ca-ad6f-4244-8f45-74fb2134ca31</v>
      </c>
    </row>
    <row r="881" spans="1:45" hidden="1" x14ac:dyDescent="0.25">
      <c r="A881" s="6" t="s">
        <v>44</v>
      </c>
      <c r="B881" s="7" t="s">
        <v>813</v>
      </c>
      <c r="C881" s="7" t="s">
        <v>67</v>
      </c>
      <c r="D881" s="8">
        <v>45195</v>
      </c>
      <c r="E881" s="8" t="s">
        <v>0</v>
      </c>
      <c r="F881" s="16" t="s">
        <v>814</v>
      </c>
      <c r="G881" s="7" t="s">
        <v>815</v>
      </c>
      <c r="H881" s="7" t="s">
        <v>809</v>
      </c>
      <c r="I881" s="7" t="s">
        <v>0</v>
      </c>
      <c r="J881" s="7" t="s">
        <v>122</v>
      </c>
      <c r="K881" s="7" t="s">
        <v>47</v>
      </c>
      <c r="L881" s="7" t="s">
        <v>709</v>
      </c>
      <c r="M881" s="7" t="s">
        <v>0</v>
      </c>
      <c r="N881" s="7" t="s">
        <v>6467</v>
      </c>
      <c r="O881" s="7" t="s">
        <v>1098</v>
      </c>
      <c r="P881" s="7" t="s">
        <v>6468</v>
      </c>
      <c r="Q881" s="7" t="s">
        <v>6469</v>
      </c>
      <c r="R881" s="7" t="s">
        <v>393</v>
      </c>
      <c r="S881" s="7" t="s">
        <v>812</v>
      </c>
      <c r="T881" s="7" t="s">
        <v>54</v>
      </c>
      <c r="U881" s="7" t="s">
        <v>55</v>
      </c>
      <c r="V881" s="7" t="s">
        <v>56</v>
      </c>
      <c r="W881" s="7" t="s">
        <v>74</v>
      </c>
      <c r="X881" s="7" t="s">
        <v>58</v>
      </c>
      <c r="Y881" s="8">
        <v>45195</v>
      </c>
      <c r="Z881" s="8" t="s">
        <v>0</v>
      </c>
      <c r="AA881" s="7" t="s">
        <v>212</v>
      </c>
      <c r="AB881" s="7" t="s">
        <v>256</v>
      </c>
      <c r="AC881" s="7" t="s">
        <v>79</v>
      </c>
      <c r="AD881" s="7" t="s">
        <v>80</v>
      </c>
      <c r="AE881" s="7" t="s">
        <v>82</v>
      </c>
      <c r="AF881" s="7" t="s">
        <v>0</v>
      </c>
      <c r="AG881" s="7" t="s">
        <v>0</v>
      </c>
      <c r="AH881" s="9" t="s">
        <v>12852</v>
      </c>
      <c r="AI881" s="9" t="s">
        <v>12853</v>
      </c>
      <c r="AJ881" s="9" t="s">
        <v>12854</v>
      </c>
      <c r="AK881" s="7" t="s">
        <v>61</v>
      </c>
      <c r="AL881" s="7" t="s">
        <v>61</v>
      </c>
      <c r="AM881" s="7" t="s">
        <v>0</v>
      </c>
      <c r="AN881" s="7" t="s">
        <v>0</v>
      </c>
      <c r="AO881" s="7" t="s">
        <v>0</v>
      </c>
      <c r="AP881" s="7" t="s">
        <v>0</v>
      </c>
      <c r="AQ881" s="7" t="s">
        <v>61</v>
      </c>
      <c r="AR881" s="7" t="s">
        <v>0</v>
      </c>
      <c r="AS881" s="10" t="str">
        <f>HYPERLINK("https://tessa.gazprom-neft.local/edo/card/77ee3552-063a-4866-ac61-5698ed75e845", "https://tessa.gazprom-neft.local/edo/card/77ee3552-063a-4866-ac61-5698ed75e845")</f>
        <v>https://tessa.gazprom-neft.local/edo/card/77ee3552-063a-4866-ac61-5698ed75e845</v>
      </c>
    </row>
    <row r="882" spans="1:45" x14ac:dyDescent="0.25">
      <c r="A882" s="6" t="s">
        <v>44</v>
      </c>
      <c r="B882" s="7" t="s">
        <v>1495</v>
      </c>
      <c r="C882" s="7" t="s">
        <v>67</v>
      </c>
      <c r="D882" s="8">
        <v>45195</v>
      </c>
      <c r="E882" s="8" t="s">
        <v>0</v>
      </c>
      <c r="F882" s="16" t="s">
        <v>1496</v>
      </c>
      <c r="G882" s="7" t="s">
        <v>1497</v>
      </c>
      <c r="H882" s="7" t="s">
        <v>6482</v>
      </c>
      <c r="I882" s="7" t="s">
        <v>0</v>
      </c>
      <c r="J882" s="7" t="s">
        <v>51</v>
      </c>
      <c r="K882" s="7" t="s">
        <v>85</v>
      </c>
      <c r="L882" s="7" t="s">
        <v>48</v>
      </c>
      <c r="M882" s="7" t="s">
        <v>1183</v>
      </c>
      <c r="N882" s="7" t="s">
        <v>6481</v>
      </c>
      <c r="O882" s="7" t="s">
        <v>0</v>
      </c>
      <c r="P882" s="7" t="s">
        <v>1183</v>
      </c>
      <c r="Q882" s="7" t="s">
        <v>6483</v>
      </c>
      <c r="R882" s="7" t="s">
        <v>505</v>
      </c>
      <c r="S882" s="7" t="s">
        <v>0</v>
      </c>
      <c r="T882" s="7" t="s">
        <v>54</v>
      </c>
      <c r="U882" s="7" t="s">
        <v>283</v>
      </c>
      <c r="V882" s="7" t="s">
        <v>308</v>
      </c>
      <c r="W882" s="7" t="s">
        <v>74</v>
      </c>
      <c r="X882" s="7" t="s">
        <v>103</v>
      </c>
      <c r="Y882" s="8">
        <v>45195</v>
      </c>
      <c r="Z882" s="8">
        <v>45504</v>
      </c>
      <c r="AA882" s="7" t="s">
        <v>309</v>
      </c>
      <c r="AB882" s="7" t="s">
        <v>228</v>
      </c>
      <c r="AC882" s="7" t="s">
        <v>65</v>
      </c>
      <c r="AD882" s="7" t="s">
        <v>0</v>
      </c>
      <c r="AE882" s="7" t="s">
        <v>0</v>
      </c>
      <c r="AF882" s="7" t="s">
        <v>0</v>
      </c>
      <c r="AG882" s="7" t="s">
        <v>0</v>
      </c>
      <c r="AH882" s="9" t="s">
        <v>0</v>
      </c>
      <c r="AI882" s="9" t="s">
        <v>0</v>
      </c>
      <c r="AJ882" s="9" t="s">
        <v>0</v>
      </c>
      <c r="AK882" s="7" t="s">
        <v>61</v>
      </c>
      <c r="AL882" s="7" t="s">
        <v>61</v>
      </c>
      <c r="AM882" s="7" t="s">
        <v>0</v>
      </c>
      <c r="AN882" s="7" t="s">
        <v>0</v>
      </c>
      <c r="AO882" s="7" t="s">
        <v>0</v>
      </c>
      <c r="AP882" s="7" t="s">
        <v>0</v>
      </c>
      <c r="AQ882" s="7" t="s">
        <v>61</v>
      </c>
      <c r="AR882" s="7" t="s">
        <v>0</v>
      </c>
      <c r="AS882" s="10" t="str">
        <f>HYPERLINK("https://tessa.gazprom-neft.local/edo/card/dd7b21ab-7db0-4516-a3e3-bf0fea73a5e3", "https://tessa.gazprom-neft.local/edo/card/dd7b21ab-7db0-4516-a3e3-bf0fea73a5e3")</f>
        <v>https://tessa.gazprom-neft.local/edo/card/dd7b21ab-7db0-4516-a3e3-bf0fea73a5e3</v>
      </c>
    </row>
    <row r="883" spans="1:45" hidden="1" x14ac:dyDescent="0.25">
      <c r="A883" s="6" t="s">
        <v>44</v>
      </c>
      <c r="B883" s="7" t="s">
        <v>1101</v>
      </c>
      <c r="C883" s="7" t="s">
        <v>67</v>
      </c>
      <c r="D883" s="8">
        <v>45194</v>
      </c>
      <c r="E883" s="8" t="s">
        <v>0</v>
      </c>
      <c r="F883" s="16" t="s">
        <v>1102</v>
      </c>
      <c r="G883" s="7" t="s">
        <v>1103</v>
      </c>
      <c r="H883" s="7" t="s">
        <v>2522</v>
      </c>
      <c r="I883" s="7" t="s">
        <v>0</v>
      </c>
      <c r="J883" s="7" t="s">
        <v>872</v>
      </c>
      <c r="K883" s="7" t="s">
        <v>47</v>
      </c>
      <c r="L883" s="7" t="s">
        <v>239</v>
      </c>
      <c r="M883" s="7" t="s">
        <v>0</v>
      </c>
      <c r="N883" s="7" t="s">
        <v>6165</v>
      </c>
      <c r="O883" s="7" t="s">
        <v>0</v>
      </c>
      <c r="P883" s="7" t="s">
        <v>3063</v>
      </c>
      <c r="Q883" s="7" t="s">
        <v>6166</v>
      </c>
      <c r="R883" s="7" t="s">
        <v>3298</v>
      </c>
      <c r="S883" s="7" t="s">
        <v>3298</v>
      </c>
      <c r="T883" s="7" t="s">
        <v>54</v>
      </c>
      <c r="U883" s="7" t="s">
        <v>303</v>
      </c>
      <c r="V883" s="7" t="s">
        <v>91</v>
      </c>
      <c r="W883" s="7" t="s">
        <v>74</v>
      </c>
      <c r="X883" s="7" t="s">
        <v>103</v>
      </c>
      <c r="Y883" s="8">
        <v>45200</v>
      </c>
      <c r="Z883" s="8">
        <v>45350</v>
      </c>
      <c r="AA883" s="7" t="s">
        <v>92</v>
      </c>
      <c r="AB883" s="7" t="s">
        <v>64</v>
      </c>
      <c r="AC883" s="7" t="s">
        <v>79</v>
      </c>
      <c r="AD883" s="7" t="s">
        <v>144</v>
      </c>
      <c r="AE883" s="7" t="s">
        <v>118</v>
      </c>
      <c r="AF883" s="7" t="s">
        <v>0</v>
      </c>
      <c r="AG883" s="7" t="s">
        <v>0</v>
      </c>
      <c r="AH883" s="9" t="s">
        <v>12737</v>
      </c>
      <c r="AI883" s="9" t="s">
        <v>12737</v>
      </c>
      <c r="AJ883" s="9">
        <v>0</v>
      </c>
      <c r="AK883" s="7" t="s">
        <v>61</v>
      </c>
      <c r="AL883" s="7" t="s">
        <v>61</v>
      </c>
      <c r="AM883" s="7" t="s">
        <v>0</v>
      </c>
      <c r="AN883" s="7" t="s">
        <v>0</v>
      </c>
      <c r="AO883" s="7" t="s">
        <v>0</v>
      </c>
      <c r="AP883" s="7" t="s">
        <v>0</v>
      </c>
      <c r="AQ883" s="7" t="s">
        <v>61</v>
      </c>
      <c r="AR883" s="7" t="s">
        <v>0</v>
      </c>
      <c r="AS883" s="10" t="str">
        <f>HYPERLINK("https://tessa.gazprom-neft.local/edo/card/11353e6a-46ad-4eb5-958c-e01fc613f760", "https://tessa.gazprom-neft.local/edo/card/11353e6a-46ad-4eb5-958c-e01fc613f760")</f>
        <v>https://tessa.gazprom-neft.local/edo/card/11353e6a-46ad-4eb5-958c-e01fc613f760</v>
      </c>
    </row>
    <row r="884" spans="1:45" hidden="1" x14ac:dyDescent="0.25">
      <c r="A884" s="6" t="s">
        <v>44</v>
      </c>
      <c r="B884" s="7" t="s">
        <v>715</v>
      </c>
      <c r="C884" s="7" t="s">
        <v>67</v>
      </c>
      <c r="D884" s="8">
        <v>45194</v>
      </c>
      <c r="E884" s="8" t="s">
        <v>0</v>
      </c>
      <c r="F884" s="16" t="s">
        <v>716</v>
      </c>
      <c r="G884" s="7" t="s">
        <v>717</v>
      </c>
      <c r="H884" s="7" t="s">
        <v>710</v>
      </c>
      <c r="I884" s="7" t="s">
        <v>0</v>
      </c>
      <c r="J884" s="7" t="s">
        <v>271</v>
      </c>
      <c r="K884" s="7" t="s">
        <v>47</v>
      </c>
      <c r="L884" s="7" t="s">
        <v>239</v>
      </c>
      <c r="M884" s="7" t="s">
        <v>0</v>
      </c>
      <c r="N884" s="7" t="s">
        <v>6209</v>
      </c>
      <c r="O884" s="7" t="s">
        <v>0</v>
      </c>
      <c r="P884" s="7" t="s">
        <v>6210</v>
      </c>
      <c r="Q884" s="7" t="s">
        <v>3669</v>
      </c>
      <c r="R884" s="7" t="s">
        <v>714</v>
      </c>
      <c r="S884" s="7" t="s">
        <v>714</v>
      </c>
      <c r="T884" s="7" t="s">
        <v>54</v>
      </c>
      <c r="U884" s="7" t="s">
        <v>101</v>
      </c>
      <c r="V884" s="7" t="s">
        <v>308</v>
      </c>
      <c r="W884" s="7" t="s">
        <v>74</v>
      </c>
      <c r="X884" s="7" t="s">
        <v>103</v>
      </c>
      <c r="Y884" s="8">
        <v>45194</v>
      </c>
      <c r="Z884" s="8">
        <v>45322</v>
      </c>
      <c r="AA884" s="7" t="s">
        <v>309</v>
      </c>
      <c r="AB884" s="7" t="s">
        <v>64</v>
      </c>
      <c r="AC884" s="7" t="s">
        <v>79</v>
      </c>
      <c r="AD884" s="7" t="s">
        <v>144</v>
      </c>
      <c r="AE884" s="7" t="s">
        <v>82</v>
      </c>
      <c r="AF884" s="7" t="s">
        <v>0</v>
      </c>
      <c r="AG884" s="7" t="s">
        <v>0</v>
      </c>
      <c r="AH884" s="9" t="s">
        <v>12751</v>
      </c>
      <c r="AI884" s="9" t="s">
        <v>12752</v>
      </c>
      <c r="AJ884" s="9" t="s">
        <v>12753</v>
      </c>
      <c r="AK884" s="7" t="s">
        <v>61</v>
      </c>
      <c r="AL884" s="7" t="s">
        <v>61</v>
      </c>
      <c r="AM884" s="7" t="s">
        <v>0</v>
      </c>
      <c r="AN884" s="7" t="s">
        <v>0</v>
      </c>
      <c r="AO884" s="7" t="s">
        <v>0</v>
      </c>
      <c r="AP884" s="7" t="s">
        <v>0</v>
      </c>
      <c r="AQ884" s="7" t="s">
        <v>61</v>
      </c>
      <c r="AR884" s="7" t="s">
        <v>0</v>
      </c>
      <c r="AS884" s="10" t="str">
        <f>HYPERLINK("https://tessa.gazprom-neft.local/edo/card/2240a179-2647-437f-be46-e410cec39842", "https://tessa.gazprom-neft.local/edo/card/2240a179-2647-437f-be46-e410cec39842")</f>
        <v>https://tessa.gazprom-neft.local/edo/card/2240a179-2647-437f-be46-e410cec39842</v>
      </c>
    </row>
    <row r="885" spans="1:45" hidden="1" x14ac:dyDescent="0.25">
      <c r="A885" s="6" t="s">
        <v>44</v>
      </c>
      <c r="B885" s="7" t="s">
        <v>6351</v>
      </c>
      <c r="C885" s="7" t="s">
        <v>67</v>
      </c>
      <c r="D885" s="8">
        <v>45194</v>
      </c>
      <c r="E885" s="8" t="s">
        <v>0</v>
      </c>
      <c r="F885" s="16" t="s">
        <v>6352</v>
      </c>
      <c r="G885" s="7" t="s">
        <v>6353</v>
      </c>
      <c r="H885" s="7" t="s">
        <v>0</v>
      </c>
      <c r="I885" s="7" t="s">
        <v>6349</v>
      </c>
      <c r="J885" s="7" t="s">
        <v>6349</v>
      </c>
      <c r="K885" s="7" t="s">
        <v>47</v>
      </c>
      <c r="L885" s="7" t="s">
        <v>96</v>
      </c>
      <c r="M885" s="7" t="s">
        <v>0</v>
      </c>
      <c r="N885" s="7" t="s">
        <v>6348</v>
      </c>
      <c r="O885" s="7" t="s">
        <v>0</v>
      </c>
      <c r="P885" s="7" t="s">
        <v>5881</v>
      </c>
      <c r="Q885" s="7" t="s">
        <v>6350</v>
      </c>
      <c r="R885" s="7" t="s">
        <v>549</v>
      </c>
      <c r="S885" s="7" t="s">
        <v>549</v>
      </c>
      <c r="T885" s="7" t="s">
        <v>54</v>
      </c>
      <c r="U885" s="7" t="s">
        <v>303</v>
      </c>
      <c r="V885" s="7" t="s">
        <v>91</v>
      </c>
      <c r="W885" s="7" t="s">
        <v>74</v>
      </c>
      <c r="X885" s="7" t="s">
        <v>103</v>
      </c>
      <c r="Y885" s="8">
        <v>45194</v>
      </c>
      <c r="Z885" s="8">
        <v>45291</v>
      </c>
      <c r="AA885" s="7" t="s">
        <v>92</v>
      </c>
      <c r="AB885" s="7" t="s">
        <v>64</v>
      </c>
      <c r="AC885" s="7" t="s">
        <v>79</v>
      </c>
      <c r="AD885" s="7" t="s">
        <v>80</v>
      </c>
      <c r="AE885" s="7" t="s">
        <v>889</v>
      </c>
      <c r="AF885" s="7" t="s">
        <v>0</v>
      </c>
      <c r="AG885" s="7" t="s">
        <v>0</v>
      </c>
      <c r="AH885" s="9" t="s">
        <v>12819</v>
      </c>
      <c r="AI885" s="9" t="s">
        <v>12819</v>
      </c>
      <c r="AJ885" s="9">
        <v>0</v>
      </c>
      <c r="AK885" s="7" t="s">
        <v>61</v>
      </c>
      <c r="AL885" s="7" t="s">
        <v>61</v>
      </c>
      <c r="AM885" s="7" t="s">
        <v>0</v>
      </c>
      <c r="AN885" s="7" t="s">
        <v>0</v>
      </c>
      <c r="AO885" s="7" t="s">
        <v>0</v>
      </c>
      <c r="AP885" s="7" t="s">
        <v>0</v>
      </c>
      <c r="AQ885" s="7" t="s">
        <v>61</v>
      </c>
      <c r="AR885" s="7" t="s">
        <v>0</v>
      </c>
      <c r="AS885" s="10" t="str">
        <f>HYPERLINK("https://tessa.gazprom-neft.local/edo/card/1979ab62-34ea-4ce3-a34c-298dcbddf477", "https://tessa.gazprom-neft.local/edo/card/1979ab62-34ea-4ce3-a34c-298dcbddf477")</f>
        <v>https://tessa.gazprom-neft.local/edo/card/1979ab62-34ea-4ce3-a34c-298dcbddf477</v>
      </c>
    </row>
    <row r="886" spans="1:45" hidden="1" x14ac:dyDescent="0.25">
      <c r="A886" s="6" t="s">
        <v>44</v>
      </c>
      <c r="B886" s="7" t="s">
        <v>1754</v>
      </c>
      <c r="C886" s="7" t="s">
        <v>67</v>
      </c>
      <c r="D886" s="8">
        <v>45194</v>
      </c>
      <c r="E886" s="8" t="s">
        <v>0</v>
      </c>
      <c r="F886" s="16" t="s">
        <v>1755</v>
      </c>
      <c r="G886" s="7" t="s">
        <v>1756</v>
      </c>
      <c r="H886" s="7" t="s">
        <v>3115</v>
      </c>
      <c r="I886" s="7" t="s">
        <v>0</v>
      </c>
      <c r="J886" s="7" t="s">
        <v>51</v>
      </c>
      <c r="K886" s="7" t="s">
        <v>47</v>
      </c>
      <c r="L886" s="7" t="s">
        <v>389</v>
      </c>
      <c r="M886" s="7" t="s">
        <v>0</v>
      </c>
      <c r="N886" s="7" t="s">
        <v>6394</v>
      </c>
      <c r="O886" s="7" t="s">
        <v>51</v>
      </c>
      <c r="P886" s="7" t="s">
        <v>6395</v>
      </c>
      <c r="Q886" s="7" t="s">
        <v>6396</v>
      </c>
      <c r="R886" s="7" t="s">
        <v>393</v>
      </c>
      <c r="S886" s="7" t="s">
        <v>209</v>
      </c>
      <c r="T886" s="7" t="s">
        <v>54</v>
      </c>
      <c r="U886" s="7" t="s">
        <v>210</v>
      </c>
      <c r="V886" s="7" t="s">
        <v>126</v>
      </c>
      <c r="W886" s="7" t="s">
        <v>74</v>
      </c>
      <c r="X886" s="7" t="s">
        <v>58</v>
      </c>
      <c r="Y886" s="8">
        <v>45194</v>
      </c>
      <c r="Z886" s="8" t="s">
        <v>0</v>
      </c>
      <c r="AA886" s="7" t="s">
        <v>224</v>
      </c>
      <c r="AB886" s="7" t="s">
        <v>423</v>
      </c>
      <c r="AC886" s="7" t="s">
        <v>79</v>
      </c>
      <c r="AD886" s="7" t="s">
        <v>144</v>
      </c>
      <c r="AE886" s="7" t="s">
        <v>82</v>
      </c>
      <c r="AF886" s="7" t="s">
        <v>0</v>
      </c>
      <c r="AG886" s="7" t="s">
        <v>6381</v>
      </c>
      <c r="AH886" s="9" t="s">
        <v>12826</v>
      </c>
      <c r="AI886" s="9" t="s">
        <v>12827</v>
      </c>
      <c r="AJ886" s="9" t="s">
        <v>11548</v>
      </c>
      <c r="AK886" s="7" t="s">
        <v>81</v>
      </c>
      <c r="AL886" s="7" t="s">
        <v>61</v>
      </c>
      <c r="AM886" s="7" t="s">
        <v>0</v>
      </c>
      <c r="AN886" s="7" t="s">
        <v>0</v>
      </c>
      <c r="AO886" s="7" t="s">
        <v>0</v>
      </c>
      <c r="AP886" s="7" t="s">
        <v>0</v>
      </c>
      <c r="AQ886" s="7" t="s">
        <v>61</v>
      </c>
      <c r="AR886" s="7" t="s">
        <v>0</v>
      </c>
      <c r="AS886" s="10" t="str">
        <f>HYPERLINK("https://tessa.gazprom-neft.local/edo/card/227b5a28-0d07-46aa-be55-4d5c3d9869b6", "https://tessa.gazprom-neft.local/edo/card/227b5a28-0d07-46aa-be55-4d5c3d9869b6")</f>
        <v>https://tessa.gazprom-neft.local/edo/card/227b5a28-0d07-46aa-be55-4d5c3d9869b6</v>
      </c>
    </row>
    <row r="887" spans="1:45" x14ac:dyDescent="0.25">
      <c r="A887" s="6" t="s">
        <v>44</v>
      </c>
      <c r="B887" s="7" t="s">
        <v>988</v>
      </c>
      <c r="C887" s="7" t="s">
        <v>67</v>
      </c>
      <c r="D887" s="8">
        <v>45194</v>
      </c>
      <c r="E887" s="8" t="s">
        <v>0</v>
      </c>
      <c r="F887" s="16" t="s">
        <v>989</v>
      </c>
      <c r="G887" s="7" t="s">
        <v>990</v>
      </c>
      <c r="H887" s="7" t="s">
        <v>2826</v>
      </c>
      <c r="I887" s="7" t="s">
        <v>0</v>
      </c>
      <c r="J887" s="7" t="s">
        <v>271</v>
      </c>
      <c r="K887" s="7" t="s">
        <v>47</v>
      </c>
      <c r="L887" s="7" t="s">
        <v>48</v>
      </c>
      <c r="M887" s="7" t="s">
        <v>0</v>
      </c>
      <c r="N887" s="7" t="s">
        <v>6429</v>
      </c>
      <c r="O887" s="7" t="s">
        <v>0</v>
      </c>
      <c r="P887" s="7" t="s">
        <v>6430</v>
      </c>
      <c r="Q887" s="7" t="s">
        <v>6431</v>
      </c>
      <c r="R887" s="7" t="s">
        <v>505</v>
      </c>
      <c r="S887" s="7" t="s">
        <v>1179</v>
      </c>
      <c r="T887" s="7" t="s">
        <v>54</v>
      </c>
      <c r="U887" s="7" t="s">
        <v>283</v>
      </c>
      <c r="V887" s="7" t="s">
        <v>308</v>
      </c>
      <c r="W887" s="7" t="s">
        <v>74</v>
      </c>
      <c r="X887" s="7" t="s">
        <v>103</v>
      </c>
      <c r="Y887" s="8">
        <v>45194</v>
      </c>
      <c r="Z887" s="8">
        <v>46022</v>
      </c>
      <c r="AA887" s="7" t="s">
        <v>309</v>
      </c>
      <c r="AB887" s="7" t="s">
        <v>2546</v>
      </c>
      <c r="AC887" s="7" t="s">
        <v>65</v>
      </c>
      <c r="AD887" s="7" t="s">
        <v>144</v>
      </c>
      <c r="AE887" s="7" t="s">
        <v>0</v>
      </c>
      <c r="AF887" s="7" t="s">
        <v>0</v>
      </c>
      <c r="AG887" s="7" t="s">
        <v>0</v>
      </c>
      <c r="AH887" s="9" t="s">
        <v>0</v>
      </c>
      <c r="AI887" s="9" t="s">
        <v>0</v>
      </c>
      <c r="AJ887" s="9" t="s">
        <v>0</v>
      </c>
      <c r="AK887" s="7" t="s">
        <v>61</v>
      </c>
      <c r="AL887" s="7" t="s">
        <v>61</v>
      </c>
      <c r="AM887" s="7" t="s">
        <v>0</v>
      </c>
      <c r="AN887" s="7" t="s">
        <v>0</v>
      </c>
      <c r="AO887" s="7" t="s">
        <v>0</v>
      </c>
      <c r="AP887" s="7" t="s">
        <v>0</v>
      </c>
      <c r="AQ887" s="7" t="s">
        <v>61</v>
      </c>
      <c r="AR887" s="7" t="s">
        <v>0</v>
      </c>
      <c r="AS887" s="10" t="str">
        <f>HYPERLINK("https://tessa.gazprom-neft.local/edo/card/ec007c5e-db5c-412c-ace1-42b7b9ce32da", "https://tessa.gazprom-neft.local/edo/card/ec007c5e-db5c-412c-ace1-42b7b9ce32da")</f>
        <v>https://tessa.gazprom-neft.local/edo/card/ec007c5e-db5c-412c-ace1-42b7b9ce32da</v>
      </c>
    </row>
    <row r="888" spans="1:45" x14ac:dyDescent="0.25">
      <c r="A888" s="6" t="s">
        <v>44</v>
      </c>
      <c r="B888" s="7" t="s">
        <v>813</v>
      </c>
      <c r="C888" s="7" t="s">
        <v>67</v>
      </c>
      <c r="D888" s="8">
        <v>45194</v>
      </c>
      <c r="E888" s="8" t="s">
        <v>0</v>
      </c>
      <c r="F888" s="16" t="s">
        <v>814</v>
      </c>
      <c r="G888" s="7" t="s">
        <v>815</v>
      </c>
      <c r="H888" s="7" t="s">
        <v>809</v>
      </c>
      <c r="I888" s="7" t="s">
        <v>0</v>
      </c>
      <c r="J888" s="7" t="s">
        <v>1098</v>
      </c>
      <c r="K888" s="7" t="s">
        <v>47</v>
      </c>
      <c r="L888" s="7" t="s">
        <v>48</v>
      </c>
      <c r="M888" s="7" t="s">
        <v>0</v>
      </c>
      <c r="N888" s="7" t="s">
        <v>6452</v>
      </c>
      <c r="O888" s="7" t="s">
        <v>0</v>
      </c>
      <c r="P888" s="7" t="s">
        <v>6453</v>
      </c>
      <c r="Q888" s="7" t="s">
        <v>4283</v>
      </c>
      <c r="R888" s="7" t="s">
        <v>393</v>
      </c>
      <c r="S888" s="7" t="s">
        <v>812</v>
      </c>
      <c r="T888" s="7" t="s">
        <v>54</v>
      </c>
      <c r="U888" s="7" t="s">
        <v>55</v>
      </c>
      <c r="V888" s="7" t="s">
        <v>56</v>
      </c>
      <c r="W888" s="7" t="s">
        <v>74</v>
      </c>
      <c r="X888" s="7" t="s">
        <v>58</v>
      </c>
      <c r="Y888" s="8">
        <v>45194</v>
      </c>
      <c r="Z888" s="8" t="s">
        <v>0</v>
      </c>
      <c r="AA888" s="7" t="s">
        <v>212</v>
      </c>
      <c r="AB888" s="7" t="s">
        <v>256</v>
      </c>
      <c r="AC888" s="7" t="s">
        <v>65</v>
      </c>
      <c r="AD888" s="7" t="s">
        <v>80</v>
      </c>
      <c r="AE888" s="7" t="s">
        <v>0</v>
      </c>
      <c r="AF888" s="7" t="s">
        <v>0</v>
      </c>
      <c r="AG888" s="7" t="s">
        <v>0</v>
      </c>
      <c r="AH888" s="9" t="s">
        <v>0</v>
      </c>
      <c r="AI888" s="9" t="s">
        <v>0</v>
      </c>
      <c r="AJ888" s="9" t="s">
        <v>0</v>
      </c>
      <c r="AK888" s="7" t="s">
        <v>61</v>
      </c>
      <c r="AL888" s="7" t="s">
        <v>61</v>
      </c>
      <c r="AM888" s="7" t="s">
        <v>0</v>
      </c>
      <c r="AN888" s="7" t="s">
        <v>0</v>
      </c>
      <c r="AO888" s="7" t="s">
        <v>0</v>
      </c>
      <c r="AP888" s="7" t="s">
        <v>0</v>
      </c>
      <c r="AQ888" s="7" t="s">
        <v>61</v>
      </c>
      <c r="AR888" s="7" t="s">
        <v>0</v>
      </c>
      <c r="AS888" s="10" t="str">
        <f>HYPERLINK("https://tessa.gazprom-neft.local/edo/card/0deffc5d-6f2a-4763-8357-cb28d5cbc9e1", "https://tessa.gazprom-neft.local/edo/card/0deffc5d-6f2a-4763-8357-cb28d5cbc9e1")</f>
        <v>https://tessa.gazprom-neft.local/edo/card/0deffc5d-6f2a-4763-8357-cb28d5cbc9e1</v>
      </c>
    </row>
    <row r="889" spans="1:45" hidden="1" x14ac:dyDescent="0.25">
      <c r="A889" s="6" t="s">
        <v>44</v>
      </c>
      <c r="B889" s="7" t="s">
        <v>1396</v>
      </c>
      <c r="C889" s="7" t="s">
        <v>67</v>
      </c>
      <c r="D889" s="8">
        <v>45194</v>
      </c>
      <c r="E889" s="8" t="s">
        <v>0</v>
      </c>
      <c r="F889" s="16" t="s">
        <v>1397</v>
      </c>
      <c r="G889" s="7" t="s">
        <v>1398</v>
      </c>
      <c r="H889" s="7" t="s">
        <v>1735</v>
      </c>
      <c r="I889" s="7" t="s">
        <v>0</v>
      </c>
      <c r="J889" s="7" t="s">
        <v>70</v>
      </c>
      <c r="K889" s="7" t="s">
        <v>47</v>
      </c>
      <c r="L889" s="7" t="s">
        <v>239</v>
      </c>
      <c r="M889" s="7" t="s">
        <v>0</v>
      </c>
      <c r="N889" s="7" t="s">
        <v>6526</v>
      </c>
      <c r="O889" s="7" t="s">
        <v>0</v>
      </c>
      <c r="P889" s="7" t="s">
        <v>6527</v>
      </c>
      <c r="Q889" s="7" t="s">
        <v>2199</v>
      </c>
      <c r="R889" s="7" t="s">
        <v>135</v>
      </c>
      <c r="S889" s="7" t="s">
        <v>135</v>
      </c>
      <c r="T889" s="7" t="s">
        <v>54</v>
      </c>
      <c r="U889" s="7" t="s">
        <v>136</v>
      </c>
      <c r="V889" s="7" t="s">
        <v>308</v>
      </c>
      <c r="W889" s="7" t="s">
        <v>74</v>
      </c>
      <c r="X889" s="7" t="s">
        <v>103</v>
      </c>
      <c r="Y889" s="8">
        <v>45194</v>
      </c>
      <c r="Z889" s="8">
        <v>45291</v>
      </c>
      <c r="AA889" s="7" t="s">
        <v>309</v>
      </c>
      <c r="AB889" s="7" t="s">
        <v>130</v>
      </c>
      <c r="AC889" s="7" t="s">
        <v>79</v>
      </c>
      <c r="AD889" s="7" t="s">
        <v>144</v>
      </c>
      <c r="AE889" s="7" t="s">
        <v>118</v>
      </c>
      <c r="AF889" s="7" t="s">
        <v>0</v>
      </c>
      <c r="AG889" s="7" t="s">
        <v>0</v>
      </c>
      <c r="AH889" s="9" t="s">
        <v>12876</v>
      </c>
      <c r="AI889" s="9" t="s">
        <v>12876</v>
      </c>
      <c r="AJ889" s="9">
        <v>0</v>
      </c>
      <c r="AK889" s="7" t="s">
        <v>61</v>
      </c>
      <c r="AL889" s="7" t="s">
        <v>61</v>
      </c>
      <c r="AM889" s="7" t="s">
        <v>0</v>
      </c>
      <c r="AN889" s="7" t="s">
        <v>0</v>
      </c>
      <c r="AO889" s="7" t="s">
        <v>0</v>
      </c>
      <c r="AP889" s="7" t="s">
        <v>0</v>
      </c>
      <c r="AQ889" s="7" t="s">
        <v>61</v>
      </c>
      <c r="AR889" s="7" t="s">
        <v>0</v>
      </c>
      <c r="AS889" s="10" t="str">
        <f>HYPERLINK("https://tessa.gazprom-neft.local/edo/card/34fcb77f-111d-4437-976e-79970f2060dc", "https://tessa.gazprom-neft.local/edo/card/34fcb77f-111d-4437-976e-79970f2060dc")</f>
        <v>https://tessa.gazprom-neft.local/edo/card/34fcb77f-111d-4437-976e-79970f2060dc</v>
      </c>
    </row>
    <row r="890" spans="1:45" x14ac:dyDescent="0.25">
      <c r="A890" s="6" t="s">
        <v>44</v>
      </c>
      <c r="B890" s="7" t="s">
        <v>1843</v>
      </c>
      <c r="C890" s="7" t="s">
        <v>67</v>
      </c>
      <c r="D890" s="8">
        <v>45191</v>
      </c>
      <c r="E890" s="8" t="s">
        <v>0</v>
      </c>
      <c r="F890" s="16" t="s">
        <v>1844</v>
      </c>
      <c r="G890" s="7" t="s">
        <v>1845</v>
      </c>
      <c r="H890" s="7" t="s">
        <v>6267</v>
      </c>
      <c r="I890" s="7" t="s">
        <v>0</v>
      </c>
      <c r="J890" s="7" t="s">
        <v>51</v>
      </c>
      <c r="K890" s="7" t="s">
        <v>85</v>
      </c>
      <c r="L890" s="7" t="s">
        <v>48</v>
      </c>
      <c r="M890" s="7" t="s">
        <v>1183</v>
      </c>
      <c r="N890" s="7" t="s">
        <v>6266</v>
      </c>
      <c r="O890" s="7" t="s">
        <v>0</v>
      </c>
      <c r="P890" s="7" t="s">
        <v>1183</v>
      </c>
      <c r="Q890" s="7" t="s">
        <v>5678</v>
      </c>
      <c r="R890" s="7" t="s">
        <v>1066</v>
      </c>
      <c r="S890" s="7" t="s">
        <v>0</v>
      </c>
      <c r="T890" s="7" t="s">
        <v>54</v>
      </c>
      <c r="U890" s="7" t="s">
        <v>136</v>
      </c>
      <c r="V890" s="7" t="s">
        <v>308</v>
      </c>
      <c r="W890" s="7" t="s">
        <v>74</v>
      </c>
      <c r="X890" s="7" t="s">
        <v>58</v>
      </c>
      <c r="Y890" s="8">
        <v>45191</v>
      </c>
      <c r="Z890" s="8" t="s">
        <v>0</v>
      </c>
      <c r="AA890" s="7" t="s">
        <v>309</v>
      </c>
      <c r="AB890" s="7" t="s">
        <v>228</v>
      </c>
      <c r="AC890" s="7" t="s">
        <v>65</v>
      </c>
      <c r="AD890" s="7" t="s">
        <v>0</v>
      </c>
      <c r="AE890" s="7" t="s">
        <v>0</v>
      </c>
      <c r="AF890" s="7" t="s">
        <v>0</v>
      </c>
      <c r="AG890" s="7" t="s">
        <v>0</v>
      </c>
      <c r="AH890" s="9" t="s">
        <v>0</v>
      </c>
      <c r="AI890" s="9" t="s">
        <v>0</v>
      </c>
      <c r="AJ890" s="9" t="s">
        <v>0</v>
      </c>
      <c r="AK890" s="7" t="s">
        <v>61</v>
      </c>
      <c r="AL890" s="7" t="s">
        <v>61</v>
      </c>
      <c r="AM890" s="7" t="s">
        <v>0</v>
      </c>
      <c r="AN890" s="7" t="s">
        <v>0</v>
      </c>
      <c r="AO890" s="7" t="s">
        <v>0</v>
      </c>
      <c r="AP890" s="7" t="s">
        <v>0</v>
      </c>
      <c r="AQ890" s="7" t="s">
        <v>61</v>
      </c>
      <c r="AR890" s="7" t="s">
        <v>0</v>
      </c>
      <c r="AS890" s="10" t="str">
        <f>HYPERLINK("https://tessa.gazprom-neft.local/edo/card/c8750e64-a1d4-41af-a9f9-425c8163f42d", "https://tessa.gazprom-neft.local/edo/card/c8750e64-a1d4-41af-a9f9-425c8163f42d")</f>
        <v>https://tessa.gazprom-neft.local/edo/card/c8750e64-a1d4-41af-a9f9-425c8163f42d</v>
      </c>
    </row>
    <row r="891" spans="1:45" x14ac:dyDescent="0.25">
      <c r="A891" s="6" t="s">
        <v>44</v>
      </c>
      <c r="B891" s="7" t="s">
        <v>639</v>
      </c>
      <c r="C891" s="7" t="s">
        <v>67</v>
      </c>
      <c r="D891" s="8">
        <v>45191</v>
      </c>
      <c r="E891" s="8" t="s">
        <v>0</v>
      </c>
      <c r="F891" s="16" t="s">
        <v>640</v>
      </c>
      <c r="G891" s="7" t="s">
        <v>641</v>
      </c>
      <c r="H891" s="7" t="s">
        <v>3300</v>
      </c>
      <c r="I891" s="7" t="s">
        <v>0</v>
      </c>
      <c r="J891" s="7" t="s">
        <v>51</v>
      </c>
      <c r="K891" s="7" t="s">
        <v>85</v>
      </c>
      <c r="L891" s="7" t="s">
        <v>48</v>
      </c>
      <c r="M891" s="7" t="s">
        <v>1183</v>
      </c>
      <c r="N891" s="7" t="s">
        <v>6287</v>
      </c>
      <c r="O891" s="7" t="s">
        <v>0</v>
      </c>
      <c r="P891" s="7" t="s">
        <v>1183</v>
      </c>
      <c r="Q891" s="7" t="s">
        <v>6288</v>
      </c>
      <c r="R891" s="7" t="s">
        <v>6254</v>
      </c>
      <c r="S891" s="7" t="s">
        <v>859</v>
      </c>
      <c r="T891" s="7" t="s">
        <v>54</v>
      </c>
      <c r="U891" s="7" t="s">
        <v>362</v>
      </c>
      <c r="V891" s="7" t="s">
        <v>308</v>
      </c>
      <c r="W891" s="7" t="s">
        <v>74</v>
      </c>
      <c r="X891" s="7" t="s">
        <v>58</v>
      </c>
      <c r="Y891" s="8">
        <v>45191</v>
      </c>
      <c r="Z891" s="8" t="s">
        <v>0</v>
      </c>
      <c r="AA891" s="7" t="s">
        <v>309</v>
      </c>
      <c r="AB891" s="7" t="s">
        <v>228</v>
      </c>
      <c r="AC891" s="7" t="s">
        <v>65</v>
      </c>
      <c r="AD891" s="7" t="s">
        <v>0</v>
      </c>
      <c r="AE891" s="7" t="s">
        <v>0</v>
      </c>
      <c r="AF891" s="7" t="s">
        <v>0</v>
      </c>
      <c r="AG891" s="7" t="s">
        <v>0</v>
      </c>
      <c r="AH891" s="9" t="s">
        <v>0</v>
      </c>
      <c r="AI891" s="9" t="s">
        <v>0</v>
      </c>
      <c r="AJ891" s="9" t="s">
        <v>0</v>
      </c>
      <c r="AK891" s="7" t="s">
        <v>61</v>
      </c>
      <c r="AL891" s="7" t="s">
        <v>61</v>
      </c>
      <c r="AM891" s="7" t="s">
        <v>0</v>
      </c>
      <c r="AN891" s="7" t="s">
        <v>0</v>
      </c>
      <c r="AO891" s="7" t="s">
        <v>0</v>
      </c>
      <c r="AP891" s="7" t="s">
        <v>0</v>
      </c>
      <c r="AQ891" s="7" t="s">
        <v>61</v>
      </c>
      <c r="AR891" s="7" t="s">
        <v>0</v>
      </c>
      <c r="AS891" s="10" t="str">
        <f>HYPERLINK("https://tessa.gazprom-neft.local/edo/card/b3eaee7a-6cde-4139-828c-d5a84d52c7d8", "https://tessa.gazprom-neft.local/edo/card/b3eaee7a-6cde-4139-828c-d5a84d52c7d8")</f>
        <v>https://tessa.gazprom-neft.local/edo/card/b3eaee7a-6cde-4139-828c-d5a84d52c7d8</v>
      </c>
    </row>
    <row r="892" spans="1:45" x14ac:dyDescent="0.25">
      <c r="A892" s="6" t="s">
        <v>44</v>
      </c>
      <c r="B892" s="7" t="s">
        <v>1754</v>
      </c>
      <c r="C892" s="7" t="s">
        <v>67</v>
      </c>
      <c r="D892" s="8">
        <v>45191</v>
      </c>
      <c r="E892" s="8" t="s">
        <v>0</v>
      </c>
      <c r="F892" s="16" t="s">
        <v>1755</v>
      </c>
      <c r="G892" s="7" t="s">
        <v>1756</v>
      </c>
      <c r="H892" s="7" t="s">
        <v>3115</v>
      </c>
      <c r="I892" s="7" t="s">
        <v>0</v>
      </c>
      <c r="J892" s="7" t="s">
        <v>51</v>
      </c>
      <c r="K892" s="7" t="s">
        <v>47</v>
      </c>
      <c r="L892" s="7" t="s">
        <v>48</v>
      </c>
      <c r="M892" s="7" t="s">
        <v>0</v>
      </c>
      <c r="N892" s="7" t="s">
        <v>6378</v>
      </c>
      <c r="O892" s="7" t="s">
        <v>0</v>
      </c>
      <c r="P892" s="7" t="s">
        <v>6379</v>
      </c>
      <c r="Q892" s="7" t="s">
        <v>6380</v>
      </c>
      <c r="R892" s="7" t="s">
        <v>393</v>
      </c>
      <c r="S892" s="7" t="s">
        <v>0</v>
      </c>
      <c r="T892" s="7" t="s">
        <v>54</v>
      </c>
      <c r="U892" s="7" t="s">
        <v>210</v>
      </c>
      <c r="V892" s="7" t="s">
        <v>126</v>
      </c>
      <c r="W892" s="7" t="s">
        <v>74</v>
      </c>
      <c r="X892" s="7" t="s">
        <v>58</v>
      </c>
      <c r="Y892" s="8">
        <v>45191</v>
      </c>
      <c r="Z892" s="8" t="s">
        <v>0</v>
      </c>
      <c r="AA892" s="7" t="s">
        <v>224</v>
      </c>
      <c r="AB892" s="7" t="s">
        <v>423</v>
      </c>
      <c r="AC892" s="7" t="s">
        <v>79</v>
      </c>
      <c r="AD892" s="7" t="s">
        <v>144</v>
      </c>
      <c r="AE892" s="7" t="s">
        <v>82</v>
      </c>
      <c r="AF892" s="7" t="s">
        <v>0</v>
      </c>
      <c r="AG892" s="7" t="s">
        <v>6381</v>
      </c>
      <c r="AH892" s="9" t="s">
        <v>12826</v>
      </c>
      <c r="AI892" s="9" t="s">
        <v>12827</v>
      </c>
      <c r="AJ892" s="9" t="s">
        <v>11548</v>
      </c>
      <c r="AK892" s="7" t="s">
        <v>81</v>
      </c>
      <c r="AL892" s="7" t="s">
        <v>61</v>
      </c>
      <c r="AM892" s="7" t="s">
        <v>0</v>
      </c>
      <c r="AN892" s="7" t="s">
        <v>0</v>
      </c>
      <c r="AO892" s="7" t="s">
        <v>0</v>
      </c>
      <c r="AP892" s="7" t="s">
        <v>0</v>
      </c>
      <c r="AQ892" s="7" t="s">
        <v>61</v>
      </c>
      <c r="AR892" s="7" t="s">
        <v>0</v>
      </c>
      <c r="AS892" s="10" t="str">
        <f>HYPERLINK("https://tessa.gazprom-neft.local/edo/card/4d00a1fc-b968-468d-b1bf-541af173b2ad", "https://tessa.gazprom-neft.local/edo/card/4d00a1fc-b968-468d-b1bf-541af173b2ad")</f>
        <v>https://tessa.gazprom-neft.local/edo/card/4d00a1fc-b968-468d-b1bf-541af173b2ad</v>
      </c>
    </row>
    <row r="893" spans="1:45" x14ac:dyDescent="0.25">
      <c r="A893" s="6" t="s">
        <v>44</v>
      </c>
      <c r="B893" s="7" t="s">
        <v>1396</v>
      </c>
      <c r="C893" s="7" t="s">
        <v>67</v>
      </c>
      <c r="D893" s="8">
        <v>45191</v>
      </c>
      <c r="E893" s="8" t="s">
        <v>0</v>
      </c>
      <c r="F893" s="16" t="s">
        <v>1397</v>
      </c>
      <c r="G893" s="7" t="s">
        <v>1398</v>
      </c>
      <c r="H893" s="7" t="s">
        <v>1735</v>
      </c>
      <c r="I893" s="7" t="s">
        <v>0</v>
      </c>
      <c r="J893" s="7" t="s">
        <v>955</v>
      </c>
      <c r="K893" s="7" t="s">
        <v>47</v>
      </c>
      <c r="L893" s="7" t="s">
        <v>48</v>
      </c>
      <c r="M893" s="7" t="s">
        <v>0</v>
      </c>
      <c r="N893" s="7" t="s">
        <v>6521</v>
      </c>
      <c r="O893" s="7" t="s">
        <v>0</v>
      </c>
      <c r="P893" s="7" t="s">
        <v>6522</v>
      </c>
      <c r="Q893" s="7" t="s">
        <v>6523</v>
      </c>
      <c r="R893" s="7" t="s">
        <v>135</v>
      </c>
      <c r="S893" s="7" t="s">
        <v>135</v>
      </c>
      <c r="T893" s="7" t="s">
        <v>54</v>
      </c>
      <c r="U893" s="7" t="s">
        <v>136</v>
      </c>
      <c r="V893" s="7" t="s">
        <v>308</v>
      </c>
      <c r="W893" s="7" t="s">
        <v>74</v>
      </c>
      <c r="X893" s="7" t="s">
        <v>103</v>
      </c>
      <c r="Y893" s="8">
        <v>45191</v>
      </c>
      <c r="Z893" s="8">
        <v>45291</v>
      </c>
      <c r="AA893" s="7" t="s">
        <v>309</v>
      </c>
      <c r="AB893" s="7" t="s">
        <v>130</v>
      </c>
      <c r="AC893" s="7" t="s">
        <v>79</v>
      </c>
      <c r="AD893" s="7" t="s">
        <v>80</v>
      </c>
      <c r="AE893" s="7" t="s">
        <v>118</v>
      </c>
      <c r="AF893" s="7" t="s">
        <v>0</v>
      </c>
      <c r="AG893" s="7" t="s">
        <v>0</v>
      </c>
      <c r="AH893" s="9" t="s">
        <v>12876</v>
      </c>
      <c r="AI893" s="9" t="s">
        <v>12876</v>
      </c>
      <c r="AJ893" s="9">
        <v>0</v>
      </c>
      <c r="AK893" s="7" t="s">
        <v>61</v>
      </c>
      <c r="AL893" s="7" t="s">
        <v>61</v>
      </c>
      <c r="AM893" s="7" t="s">
        <v>0</v>
      </c>
      <c r="AN893" s="7" t="s">
        <v>0</v>
      </c>
      <c r="AO893" s="7" t="s">
        <v>0</v>
      </c>
      <c r="AP893" s="7" t="s">
        <v>0</v>
      </c>
      <c r="AQ893" s="7" t="s">
        <v>61</v>
      </c>
      <c r="AR893" s="7" t="s">
        <v>0</v>
      </c>
      <c r="AS893" s="10" t="str">
        <f>HYPERLINK("https://tessa.gazprom-neft.local/edo/card/ff9362b1-dc41-425e-bcf8-b06bf83ff9f4", "https://tessa.gazprom-neft.local/edo/card/ff9362b1-dc41-425e-bcf8-b06bf83ff9f4")</f>
        <v>https://tessa.gazprom-neft.local/edo/card/ff9362b1-dc41-425e-bcf8-b06bf83ff9f4</v>
      </c>
    </row>
    <row r="894" spans="1:45" x14ac:dyDescent="0.25">
      <c r="A894" s="6" t="s">
        <v>44</v>
      </c>
      <c r="B894" s="7" t="s">
        <v>395</v>
      </c>
      <c r="C894" s="7" t="s">
        <v>67</v>
      </c>
      <c r="D894" s="8">
        <v>45189</v>
      </c>
      <c r="E894" s="8" t="s">
        <v>0</v>
      </c>
      <c r="F894" s="16" t="s">
        <v>396</v>
      </c>
      <c r="G894" s="7" t="s">
        <v>397</v>
      </c>
      <c r="H894" s="7" t="s">
        <v>2846</v>
      </c>
      <c r="I894" s="7" t="s">
        <v>0</v>
      </c>
      <c r="J894" s="7" t="s">
        <v>51</v>
      </c>
      <c r="K894" s="7" t="s">
        <v>85</v>
      </c>
      <c r="L894" s="7" t="s">
        <v>48</v>
      </c>
      <c r="M894" s="7" t="s">
        <v>1183</v>
      </c>
      <c r="N894" s="7" t="s">
        <v>6364</v>
      </c>
      <c r="O894" s="7" t="s">
        <v>0</v>
      </c>
      <c r="P894" s="7" t="s">
        <v>6365</v>
      </c>
      <c r="Q894" s="7" t="s">
        <v>6366</v>
      </c>
      <c r="R894" s="7" t="s">
        <v>393</v>
      </c>
      <c r="S894" s="7" t="s">
        <v>6367</v>
      </c>
      <c r="T894" s="7" t="s">
        <v>54</v>
      </c>
      <c r="U894" s="7" t="s">
        <v>283</v>
      </c>
      <c r="V894" s="7" t="s">
        <v>308</v>
      </c>
      <c r="W894" s="7" t="s">
        <v>74</v>
      </c>
      <c r="X894" s="7" t="s">
        <v>58</v>
      </c>
      <c r="Y894" s="8">
        <v>45189</v>
      </c>
      <c r="Z894" s="8" t="s">
        <v>0</v>
      </c>
      <c r="AA894" s="7" t="s">
        <v>309</v>
      </c>
      <c r="AB894" s="7" t="s">
        <v>228</v>
      </c>
      <c r="AC894" s="7" t="s">
        <v>65</v>
      </c>
      <c r="AD894" s="7" t="s">
        <v>0</v>
      </c>
      <c r="AE894" s="7" t="s">
        <v>0</v>
      </c>
      <c r="AF894" s="7" t="s">
        <v>0</v>
      </c>
      <c r="AG894" s="7" t="s">
        <v>0</v>
      </c>
      <c r="AH894" s="9" t="s">
        <v>0</v>
      </c>
      <c r="AI894" s="9" t="s">
        <v>0</v>
      </c>
      <c r="AJ894" s="9" t="s">
        <v>0</v>
      </c>
      <c r="AK894" s="7" t="s">
        <v>61</v>
      </c>
      <c r="AL894" s="7" t="s">
        <v>61</v>
      </c>
      <c r="AM894" s="7" t="s">
        <v>0</v>
      </c>
      <c r="AN894" s="7" t="s">
        <v>0</v>
      </c>
      <c r="AO894" s="7" t="s">
        <v>0</v>
      </c>
      <c r="AP894" s="7" t="s">
        <v>0</v>
      </c>
      <c r="AQ894" s="7" t="s">
        <v>61</v>
      </c>
      <c r="AR894" s="7" t="s">
        <v>0</v>
      </c>
      <c r="AS894" s="10" t="str">
        <f>HYPERLINK("https://tessa.gazprom-neft.local/edo/card/e216ea7d-d2bd-45bc-ae87-65b0ead53114", "https://tessa.gazprom-neft.local/edo/card/e216ea7d-d2bd-45bc-ae87-65b0ead53114")</f>
        <v>https://tessa.gazprom-neft.local/edo/card/e216ea7d-d2bd-45bc-ae87-65b0ead53114</v>
      </c>
    </row>
    <row r="895" spans="1:45" x14ac:dyDescent="0.25">
      <c r="A895" s="6" t="s">
        <v>44</v>
      </c>
      <c r="B895" s="7" t="s">
        <v>2350</v>
      </c>
      <c r="C895" s="7" t="s">
        <v>67</v>
      </c>
      <c r="D895" s="8">
        <v>45188</v>
      </c>
      <c r="E895" s="8" t="s">
        <v>0</v>
      </c>
      <c r="F895" s="16" t="s">
        <v>2351</v>
      </c>
      <c r="G895" s="7" t="s">
        <v>2352</v>
      </c>
      <c r="H895" s="7" t="s">
        <v>2347</v>
      </c>
      <c r="I895" s="7" t="s">
        <v>0</v>
      </c>
      <c r="J895" s="7" t="s">
        <v>156</v>
      </c>
      <c r="K895" s="7" t="s">
        <v>47</v>
      </c>
      <c r="L895" s="7" t="s">
        <v>48</v>
      </c>
      <c r="M895" s="7" t="s">
        <v>0</v>
      </c>
      <c r="N895" s="7" t="s">
        <v>5961</v>
      </c>
      <c r="O895" s="7" t="s">
        <v>0</v>
      </c>
      <c r="P895" s="7" t="s">
        <v>1474</v>
      </c>
      <c r="Q895" s="7" t="s">
        <v>5962</v>
      </c>
      <c r="R895" s="7" t="s">
        <v>2349</v>
      </c>
      <c r="S895" s="7" t="s">
        <v>2349</v>
      </c>
      <c r="T895" s="7" t="s">
        <v>54</v>
      </c>
      <c r="U895" s="7" t="s">
        <v>4582</v>
      </c>
      <c r="V895" s="7" t="s">
        <v>295</v>
      </c>
      <c r="W895" s="7" t="s">
        <v>57</v>
      </c>
      <c r="X895" s="7" t="s">
        <v>58</v>
      </c>
      <c r="Y895" s="8">
        <v>45188</v>
      </c>
      <c r="Z895" s="8" t="s">
        <v>0</v>
      </c>
      <c r="AA895" s="7" t="s">
        <v>296</v>
      </c>
      <c r="AB895" s="7" t="s">
        <v>1748</v>
      </c>
      <c r="AC895" s="7" t="s">
        <v>79</v>
      </c>
      <c r="AD895" s="7" t="s">
        <v>80</v>
      </c>
      <c r="AE895" s="7" t="s">
        <v>82</v>
      </c>
      <c r="AF895" s="7" t="s">
        <v>0</v>
      </c>
      <c r="AG895" s="7" t="s">
        <v>5963</v>
      </c>
      <c r="AH895" s="9" t="s">
        <v>11324</v>
      </c>
      <c r="AI895" s="9" t="s">
        <v>11325</v>
      </c>
      <c r="AJ895" s="9" t="s">
        <v>11326</v>
      </c>
      <c r="AK895" s="7" t="s">
        <v>81</v>
      </c>
      <c r="AL895" s="7" t="s">
        <v>61</v>
      </c>
      <c r="AM895" s="7" t="s">
        <v>0</v>
      </c>
      <c r="AN895" s="7" t="s">
        <v>0</v>
      </c>
      <c r="AO895" s="7" t="s">
        <v>0</v>
      </c>
      <c r="AP895" s="7" t="s">
        <v>0</v>
      </c>
      <c r="AQ895" s="7" t="s">
        <v>61</v>
      </c>
      <c r="AR895" s="7" t="s">
        <v>0</v>
      </c>
      <c r="AS895" s="10" t="str">
        <f>HYPERLINK("https://tessa.gazprom-neft.local/edo/card/ddcb54bb-45e2-41d7-afec-ff91703fec49", "https://tessa.gazprom-neft.local/edo/card/ddcb54bb-45e2-41d7-afec-ff91703fec49")</f>
        <v>https://tessa.gazprom-neft.local/edo/card/ddcb54bb-45e2-41d7-afec-ff91703fec49</v>
      </c>
    </row>
    <row r="896" spans="1:45" hidden="1" x14ac:dyDescent="0.25">
      <c r="A896" s="6" t="s">
        <v>44</v>
      </c>
      <c r="B896" s="7" t="s">
        <v>715</v>
      </c>
      <c r="C896" s="7" t="s">
        <v>67</v>
      </c>
      <c r="D896" s="8">
        <v>45188</v>
      </c>
      <c r="E896" s="8" t="s">
        <v>0</v>
      </c>
      <c r="F896" s="16" t="s">
        <v>716</v>
      </c>
      <c r="G896" s="7" t="s">
        <v>717</v>
      </c>
      <c r="H896" s="7" t="s">
        <v>710</v>
      </c>
      <c r="I896" s="7" t="s">
        <v>0</v>
      </c>
      <c r="J896" s="7" t="s">
        <v>51</v>
      </c>
      <c r="K896" s="7" t="s">
        <v>47</v>
      </c>
      <c r="L896" s="7" t="s">
        <v>709</v>
      </c>
      <c r="M896" s="7" t="s">
        <v>0</v>
      </c>
      <c r="N896" s="7" t="s">
        <v>6053</v>
      </c>
      <c r="O896" s="7" t="s">
        <v>0</v>
      </c>
      <c r="P896" s="7" t="s">
        <v>6054</v>
      </c>
      <c r="Q896" s="7" t="s">
        <v>6055</v>
      </c>
      <c r="R896" s="7" t="s">
        <v>714</v>
      </c>
      <c r="S896" s="7" t="s">
        <v>714</v>
      </c>
      <c r="T896" s="7" t="s">
        <v>54</v>
      </c>
      <c r="U896" s="7" t="s">
        <v>101</v>
      </c>
      <c r="V896" s="7" t="s">
        <v>308</v>
      </c>
      <c r="W896" s="7" t="s">
        <v>74</v>
      </c>
      <c r="X896" s="7" t="s">
        <v>103</v>
      </c>
      <c r="Y896" s="8">
        <v>45188</v>
      </c>
      <c r="Z896" s="8">
        <v>45322</v>
      </c>
      <c r="AA896" s="7" t="s">
        <v>309</v>
      </c>
      <c r="AB896" s="7" t="s">
        <v>64</v>
      </c>
      <c r="AC896" s="7" t="s">
        <v>79</v>
      </c>
      <c r="AD896" s="7" t="s">
        <v>144</v>
      </c>
      <c r="AE896" s="7" t="s">
        <v>82</v>
      </c>
      <c r="AF896" s="7" t="s">
        <v>0</v>
      </c>
      <c r="AG896" s="7" t="s">
        <v>0</v>
      </c>
      <c r="AH896" s="9" t="s">
        <v>12705</v>
      </c>
      <c r="AI896" s="9" t="s">
        <v>12706</v>
      </c>
      <c r="AJ896" s="9" t="s">
        <v>12707</v>
      </c>
      <c r="AK896" s="7" t="s">
        <v>61</v>
      </c>
      <c r="AL896" s="7" t="s">
        <v>61</v>
      </c>
      <c r="AM896" s="7" t="s">
        <v>0</v>
      </c>
      <c r="AN896" s="7" t="s">
        <v>0</v>
      </c>
      <c r="AO896" s="7" t="s">
        <v>0</v>
      </c>
      <c r="AP896" s="7" t="s">
        <v>0</v>
      </c>
      <c r="AQ896" s="7" t="s">
        <v>61</v>
      </c>
      <c r="AR896" s="7" t="s">
        <v>0</v>
      </c>
      <c r="AS896" s="10" t="str">
        <f>HYPERLINK("https://tessa.gazprom-neft.local/edo/card/2cc98a0d-7e72-48b5-bb87-ea3523ab8173", "https://tessa.gazprom-neft.local/edo/card/2cc98a0d-7e72-48b5-bb87-ea3523ab8173")</f>
        <v>https://tessa.gazprom-neft.local/edo/card/2cc98a0d-7e72-48b5-bb87-ea3523ab8173</v>
      </c>
    </row>
    <row r="897" spans="1:45" hidden="1" x14ac:dyDescent="0.25">
      <c r="A897" s="6" t="s">
        <v>44</v>
      </c>
      <c r="B897" s="7" t="s">
        <v>592</v>
      </c>
      <c r="C897" s="7" t="s">
        <v>67</v>
      </c>
      <c r="D897" s="8">
        <v>45188</v>
      </c>
      <c r="E897" s="8" t="s">
        <v>0</v>
      </c>
      <c r="F897" s="16" t="s">
        <v>593</v>
      </c>
      <c r="G897" s="7" t="s">
        <v>594</v>
      </c>
      <c r="H897" s="7" t="s">
        <v>953</v>
      </c>
      <c r="I897" s="7" t="s">
        <v>0</v>
      </c>
      <c r="J897" s="7" t="s">
        <v>51</v>
      </c>
      <c r="K897" s="7" t="s">
        <v>47</v>
      </c>
      <c r="L897" s="7" t="s">
        <v>389</v>
      </c>
      <c r="M897" s="7" t="s">
        <v>0</v>
      </c>
      <c r="N897" s="7" t="s">
        <v>6408</v>
      </c>
      <c r="O897" s="7" t="s">
        <v>6409</v>
      </c>
      <c r="P897" s="7" t="s">
        <v>6410</v>
      </c>
      <c r="Q897" s="7" t="s">
        <v>6411</v>
      </c>
      <c r="R897" s="7" t="s">
        <v>590</v>
      </c>
      <c r="S897" s="7" t="s">
        <v>394</v>
      </c>
      <c r="T897" s="7" t="s">
        <v>54</v>
      </c>
      <c r="U897" s="7" t="s">
        <v>591</v>
      </c>
      <c r="V897" s="7" t="s">
        <v>126</v>
      </c>
      <c r="W897" s="7" t="s">
        <v>74</v>
      </c>
      <c r="X897" s="7" t="s">
        <v>58</v>
      </c>
      <c r="Y897" s="8">
        <v>45188</v>
      </c>
      <c r="Z897" s="8" t="s">
        <v>0</v>
      </c>
      <c r="AA897" s="7" t="s">
        <v>224</v>
      </c>
      <c r="AB897" s="7" t="s">
        <v>387</v>
      </c>
      <c r="AC897" s="7" t="s">
        <v>79</v>
      </c>
      <c r="AD897" s="7" t="s">
        <v>144</v>
      </c>
      <c r="AE897" s="7" t="s">
        <v>82</v>
      </c>
      <c r="AF897" s="7" t="s">
        <v>0</v>
      </c>
      <c r="AG897" s="7" t="s">
        <v>0</v>
      </c>
      <c r="AH897" s="9" t="s">
        <v>11968</v>
      </c>
      <c r="AI897" s="9" t="s">
        <v>11969</v>
      </c>
      <c r="AJ897" s="9" t="s">
        <v>11970</v>
      </c>
      <c r="AK897" s="7" t="s">
        <v>61</v>
      </c>
      <c r="AL897" s="7" t="s">
        <v>61</v>
      </c>
      <c r="AM897" s="7" t="s">
        <v>0</v>
      </c>
      <c r="AN897" s="7" t="s">
        <v>0</v>
      </c>
      <c r="AO897" s="7" t="s">
        <v>0</v>
      </c>
      <c r="AP897" s="7" t="s">
        <v>0</v>
      </c>
      <c r="AQ897" s="7" t="s">
        <v>61</v>
      </c>
      <c r="AR897" s="7" t="s">
        <v>0</v>
      </c>
      <c r="AS897" s="10" t="str">
        <f>HYPERLINK("https://tessa.gazprom-neft.local/edo/card/90d97483-f5fb-4cee-b891-51ea18773d09", "https://tessa.gazprom-neft.local/edo/card/90d97483-f5fb-4cee-b891-51ea18773d09")</f>
        <v>https://tessa.gazprom-neft.local/edo/card/90d97483-f5fb-4cee-b891-51ea18773d09</v>
      </c>
    </row>
    <row r="898" spans="1:45" hidden="1" x14ac:dyDescent="0.25">
      <c r="A898" s="6" t="s">
        <v>44</v>
      </c>
      <c r="B898" s="7" t="s">
        <v>661</v>
      </c>
      <c r="C898" s="7" t="s">
        <v>67</v>
      </c>
      <c r="D898" s="8">
        <v>45187</v>
      </c>
      <c r="E898" s="8" t="s">
        <v>0</v>
      </c>
      <c r="F898" s="16" t="s">
        <v>662</v>
      </c>
      <c r="G898" s="7" t="s">
        <v>663</v>
      </c>
      <c r="H898" s="7" t="s">
        <v>2557</v>
      </c>
      <c r="I898" s="7" t="s">
        <v>0</v>
      </c>
      <c r="J898" s="7" t="s">
        <v>6042</v>
      </c>
      <c r="K898" s="7" t="s">
        <v>47</v>
      </c>
      <c r="L898" s="7" t="s">
        <v>763</v>
      </c>
      <c r="M898" s="7" t="s">
        <v>0</v>
      </c>
      <c r="N898" s="7" t="s">
        <v>6040</v>
      </c>
      <c r="O898" s="7" t="s">
        <v>0</v>
      </c>
      <c r="P898" s="7" t="s">
        <v>6041</v>
      </c>
      <c r="Q898" s="7" t="s">
        <v>6043</v>
      </c>
      <c r="R898" s="7" t="s">
        <v>393</v>
      </c>
      <c r="S898" s="7" t="s">
        <v>714</v>
      </c>
      <c r="T898" s="7" t="s">
        <v>54</v>
      </c>
      <c r="U898" s="7" t="s">
        <v>283</v>
      </c>
      <c r="V898" s="7" t="s">
        <v>308</v>
      </c>
      <c r="W898" s="7" t="s">
        <v>74</v>
      </c>
      <c r="X898" s="7" t="s">
        <v>103</v>
      </c>
      <c r="Y898" s="8">
        <v>45187</v>
      </c>
      <c r="Z898" s="8">
        <v>45291</v>
      </c>
      <c r="AA898" s="7" t="s">
        <v>309</v>
      </c>
      <c r="AB898" s="7" t="s">
        <v>130</v>
      </c>
      <c r="AC898" s="7" t="s">
        <v>79</v>
      </c>
      <c r="AD898" s="7" t="s">
        <v>80</v>
      </c>
      <c r="AE898" s="7" t="s">
        <v>82</v>
      </c>
      <c r="AF898" s="7" t="s">
        <v>0</v>
      </c>
      <c r="AG898" s="7" t="s">
        <v>0</v>
      </c>
      <c r="AH898" s="9" t="s">
        <v>12702</v>
      </c>
      <c r="AI898" s="9" t="s">
        <v>12703</v>
      </c>
      <c r="AJ898" s="9" t="s">
        <v>12704</v>
      </c>
      <c r="AK898" s="7" t="s">
        <v>61</v>
      </c>
      <c r="AL898" s="7" t="s">
        <v>61</v>
      </c>
      <c r="AM898" s="7" t="s">
        <v>0</v>
      </c>
      <c r="AN898" s="7" t="s">
        <v>0</v>
      </c>
      <c r="AO898" s="7" t="s">
        <v>0</v>
      </c>
      <c r="AP898" s="7" t="s">
        <v>0</v>
      </c>
      <c r="AQ898" s="7" t="s">
        <v>61</v>
      </c>
      <c r="AR898" s="7" t="s">
        <v>0</v>
      </c>
      <c r="AS898" s="10" t="str">
        <f>HYPERLINK("https://tessa.gazprom-neft.local/edo/card/a5cdbd71-160f-4a49-8e00-56191e805a94", "https://tessa.gazprom-neft.local/edo/card/a5cdbd71-160f-4a49-8e00-56191e805a94")</f>
        <v>https://tessa.gazprom-neft.local/edo/card/a5cdbd71-160f-4a49-8e00-56191e805a94</v>
      </c>
    </row>
    <row r="899" spans="1:45" x14ac:dyDescent="0.25">
      <c r="A899" s="6" t="s">
        <v>44</v>
      </c>
      <c r="B899" s="7" t="s">
        <v>1101</v>
      </c>
      <c r="C899" s="7" t="s">
        <v>67</v>
      </c>
      <c r="D899" s="8">
        <v>45187</v>
      </c>
      <c r="E899" s="8" t="s">
        <v>0</v>
      </c>
      <c r="F899" s="16" t="s">
        <v>1102</v>
      </c>
      <c r="G899" s="7" t="s">
        <v>1103</v>
      </c>
      <c r="H899" s="7" t="s">
        <v>2522</v>
      </c>
      <c r="I899" s="7" t="s">
        <v>0</v>
      </c>
      <c r="J899" s="7" t="s">
        <v>955</v>
      </c>
      <c r="K899" s="7" t="s">
        <v>47</v>
      </c>
      <c r="L899" s="7" t="s">
        <v>48</v>
      </c>
      <c r="M899" s="7" t="s">
        <v>0</v>
      </c>
      <c r="N899" s="7" t="s">
        <v>6059</v>
      </c>
      <c r="O899" s="7" t="s">
        <v>0</v>
      </c>
      <c r="P899" s="7" t="s">
        <v>6060</v>
      </c>
      <c r="Q899" s="7" t="s">
        <v>6061</v>
      </c>
      <c r="R899" s="7" t="s">
        <v>3298</v>
      </c>
      <c r="S899" s="7" t="s">
        <v>3298</v>
      </c>
      <c r="T899" s="7" t="s">
        <v>54</v>
      </c>
      <c r="U899" s="7" t="s">
        <v>303</v>
      </c>
      <c r="V899" s="7" t="s">
        <v>91</v>
      </c>
      <c r="W899" s="7" t="s">
        <v>74</v>
      </c>
      <c r="X899" s="7" t="s">
        <v>103</v>
      </c>
      <c r="Y899" s="8">
        <v>45200</v>
      </c>
      <c r="Z899" s="8">
        <v>45351</v>
      </c>
      <c r="AA899" s="7" t="s">
        <v>92</v>
      </c>
      <c r="AB899" s="7" t="s">
        <v>64</v>
      </c>
      <c r="AC899" s="7" t="s">
        <v>79</v>
      </c>
      <c r="AD899" s="7" t="s">
        <v>144</v>
      </c>
      <c r="AE899" s="7" t="s">
        <v>118</v>
      </c>
      <c r="AF899" s="7" t="s">
        <v>0</v>
      </c>
      <c r="AG899" s="7" t="s">
        <v>0</v>
      </c>
      <c r="AH899" s="9" t="s">
        <v>12708</v>
      </c>
      <c r="AI899" s="9" t="s">
        <v>12708</v>
      </c>
      <c r="AJ899" s="9">
        <v>0</v>
      </c>
      <c r="AK899" s="7" t="s">
        <v>61</v>
      </c>
      <c r="AL899" s="7" t="s">
        <v>61</v>
      </c>
      <c r="AM899" s="7" t="s">
        <v>0</v>
      </c>
      <c r="AN899" s="7" t="s">
        <v>0</v>
      </c>
      <c r="AO899" s="7" t="s">
        <v>0</v>
      </c>
      <c r="AP899" s="7" t="s">
        <v>0</v>
      </c>
      <c r="AQ899" s="7" t="s">
        <v>61</v>
      </c>
      <c r="AR899" s="7" t="s">
        <v>0</v>
      </c>
      <c r="AS899" s="10" t="str">
        <f>HYPERLINK("https://tessa.gazprom-neft.local/edo/card/4bd4e51c-f39b-4d69-b022-a436d01cf723", "https://tessa.gazprom-neft.local/edo/card/4bd4e51c-f39b-4d69-b022-a436d01cf723")</f>
        <v>https://tessa.gazprom-neft.local/edo/card/4bd4e51c-f39b-4d69-b022-a436d01cf723</v>
      </c>
    </row>
    <row r="900" spans="1:45" hidden="1" x14ac:dyDescent="0.25">
      <c r="A900" s="6" t="s">
        <v>44</v>
      </c>
      <c r="B900" s="7" t="s">
        <v>395</v>
      </c>
      <c r="C900" s="7" t="s">
        <v>67</v>
      </c>
      <c r="D900" s="8">
        <v>45187</v>
      </c>
      <c r="E900" s="8" t="s">
        <v>0</v>
      </c>
      <c r="F900" s="16" t="s">
        <v>396</v>
      </c>
      <c r="G900" s="7" t="s">
        <v>397</v>
      </c>
      <c r="H900" s="7" t="s">
        <v>390</v>
      </c>
      <c r="I900" s="7" t="s">
        <v>0</v>
      </c>
      <c r="J900" s="7" t="s">
        <v>51</v>
      </c>
      <c r="K900" s="7" t="s">
        <v>47</v>
      </c>
      <c r="L900" s="7" t="s">
        <v>389</v>
      </c>
      <c r="M900" s="7" t="s">
        <v>0</v>
      </c>
      <c r="N900" s="7" t="s">
        <v>6175</v>
      </c>
      <c r="O900" s="7" t="s">
        <v>0</v>
      </c>
      <c r="P900" s="7" t="s">
        <v>6176</v>
      </c>
      <c r="Q900" s="7" t="s">
        <v>6177</v>
      </c>
      <c r="R900" s="7" t="s">
        <v>393</v>
      </c>
      <c r="S900" s="7" t="s">
        <v>590</v>
      </c>
      <c r="T900" s="7" t="s">
        <v>54</v>
      </c>
      <c r="U900" s="7" t="s">
        <v>222</v>
      </c>
      <c r="V900" s="7" t="s">
        <v>126</v>
      </c>
      <c r="W900" s="7" t="s">
        <v>74</v>
      </c>
      <c r="X900" s="7" t="s">
        <v>58</v>
      </c>
      <c r="Y900" s="8">
        <v>45187</v>
      </c>
      <c r="Z900" s="8" t="s">
        <v>0</v>
      </c>
      <c r="AA900" s="7" t="s">
        <v>224</v>
      </c>
      <c r="AB900" s="7" t="s">
        <v>387</v>
      </c>
      <c r="AC900" s="7" t="s">
        <v>79</v>
      </c>
      <c r="AD900" s="7" t="s">
        <v>80</v>
      </c>
      <c r="AE900" s="7" t="s">
        <v>82</v>
      </c>
      <c r="AF900" s="7" t="s">
        <v>0</v>
      </c>
      <c r="AG900" s="7" t="s">
        <v>4835</v>
      </c>
      <c r="AH900" s="9" t="s">
        <v>12738</v>
      </c>
      <c r="AI900" s="9" t="s">
        <v>12739</v>
      </c>
      <c r="AJ900" s="9" t="s">
        <v>12740</v>
      </c>
      <c r="AK900" s="7" t="s">
        <v>81</v>
      </c>
      <c r="AL900" s="7" t="s">
        <v>61</v>
      </c>
      <c r="AM900" s="7" t="s">
        <v>0</v>
      </c>
      <c r="AN900" s="7" t="s">
        <v>0</v>
      </c>
      <c r="AO900" s="7" t="s">
        <v>0</v>
      </c>
      <c r="AP900" s="7" t="s">
        <v>0</v>
      </c>
      <c r="AQ900" s="7" t="s">
        <v>61</v>
      </c>
      <c r="AR900" s="7" t="s">
        <v>0</v>
      </c>
      <c r="AS900" s="10" t="str">
        <f>HYPERLINK("https://tessa.gazprom-neft.local/edo/card/1f789e9b-5ca9-4e1b-9093-6fe728e6ac8d", "https://tessa.gazprom-neft.local/edo/card/1f789e9b-5ca9-4e1b-9093-6fe728e6ac8d")</f>
        <v>https://tessa.gazprom-neft.local/edo/card/1f789e9b-5ca9-4e1b-9093-6fe728e6ac8d</v>
      </c>
    </row>
    <row r="901" spans="1:45" x14ac:dyDescent="0.25">
      <c r="A901" s="6" t="s">
        <v>44</v>
      </c>
      <c r="B901" s="7" t="s">
        <v>1328</v>
      </c>
      <c r="C901" s="7" t="s">
        <v>67</v>
      </c>
      <c r="D901" s="8">
        <v>45187</v>
      </c>
      <c r="E901" s="8" t="s">
        <v>0</v>
      </c>
      <c r="F901" s="16" t="s">
        <v>1329</v>
      </c>
      <c r="G901" s="7" t="s">
        <v>1330</v>
      </c>
      <c r="H901" s="7" t="s">
        <v>3640</v>
      </c>
      <c r="I901" s="7" t="s">
        <v>0</v>
      </c>
      <c r="J901" s="7" t="s">
        <v>51</v>
      </c>
      <c r="K901" s="7" t="s">
        <v>47</v>
      </c>
      <c r="L901" s="7" t="s">
        <v>48</v>
      </c>
      <c r="M901" s="7" t="s">
        <v>0</v>
      </c>
      <c r="N901" s="7" t="s">
        <v>6183</v>
      </c>
      <c r="O901" s="7" t="s">
        <v>0</v>
      </c>
      <c r="P901" s="7" t="s">
        <v>6184</v>
      </c>
      <c r="Q901" s="7" t="s">
        <v>6185</v>
      </c>
      <c r="R901" s="7" t="s">
        <v>393</v>
      </c>
      <c r="S901" s="7" t="s">
        <v>166</v>
      </c>
      <c r="T901" s="7" t="s">
        <v>54</v>
      </c>
      <c r="U901" s="7" t="s">
        <v>283</v>
      </c>
      <c r="V901" s="7" t="s">
        <v>308</v>
      </c>
      <c r="W901" s="7" t="s">
        <v>74</v>
      </c>
      <c r="X901" s="7" t="s">
        <v>58</v>
      </c>
      <c r="Y901" s="8">
        <v>45187</v>
      </c>
      <c r="Z901" s="8" t="s">
        <v>0</v>
      </c>
      <c r="AA901" s="7" t="s">
        <v>309</v>
      </c>
      <c r="AB901" s="7" t="s">
        <v>130</v>
      </c>
      <c r="AC901" s="7" t="s">
        <v>65</v>
      </c>
      <c r="AD901" s="7" t="s">
        <v>80</v>
      </c>
      <c r="AE901" s="7" t="s">
        <v>0</v>
      </c>
      <c r="AF901" s="7" t="s">
        <v>0</v>
      </c>
      <c r="AG901" s="7" t="s">
        <v>4821</v>
      </c>
      <c r="AH901" s="9" t="s">
        <v>0</v>
      </c>
      <c r="AI901" s="9" t="s">
        <v>0</v>
      </c>
      <c r="AJ901" s="9" t="s">
        <v>0</v>
      </c>
      <c r="AK901" s="7" t="s">
        <v>81</v>
      </c>
      <c r="AL901" s="7" t="s">
        <v>61</v>
      </c>
      <c r="AM901" s="7" t="s">
        <v>0</v>
      </c>
      <c r="AN901" s="7" t="s">
        <v>0</v>
      </c>
      <c r="AO901" s="7" t="s">
        <v>0</v>
      </c>
      <c r="AP901" s="7" t="s">
        <v>0</v>
      </c>
      <c r="AQ901" s="7" t="s">
        <v>61</v>
      </c>
      <c r="AR901" s="7" t="s">
        <v>0</v>
      </c>
      <c r="AS901" s="10" t="str">
        <f>HYPERLINK("https://tessa.gazprom-neft.local/edo/card/a78e59c8-7e38-4ebe-be7c-116dddd1e1a6", "https://tessa.gazprom-neft.local/edo/card/a78e59c8-7e38-4ebe-be7c-116dddd1e1a6")</f>
        <v>https://tessa.gazprom-neft.local/edo/card/a78e59c8-7e38-4ebe-be7c-116dddd1e1a6</v>
      </c>
    </row>
    <row r="902" spans="1:45" x14ac:dyDescent="0.25">
      <c r="A902" s="6" t="s">
        <v>44</v>
      </c>
      <c r="B902" s="7" t="s">
        <v>201</v>
      </c>
      <c r="C902" s="7" t="s">
        <v>67</v>
      </c>
      <c r="D902" s="8">
        <v>45183</v>
      </c>
      <c r="E902" s="8" t="s">
        <v>0</v>
      </c>
      <c r="F902" s="16" t="s">
        <v>202</v>
      </c>
      <c r="G902" s="7" t="s">
        <v>203</v>
      </c>
      <c r="H902" s="7" t="s">
        <v>195</v>
      </c>
      <c r="I902" s="7" t="s">
        <v>0</v>
      </c>
      <c r="J902" s="7" t="s">
        <v>872</v>
      </c>
      <c r="K902" s="7" t="s">
        <v>85</v>
      </c>
      <c r="L902" s="7" t="s">
        <v>48</v>
      </c>
      <c r="M902" s="7" t="s">
        <v>2128</v>
      </c>
      <c r="N902" s="7" t="s">
        <v>6132</v>
      </c>
      <c r="O902" s="7" t="s">
        <v>0</v>
      </c>
      <c r="P902" s="7" t="s">
        <v>2128</v>
      </c>
      <c r="Q902" s="7" t="s">
        <v>6133</v>
      </c>
      <c r="R902" s="7" t="s">
        <v>198</v>
      </c>
      <c r="S902" s="7" t="s">
        <v>198</v>
      </c>
      <c r="T902" s="7" t="s">
        <v>54</v>
      </c>
      <c r="U902" s="7" t="s">
        <v>199</v>
      </c>
      <c r="V902" s="7" t="s">
        <v>126</v>
      </c>
      <c r="W902" s="7" t="s">
        <v>74</v>
      </c>
      <c r="X902" s="7" t="s">
        <v>103</v>
      </c>
      <c r="Y902" s="8">
        <v>44545</v>
      </c>
      <c r="Z902" s="8">
        <v>45657</v>
      </c>
      <c r="AA902" s="7" t="s">
        <v>224</v>
      </c>
      <c r="AB902" s="7" t="s">
        <v>204</v>
      </c>
      <c r="AC902" s="7" t="s">
        <v>65</v>
      </c>
      <c r="AD902" s="7" t="s">
        <v>0</v>
      </c>
      <c r="AE902" s="7" t="s">
        <v>0</v>
      </c>
      <c r="AF902" s="7" t="s">
        <v>0</v>
      </c>
      <c r="AG902" s="7" t="s">
        <v>0</v>
      </c>
      <c r="AH902" s="9" t="s">
        <v>0</v>
      </c>
      <c r="AI902" s="9" t="s">
        <v>0</v>
      </c>
      <c r="AJ902" s="9" t="s">
        <v>0</v>
      </c>
      <c r="AK902" s="7" t="s">
        <v>61</v>
      </c>
      <c r="AL902" s="7" t="s">
        <v>61</v>
      </c>
      <c r="AM902" s="7" t="s">
        <v>0</v>
      </c>
      <c r="AN902" s="7" t="s">
        <v>0</v>
      </c>
      <c r="AO902" s="7" t="s">
        <v>0</v>
      </c>
      <c r="AP902" s="7" t="s">
        <v>0</v>
      </c>
      <c r="AQ902" s="7" t="s">
        <v>61</v>
      </c>
      <c r="AR902" s="7" t="s">
        <v>0</v>
      </c>
      <c r="AS902" s="10" t="str">
        <f>HYPERLINK("https://tessa.gazprom-neft.local/edo/card/84f0861c-a364-4c8b-8195-8c619db43072", "https://tessa.gazprom-neft.local/edo/card/84f0861c-a364-4c8b-8195-8c619db43072")</f>
        <v>https://tessa.gazprom-neft.local/edo/card/84f0861c-a364-4c8b-8195-8c619db43072</v>
      </c>
    </row>
    <row r="903" spans="1:45" x14ac:dyDescent="0.25">
      <c r="A903" s="6" t="s">
        <v>44</v>
      </c>
      <c r="B903" s="7" t="s">
        <v>3273</v>
      </c>
      <c r="C903" s="7" t="s">
        <v>67</v>
      </c>
      <c r="D903" s="8">
        <v>45183</v>
      </c>
      <c r="E903" s="8" t="s">
        <v>0</v>
      </c>
      <c r="F903" s="16" t="s">
        <v>5541</v>
      </c>
      <c r="G903" s="7" t="s">
        <v>3275</v>
      </c>
      <c r="H903" s="7" t="s">
        <v>6141</v>
      </c>
      <c r="I903" s="7" t="s">
        <v>0</v>
      </c>
      <c r="J903" s="7" t="s">
        <v>51</v>
      </c>
      <c r="K903" s="7" t="s">
        <v>85</v>
      </c>
      <c r="L903" s="7" t="s">
        <v>48</v>
      </c>
      <c r="M903" s="7" t="s">
        <v>1183</v>
      </c>
      <c r="N903" s="7" t="s">
        <v>6140</v>
      </c>
      <c r="O903" s="7" t="s">
        <v>0</v>
      </c>
      <c r="P903" s="7" t="s">
        <v>1183</v>
      </c>
      <c r="Q903" s="7" t="s">
        <v>5678</v>
      </c>
      <c r="R903" s="7" t="s">
        <v>5436</v>
      </c>
      <c r="S903" s="7" t="s">
        <v>0</v>
      </c>
      <c r="T903" s="7" t="s">
        <v>54</v>
      </c>
      <c r="U903" s="7" t="s">
        <v>899</v>
      </c>
      <c r="V903" s="7" t="s">
        <v>308</v>
      </c>
      <c r="W903" s="7" t="s">
        <v>74</v>
      </c>
      <c r="X903" s="7" t="s">
        <v>58</v>
      </c>
      <c r="Y903" s="8">
        <v>45183</v>
      </c>
      <c r="Z903" s="8" t="s">
        <v>0</v>
      </c>
      <c r="AA903" s="7" t="s">
        <v>309</v>
      </c>
      <c r="AB903" s="7" t="s">
        <v>228</v>
      </c>
      <c r="AC903" s="7" t="s">
        <v>65</v>
      </c>
      <c r="AD903" s="7" t="s">
        <v>0</v>
      </c>
      <c r="AE903" s="7" t="s">
        <v>0</v>
      </c>
      <c r="AF903" s="7" t="s">
        <v>0</v>
      </c>
      <c r="AG903" s="7" t="s">
        <v>0</v>
      </c>
      <c r="AH903" s="9" t="s">
        <v>0</v>
      </c>
      <c r="AI903" s="9" t="s">
        <v>0</v>
      </c>
      <c r="AJ903" s="9" t="s">
        <v>0</v>
      </c>
      <c r="AK903" s="7" t="s">
        <v>61</v>
      </c>
      <c r="AL903" s="7" t="s">
        <v>61</v>
      </c>
      <c r="AM903" s="7" t="s">
        <v>0</v>
      </c>
      <c r="AN903" s="7" t="s">
        <v>0</v>
      </c>
      <c r="AO903" s="7" t="s">
        <v>0</v>
      </c>
      <c r="AP903" s="7" t="s">
        <v>0</v>
      </c>
      <c r="AQ903" s="7" t="s">
        <v>61</v>
      </c>
      <c r="AR903" s="7" t="s">
        <v>0</v>
      </c>
      <c r="AS903" s="10" t="str">
        <f>HYPERLINK("https://tessa.gazprom-neft.local/edo/card/db6a6525-0c09-4706-a30a-c3b2d8119a72", "https://tessa.gazprom-neft.local/edo/card/db6a6525-0c09-4706-a30a-c3b2d8119a72")</f>
        <v>https://tessa.gazprom-neft.local/edo/card/db6a6525-0c09-4706-a30a-c3b2d8119a72</v>
      </c>
    </row>
    <row r="904" spans="1:45" x14ac:dyDescent="0.25">
      <c r="A904" s="6" t="s">
        <v>44</v>
      </c>
      <c r="B904" s="7" t="s">
        <v>2448</v>
      </c>
      <c r="C904" s="7" t="s">
        <v>67</v>
      </c>
      <c r="D904" s="8">
        <v>45183</v>
      </c>
      <c r="E904" s="8" t="s">
        <v>0</v>
      </c>
      <c r="F904" s="16" t="s">
        <v>2449</v>
      </c>
      <c r="G904" s="7" t="s">
        <v>2450</v>
      </c>
      <c r="H904" s="7" t="s">
        <v>2445</v>
      </c>
      <c r="I904" s="7" t="s">
        <v>0</v>
      </c>
      <c r="J904" s="7" t="s">
        <v>156</v>
      </c>
      <c r="K904" s="7" t="s">
        <v>47</v>
      </c>
      <c r="L904" s="7" t="s">
        <v>48</v>
      </c>
      <c r="M904" s="7" t="s">
        <v>0</v>
      </c>
      <c r="N904" s="7" t="s">
        <v>6145</v>
      </c>
      <c r="O904" s="7" t="s">
        <v>0</v>
      </c>
      <c r="P904" s="7" t="s">
        <v>6146</v>
      </c>
      <c r="Q904" s="7" t="s">
        <v>6147</v>
      </c>
      <c r="R904" s="7" t="s">
        <v>1004</v>
      </c>
      <c r="S904" s="7" t="s">
        <v>1004</v>
      </c>
      <c r="T904" s="7" t="s">
        <v>54</v>
      </c>
      <c r="U904" s="7" t="s">
        <v>111</v>
      </c>
      <c r="V904" s="7" t="s">
        <v>112</v>
      </c>
      <c r="W904" s="7" t="s">
        <v>57</v>
      </c>
      <c r="X904" s="7" t="s">
        <v>103</v>
      </c>
      <c r="Y904" s="8">
        <v>45183</v>
      </c>
      <c r="Z904" s="8">
        <v>45291</v>
      </c>
      <c r="AA904" s="7" t="s">
        <v>113</v>
      </c>
      <c r="AB904" s="7" t="s">
        <v>64</v>
      </c>
      <c r="AC904" s="7" t="s">
        <v>79</v>
      </c>
      <c r="AD904" s="7" t="s">
        <v>80</v>
      </c>
      <c r="AE904" s="7" t="s">
        <v>889</v>
      </c>
      <c r="AF904" s="7" t="s">
        <v>0</v>
      </c>
      <c r="AG904" s="7" t="s">
        <v>0</v>
      </c>
      <c r="AH904" s="9">
        <v>0</v>
      </c>
      <c r="AI904" s="9">
        <v>0</v>
      </c>
      <c r="AJ904" s="9">
        <v>0</v>
      </c>
      <c r="AK904" s="7" t="s">
        <v>61</v>
      </c>
      <c r="AL904" s="7" t="s">
        <v>61</v>
      </c>
      <c r="AM904" s="7" t="s">
        <v>0</v>
      </c>
      <c r="AN904" s="7" t="s">
        <v>0</v>
      </c>
      <c r="AO904" s="7" t="s">
        <v>0</v>
      </c>
      <c r="AP904" s="7" t="s">
        <v>0</v>
      </c>
      <c r="AQ904" s="7" t="s">
        <v>61</v>
      </c>
      <c r="AR904" s="7" t="s">
        <v>0</v>
      </c>
      <c r="AS904" s="10" t="str">
        <f>HYPERLINK("https://tessa.gazprom-neft.local/edo/card/01050310-3ae0-473f-a3fc-33463dbda643", "https://tessa.gazprom-neft.local/edo/card/01050310-3ae0-473f-a3fc-33463dbda643")</f>
        <v>https://tessa.gazprom-neft.local/edo/card/01050310-3ae0-473f-a3fc-33463dbda643</v>
      </c>
    </row>
    <row r="905" spans="1:45" hidden="1" x14ac:dyDescent="0.25">
      <c r="A905" s="6" t="s">
        <v>44</v>
      </c>
      <c r="B905" s="7" t="s">
        <v>4333</v>
      </c>
      <c r="C905" s="7" t="s">
        <v>67</v>
      </c>
      <c r="D905" s="8">
        <v>45183</v>
      </c>
      <c r="E905" s="8" t="s">
        <v>0</v>
      </c>
      <c r="F905" s="16" t="s">
        <v>4334</v>
      </c>
      <c r="G905" s="7" t="s">
        <v>4335</v>
      </c>
      <c r="H905" s="7" t="s">
        <v>4330</v>
      </c>
      <c r="I905" s="7" t="s">
        <v>0</v>
      </c>
      <c r="J905" s="7" t="s">
        <v>271</v>
      </c>
      <c r="K905" s="7" t="s">
        <v>47</v>
      </c>
      <c r="L905" s="7" t="s">
        <v>239</v>
      </c>
      <c r="M905" s="7" t="s">
        <v>0</v>
      </c>
      <c r="N905" s="7" t="s">
        <v>6258</v>
      </c>
      <c r="O905" s="7" t="s">
        <v>0</v>
      </c>
      <c r="P905" s="7" t="s">
        <v>6259</v>
      </c>
      <c r="Q905" s="7" t="s">
        <v>4332</v>
      </c>
      <c r="R905" s="7" t="s">
        <v>1610</v>
      </c>
      <c r="S905" s="7" t="s">
        <v>1610</v>
      </c>
      <c r="T905" s="7" t="s">
        <v>54</v>
      </c>
      <c r="U905" s="7" t="s">
        <v>101</v>
      </c>
      <c r="V905" s="7" t="s">
        <v>308</v>
      </c>
      <c r="W905" s="7" t="s">
        <v>57</v>
      </c>
      <c r="X905" s="7" t="s">
        <v>58</v>
      </c>
      <c r="Y905" s="8">
        <v>45183</v>
      </c>
      <c r="Z905" s="8" t="s">
        <v>0</v>
      </c>
      <c r="AA905" s="7" t="s">
        <v>309</v>
      </c>
      <c r="AB905" s="7" t="s">
        <v>130</v>
      </c>
      <c r="AC905" s="7" t="s">
        <v>79</v>
      </c>
      <c r="AD905" s="7" t="s">
        <v>80</v>
      </c>
      <c r="AE905" s="7" t="s">
        <v>82</v>
      </c>
      <c r="AF905" s="7" t="s">
        <v>0</v>
      </c>
      <c r="AG905" s="7" t="s">
        <v>0</v>
      </c>
      <c r="AH905" s="9" t="s">
        <v>12771</v>
      </c>
      <c r="AI905" s="9" t="s">
        <v>12772</v>
      </c>
      <c r="AJ905" s="9" t="s">
        <v>12773</v>
      </c>
      <c r="AK905" s="7" t="s">
        <v>61</v>
      </c>
      <c r="AL905" s="7" t="s">
        <v>61</v>
      </c>
      <c r="AM905" s="7" t="s">
        <v>0</v>
      </c>
      <c r="AN905" s="7" t="s">
        <v>0</v>
      </c>
      <c r="AO905" s="7" t="s">
        <v>0</v>
      </c>
      <c r="AP905" s="7" t="s">
        <v>0</v>
      </c>
      <c r="AQ905" s="7" t="s">
        <v>61</v>
      </c>
      <c r="AR905" s="7" t="s">
        <v>0</v>
      </c>
      <c r="AS905" s="10" t="str">
        <f>HYPERLINK("https://tessa.gazprom-neft.local/edo/card/917b4604-371a-479a-b751-3c594e5a305b", "https://tessa.gazprom-neft.local/edo/card/917b4604-371a-479a-b751-3c594e5a305b")</f>
        <v>https://tessa.gazprom-neft.local/edo/card/917b4604-371a-479a-b751-3c594e5a305b</v>
      </c>
    </row>
    <row r="906" spans="1:45" hidden="1" x14ac:dyDescent="0.25">
      <c r="A906" s="6" t="s">
        <v>44</v>
      </c>
      <c r="B906" s="7" t="s">
        <v>284</v>
      </c>
      <c r="C906" s="7" t="s">
        <v>67</v>
      </c>
      <c r="D906" s="8">
        <v>45182</v>
      </c>
      <c r="E906" s="8" t="s">
        <v>0</v>
      </c>
      <c r="F906" s="16" t="s">
        <v>285</v>
      </c>
      <c r="G906" s="7" t="s">
        <v>286</v>
      </c>
      <c r="H906" s="7" t="s">
        <v>770</v>
      </c>
      <c r="I906" s="7" t="s">
        <v>0</v>
      </c>
      <c r="J906" s="7" t="s">
        <v>271</v>
      </c>
      <c r="K906" s="7" t="s">
        <v>47</v>
      </c>
      <c r="L906" s="7" t="s">
        <v>239</v>
      </c>
      <c r="M906" s="7" t="s">
        <v>0</v>
      </c>
      <c r="N906" s="7" t="s">
        <v>6198</v>
      </c>
      <c r="O906" s="7" t="s">
        <v>0</v>
      </c>
      <c r="P906" s="7" t="s">
        <v>6199</v>
      </c>
      <c r="Q906" s="7" t="s">
        <v>6200</v>
      </c>
      <c r="R906" s="7" t="s">
        <v>198</v>
      </c>
      <c r="S906" s="7" t="s">
        <v>198</v>
      </c>
      <c r="T906" s="7" t="s">
        <v>54</v>
      </c>
      <c r="U906" s="7" t="s">
        <v>199</v>
      </c>
      <c r="V906" s="7" t="s">
        <v>126</v>
      </c>
      <c r="W906" s="7" t="s">
        <v>57</v>
      </c>
      <c r="X906" s="7" t="s">
        <v>103</v>
      </c>
      <c r="Y906" s="8">
        <v>45189</v>
      </c>
      <c r="Z906" s="8">
        <v>45291</v>
      </c>
      <c r="AA906" s="7" t="s">
        <v>224</v>
      </c>
      <c r="AB906" s="7" t="s">
        <v>423</v>
      </c>
      <c r="AC906" s="7" t="s">
        <v>79</v>
      </c>
      <c r="AD906" s="7" t="s">
        <v>144</v>
      </c>
      <c r="AE906" s="7" t="s">
        <v>82</v>
      </c>
      <c r="AF906" s="7" t="s">
        <v>0</v>
      </c>
      <c r="AG906" s="7" t="s">
        <v>0</v>
      </c>
      <c r="AH906" s="9" t="s">
        <v>11195</v>
      </c>
      <c r="AI906" s="9" t="s">
        <v>11196</v>
      </c>
      <c r="AJ906" s="9" t="s">
        <v>11197</v>
      </c>
      <c r="AK906" s="7" t="s">
        <v>61</v>
      </c>
      <c r="AL906" s="7" t="s">
        <v>61</v>
      </c>
      <c r="AM906" s="7" t="s">
        <v>0</v>
      </c>
      <c r="AN906" s="7" t="s">
        <v>0</v>
      </c>
      <c r="AO906" s="7" t="s">
        <v>0</v>
      </c>
      <c r="AP906" s="7" t="s">
        <v>0</v>
      </c>
      <c r="AQ906" s="7" t="s">
        <v>61</v>
      </c>
      <c r="AR906" s="7" t="s">
        <v>0</v>
      </c>
      <c r="AS906" s="10" t="str">
        <f>HYPERLINK("https://tessa.gazprom-neft.local/edo/card/2ed83ede-1d7e-41a2-9835-6d7074c11dc2", "https://tessa.gazprom-neft.local/edo/card/2ed83ede-1d7e-41a2-9835-6d7074c11dc2")</f>
        <v>https://tessa.gazprom-neft.local/edo/card/2ed83ede-1d7e-41a2-9835-6d7074c11dc2</v>
      </c>
    </row>
    <row r="907" spans="1:45" hidden="1" x14ac:dyDescent="0.25">
      <c r="A907" s="6" t="s">
        <v>44</v>
      </c>
      <c r="B907" s="7" t="s">
        <v>542</v>
      </c>
      <c r="C907" s="7" t="s">
        <v>67</v>
      </c>
      <c r="D907" s="8">
        <v>45181</v>
      </c>
      <c r="E907" s="8" t="s">
        <v>0</v>
      </c>
      <c r="F907" s="16" t="s">
        <v>543</v>
      </c>
      <c r="G907" s="7" t="s">
        <v>544</v>
      </c>
      <c r="H907" s="7" t="s">
        <v>536</v>
      </c>
      <c r="I907" s="7" t="s">
        <v>0</v>
      </c>
      <c r="J907" s="7" t="s">
        <v>5867</v>
      </c>
      <c r="K907" s="7" t="s">
        <v>47</v>
      </c>
      <c r="L907" s="7" t="s">
        <v>239</v>
      </c>
      <c r="M907" s="7" t="s">
        <v>0</v>
      </c>
      <c r="N907" s="7" t="s">
        <v>5865</v>
      </c>
      <c r="O907" s="7" t="s">
        <v>0</v>
      </c>
      <c r="P907" s="7" t="s">
        <v>5866</v>
      </c>
      <c r="Q907" s="7" t="s">
        <v>5868</v>
      </c>
      <c r="R907" s="7" t="s">
        <v>540</v>
      </c>
      <c r="S907" s="7" t="s">
        <v>0</v>
      </c>
      <c r="T907" s="7" t="s">
        <v>54</v>
      </c>
      <c r="U907" s="7" t="s">
        <v>541</v>
      </c>
      <c r="V907" s="7" t="s">
        <v>56</v>
      </c>
      <c r="W907" s="7" t="s">
        <v>74</v>
      </c>
      <c r="X907" s="7" t="s">
        <v>103</v>
      </c>
      <c r="Y907" s="8">
        <v>45168</v>
      </c>
      <c r="Z907" s="8">
        <v>45285</v>
      </c>
      <c r="AA907" s="7" t="s">
        <v>59</v>
      </c>
      <c r="AB907" s="7" t="s">
        <v>545</v>
      </c>
      <c r="AC907" s="7" t="s">
        <v>79</v>
      </c>
      <c r="AD907" s="7" t="s">
        <v>144</v>
      </c>
      <c r="AE907" s="7" t="s">
        <v>82</v>
      </c>
      <c r="AF907" s="7" t="s">
        <v>0</v>
      </c>
      <c r="AG907" s="7" t="s">
        <v>0</v>
      </c>
      <c r="AH907" s="9" t="s">
        <v>12658</v>
      </c>
      <c r="AI907" s="9" t="s">
        <v>12659</v>
      </c>
      <c r="AJ907" s="9" t="s">
        <v>12660</v>
      </c>
      <c r="AK907" s="7" t="s">
        <v>61</v>
      </c>
      <c r="AL907" s="7" t="s">
        <v>61</v>
      </c>
      <c r="AM907" s="7" t="s">
        <v>0</v>
      </c>
      <c r="AN907" s="7" t="s">
        <v>0</v>
      </c>
      <c r="AO907" s="7" t="s">
        <v>0</v>
      </c>
      <c r="AP907" s="7" t="s">
        <v>0</v>
      </c>
      <c r="AQ907" s="7" t="s">
        <v>61</v>
      </c>
      <c r="AR907" s="7" t="s">
        <v>0</v>
      </c>
      <c r="AS907" s="10" t="str">
        <f>HYPERLINK("https://tessa.gazprom-neft.local/edo/card/5e30f7a2-9e79-4403-a218-6806cc8471b7", "https://tessa.gazprom-neft.local/edo/card/5e30f7a2-9e79-4403-a218-6806cc8471b7")</f>
        <v>https://tessa.gazprom-neft.local/edo/card/5e30f7a2-9e79-4403-a218-6806cc8471b7</v>
      </c>
    </row>
    <row r="908" spans="1:45" hidden="1" x14ac:dyDescent="0.25">
      <c r="A908" s="6" t="s">
        <v>44</v>
      </c>
      <c r="B908" s="7" t="s">
        <v>0</v>
      </c>
      <c r="C908" s="7" t="s">
        <v>67</v>
      </c>
      <c r="D908" s="8">
        <v>45181</v>
      </c>
      <c r="E908" s="8" t="s">
        <v>0</v>
      </c>
      <c r="F908" s="16" t="s">
        <v>5989</v>
      </c>
      <c r="G908" s="7" t="s">
        <v>0</v>
      </c>
      <c r="H908" s="7" t="s">
        <v>0</v>
      </c>
      <c r="I908" s="7" t="s">
        <v>5986</v>
      </c>
      <c r="J908" s="7" t="s">
        <v>5986</v>
      </c>
      <c r="K908" s="7" t="s">
        <v>47</v>
      </c>
      <c r="L908" s="7" t="s">
        <v>86</v>
      </c>
      <c r="M908" s="7" t="s">
        <v>0</v>
      </c>
      <c r="N908" s="7" t="s">
        <v>5985</v>
      </c>
      <c r="O908" s="7" t="s">
        <v>0</v>
      </c>
      <c r="P908" s="7" t="s">
        <v>5987</v>
      </c>
      <c r="Q908" s="7" t="s">
        <v>5988</v>
      </c>
      <c r="R908" s="7" t="s">
        <v>4253</v>
      </c>
      <c r="S908" s="7" t="s">
        <v>4253</v>
      </c>
      <c r="T908" s="7" t="s">
        <v>54</v>
      </c>
      <c r="U908" s="7" t="s">
        <v>90</v>
      </c>
      <c r="V908" s="7" t="s">
        <v>137</v>
      </c>
      <c r="W908" s="7" t="s">
        <v>57</v>
      </c>
      <c r="X908" s="7" t="s">
        <v>58</v>
      </c>
      <c r="Y908" s="8">
        <v>45181</v>
      </c>
      <c r="Z908" s="8" t="s">
        <v>0</v>
      </c>
      <c r="AA908" s="7" t="s">
        <v>0</v>
      </c>
      <c r="AB908" s="7" t="s">
        <v>1419</v>
      </c>
      <c r="AC908" s="7" t="s">
        <v>65</v>
      </c>
      <c r="AD908" s="7" t="s">
        <v>0</v>
      </c>
      <c r="AE908" s="7" t="s">
        <v>0</v>
      </c>
      <c r="AF908" s="7" t="s">
        <v>0</v>
      </c>
      <c r="AG908" s="7" t="s">
        <v>0</v>
      </c>
      <c r="AH908" s="9" t="s">
        <v>0</v>
      </c>
      <c r="AI908" s="9" t="s">
        <v>0</v>
      </c>
      <c r="AJ908" s="9" t="s">
        <v>0</v>
      </c>
      <c r="AK908" s="7" t="s">
        <v>61</v>
      </c>
      <c r="AL908" s="7" t="s">
        <v>61</v>
      </c>
      <c r="AM908" s="7" t="s">
        <v>0</v>
      </c>
      <c r="AN908" s="7" t="s">
        <v>0</v>
      </c>
      <c r="AO908" s="7" t="s">
        <v>0</v>
      </c>
      <c r="AP908" s="7" t="s">
        <v>0</v>
      </c>
      <c r="AQ908" s="7" t="s">
        <v>61</v>
      </c>
      <c r="AR908" s="7" t="s">
        <v>0</v>
      </c>
      <c r="AS908" s="10" t="str">
        <f>HYPERLINK("https://tessa.gazprom-neft.local/edo/card/f7c736f6-bf3c-40e9-b171-7057c4ace3c7", "https://tessa.gazprom-neft.local/edo/card/f7c736f6-bf3c-40e9-b171-7057c4ace3c7")</f>
        <v>https://tessa.gazprom-neft.local/edo/card/f7c736f6-bf3c-40e9-b171-7057c4ace3c7</v>
      </c>
    </row>
    <row r="909" spans="1:45" x14ac:dyDescent="0.25">
      <c r="A909" s="6" t="s">
        <v>44</v>
      </c>
      <c r="B909" s="7" t="s">
        <v>170</v>
      </c>
      <c r="C909" s="7" t="s">
        <v>67</v>
      </c>
      <c r="D909" s="8">
        <v>45175</v>
      </c>
      <c r="E909" s="8" t="s">
        <v>0</v>
      </c>
      <c r="F909" s="16" t="s">
        <v>171</v>
      </c>
      <c r="G909" s="7" t="s">
        <v>172</v>
      </c>
      <c r="H909" s="7" t="s">
        <v>1109</v>
      </c>
      <c r="I909" s="7" t="s">
        <v>0</v>
      </c>
      <c r="J909" s="7" t="s">
        <v>51</v>
      </c>
      <c r="K909" s="7" t="s">
        <v>47</v>
      </c>
      <c r="L909" s="7" t="s">
        <v>48</v>
      </c>
      <c r="M909" s="7" t="s">
        <v>0</v>
      </c>
      <c r="N909" s="7" t="s">
        <v>5947</v>
      </c>
      <c r="O909" s="7" t="s">
        <v>0</v>
      </c>
      <c r="P909" s="7" t="s">
        <v>5948</v>
      </c>
      <c r="Q909" s="7" t="s">
        <v>5949</v>
      </c>
      <c r="R909" s="7" t="s">
        <v>124</v>
      </c>
      <c r="S909" s="7" t="s">
        <v>0</v>
      </c>
      <c r="T909" s="7" t="s">
        <v>54</v>
      </c>
      <c r="U909" s="7" t="s">
        <v>362</v>
      </c>
      <c r="V909" s="7" t="s">
        <v>308</v>
      </c>
      <c r="W909" s="7" t="s">
        <v>74</v>
      </c>
      <c r="X909" s="7" t="s">
        <v>58</v>
      </c>
      <c r="Y909" s="8">
        <v>45175</v>
      </c>
      <c r="Z909" s="8" t="s">
        <v>0</v>
      </c>
      <c r="AA909" s="7" t="s">
        <v>309</v>
      </c>
      <c r="AB909" s="7" t="s">
        <v>64</v>
      </c>
      <c r="AC909" s="7" t="s">
        <v>65</v>
      </c>
      <c r="AD909" s="7" t="s">
        <v>0</v>
      </c>
      <c r="AE909" s="7" t="s">
        <v>0</v>
      </c>
      <c r="AF909" s="7" t="s">
        <v>0</v>
      </c>
      <c r="AG909" s="7" t="s">
        <v>0</v>
      </c>
      <c r="AH909" s="9" t="s">
        <v>0</v>
      </c>
      <c r="AI909" s="9" t="s">
        <v>0</v>
      </c>
      <c r="AJ909" s="9" t="s">
        <v>0</v>
      </c>
      <c r="AK909" s="7" t="s">
        <v>61</v>
      </c>
      <c r="AL909" s="7" t="s">
        <v>61</v>
      </c>
      <c r="AM909" s="7" t="s">
        <v>0</v>
      </c>
      <c r="AN909" s="7" t="s">
        <v>0</v>
      </c>
      <c r="AO909" s="7" t="s">
        <v>0</v>
      </c>
      <c r="AP909" s="7" t="s">
        <v>0</v>
      </c>
      <c r="AQ909" s="7" t="s">
        <v>61</v>
      </c>
      <c r="AR909" s="7" t="s">
        <v>0</v>
      </c>
      <c r="AS909" s="10" t="str">
        <f>HYPERLINK("https://tessa.gazprom-neft.local/edo/card/6538e70e-2b23-4f2e-a70c-624c304266a9", "https://tessa.gazprom-neft.local/edo/card/6538e70e-2b23-4f2e-a70c-624c304266a9")</f>
        <v>https://tessa.gazprom-neft.local/edo/card/6538e70e-2b23-4f2e-a70c-624c304266a9</v>
      </c>
    </row>
    <row r="910" spans="1:45" x14ac:dyDescent="0.25">
      <c r="A910" s="6" t="s">
        <v>44</v>
      </c>
      <c r="B910" s="7" t="s">
        <v>170</v>
      </c>
      <c r="C910" s="7" t="s">
        <v>492</v>
      </c>
      <c r="D910" s="8">
        <v>45175</v>
      </c>
      <c r="E910" s="8" t="s">
        <v>0</v>
      </c>
      <c r="F910" s="16" t="s">
        <v>171</v>
      </c>
      <c r="G910" s="7" t="s">
        <v>172</v>
      </c>
      <c r="H910" s="7" t="s">
        <v>1109</v>
      </c>
      <c r="I910" s="7" t="s">
        <v>0</v>
      </c>
      <c r="J910" s="7" t="s">
        <v>271</v>
      </c>
      <c r="K910" s="7" t="s">
        <v>47</v>
      </c>
      <c r="L910" s="7" t="s">
        <v>48</v>
      </c>
      <c r="M910" s="7" t="s">
        <v>0</v>
      </c>
      <c r="N910" s="7" t="s">
        <v>5953</v>
      </c>
      <c r="O910" s="7" t="s">
        <v>0</v>
      </c>
      <c r="P910" s="7" t="s">
        <v>1989</v>
      </c>
      <c r="Q910" s="7" t="s">
        <v>5954</v>
      </c>
      <c r="R910" s="7" t="s">
        <v>124</v>
      </c>
      <c r="S910" s="7" t="s">
        <v>0</v>
      </c>
      <c r="T910" s="7" t="s">
        <v>54</v>
      </c>
      <c r="U910" s="7" t="s">
        <v>362</v>
      </c>
      <c r="V910" s="7" t="s">
        <v>308</v>
      </c>
      <c r="W910" s="7" t="s">
        <v>74</v>
      </c>
      <c r="X910" s="7" t="s">
        <v>58</v>
      </c>
      <c r="Y910" s="8">
        <v>45175</v>
      </c>
      <c r="Z910" s="8" t="s">
        <v>0</v>
      </c>
      <c r="AA910" s="7" t="s">
        <v>309</v>
      </c>
      <c r="AB910" s="7" t="s">
        <v>64</v>
      </c>
      <c r="AC910" s="7" t="s">
        <v>65</v>
      </c>
      <c r="AD910" s="7" t="s">
        <v>0</v>
      </c>
      <c r="AE910" s="7" t="s">
        <v>0</v>
      </c>
      <c r="AF910" s="7" t="s">
        <v>0</v>
      </c>
      <c r="AG910" s="7" t="s">
        <v>0</v>
      </c>
      <c r="AH910" s="9" t="s">
        <v>0</v>
      </c>
      <c r="AI910" s="9" t="s">
        <v>0</v>
      </c>
      <c r="AJ910" s="9" t="s">
        <v>0</v>
      </c>
      <c r="AK910" s="7" t="s">
        <v>61</v>
      </c>
      <c r="AL910" s="7" t="s">
        <v>61</v>
      </c>
      <c r="AM910" s="7" t="s">
        <v>0</v>
      </c>
      <c r="AN910" s="7" t="s">
        <v>0</v>
      </c>
      <c r="AO910" s="7" t="s">
        <v>0</v>
      </c>
      <c r="AP910" s="7" t="s">
        <v>0</v>
      </c>
      <c r="AQ910" s="7" t="s">
        <v>61</v>
      </c>
      <c r="AR910" s="7" t="s">
        <v>0</v>
      </c>
      <c r="AS910" s="10" t="str">
        <f>HYPERLINK("https://tessa.gazprom-neft.local/edo/card/cbee882c-9940-48d1-828a-6e32c79a9f03", "https://tessa.gazprom-neft.local/edo/card/cbee882c-9940-48d1-828a-6e32c79a9f03")</f>
        <v>https://tessa.gazprom-neft.local/edo/card/cbee882c-9940-48d1-828a-6e32c79a9f03</v>
      </c>
    </row>
    <row r="911" spans="1:45" x14ac:dyDescent="0.25">
      <c r="A911" s="6" t="s">
        <v>44</v>
      </c>
      <c r="B911" s="7" t="s">
        <v>127</v>
      </c>
      <c r="C911" s="7" t="s">
        <v>67</v>
      </c>
      <c r="D911" s="8">
        <v>45174</v>
      </c>
      <c r="E911" s="8" t="s">
        <v>0</v>
      </c>
      <c r="F911" s="16" t="s">
        <v>128</v>
      </c>
      <c r="G911" s="7" t="s">
        <v>129</v>
      </c>
      <c r="H911" s="7" t="s">
        <v>1661</v>
      </c>
      <c r="I911" s="7" t="s">
        <v>0</v>
      </c>
      <c r="J911" s="7" t="s">
        <v>331</v>
      </c>
      <c r="K911" s="7" t="s">
        <v>47</v>
      </c>
      <c r="L911" s="7" t="s">
        <v>48</v>
      </c>
      <c r="M911" s="7" t="s">
        <v>0</v>
      </c>
      <c r="N911" s="7" t="s">
        <v>6242</v>
      </c>
      <c r="O911" s="7" t="s">
        <v>0</v>
      </c>
      <c r="P911" s="7" t="s">
        <v>6243</v>
      </c>
      <c r="Q911" s="7" t="s">
        <v>6244</v>
      </c>
      <c r="R911" s="7" t="s">
        <v>393</v>
      </c>
      <c r="S911" s="7" t="s">
        <v>0</v>
      </c>
      <c r="T911" s="7" t="s">
        <v>54</v>
      </c>
      <c r="U911" s="7" t="s">
        <v>210</v>
      </c>
      <c r="V911" s="7" t="s">
        <v>126</v>
      </c>
      <c r="W911" s="7" t="s">
        <v>74</v>
      </c>
      <c r="X911" s="7" t="s">
        <v>58</v>
      </c>
      <c r="Y911" s="8">
        <v>45174</v>
      </c>
      <c r="Z911" s="8" t="s">
        <v>0</v>
      </c>
      <c r="AA911" s="7" t="s">
        <v>224</v>
      </c>
      <c r="AB911" s="7" t="s">
        <v>1698</v>
      </c>
      <c r="AC911" s="7" t="s">
        <v>65</v>
      </c>
      <c r="AD911" s="7" t="s">
        <v>514</v>
      </c>
      <c r="AE911" s="7" t="s">
        <v>0</v>
      </c>
      <c r="AF911" s="7" t="s">
        <v>0</v>
      </c>
      <c r="AG911" s="7" t="s">
        <v>0</v>
      </c>
      <c r="AH911" s="9" t="s">
        <v>0</v>
      </c>
      <c r="AI911" s="9" t="s">
        <v>0</v>
      </c>
      <c r="AJ911" s="9" t="s">
        <v>0</v>
      </c>
      <c r="AK911" s="7" t="s">
        <v>61</v>
      </c>
      <c r="AL911" s="7" t="s">
        <v>61</v>
      </c>
      <c r="AM911" s="7" t="s">
        <v>0</v>
      </c>
      <c r="AN911" s="7" t="s">
        <v>0</v>
      </c>
      <c r="AO911" s="7" t="s">
        <v>0</v>
      </c>
      <c r="AP911" s="7" t="s">
        <v>0</v>
      </c>
      <c r="AQ911" s="7" t="s">
        <v>61</v>
      </c>
      <c r="AR911" s="7" t="s">
        <v>0</v>
      </c>
      <c r="AS911" s="10" t="str">
        <f>HYPERLINK("https://tessa.gazprom-neft.local/edo/card/5dc2784b-7179-4e69-a53b-7a789a6c9091", "https://tessa.gazprom-neft.local/edo/card/5dc2784b-7179-4e69-a53b-7a789a6c9091")</f>
        <v>https://tessa.gazprom-neft.local/edo/card/5dc2784b-7179-4e69-a53b-7a789a6c9091</v>
      </c>
    </row>
    <row r="912" spans="1:45" hidden="1" x14ac:dyDescent="0.25">
      <c r="A912" s="6" t="s">
        <v>44</v>
      </c>
      <c r="B912" s="7" t="s">
        <v>661</v>
      </c>
      <c r="C912" s="7" t="s">
        <v>67</v>
      </c>
      <c r="D912" s="8">
        <v>45170</v>
      </c>
      <c r="E912" s="8" t="s">
        <v>0</v>
      </c>
      <c r="F912" s="16" t="s">
        <v>662</v>
      </c>
      <c r="G912" s="7" t="s">
        <v>663</v>
      </c>
      <c r="H912" s="7" t="s">
        <v>2557</v>
      </c>
      <c r="I912" s="7" t="s">
        <v>0</v>
      </c>
      <c r="J912" s="7" t="s">
        <v>5298</v>
      </c>
      <c r="K912" s="7" t="s">
        <v>47</v>
      </c>
      <c r="L912" s="7" t="s">
        <v>763</v>
      </c>
      <c r="M912" s="7" t="s">
        <v>0</v>
      </c>
      <c r="N912" s="7" t="s">
        <v>5296</v>
      </c>
      <c r="O912" s="7" t="s">
        <v>0</v>
      </c>
      <c r="P912" s="7" t="s">
        <v>5297</v>
      </c>
      <c r="Q912" s="7" t="s">
        <v>5299</v>
      </c>
      <c r="R912" s="7" t="s">
        <v>393</v>
      </c>
      <c r="S912" s="7" t="s">
        <v>714</v>
      </c>
      <c r="T912" s="7" t="s">
        <v>54</v>
      </c>
      <c r="U912" s="7" t="s">
        <v>283</v>
      </c>
      <c r="V912" s="7" t="s">
        <v>168</v>
      </c>
      <c r="W912" s="7" t="s">
        <v>74</v>
      </c>
      <c r="X912" s="7" t="s">
        <v>58</v>
      </c>
      <c r="Y912" s="8">
        <v>45139</v>
      </c>
      <c r="Z912" s="8" t="s">
        <v>0</v>
      </c>
      <c r="AA912" s="7" t="s">
        <v>169</v>
      </c>
      <c r="AB912" s="7" t="s">
        <v>130</v>
      </c>
      <c r="AC912" s="7" t="s">
        <v>79</v>
      </c>
      <c r="AD912" s="7" t="s">
        <v>80</v>
      </c>
      <c r="AE912" s="7" t="s">
        <v>82</v>
      </c>
      <c r="AF912" s="7" t="s">
        <v>0</v>
      </c>
      <c r="AG912" s="7" t="s">
        <v>0</v>
      </c>
      <c r="AH912" s="9" t="s">
        <v>12439</v>
      </c>
      <c r="AI912" s="9" t="s">
        <v>12440</v>
      </c>
      <c r="AJ912" s="9" t="s">
        <v>12441</v>
      </c>
      <c r="AK912" s="7" t="s">
        <v>61</v>
      </c>
      <c r="AL912" s="7" t="s">
        <v>61</v>
      </c>
      <c r="AM912" s="7" t="s">
        <v>0</v>
      </c>
      <c r="AN912" s="7" t="s">
        <v>0</v>
      </c>
      <c r="AO912" s="7" t="s">
        <v>0</v>
      </c>
      <c r="AP912" s="7" t="s">
        <v>0</v>
      </c>
      <c r="AQ912" s="7" t="s">
        <v>61</v>
      </c>
      <c r="AR912" s="7" t="s">
        <v>0</v>
      </c>
      <c r="AS912" s="10" t="str">
        <f>HYPERLINK("https://tessa.gazprom-neft.local/edo/card/ecdcd927-f070-4e1e-bf5d-f5a833130fd8", "https://tessa.gazprom-neft.local/edo/card/ecdcd927-f070-4e1e-bf5d-f5a833130fd8")</f>
        <v>https://tessa.gazprom-neft.local/edo/card/ecdcd927-f070-4e1e-bf5d-f5a833130fd8</v>
      </c>
    </row>
    <row r="913" spans="1:45" hidden="1" x14ac:dyDescent="0.25">
      <c r="A913" s="6" t="s">
        <v>44</v>
      </c>
      <c r="B913" s="7" t="s">
        <v>0</v>
      </c>
      <c r="C913" s="7" t="s">
        <v>67</v>
      </c>
      <c r="D913" s="8">
        <v>45170</v>
      </c>
      <c r="E913" s="8" t="s">
        <v>0</v>
      </c>
      <c r="F913" s="16" t="s">
        <v>5593</v>
      </c>
      <c r="G913" s="7" t="s">
        <v>0</v>
      </c>
      <c r="H913" s="7" t="s">
        <v>0</v>
      </c>
      <c r="I913" s="7" t="s">
        <v>5590</v>
      </c>
      <c r="J913" s="7" t="s">
        <v>5590</v>
      </c>
      <c r="K913" s="7" t="s">
        <v>47</v>
      </c>
      <c r="L913" s="7" t="s">
        <v>96</v>
      </c>
      <c r="M913" s="7" t="s">
        <v>0</v>
      </c>
      <c r="N913" s="7" t="s">
        <v>5589</v>
      </c>
      <c r="O913" s="7" t="s">
        <v>0</v>
      </c>
      <c r="P913" s="7" t="s">
        <v>5591</v>
      </c>
      <c r="Q913" s="7" t="s">
        <v>5592</v>
      </c>
      <c r="R913" s="7" t="s">
        <v>1610</v>
      </c>
      <c r="S913" s="7" t="s">
        <v>1610</v>
      </c>
      <c r="T913" s="7" t="s">
        <v>54</v>
      </c>
      <c r="U913" s="7" t="s">
        <v>101</v>
      </c>
      <c r="V913" s="7" t="s">
        <v>308</v>
      </c>
      <c r="W913" s="7" t="s">
        <v>57</v>
      </c>
      <c r="X913" s="7" t="s">
        <v>103</v>
      </c>
      <c r="Y913" s="8">
        <v>45170</v>
      </c>
      <c r="Z913" s="8">
        <v>45230</v>
      </c>
      <c r="AA913" s="7" t="s">
        <v>309</v>
      </c>
      <c r="AB913" s="7" t="s">
        <v>161</v>
      </c>
      <c r="AC913" s="7" t="s">
        <v>79</v>
      </c>
      <c r="AD913" s="7" t="s">
        <v>80</v>
      </c>
      <c r="AE913" s="7" t="s">
        <v>118</v>
      </c>
      <c r="AF913" s="7" t="s">
        <v>0</v>
      </c>
      <c r="AG913" s="7" t="s">
        <v>0</v>
      </c>
      <c r="AH913" s="9" t="s">
        <v>12543</v>
      </c>
      <c r="AI913" s="9" t="s">
        <v>12543</v>
      </c>
      <c r="AJ913" s="9">
        <v>0</v>
      </c>
      <c r="AK913" s="7" t="s">
        <v>61</v>
      </c>
      <c r="AL913" s="7" t="s">
        <v>61</v>
      </c>
      <c r="AM913" s="7" t="s">
        <v>0</v>
      </c>
      <c r="AN913" s="7" t="s">
        <v>0</v>
      </c>
      <c r="AO913" s="7" t="s">
        <v>0</v>
      </c>
      <c r="AP913" s="7" t="s">
        <v>0</v>
      </c>
      <c r="AQ913" s="7" t="s">
        <v>61</v>
      </c>
      <c r="AR913" s="7" t="s">
        <v>0</v>
      </c>
      <c r="AS913" s="10" t="str">
        <f>HYPERLINK("https://tessa.gazprom-neft.local/edo/card/59f05e2f-4043-4ef7-81ac-fe3656f1aeef", "https://tessa.gazprom-neft.local/edo/card/59f05e2f-4043-4ef7-81ac-fe3656f1aeef")</f>
        <v>https://tessa.gazprom-neft.local/edo/card/59f05e2f-4043-4ef7-81ac-fe3656f1aeef</v>
      </c>
    </row>
    <row r="914" spans="1:45" x14ac:dyDescent="0.25">
      <c r="A914" s="6" t="s">
        <v>44</v>
      </c>
      <c r="B914" s="7" t="s">
        <v>488</v>
      </c>
      <c r="C914" s="7" t="s">
        <v>67</v>
      </c>
      <c r="D914" s="8">
        <v>45170</v>
      </c>
      <c r="E914" s="8" t="s">
        <v>0</v>
      </c>
      <c r="F914" s="16" t="s">
        <v>489</v>
      </c>
      <c r="G914" s="7" t="s">
        <v>490</v>
      </c>
      <c r="H914" s="7" t="s">
        <v>4243</v>
      </c>
      <c r="I914" s="7" t="s">
        <v>0</v>
      </c>
      <c r="J914" s="7" t="s">
        <v>156</v>
      </c>
      <c r="K914" s="7" t="s">
        <v>47</v>
      </c>
      <c r="L914" s="7" t="s">
        <v>48</v>
      </c>
      <c r="M914" s="7" t="s">
        <v>0</v>
      </c>
      <c r="N914" s="7" t="s">
        <v>5642</v>
      </c>
      <c r="O914" s="7" t="s">
        <v>0</v>
      </c>
      <c r="P914" s="7" t="s">
        <v>5643</v>
      </c>
      <c r="Q914" s="7" t="s">
        <v>3272</v>
      </c>
      <c r="R914" s="7" t="s">
        <v>361</v>
      </c>
      <c r="S914" s="7" t="s">
        <v>361</v>
      </c>
      <c r="T914" s="7" t="s">
        <v>54</v>
      </c>
      <c r="U914" s="7" t="s">
        <v>362</v>
      </c>
      <c r="V914" s="7" t="s">
        <v>295</v>
      </c>
      <c r="W914" s="7" t="s">
        <v>74</v>
      </c>
      <c r="X914" s="7" t="s">
        <v>103</v>
      </c>
      <c r="Y914" s="8">
        <v>45170</v>
      </c>
      <c r="Z914" s="8">
        <v>45200</v>
      </c>
      <c r="AA914" s="7" t="s">
        <v>296</v>
      </c>
      <c r="AB914" s="7" t="s">
        <v>366</v>
      </c>
      <c r="AC914" s="7" t="s">
        <v>278</v>
      </c>
      <c r="AD914" s="7" t="s">
        <v>367</v>
      </c>
      <c r="AE914" s="7" t="s">
        <v>82</v>
      </c>
      <c r="AF914" s="7" t="s">
        <v>0</v>
      </c>
      <c r="AG914" s="7" t="s">
        <v>0</v>
      </c>
      <c r="AH914" s="9" t="s">
        <v>12560</v>
      </c>
      <c r="AI914" s="9" t="s">
        <v>12561</v>
      </c>
      <c r="AJ914" s="9" t="s">
        <v>12562</v>
      </c>
      <c r="AK914" s="7" t="s">
        <v>61</v>
      </c>
      <c r="AL914" s="7" t="s">
        <v>61</v>
      </c>
      <c r="AM914" s="7" t="s">
        <v>0</v>
      </c>
      <c r="AN914" s="7" t="s">
        <v>0</v>
      </c>
      <c r="AO914" s="7" t="s">
        <v>0</v>
      </c>
      <c r="AP914" s="7" t="s">
        <v>0</v>
      </c>
      <c r="AQ914" s="7" t="s">
        <v>61</v>
      </c>
      <c r="AR914" s="7" t="s">
        <v>0</v>
      </c>
      <c r="AS914" s="10" t="str">
        <f>HYPERLINK("https://tessa.gazprom-neft.local/edo/card/244e33b4-dd0a-4d41-8663-b3f776086380", "https://tessa.gazprom-neft.local/edo/card/244e33b4-dd0a-4d41-8663-b3f776086380")</f>
        <v>https://tessa.gazprom-neft.local/edo/card/244e33b4-dd0a-4d41-8663-b3f776086380</v>
      </c>
    </row>
    <row r="915" spans="1:45" x14ac:dyDescent="0.25">
      <c r="A915" s="6" t="s">
        <v>44</v>
      </c>
      <c r="B915" s="7" t="s">
        <v>1495</v>
      </c>
      <c r="C915" s="7" t="s">
        <v>67</v>
      </c>
      <c r="D915" s="8">
        <v>45170</v>
      </c>
      <c r="E915" s="8" t="s">
        <v>0</v>
      </c>
      <c r="F915" s="16" t="s">
        <v>1496</v>
      </c>
      <c r="G915" s="7" t="s">
        <v>1497</v>
      </c>
      <c r="H915" s="7" t="s">
        <v>3414</v>
      </c>
      <c r="I915" s="7" t="s">
        <v>0</v>
      </c>
      <c r="J915" s="7" t="s">
        <v>271</v>
      </c>
      <c r="K915" s="7" t="s">
        <v>47</v>
      </c>
      <c r="L915" s="7" t="s">
        <v>48</v>
      </c>
      <c r="M915" s="7" t="s">
        <v>0</v>
      </c>
      <c r="N915" s="7" t="s">
        <v>5652</v>
      </c>
      <c r="O915" s="7" t="s">
        <v>0</v>
      </c>
      <c r="P915" s="7" t="s">
        <v>5653</v>
      </c>
      <c r="Q915" s="7" t="s">
        <v>360</v>
      </c>
      <c r="R915" s="7" t="s">
        <v>361</v>
      </c>
      <c r="S915" s="7" t="s">
        <v>361</v>
      </c>
      <c r="T915" s="7" t="s">
        <v>54</v>
      </c>
      <c r="U915" s="7" t="s">
        <v>362</v>
      </c>
      <c r="V915" s="7" t="s">
        <v>295</v>
      </c>
      <c r="W915" s="7" t="s">
        <v>74</v>
      </c>
      <c r="X915" s="7" t="s">
        <v>103</v>
      </c>
      <c r="Y915" s="8">
        <v>45170</v>
      </c>
      <c r="Z915" s="8">
        <v>45657</v>
      </c>
      <c r="AA915" s="7" t="s">
        <v>296</v>
      </c>
      <c r="AB915" s="7" t="s">
        <v>366</v>
      </c>
      <c r="AC915" s="7" t="s">
        <v>278</v>
      </c>
      <c r="AD915" s="7" t="s">
        <v>367</v>
      </c>
      <c r="AE915" s="7" t="s">
        <v>82</v>
      </c>
      <c r="AF915" s="7" t="s">
        <v>0</v>
      </c>
      <c r="AG915" s="7" t="s">
        <v>0</v>
      </c>
      <c r="AH915" s="9" t="s">
        <v>12566</v>
      </c>
      <c r="AI915" s="9" t="s">
        <v>12567</v>
      </c>
      <c r="AJ915" s="9" t="s">
        <v>12568</v>
      </c>
      <c r="AK915" s="7" t="s">
        <v>61</v>
      </c>
      <c r="AL915" s="7" t="s">
        <v>61</v>
      </c>
      <c r="AM915" s="7" t="s">
        <v>0</v>
      </c>
      <c r="AN915" s="7" t="s">
        <v>0</v>
      </c>
      <c r="AO915" s="7" t="s">
        <v>0</v>
      </c>
      <c r="AP915" s="7" t="s">
        <v>0</v>
      </c>
      <c r="AQ915" s="7" t="s">
        <v>61</v>
      </c>
      <c r="AR915" s="7" t="s">
        <v>0</v>
      </c>
      <c r="AS915" s="10" t="str">
        <f>HYPERLINK("https://tessa.gazprom-neft.local/edo/card/0bb1aafb-bd58-4eec-99fe-60df6c5ffe1e", "https://tessa.gazprom-neft.local/edo/card/0bb1aafb-bd58-4eec-99fe-60df6c5ffe1e")</f>
        <v>https://tessa.gazprom-neft.local/edo/card/0bb1aafb-bd58-4eec-99fe-60df6c5ffe1e</v>
      </c>
    </row>
    <row r="916" spans="1:45" x14ac:dyDescent="0.25">
      <c r="A916" s="6" t="s">
        <v>44</v>
      </c>
      <c r="B916" s="7" t="s">
        <v>1754</v>
      </c>
      <c r="C916" s="7" t="s">
        <v>67</v>
      </c>
      <c r="D916" s="8">
        <v>45170</v>
      </c>
      <c r="E916" s="8" t="s">
        <v>0</v>
      </c>
      <c r="F916" s="16" t="s">
        <v>1755</v>
      </c>
      <c r="G916" s="7" t="s">
        <v>1756</v>
      </c>
      <c r="H916" s="7" t="s">
        <v>2843</v>
      </c>
      <c r="I916" s="7" t="s">
        <v>0</v>
      </c>
      <c r="J916" s="7" t="s">
        <v>271</v>
      </c>
      <c r="K916" s="7" t="s">
        <v>47</v>
      </c>
      <c r="L916" s="7" t="s">
        <v>48</v>
      </c>
      <c r="M916" s="7" t="s">
        <v>0</v>
      </c>
      <c r="N916" s="7" t="s">
        <v>5664</v>
      </c>
      <c r="O916" s="7" t="s">
        <v>0</v>
      </c>
      <c r="P916" s="7" t="s">
        <v>5665</v>
      </c>
      <c r="Q916" s="7" t="s">
        <v>360</v>
      </c>
      <c r="R916" s="7" t="s">
        <v>361</v>
      </c>
      <c r="S916" s="7" t="s">
        <v>361</v>
      </c>
      <c r="T916" s="7" t="s">
        <v>54</v>
      </c>
      <c r="U916" s="7" t="s">
        <v>362</v>
      </c>
      <c r="V916" s="7" t="s">
        <v>295</v>
      </c>
      <c r="W916" s="7" t="s">
        <v>74</v>
      </c>
      <c r="X916" s="7" t="s">
        <v>103</v>
      </c>
      <c r="Y916" s="8">
        <v>45170</v>
      </c>
      <c r="Z916" s="8">
        <v>45366</v>
      </c>
      <c r="AA916" s="7" t="s">
        <v>296</v>
      </c>
      <c r="AB916" s="7" t="s">
        <v>366</v>
      </c>
      <c r="AC916" s="7" t="s">
        <v>278</v>
      </c>
      <c r="AD916" s="7" t="s">
        <v>367</v>
      </c>
      <c r="AE916" s="7" t="s">
        <v>82</v>
      </c>
      <c r="AF916" s="7" t="s">
        <v>0</v>
      </c>
      <c r="AG916" s="7" t="s">
        <v>0</v>
      </c>
      <c r="AH916" s="9" t="s">
        <v>12575</v>
      </c>
      <c r="AI916" s="9" t="s">
        <v>12576</v>
      </c>
      <c r="AJ916" s="9" t="s">
        <v>12577</v>
      </c>
      <c r="AK916" s="7" t="s">
        <v>61</v>
      </c>
      <c r="AL916" s="7" t="s">
        <v>61</v>
      </c>
      <c r="AM916" s="7" t="s">
        <v>0</v>
      </c>
      <c r="AN916" s="7" t="s">
        <v>0</v>
      </c>
      <c r="AO916" s="7" t="s">
        <v>0</v>
      </c>
      <c r="AP916" s="7" t="s">
        <v>0</v>
      </c>
      <c r="AQ916" s="7" t="s">
        <v>61</v>
      </c>
      <c r="AR916" s="7" t="s">
        <v>0</v>
      </c>
      <c r="AS916" s="10" t="str">
        <f>HYPERLINK("https://tessa.gazprom-neft.local/edo/card/422fda64-e133-464e-a662-f200854845f6", "https://tessa.gazprom-neft.local/edo/card/422fda64-e133-464e-a662-f200854845f6")</f>
        <v>https://tessa.gazprom-neft.local/edo/card/422fda64-e133-464e-a662-f200854845f6</v>
      </c>
    </row>
    <row r="917" spans="1:45" x14ac:dyDescent="0.25">
      <c r="A917" s="6" t="s">
        <v>44</v>
      </c>
      <c r="B917" s="7" t="s">
        <v>395</v>
      </c>
      <c r="C917" s="7" t="s">
        <v>67</v>
      </c>
      <c r="D917" s="8">
        <v>45170</v>
      </c>
      <c r="E917" s="8" t="s">
        <v>0</v>
      </c>
      <c r="F917" s="16" t="s">
        <v>396</v>
      </c>
      <c r="G917" s="7" t="s">
        <v>397</v>
      </c>
      <c r="H917" s="7" t="s">
        <v>4451</v>
      </c>
      <c r="I917" s="7" t="s">
        <v>0</v>
      </c>
      <c r="J917" s="7" t="s">
        <v>51</v>
      </c>
      <c r="K917" s="7" t="s">
        <v>47</v>
      </c>
      <c r="L917" s="7" t="s">
        <v>48</v>
      </c>
      <c r="M917" s="7" t="s">
        <v>0</v>
      </c>
      <c r="N917" s="7" t="s">
        <v>5780</v>
      </c>
      <c r="O917" s="7" t="s">
        <v>0</v>
      </c>
      <c r="P917" s="7" t="s">
        <v>5781</v>
      </c>
      <c r="Q917" s="7" t="s">
        <v>3272</v>
      </c>
      <c r="R917" s="7" t="s">
        <v>361</v>
      </c>
      <c r="S917" s="7" t="s">
        <v>361</v>
      </c>
      <c r="T917" s="7" t="s">
        <v>54</v>
      </c>
      <c r="U917" s="7" t="s">
        <v>362</v>
      </c>
      <c r="V917" s="7" t="s">
        <v>295</v>
      </c>
      <c r="W917" s="7" t="s">
        <v>74</v>
      </c>
      <c r="X917" s="7" t="s">
        <v>103</v>
      </c>
      <c r="Y917" s="8">
        <v>45170</v>
      </c>
      <c r="Z917" s="8">
        <v>45291</v>
      </c>
      <c r="AA917" s="7" t="s">
        <v>296</v>
      </c>
      <c r="AB917" s="7" t="s">
        <v>366</v>
      </c>
      <c r="AC917" s="7" t="s">
        <v>278</v>
      </c>
      <c r="AD917" s="7" t="s">
        <v>367</v>
      </c>
      <c r="AE917" s="7" t="s">
        <v>82</v>
      </c>
      <c r="AF917" s="7" t="s">
        <v>0</v>
      </c>
      <c r="AG917" s="7" t="s">
        <v>0</v>
      </c>
      <c r="AH917" s="9" t="s">
        <v>12623</v>
      </c>
      <c r="AI917" s="9" t="s">
        <v>12624</v>
      </c>
      <c r="AJ917" s="9" t="s">
        <v>12625</v>
      </c>
      <c r="AK917" s="7" t="s">
        <v>61</v>
      </c>
      <c r="AL917" s="7" t="s">
        <v>61</v>
      </c>
      <c r="AM917" s="7" t="s">
        <v>0</v>
      </c>
      <c r="AN917" s="7" t="s">
        <v>0</v>
      </c>
      <c r="AO917" s="7" t="s">
        <v>0</v>
      </c>
      <c r="AP917" s="7" t="s">
        <v>0</v>
      </c>
      <c r="AQ917" s="7" t="s">
        <v>61</v>
      </c>
      <c r="AR917" s="7" t="s">
        <v>0</v>
      </c>
      <c r="AS917" s="10" t="str">
        <f>HYPERLINK("https://tessa.gazprom-neft.local/edo/card/0dcbee87-1ac6-4586-9e17-6b036b9d0041", "https://tessa.gazprom-neft.local/edo/card/0dcbee87-1ac6-4586-9e17-6b036b9d0041")</f>
        <v>https://tessa.gazprom-neft.local/edo/card/0dcbee87-1ac6-4586-9e17-6b036b9d0041</v>
      </c>
    </row>
    <row r="918" spans="1:45" hidden="1" x14ac:dyDescent="0.25">
      <c r="A918" s="6" t="s">
        <v>44</v>
      </c>
      <c r="B918" s="7" t="s">
        <v>0</v>
      </c>
      <c r="C918" s="7" t="s">
        <v>67</v>
      </c>
      <c r="D918" s="8">
        <v>45170</v>
      </c>
      <c r="E918" s="8" t="s">
        <v>0</v>
      </c>
      <c r="F918" s="16" t="s">
        <v>5891</v>
      </c>
      <c r="G918" s="7" t="s">
        <v>0</v>
      </c>
      <c r="H918" s="7" t="s">
        <v>0</v>
      </c>
      <c r="I918" s="7" t="s">
        <v>5655</v>
      </c>
      <c r="J918" s="7" t="s">
        <v>5655</v>
      </c>
      <c r="K918" s="7" t="s">
        <v>47</v>
      </c>
      <c r="L918" s="7" t="s">
        <v>96</v>
      </c>
      <c r="M918" s="7" t="s">
        <v>0</v>
      </c>
      <c r="N918" s="7" t="s">
        <v>5888</v>
      </c>
      <c r="O918" s="7" t="s">
        <v>0</v>
      </c>
      <c r="P918" s="7" t="s">
        <v>5889</v>
      </c>
      <c r="Q918" s="7" t="s">
        <v>5890</v>
      </c>
      <c r="R918" s="7" t="s">
        <v>1523</v>
      </c>
      <c r="S918" s="7" t="s">
        <v>1523</v>
      </c>
      <c r="T918" s="7" t="s">
        <v>54</v>
      </c>
      <c r="U918" s="7" t="s">
        <v>188</v>
      </c>
      <c r="V918" s="7" t="s">
        <v>187</v>
      </c>
      <c r="W918" s="7" t="s">
        <v>57</v>
      </c>
      <c r="X918" s="7" t="s">
        <v>103</v>
      </c>
      <c r="Y918" s="8">
        <v>45170</v>
      </c>
      <c r="Z918" s="8">
        <v>45504</v>
      </c>
      <c r="AA918" s="7" t="s">
        <v>224</v>
      </c>
      <c r="AB918" s="7" t="s">
        <v>2985</v>
      </c>
      <c r="AC918" s="7" t="s">
        <v>79</v>
      </c>
      <c r="AD918" s="7" t="s">
        <v>80</v>
      </c>
      <c r="AE918" s="7" t="s">
        <v>82</v>
      </c>
      <c r="AF918" s="7" t="s">
        <v>0</v>
      </c>
      <c r="AG918" s="7" t="s">
        <v>0</v>
      </c>
      <c r="AH918" s="9" t="s">
        <v>12671</v>
      </c>
      <c r="AI918" s="9" t="s">
        <v>12672</v>
      </c>
      <c r="AJ918" s="9" t="s">
        <v>12673</v>
      </c>
      <c r="AK918" s="7" t="s">
        <v>61</v>
      </c>
      <c r="AL918" s="7" t="s">
        <v>61</v>
      </c>
      <c r="AM918" s="7" t="s">
        <v>0</v>
      </c>
      <c r="AN918" s="7" t="s">
        <v>0</v>
      </c>
      <c r="AO918" s="7" t="s">
        <v>0</v>
      </c>
      <c r="AP918" s="7" t="s">
        <v>0</v>
      </c>
      <c r="AQ918" s="7" t="s">
        <v>61</v>
      </c>
      <c r="AR918" s="7" t="s">
        <v>0</v>
      </c>
      <c r="AS918" s="10" t="str">
        <f>HYPERLINK("https://tessa.gazprom-neft.local/edo/card/3f026045-33d2-40d9-adec-da9859ba24c0", "https://tessa.gazprom-neft.local/edo/card/3f026045-33d2-40d9-adec-da9859ba24c0")</f>
        <v>https://tessa.gazprom-neft.local/edo/card/3f026045-33d2-40d9-adec-da9859ba24c0</v>
      </c>
    </row>
    <row r="919" spans="1:45" x14ac:dyDescent="0.25">
      <c r="A919" s="6" t="s">
        <v>44</v>
      </c>
      <c r="B919" s="7" t="s">
        <v>114</v>
      </c>
      <c r="C919" s="7" t="s">
        <v>67</v>
      </c>
      <c r="D919" s="8">
        <v>45170</v>
      </c>
      <c r="E919" s="8" t="s">
        <v>0</v>
      </c>
      <c r="F919" s="16" t="s">
        <v>115</v>
      </c>
      <c r="G919" s="7" t="s">
        <v>116</v>
      </c>
      <c r="H919" s="7" t="s">
        <v>107</v>
      </c>
      <c r="I919" s="7" t="s">
        <v>0</v>
      </c>
      <c r="J919" s="7" t="s">
        <v>51</v>
      </c>
      <c r="K919" s="7" t="s">
        <v>47</v>
      </c>
      <c r="L919" s="7" t="s">
        <v>48</v>
      </c>
      <c r="M919" s="7" t="s">
        <v>0</v>
      </c>
      <c r="N919" s="7" t="s">
        <v>5913</v>
      </c>
      <c r="O919" s="7" t="s">
        <v>0</v>
      </c>
      <c r="P919" s="7" t="s">
        <v>5914</v>
      </c>
      <c r="Q919" s="7" t="s">
        <v>5915</v>
      </c>
      <c r="R919" s="7" t="s">
        <v>459</v>
      </c>
      <c r="S919" s="7" t="s">
        <v>0</v>
      </c>
      <c r="T919" s="7" t="s">
        <v>54</v>
      </c>
      <c r="U919" s="7" t="s">
        <v>111</v>
      </c>
      <c r="V919" s="7" t="s">
        <v>112</v>
      </c>
      <c r="W919" s="7" t="s">
        <v>57</v>
      </c>
      <c r="X919" s="7" t="s">
        <v>103</v>
      </c>
      <c r="Y919" s="8">
        <v>44927</v>
      </c>
      <c r="Z919" s="8">
        <v>45291</v>
      </c>
      <c r="AA919" s="7" t="s">
        <v>113</v>
      </c>
      <c r="AB919" s="7" t="s">
        <v>117</v>
      </c>
      <c r="AC919" s="7" t="s">
        <v>79</v>
      </c>
      <c r="AD919" s="7" t="s">
        <v>144</v>
      </c>
      <c r="AE919" s="7" t="s">
        <v>889</v>
      </c>
      <c r="AF919" s="7" t="s">
        <v>0</v>
      </c>
      <c r="AG919" s="7" t="s">
        <v>0</v>
      </c>
      <c r="AH919" s="9" t="s">
        <v>12680</v>
      </c>
      <c r="AI919" s="9" t="s">
        <v>12680</v>
      </c>
      <c r="AJ919" s="9">
        <v>0</v>
      </c>
      <c r="AK919" s="7" t="s">
        <v>61</v>
      </c>
      <c r="AL919" s="7" t="s">
        <v>61</v>
      </c>
      <c r="AM919" s="7" t="s">
        <v>0</v>
      </c>
      <c r="AN919" s="7" t="s">
        <v>0</v>
      </c>
      <c r="AO919" s="7" t="s">
        <v>0</v>
      </c>
      <c r="AP919" s="7" t="s">
        <v>0</v>
      </c>
      <c r="AQ919" s="7" t="s">
        <v>61</v>
      </c>
      <c r="AR919" s="7" t="s">
        <v>0</v>
      </c>
      <c r="AS919" s="10" t="str">
        <f>HYPERLINK("https://tessa.gazprom-neft.local/edo/card/9b400165-5832-4d52-bdf1-031519b2d431", "https://tessa.gazprom-neft.local/edo/card/9b400165-5832-4d52-bdf1-031519b2d431")</f>
        <v>https://tessa.gazprom-neft.local/edo/card/9b400165-5832-4d52-bdf1-031519b2d431</v>
      </c>
    </row>
    <row r="920" spans="1:45" hidden="1" x14ac:dyDescent="0.25">
      <c r="A920" s="6" t="s">
        <v>44</v>
      </c>
      <c r="B920" s="7" t="s">
        <v>5658</v>
      </c>
      <c r="C920" s="7" t="s">
        <v>67</v>
      </c>
      <c r="D920" s="8">
        <v>45170</v>
      </c>
      <c r="E920" s="8" t="s">
        <v>0</v>
      </c>
      <c r="F920" s="16" t="s">
        <v>5659</v>
      </c>
      <c r="G920" s="7" t="s">
        <v>5660</v>
      </c>
      <c r="H920" s="7" t="s">
        <v>0</v>
      </c>
      <c r="I920" s="7" t="s">
        <v>6421</v>
      </c>
      <c r="J920" s="7" t="s">
        <v>6421</v>
      </c>
      <c r="K920" s="7" t="s">
        <v>85</v>
      </c>
      <c r="L920" s="7" t="s">
        <v>86</v>
      </c>
      <c r="M920" s="7" t="s">
        <v>289</v>
      </c>
      <c r="N920" s="7" t="s">
        <v>6420</v>
      </c>
      <c r="O920" s="7" t="s">
        <v>0</v>
      </c>
      <c r="P920" s="7" t="s">
        <v>289</v>
      </c>
      <c r="Q920" s="7" t="s">
        <v>372</v>
      </c>
      <c r="R920" s="7" t="s">
        <v>1523</v>
      </c>
      <c r="S920" s="7" t="s">
        <v>1523</v>
      </c>
      <c r="T920" s="7" t="s">
        <v>54</v>
      </c>
      <c r="U920" s="7" t="s">
        <v>188</v>
      </c>
      <c r="V920" s="7" t="s">
        <v>340</v>
      </c>
      <c r="W920" s="7" t="s">
        <v>57</v>
      </c>
      <c r="X920" s="7" t="s">
        <v>58</v>
      </c>
      <c r="Y920" s="8">
        <v>45170</v>
      </c>
      <c r="Z920" s="8" t="s">
        <v>0</v>
      </c>
      <c r="AA920" s="7" t="s">
        <v>341</v>
      </c>
      <c r="AB920" s="7" t="s">
        <v>300</v>
      </c>
      <c r="AC920" s="7" t="s">
        <v>65</v>
      </c>
      <c r="AD920" s="7" t="s">
        <v>0</v>
      </c>
      <c r="AE920" s="7" t="s">
        <v>0</v>
      </c>
      <c r="AF920" s="7" t="s">
        <v>0</v>
      </c>
      <c r="AG920" s="7" t="s">
        <v>0</v>
      </c>
      <c r="AH920" s="9" t="s">
        <v>0</v>
      </c>
      <c r="AI920" s="9" t="s">
        <v>0</v>
      </c>
      <c r="AJ920" s="9" t="s">
        <v>0</v>
      </c>
      <c r="AK920" s="7" t="s">
        <v>61</v>
      </c>
      <c r="AL920" s="7" t="s">
        <v>61</v>
      </c>
      <c r="AM920" s="7" t="s">
        <v>0</v>
      </c>
      <c r="AN920" s="7" t="s">
        <v>0</v>
      </c>
      <c r="AO920" s="7" t="s">
        <v>0</v>
      </c>
      <c r="AP920" s="7" t="s">
        <v>0</v>
      </c>
      <c r="AQ920" s="7" t="s">
        <v>61</v>
      </c>
      <c r="AR920" s="7" t="s">
        <v>0</v>
      </c>
      <c r="AS920" s="10" t="str">
        <f>HYPERLINK("https://tessa.gazprom-neft.local/edo/card/72e059a2-5387-4d17-8381-248929c1aa15", "https://tessa.gazprom-neft.local/edo/card/72e059a2-5387-4d17-8381-248929c1aa15")</f>
        <v>https://tessa.gazprom-neft.local/edo/card/72e059a2-5387-4d17-8381-248929c1aa15</v>
      </c>
    </row>
    <row r="921" spans="1:45" x14ac:dyDescent="0.25">
      <c r="A921" s="6" t="s">
        <v>44</v>
      </c>
      <c r="B921" s="7" t="s">
        <v>639</v>
      </c>
      <c r="C921" s="7" t="s">
        <v>67</v>
      </c>
      <c r="D921" s="8">
        <v>45169</v>
      </c>
      <c r="E921" s="8" t="s">
        <v>0</v>
      </c>
      <c r="F921" s="16" t="s">
        <v>640</v>
      </c>
      <c r="G921" s="7" t="s">
        <v>641</v>
      </c>
      <c r="H921" s="7" t="s">
        <v>3314</v>
      </c>
      <c r="I921" s="7" t="s">
        <v>0</v>
      </c>
      <c r="J921" s="7" t="s">
        <v>51</v>
      </c>
      <c r="K921" s="7" t="s">
        <v>47</v>
      </c>
      <c r="L921" s="7" t="s">
        <v>48</v>
      </c>
      <c r="M921" s="7" t="s">
        <v>0</v>
      </c>
      <c r="N921" s="7" t="s">
        <v>5769</v>
      </c>
      <c r="O921" s="7" t="s">
        <v>0</v>
      </c>
      <c r="P921" s="7" t="s">
        <v>5770</v>
      </c>
      <c r="Q921" s="7" t="s">
        <v>3272</v>
      </c>
      <c r="R921" s="7" t="s">
        <v>361</v>
      </c>
      <c r="S921" s="7" t="s">
        <v>361</v>
      </c>
      <c r="T921" s="7" t="s">
        <v>54</v>
      </c>
      <c r="U921" s="7" t="s">
        <v>362</v>
      </c>
      <c r="V921" s="7" t="s">
        <v>295</v>
      </c>
      <c r="W921" s="7" t="s">
        <v>74</v>
      </c>
      <c r="X921" s="7" t="s">
        <v>103</v>
      </c>
      <c r="Y921" s="8">
        <v>45170</v>
      </c>
      <c r="Z921" s="8">
        <v>45291</v>
      </c>
      <c r="AA921" s="7" t="s">
        <v>296</v>
      </c>
      <c r="AB921" s="7" t="s">
        <v>366</v>
      </c>
      <c r="AC921" s="7" t="s">
        <v>278</v>
      </c>
      <c r="AD921" s="7" t="s">
        <v>367</v>
      </c>
      <c r="AE921" s="7" t="s">
        <v>82</v>
      </c>
      <c r="AF921" s="7" t="s">
        <v>0</v>
      </c>
      <c r="AG921" s="7" t="s">
        <v>0</v>
      </c>
      <c r="AH921" s="9" t="s">
        <v>12617</v>
      </c>
      <c r="AI921" s="9" t="s">
        <v>12618</v>
      </c>
      <c r="AJ921" s="9" t="s">
        <v>12619</v>
      </c>
      <c r="AK921" s="7" t="s">
        <v>61</v>
      </c>
      <c r="AL921" s="7" t="s">
        <v>61</v>
      </c>
      <c r="AM921" s="7" t="s">
        <v>0</v>
      </c>
      <c r="AN921" s="7" t="s">
        <v>0</v>
      </c>
      <c r="AO921" s="7" t="s">
        <v>0</v>
      </c>
      <c r="AP921" s="7" t="s">
        <v>0</v>
      </c>
      <c r="AQ921" s="7" t="s">
        <v>61</v>
      </c>
      <c r="AR921" s="7" t="s">
        <v>0</v>
      </c>
      <c r="AS921" s="10" t="str">
        <f>HYPERLINK("https://tessa.gazprom-neft.local/edo/card/63a7915c-e92f-4a46-9aa4-4b7680e1e9d7", "https://tessa.gazprom-neft.local/edo/card/63a7915c-e92f-4a46-9aa4-4b7680e1e9d7")</f>
        <v>https://tessa.gazprom-neft.local/edo/card/63a7915c-e92f-4a46-9aa4-4b7680e1e9d7</v>
      </c>
    </row>
    <row r="922" spans="1:45" hidden="1" x14ac:dyDescent="0.25">
      <c r="A922" s="6" t="s">
        <v>44</v>
      </c>
      <c r="B922" s="7" t="s">
        <v>5811</v>
      </c>
      <c r="C922" s="7" t="s">
        <v>67</v>
      </c>
      <c r="D922" s="8">
        <v>45169</v>
      </c>
      <c r="E922" s="8" t="s">
        <v>0</v>
      </c>
      <c r="F922" s="16" t="s">
        <v>5812</v>
      </c>
      <c r="G922" s="7" t="s">
        <v>2181</v>
      </c>
      <c r="H922" s="7" t="s">
        <v>2176</v>
      </c>
      <c r="I922" s="7" t="s">
        <v>0</v>
      </c>
      <c r="J922" s="7" t="s">
        <v>51</v>
      </c>
      <c r="K922" s="7" t="s">
        <v>47</v>
      </c>
      <c r="L922" s="7" t="s">
        <v>239</v>
      </c>
      <c r="M922" s="7" t="s">
        <v>0</v>
      </c>
      <c r="N922" s="7" t="s">
        <v>5808</v>
      </c>
      <c r="O922" s="7" t="s">
        <v>0</v>
      </c>
      <c r="P922" s="7" t="s">
        <v>5809</v>
      </c>
      <c r="Q922" s="7" t="s">
        <v>5810</v>
      </c>
      <c r="R922" s="7" t="s">
        <v>2178</v>
      </c>
      <c r="S922" s="7" t="s">
        <v>0</v>
      </c>
      <c r="T922" s="7" t="s">
        <v>54</v>
      </c>
      <c r="U922" s="7" t="s">
        <v>605</v>
      </c>
      <c r="V922" s="7" t="s">
        <v>126</v>
      </c>
      <c r="W922" s="7" t="s">
        <v>74</v>
      </c>
      <c r="X922" s="7" t="s">
        <v>103</v>
      </c>
      <c r="Y922" s="8">
        <v>45170</v>
      </c>
      <c r="Z922" s="8">
        <v>45444</v>
      </c>
      <c r="AA922" s="7" t="s">
        <v>224</v>
      </c>
      <c r="AB922" s="7" t="s">
        <v>130</v>
      </c>
      <c r="AC922" s="7" t="s">
        <v>79</v>
      </c>
      <c r="AD922" s="7" t="s">
        <v>144</v>
      </c>
      <c r="AE922" s="7" t="s">
        <v>82</v>
      </c>
      <c r="AF922" s="7" t="s">
        <v>0</v>
      </c>
      <c r="AG922" s="7" t="s">
        <v>0</v>
      </c>
      <c r="AH922" s="9" t="s">
        <v>12637</v>
      </c>
      <c r="AI922" s="9" t="s">
        <v>12638</v>
      </c>
      <c r="AJ922" s="9" t="s">
        <v>12639</v>
      </c>
      <c r="AK922" s="7" t="s">
        <v>61</v>
      </c>
      <c r="AL922" s="7" t="s">
        <v>61</v>
      </c>
      <c r="AM922" s="7" t="s">
        <v>0</v>
      </c>
      <c r="AN922" s="7" t="s">
        <v>0</v>
      </c>
      <c r="AO922" s="7" t="s">
        <v>0</v>
      </c>
      <c r="AP922" s="7" t="s">
        <v>0</v>
      </c>
      <c r="AQ922" s="7" t="s">
        <v>61</v>
      </c>
      <c r="AR922" s="7" t="s">
        <v>0</v>
      </c>
      <c r="AS922" s="10" t="str">
        <f>HYPERLINK("https://tessa.gazprom-neft.local/edo/card/7cfe360b-c7ee-4050-874e-0a4bf5b920b4", "https://tessa.gazprom-neft.local/edo/card/7cfe360b-c7ee-4050-874e-0a4bf5b920b4")</f>
        <v>https://tessa.gazprom-neft.local/edo/card/7cfe360b-c7ee-4050-874e-0a4bf5b920b4</v>
      </c>
    </row>
    <row r="923" spans="1:45" hidden="1" x14ac:dyDescent="0.25">
      <c r="A923" s="6" t="s">
        <v>44</v>
      </c>
      <c r="B923" s="7" t="s">
        <v>715</v>
      </c>
      <c r="C923" s="7" t="s">
        <v>67</v>
      </c>
      <c r="D923" s="8">
        <v>45169</v>
      </c>
      <c r="E923" s="8" t="s">
        <v>0</v>
      </c>
      <c r="F923" s="16" t="s">
        <v>716</v>
      </c>
      <c r="G923" s="7" t="s">
        <v>717</v>
      </c>
      <c r="H923" s="7" t="s">
        <v>0</v>
      </c>
      <c r="I923" s="7" t="s">
        <v>5841</v>
      </c>
      <c r="J923" s="7" t="s">
        <v>5841</v>
      </c>
      <c r="K923" s="7" t="s">
        <v>85</v>
      </c>
      <c r="L923" s="7" t="s">
        <v>86</v>
      </c>
      <c r="M923" s="7" t="s">
        <v>289</v>
      </c>
      <c r="N923" s="7" t="s">
        <v>5840</v>
      </c>
      <c r="O923" s="7" t="s">
        <v>0</v>
      </c>
      <c r="P923" s="7" t="s">
        <v>289</v>
      </c>
      <c r="Q923" s="7" t="s">
        <v>5165</v>
      </c>
      <c r="R923" s="7" t="s">
        <v>646</v>
      </c>
      <c r="S923" s="7" t="s">
        <v>714</v>
      </c>
      <c r="T923" s="7" t="s">
        <v>54</v>
      </c>
      <c r="U923" s="7" t="s">
        <v>283</v>
      </c>
      <c r="V923" s="7" t="s">
        <v>56</v>
      </c>
      <c r="W923" s="7" t="s">
        <v>74</v>
      </c>
      <c r="X923" s="7" t="s">
        <v>103</v>
      </c>
      <c r="Y923" s="8">
        <v>45169</v>
      </c>
      <c r="Z923" s="8">
        <v>45535</v>
      </c>
      <c r="AA923" s="7" t="s">
        <v>0</v>
      </c>
      <c r="AB923" s="7" t="s">
        <v>300</v>
      </c>
      <c r="AC923" s="7" t="s">
        <v>65</v>
      </c>
      <c r="AD923" s="7" t="s">
        <v>0</v>
      </c>
      <c r="AE923" s="7" t="s">
        <v>0</v>
      </c>
      <c r="AF923" s="7" t="s">
        <v>0</v>
      </c>
      <c r="AG923" s="7" t="s">
        <v>0</v>
      </c>
      <c r="AH923" s="9" t="s">
        <v>0</v>
      </c>
      <c r="AI923" s="9" t="s">
        <v>0</v>
      </c>
      <c r="AJ923" s="9" t="s">
        <v>0</v>
      </c>
      <c r="AK923" s="7" t="s">
        <v>61</v>
      </c>
      <c r="AL923" s="7" t="s">
        <v>61</v>
      </c>
      <c r="AM923" s="7" t="s">
        <v>0</v>
      </c>
      <c r="AN923" s="7" t="s">
        <v>0</v>
      </c>
      <c r="AO923" s="7" t="s">
        <v>0</v>
      </c>
      <c r="AP923" s="7" t="s">
        <v>0</v>
      </c>
      <c r="AQ923" s="7" t="s">
        <v>61</v>
      </c>
      <c r="AR923" s="7" t="s">
        <v>0</v>
      </c>
      <c r="AS923" s="10" t="str">
        <f>HYPERLINK("https://tessa.gazprom-neft.local/edo/card/575dfff4-a327-4a75-9c68-57440482ca70", "https://tessa.gazprom-neft.local/edo/card/575dfff4-a327-4a75-9c68-57440482ca70")</f>
        <v>https://tessa.gazprom-neft.local/edo/card/575dfff4-a327-4a75-9c68-57440482ca70</v>
      </c>
    </row>
    <row r="924" spans="1:45" hidden="1" x14ac:dyDescent="0.25">
      <c r="A924" s="6" t="s">
        <v>44</v>
      </c>
      <c r="B924" s="7" t="s">
        <v>1140</v>
      </c>
      <c r="C924" s="7" t="s">
        <v>67</v>
      </c>
      <c r="D924" s="8">
        <v>45169</v>
      </c>
      <c r="E924" s="8" t="s">
        <v>0</v>
      </c>
      <c r="F924" s="16" t="s">
        <v>1141</v>
      </c>
      <c r="G924" s="7" t="s">
        <v>1142</v>
      </c>
      <c r="H924" s="7" t="s">
        <v>1136</v>
      </c>
      <c r="I924" s="7" t="s">
        <v>0</v>
      </c>
      <c r="J924" s="7" t="s">
        <v>271</v>
      </c>
      <c r="K924" s="7" t="s">
        <v>47</v>
      </c>
      <c r="L924" s="7" t="s">
        <v>239</v>
      </c>
      <c r="M924" s="7" t="s">
        <v>0</v>
      </c>
      <c r="N924" s="7" t="s">
        <v>5876</v>
      </c>
      <c r="O924" s="7" t="s">
        <v>0</v>
      </c>
      <c r="P924" s="7" t="s">
        <v>1873</v>
      </c>
      <c r="Q924" s="7" t="s">
        <v>1874</v>
      </c>
      <c r="R924" s="7" t="s">
        <v>124</v>
      </c>
      <c r="S924" s="7" t="s">
        <v>124</v>
      </c>
      <c r="T924" s="7" t="s">
        <v>54</v>
      </c>
      <c r="U924" s="7" t="s">
        <v>362</v>
      </c>
      <c r="V924" s="7" t="s">
        <v>308</v>
      </c>
      <c r="W924" s="7" t="s">
        <v>74</v>
      </c>
      <c r="X924" s="7" t="s">
        <v>58</v>
      </c>
      <c r="Y924" s="8">
        <v>45169</v>
      </c>
      <c r="Z924" s="8" t="s">
        <v>0</v>
      </c>
      <c r="AA924" s="7" t="s">
        <v>309</v>
      </c>
      <c r="AB924" s="7" t="s">
        <v>1143</v>
      </c>
      <c r="AC924" s="7" t="s">
        <v>79</v>
      </c>
      <c r="AD924" s="7" t="s">
        <v>144</v>
      </c>
      <c r="AE924" s="7" t="s">
        <v>82</v>
      </c>
      <c r="AF924" s="7" t="s">
        <v>0</v>
      </c>
      <c r="AG924" s="7" t="s">
        <v>0</v>
      </c>
      <c r="AH924" s="9" t="s">
        <v>12664</v>
      </c>
      <c r="AI924" s="9" t="s">
        <v>12665</v>
      </c>
      <c r="AJ924" s="9" t="s">
        <v>12666</v>
      </c>
      <c r="AK924" s="7" t="s">
        <v>61</v>
      </c>
      <c r="AL924" s="7" t="s">
        <v>61</v>
      </c>
      <c r="AM924" s="7" t="s">
        <v>0</v>
      </c>
      <c r="AN924" s="7" t="s">
        <v>0</v>
      </c>
      <c r="AO924" s="7" t="s">
        <v>0</v>
      </c>
      <c r="AP924" s="7" t="s">
        <v>0</v>
      </c>
      <c r="AQ924" s="7" t="s">
        <v>61</v>
      </c>
      <c r="AR924" s="7" t="s">
        <v>0</v>
      </c>
      <c r="AS924" s="10" t="str">
        <f>HYPERLINK("https://tessa.gazprom-neft.local/edo/card/13bc9ec1-03ac-4195-a175-a088a808e2a9", "https://tessa.gazprom-neft.local/edo/card/13bc9ec1-03ac-4195-a175-a088a808e2a9")</f>
        <v>https://tessa.gazprom-neft.local/edo/card/13bc9ec1-03ac-4195-a175-a088a808e2a9</v>
      </c>
    </row>
    <row r="925" spans="1:45" hidden="1" x14ac:dyDescent="0.25">
      <c r="A925" s="6" t="s">
        <v>44</v>
      </c>
      <c r="B925" s="7" t="s">
        <v>5973</v>
      </c>
      <c r="C925" s="7" t="s">
        <v>67</v>
      </c>
      <c r="D925" s="8">
        <v>45169</v>
      </c>
      <c r="E925" s="8" t="s">
        <v>0</v>
      </c>
      <c r="F925" s="16" t="s">
        <v>5974</v>
      </c>
      <c r="G925" s="7" t="s">
        <v>5975</v>
      </c>
      <c r="H925" s="7" t="s">
        <v>0</v>
      </c>
      <c r="I925" s="7" t="s">
        <v>5970</v>
      </c>
      <c r="J925" s="7" t="s">
        <v>5970</v>
      </c>
      <c r="K925" s="7" t="s">
        <v>47</v>
      </c>
      <c r="L925" s="7" t="s">
        <v>96</v>
      </c>
      <c r="M925" s="7" t="s">
        <v>0</v>
      </c>
      <c r="N925" s="7" t="s">
        <v>5969</v>
      </c>
      <c r="O925" s="7" t="s">
        <v>0</v>
      </c>
      <c r="P925" s="7" t="s">
        <v>5971</v>
      </c>
      <c r="Q925" s="7" t="s">
        <v>5972</v>
      </c>
      <c r="R925" s="7" t="s">
        <v>1610</v>
      </c>
      <c r="S925" s="7" t="s">
        <v>1610</v>
      </c>
      <c r="T925" s="7" t="s">
        <v>54</v>
      </c>
      <c r="U925" s="7" t="s">
        <v>101</v>
      </c>
      <c r="V925" s="7" t="s">
        <v>308</v>
      </c>
      <c r="W925" s="7" t="s">
        <v>74</v>
      </c>
      <c r="X925" s="7" t="s">
        <v>103</v>
      </c>
      <c r="Y925" s="8">
        <v>45169</v>
      </c>
      <c r="Z925" s="8">
        <v>45291</v>
      </c>
      <c r="AA925" s="7" t="s">
        <v>309</v>
      </c>
      <c r="AB925" s="7" t="s">
        <v>64</v>
      </c>
      <c r="AC925" s="7" t="s">
        <v>79</v>
      </c>
      <c r="AD925" s="7" t="s">
        <v>80</v>
      </c>
      <c r="AE925" s="7" t="s">
        <v>82</v>
      </c>
      <c r="AF925" s="7" t="s">
        <v>0</v>
      </c>
      <c r="AG925" s="7" t="s">
        <v>0</v>
      </c>
      <c r="AH925" s="9" t="s">
        <v>12690</v>
      </c>
      <c r="AI925" s="9" t="s">
        <v>12691</v>
      </c>
      <c r="AJ925" s="9" t="s">
        <v>12692</v>
      </c>
      <c r="AK925" s="7" t="s">
        <v>61</v>
      </c>
      <c r="AL925" s="7" t="s">
        <v>61</v>
      </c>
      <c r="AM925" s="7" t="s">
        <v>0</v>
      </c>
      <c r="AN925" s="7" t="s">
        <v>0</v>
      </c>
      <c r="AO925" s="7" t="s">
        <v>0</v>
      </c>
      <c r="AP925" s="7" t="s">
        <v>0</v>
      </c>
      <c r="AQ925" s="7" t="s">
        <v>61</v>
      </c>
      <c r="AR925" s="7" t="s">
        <v>0</v>
      </c>
      <c r="AS925" s="10" t="str">
        <f>HYPERLINK("https://tessa.gazprom-neft.local/edo/card/76798bfb-12ea-4d31-bde1-1aa31238e19f", "https://tessa.gazprom-neft.local/edo/card/76798bfb-12ea-4d31-bde1-1aa31238e19f")</f>
        <v>https://tessa.gazprom-neft.local/edo/card/76798bfb-12ea-4d31-bde1-1aa31238e19f</v>
      </c>
    </row>
    <row r="926" spans="1:45" hidden="1" x14ac:dyDescent="0.25">
      <c r="A926" s="6" t="s">
        <v>44</v>
      </c>
      <c r="B926" s="7" t="s">
        <v>0</v>
      </c>
      <c r="C926" s="7" t="s">
        <v>67</v>
      </c>
      <c r="D926" s="8">
        <v>45169</v>
      </c>
      <c r="E926" s="8" t="s">
        <v>0</v>
      </c>
      <c r="F926" s="16" t="s">
        <v>6085</v>
      </c>
      <c r="G926" s="7" t="s">
        <v>0</v>
      </c>
      <c r="H926" s="7" t="s">
        <v>0</v>
      </c>
      <c r="I926" s="7" t="s">
        <v>6122</v>
      </c>
      <c r="J926" s="7" t="s">
        <v>6122</v>
      </c>
      <c r="K926" s="7" t="s">
        <v>47</v>
      </c>
      <c r="L926" s="7" t="s">
        <v>96</v>
      </c>
      <c r="M926" s="7" t="s">
        <v>0</v>
      </c>
      <c r="N926" s="7" t="s">
        <v>6121</v>
      </c>
      <c r="O926" s="7" t="s">
        <v>0</v>
      </c>
      <c r="P926" s="7" t="s">
        <v>6123</v>
      </c>
      <c r="Q926" s="7" t="s">
        <v>6124</v>
      </c>
      <c r="R926" s="7" t="s">
        <v>244</v>
      </c>
      <c r="S926" s="7" t="s">
        <v>0</v>
      </c>
      <c r="T926" s="7" t="s">
        <v>54</v>
      </c>
      <c r="U926" s="7" t="s">
        <v>55</v>
      </c>
      <c r="V926" s="7" t="s">
        <v>56</v>
      </c>
      <c r="W926" s="7" t="s">
        <v>57</v>
      </c>
      <c r="X926" s="7" t="s">
        <v>103</v>
      </c>
      <c r="Y926" s="8">
        <v>45169</v>
      </c>
      <c r="Z926" s="8">
        <v>45291</v>
      </c>
      <c r="AA926" s="7" t="s">
        <v>59</v>
      </c>
      <c r="AB926" s="7" t="s">
        <v>256</v>
      </c>
      <c r="AC926" s="7" t="s">
        <v>79</v>
      </c>
      <c r="AD926" s="7" t="s">
        <v>144</v>
      </c>
      <c r="AE926" s="7" t="s">
        <v>82</v>
      </c>
      <c r="AF926" s="7" t="s">
        <v>0</v>
      </c>
      <c r="AG926" s="7" t="s">
        <v>0</v>
      </c>
      <c r="AH926" s="9" t="s">
        <v>12728</v>
      </c>
      <c r="AI926" s="9" t="s">
        <v>12729</v>
      </c>
      <c r="AJ926" s="9" t="s">
        <v>12730</v>
      </c>
      <c r="AK926" s="7" t="s">
        <v>61</v>
      </c>
      <c r="AL926" s="7" t="s">
        <v>61</v>
      </c>
      <c r="AM926" s="7" t="s">
        <v>0</v>
      </c>
      <c r="AN926" s="7" t="s">
        <v>0</v>
      </c>
      <c r="AO926" s="7" t="s">
        <v>0</v>
      </c>
      <c r="AP926" s="7" t="s">
        <v>0</v>
      </c>
      <c r="AQ926" s="7" t="s">
        <v>61</v>
      </c>
      <c r="AR926" s="7" t="s">
        <v>0</v>
      </c>
      <c r="AS926" s="10" t="str">
        <f>HYPERLINK("https://tessa.gazprom-neft.local/edo/card/922be0dd-fbed-4337-a504-d082f34878ae", "https://tessa.gazprom-neft.local/edo/card/922be0dd-fbed-4337-a504-d082f34878ae")</f>
        <v>https://tessa.gazprom-neft.local/edo/card/922be0dd-fbed-4337-a504-d082f34878ae</v>
      </c>
    </row>
    <row r="927" spans="1:45" x14ac:dyDescent="0.25">
      <c r="A927" s="6" t="s">
        <v>44</v>
      </c>
      <c r="B927" s="7" t="s">
        <v>1067</v>
      </c>
      <c r="C927" s="7" t="s">
        <v>67</v>
      </c>
      <c r="D927" s="8">
        <v>45168</v>
      </c>
      <c r="E927" s="8" t="s">
        <v>0</v>
      </c>
      <c r="F927" s="16" t="s">
        <v>1068</v>
      </c>
      <c r="G927" s="7" t="s">
        <v>1069</v>
      </c>
      <c r="H927" s="7" t="s">
        <v>4323</v>
      </c>
      <c r="I927" s="7" t="s">
        <v>0</v>
      </c>
      <c r="J927" s="7" t="s">
        <v>271</v>
      </c>
      <c r="K927" s="7" t="s">
        <v>47</v>
      </c>
      <c r="L927" s="7" t="s">
        <v>48</v>
      </c>
      <c r="M927" s="7" t="s">
        <v>0</v>
      </c>
      <c r="N927" s="7" t="s">
        <v>5633</v>
      </c>
      <c r="O927" s="7" t="s">
        <v>0</v>
      </c>
      <c r="P927" s="7" t="s">
        <v>5634</v>
      </c>
      <c r="Q927" s="7" t="s">
        <v>5635</v>
      </c>
      <c r="R927" s="7" t="s">
        <v>1066</v>
      </c>
      <c r="S927" s="7" t="s">
        <v>0</v>
      </c>
      <c r="T927" s="7" t="s">
        <v>54</v>
      </c>
      <c r="U927" s="7" t="s">
        <v>136</v>
      </c>
      <c r="V927" s="7" t="s">
        <v>308</v>
      </c>
      <c r="W927" s="7" t="s">
        <v>74</v>
      </c>
      <c r="X927" s="7" t="s">
        <v>58</v>
      </c>
      <c r="Y927" s="8">
        <v>45168</v>
      </c>
      <c r="Z927" s="8" t="s">
        <v>0</v>
      </c>
      <c r="AA927" s="7" t="s">
        <v>309</v>
      </c>
      <c r="AB927" s="7" t="s">
        <v>2425</v>
      </c>
      <c r="AC927" s="7" t="s">
        <v>79</v>
      </c>
      <c r="AD927" s="7" t="s">
        <v>144</v>
      </c>
      <c r="AE927" s="7" t="s">
        <v>82</v>
      </c>
      <c r="AF927" s="7" t="s">
        <v>0</v>
      </c>
      <c r="AG927" s="7" t="s">
        <v>0</v>
      </c>
      <c r="AH927" s="9" t="s">
        <v>12017</v>
      </c>
      <c r="AI927" s="9" t="s">
        <v>12018</v>
      </c>
      <c r="AJ927" s="9" t="s">
        <v>12019</v>
      </c>
      <c r="AK927" s="7" t="s">
        <v>61</v>
      </c>
      <c r="AL927" s="7" t="s">
        <v>61</v>
      </c>
      <c r="AM927" s="7" t="s">
        <v>0</v>
      </c>
      <c r="AN927" s="7" t="s">
        <v>0</v>
      </c>
      <c r="AO927" s="7" t="s">
        <v>0</v>
      </c>
      <c r="AP927" s="7" t="s">
        <v>0</v>
      </c>
      <c r="AQ927" s="7" t="s">
        <v>61</v>
      </c>
      <c r="AR927" s="7" t="s">
        <v>0</v>
      </c>
      <c r="AS927" s="10" t="str">
        <f>HYPERLINK("https://tessa.gazprom-neft.local/edo/card/8119830f-d36c-4510-94c7-53331fda5475", "https://tessa.gazprom-neft.local/edo/card/8119830f-d36c-4510-94c7-53331fda5475")</f>
        <v>https://tessa.gazprom-neft.local/edo/card/8119830f-d36c-4510-94c7-53331fda5475</v>
      </c>
    </row>
    <row r="928" spans="1:45" hidden="1" x14ac:dyDescent="0.25">
      <c r="A928" s="6" t="s">
        <v>44</v>
      </c>
      <c r="B928" s="7" t="s">
        <v>661</v>
      </c>
      <c r="C928" s="7" t="s">
        <v>67</v>
      </c>
      <c r="D928" s="8">
        <v>45168</v>
      </c>
      <c r="E928" s="8" t="s">
        <v>0</v>
      </c>
      <c r="F928" s="16" t="s">
        <v>662</v>
      </c>
      <c r="G928" s="7" t="s">
        <v>663</v>
      </c>
      <c r="H928" s="7" t="s">
        <v>2557</v>
      </c>
      <c r="I928" s="7" t="s">
        <v>0</v>
      </c>
      <c r="J928" s="7" t="s">
        <v>5932</v>
      </c>
      <c r="K928" s="7" t="s">
        <v>47</v>
      </c>
      <c r="L928" s="7" t="s">
        <v>763</v>
      </c>
      <c r="M928" s="7" t="s">
        <v>0</v>
      </c>
      <c r="N928" s="7" t="s">
        <v>5930</v>
      </c>
      <c r="O928" s="7" t="s">
        <v>0</v>
      </c>
      <c r="P928" s="7" t="s">
        <v>5931</v>
      </c>
      <c r="Q928" s="7" t="s">
        <v>5933</v>
      </c>
      <c r="R928" s="7" t="s">
        <v>393</v>
      </c>
      <c r="S928" s="7" t="s">
        <v>0</v>
      </c>
      <c r="T928" s="7" t="s">
        <v>54</v>
      </c>
      <c r="U928" s="7" t="s">
        <v>283</v>
      </c>
      <c r="V928" s="7" t="s">
        <v>308</v>
      </c>
      <c r="W928" s="7" t="s">
        <v>74</v>
      </c>
      <c r="X928" s="7" t="s">
        <v>58</v>
      </c>
      <c r="Y928" s="8">
        <v>45170</v>
      </c>
      <c r="Z928" s="8" t="s">
        <v>0</v>
      </c>
      <c r="AA928" s="7" t="s">
        <v>309</v>
      </c>
      <c r="AB928" s="7" t="s">
        <v>130</v>
      </c>
      <c r="AC928" s="7" t="s">
        <v>79</v>
      </c>
      <c r="AD928" s="7" t="s">
        <v>80</v>
      </c>
      <c r="AE928" s="7" t="s">
        <v>82</v>
      </c>
      <c r="AF928" s="7" t="s">
        <v>0</v>
      </c>
      <c r="AG928" s="7" t="s">
        <v>0</v>
      </c>
      <c r="AH928" s="9" t="s">
        <v>12684</v>
      </c>
      <c r="AI928" s="9" t="s">
        <v>12685</v>
      </c>
      <c r="AJ928" s="9" t="s">
        <v>12686</v>
      </c>
      <c r="AK928" s="7" t="s">
        <v>61</v>
      </c>
      <c r="AL928" s="7" t="s">
        <v>61</v>
      </c>
      <c r="AM928" s="7" t="s">
        <v>0</v>
      </c>
      <c r="AN928" s="7" t="s">
        <v>0</v>
      </c>
      <c r="AO928" s="7" t="s">
        <v>0</v>
      </c>
      <c r="AP928" s="7" t="s">
        <v>0</v>
      </c>
      <c r="AQ928" s="7" t="s">
        <v>61</v>
      </c>
      <c r="AR928" s="7" t="s">
        <v>0</v>
      </c>
      <c r="AS928" s="10" t="str">
        <f>HYPERLINK("https://tessa.gazprom-neft.local/edo/card/b6b43ce3-3e15-446f-b66f-84dc8cdf4e7a", "https://tessa.gazprom-neft.local/edo/card/b6b43ce3-3e15-446f-b66f-84dc8cdf4e7a")</f>
        <v>https://tessa.gazprom-neft.local/edo/card/b6b43ce3-3e15-446f-b66f-84dc8cdf4e7a</v>
      </c>
    </row>
    <row r="929" spans="1:45" hidden="1" x14ac:dyDescent="0.25">
      <c r="A929" s="6" t="s">
        <v>44</v>
      </c>
      <c r="B929" s="7" t="s">
        <v>342</v>
      </c>
      <c r="C929" s="7" t="s">
        <v>67</v>
      </c>
      <c r="D929" s="8">
        <v>45166</v>
      </c>
      <c r="E929" s="8" t="s">
        <v>0</v>
      </c>
      <c r="F929" s="16" t="s">
        <v>343</v>
      </c>
      <c r="G929" s="7" t="s">
        <v>344</v>
      </c>
      <c r="H929" s="7" t="s">
        <v>0</v>
      </c>
      <c r="I929" s="7" t="s">
        <v>5691</v>
      </c>
      <c r="J929" s="7" t="s">
        <v>5691</v>
      </c>
      <c r="K929" s="7" t="s">
        <v>47</v>
      </c>
      <c r="L929" s="7" t="s">
        <v>96</v>
      </c>
      <c r="M929" s="7" t="s">
        <v>0</v>
      </c>
      <c r="N929" s="7" t="s">
        <v>5690</v>
      </c>
      <c r="O929" s="7" t="s">
        <v>0</v>
      </c>
      <c r="P929" s="7" t="s">
        <v>434</v>
      </c>
      <c r="Q929" s="7" t="s">
        <v>2686</v>
      </c>
      <c r="R929" s="7" t="s">
        <v>549</v>
      </c>
      <c r="S929" s="7" t="s">
        <v>549</v>
      </c>
      <c r="T929" s="7" t="s">
        <v>54</v>
      </c>
      <c r="U929" s="7" t="s">
        <v>303</v>
      </c>
      <c r="V929" s="7" t="s">
        <v>91</v>
      </c>
      <c r="W929" s="7" t="s">
        <v>74</v>
      </c>
      <c r="X929" s="7" t="s">
        <v>103</v>
      </c>
      <c r="Y929" s="8">
        <v>45166</v>
      </c>
      <c r="Z929" s="8">
        <v>46387</v>
      </c>
      <c r="AA929" s="7" t="s">
        <v>92</v>
      </c>
      <c r="AB929" s="7" t="s">
        <v>5049</v>
      </c>
      <c r="AC929" s="7" t="s">
        <v>65</v>
      </c>
      <c r="AD929" s="7" t="s">
        <v>0</v>
      </c>
      <c r="AE929" s="7" t="s">
        <v>0</v>
      </c>
      <c r="AF929" s="7" t="s">
        <v>0</v>
      </c>
      <c r="AG929" s="7" t="s">
        <v>0</v>
      </c>
      <c r="AH929" s="9" t="s">
        <v>0</v>
      </c>
      <c r="AI929" s="9" t="s">
        <v>0</v>
      </c>
      <c r="AJ929" s="9" t="s">
        <v>0</v>
      </c>
      <c r="AK929" s="7" t="s">
        <v>61</v>
      </c>
      <c r="AL929" s="7" t="s">
        <v>61</v>
      </c>
      <c r="AM929" s="7" t="s">
        <v>0</v>
      </c>
      <c r="AN929" s="7" t="s">
        <v>0</v>
      </c>
      <c r="AO929" s="7" t="s">
        <v>0</v>
      </c>
      <c r="AP929" s="7" t="s">
        <v>0</v>
      </c>
      <c r="AQ929" s="7" t="s">
        <v>61</v>
      </c>
      <c r="AR929" s="7" t="s">
        <v>0</v>
      </c>
      <c r="AS929" s="10" t="str">
        <f>HYPERLINK("https://tessa.gazprom-neft.local/edo/card/78c5d359-3aac-4ed5-87f8-320ede0a0762", "https://tessa.gazprom-neft.local/edo/card/78c5d359-3aac-4ed5-87f8-320ede0a0762")</f>
        <v>https://tessa.gazprom-neft.local/edo/card/78c5d359-3aac-4ed5-87f8-320ede0a0762</v>
      </c>
    </row>
    <row r="930" spans="1:45" hidden="1" x14ac:dyDescent="0.25">
      <c r="A930" s="6" t="s">
        <v>44</v>
      </c>
      <c r="B930" s="7" t="s">
        <v>0</v>
      </c>
      <c r="C930" s="7" t="s">
        <v>67</v>
      </c>
      <c r="D930" s="8">
        <v>45166</v>
      </c>
      <c r="E930" s="8" t="s">
        <v>0</v>
      </c>
      <c r="F930" s="16" t="s">
        <v>5735</v>
      </c>
      <c r="G930" s="7" t="s">
        <v>0</v>
      </c>
      <c r="H930" s="7" t="s">
        <v>0</v>
      </c>
      <c r="I930" s="7" t="s">
        <v>710</v>
      </c>
      <c r="J930" s="7" t="s">
        <v>710</v>
      </c>
      <c r="K930" s="7" t="s">
        <v>47</v>
      </c>
      <c r="L930" s="7" t="s">
        <v>96</v>
      </c>
      <c r="M930" s="7" t="s">
        <v>0</v>
      </c>
      <c r="N930" s="7" t="s">
        <v>5732</v>
      </c>
      <c r="O930" s="7" t="s">
        <v>0</v>
      </c>
      <c r="P930" s="7" t="s">
        <v>5733</v>
      </c>
      <c r="Q930" s="7" t="s">
        <v>5734</v>
      </c>
      <c r="R930" s="7" t="s">
        <v>646</v>
      </c>
      <c r="S930" s="7" t="s">
        <v>714</v>
      </c>
      <c r="T930" s="7" t="s">
        <v>54</v>
      </c>
      <c r="U930" s="7" t="s">
        <v>283</v>
      </c>
      <c r="V930" s="7" t="s">
        <v>308</v>
      </c>
      <c r="W930" s="7" t="s">
        <v>57</v>
      </c>
      <c r="X930" s="7" t="s">
        <v>103</v>
      </c>
      <c r="Y930" s="8">
        <v>45166</v>
      </c>
      <c r="Z930" s="8">
        <v>45657</v>
      </c>
      <c r="AA930" s="7" t="s">
        <v>309</v>
      </c>
      <c r="AB930" s="7" t="s">
        <v>64</v>
      </c>
      <c r="AC930" s="7" t="s">
        <v>79</v>
      </c>
      <c r="AD930" s="7" t="s">
        <v>144</v>
      </c>
      <c r="AE930" s="7" t="s">
        <v>82</v>
      </c>
      <c r="AF930" s="7" t="s">
        <v>0</v>
      </c>
      <c r="AG930" s="7" t="s">
        <v>182</v>
      </c>
      <c r="AH930" s="9" t="s">
        <v>12601</v>
      </c>
      <c r="AI930" s="9" t="s">
        <v>12602</v>
      </c>
      <c r="AJ930" s="9" t="s">
        <v>12603</v>
      </c>
      <c r="AK930" s="7" t="s">
        <v>81</v>
      </c>
      <c r="AL930" s="7" t="s">
        <v>61</v>
      </c>
      <c r="AM930" s="7" t="s">
        <v>0</v>
      </c>
      <c r="AN930" s="7" t="s">
        <v>0</v>
      </c>
      <c r="AO930" s="7" t="s">
        <v>0</v>
      </c>
      <c r="AP930" s="7" t="s">
        <v>0</v>
      </c>
      <c r="AQ930" s="7" t="s">
        <v>61</v>
      </c>
      <c r="AR930" s="7" t="s">
        <v>0</v>
      </c>
      <c r="AS930" s="10" t="str">
        <f>HYPERLINK("https://tessa.gazprom-neft.local/edo/card/75571ba0-64ba-433e-bced-2304ff5c8df1", "https://tessa.gazprom-neft.local/edo/card/75571ba0-64ba-433e-bced-2304ff5c8df1")</f>
        <v>https://tessa.gazprom-neft.local/edo/card/75571ba0-64ba-433e-bced-2304ff5c8df1</v>
      </c>
    </row>
    <row r="931" spans="1:45" hidden="1" x14ac:dyDescent="0.25">
      <c r="A931" s="6" t="s">
        <v>44</v>
      </c>
      <c r="B931" s="7" t="s">
        <v>350</v>
      </c>
      <c r="C931" s="7" t="s">
        <v>67</v>
      </c>
      <c r="D931" s="8">
        <v>45166</v>
      </c>
      <c r="E931" s="8" t="s">
        <v>0</v>
      </c>
      <c r="F931" s="16" t="s">
        <v>1027</v>
      </c>
      <c r="G931" s="7" t="s">
        <v>352</v>
      </c>
      <c r="H931" s="7" t="s">
        <v>1024</v>
      </c>
      <c r="I931" s="7" t="s">
        <v>0</v>
      </c>
      <c r="J931" s="7" t="s">
        <v>355</v>
      </c>
      <c r="K931" s="7" t="s">
        <v>47</v>
      </c>
      <c r="L931" s="7" t="s">
        <v>763</v>
      </c>
      <c r="M931" s="7" t="s">
        <v>0</v>
      </c>
      <c r="N931" s="7" t="s">
        <v>5832</v>
      </c>
      <c r="O931" s="7" t="s">
        <v>0</v>
      </c>
      <c r="P931" s="7" t="s">
        <v>5833</v>
      </c>
      <c r="Q931" s="7" t="s">
        <v>5219</v>
      </c>
      <c r="R931" s="7" t="s">
        <v>124</v>
      </c>
      <c r="S931" s="7" t="s">
        <v>0</v>
      </c>
      <c r="T931" s="7" t="s">
        <v>54</v>
      </c>
      <c r="U931" s="7" t="s">
        <v>362</v>
      </c>
      <c r="V931" s="7" t="s">
        <v>308</v>
      </c>
      <c r="W931" s="7" t="s">
        <v>74</v>
      </c>
      <c r="X931" s="7" t="s">
        <v>58</v>
      </c>
      <c r="Y931" s="8">
        <v>45170</v>
      </c>
      <c r="Z931" s="8" t="s">
        <v>0</v>
      </c>
      <c r="AA931" s="7" t="s">
        <v>309</v>
      </c>
      <c r="AB931" s="7" t="s">
        <v>64</v>
      </c>
      <c r="AC931" s="7" t="s">
        <v>79</v>
      </c>
      <c r="AD931" s="7" t="s">
        <v>80</v>
      </c>
      <c r="AE931" s="7" t="s">
        <v>82</v>
      </c>
      <c r="AF931" s="7" t="s">
        <v>0</v>
      </c>
      <c r="AG931" s="7" t="s">
        <v>0</v>
      </c>
      <c r="AH931" s="9" t="s">
        <v>12646</v>
      </c>
      <c r="AI931" s="9" t="s">
        <v>12647</v>
      </c>
      <c r="AJ931" s="9" t="s">
        <v>12648</v>
      </c>
      <c r="AK931" s="7" t="s">
        <v>61</v>
      </c>
      <c r="AL931" s="7" t="s">
        <v>61</v>
      </c>
      <c r="AM931" s="7" t="s">
        <v>0</v>
      </c>
      <c r="AN931" s="7" t="s">
        <v>0</v>
      </c>
      <c r="AO931" s="7" t="s">
        <v>0</v>
      </c>
      <c r="AP931" s="7" t="s">
        <v>0</v>
      </c>
      <c r="AQ931" s="7" t="s">
        <v>61</v>
      </c>
      <c r="AR931" s="7" t="s">
        <v>0</v>
      </c>
      <c r="AS931" s="10" t="str">
        <f>HYPERLINK("https://tessa.gazprom-neft.local/edo/card/df6560ea-8aad-4b53-b5b4-cfa9b81cd111", "https://tessa.gazprom-neft.local/edo/card/df6560ea-8aad-4b53-b5b4-cfa9b81cd111")</f>
        <v>https://tessa.gazprom-neft.local/edo/card/df6560ea-8aad-4b53-b5b4-cfa9b81cd111</v>
      </c>
    </row>
    <row r="932" spans="1:45" hidden="1" x14ac:dyDescent="0.25">
      <c r="A932" s="6" t="s">
        <v>44</v>
      </c>
      <c r="B932" s="7" t="s">
        <v>542</v>
      </c>
      <c r="C932" s="7" t="s">
        <v>67</v>
      </c>
      <c r="D932" s="8">
        <v>45166</v>
      </c>
      <c r="E932" s="8" t="s">
        <v>0</v>
      </c>
      <c r="F932" s="16" t="s">
        <v>543</v>
      </c>
      <c r="G932" s="7" t="s">
        <v>544</v>
      </c>
      <c r="H932" s="7" t="s">
        <v>1130</v>
      </c>
      <c r="I932" s="7" t="s">
        <v>0</v>
      </c>
      <c r="J932" s="7" t="s">
        <v>5856</v>
      </c>
      <c r="K932" s="7" t="s">
        <v>47</v>
      </c>
      <c r="L932" s="7" t="s">
        <v>239</v>
      </c>
      <c r="M932" s="7" t="s">
        <v>0</v>
      </c>
      <c r="N932" s="7" t="s">
        <v>5854</v>
      </c>
      <c r="O932" s="7" t="s">
        <v>0</v>
      </c>
      <c r="P932" s="7" t="s">
        <v>5855</v>
      </c>
      <c r="Q932" s="7" t="s">
        <v>5857</v>
      </c>
      <c r="R932" s="7" t="s">
        <v>244</v>
      </c>
      <c r="S932" s="7" t="s">
        <v>0</v>
      </c>
      <c r="T932" s="7" t="s">
        <v>54</v>
      </c>
      <c r="U932" s="7" t="s">
        <v>55</v>
      </c>
      <c r="V932" s="7" t="s">
        <v>56</v>
      </c>
      <c r="W932" s="7" t="s">
        <v>57</v>
      </c>
      <c r="X932" s="7" t="s">
        <v>103</v>
      </c>
      <c r="Y932" s="8">
        <v>45166</v>
      </c>
      <c r="Z932" s="8">
        <v>45289</v>
      </c>
      <c r="AA932" s="7" t="s">
        <v>59</v>
      </c>
      <c r="AB932" s="7" t="s">
        <v>256</v>
      </c>
      <c r="AC932" s="7" t="s">
        <v>79</v>
      </c>
      <c r="AD932" s="7" t="s">
        <v>144</v>
      </c>
      <c r="AE932" s="7" t="s">
        <v>82</v>
      </c>
      <c r="AF932" s="7" t="s">
        <v>0</v>
      </c>
      <c r="AG932" s="7" t="s">
        <v>0</v>
      </c>
      <c r="AH932" s="9" t="s">
        <v>12655</v>
      </c>
      <c r="AI932" s="9" t="s">
        <v>12656</v>
      </c>
      <c r="AJ932" s="9" t="s">
        <v>12657</v>
      </c>
      <c r="AK932" s="7" t="s">
        <v>61</v>
      </c>
      <c r="AL932" s="7" t="s">
        <v>61</v>
      </c>
      <c r="AM932" s="7" t="s">
        <v>0</v>
      </c>
      <c r="AN932" s="7" t="s">
        <v>0</v>
      </c>
      <c r="AO932" s="7" t="s">
        <v>0</v>
      </c>
      <c r="AP932" s="7" t="s">
        <v>0</v>
      </c>
      <c r="AQ932" s="7" t="s">
        <v>61</v>
      </c>
      <c r="AR932" s="7" t="s">
        <v>0</v>
      </c>
      <c r="AS932" s="10" t="str">
        <f>HYPERLINK("https://tessa.gazprom-neft.local/edo/card/13e63678-9976-4428-ad89-73ddccba72fa", "https://tessa.gazprom-neft.local/edo/card/13e63678-9976-4428-ad89-73ddccba72fa")</f>
        <v>https://tessa.gazprom-neft.local/edo/card/13e63678-9976-4428-ad89-73ddccba72fa</v>
      </c>
    </row>
    <row r="933" spans="1:45" hidden="1" x14ac:dyDescent="0.25">
      <c r="A933" s="6" t="s">
        <v>44</v>
      </c>
      <c r="B933" s="7" t="s">
        <v>1675</v>
      </c>
      <c r="C933" s="7" t="s">
        <v>67</v>
      </c>
      <c r="D933" s="8">
        <v>45163</v>
      </c>
      <c r="E933" s="8" t="s">
        <v>0</v>
      </c>
      <c r="F933" s="16" t="s">
        <v>1676</v>
      </c>
      <c r="G933" s="7" t="s">
        <v>1677</v>
      </c>
      <c r="H933" s="7" t="s">
        <v>0</v>
      </c>
      <c r="I933" s="7" t="s">
        <v>5481</v>
      </c>
      <c r="J933" s="7" t="s">
        <v>5481</v>
      </c>
      <c r="K933" s="7" t="s">
        <v>47</v>
      </c>
      <c r="L933" s="7" t="s">
        <v>96</v>
      </c>
      <c r="M933" s="7" t="s">
        <v>0</v>
      </c>
      <c r="N933" s="7" t="s">
        <v>5480</v>
      </c>
      <c r="O933" s="7" t="s">
        <v>0</v>
      </c>
      <c r="P933" s="7" t="s">
        <v>5482</v>
      </c>
      <c r="Q933" s="7" t="s">
        <v>5483</v>
      </c>
      <c r="R933" s="7" t="s">
        <v>484</v>
      </c>
      <c r="S933" s="7" t="s">
        <v>484</v>
      </c>
      <c r="T933" s="7" t="s">
        <v>54</v>
      </c>
      <c r="U933" s="7" t="s">
        <v>1792</v>
      </c>
      <c r="V933" s="7" t="s">
        <v>864</v>
      </c>
      <c r="W933" s="7" t="s">
        <v>74</v>
      </c>
      <c r="X933" s="7" t="s">
        <v>103</v>
      </c>
      <c r="Y933" s="8">
        <v>45163</v>
      </c>
      <c r="Z933" s="8">
        <v>46016</v>
      </c>
      <c r="AA933" s="7" t="s">
        <v>865</v>
      </c>
      <c r="AB933" s="7" t="s">
        <v>64</v>
      </c>
      <c r="AC933" s="7" t="s">
        <v>278</v>
      </c>
      <c r="AD933" s="7" t="s">
        <v>144</v>
      </c>
      <c r="AE933" s="7" t="s">
        <v>82</v>
      </c>
      <c r="AF933" s="7" t="s">
        <v>0</v>
      </c>
      <c r="AG933" s="7" t="s">
        <v>0</v>
      </c>
      <c r="AH933" s="9" t="s">
        <v>12503</v>
      </c>
      <c r="AI933" s="9" t="s">
        <v>12504</v>
      </c>
      <c r="AJ933" s="9" t="s">
        <v>12505</v>
      </c>
      <c r="AK933" s="7" t="s">
        <v>61</v>
      </c>
      <c r="AL933" s="7" t="s">
        <v>61</v>
      </c>
      <c r="AM933" s="7" t="s">
        <v>0</v>
      </c>
      <c r="AN933" s="7" t="s">
        <v>0</v>
      </c>
      <c r="AO933" s="7" t="s">
        <v>0</v>
      </c>
      <c r="AP933" s="7" t="s">
        <v>0</v>
      </c>
      <c r="AQ933" s="7" t="s">
        <v>61</v>
      </c>
      <c r="AR933" s="7" t="s">
        <v>0</v>
      </c>
      <c r="AS933" s="10" t="str">
        <f>HYPERLINK("https://tessa.gazprom-neft.local/edo/card/a477d213-0576-48b2-87a3-eae0ec46e1eb", "https://tessa.gazprom-neft.local/edo/card/a477d213-0576-48b2-87a3-eae0ec46e1eb")</f>
        <v>https://tessa.gazprom-neft.local/edo/card/a477d213-0576-48b2-87a3-eae0ec46e1eb</v>
      </c>
    </row>
    <row r="934" spans="1:45" hidden="1" x14ac:dyDescent="0.25">
      <c r="A934" s="6" t="s">
        <v>44</v>
      </c>
      <c r="B934" s="7" t="s">
        <v>1675</v>
      </c>
      <c r="C934" s="7" t="s">
        <v>67</v>
      </c>
      <c r="D934" s="8">
        <v>45163</v>
      </c>
      <c r="E934" s="8" t="s">
        <v>0</v>
      </c>
      <c r="F934" s="16" t="s">
        <v>1676</v>
      </c>
      <c r="G934" s="7" t="s">
        <v>1677</v>
      </c>
      <c r="H934" s="7" t="s">
        <v>5534</v>
      </c>
      <c r="I934" s="7" t="s">
        <v>0</v>
      </c>
      <c r="J934" s="7" t="s">
        <v>51</v>
      </c>
      <c r="K934" s="7" t="s">
        <v>47</v>
      </c>
      <c r="L934" s="7" t="s">
        <v>239</v>
      </c>
      <c r="M934" s="7" t="s">
        <v>0</v>
      </c>
      <c r="N934" s="7" t="s">
        <v>5533</v>
      </c>
      <c r="O934" s="7" t="s">
        <v>0</v>
      </c>
      <c r="P934" s="7" t="s">
        <v>5535</v>
      </c>
      <c r="Q934" s="7" t="s">
        <v>5536</v>
      </c>
      <c r="R934" s="7" t="s">
        <v>484</v>
      </c>
      <c r="S934" s="7" t="s">
        <v>5537</v>
      </c>
      <c r="T934" s="7" t="s">
        <v>54</v>
      </c>
      <c r="U934" s="7" t="s">
        <v>1792</v>
      </c>
      <c r="V934" s="7" t="s">
        <v>864</v>
      </c>
      <c r="W934" s="7" t="s">
        <v>74</v>
      </c>
      <c r="X934" s="7" t="s">
        <v>103</v>
      </c>
      <c r="Y934" s="8">
        <v>45163</v>
      </c>
      <c r="Z934" s="8">
        <v>45291</v>
      </c>
      <c r="AA934" s="7" t="s">
        <v>865</v>
      </c>
      <c r="AB934" s="7" t="s">
        <v>64</v>
      </c>
      <c r="AC934" s="7" t="s">
        <v>278</v>
      </c>
      <c r="AD934" s="7" t="s">
        <v>80</v>
      </c>
      <c r="AE934" s="7" t="s">
        <v>82</v>
      </c>
      <c r="AF934" s="7" t="s">
        <v>0</v>
      </c>
      <c r="AG934" s="7" t="s">
        <v>0</v>
      </c>
      <c r="AH934" s="9" t="s">
        <v>12525</v>
      </c>
      <c r="AI934" s="9" t="s">
        <v>12526</v>
      </c>
      <c r="AJ934" s="9" t="s">
        <v>12527</v>
      </c>
      <c r="AK934" s="7" t="s">
        <v>61</v>
      </c>
      <c r="AL934" s="7" t="s">
        <v>61</v>
      </c>
      <c r="AM934" s="7" t="s">
        <v>0</v>
      </c>
      <c r="AN934" s="7" t="s">
        <v>0</v>
      </c>
      <c r="AO934" s="7" t="s">
        <v>0</v>
      </c>
      <c r="AP934" s="7" t="s">
        <v>0</v>
      </c>
      <c r="AQ934" s="7" t="s">
        <v>61</v>
      </c>
      <c r="AR934" s="7" t="s">
        <v>0</v>
      </c>
      <c r="AS934" s="10" t="str">
        <f>HYPERLINK("https://tessa.gazprom-neft.local/edo/card/3b4a1067-5f50-4c50-9249-bdbae36c21e4", "https://tessa.gazprom-neft.local/edo/card/3b4a1067-5f50-4c50-9249-bdbae36c21e4")</f>
        <v>https://tessa.gazprom-neft.local/edo/card/3b4a1067-5f50-4c50-9249-bdbae36c21e4</v>
      </c>
    </row>
    <row r="935" spans="1:45" x14ac:dyDescent="0.25">
      <c r="A935" s="6" t="s">
        <v>44</v>
      </c>
      <c r="B935" s="7" t="s">
        <v>1067</v>
      </c>
      <c r="C935" s="7" t="s">
        <v>67</v>
      </c>
      <c r="D935" s="8">
        <v>45163</v>
      </c>
      <c r="E935" s="8" t="s">
        <v>0</v>
      </c>
      <c r="F935" s="16" t="s">
        <v>1068</v>
      </c>
      <c r="G935" s="7" t="s">
        <v>1069</v>
      </c>
      <c r="H935" s="7" t="s">
        <v>1064</v>
      </c>
      <c r="I935" s="7" t="s">
        <v>0</v>
      </c>
      <c r="J935" s="7" t="s">
        <v>51</v>
      </c>
      <c r="K935" s="7" t="s">
        <v>85</v>
      </c>
      <c r="L935" s="7" t="s">
        <v>48</v>
      </c>
      <c r="M935" s="7" t="s">
        <v>1183</v>
      </c>
      <c r="N935" s="7" t="s">
        <v>5677</v>
      </c>
      <c r="O935" s="7" t="s">
        <v>0</v>
      </c>
      <c r="P935" s="7" t="s">
        <v>1183</v>
      </c>
      <c r="Q935" s="7" t="s">
        <v>5678</v>
      </c>
      <c r="R935" s="7" t="s">
        <v>1066</v>
      </c>
      <c r="S935" s="7" t="s">
        <v>0</v>
      </c>
      <c r="T935" s="7" t="s">
        <v>54</v>
      </c>
      <c r="U935" s="7" t="s">
        <v>136</v>
      </c>
      <c r="V935" s="7" t="s">
        <v>168</v>
      </c>
      <c r="W935" s="7" t="s">
        <v>74</v>
      </c>
      <c r="X935" s="7" t="s">
        <v>58</v>
      </c>
      <c r="Y935" s="8">
        <v>45163</v>
      </c>
      <c r="Z935" s="8" t="s">
        <v>0</v>
      </c>
      <c r="AA935" s="7" t="s">
        <v>169</v>
      </c>
      <c r="AB935" s="7" t="s">
        <v>228</v>
      </c>
      <c r="AC935" s="7" t="s">
        <v>65</v>
      </c>
      <c r="AD935" s="7" t="s">
        <v>0</v>
      </c>
      <c r="AE935" s="7" t="s">
        <v>0</v>
      </c>
      <c r="AF935" s="7" t="s">
        <v>0</v>
      </c>
      <c r="AG935" s="7" t="s">
        <v>0</v>
      </c>
      <c r="AH935" s="9" t="s">
        <v>0</v>
      </c>
      <c r="AI935" s="9" t="s">
        <v>0</v>
      </c>
      <c r="AJ935" s="9" t="s">
        <v>0</v>
      </c>
      <c r="AK935" s="7" t="s">
        <v>61</v>
      </c>
      <c r="AL935" s="7" t="s">
        <v>61</v>
      </c>
      <c r="AM935" s="7" t="s">
        <v>0</v>
      </c>
      <c r="AN935" s="7" t="s">
        <v>0</v>
      </c>
      <c r="AO935" s="7" t="s">
        <v>0</v>
      </c>
      <c r="AP935" s="7" t="s">
        <v>0</v>
      </c>
      <c r="AQ935" s="7" t="s">
        <v>61</v>
      </c>
      <c r="AR935" s="7" t="s">
        <v>0</v>
      </c>
      <c r="AS935" s="10" t="str">
        <f>HYPERLINK("https://tessa.gazprom-neft.local/edo/card/9a50f595-ed0e-4c5c-9163-8c8fbeb7ae6f", "https://tessa.gazprom-neft.local/edo/card/9a50f595-ed0e-4c5c-9163-8c8fbeb7ae6f")</f>
        <v>https://tessa.gazprom-neft.local/edo/card/9a50f595-ed0e-4c5c-9163-8c8fbeb7ae6f</v>
      </c>
    </row>
    <row r="936" spans="1:45" x14ac:dyDescent="0.25">
      <c r="A936" s="6" t="s">
        <v>44</v>
      </c>
      <c r="B936" s="7" t="s">
        <v>5382</v>
      </c>
      <c r="C936" s="7" t="s">
        <v>67</v>
      </c>
      <c r="D936" s="8">
        <v>45163</v>
      </c>
      <c r="E936" s="8" t="s">
        <v>0</v>
      </c>
      <c r="F936" s="16" t="s">
        <v>5383</v>
      </c>
      <c r="G936" s="7" t="s">
        <v>5384</v>
      </c>
      <c r="H936" s="7" t="s">
        <v>5379</v>
      </c>
      <c r="I936" s="7" t="s">
        <v>0</v>
      </c>
      <c r="J936" s="7" t="s">
        <v>51</v>
      </c>
      <c r="K936" s="7" t="s">
        <v>47</v>
      </c>
      <c r="L936" s="7" t="s">
        <v>48</v>
      </c>
      <c r="M936" s="7" t="s">
        <v>0</v>
      </c>
      <c r="N936" s="7" t="s">
        <v>5727</v>
      </c>
      <c r="O936" s="7" t="s">
        <v>0</v>
      </c>
      <c r="P936" s="7" t="s">
        <v>5728</v>
      </c>
      <c r="Q936" s="7" t="s">
        <v>5729</v>
      </c>
      <c r="R936" s="7" t="s">
        <v>898</v>
      </c>
      <c r="S936" s="7" t="s">
        <v>898</v>
      </c>
      <c r="T936" s="7" t="s">
        <v>54</v>
      </c>
      <c r="U936" s="7" t="s">
        <v>899</v>
      </c>
      <c r="V936" s="7" t="s">
        <v>126</v>
      </c>
      <c r="W936" s="7" t="s">
        <v>57</v>
      </c>
      <c r="X936" s="7" t="s">
        <v>103</v>
      </c>
      <c r="Y936" s="8">
        <v>45163</v>
      </c>
      <c r="Z936" s="8">
        <v>45291</v>
      </c>
      <c r="AA936" s="7" t="s">
        <v>224</v>
      </c>
      <c r="AB936" s="7" t="s">
        <v>130</v>
      </c>
      <c r="AC936" s="7" t="s">
        <v>79</v>
      </c>
      <c r="AD936" s="7" t="s">
        <v>80</v>
      </c>
      <c r="AE936" s="7" t="s">
        <v>82</v>
      </c>
      <c r="AF936" s="7" t="s">
        <v>0</v>
      </c>
      <c r="AG936" s="7" t="s">
        <v>0</v>
      </c>
      <c r="AH936" s="9" t="s">
        <v>12598</v>
      </c>
      <c r="AI936" s="9" t="s">
        <v>12599</v>
      </c>
      <c r="AJ936" s="9" t="s">
        <v>12600</v>
      </c>
      <c r="AK936" s="7" t="s">
        <v>61</v>
      </c>
      <c r="AL936" s="7" t="s">
        <v>61</v>
      </c>
      <c r="AM936" s="7" t="s">
        <v>0</v>
      </c>
      <c r="AN936" s="7" t="s">
        <v>0</v>
      </c>
      <c r="AO936" s="7" t="s">
        <v>0</v>
      </c>
      <c r="AP936" s="7" t="s">
        <v>0</v>
      </c>
      <c r="AQ936" s="7" t="s">
        <v>61</v>
      </c>
      <c r="AR936" s="7" t="s">
        <v>0</v>
      </c>
      <c r="AS936" s="10" t="str">
        <f>HYPERLINK("https://tessa.gazprom-neft.local/edo/card/391f7486-8ecf-4c8b-8e00-e6e46f5a8699", "https://tessa.gazprom-neft.local/edo/card/391f7486-8ecf-4c8b-8e00-e6e46f5a8699")</f>
        <v>https://tessa.gazprom-neft.local/edo/card/391f7486-8ecf-4c8b-8e00-e6e46f5a8699</v>
      </c>
    </row>
    <row r="937" spans="1:45" x14ac:dyDescent="0.25">
      <c r="A937" s="6" t="s">
        <v>44</v>
      </c>
      <c r="B937" s="7" t="s">
        <v>2448</v>
      </c>
      <c r="C937" s="7" t="s">
        <v>67</v>
      </c>
      <c r="D937" s="8">
        <v>45162</v>
      </c>
      <c r="E937" s="8" t="s">
        <v>0</v>
      </c>
      <c r="F937" s="16" t="s">
        <v>2449</v>
      </c>
      <c r="G937" s="7" t="s">
        <v>2450</v>
      </c>
      <c r="H937" s="7" t="s">
        <v>2445</v>
      </c>
      <c r="I937" s="7" t="s">
        <v>0</v>
      </c>
      <c r="J937" s="7" t="s">
        <v>271</v>
      </c>
      <c r="K937" s="7" t="s">
        <v>47</v>
      </c>
      <c r="L937" s="7" t="s">
        <v>48</v>
      </c>
      <c r="M937" s="7" t="s">
        <v>0</v>
      </c>
      <c r="N937" s="7" t="s">
        <v>5566</v>
      </c>
      <c r="O937" s="7" t="s">
        <v>0</v>
      </c>
      <c r="P937" s="7" t="s">
        <v>5567</v>
      </c>
      <c r="Q937" s="7" t="s">
        <v>5568</v>
      </c>
      <c r="R937" s="7" t="s">
        <v>110</v>
      </c>
      <c r="S937" s="7" t="s">
        <v>110</v>
      </c>
      <c r="T937" s="7" t="s">
        <v>54</v>
      </c>
      <c r="U937" s="7" t="s">
        <v>111</v>
      </c>
      <c r="V937" s="7" t="s">
        <v>112</v>
      </c>
      <c r="W937" s="7" t="s">
        <v>57</v>
      </c>
      <c r="X937" s="7" t="s">
        <v>103</v>
      </c>
      <c r="Y937" s="8">
        <v>45162</v>
      </c>
      <c r="Z937" s="8">
        <v>45291</v>
      </c>
      <c r="AA937" s="7" t="s">
        <v>113</v>
      </c>
      <c r="AB937" s="7" t="s">
        <v>64</v>
      </c>
      <c r="AC937" s="7" t="s">
        <v>79</v>
      </c>
      <c r="AD937" s="7" t="s">
        <v>80</v>
      </c>
      <c r="AE937" s="7" t="s">
        <v>82</v>
      </c>
      <c r="AF937" s="7" t="s">
        <v>0</v>
      </c>
      <c r="AG937" s="7" t="s">
        <v>0</v>
      </c>
      <c r="AH937" s="9" t="s">
        <v>12192</v>
      </c>
      <c r="AI937" s="9" t="s">
        <v>12193</v>
      </c>
      <c r="AJ937" s="9" t="s">
        <v>12194</v>
      </c>
      <c r="AK937" s="7" t="s">
        <v>61</v>
      </c>
      <c r="AL937" s="7" t="s">
        <v>61</v>
      </c>
      <c r="AM937" s="7" t="s">
        <v>0</v>
      </c>
      <c r="AN937" s="7" t="s">
        <v>0</v>
      </c>
      <c r="AO937" s="7" t="s">
        <v>0</v>
      </c>
      <c r="AP937" s="7" t="s">
        <v>0</v>
      </c>
      <c r="AQ937" s="7" t="s">
        <v>61</v>
      </c>
      <c r="AR937" s="7" t="s">
        <v>0</v>
      </c>
      <c r="AS937" s="10" t="str">
        <f>HYPERLINK("https://tessa.gazprom-neft.local/edo/card/b2ebcdba-eeba-4e44-a303-48336dd7ae27", "https://tessa.gazprom-neft.local/edo/card/b2ebcdba-eeba-4e44-a303-48336dd7ae27")</f>
        <v>https://tessa.gazprom-neft.local/edo/card/b2ebcdba-eeba-4e44-a303-48336dd7ae27</v>
      </c>
    </row>
    <row r="938" spans="1:45" x14ac:dyDescent="0.25">
      <c r="A938" s="6" t="s">
        <v>44</v>
      </c>
      <c r="B938" s="7" t="s">
        <v>5800</v>
      </c>
      <c r="C938" s="7" t="s">
        <v>67</v>
      </c>
      <c r="D938" s="8">
        <v>45162</v>
      </c>
      <c r="E938" s="8" t="s">
        <v>0</v>
      </c>
      <c r="F938" s="16" t="s">
        <v>5801</v>
      </c>
      <c r="G938" s="7" t="s">
        <v>739</v>
      </c>
      <c r="H938" s="7" t="s">
        <v>2130</v>
      </c>
      <c r="I938" s="7" t="s">
        <v>0</v>
      </c>
      <c r="J938" s="7" t="s">
        <v>355</v>
      </c>
      <c r="K938" s="7" t="s">
        <v>47</v>
      </c>
      <c r="L938" s="7" t="s">
        <v>48</v>
      </c>
      <c r="M938" s="7" t="s">
        <v>0</v>
      </c>
      <c r="N938" s="7" t="s">
        <v>5797</v>
      </c>
      <c r="O938" s="7" t="s">
        <v>0</v>
      </c>
      <c r="P938" s="7" t="s">
        <v>5798</v>
      </c>
      <c r="Q938" s="7" t="s">
        <v>5799</v>
      </c>
      <c r="R938" s="7" t="s">
        <v>646</v>
      </c>
      <c r="S938" s="7" t="s">
        <v>1774</v>
      </c>
      <c r="T938" s="7" t="s">
        <v>54</v>
      </c>
      <c r="U938" s="7" t="s">
        <v>307</v>
      </c>
      <c r="V938" s="7" t="s">
        <v>126</v>
      </c>
      <c r="W938" s="7" t="s">
        <v>57</v>
      </c>
      <c r="X938" s="7" t="s">
        <v>58</v>
      </c>
      <c r="Y938" s="8">
        <v>45162</v>
      </c>
      <c r="Z938" s="8" t="s">
        <v>0</v>
      </c>
      <c r="AA938" s="7" t="s">
        <v>224</v>
      </c>
      <c r="AB938" s="7" t="s">
        <v>130</v>
      </c>
      <c r="AC938" s="7" t="s">
        <v>79</v>
      </c>
      <c r="AD938" s="7" t="s">
        <v>144</v>
      </c>
      <c r="AE938" s="7" t="s">
        <v>82</v>
      </c>
      <c r="AF938" s="7" t="s">
        <v>0</v>
      </c>
      <c r="AG938" s="7" t="s">
        <v>5802</v>
      </c>
      <c r="AH938" s="9" t="s">
        <v>12631</v>
      </c>
      <c r="AI938" s="9" t="s">
        <v>12632</v>
      </c>
      <c r="AJ938" s="9" t="s">
        <v>12633</v>
      </c>
      <c r="AK938" s="7" t="s">
        <v>81</v>
      </c>
      <c r="AL938" s="7" t="s">
        <v>61</v>
      </c>
      <c r="AM938" s="7" t="s">
        <v>0</v>
      </c>
      <c r="AN938" s="7" t="s">
        <v>0</v>
      </c>
      <c r="AO938" s="7" t="s">
        <v>0</v>
      </c>
      <c r="AP938" s="7" t="s">
        <v>0</v>
      </c>
      <c r="AQ938" s="7" t="s">
        <v>61</v>
      </c>
      <c r="AR938" s="7" t="s">
        <v>0</v>
      </c>
      <c r="AS938" s="10" t="str">
        <f>HYPERLINK("https://tessa.gazprom-neft.local/edo/card/58f97d3a-19f5-4663-a34f-acec174be2ce", "https://tessa.gazprom-neft.local/edo/card/58f97d3a-19f5-4663-a34f-acec174be2ce")</f>
        <v>https://tessa.gazprom-neft.local/edo/card/58f97d3a-19f5-4663-a34f-acec174be2ce</v>
      </c>
    </row>
    <row r="939" spans="1:45" x14ac:dyDescent="0.25">
      <c r="A939" s="6" t="s">
        <v>44</v>
      </c>
      <c r="B939" s="7" t="s">
        <v>3273</v>
      </c>
      <c r="C939" s="7" t="s">
        <v>67</v>
      </c>
      <c r="D939" s="8">
        <v>45162</v>
      </c>
      <c r="E939" s="8" t="s">
        <v>0</v>
      </c>
      <c r="F939" s="16" t="s">
        <v>5541</v>
      </c>
      <c r="G939" s="7" t="s">
        <v>3275</v>
      </c>
      <c r="H939" s="7" t="s">
        <v>3565</v>
      </c>
      <c r="I939" s="7" t="s">
        <v>0</v>
      </c>
      <c r="J939" s="7" t="s">
        <v>156</v>
      </c>
      <c r="K939" s="7" t="s">
        <v>47</v>
      </c>
      <c r="L939" s="7" t="s">
        <v>48</v>
      </c>
      <c r="M939" s="7" t="s">
        <v>0</v>
      </c>
      <c r="N939" s="7" t="s">
        <v>5818</v>
      </c>
      <c r="O939" s="7" t="s">
        <v>0</v>
      </c>
      <c r="P939" s="7" t="s">
        <v>5819</v>
      </c>
      <c r="Q939" s="7" t="s">
        <v>5799</v>
      </c>
      <c r="R939" s="7" t="s">
        <v>646</v>
      </c>
      <c r="S939" s="7" t="s">
        <v>3144</v>
      </c>
      <c r="T939" s="7" t="s">
        <v>54</v>
      </c>
      <c r="U939" s="7" t="s">
        <v>210</v>
      </c>
      <c r="V939" s="7" t="s">
        <v>126</v>
      </c>
      <c r="W939" s="7" t="s">
        <v>74</v>
      </c>
      <c r="X939" s="7" t="s">
        <v>58</v>
      </c>
      <c r="Y939" s="8">
        <v>45162</v>
      </c>
      <c r="Z939" s="8" t="s">
        <v>0</v>
      </c>
      <c r="AA939" s="7" t="s">
        <v>224</v>
      </c>
      <c r="AB939" s="7" t="s">
        <v>130</v>
      </c>
      <c r="AC939" s="7" t="s">
        <v>79</v>
      </c>
      <c r="AD939" s="7" t="s">
        <v>144</v>
      </c>
      <c r="AE939" s="7" t="s">
        <v>82</v>
      </c>
      <c r="AF939" s="7" t="s">
        <v>0</v>
      </c>
      <c r="AG939" s="7" t="s">
        <v>5802</v>
      </c>
      <c r="AH939" s="9" t="s">
        <v>12640</v>
      </c>
      <c r="AI939" s="9" t="s">
        <v>12641</v>
      </c>
      <c r="AJ939" s="9" t="s">
        <v>12642</v>
      </c>
      <c r="AK939" s="7" t="s">
        <v>81</v>
      </c>
      <c r="AL939" s="7" t="s">
        <v>61</v>
      </c>
      <c r="AM939" s="7" t="s">
        <v>0</v>
      </c>
      <c r="AN939" s="7" t="s">
        <v>0</v>
      </c>
      <c r="AO939" s="7" t="s">
        <v>0</v>
      </c>
      <c r="AP939" s="7" t="s">
        <v>0</v>
      </c>
      <c r="AQ939" s="7" t="s">
        <v>61</v>
      </c>
      <c r="AR939" s="7" t="s">
        <v>0</v>
      </c>
      <c r="AS939" s="10" t="str">
        <f>HYPERLINK("https://tessa.gazprom-neft.local/edo/card/1979be7b-0c2f-4224-aa5d-283da619a25e", "https://tessa.gazprom-neft.local/edo/card/1979be7b-0c2f-4224-aa5d-283da619a25e")</f>
        <v>https://tessa.gazprom-neft.local/edo/card/1979be7b-0c2f-4224-aa5d-283da619a25e</v>
      </c>
    </row>
    <row r="940" spans="1:45" hidden="1" x14ac:dyDescent="0.25">
      <c r="A940" s="6" t="s">
        <v>44</v>
      </c>
      <c r="B940" s="7" t="s">
        <v>0</v>
      </c>
      <c r="C940" s="7" t="s">
        <v>67</v>
      </c>
      <c r="D940" s="8">
        <v>45161</v>
      </c>
      <c r="E940" s="8" t="s">
        <v>0</v>
      </c>
      <c r="F940" s="16" t="s">
        <v>5621</v>
      </c>
      <c r="G940" s="7" t="s">
        <v>0</v>
      </c>
      <c r="H940" s="7" t="s">
        <v>0</v>
      </c>
      <c r="I940" s="7" t="s">
        <v>5620</v>
      </c>
      <c r="J940" s="7" t="s">
        <v>5620</v>
      </c>
      <c r="K940" s="7" t="s">
        <v>85</v>
      </c>
      <c r="L940" s="7" t="s">
        <v>86</v>
      </c>
      <c r="M940" s="7" t="s">
        <v>83</v>
      </c>
      <c r="N940" s="7" t="s">
        <v>5619</v>
      </c>
      <c r="O940" s="7" t="s">
        <v>0</v>
      </c>
      <c r="P940" s="7" t="s">
        <v>83</v>
      </c>
      <c r="Q940" s="7" t="s">
        <v>5608</v>
      </c>
      <c r="R940" s="7" t="s">
        <v>5609</v>
      </c>
      <c r="S940" s="7" t="s">
        <v>5609</v>
      </c>
      <c r="T940" s="7" t="s">
        <v>54</v>
      </c>
      <c r="U940" s="7" t="s">
        <v>90</v>
      </c>
      <c r="V940" s="7" t="s">
        <v>91</v>
      </c>
      <c r="W940" s="7" t="s">
        <v>57</v>
      </c>
      <c r="X940" s="7" t="s">
        <v>58</v>
      </c>
      <c r="Y940" s="8">
        <v>45161</v>
      </c>
      <c r="Z940" s="8" t="s">
        <v>0</v>
      </c>
      <c r="AA940" s="7" t="s">
        <v>92</v>
      </c>
      <c r="AB940" s="7" t="s">
        <v>94</v>
      </c>
      <c r="AC940" s="7" t="s">
        <v>65</v>
      </c>
      <c r="AD940" s="7" t="s">
        <v>0</v>
      </c>
      <c r="AE940" s="7" t="s">
        <v>0</v>
      </c>
      <c r="AF940" s="7" t="s">
        <v>0</v>
      </c>
      <c r="AG940" s="7" t="s">
        <v>0</v>
      </c>
      <c r="AH940" s="9" t="s">
        <v>0</v>
      </c>
      <c r="AI940" s="9" t="s">
        <v>0</v>
      </c>
      <c r="AJ940" s="9" t="s">
        <v>0</v>
      </c>
      <c r="AK940" s="7" t="s">
        <v>61</v>
      </c>
      <c r="AL940" s="7" t="s">
        <v>61</v>
      </c>
      <c r="AM940" s="7" t="s">
        <v>0</v>
      </c>
      <c r="AN940" s="7" t="s">
        <v>0</v>
      </c>
      <c r="AO940" s="7" t="s">
        <v>0</v>
      </c>
      <c r="AP940" s="7" t="s">
        <v>0</v>
      </c>
      <c r="AQ940" s="7" t="s">
        <v>61</v>
      </c>
      <c r="AR940" s="7" t="s">
        <v>0</v>
      </c>
      <c r="AS940" s="10" t="str">
        <f>HYPERLINK("https://tessa.gazprom-neft.local/edo/card/591a14a6-ef23-4f52-90d0-d14f24773db2", "https://tessa.gazprom-neft.local/edo/card/591a14a6-ef23-4f52-90d0-d14f24773db2")</f>
        <v>https://tessa.gazprom-neft.local/edo/card/591a14a6-ef23-4f52-90d0-d14f24773db2</v>
      </c>
    </row>
    <row r="941" spans="1:45" hidden="1" x14ac:dyDescent="0.25">
      <c r="A941" s="6" t="s">
        <v>44</v>
      </c>
      <c r="B941" s="7" t="s">
        <v>0</v>
      </c>
      <c r="C941" s="7" t="s">
        <v>67</v>
      </c>
      <c r="D941" s="8">
        <v>45159</v>
      </c>
      <c r="E941" s="8" t="s">
        <v>0</v>
      </c>
      <c r="F941" s="16" t="s">
        <v>5610</v>
      </c>
      <c r="G941" s="7" t="s">
        <v>0</v>
      </c>
      <c r="H941" s="7" t="s">
        <v>0</v>
      </c>
      <c r="I941" s="7" t="s">
        <v>5607</v>
      </c>
      <c r="J941" s="7" t="s">
        <v>5607</v>
      </c>
      <c r="K941" s="7" t="s">
        <v>85</v>
      </c>
      <c r="L941" s="7" t="s">
        <v>86</v>
      </c>
      <c r="M941" s="7" t="s">
        <v>440</v>
      </c>
      <c r="N941" s="7" t="s">
        <v>5606</v>
      </c>
      <c r="O941" s="7" t="s">
        <v>0</v>
      </c>
      <c r="P941" s="7" t="s">
        <v>440</v>
      </c>
      <c r="Q941" s="7" t="s">
        <v>5608</v>
      </c>
      <c r="R941" s="7" t="s">
        <v>5609</v>
      </c>
      <c r="S941" s="7" t="s">
        <v>5609</v>
      </c>
      <c r="T941" s="7" t="s">
        <v>54</v>
      </c>
      <c r="U941" s="7" t="s">
        <v>90</v>
      </c>
      <c r="V941" s="7" t="s">
        <v>91</v>
      </c>
      <c r="W941" s="7" t="s">
        <v>57</v>
      </c>
      <c r="X941" s="7" t="s">
        <v>58</v>
      </c>
      <c r="Y941" s="8">
        <v>45159</v>
      </c>
      <c r="Z941" s="8" t="s">
        <v>0</v>
      </c>
      <c r="AA941" s="7" t="s">
        <v>92</v>
      </c>
      <c r="AB941" s="7" t="s">
        <v>94</v>
      </c>
      <c r="AC941" s="7" t="s">
        <v>65</v>
      </c>
      <c r="AD941" s="7" t="s">
        <v>0</v>
      </c>
      <c r="AE941" s="7" t="s">
        <v>0</v>
      </c>
      <c r="AF941" s="7" t="s">
        <v>0</v>
      </c>
      <c r="AG941" s="7" t="s">
        <v>0</v>
      </c>
      <c r="AH941" s="9" t="s">
        <v>0</v>
      </c>
      <c r="AI941" s="9" t="s">
        <v>0</v>
      </c>
      <c r="AJ941" s="9" t="s">
        <v>0</v>
      </c>
      <c r="AK941" s="7" t="s">
        <v>61</v>
      </c>
      <c r="AL941" s="7" t="s">
        <v>61</v>
      </c>
      <c r="AM941" s="7" t="s">
        <v>0</v>
      </c>
      <c r="AN941" s="7" t="s">
        <v>0</v>
      </c>
      <c r="AO941" s="7" t="s">
        <v>0</v>
      </c>
      <c r="AP941" s="7" t="s">
        <v>0</v>
      </c>
      <c r="AQ941" s="7" t="s">
        <v>61</v>
      </c>
      <c r="AR941" s="7" t="s">
        <v>0</v>
      </c>
      <c r="AS941" s="10" t="str">
        <f>HYPERLINK("https://tessa.gazprom-neft.local/edo/card/25c69c41-f3f0-42fa-8e79-6958f2df7144", "https://tessa.gazprom-neft.local/edo/card/25c69c41-f3f0-42fa-8e79-6958f2df7144")</f>
        <v>https://tessa.gazprom-neft.local/edo/card/25c69c41-f3f0-42fa-8e79-6958f2df7144</v>
      </c>
    </row>
    <row r="942" spans="1:45" hidden="1" x14ac:dyDescent="0.25">
      <c r="A942" s="6" t="s">
        <v>44</v>
      </c>
      <c r="B942" s="7" t="s">
        <v>284</v>
      </c>
      <c r="C942" s="7" t="s">
        <v>67</v>
      </c>
      <c r="D942" s="8">
        <v>45159</v>
      </c>
      <c r="E942" s="8" t="s">
        <v>0</v>
      </c>
      <c r="F942" s="16" t="s">
        <v>285</v>
      </c>
      <c r="G942" s="7" t="s">
        <v>286</v>
      </c>
      <c r="H942" s="7" t="s">
        <v>419</v>
      </c>
      <c r="I942" s="7" t="s">
        <v>0</v>
      </c>
      <c r="J942" s="7" t="s">
        <v>51</v>
      </c>
      <c r="K942" s="7" t="s">
        <v>47</v>
      </c>
      <c r="L942" s="7" t="s">
        <v>239</v>
      </c>
      <c r="M942" s="7" t="s">
        <v>0</v>
      </c>
      <c r="N942" s="7" t="s">
        <v>5900</v>
      </c>
      <c r="O942" s="7" t="s">
        <v>0</v>
      </c>
      <c r="P942" s="7" t="s">
        <v>5901</v>
      </c>
      <c r="Q942" s="7" t="s">
        <v>5902</v>
      </c>
      <c r="R942" s="7" t="s">
        <v>282</v>
      </c>
      <c r="S942" s="7" t="s">
        <v>0</v>
      </c>
      <c r="T942" s="7" t="s">
        <v>54</v>
      </c>
      <c r="U942" s="7" t="s">
        <v>55</v>
      </c>
      <c r="V942" s="7" t="s">
        <v>56</v>
      </c>
      <c r="W942" s="7" t="s">
        <v>74</v>
      </c>
      <c r="X942" s="7" t="s">
        <v>103</v>
      </c>
      <c r="Y942" s="8">
        <v>45159</v>
      </c>
      <c r="Z942" s="8">
        <v>46752</v>
      </c>
      <c r="AA942" s="7" t="s">
        <v>0</v>
      </c>
      <c r="AB942" s="7" t="s">
        <v>423</v>
      </c>
      <c r="AC942" s="7" t="s">
        <v>79</v>
      </c>
      <c r="AD942" s="7" t="s">
        <v>144</v>
      </c>
      <c r="AE942" s="7" t="s">
        <v>82</v>
      </c>
      <c r="AF942" s="7" t="s">
        <v>0</v>
      </c>
      <c r="AG942" s="7" t="s">
        <v>0</v>
      </c>
      <c r="AH942" s="9" t="s">
        <v>12674</v>
      </c>
      <c r="AI942" s="9" t="s">
        <v>12675</v>
      </c>
      <c r="AJ942" s="9" t="s">
        <v>12676</v>
      </c>
      <c r="AK942" s="7" t="s">
        <v>61</v>
      </c>
      <c r="AL942" s="7" t="s">
        <v>61</v>
      </c>
      <c r="AM942" s="7" t="s">
        <v>0</v>
      </c>
      <c r="AN942" s="7" t="s">
        <v>0</v>
      </c>
      <c r="AO942" s="7" t="s">
        <v>0</v>
      </c>
      <c r="AP942" s="7" t="s">
        <v>0</v>
      </c>
      <c r="AQ942" s="7" t="s">
        <v>61</v>
      </c>
      <c r="AR942" s="7" t="s">
        <v>0</v>
      </c>
      <c r="AS942" s="10" t="str">
        <f>HYPERLINK("https://tessa.gazprom-neft.local/edo/card/890b2312-ea25-4e33-9152-07cf2a996cdf", "https://tessa.gazprom-neft.local/edo/card/890b2312-ea25-4e33-9152-07cf2a996cdf")</f>
        <v>https://tessa.gazprom-neft.local/edo/card/890b2312-ea25-4e33-9152-07cf2a996cdf</v>
      </c>
    </row>
    <row r="943" spans="1:45" hidden="1" x14ac:dyDescent="0.25">
      <c r="A943" s="6" t="s">
        <v>44</v>
      </c>
      <c r="B943" s="7" t="s">
        <v>0</v>
      </c>
      <c r="C943" s="7" t="s">
        <v>67</v>
      </c>
      <c r="D943" s="8">
        <v>45159</v>
      </c>
      <c r="E943" s="8" t="s">
        <v>0</v>
      </c>
      <c r="F943" s="16" t="s">
        <v>6085</v>
      </c>
      <c r="G943" s="7" t="s">
        <v>0</v>
      </c>
      <c r="H943" s="7" t="s">
        <v>0</v>
      </c>
      <c r="I943" s="7" t="s">
        <v>6095</v>
      </c>
      <c r="J943" s="7" t="s">
        <v>6095</v>
      </c>
      <c r="K943" s="7" t="s">
        <v>47</v>
      </c>
      <c r="L943" s="7" t="s">
        <v>96</v>
      </c>
      <c r="M943" s="7" t="s">
        <v>0</v>
      </c>
      <c r="N943" s="7" t="s">
        <v>6094</v>
      </c>
      <c r="O943" s="7" t="s">
        <v>0</v>
      </c>
      <c r="P943" s="7" t="s">
        <v>6096</v>
      </c>
      <c r="Q943" s="7" t="s">
        <v>6097</v>
      </c>
      <c r="R943" s="7" t="s">
        <v>244</v>
      </c>
      <c r="S943" s="7" t="s">
        <v>0</v>
      </c>
      <c r="T943" s="7" t="s">
        <v>54</v>
      </c>
      <c r="U943" s="7" t="s">
        <v>55</v>
      </c>
      <c r="V943" s="7" t="s">
        <v>56</v>
      </c>
      <c r="W943" s="7" t="s">
        <v>57</v>
      </c>
      <c r="X943" s="7" t="s">
        <v>103</v>
      </c>
      <c r="Y943" s="8">
        <v>45159</v>
      </c>
      <c r="Z943" s="8">
        <v>45291</v>
      </c>
      <c r="AA943" s="7" t="s">
        <v>0</v>
      </c>
      <c r="AB943" s="7" t="s">
        <v>256</v>
      </c>
      <c r="AC943" s="7" t="s">
        <v>79</v>
      </c>
      <c r="AD943" s="7" t="s">
        <v>144</v>
      </c>
      <c r="AE943" s="7" t="s">
        <v>82</v>
      </c>
      <c r="AF943" s="7" t="s">
        <v>0</v>
      </c>
      <c r="AG943" s="7" t="s">
        <v>0</v>
      </c>
      <c r="AH943" s="9" t="s">
        <v>12715</v>
      </c>
      <c r="AI943" s="9" t="s">
        <v>12716</v>
      </c>
      <c r="AJ943" s="9" t="s">
        <v>12717</v>
      </c>
      <c r="AK943" s="7" t="s">
        <v>61</v>
      </c>
      <c r="AL943" s="7" t="s">
        <v>61</v>
      </c>
      <c r="AM943" s="7" t="s">
        <v>0</v>
      </c>
      <c r="AN943" s="7" t="s">
        <v>0</v>
      </c>
      <c r="AO943" s="7" t="s">
        <v>0</v>
      </c>
      <c r="AP943" s="7" t="s">
        <v>0</v>
      </c>
      <c r="AQ943" s="7" t="s">
        <v>61</v>
      </c>
      <c r="AR943" s="7" t="s">
        <v>0</v>
      </c>
      <c r="AS943" s="10" t="str">
        <f>HYPERLINK("https://tessa.gazprom-neft.local/edo/card/fe39e081-129a-417b-b3b7-d5953fc23842", "https://tessa.gazprom-neft.local/edo/card/fe39e081-129a-417b-b3b7-d5953fc23842")</f>
        <v>https://tessa.gazprom-neft.local/edo/card/fe39e081-129a-417b-b3b7-d5953fc23842</v>
      </c>
    </row>
    <row r="944" spans="1:45" hidden="1" x14ac:dyDescent="0.25">
      <c r="A944" s="6" t="s">
        <v>44</v>
      </c>
      <c r="B944" s="7" t="s">
        <v>2595</v>
      </c>
      <c r="C944" s="7" t="s">
        <v>67</v>
      </c>
      <c r="D944" s="8">
        <v>45156</v>
      </c>
      <c r="E944" s="8" t="s">
        <v>0</v>
      </c>
      <c r="F944" s="16" t="s">
        <v>2596</v>
      </c>
      <c r="G944" s="7" t="s">
        <v>2597</v>
      </c>
      <c r="H944" s="7" t="s">
        <v>2548</v>
      </c>
      <c r="I944" s="7" t="s">
        <v>0</v>
      </c>
      <c r="J944" s="7" t="s">
        <v>156</v>
      </c>
      <c r="K944" s="7" t="s">
        <v>47</v>
      </c>
      <c r="L944" s="7" t="s">
        <v>239</v>
      </c>
      <c r="M944" s="7" t="s">
        <v>0</v>
      </c>
      <c r="N944" s="7" t="s">
        <v>5512</v>
      </c>
      <c r="O944" s="7" t="s">
        <v>0</v>
      </c>
      <c r="P944" s="7" t="s">
        <v>5513</v>
      </c>
      <c r="Q944" s="7" t="s">
        <v>4273</v>
      </c>
      <c r="R944" s="7" t="s">
        <v>646</v>
      </c>
      <c r="S944" s="7" t="s">
        <v>1753</v>
      </c>
      <c r="T944" s="7" t="s">
        <v>54</v>
      </c>
      <c r="U944" s="7" t="s">
        <v>210</v>
      </c>
      <c r="V944" s="7" t="s">
        <v>126</v>
      </c>
      <c r="W944" s="7" t="s">
        <v>74</v>
      </c>
      <c r="X944" s="7" t="s">
        <v>58</v>
      </c>
      <c r="Y944" s="8">
        <v>45156</v>
      </c>
      <c r="Z944" s="8" t="s">
        <v>0</v>
      </c>
      <c r="AA944" s="7" t="s">
        <v>224</v>
      </c>
      <c r="AB944" s="7" t="s">
        <v>130</v>
      </c>
      <c r="AC944" s="7" t="s">
        <v>79</v>
      </c>
      <c r="AD944" s="7" t="s">
        <v>80</v>
      </c>
      <c r="AE944" s="7" t="s">
        <v>82</v>
      </c>
      <c r="AF944" s="7" t="s">
        <v>0</v>
      </c>
      <c r="AG944" s="7" t="s">
        <v>0</v>
      </c>
      <c r="AH944" s="9" t="s">
        <v>12519</v>
      </c>
      <c r="AI944" s="9" t="s">
        <v>12520</v>
      </c>
      <c r="AJ944" s="9" t="s">
        <v>12521</v>
      </c>
      <c r="AK944" s="7" t="s">
        <v>61</v>
      </c>
      <c r="AL944" s="7" t="s">
        <v>61</v>
      </c>
      <c r="AM944" s="7" t="s">
        <v>0</v>
      </c>
      <c r="AN944" s="7" t="s">
        <v>0</v>
      </c>
      <c r="AO944" s="7" t="s">
        <v>0</v>
      </c>
      <c r="AP944" s="7" t="s">
        <v>0</v>
      </c>
      <c r="AQ944" s="7" t="s">
        <v>61</v>
      </c>
      <c r="AR944" s="7" t="s">
        <v>0</v>
      </c>
      <c r="AS944" s="10" t="str">
        <f>HYPERLINK("https://tessa.gazprom-neft.local/edo/card/d1c0f95e-de52-4a24-b1e4-527e7ed27d68", "https://tessa.gazprom-neft.local/edo/card/d1c0f95e-de52-4a24-b1e4-527e7ed27d68")</f>
        <v>https://tessa.gazprom-neft.local/edo/card/d1c0f95e-de52-4a24-b1e4-527e7ed27d68</v>
      </c>
    </row>
    <row r="945" spans="1:45" x14ac:dyDescent="0.25">
      <c r="A945" s="6" t="s">
        <v>44</v>
      </c>
      <c r="B945" s="7" t="s">
        <v>2108</v>
      </c>
      <c r="C945" s="7" t="s">
        <v>67</v>
      </c>
      <c r="D945" s="8">
        <v>45156</v>
      </c>
      <c r="E945" s="8" t="s">
        <v>0</v>
      </c>
      <c r="F945" s="16" t="s">
        <v>2109</v>
      </c>
      <c r="G945" s="7" t="s">
        <v>2110</v>
      </c>
      <c r="H945" s="7" t="s">
        <v>2107</v>
      </c>
      <c r="I945" s="7" t="s">
        <v>0</v>
      </c>
      <c r="J945" s="7" t="s">
        <v>70</v>
      </c>
      <c r="K945" s="7" t="s">
        <v>47</v>
      </c>
      <c r="L945" s="7" t="s">
        <v>48</v>
      </c>
      <c r="M945" s="7" t="s">
        <v>0</v>
      </c>
      <c r="N945" s="7" t="s">
        <v>5716</v>
      </c>
      <c r="O945" s="7" t="s">
        <v>0</v>
      </c>
      <c r="P945" s="7" t="s">
        <v>4100</v>
      </c>
      <c r="Q945" s="7" t="s">
        <v>5717</v>
      </c>
      <c r="R945" s="7" t="s">
        <v>505</v>
      </c>
      <c r="S945" s="7" t="s">
        <v>1753</v>
      </c>
      <c r="T945" s="7" t="s">
        <v>54</v>
      </c>
      <c r="U945" s="7" t="s">
        <v>210</v>
      </c>
      <c r="V945" s="7" t="s">
        <v>126</v>
      </c>
      <c r="W945" s="7" t="s">
        <v>74</v>
      </c>
      <c r="X945" s="7" t="s">
        <v>103</v>
      </c>
      <c r="Y945" s="8">
        <v>45156</v>
      </c>
      <c r="Z945" s="8">
        <v>45413</v>
      </c>
      <c r="AA945" s="7" t="s">
        <v>224</v>
      </c>
      <c r="AB945" s="7" t="s">
        <v>130</v>
      </c>
      <c r="AC945" s="7" t="s">
        <v>79</v>
      </c>
      <c r="AD945" s="7" t="s">
        <v>80</v>
      </c>
      <c r="AE945" s="7" t="s">
        <v>82</v>
      </c>
      <c r="AF945" s="7" t="s">
        <v>0</v>
      </c>
      <c r="AG945" s="7" t="s">
        <v>0</v>
      </c>
      <c r="AH945" s="9" t="s">
        <v>12589</v>
      </c>
      <c r="AI945" s="9" t="s">
        <v>12590</v>
      </c>
      <c r="AJ945" s="9" t="s">
        <v>12591</v>
      </c>
      <c r="AK945" s="7" t="s">
        <v>61</v>
      </c>
      <c r="AL945" s="7" t="s">
        <v>61</v>
      </c>
      <c r="AM945" s="7" t="s">
        <v>0</v>
      </c>
      <c r="AN945" s="7" t="s">
        <v>0</v>
      </c>
      <c r="AO945" s="7" t="s">
        <v>0</v>
      </c>
      <c r="AP945" s="7" t="s">
        <v>0</v>
      </c>
      <c r="AQ945" s="7" t="s">
        <v>61</v>
      </c>
      <c r="AR945" s="7" t="s">
        <v>0</v>
      </c>
      <c r="AS945" s="10" t="str">
        <f>HYPERLINK("https://tessa.gazprom-neft.local/edo/card/6ee20689-8a0a-44e3-a8f9-47140a3ba3ca", "https://tessa.gazprom-neft.local/edo/card/6ee20689-8a0a-44e3-a8f9-47140a3ba3ca")</f>
        <v>https://tessa.gazprom-neft.local/edo/card/6ee20689-8a0a-44e3-a8f9-47140a3ba3ca</v>
      </c>
    </row>
    <row r="946" spans="1:45" hidden="1" x14ac:dyDescent="0.25">
      <c r="A946" s="6" t="s">
        <v>44</v>
      </c>
      <c r="B946" s="7" t="s">
        <v>0</v>
      </c>
      <c r="C946" s="7" t="s">
        <v>67</v>
      </c>
      <c r="D946" s="8">
        <v>45156</v>
      </c>
      <c r="E946" s="8" t="s">
        <v>0</v>
      </c>
      <c r="F946" s="16" t="s">
        <v>6085</v>
      </c>
      <c r="G946" s="7" t="s">
        <v>0</v>
      </c>
      <c r="H946" s="7" t="s">
        <v>0</v>
      </c>
      <c r="I946" s="7" t="s">
        <v>1621</v>
      </c>
      <c r="J946" s="7" t="s">
        <v>1621</v>
      </c>
      <c r="K946" s="7" t="s">
        <v>47</v>
      </c>
      <c r="L946" s="7" t="s">
        <v>96</v>
      </c>
      <c r="M946" s="7" t="s">
        <v>0</v>
      </c>
      <c r="N946" s="7" t="s">
        <v>6082</v>
      </c>
      <c r="O946" s="7" t="s">
        <v>0</v>
      </c>
      <c r="P946" s="7" t="s">
        <v>6083</v>
      </c>
      <c r="Q946" s="7" t="s">
        <v>6084</v>
      </c>
      <c r="R946" s="7" t="s">
        <v>244</v>
      </c>
      <c r="S946" s="7" t="s">
        <v>0</v>
      </c>
      <c r="T946" s="7" t="s">
        <v>54</v>
      </c>
      <c r="U946" s="7" t="s">
        <v>55</v>
      </c>
      <c r="V946" s="7" t="s">
        <v>56</v>
      </c>
      <c r="W946" s="7" t="s">
        <v>57</v>
      </c>
      <c r="X946" s="7" t="s">
        <v>103</v>
      </c>
      <c r="Y946" s="8">
        <v>45156</v>
      </c>
      <c r="Z946" s="8">
        <v>45657</v>
      </c>
      <c r="AA946" s="7" t="s">
        <v>59</v>
      </c>
      <c r="AB946" s="7" t="s">
        <v>256</v>
      </c>
      <c r="AC946" s="7" t="s">
        <v>79</v>
      </c>
      <c r="AD946" s="7" t="s">
        <v>144</v>
      </c>
      <c r="AE946" s="7" t="s">
        <v>82</v>
      </c>
      <c r="AF946" s="7" t="s">
        <v>0</v>
      </c>
      <c r="AG946" s="7" t="s">
        <v>0</v>
      </c>
      <c r="AH946" s="9" t="s">
        <v>11069</v>
      </c>
      <c r="AI946" s="9" t="s">
        <v>11070</v>
      </c>
      <c r="AJ946" s="9" t="s">
        <v>11071</v>
      </c>
      <c r="AK946" s="7" t="s">
        <v>61</v>
      </c>
      <c r="AL946" s="7" t="s">
        <v>61</v>
      </c>
      <c r="AM946" s="7" t="s">
        <v>0</v>
      </c>
      <c r="AN946" s="7" t="s">
        <v>0</v>
      </c>
      <c r="AO946" s="7" t="s">
        <v>0</v>
      </c>
      <c r="AP946" s="7" t="s">
        <v>0</v>
      </c>
      <c r="AQ946" s="7" t="s">
        <v>61</v>
      </c>
      <c r="AR946" s="7" t="s">
        <v>0</v>
      </c>
      <c r="AS946" s="10" t="str">
        <f>HYPERLINK("https://tessa.gazprom-neft.local/edo/card/c9649889-40ec-43e3-9051-f608a0e07bc9", "https://tessa.gazprom-neft.local/edo/card/c9649889-40ec-43e3-9051-f608a0e07bc9")</f>
        <v>https://tessa.gazprom-neft.local/edo/card/c9649889-40ec-43e3-9051-f608a0e07bc9</v>
      </c>
    </row>
    <row r="947" spans="1:45" hidden="1" x14ac:dyDescent="0.25">
      <c r="A947" s="6" t="s">
        <v>44</v>
      </c>
      <c r="B947" s="7" t="s">
        <v>0</v>
      </c>
      <c r="C947" s="7" t="s">
        <v>67</v>
      </c>
      <c r="D947" s="8">
        <v>45156</v>
      </c>
      <c r="E947" s="8" t="s">
        <v>0</v>
      </c>
      <c r="F947" s="16" t="s">
        <v>6085</v>
      </c>
      <c r="G947" s="7" t="s">
        <v>0</v>
      </c>
      <c r="H947" s="7" t="s">
        <v>0</v>
      </c>
      <c r="I947" s="7" t="s">
        <v>6110</v>
      </c>
      <c r="J947" s="7" t="s">
        <v>6110</v>
      </c>
      <c r="K947" s="7" t="s">
        <v>47</v>
      </c>
      <c r="L947" s="7" t="s">
        <v>96</v>
      </c>
      <c r="M947" s="7" t="s">
        <v>0</v>
      </c>
      <c r="N947" s="7" t="s">
        <v>6109</v>
      </c>
      <c r="O947" s="7" t="s">
        <v>0</v>
      </c>
      <c r="P947" s="7" t="s">
        <v>6111</v>
      </c>
      <c r="Q947" s="7" t="s">
        <v>6097</v>
      </c>
      <c r="R947" s="7" t="s">
        <v>244</v>
      </c>
      <c r="S947" s="7" t="s">
        <v>0</v>
      </c>
      <c r="T947" s="7" t="s">
        <v>54</v>
      </c>
      <c r="U947" s="7" t="s">
        <v>55</v>
      </c>
      <c r="V947" s="7" t="s">
        <v>56</v>
      </c>
      <c r="W947" s="7" t="s">
        <v>57</v>
      </c>
      <c r="X947" s="7" t="s">
        <v>103</v>
      </c>
      <c r="Y947" s="8">
        <v>45156</v>
      </c>
      <c r="Z947" s="8">
        <v>45291</v>
      </c>
      <c r="AA947" s="7" t="s">
        <v>59</v>
      </c>
      <c r="AB947" s="7" t="s">
        <v>256</v>
      </c>
      <c r="AC947" s="7" t="s">
        <v>79</v>
      </c>
      <c r="AD947" s="7" t="s">
        <v>144</v>
      </c>
      <c r="AE947" s="7" t="s">
        <v>82</v>
      </c>
      <c r="AF947" s="7" t="s">
        <v>0</v>
      </c>
      <c r="AG947" s="7" t="s">
        <v>0</v>
      </c>
      <c r="AH947" s="9" t="s">
        <v>12721</v>
      </c>
      <c r="AI947" s="9" t="s">
        <v>12722</v>
      </c>
      <c r="AJ947" s="9" t="s">
        <v>12723</v>
      </c>
      <c r="AK947" s="7" t="s">
        <v>61</v>
      </c>
      <c r="AL947" s="7" t="s">
        <v>61</v>
      </c>
      <c r="AM947" s="7" t="s">
        <v>0</v>
      </c>
      <c r="AN947" s="7" t="s">
        <v>0</v>
      </c>
      <c r="AO947" s="7" t="s">
        <v>0</v>
      </c>
      <c r="AP947" s="7" t="s">
        <v>0</v>
      </c>
      <c r="AQ947" s="7" t="s">
        <v>61</v>
      </c>
      <c r="AR947" s="7" t="s">
        <v>0</v>
      </c>
      <c r="AS947" s="10" t="str">
        <f>HYPERLINK("https://tessa.gazprom-neft.local/edo/card/efa4ee46-1cdf-4be4-93ea-f4eac2da58d6", "https://tessa.gazprom-neft.local/edo/card/efa4ee46-1cdf-4be4-93ea-f4eac2da58d6")</f>
        <v>https://tessa.gazprom-neft.local/edo/card/efa4ee46-1cdf-4be4-93ea-f4eac2da58d6</v>
      </c>
    </row>
    <row r="948" spans="1:45" x14ac:dyDescent="0.25">
      <c r="A948" s="6" t="s">
        <v>44</v>
      </c>
      <c r="B948" s="7" t="s">
        <v>1843</v>
      </c>
      <c r="C948" s="7" t="s">
        <v>67</v>
      </c>
      <c r="D948" s="8">
        <v>45155</v>
      </c>
      <c r="E948" s="8" t="s">
        <v>0</v>
      </c>
      <c r="F948" s="16" t="s">
        <v>1844</v>
      </c>
      <c r="G948" s="7" t="s">
        <v>1845</v>
      </c>
      <c r="H948" s="7" t="s">
        <v>3215</v>
      </c>
      <c r="I948" s="7" t="s">
        <v>0</v>
      </c>
      <c r="J948" s="7" t="s">
        <v>156</v>
      </c>
      <c r="K948" s="7" t="s">
        <v>47</v>
      </c>
      <c r="L948" s="7" t="s">
        <v>48</v>
      </c>
      <c r="M948" s="7" t="s">
        <v>0</v>
      </c>
      <c r="N948" s="7" t="s">
        <v>5578</v>
      </c>
      <c r="O948" s="7" t="s">
        <v>0</v>
      </c>
      <c r="P948" s="7" t="s">
        <v>1474</v>
      </c>
      <c r="Q948" s="7" t="s">
        <v>5579</v>
      </c>
      <c r="R948" s="7" t="s">
        <v>1066</v>
      </c>
      <c r="S948" s="7" t="s">
        <v>0</v>
      </c>
      <c r="T948" s="7" t="s">
        <v>54</v>
      </c>
      <c r="U948" s="7" t="s">
        <v>136</v>
      </c>
      <c r="V948" s="7" t="s">
        <v>168</v>
      </c>
      <c r="W948" s="7" t="s">
        <v>74</v>
      </c>
      <c r="X948" s="7" t="s">
        <v>58</v>
      </c>
      <c r="Y948" s="8">
        <v>45161</v>
      </c>
      <c r="Z948" s="8" t="s">
        <v>0</v>
      </c>
      <c r="AA948" s="7" t="s">
        <v>169</v>
      </c>
      <c r="AB948" s="7" t="s">
        <v>1143</v>
      </c>
      <c r="AC948" s="7" t="s">
        <v>65</v>
      </c>
      <c r="AD948" s="7" t="s">
        <v>0</v>
      </c>
      <c r="AE948" s="7" t="s">
        <v>0</v>
      </c>
      <c r="AF948" s="7" t="s">
        <v>0</v>
      </c>
      <c r="AG948" s="7" t="s">
        <v>0</v>
      </c>
      <c r="AH948" s="9" t="s">
        <v>0</v>
      </c>
      <c r="AI948" s="9" t="s">
        <v>0</v>
      </c>
      <c r="AJ948" s="9" t="s">
        <v>0</v>
      </c>
      <c r="AK948" s="7" t="s">
        <v>61</v>
      </c>
      <c r="AL948" s="7" t="s">
        <v>61</v>
      </c>
      <c r="AM948" s="7" t="s">
        <v>0</v>
      </c>
      <c r="AN948" s="7" t="s">
        <v>0</v>
      </c>
      <c r="AO948" s="7" t="s">
        <v>0</v>
      </c>
      <c r="AP948" s="7" t="s">
        <v>0</v>
      </c>
      <c r="AQ948" s="7" t="s">
        <v>61</v>
      </c>
      <c r="AR948" s="7" t="s">
        <v>0</v>
      </c>
      <c r="AS948" s="10" t="str">
        <f>HYPERLINK("https://tessa.gazprom-neft.local/edo/card/6946ce6a-1a09-4ad1-bb92-e7ee782bf2ce", "https://tessa.gazprom-neft.local/edo/card/6946ce6a-1a09-4ad1-bb92-e7ee782bf2ce")</f>
        <v>https://tessa.gazprom-neft.local/edo/card/6946ce6a-1a09-4ad1-bb92-e7ee782bf2ce</v>
      </c>
    </row>
    <row r="949" spans="1:45" hidden="1" x14ac:dyDescent="0.25">
      <c r="A949" s="6" t="s">
        <v>44</v>
      </c>
      <c r="B949" s="7" t="s">
        <v>4797</v>
      </c>
      <c r="C949" s="7" t="s">
        <v>67</v>
      </c>
      <c r="D949" s="8">
        <v>45152</v>
      </c>
      <c r="E949" s="8" t="s">
        <v>0</v>
      </c>
      <c r="F949" s="16" t="s">
        <v>4798</v>
      </c>
      <c r="G949" s="7" t="s">
        <v>4799</v>
      </c>
      <c r="H949" s="7" t="s">
        <v>0</v>
      </c>
      <c r="I949" s="7" t="s">
        <v>5492</v>
      </c>
      <c r="J949" s="7" t="s">
        <v>5492</v>
      </c>
      <c r="K949" s="7" t="s">
        <v>47</v>
      </c>
      <c r="L949" s="7" t="s">
        <v>96</v>
      </c>
      <c r="M949" s="7" t="s">
        <v>0</v>
      </c>
      <c r="N949" s="7" t="s">
        <v>5491</v>
      </c>
      <c r="O949" s="7" t="s">
        <v>0</v>
      </c>
      <c r="P949" s="7" t="s">
        <v>5493</v>
      </c>
      <c r="Q949" s="7" t="s">
        <v>5494</v>
      </c>
      <c r="R949" s="7" t="s">
        <v>1286</v>
      </c>
      <c r="S949" s="7" t="s">
        <v>349</v>
      </c>
      <c r="T949" s="7" t="s">
        <v>54</v>
      </c>
      <c r="U949" s="7" t="s">
        <v>101</v>
      </c>
      <c r="V949" s="7" t="s">
        <v>308</v>
      </c>
      <c r="W949" s="7" t="s">
        <v>57</v>
      </c>
      <c r="X949" s="7" t="s">
        <v>103</v>
      </c>
      <c r="Y949" s="8">
        <v>45152</v>
      </c>
      <c r="Z949" s="8">
        <v>45657</v>
      </c>
      <c r="AA949" s="7" t="s">
        <v>309</v>
      </c>
      <c r="AB949" s="7" t="s">
        <v>64</v>
      </c>
      <c r="AC949" s="7" t="s">
        <v>79</v>
      </c>
      <c r="AD949" s="7" t="s">
        <v>80</v>
      </c>
      <c r="AE949" s="7" t="s">
        <v>118</v>
      </c>
      <c r="AF949" s="7" t="s">
        <v>0</v>
      </c>
      <c r="AG949" s="7" t="s">
        <v>0</v>
      </c>
      <c r="AH949" s="9" t="s">
        <v>12509</v>
      </c>
      <c r="AI949" s="9" t="s">
        <v>12509</v>
      </c>
      <c r="AJ949" s="9">
        <v>0</v>
      </c>
      <c r="AK949" s="7" t="s">
        <v>61</v>
      </c>
      <c r="AL949" s="7" t="s">
        <v>61</v>
      </c>
      <c r="AM949" s="7" t="s">
        <v>0</v>
      </c>
      <c r="AN949" s="7" t="s">
        <v>0</v>
      </c>
      <c r="AO949" s="7" t="s">
        <v>0</v>
      </c>
      <c r="AP949" s="7" t="s">
        <v>0</v>
      </c>
      <c r="AQ949" s="7" t="s">
        <v>61</v>
      </c>
      <c r="AR949" s="7" t="s">
        <v>0</v>
      </c>
      <c r="AS949" s="10" t="str">
        <f>HYPERLINK("https://tessa.gazprom-neft.local/edo/card/b5b5d15a-606f-4111-8e39-d85c42cad1ff", "https://tessa.gazprom-neft.local/edo/card/b5b5d15a-606f-4111-8e39-d85c42cad1ff")</f>
        <v>https://tessa.gazprom-neft.local/edo/card/b5b5d15a-606f-4111-8e39-d85c42cad1ff</v>
      </c>
    </row>
    <row r="950" spans="1:45" hidden="1" x14ac:dyDescent="0.25">
      <c r="A950" s="6" t="s">
        <v>44</v>
      </c>
      <c r="B950" s="7" t="s">
        <v>0</v>
      </c>
      <c r="C950" s="7" t="s">
        <v>67</v>
      </c>
      <c r="D950" s="8">
        <v>45149</v>
      </c>
      <c r="E950" s="8" t="s">
        <v>0</v>
      </c>
      <c r="F950" s="16" t="s">
        <v>5194</v>
      </c>
      <c r="G950" s="7" t="s">
        <v>0</v>
      </c>
      <c r="H950" s="7" t="s">
        <v>0</v>
      </c>
      <c r="I950" s="7" t="s">
        <v>5191</v>
      </c>
      <c r="J950" s="7" t="s">
        <v>5191</v>
      </c>
      <c r="K950" s="7" t="s">
        <v>47</v>
      </c>
      <c r="L950" s="7" t="s">
        <v>96</v>
      </c>
      <c r="M950" s="7" t="s">
        <v>0</v>
      </c>
      <c r="N950" s="7" t="s">
        <v>5190</v>
      </c>
      <c r="O950" s="7" t="s">
        <v>0</v>
      </c>
      <c r="P950" s="7" t="s">
        <v>5192</v>
      </c>
      <c r="Q950" s="7" t="s">
        <v>5193</v>
      </c>
      <c r="R950" s="7" t="s">
        <v>2788</v>
      </c>
      <c r="S950" s="7" t="s">
        <v>2788</v>
      </c>
      <c r="T950" s="7" t="s">
        <v>54</v>
      </c>
      <c r="U950" s="7" t="s">
        <v>55</v>
      </c>
      <c r="V950" s="7" t="s">
        <v>56</v>
      </c>
      <c r="W950" s="7" t="s">
        <v>57</v>
      </c>
      <c r="X950" s="7" t="s">
        <v>58</v>
      </c>
      <c r="Y950" s="8">
        <v>45149</v>
      </c>
      <c r="Z950" s="8" t="s">
        <v>0</v>
      </c>
      <c r="AA950" s="7" t="s">
        <v>59</v>
      </c>
      <c r="AB950" s="7" t="s">
        <v>1408</v>
      </c>
      <c r="AC950" s="7" t="s">
        <v>79</v>
      </c>
      <c r="AD950" s="7" t="s">
        <v>80</v>
      </c>
      <c r="AE950" s="7" t="s">
        <v>118</v>
      </c>
      <c r="AF950" s="7" t="s">
        <v>0</v>
      </c>
      <c r="AG950" s="7" t="s">
        <v>0</v>
      </c>
      <c r="AH950" s="9" t="s">
        <v>12383</v>
      </c>
      <c r="AI950" s="9" t="s">
        <v>12383</v>
      </c>
      <c r="AJ950" s="9">
        <v>0</v>
      </c>
      <c r="AK950" s="7" t="s">
        <v>61</v>
      </c>
      <c r="AL950" s="7" t="s">
        <v>61</v>
      </c>
      <c r="AM950" s="7" t="s">
        <v>0</v>
      </c>
      <c r="AN950" s="7" t="s">
        <v>0</v>
      </c>
      <c r="AO950" s="7" t="s">
        <v>0</v>
      </c>
      <c r="AP950" s="7" t="s">
        <v>0</v>
      </c>
      <c r="AQ950" s="7" t="s">
        <v>61</v>
      </c>
      <c r="AR950" s="7" t="s">
        <v>0</v>
      </c>
      <c r="AS950" s="10" t="str">
        <f>HYPERLINK("https://tessa.gazprom-neft.local/edo/card/8e4f71db-d664-4aea-887b-b779397a1efb", "https://tessa.gazprom-neft.local/edo/card/8e4f71db-d664-4aea-887b-b779397a1efb")</f>
        <v>https://tessa.gazprom-neft.local/edo/card/8e4f71db-d664-4aea-887b-b779397a1efb</v>
      </c>
    </row>
    <row r="951" spans="1:45" hidden="1" x14ac:dyDescent="0.25">
      <c r="A951" s="6" t="s">
        <v>44</v>
      </c>
      <c r="B951" s="7" t="s">
        <v>5382</v>
      </c>
      <c r="C951" s="7" t="s">
        <v>67</v>
      </c>
      <c r="D951" s="8">
        <v>45148</v>
      </c>
      <c r="E951" s="8" t="s">
        <v>0</v>
      </c>
      <c r="F951" s="16" t="s">
        <v>5383</v>
      </c>
      <c r="G951" s="7" t="s">
        <v>5384</v>
      </c>
      <c r="H951" s="7" t="s">
        <v>0</v>
      </c>
      <c r="I951" s="7" t="s">
        <v>5379</v>
      </c>
      <c r="J951" s="7" t="s">
        <v>5379</v>
      </c>
      <c r="K951" s="7" t="s">
        <v>85</v>
      </c>
      <c r="L951" s="7" t="s">
        <v>96</v>
      </c>
      <c r="M951" s="7" t="s">
        <v>5377</v>
      </c>
      <c r="N951" s="7" t="s">
        <v>5378</v>
      </c>
      <c r="O951" s="7" t="s">
        <v>0</v>
      </c>
      <c r="P951" s="7" t="s">
        <v>5380</v>
      </c>
      <c r="Q951" s="7" t="s">
        <v>5381</v>
      </c>
      <c r="R951" s="7" t="s">
        <v>646</v>
      </c>
      <c r="S951" s="7" t="s">
        <v>898</v>
      </c>
      <c r="T951" s="7" t="s">
        <v>54</v>
      </c>
      <c r="U951" s="7" t="s">
        <v>210</v>
      </c>
      <c r="V951" s="7" t="s">
        <v>126</v>
      </c>
      <c r="W951" s="7" t="s">
        <v>57</v>
      </c>
      <c r="X951" s="7" t="s">
        <v>103</v>
      </c>
      <c r="Y951" s="8">
        <v>45148</v>
      </c>
      <c r="Z951" s="8">
        <v>45291</v>
      </c>
      <c r="AA951" s="7" t="s">
        <v>224</v>
      </c>
      <c r="AB951" s="7" t="s">
        <v>5385</v>
      </c>
      <c r="AC951" s="7" t="s">
        <v>79</v>
      </c>
      <c r="AD951" s="7" t="s">
        <v>80</v>
      </c>
      <c r="AE951" s="7" t="s">
        <v>82</v>
      </c>
      <c r="AF951" s="7" t="s">
        <v>0</v>
      </c>
      <c r="AG951" s="7" t="s">
        <v>5386</v>
      </c>
      <c r="AH951" s="9" t="s">
        <v>12466</v>
      </c>
      <c r="AI951" s="9" t="s">
        <v>12467</v>
      </c>
      <c r="AJ951" s="9" t="s">
        <v>12468</v>
      </c>
      <c r="AK951" s="7" t="s">
        <v>81</v>
      </c>
      <c r="AL951" s="7" t="s">
        <v>61</v>
      </c>
      <c r="AM951" s="7" t="s">
        <v>0</v>
      </c>
      <c r="AN951" s="7" t="s">
        <v>0</v>
      </c>
      <c r="AO951" s="7" t="s">
        <v>0</v>
      </c>
      <c r="AP951" s="7" t="s">
        <v>0</v>
      </c>
      <c r="AQ951" s="7" t="s">
        <v>61</v>
      </c>
      <c r="AR951" s="7" t="s">
        <v>0</v>
      </c>
      <c r="AS951" s="10" t="str">
        <f>HYPERLINK("https://tessa.gazprom-neft.local/edo/card/999731d6-3ec7-4dbf-981f-1cea29997025", "https://tessa.gazprom-neft.local/edo/card/999731d6-3ec7-4dbf-981f-1cea29997025")</f>
        <v>https://tessa.gazprom-neft.local/edo/card/999731d6-3ec7-4dbf-981f-1cea29997025</v>
      </c>
    </row>
    <row r="952" spans="1:45" hidden="1" x14ac:dyDescent="0.25">
      <c r="A952" s="6" t="s">
        <v>44</v>
      </c>
      <c r="B952" s="7" t="s">
        <v>5382</v>
      </c>
      <c r="C952" s="7" t="s">
        <v>67</v>
      </c>
      <c r="D952" s="8">
        <v>45148</v>
      </c>
      <c r="E952" s="8" t="s">
        <v>0</v>
      </c>
      <c r="F952" s="16" t="s">
        <v>5383</v>
      </c>
      <c r="G952" s="7" t="s">
        <v>5384</v>
      </c>
      <c r="H952" s="7" t="s">
        <v>0</v>
      </c>
      <c r="I952" s="7" t="s">
        <v>5395</v>
      </c>
      <c r="J952" s="7" t="s">
        <v>5395</v>
      </c>
      <c r="K952" s="7" t="s">
        <v>85</v>
      </c>
      <c r="L952" s="7" t="s">
        <v>86</v>
      </c>
      <c r="M952" s="7" t="s">
        <v>289</v>
      </c>
      <c r="N952" s="7" t="s">
        <v>5394</v>
      </c>
      <c r="O952" s="7" t="s">
        <v>0</v>
      </c>
      <c r="P952" s="7" t="s">
        <v>289</v>
      </c>
      <c r="Q952" s="7" t="s">
        <v>5165</v>
      </c>
      <c r="R952" s="7" t="s">
        <v>646</v>
      </c>
      <c r="S952" s="7" t="s">
        <v>898</v>
      </c>
      <c r="T952" s="7" t="s">
        <v>54</v>
      </c>
      <c r="U952" s="7" t="s">
        <v>210</v>
      </c>
      <c r="V952" s="7" t="s">
        <v>56</v>
      </c>
      <c r="W952" s="7" t="s">
        <v>57</v>
      </c>
      <c r="X952" s="7" t="s">
        <v>103</v>
      </c>
      <c r="Y952" s="8">
        <v>45148</v>
      </c>
      <c r="Z952" s="8">
        <v>45275</v>
      </c>
      <c r="AA952" s="7" t="s">
        <v>0</v>
      </c>
      <c r="AB952" s="7" t="s">
        <v>300</v>
      </c>
      <c r="AC952" s="7" t="s">
        <v>65</v>
      </c>
      <c r="AD952" s="7" t="s">
        <v>0</v>
      </c>
      <c r="AE952" s="7" t="s">
        <v>0</v>
      </c>
      <c r="AF952" s="7" t="s">
        <v>0</v>
      </c>
      <c r="AG952" s="7" t="s">
        <v>0</v>
      </c>
      <c r="AH952" s="9" t="s">
        <v>0</v>
      </c>
      <c r="AI952" s="9" t="s">
        <v>0</v>
      </c>
      <c r="AJ952" s="9" t="s">
        <v>0</v>
      </c>
      <c r="AK952" s="7" t="s">
        <v>61</v>
      </c>
      <c r="AL952" s="7" t="s">
        <v>61</v>
      </c>
      <c r="AM952" s="7" t="s">
        <v>0</v>
      </c>
      <c r="AN952" s="7" t="s">
        <v>0</v>
      </c>
      <c r="AO952" s="7" t="s">
        <v>0</v>
      </c>
      <c r="AP952" s="7" t="s">
        <v>0</v>
      </c>
      <c r="AQ952" s="7" t="s">
        <v>61</v>
      </c>
      <c r="AR952" s="7" t="s">
        <v>0</v>
      </c>
      <c r="AS952" s="10" t="str">
        <f>HYPERLINK("https://tessa.gazprom-neft.local/edo/card/be8fead0-ccb7-4571-acae-a2bf40fff67c", "https://tessa.gazprom-neft.local/edo/card/be8fead0-ccb7-4571-acae-a2bf40fff67c")</f>
        <v>https://tessa.gazprom-neft.local/edo/card/be8fead0-ccb7-4571-acae-a2bf40fff67c</v>
      </c>
    </row>
    <row r="953" spans="1:45" hidden="1" x14ac:dyDescent="0.25">
      <c r="A953" s="6" t="s">
        <v>44</v>
      </c>
      <c r="B953" s="7" t="s">
        <v>0</v>
      </c>
      <c r="C953" s="7" t="s">
        <v>67</v>
      </c>
      <c r="D953" s="8">
        <v>45148</v>
      </c>
      <c r="E953" s="8" t="s">
        <v>0</v>
      </c>
      <c r="F953" s="16" t="s">
        <v>5406</v>
      </c>
      <c r="G953" s="7" t="s">
        <v>0</v>
      </c>
      <c r="H953" s="7" t="s">
        <v>0</v>
      </c>
      <c r="I953" s="7" t="s">
        <v>5405</v>
      </c>
      <c r="J953" s="7" t="s">
        <v>5405</v>
      </c>
      <c r="K953" s="7" t="s">
        <v>85</v>
      </c>
      <c r="L953" s="7" t="s">
        <v>86</v>
      </c>
      <c r="M953" s="7" t="s">
        <v>216</v>
      </c>
      <c r="N953" s="7" t="s">
        <v>5404</v>
      </c>
      <c r="O953" s="7" t="s">
        <v>0</v>
      </c>
      <c r="P953" s="7" t="s">
        <v>216</v>
      </c>
      <c r="Q953" s="7" t="s">
        <v>2790</v>
      </c>
      <c r="R953" s="7" t="s">
        <v>646</v>
      </c>
      <c r="S953" s="7" t="s">
        <v>898</v>
      </c>
      <c r="T953" s="7" t="s">
        <v>54</v>
      </c>
      <c r="U953" s="7" t="s">
        <v>210</v>
      </c>
      <c r="V953" s="7" t="s">
        <v>308</v>
      </c>
      <c r="W953" s="7" t="s">
        <v>57</v>
      </c>
      <c r="X953" s="7" t="s">
        <v>58</v>
      </c>
      <c r="Y953" s="8">
        <v>45148</v>
      </c>
      <c r="Z953" s="8" t="s">
        <v>0</v>
      </c>
      <c r="AA953" s="7" t="s">
        <v>309</v>
      </c>
      <c r="AB953" s="7" t="s">
        <v>228</v>
      </c>
      <c r="AC953" s="7" t="s">
        <v>65</v>
      </c>
      <c r="AD953" s="7" t="s">
        <v>0</v>
      </c>
      <c r="AE953" s="7" t="s">
        <v>0</v>
      </c>
      <c r="AF953" s="7" t="s">
        <v>0</v>
      </c>
      <c r="AG953" s="7" t="s">
        <v>0</v>
      </c>
      <c r="AH953" s="9" t="s">
        <v>0</v>
      </c>
      <c r="AI953" s="9" t="s">
        <v>0</v>
      </c>
      <c r="AJ953" s="9" t="s">
        <v>0</v>
      </c>
      <c r="AK953" s="7" t="s">
        <v>61</v>
      </c>
      <c r="AL953" s="7" t="s">
        <v>61</v>
      </c>
      <c r="AM953" s="7" t="s">
        <v>0</v>
      </c>
      <c r="AN953" s="7" t="s">
        <v>0</v>
      </c>
      <c r="AO953" s="7" t="s">
        <v>0</v>
      </c>
      <c r="AP953" s="7" t="s">
        <v>0</v>
      </c>
      <c r="AQ953" s="7" t="s">
        <v>61</v>
      </c>
      <c r="AR953" s="7" t="s">
        <v>0</v>
      </c>
      <c r="AS953" s="10" t="str">
        <f>HYPERLINK("https://tessa.gazprom-neft.local/edo/card/58696fa9-7133-49a6-a242-6e9a76ad57d9", "https://tessa.gazprom-neft.local/edo/card/58696fa9-7133-49a6-a242-6e9a76ad57d9")</f>
        <v>https://tessa.gazprom-neft.local/edo/card/58696fa9-7133-49a6-a242-6e9a76ad57d9</v>
      </c>
    </row>
    <row r="954" spans="1:45" hidden="1" x14ac:dyDescent="0.25">
      <c r="A954" s="6" t="s">
        <v>44</v>
      </c>
      <c r="B954" s="7" t="s">
        <v>0</v>
      </c>
      <c r="C954" s="7" t="s">
        <v>67</v>
      </c>
      <c r="D954" s="8">
        <v>45148</v>
      </c>
      <c r="E954" s="8" t="s">
        <v>0</v>
      </c>
      <c r="F954" s="16" t="s">
        <v>5406</v>
      </c>
      <c r="G954" s="7" t="s">
        <v>0</v>
      </c>
      <c r="H954" s="7" t="s">
        <v>0</v>
      </c>
      <c r="I954" s="7" t="s">
        <v>5419</v>
      </c>
      <c r="J954" s="7" t="s">
        <v>5419</v>
      </c>
      <c r="K954" s="7" t="s">
        <v>47</v>
      </c>
      <c r="L954" s="7" t="s">
        <v>86</v>
      </c>
      <c r="M954" s="7" t="s">
        <v>0</v>
      </c>
      <c r="N954" s="7" t="s">
        <v>5418</v>
      </c>
      <c r="O954" s="7" t="s">
        <v>0</v>
      </c>
      <c r="P954" s="7" t="s">
        <v>2017</v>
      </c>
      <c r="Q954" s="7" t="s">
        <v>5420</v>
      </c>
      <c r="R954" s="7" t="s">
        <v>646</v>
      </c>
      <c r="S954" s="7" t="s">
        <v>898</v>
      </c>
      <c r="T954" s="7" t="s">
        <v>54</v>
      </c>
      <c r="U954" s="7" t="s">
        <v>210</v>
      </c>
      <c r="V954" s="7" t="s">
        <v>91</v>
      </c>
      <c r="W954" s="7" t="s">
        <v>57</v>
      </c>
      <c r="X954" s="7" t="s">
        <v>103</v>
      </c>
      <c r="Y954" s="8">
        <v>45148</v>
      </c>
      <c r="Z954" s="8">
        <v>45275</v>
      </c>
      <c r="AA954" s="7" t="s">
        <v>92</v>
      </c>
      <c r="AB954" s="7" t="s">
        <v>237</v>
      </c>
      <c r="AC954" s="7" t="s">
        <v>65</v>
      </c>
      <c r="AD954" s="7" t="s">
        <v>0</v>
      </c>
      <c r="AE954" s="7" t="s">
        <v>0</v>
      </c>
      <c r="AF954" s="7" t="s">
        <v>0</v>
      </c>
      <c r="AG954" s="7" t="s">
        <v>0</v>
      </c>
      <c r="AH954" s="9" t="s">
        <v>0</v>
      </c>
      <c r="AI954" s="9" t="s">
        <v>0</v>
      </c>
      <c r="AJ954" s="9" t="s">
        <v>0</v>
      </c>
      <c r="AK954" s="7" t="s">
        <v>61</v>
      </c>
      <c r="AL954" s="7" t="s">
        <v>61</v>
      </c>
      <c r="AM954" s="7" t="s">
        <v>0</v>
      </c>
      <c r="AN954" s="7" t="s">
        <v>0</v>
      </c>
      <c r="AO954" s="7" t="s">
        <v>0</v>
      </c>
      <c r="AP954" s="7" t="s">
        <v>0</v>
      </c>
      <c r="AQ954" s="7" t="s">
        <v>61</v>
      </c>
      <c r="AR954" s="7" t="s">
        <v>0</v>
      </c>
      <c r="AS954" s="10" t="str">
        <f>HYPERLINK("https://tessa.gazprom-neft.local/edo/card/218a91e4-fce2-46a6-871d-01d889e1182a", "https://tessa.gazprom-neft.local/edo/card/218a91e4-fce2-46a6-871d-01d889e1182a")</f>
        <v>https://tessa.gazprom-neft.local/edo/card/218a91e4-fce2-46a6-871d-01d889e1182a</v>
      </c>
    </row>
    <row r="955" spans="1:45" hidden="1" x14ac:dyDescent="0.25">
      <c r="A955" s="6" t="s">
        <v>44</v>
      </c>
      <c r="B955" s="7" t="s">
        <v>2001</v>
      </c>
      <c r="C955" s="7" t="s">
        <v>67</v>
      </c>
      <c r="D955" s="8">
        <v>45147</v>
      </c>
      <c r="E955" s="8" t="s">
        <v>0</v>
      </c>
      <c r="F955" s="16" t="s">
        <v>2002</v>
      </c>
      <c r="G955" s="7" t="s">
        <v>2003</v>
      </c>
      <c r="H955" s="7" t="s">
        <v>1998</v>
      </c>
      <c r="I955" s="7" t="s">
        <v>0</v>
      </c>
      <c r="J955" s="7" t="s">
        <v>51</v>
      </c>
      <c r="K955" s="7" t="s">
        <v>47</v>
      </c>
      <c r="L955" s="7" t="s">
        <v>239</v>
      </c>
      <c r="M955" s="7" t="s">
        <v>0</v>
      </c>
      <c r="N955" s="7" t="s">
        <v>5502</v>
      </c>
      <c r="O955" s="7" t="s">
        <v>0</v>
      </c>
      <c r="P955" s="7" t="s">
        <v>5503</v>
      </c>
      <c r="Q955" s="7" t="s">
        <v>5504</v>
      </c>
      <c r="R955" s="7" t="s">
        <v>393</v>
      </c>
      <c r="S955" s="7" t="s">
        <v>1503</v>
      </c>
      <c r="T955" s="7" t="s">
        <v>54</v>
      </c>
      <c r="U955" s="7" t="s">
        <v>283</v>
      </c>
      <c r="V955" s="7" t="s">
        <v>308</v>
      </c>
      <c r="W955" s="7" t="s">
        <v>74</v>
      </c>
      <c r="X955" s="7" t="s">
        <v>58</v>
      </c>
      <c r="Y955" s="8">
        <v>45147</v>
      </c>
      <c r="Z955" s="8" t="s">
        <v>0</v>
      </c>
      <c r="AA955" s="7" t="s">
        <v>309</v>
      </c>
      <c r="AB955" s="7" t="s">
        <v>130</v>
      </c>
      <c r="AC955" s="7" t="s">
        <v>79</v>
      </c>
      <c r="AD955" s="7" t="s">
        <v>144</v>
      </c>
      <c r="AE955" s="7" t="s">
        <v>82</v>
      </c>
      <c r="AF955" s="7" t="s">
        <v>0</v>
      </c>
      <c r="AG955" s="7" t="s">
        <v>0</v>
      </c>
      <c r="AH955" s="9" t="s">
        <v>12513</v>
      </c>
      <c r="AI955" s="9" t="s">
        <v>12514</v>
      </c>
      <c r="AJ955" s="9" t="s">
        <v>12515</v>
      </c>
      <c r="AK955" s="7" t="s">
        <v>61</v>
      </c>
      <c r="AL955" s="7" t="s">
        <v>61</v>
      </c>
      <c r="AM955" s="7" t="s">
        <v>0</v>
      </c>
      <c r="AN955" s="7" t="s">
        <v>0</v>
      </c>
      <c r="AO955" s="7" t="s">
        <v>0</v>
      </c>
      <c r="AP955" s="7" t="s">
        <v>0</v>
      </c>
      <c r="AQ955" s="7" t="s">
        <v>61</v>
      </c>
      <c r="AR955" s="7" t="s">
        <v>0</v>
      </c>
      <c r="AS955" s="10" t="str">
        <f>HYPERLINK("https://tessa.gazprom-neft.local/edo/card/5cfa04ef-e813-4ba7-b683-8bb368c7f6df", "https://tessa.gazprom-neft.local/edo/card/5cfa04ef-e813-4ba7-b683-8bb368c7f6df")</f>
        <v>https://tessa.gazprom-neft.local/edo/card/5cfa04ef-e813-4ba7-b683-8bb368c7f6df</v>
      </c>
    </row>
    <row r="956" spans="1:45" hidden="1" x14ac:dyDescent="0.25">
      <c r="A956" s="6" t="s">
        <v>44</v>
      </c>
      <c r="B956" s="7" t="s">
        <v>1165</v>
      </c>
      <c r="C956" s="7" t="s">
        <v>67</v>
      </c>
      <c r="D956" s="8">
        <v>45146</v>
      </c>
      <c r="E956" s="8" t="s">
        <v>0</v>
      </c>
      <c r="F956" s="16" t="s">
        <v>1166</v>
      </c>
      <c r="G956" s="7" t="s">
        <v>1167</v>
      </c>
      <c r="H956" s="7" t="s">
        <v>1161</v>
      </c>
      <c r="I956" s="7" t="s">
        <v>0</v>
      </c>
      <c r="J956" s="7" t="s">
        <v>5523</v>
      </c>
      <c r="K956" s="7" t="s">
        <v>47</v>
      </c>
      <c r="L956" s="7" t="s">
        <v>239</v>
      </c>
      <c r="M956" s="7" t="s">
        <v>0</v>
      </c>
      <c r="N956" s="7" t="s">
        <v>5521</v>
      </c>
      <c r="O956" s="7" t="s">
        <v>0</v>
      </c>
      <c r="P956" s="7" t="s">
        <v>5522</v>
      </c>
      <c r="Q956" s="7" t="s">
        <v>5524</v>
      </c>
      <c r="R956" s="7" t="s">
        <v>244</v>
      </c>
      <c r="S956" s="7" t="s">
        <v>0</v>
      </c>
      <c r="T956" s="7" t="s">
        <v>54</v>
      </c>
      <c r="U956" s="7" t="s">
        <v>55</v>
      </c>
      <c r="V956" s="7" t="s">
        <v>56</v>
      </c>
      <c r="W956" s="7" t="s">
        <v>57</v>
      </c>
      <c r="X956" s="7" t="s">
        <v>103</v>
      </c>
      <c r="Y956" s="8">
        <v>45146</v>
      </c>
      <c r="Z956" s="8">
        <v>45290</v>
      </c>
      <c r="AA956" s="7" t="s">
        <v>59</v>
      </c>
      <c r="AB956" s="7" t="s">
        <v>256</v>
      </c>
      <c r="AC956" s="7" t="s">
        <v>79</v>
      </c>
      <c r="AD956" s="7" t="s">
        <v>144</v>
      </c>
      <c r="AE956" s="7" t="s">
        <v>82</v>
      </c>
      <c r="AF956" s="7" t="s">
        <v>0</v>
      </c>
      <c r="AG956" s="7" t="s">
        <v>0</v>
      </c>
      <c r="AH956" s="9" t="s">
        <v>12522</v>
      </c>
      <c r="AI956" s="9" t="s">
        <v>12523</v>
      </c>
      <c r="AJ956" s="9" t="s">
        <v>12524</v>
      </c>
      <c r="AK956" s="7" t="s">
        <v>61</v>
      </c>
      <c r="AL956" s="7" t="s">
        <v>61</v>
      </c>
      <c r="AM956" s="7" t="s">
        <v>0</v>
      </c>
      <c r="AN956" s="7" t="s">
        <v>0</v>
      </c>
      <c r="AO956" s="7" t="s">
        <v>0</v>
      </c>
      <c r="AP956" s="7" t="s">
        <v>0</v>
      </c>
      <c r="AQ956" s="7" t="s">
        <v>61</v>
      </c>
      <c r="AR956" s="7" t="s">
        <v>0</v>
      </c>
      <c r="AS956" s="10" t="str">
        <f>HYPERLINK("https://tessa.gazprom-neft.local/edo/card/821b6382-fdd0-484e-8c90-8ca035d0243b", "https://tessa.gazprom-neft.local/edo/card/821b6382-fdd0-484e-8c90-8ca035d0243b")</f>
        <v>https://tessa.gazprom-neft.local/edo/card/821b6382-fdd0-484e-8c90-8ca035d0243b</v>
      </c>
    </row>
    <row r="957" spans="1:45" x14ac:dyDescent="0.25">
      <c r="A957" s="6" t="s">
        <v>44</v>
      </c>
      <c r="B957" s="7" t="s">
        <v>2495</v>
      </c>
      <c r="C957" s="7" t="s">
        <v>67</v>
      </c>
      <c r="D957" s="8">
        <v>45142</v>
      </c>
      <c r="E957" s="8" t="s">
        <v>0</v>
      </c>
      <c r="F957" s="16" t="s">
        <v>2496</v>
      </c>
      <c r="G957" s="7" t="s">
        <v>2497</v>
      </c>
      <c r="H957" s="7" t="s">
        <v>2856</v>
      </c>
      <c r="I957" s="7" t="s">
        <v>0</v>
      </c>
      <c r="J957" s="7" t="s">
        <v>156</v>
      </c>
      <c r="K957" s="7" t="s">
        <v>47</v>
      </c>
      <c r="L957" s="7" t="s">
        <v>48</v>
      </c>
      <c r="M957" s="7" t="s">
        <v>0</v>
      </c>
      <c r="N957" s="7" t="s">
        <v>5310</v>
      </c>
      <c r="O957" s="7" t="s">
        <v>0</v>
      </c>
      <c r="P957" s="7" t="s">
        <v>5311</v>
      </c>
      <c r="Q957" s="7" t="s">
        <v>5312</v>
      </c>
      <c r="R957" s="7" t="s">
        <v>393</v>
      </c>
      <c r="S957" s="7" t="s">
        <v>2859</v>
      </c>
      <c r="T957" s="7" t="s">
        <v>54</v>
      </c>
      <c r="U957" s="7" t="s">
        <v>210</v>
      </c>
      <c r="V957" s="7" t="s">
        <v>126</v>
      </c>
      <c r="W957" s="7" t="s">
        <v>57</v>
      </c>
      <c r="X957" s="7" t="s">
        <v>58</v>
      </c>
      <c r="Y957" s="8">
        <v>45142</v>
      </c>
      <c r="Z957" s="8" t="s">
        <v>0</v>
      </c>
      <c r="AA957" s="7" t="s">
        <v>224</v>
      </c>
      <c r="AB957" s="7" t="s">
        <v>130</v>
      </c>
      <c r="AC957" s="7" t="s">
        <v>65</v>
      </c>
      <c r="AD957" s="7" t="s">
        <v>80</v>
      </c>
      <c r="AE957" s="7" t="s">
        <v>0</v>
      </c>
      <c r="AF957" s="7" t="s">
        <v>0</v>
      </c>
      <c r="AG957" s="7" t="s">
        <v>0</v>
      </c>
      <c r="AH957" s="9" t="s">
        <v>0</v>
      </c>
      <c r="AI957" s="9" t="s">
        <v>0</v>
      </c>
      <c r="AJ957" s="9" t="s">
        <v>0</v>
      </c>
      <c r="AK957" s="7" t="s">
        <v>61</v>
      </c>
      <c r="AL957" s="7" t="s">
        <v>61</v>
      </c>
      <c r="AM957" s="7" t="s">
        <v>0</v>
      </c>
      <c r="AN957" s="7" t="s">
        <v>0</v>
      </c>
      <c r="AO957" s="7" t="s">
        <v>0</v>
      </c>
      <c r="AP957" s="7" t="s">
        <v>0</v>
      </c>
      <c r="AQ957" s="7" t="s">
        <v>61</v>
      </c>
      <c r="AR957" s="7" t="s">
        <v>0</v>
      </c>
      <c r="AS957" s="10" t="str">
        <f>HYPERLINK("https://tessa.gazprom-neft.local/edo/card/548089e4-d4ab-441a-aa9a-c8c4a672f175", "https://tessa.gazprom-neft.local/edo/card/548089e4-d4ab-441a-aa9a-c8c4a672f175")</f>
        <v>https://tessa.gazprom-neft.local/edo/card/548089e4-d4ab-441a-aa9a-c8c4a672f175</v>
      </c>
    </row>
    <row r="958" spans="1:45" x14ac:dyDescent="0.25">
      <c r="A958" s="6" t="s">
        <v>44</v>
      </c>
      <c r="B958" s="7" t="s">
        <v>2495</v>
      </c>
      <c r="C958" s="7" t="s">
        <v>67</v>
      </c>
      <c r="D958" s="8">
        <v>45142</v>
      </c>
      <c r="E958" s="8" t="s">
        <v>0</v>
      </c>
      <c r="F958" s="16" t="s">
        <v>2496</v>
      </c>
      <c r="G958" s="7" t="s">
        <v>2497</v>
      </c>
      <c r="H958" s="7" t="s">
        <v>3129</v>
      </c>
      <c r="I958" s="7" t="s">
        <v>0</v>
      </c>
      <c r="J958" s="7" t="s">
        <v>156</v>
      </c>
      <c r="K958" s="7" t="s">
        <v>47</v>
      </c>
      <c r="L958" s="7" t="s">
        <v>48</v>
      </c>
      <c r="M958" s="7" t="s">
        <v>0</v>
      </c>
      <c r="N958" s="7" t="s">
        <v>5319</v>
      </c>
      <c r="O958" s="7" t="s">
        <v>0</v>
      </c>
      <c r="P958" s="7" t="s">
        <v>5320</v>
      </c>
      <c r="Q958" s="7" t="s">
        <v>5321</v>
      </c>
      <c r="R958" s="7" t="s">
        <v>393</v>
      </c>
      <c r="S958" s="7" t="s">
        <v>2859</v>
      </c>
      <c r="T958" s="7" t="s">
        <v>54</v>
      </c>
      <c r="U958" s="7" t="s">
        <v>210</v>
      </c>
      <c r="V958" s="7" t="s">
        <v>126</v>
      </c>
      <c r="W958" s="7" t="s">
        <v>57</v>
      </c>
      <c r="X958" s="7" t="s">
        <v>58</v>
      </c>
      <c r="Y958" s="8">
        <v>45142</v>
      </c>
      <c r="Z958" s="8" t="s">
        <v>0</v>
      </c>
      <c r="AA958" s="7" t="s">
        <v>224</v>
      </c>
      <c r="AB958" s="7" t="s">
        <v>130</v>
      </c>
      <c r="AC958" s="7" t="s">
        <v>65</v>
      </c>
      <c r="AD958" s="7" t="s">
        <v>80</v>
      </c>
      <c r="AE958" s="7" t="s">
        <v>0</v>
      </c>
      <c r="AF958" s="7" t="s">
        <v>0</v>
      </c>
      <c r="AG958" s="7" t="s">
        <v>0</v>
      </c>
      <c r="AH958" s="9" t="s">
        <v>0</v>
      </c>
      <c r="AI958" s="9" t="s">
        <v>0</v>
      </c>
      <c r="AJ958" s="9" t="s">
        <v>0</v>
      </c>
      <c r="AK958" s="7" t="s">
        <v>61</v>
      </c>
      <c r="AL958" s="7" t="s">
        <v>61</v>
      </c>
      <c r="AM958" s="7" t="s">
        <v>0</v>
      </c>
      <c r="AN958" s="7" t="s">
        <v>0</v>
      </c>
      <c r="AO958" s="7" t="s">
        <v>0</v>
      </c>
      <c r="AP958" s="7" t="s">
        <v>0</v>
      </c>
      <c r="AQ958" s="7" t="s">
        <v>61</v>
      </c>
      <c r="AR958" s="7" t="s">
        <v>0</v>
      </c>
      <c r="AS958" s="10" t="str">
        <f>HYPERLINK("https://tessa.gazprom-neft.local/edo/card/352b213d-50d0-417b-bcf5-d99578e0f7be", "https://tessa.gazprom-neft.local/edo/card/352b213d-50d0-417b-bcf5-d99578e0f7be")</f>
        <v>https://tessa.gazprom-neft.local/edo/card/352b213d-50d0-417b-bcf5-d99578e0f7be</v>
      </c>
    </row>
    <row r="959" spans="1:45" hidden="1" x14ac:dyDescent="0.25">
      <c r="A959" s="6" t="s">
        <v>44</v>
      </c>
      <c r="B959" s="7" t="s">
        <v>0</v>
      </c>
      <c r="C959" s="7" t="s">
        <v>67</v>
      </c>
      <c r="D959" s="8">
        <v>45139</v>
      </c>
      <c r="E959" s="8" t="s">
        <v>0</v>
      </c>
      <c r="F959" s="16" t="s">
        <v>4904</v>
      </c>
      <c r="G959" s="7" t="s">
        <v>0</v>
      </c>
      <c r="H959" s="7" t="s">
        <v>0</v>
      </c>
      <c r="I959" s="7" t="s">
        <v>4902</v>
      </c>
      <c r="J959" s="7" t="s">
        <v>4902</v>
      </c>
      <c r="K959" s="7" t="s">
        <v>85</v>
      </c>
      <c r="L959" s="7" t="s">
        <v>96</v>
      </c>
      <c r="M959" s="7" t="s">
        <v>183</v>
      </c>
      <c r="N959" s="7" t="s">
        <v>4901</v>
      </c>
      <c r="O959" s="7" t="s">
        <v>0</v>
      </c>
      <c r="P959" s="7" t="s">
        <v>183</v>
      </c>
      <c r="Q959" s="7" t="s">
        <v>4903</v>
      </c>
      <c r="R959" s="7" t="s">
        <v>540</v>
      </c>
      <c r="S959" s="7" t="s">
        <v>0</v>
      </c>
      <c r="T959" s="7" t="s">
        <v>54</v>
      </c>
      <c r="U959" s="7" t="s">
        <v>541</v>
      </c>
      <c r="V959" s="7" t="s">
        <v>56</v>
      </c>
      <c r="W959" s="7" t="s">
        <v>57</v>
      </c>
      <c r="X959" s="7" t="s">
        <v>103</v>
      </c>
      <c r="Y959" s="8">
        <v>45139</v>
      </c>
      <c r="Z959" s="8">
        <v>45169</v>
      </c>
      <c r="AA959" s="7" t="s">
        <v>59</v>
      </c>
      <c r="AB959" s="7" t="s">
        <v>192</v>
      </c>
      <c r="AC959" s="7" t="s">
        <v>79</v>
      </c>
      <c r="AD959" s="7" t="s">
        <v>80</v>
      </c>
      <c r="AE959" s="7" t="s">
        <v>193</v>
      </c>
      <c r="AF959" s="7" t="s">
        <v>0</v>
      </c>
      <c r="AG959" s="7" t="s">
        <v>0</v>
      </c>
      <c r="AH959" s="9" t="s">
        <v>12096</v>
      </c>
      <c r="AI959" s="9" t="s">
        <v>12097</v>
      </c>
      <c r="AJ959" s="9" t="s">
        <v>12098</v>
      </c>
      <c r="AK959" s="7" t="s">
        <v>61</v>
      </c>
      <c r="AL959" s="7" t="s">
        <v>61</v>
      </c>
      <c r="AM959" s="7" t="s">
        <v>0</v>
      </c>
      <c r="AN959" s="7" t="s">
        <v>0</v>
      </c>
      <c r="AO959" s="7" t="s">
        <v>0</v>
      </c>
      <c r="AP959" s="7" t="s">
        <v>0</v>
      </c>
      <c r="AQ959" s="7" t="s">
        <v>61</v>
      </c>
      <c r="AR959" s="7" t="s">
        <v>0</v>
      </c>
      <c r="AS959" s="10" t="str">
        <f>HYPERLINK("https://tessa.gazprom-neft.local/edo/card/54e12964-40fe-44b1-b2b1-e8a5aea55097", "https://tessa.gazprom-neft.local/edo/card/54e12964-40fe-44b1-b2b1-e8a5aea55097")</f>
        <v>https://tessa.gazprom-neft.local/edo/card/54e12964-40fe-44b1-b2b1-e8a5aea55097</v>
      </c>
    </row>
    <row r="960" spans="1:45" hidden="1" x14ac:dyDescent="0.25">
      <c r="A960" s="6" t="s">
        <v>44</v>
      </c>
      <c r="B960" s="7" t="s">
        <v>5155</v>
      </c>
      <c r="C960" s="7" t="s">
        <v>67</v>
      </c>
      <c r="D960" s="8">
        <v>45139</v>
      </c>
      <c r="E960" s="8" t="s">
        <v>0</v>
      </c>
      <c r="F960" s="16" t="s">
        <v>5156</v>
      </c>
      <c r="G960" s="7" t="s">
        <v>5157</v>
      </c>
      <c r="H960" s="7" t="s">
        <v>0</v>
      </c>
      <c r="I960" s="7" t="s">
        <v>5152</v>
      </c>
      <c r="J960" s="7" t="s">
        <v>5152</v>
      </c>
      <c r="K960" s="7" t="s">
        <v>47</v>
      </c>
      <c r="L960" s="7" t="s">
        <v>86</v>
      </c>
      <c r="M960" s="7" t="s">
        <v>0</v>
      </c>
      <c r="N960" s="7" t="s">
        <v>5151</v>
      </c>
      <c r="O960" s="7" t="s">
        <v>0</v>
      </c>
      <c r="P960" s="7" t="s">
        <v>5153</v>
      </c>
      <c r="Q960" s="7" t="s">
        <v>5154</v>
      </c>
      <c r="R960" s="7" t="s">
        <v>1199</v>
      </c>
      <c r="S960" s="7" t="s">
        <v>1199</v>
      </c>
      <c r="T960" s="7" t="s">
        <v>54</v>
      </c>
      <c r="U960" s="7" t="s">
        <v>605</v>
      </c>
      <c r="V960" s="7" t="s">
        <v>126</v>
      </c>
      <c r="W960" s="7" t="s">
        <v>57</v>
      </c>
      <c r="X960" s="7" t="s">
        <v>103</v>
      </c>
      <c r="Y960" s="8">
        <v>45139</v>
      </c>
      <c r="Z960" s="8">
        <v>46203</v>
      </c>
      <c r="AA960" s="7" t="s">
        <v>224</v>
      </c>
      <c r="AB960" s="7" t="s">
        <v>1203</v>
      </c>
      <c r="AC960" s="7" t="s">
        <v>79</v>
      </c>
      <c r="AD960" s="7" t="s">
        <v>80</v>
      </c>
      <c r="AE960" s="7" t="s">
        <v>82</v>
      </c>
      <c r="AF960" s="7" t="s">
        <v>0</v>
      </c>
      <c r="AG960" s="7" t="s">
        <v>0</v>
      </c>
      <c r="AH960" s="9">
        <v>3.11</v>
      </c>
      <c r="AI960" s="9">
        <v>2.59</v>
      </c>
      <c r="AJ960" s="9">
        <v>0.52</v>
      </c>
      <c r="AK960" s="7" t="s">
        <v>61</v>
      </c>
      <c r="AL960" s="7" t="s">
        <v>61</v>
      </c>
      <c r="AM960" s="7" t="s">
        <v>0</v>
      </c>
      <c r="AN960" s="7" t="s">
        <v>0</v>
      </c>
      <c r="AO960" s="7" t="s">
        <v>0</v>
      </c>
      <c r="AP960" s="7" t="s">
        <v>0</v>
      </c>
      <c r="AQ960" s="7" t="s">
        <v>61</v>
      </c>
      <c r="AR960" s="7" t="s">
        <v>0</v>
      </c>
      <c r="AS960" s="10" t="str">
        <f>HYPERLINK("https://tessa.gazprom-neft.local/edo/card/ab631378-11e2-4e5f-9b17-e63c6b2c690b", "https://tessa.gazprom-neft.local/edo/card/ab631378-11e2-4e5f-9b17-e63c6b2c690b")</f>
        <v>https://tessa.gazprom-neft.local/edo/card/ab631378-11e2-4e5f-9b17-e63c6b2c690b</v>
      </c>
    </row>
    <row r="961" spans="1:45" hidden="1" x14ac:dyDescent="0.25">
      <c r="A961" s="6" t="s">
        <v>44</v>
      </c>
      <c r="B961" s="7" t="s">
        <v>0</v>
      </c>
      <c r="C961" s="7" t="s">
        <v>67</v>
      </c>
      <c r="D961" s="8">
        <v>45139</v>
      </c>
      <c r="E961" s="8" t="s">
        <v>0</v>
      </c>
      <c r="F961" s="16" t="s">
        <v>5370</v>
      </c>
      <c r="G961" s="7" t="s">
        <v>0</v>
      </c>
      <c r="H961" s="7" t="s">
        <v>0</v>
      </c>
      <c r="I961" s="7" t="s">
        <v>5368</v>
      </c>
      <c r="J961" s="7" t="s">
        <v>5368</v>
      </c>
      <c r="K961" s="7" t="s">
        <v>85</v>
      </c>
      <c r="L961" s="7" t="s">
        <v>86</v>
      </c>
      <c r="M961" s="7" t="s">
        <v>83</v>
      </c>
      <c r="N961" s="7" t="s">
        <v>5367</v>
      </c>
      <c r="O961" s="7" t="s">
        <v>0</v>
      </c>
      <c r="P961" s="7" t="s">
        <v>83</v>
      </c>
      <c r="Q961" s="7" t="s">
        <v>5369</v>
      </c>
      <c r="R961" s="7" t="s">
        <v>4253</v>
      </c>
      <c r="S961" s="7" t="s">
        <v>4253</v>
      </c>
      <c r="T961" s="7" t="s">
        <v>54</v>
      </c>
      <c r="U961" s="7" t="s">
        <v>90</v>
      </c>
      <c r="V961" s="7" t="s">
        <v>91</v>
      </c>
      <c r="W961" s="7" t="s">
        <v>57</v>
      </c>
      <c r="X961" s="7" t="s">
        <v>103</v>
      </c>
      <c r="Y961" s="8">
        <v>45139</v>
      </c>
      <c r="Z961" s="8">
        <v>46235</v>
      </c>
      <c r="AA961" s="7" t="s">
        <v>92</v>
      </c>
      <c r="AB961" s="7" t="s">
        <v>94</v>
      </c>
      <c r="AC961" s="7" t="s">
        <v>65</v>
      </c>
      <c r="AD961" s="7" t="s">
        <v>144</v>
      </c>
      <c r="AE961" s="7" t="s">
        <v>0</v>
      </c>
      <c r="AF961" s="7" t="s">
        <v>0</v>
      </c>
      <c r="AG961" s="7" t="s">
        <v>0</v>
      </c>
      <c r="AH961" s="9" t="s">
        <v>0</v>
      </c>
      <c r="AI961" s="9" t="s">
        <v>0</v>
      </c>
      <c r="AJ961" s="9" t="s">
        <v>0</v>
      </c>
      <c r="AK961" s="7" t="s">
        <v>61</v>
      </c>
      <c r="AL961" s="7" t="s">
        <v>61</v>
      </c>
      <c r="AM961" s="7" t="s">
        <v>0</v>
      </c>
      <c r="AN961" s="7" t="s">
        <v>0</v>
      </c>
      <c r="AO961" s="7" t="s">
        <v>0</v>
      </c>
      <c r="AP961" s="7" t="s">
        <v>0</v>
      </c>
      <c r="AQ961" s="7" t="s">
        <v>61</v>
      </c>
      <c r="AR961" s="7" t="s">
        <v>0</v>
      </c>
      <c r="AS961" s="10" t="str">
        <f>HYPERLINK("https://tessa.gazprom-neft.local/edo/card/4c5d1e1d-3444-4cfd-81d0-ee7ce83599d7", "https://tessa.gazprom-neft.local/edo/card/4c5d1e1d-3444-4cfd-81d0-ee7ce83599d7")</f>
        <v>https://tessa.gazprom-neft.local/edo/card/4c5d1e1d-3444-4cfd-81d0-ee7ce83599d7</v>
      </c>
    </row>
    <row r="962" spans="1:45" x14ac:dyDescent="0.25">
      <c r="A962" s="6" t="s">
        <v>44</v>
      </c>
      <c r="B962" s="7" t="s">
        <v>2495</v>
      </c>
      <c r="C962" s="7" t="s">
        <v>67</v>
      </c>
      <c r="D962" s="8">
        <v>45139</v>
      </c>
      <c r="E962" s="8" t="s">
        <v>0</v>
      </c>
      <c r="F962" s="16" t="s">
        <v>2496</v>
      </c>
      <c r="G962" s="7" t="s">
        <v>2497</v>
      </c>
      <c r="H962" s="7" t="s">
        <v>2493</v>
      </c>
      <c r="I962" s="7" t="s">
        <v>0</v>
      </c>
      <c r="J962" s="7" t="s">
        <v>51</v>
      </c>
      <c r="K962" s="7" t="s">
        <v>47</v>
      </c>
      <c r="L962" s="7" t="s">
        <v>48</v>
      </c>
      <c r="M962" s="7" t="s">
        <v>0</v>
      </c>
      <c r="N962" s="7" t="s">
        <v>5430</v>
      </c>
      <c r="O962" s="7" t="s">
        <v>0</v>
      </c>
      <c r="P962" s="7" t="s">
        <v>5431</v>
      </c>
      <c r="Q962" s="7" t="s">
        <v>360</v>
      </c>
      <c r="R962" s="7" t="s">
        <v>361</v>
      </c>
      <c r="S962" s="7" t="s">
        <v>361</v>
      </c>
      <c r="T962" s="7" t="s">
        <v>54</v>
      </c>
      <c r="U962" s="7" t="s">
        <v>362</v>
      </c>
      <c r="V962" s="7" t="s">
        <v>295</v>
      </c>
      <c r="W962" s="7" t="s">
        <v>57</v>
      </c>
      <c r="X962" s="7" t="s">
        <v>103</v>
      </c>
      <c r="Y962" s="8">
        <v>45139</v>
      </c>
      <c r="Z962" s="8">
        <v>45291</v>
      </c>
      <c r="AA962" s="7" t="s">
        <v>296</v>
      </c>
      <c r="AB962" s="7" t="s">
        <v>366</v>
      </c>
      <c r="AC962" s="7" t="s">
        <v>278</v>
      </c>
      <c r="AD962" s="7" t="s">
        <v>367</v>
      </c>
      <c r="AE962" s="7" t="s">
        <v>82</v>
      </c>
      <c r="AF962" s="7" t="s">
        <v>0</v>
      </c>
      <c r="AG962" s="7" t="s">
        <v>0</v>
      </c>
      <c r="AH962" s="9" t="s">
        <v>12482</v>
      </c>
      <c r="AI962" s="9" t="s">
        <v>12483</v>
      </c>
      <c r="AJ962" s="9" t="s">
        <v>12484</v>
      </c>
      <c r="AK962" s="7" t="s">
        <v>61</v>
      </c>
      <c r="AL962" s="7" t="s">
        <v>61</v>
      </c>
      <c r="AM962" s="7" t="s">
        <v>0</v>
      </c>
      <c r="AN962" s="7" t="s">
        <v>0</v>
      </c>
      <c r="AO962" s="7" t="s">
        <v>0</v>
      </c>
      <c r="AP962" s="7" t="s">
        <v>0</v>
      </c>
      <c r="AQ962" s="7" t="s">
        <v>61</v>
      </c>
      <c r="AR962" s="7" t="s">
        <v>0</v>
      </c>
      <c r="AS962" s="10" t="str">
        <f>HYPERLINK("https://tessa.gazprom-neft.local/edo/card/557808cc-f728-411f-8fbd-316020396f27", "https://tessa.gazprom-neft.local/edo/card/557808cc-f728-411f-8fbd-316020396f27")</f>
        <v>https://tessa.gazprom-neft.local/edo/card/557808cc-f728-411f-8fbd-316020396f27</v>
      </c>
    </row>
    <row r="963" spans="1:45" hidden="1" x14ac:dyDescent="0.25">
      <c r="A963" s="6" t="s">
        <v>44</v>
      </c>
      <c r="B963" s="7" t="s">
        <v>350</v>
      </c>
      <c r="C963" s="7" t="s">
        <v>67</v>
      </c>
      <c r="D963" s="8">
        <v>45139</v>
      </c>
      <c r="E963" s="8" t="s">
        <v>0</v>
      </c>
      <c r="F963" s="16" t="s">
        <v>1027</v>
      </c>
      <c r="G963" s="7" t="s">
        <v>352</v>
      </c>
      <c r="H963" s="7" t="s">
        <v>1024</v>
      </c>
      <c r="I963" s="7" t="s">
        <v>0</v>
      </c>
      <c r="J963" s="7" t="s">
        <v>156</v>
      </c>
      <c r="K963" s="7" t="s">
        <v>47</v>
      </c>
      <c r="L963" s="7" t="s">
        <v>763</v>
      </c>
      <c r="M963" s="7" t="s">
        <v>0</v>
      </c>
      <c r="N963" s="7" t="s">
        <v>5452</v>
      </c>
      <c r="O963" s="7" t="s">
        <v>0</v>
      </c>
      <c r="P963" s="7" t="s">
        <v>5453</v>
      </c>
      <c r="Q963" s="7" t="s">
        <v>5219</v>
      </c>
      <c r="R963" s="7" t="s">
        <v>124</v>
      </c>
      <c r="S963" s="7" t="s">
        <v>0</v>
      </c>
      <c r="T963" s="7" t="s">
        <v>54</v>
      </c>
      <c r="U963" s="7" t="s">
        <v>362</v>
      </c>
      <c r="V963" s="7" t="s">
        <v>308</v>
      </c>
      <c r="W963" s="7" t="s">
        <v>74</v>
      </c>
      <c r="X963" s="7" t="s">
        <v>58</v>
      </c>
      <c r="Y963" s="8">
        <v>45138</v>
      </c>
      <c r="Z963" s="8" t="s">
        <v>0</v>
      </c>
      <c r="AA963" s="7" t="s">
        <v>309</v>
      </c>
      <c r="AB963" s="7" t="s">
        <v>64</v>
      </c>
      <c r="AC963" s="7" t="s">
        <v>79</v>
      </c>
      <c r="AD963" s="7" t="s">
        <v>80</v>
      </c>
      <c r="AE963" s="7" t="s">
        <v>82</v>
      </c>
      <c r="AF963" s="7" t="s">
        <v>0</v>
      </c>
      <c r="AG963" s="7" t="s">
        <v>0</v>
      </c>
      <c r="AH963" s="9" t="s">
        <v>12494</v>
      </c>
      <c r="AI963" s="9" t="s">
        <v>12495</v>
      </c>
      <c r="AJ963" s="9" t="s">
        <v>12496</v>
      </c>
      <c r="AK963" s="7" t="s">
        <v>61</v>
      </c>
      <c r="AL963" s="7" t="s">
        <v>61</v>
      </c>
      <c r="AM963" s="7" t="s">
        <v>0</v>
      </c>
      <c r="AN963" s="7" t="s">
        <v>0</v>
      </c>
      <c r="AO963" s="7" t="s">
        <v>0</v>
      </c>
      <c r="AP963" s="7" t="s">
        <v>0</v>
      </c>
      <c r="AQ963" s="7" t="s">
        <v>61</v>
      </c>
      <c r="AR963" s="7" t="s">
        <v>0</v>
      </c>
      <c r="AS963" s="10" t="str">
        <f>HYPERLINK("https://tessa.gazprom-neft.local/edo/card/2c50fbab-4f07-4f41-997f-1fd28c8d825a", "https://tessa.gazprom-neft.local/edo/card/2c50fbab-4f07-4f41-997f-1fd28c8d825a")</f>
        <v>https://tessa.gazprom-neft.local/edo/card/2c50fbab-4f07-4f41-997f-1fd28c8d825a</v>
      </c>
    </row>
    <row r="964" spans="1:45" x14ac:dyDescent="0.25">
      <c r="A964" s="6" t="s">
        <v>44</v>
      </c>
      <c r="B964" s="7" t="s">
        <v>5464</v>
      </c>
      <c r="C964" s="7" t="s">
        <v>67</v>
      </c>
      <c r="D964" s="8">
        <v>45139</v>
      </c>
      <c r="E964" s="8">
        <v>45139</v>
      </c>
      <c r="F964" s="16" t="s">
        <v>5465</v>
      </c>
      <c r="G964" s="7" t="s">
        <v>5466</v>
      </c>
      <c r="H964" s="7" t="s">
        <v>5460</v>
      </c>
      <c r="I964" s="7" t="s">
        <v>0</v>
      </c>
      <c r="J964" s="7" t="s">
        <v>156</v>
      </c>
      <c r="K964" s="7" t="s">
        <v>47</v>
      </c>
      <c r="L964" s="7" t="s">
        <v>48</v>
      </c>
      <c r="M964" s="7" t="s">
        <v>0</v>
      </c>
      <c r="N964" s="7" t="s">
        <v>5459</v>
      </c>
      <c r="O964" s="7" t="s">
        <v>0</v>
      </c>
      <c r="P964" s="7" t="s">
        <v>5461</v>
      </c>
      <c r="Q964" s="7" t="s">
        <v>5462</v>
      </c>
      <c r="R964" s="7" t="s">
        <v>5463</v>
      </c>
      <c r="S964" s="7" t="s">
        <v>0</v>
      </c>
      <c r="T964" s="7" t="s">
        <v>54</v>
      </c>
      <c r="U964" s="7" t="s">
        <v>541</v>
      </c>
      <c r="V964" s="7" t="s">
        <v>56</v>
      </c>
      <c r="W964" s="7" t="s">
        <v>57</v>
      </c>
      <c r="X964" s="7" t="s">
        <v>103</v>
      </c>
      <c r="Y964" s="8">
        <v>45139</v>
      </c>
      <c r="Z964" s="8">
        <v>45291</v>
      </c>
      <c r="AA964" s="7" t="s">
        <v>59</v>
      </c>
      <c r="AB964" s="7" t="s">
        <v>130</v>
      </c>
      <c r="AC964" s="7" t="s">
        <v>79</v>
      </c>
      <c r="AD964" s="7" t="s">
        <v>80</v>
      </c>
      <c r="AE964" s="7" t="s">
        <v>82</v>
      </c>
      <c r="AF964" s="7" t="s">
        <v>0</v>
      </c>
      <c r="AG964" s="7" t="s">
        <v>0</v>
      </c>
      <c r="AH964" s="9" t="s">
        <v>12500</v>
      </c>
      <c r="AI964" s="9" t="s">
        <v>12501</v>
      </c>
      <c r="AJ964" s="9" t="s">
        <v>12502</v>
      </c>
      <c r="AK964" s="7" t="s">
        <v>61</v>
      </c>
      <c r="AL964" s="7" t="s">
        <v>61</v>
      </c>
      <c r="AM964" s="7" t="s">
        <v>0</v>
      </c>
      <c r="AN964" s="7" t="s">
        <v>0</v>
      </c>
      <c r="AO964" s="7" t="s">
        <v>0</v>
      </c>
      <c r="AP964" s="7" t="s">
        <v>0</v>
      </c>
      <c r="AQ964" s="7" t="s">
        <v>61</v>
      </c>
      <c r="AR964" s="7" t="s">
        <v>0</v>
      </c>
      <c r="AS964" s="10" t="str">
        <f>HYPERLINK("https://tessa.gazprom-neft.local/edo/card/dd767c6f-c897-49ba-a417-2482dd3fbff9", "https://tessa.gazprom-neft.local/edo/card/dd767c6f-c897-49ba-a417-2482dd3fbff9")</f>
        <v>https://tessa.gazprom-neft.local/edo/card/dd767c6f-c897-49ba-a417-2482dd3fbff9</v>
      </c>
    </row>
    <row r="965" spans="1:45" hidden="1" x14ac:dyDescent="0.25">
      <c r="A965" s="6" t="s">
        <v>44</v>
      </c>
      <c r="B965" s="7" t="s">
        <v>5464</v>
      </c>
      <c r="C965" s="7" t="s">
        <v>67</v>
      </c>
      <c r="D965" s="8">
        <v>45139</v>
      </c>
      <c r="E965" s="8">
        <v>45139</v>
      </c>
      <c r="F965" s="16" t="s">
        <v>5465</v>
      </c>
      <c r="G965" s="7" t="s">
        <v>5466</v>
      </c>
      <c r="H965" s="7" t="s">
        <v>5471</v>
      </c>
      <c r="I965" s="7" t="s">
        <v>0</v>
      </c>
      <c r="J965" s="7" t="s">
        <v>156</v>
      </c>
      <c r="K965" s="7" t="s">
        <v>47</v>
      </c>
      <c r="L965" s="7" t="s">
        <v>239</v>
      </c>
      <c r="M965" s="7" t="s">
        <v>0</v>
      </c>
      <c r="N965" s="7" t="s">
        <v>5470</v>
      </c>
      <c r="O965" s="7" t="s">
        <v>0</v>
      </c>
      <c r="P965" s="7" t="s">
        <v>5472</v>
      </c>
      <c r="Q965" s="7" t="s">
        <v>5473</v>
      </c>
      <c r="R965" s="7" t="s">
        <v>5463</v>
      </c>
      <c r="S965" s="7" t="s">
        <v>0</v>
      </c>
      <c r="T965" s="7" t="s">
        <v>54</v>
      </c>
      <c r="U965" s="7" t="s">
        <v>541</v>
      </c>
      <c r="V965" s="7" t="s">
        <v>56</v>
      </c>
      <c r="W965" s="7" t="s">
        <v>57</v>
      </c>
      <c r="X965" s="7" t="s">
        <v>103</v>
      </c>
      <c r="Y965" s="8">
        <v>45139</v>
      </c>
      <c r="Z965" s="8">
        <v>45291</v>
      </c>
      <c r="AA965" s="7" t="s">
        <v>59</v>
      </c>
      <c r="AB965" s="7" t="s">
        <v>130</v>
      </c>
      <c r="AC965" s="7" t="s">
        <v>79</v>
      </c>
      <c r="AD965" s="7" t="s">
        <v>80</v>
      </c>
      <c r="AE965" s="7" t="s">
        <v>82</v>
      </c>
      <c r="AF965" s="7" t="s">
        <v>0</v>
      </c>
      <c r="AG965" s="7" t="s">
        <v>0</v>
      </c>
      <c r="AH965" s="9" t="s">
        <v>12500</v>
      </c>
      <c r="AI965" s="9" t="s">
        <v>12501</v>
      </c>
      <c r="AJ965" s="9" t="s">
        <v>12502</v>
      </c>
      <c r="AK965" s="7" t="s">
        <v>61</v>
      </c>
      <c r="AL965" s="7" t="s">
        <v>61</v>
      </c>
      <c r="AM965" s="7" t="s">
        <v>0</v>
      </c>
      <c r="AN965" s="7" t="s">
        <v>0</v>
      </c>
      <c r="AO965" s="7" t="s">
        <v>0</v>
      </c>
      <c r="AP965" s="7" t="s">
        <v>0</v>
      </c>
      <c r="AQ965" s="7" t="s">
        <v>61</v>
      </c>
      <c r="AR965" s="7" t="s">
        <v>0</v>
      </c>
      <c r="AS965" s="10" t="str">
        <f>HYPERLINK("https://tessa.gazprom-neft.local/edo/card/e58e75fa-bfb7-43bc-b4a2-c3fa2b001c6f", "https://tessa.gazprom-neft.local/edo/card/e58e75fa-bfb7-43bc-b4a2-c3fa2b001c6f")</f>
        <v>https://tessa.gazprom-neft.local/edo/card/e58e75fa-bfb7-43bc-b4a2-c3fa2b001c6f</v>
      </c>
    </row>
    <row r="966" spans="1:45" x14ac:dyDescent="0.25">
      <c r="A966" s="6" t="s">
        <v>44</v>
      </c>
      <c r="B966" s="7" t="s">
        <v>2595</v>
      </c>
      <c r="C966" s="7" t="s">
        <v>67</v>
      </c>
      <c r="D966" s="8">
        <v>45138</v>
      </c>
      <c r="E966" s="8" t="s">
        <v>0</v>
      </c>
      <c r="F966" s="16" t="s">
        <v>2596</v>
      </c>
      <c r="G966" s="7" t="s">
        <v>2597</v>
      </c>
      <c r="H966" s="7" t="s">
        <v>2548</v>
      </c>
      <c r="I966" s="7" t="s">
        <v>0</v>
      </c>
      <c r="J966" s="7" t="s">
        <v>70</v>
      </c>
      <c r="K966" s="7" t="s">
        <v>47</v>
      </c>
      <c r="L966" s="7" t="s">
        <v>48</v>
      </c>
      <c r="M966" s="7" t="s">
        <v>0</v>
      </c>
      <c r="N966" s="7" t="s">
        <v>5329</v>
      </c>
      <c r="O966" s="7" t="s">
        <v>0</v>
      </c>
      <c r="P966" s="7" t="s">
        <v>5330</v>
      </c>
      <c r="Q966" s="7" t="s">
        <v>5331</v>
      </c>
      <c r="R966" s="7" t="s">
        <v>646</v>
      </c>
      <c r="S966" s="7" t="s">
        <v>1753</v>
      </c>
      <c r="T966" s="7" t="s">
        <v>54</v>
      </c>
      <c r="U966" s="7" t="s">
        <v>210</v>
      </c>
      <c r="V966" s="7" t="s">
        <v>126</v>
      </c>
      <c r="W966" s="7" t="s">
        <v>74</v>
      </c>
      <c r="X966" s="7" t="s">
        <v>58</v>
      </c>
      <c r="Y966" s="8">
        <v>45138</v>
      </c>
      <c r="Z966" s="8" t="s">
        <v>0</v>
      </c>
      <c r="AA966" s="7" t="s">
        <v>224</v>
      </c>
      <c r="AB966" s="7" t="s">
        <v>130</v>
      </c>
      <c r="AC966" s="7" t="s">
        <v>65</v>
      </c>
      <c r="AD966" s="7" t="s">
        <v>80</v>
      </c>
      <c r="AE966" s="7" t="s">
        <v>0</v>
      </c>
      <c r="AF966" s="7" t="s">
        <v>0</v>
      </c>
      <c r="AG966" s="7" t="s">
        <v>0</v>
      </c>
      <c r="AH966" s="9" t="s">
        <v>0</v>
      </c>
      <c r="AI966" s="9" t="s">
        <v>0</v>
      </c>
      <c r="AJ966" s="9" t="s">
        <v>0</v>
      </c>
      <c r="AK966" s="7" t="s">
        <v>61</v>
      </c>
      <c r="AL966" s="7" t="s">
        <v>61</v>
      </c>
      <c r="AM966" s="7" t="s">
        <v>0</v>
      </c>
      <c r="AN966" s="7" t="s">
        <v>0</v>
      </c>
      <c r="AO966" s="7" t="s">
        <v>0</v>
      </c>
      <c r="AP966" s="7" t="s">
        <v>0</v>
      </c>
      <c r="AQ966" s="7" t="s">
        <v>61</v>
      </c>
      <c r="AR966" s="7" t="s">
        <v>0</v>
      </c>
      <c r="AS966" s="10" t="str">
        <f>HYPERLINK("https://tessa.gazprom-neft.local/edo/card/2ac7944e-e103-479c-81ca-6d2ff2fcf581", "https://tessa.gazprom-neft.local/edo/card/2ac7944e-e103-479c-81ca-6d2ff2fcf581")</f>
        <v>https://tessa.gazprom-neft.local/edo/card/2ac7944e-e103-479c-81ca-6d2ff2fcf581</v>
      </c>
    </row>
    <row r="967" spans="1:45" hidden="1" x14ac:dyDescent="0.25">
      <c r="A967" s="6" t="s">
        <v>44</v>
      </c>
      <c r="B967" s="7" t="s">
        <v>5029</v>
      </c>
      <c r="C967" s="7" t="s">
        <v>67</v>
      </c>
      <c r="D967" s="8">
        <v>45135</v>
      </c>
      <c r="E967" s="8" t="s">
        <v>0</v>
      </c>
      <c r="F967" s="16" t="s">
        <v>5030</v>
      </c>
      <c r="G967" s="7" t="s">
        <v>5031</v>
      </c>
      <c r="H967" s="7" t="s">
        <v>0</v>
      </c>
      <c r="I967" s="7" t="s">
        <v>5027</v>
      </c>
      <c r="J967" s="7" t="s">
        <v>5027</v>
      </c>
      <c r="K967" s="7" t="s">
        <v>47</v>
      </c>
      <c r="L967" s="7" t="s">
        <v>96</v>
      </c>
      <c r="M967" s="7" t="s">
        <v>0</v>
      </c>
      <c r="N967" s="7" t="s">
        <v>5026</v>
      </c>
      <c r="O967" s="7" t="s">
        <v>0</v>
      </c>
      <c r="P967" s="7" t="s">
        <v>804</v>
      </c>
      <c r="Q967" s="7" t="s">
        <v>5028</v>
      </c>
      <c r="R967" s="7" t="s">
        <v>53</v>
      </c>
      <c r="S967" s="7" t="s">
        <v>53</v>
      </c>
      <c r="T967" s="7" t="s">
        <v>54</v>
      </c>
      <c r="U967" s="7" t="s">
        <v>55</v>
      </c>
      <c r="V967" s="7" t="s">
        <v>864</v>
      </c>
      <c r="W967" s="7" t="s">
        <v>74</v>
      </c>
      <c r="X967" s="7" t="s">
        <v>58</v>
      </c>
      <c r="Y967" s="8">
        <v>45135</v>
      </c>
      <c r="Z967" s="8" t="s">
        <v>0</v>
      </c>
      <c r="AA967" s="7" t="s">
        <v>865</v>
      </c>
      <c r="AB967" s="7" t="s">
        <v>130</v>
      </c>
      <c r="AC967" s="7" t="s">
        <v>79</v>
      </c>
      <c r="AD967" s="7" t="s">
        <v>80</v>
      </c>
      <c r="AE967" s="7" t="s">
        <v>82</v>
      </c>
      <c r="AF967" s="7" t="s">
        <v>0</v>
      </c>
      <c r="AG967" s="7" t="s">
        <v>0</v>
      </c>
      <c r="AH967" s="9" t="s">
        <v>12309</v>
      </c>
      <c r="AI967" s="9" t="s">
        <v>12310</v>
      </c>
      <c r="AJ967" s="9" t="s">
        <v>12311</v>
      </c>
      <c r="AK967" s="7" t="s">
        <v>61</v>
      </c>
      <c r="AL967" s="7" t="s">
        <v>61</v>
      </c>
      <c r="AM967" s="7" t="s">
        <v>0</v>
      </c>
      <c r="AN967" s="7" t="s">
        <v>0</v>
      </c>
      <c r="AO967" s="7" t="s">
        <v>0</v>
      </c>
      <c r="AP967" s="7" t="s">
        <v>0</v>
      </c>
      <c r="AQ967" s="7" t="s">
        <v>61</v>
      </c>
      <c r="AR967" s="7" t="s">
        <v>0</v>
      </c>
      <c r="AS967" s="10" t="str">
        <f>HYPERLINK("https://tessa.gazprom-neft.local/edo/card/bb273734-39f3-4a89-8011-592f62c6a3d8", "https://tessa.gazprom-neft.local/edo/card/bb273734-39f3-4a89-8011-592f62c6a3d8")</f>
        <v>https://tessa.gazprom-neft.local/edo/card/bb273734-39f3-4a89-8011-592f62c6a3d8</v>
      </c>
    </row>
    <row r="968" spans="1:45" hidden="1" x14ac:dyDescent="0.25">
      <c r="A968" s="6" t="s">
        <v>44</v>
      </c>
      <c r="B968" s="7" t="s">
        <v>1240</v>
      </c>
      <c r="C968" s="7" t="s">
        <v>67</v>
      </c>
      <c r="D968" s="8">
        <v>45135</v>
      </c>
      <c r="E968" s="8" t="s">
        <v>0</v>
      </c>
      <c r="F968" s="16" t="s">
        <v>1241</v>
      </c>
      <c r="G968" s="7" t="s">
        <v>1242</v>
      </c>
      <c r="H968" s="7" t="s">
        <v>3083</v>
      </c>
      <c r="I968" s="7" t="s">
        <v>0</v>
      </c>
      <c r="J968" s="7" t="s">
        <v>355</v>
      </c>
      <c r="K968" s="7" t="s">
        <v>47</v>
      </c>
      <c r="L968" s="7" t="s">
        <v>389</v>
      </c>
      <c r="M968" s="7" t="s">
        <v>0</v>
      </c>
      <c r="N968" s="7" t="s">
        <v>5269</v>
      </c>
      <c r="O968" s="7" t="s">
        <v>51</v>
      </c>
      <c r="P968" s="7" t="s">
        <v>5270</v>
      </c>
      <c r="Q968" s="7" t="s">
        <v>5271</v>
      </c>
      <c r="R968" s="7" t="s">
        <v>393</v>
      </c>
      <c r="S968" s="7" t="s">
        <v>1261</v>
      </c>
      <c r="T968" s="7" t="s">
        <v>54</v>
      </c>
      <c r="U968" s="7" t="s">
        <v>125</v>
      </c>
      <c r="V968" s="7" t="s">
        <v>126</v>
      </c>
      <c r="W968" s="7" t="s">
        <v>74</v>
      </c>
      <c r="X968" s="7" t="s">
        <v>58</v>
      </c>
      <c r="Y968" s="8">
        <v>45135</v>
      </c>
      <c r="Z968" s="8" t="s">
        <v>0</v>
      </c>
      <c r="AA968" s="7" t="s">
        <v>224</v>
      </c>
      <c r="AB968" s="7" t="s">
        <v>1243</v>
      </c>
      <c r="AC968" s="7" t="s">
        <v>79</v>
      </c>
      <c r="AD968" s="7" t="s">
        <v>144</v>
      </c>
      <c r="AE968" s="7" t="s">
        <v>82</v>
      </c>
      <c r="AF968" s="7" t="s">
        <v>0</v>
      </c>
      <c r="AG968" s="7" t="s">
        <v>0</v>
      </c>
      <c r="AH968" s="9" t="s">
        <v>12418</v>
      </c>
      <c r="AI968" s="9" t="s">
        <v>12419</v>
      </c>
      <c r="AJ968" s="9" t="s">
        <v>12420</v>
      </c>
      <c r="AK968" s="7" t="s">
        <v>61</v>
      </c>
      <c r="AL968" s="7" t="s">
        <v>61</v>
      </c>
      <c r="AM968" s="7" t="s">
        <v>0</v>
      </c>
      <c r="AN968" s="7" t="s">
        <v>0</v>
      </c>
      <c r="AO968" s="7" t="s">
        <v>0</v>
      </c>
      <c r="AP968" s="7" t="s">
        <v>0</v>
      </c>
      <c r="AQ968" s="7" t="s">
        <v>61</v>
      </c>
      <c r="AR968" s="7" t="s">
        <v>0</v>
      </c>
      <c r="AS968" s="10" t="str">
        <f>HYPERLINK("https://tessa.gazprom-neft.local/edo/card/64d8ae75-a43a-4caf-9a97-f4f8b04194be", "https://tessa.gazprom-neft.local/edo/card/64d8ae75-a43a-4caf-9a97-f4f8b04194be")</f>
        <v>https://tessa.gazprom-neft.local/edo/card/64d8ae75-a43a-4caf-9a97-f4f8b04194be</v>
      </c>
    </row>
    <row r="969" spans="1:45" hidden="1" x14ac:dyDescent="0.25">
      <c r="A969" s="6" t="s">
        <v>44</v>
      </c>
      <c r="B969" s="7" t="s">
        <v>1240</v>
      </c>
      <c r="C969" s="7" t="s">
        <v>67</v>
      </c>
      <c r="D969" s="8">
        <v>45135</v>
      </c>
      <c r="E969" s="8" t="s">
        <v>0</v>
      </c>
      <c r="F969" s="16" t="s">
        <v>1241</v>
      </c>
      <c r="G969" s="7" t="s">
        <v>1242</v>
      </c>
      <c r="H969" s="7" t="s">
        <v>3083</v>
      </c>
      <c r="I969" s="7" t="s">
        <v>0</v>
      </c>
      <c r="J969" s="7" t="s">
        <v>5281</v>
      </c>
      <c r="K969" s="7" t="s">
        <v>47</v>
      </c>
      <c r="L969" s="7" t="s">
        <v>389</v>
      </c>
      <c r="M969" s="7" t="s">
        <v>0</v>
      </c>
      <c r="N969" s="7" t="s">
        <v>5279</v>
      </c>
      <c r="O969" s="7" t="s">
        <v>271</v>
      </c>
      <c r="P969" s="7" t="s">
        <v>5280</v>
      </c>
      <c r="Q969" s="7" t="s">
        <v>5282</v>
      </c>
      <c r="R969" s="7" t="s">
        <v>393</v>
      </c>
      <c r="S969" s="7" t="s">
        <v>1261</v>
      </c>
      <c r="T969" s="7" t="s">
        <v>54</v>
      </c>
      <c r="U969" s="7" t="s">
        <v>125</v>
      </c>
      <c r="V969" s="7" t="s">
        <v>126</v>
      </c>
      <c r="W969" s="7" t="s">
        <v>74</v>
      </c>
      <c r="X969" s="7" t="s">
        <v>58</v>
      </c>
      <c r="Y969" s="8">
        <v>45135</v>
      </c>
      <c r="Z969" s="8" t="s">
        <v>0</v>
      </c>
      <c r="AA969" s="7" t="s">
        <v>224</v>
      </c>
      <c r="AB969" s="7" t="s">
        <v>1243</v>
      </c>
      <c r="AC969" s="7" t="s">
        <v>79</v>
      </c>
      <c r="AD969" s="7" t="s">
        <v>144</v>
      </c>
      <c r="AE969" s="7" t="s">
        <v>82</v>
      </c>
      <c r="AF969" s="7" t="s">
        <v>0</v>
      </c>
      <c r="AG969" s="7" t="s">
        <v>0</v>
      </c>
      <c r="AH969" s="9" t="s">
        <v>12427</v>
      </c>
      <c r="AI969" s="9" t="s">
        <v>12428</v>
      </c>
      <c r="AJ969" s="9" t="s">
        <v>12429</v>
      </c>
      <c r="AK969" s="7" t="s">
        <v>61</v>
      </c>
      <c r="AL969" s="7" t="s">
        <v>61</v>
      </c>
      <c r="AM969" s="7" t="s">
        <v>0</v>
      </c>
      <c r="AN969" s="7" t="s">
        <v>0</v>
      </c>
      <c r="AO969" s="7" t="s">
        <v>0</v>
      </c>
      <c r="AP969" s="7" t="s">
        <v>0</v>
      </c>
      <c r="AQ969" s="7" t="s">
        <v>61</v>
      </c>
      <c r="AR969" s="7" t="s">
        <v>0</v>
      </c>
      <c r="AS969" s="10" t="str">
        <f>HYPERLINK("https://tessa.gazprom-neft.local/edo/card/dcc1ecc8-6994-40d2-9f73-e3a8ceed9e49", "https://tessa.gazprom-neft.local/edo/card/dcc1ecc8-6994-40d2-9f73-e3a8ceed9e49")</f>
        <v>https://tessa.gazprom-neft.local/edo/card/dcc1ecc8-6994-40d2-9f73-e3a8ceed9e49</v>
      </c>
    </row>
    <row r="970" spans="1:45" hidden="1" x14ac:dyDescent="0.25">
      <c r="A970" s="6" t="s">
        <v>44</v>
      </c>
      <c r="B970" s="7" t="s">
        <v>1240</v>
      </c>
      <c r="C970" s="7" t="s">
        <v>67</v>
      </c>
      <c r="D970" s="8">
        <v>45135</v>
      </c>
      <c r="E970" s="8" t="s">
        <v>0</v>
      </c>
      <c r="F970" s="16" t="s">
        <v>1241</v>
      </c>
      <c r="G970" s="7" t="s">
        <v>1242</v>
      </c>
      <c r="H970" s="7" t="s">
        <v>3083</v>
      </c>
      <c r="I970" s="7" t="s">
        <v>0</v>
      </c>
      <c r="J970" s="7" t="s">
        <v>156</v>
      </c>
      <c r="K970" s="7" t="s">
        <v>47</v>
      </c>
      <c r="L970" s="7" t="s">
        <v>389</v>
      </c>
      <c r="M970" s="7" t="s">
        <v>0</v>
      </c>
      <c r="N970" s="7" t="s">
        <v>5290</v>
      </c>
      <c r="O970" s="7" t="s">
        <v>156</v>
      </c>
      <c r="P970" s="7" t="s">
        <v>5291</v>
      </c>
      <c r="Q970" s="7" t="s">
        <v>5292</v>
      </c>
      <c r="R970" s="7" t="s">
        <v>393</v>
      </c>
      <c r="S970" s="7" t="s">
        <v>1261</v>
      </c>
      <c r="T970" s="7" t="s">
        <v>54</v>
      </c>
      <c r="U970" s="7" t="s">
        <v>125</v>
      </c>
      <c r="V970" s="7" t="s">
        <v>126</v>
      </c>
      <c r="W970" s="7" t="s">
        <v>74</v>
      </c>
      <c r="X970" s="7" t="s">
        <v>58</v>
      </c>
      <c r="Y970" s="8">
        <v>45135</v>
      </c>
      <c r="Z970" s="8" t="s">
        <v>0</v>
      </c>
      <c r="AA970" s="7" t="s">
        <v>224</v>
      </c>
      <c r="AB970" s="7" t="s">
        <v>1243</v>
      </c>
      <c r="AC970" s="7" t="s">
        <v>79</v>
      </c>
      <c r="AD970" s="7" t="s">
        <v>144</v>
      </c>
      <c r="AE970" s="7" t="s">
        <v>82</v>
      </c>
      <c r="AF970" s="7" t="s">
        <v>0</v>
      </c>
      <c r="AG970" s="7" t="s">
        <v>0</v>
      </c>
      <c r="AH970" s="9" t="s">
        <v>12433</v>
      </c>
      <c r="AI970" s="9" t="s">
        <v>12434</v>
      </c>
      <c r="AJ970" s="9" t="s">
        <v>12435</v>
      </c>
      <c r="AK970" s="7" t="s">
        <v>61</v>
      </c>
      <c r="AL970" s="7" t="s">
        <v>61</v>
      </c>
      <c r="AM970" s="7" t="s">
        <v>0</v>
      </c>
      <c r="AN970" s="7" t="s">
        <v>0</v>
      </c>
      <c r="AO970" s="7" t="s">
        <v>0</v>
      </c>
      <c r="AP970" s="7" t="s">
        <v>0</v>
      </c>
      <c r="AQ970" s="7" t="s">
        <v>61</v>
      </c>
      <c r="AR970" s="7" t="s">
        <v>0</v>
      </c>
      <c r="AS970" s="10" t="str">
        <f>HYPERLINK("https://tessa.gazprom-neft.local/edo/card/24816f76-5db3-4856-80b1-c95694b1ea0b", "https://tessa.gazprom-neft.local/edo/card/24816f76-5db3-4856-80b1-c95694b1ea0b")</f>
        <v>https://tessa.gazprom-neft.local/edo/card/24816f76-5db3-4856-80b1-c95694b1ea0b</v>
      </c>
    </row>
    <row r="971" spans="1:45" hidden="1" x14ac:dyDescent="0.25">
      <c r="A971" s="6" t="s">
        <v>44</v>
      </c>
      <c r="B971" s="7" t="s">
        <v>1165</v>
      </c>
      <c r="C971" s="7" t="s">
        <v>67</v>
      </c>
      <c r="D971" s="8">
        <v>45135</v>
      </c>
      <c r="E971" s="8" t="s">
        <v>0</v>
      </c>
      <c r="F971" s="16" t="s">
        <v>1166</v>
      </c>
      <c r="G971" s="7" t="s">
        <v>1167</v>
      </c>
      <c r="H971" s="7" t="s">
        <v>1161</v>
      </c>
      <c r="I971" s="7" t="s">
        <v>0</v>
      </c>
      <c r="J971" s="7" t="s">
        <v>5343</v>
      </c>
      <c r="K971" s="7" t="s">
        <v>47</v>
      </c>
      <c r="L971" s="7" t="s">
        <v>239</v>
      </c>
      <c r="M971" s="7" t="s">
        <v>0</v>
      </c>
      <c r="N971" s="7" t="s">
        <v>5341</v>
      </c>
      <c r="O971" s="7" t="s">
        <v>0</v>
      </c>
      <c r="P971" s="7" t="s">
        <v>5342</v>
      </c>
      <c r="Q971" s="7" t="s">
        <v>5344</v>
      </c>
      <c r="R971" s="7" t="s">
        <v>244</v>
      </c>
      <c r="S971" s="7" t="s">
        <v>0</v>
      </c>
      <c r="T971" s="7" t="s">
        <v>54</v>
      </c>
      <c r="U971" s="7" t="s">
        <v>55</v>
      </c>
      <c r="V971" s="7" t="s">
        <v>56</v>
      </c>
      <c r="W971" s="7" t="s">
        <v>57</v>
      </c>
      <c r="X971" s="7" t="s">
        <v>103</v>
      </c>
      <c r="Y971" s="8">
        <v>45135</v>
      </c>
      <c r="Z971" s="8">
        <v>45168</v>
      </c>
      <c r="AA971" s="7" t="s">
        <v>59</v>
      </c>
      <c r="AB971" s="7" t="s">
        <v>256</v>
      </c>
      <c r="AC971" s="7" t="s">
        <v>79</v>
      </c>
      <c r="AD971" s="7" t="s">
        <v>144</v>
      </c>
      <c r="AE971" s="7" t="s">
        <v>82</v>
      </c>
      <c r="AF971" s="7" t="s">
        <v>0</v>
      </c>
      <c r="AG971" s="7" t="s">
        <v>0</v>
      </c>
      <c r="AH971" s="9" t="s">
        <v>12457</v>
      </c>
      <c r="AI971" s="9" t="s">
        <v>12458</v>
      </c>
      <c r="AJ971" s="9" t="s">
        <v>12459</v>
      </c>
      <c r="AK971" s="7" t="s">
        <v>61</v>
      </c>
      <c r="AL971" s="7" t="s">
        <v>61</v>
      </c>
      <c r="AM971" s="7" t="s">
        <v>0</v>
      </c>
      <c r="AN971" s="7" t="s">
        <v>0</v>
      </c>
      <c r="AO971" s="7" t="s">
        <v>0</v>
      </c>
      <c r="AP971" s="7" t="s">
        <v>0</v>
      </c>
      <c r="AQ971" s="7" t="s">
        <v>61</v>
      </c>
      <c r="AR971" s="7" t="s">
        <v>0</v>
      </c>
      <c r="AS971" s="10" t="str">
        <f>HYPERLINK("https://tessa.gazprom-neft.local/edo/card/f967b978-32ec-4768-86a2-11880e5aa244", "https://tessa.gazprom-neft.local/edo/card/f967b978-32ec-4768-86a2-11880e5aa244")</f>
        <v>https://tessa.gazprom-neft.local/edo/card/f967b978-32ec-4768-86a2-11880e5aa244</v>
      </c>
    </row>
    <row r="972" spans="1:45" x14ac:dyDescent="0.25">
      <c r="A972" s="6" t="s">
        <v>44</v>
      </c>
      <c r="B972" s="7" t="s">
        <v>1140</v>
      </c>
      <c r="C972" s="7" t="s">
        <v>67</v>
      </c>
      <c r="D972" s="8">
        <v>45134</v>
      </c>
      <c r="E972" s="8" t="s">
        <v>0</v>
      </c>
      <c r="F972" s="16" t="s">
        <v>1141</v>
      </c>
      <c r="G972" s="7" t="s">
        <v>1142</v>
      </c>
      <c r="H972" s="7" t="s">
        <v>1136</v>
      </c>
      <c r="I972" s="7" t="s">
        <v>0</v>
      </c>
      <c r="J972" s="7" t="s">
        <v>51</v>
      </c>
      <c r="K972" s="7" t="s">
        <v>47</v>
      </c>
      <c r="L972" s="7" t="s">
        <v>48</v>
      </c>
      <c r="M972" s="7" t="s">
        <v>0</v>
      </c>
      <c r="N972" s="7" t="s">
        <v>5088</v>
      </c>
      <c r="O972" s="7" t="s">
        <v>0</v>
      </c>
      <c r="P972" s="7" t="s">
        <v>5089</v>
      </c>
      <c r="Q972" s="7" t="s">
        <v>5090</v>
      </c>
      <c r="R972" s="7" t="s">
        <v>124</v>
      </c>
      <c r="S972" s="7" t="s">
        <v>0</v>
      </c>
      <c r="T972" s="7" t="s">
        <v>54</v>
      </c>
      <c r="U972" s="7" t="s">
        <v>362</v>
      </c>
      <c r="V972" s="7" t="s">
        <v>308</v>
      </c>
      <c r="W972" s="7" t="s">
        <v>74</v>
      </c>
      <c r="X972" s="7" t="s">
        <v>58</v>
      </c>
      <c r="Y972" s="8">
        <v>45134</v>
      </c>
      <c r="Z972" s="8" t="s">
        <v>0</v>
      </c>
      <c r="AA972" s="7" t="s">
        <v>309</v>
      </c>
      <c r="AB972" s="7" t="s">
        <v>1143</v>
      </c>
      <c r="AC972" s="7" t="s">
        <v>79</v>
      </c>
      <c r="AD972" s="7" t="s">
        <v>80</v>
      </c>
      <c r="AE972" s="7" t="s">
        <v>82</v>
      </c>
      <c r="AF972" s="7" t="s">
        <v>0</v>
      </c>
      <c r="AG972" s="7" t="s">
        <v>0</v>
      </c>
      <c r="AH972" s="9" t="s">
        <v>12331</v>
      </c>
      <c r="AI972" s="9" t="s">
        <v>12332</v>
      </c>
      <c r="AJ972" s="9" t="s">
        <v>12333</v>
      </c>
      <c r="AK972" s="7" t="s">
        <v>61</v>
      </c>
      <c r="AL972" s="7" t="s">
        <v>61</v>
      </c>
      <c r="AM972" s="7" t="s">
        <v>0</v>
      </c>
      <c r="AN972" s="7" t="s">
        <v>0</v>
      </c>
      <c r="AO972" s="7" t="s">
        <v>0</v>
      </c>
      <c r="AP972" s="7" t="s">
        <v>0</v>
      </c>
      <c r="AQ972" s="7" t="s">
        <v>61</v>
      </c>
      <c r="AR972" s="7" t="s">
        <v>0</v>
      </c>
      <c r="AS972" s="10" t="str">
        <f>HYPERLINK("https://tessa.gazprom-neft.local/edo/card/668fb1d5-1d6c-46be-b7f5-218b77da52a9", "https://tessa.gazprom-neft.local/edo/card/668fb1d5-1d6c-46be-b7f5-218b77da52a9")</f>
        <v>https://tessa.gazprom-neft.local/edo/card/668fb1d5-1d6c-46be-b7f5-218b77da52a9</v>
      </c>
    </row>
    <row r="973" spans="1:45" x14ac:dyDescent="0.25">
      <c r="A973" s="6" t="s">
        <v>44</v>
      </c>
      <c r="B973" s="7" t="s">
        <v>1552</v>
      </c>
      <c r="C973" s="7" t="s">
        <v>67</v>
      </c>
      <c r="D973" s="8">
        <v>45134</v>
      </c>
      <c r="E973" s="8" t="s">
        <v>0</v>
      </c>
      <c r="F973" s="16" t="s">
        <v>1553</v>
      </c>
      <c r="G973" s="7" t="s">
        <v>1554</v>
      </c>
      <c r="H973" s="7" t="s">
        <v>0</v>
      </c>
      <c r="I973" s="7" t="s">
        <v>0</v>
      </c>
      <c r="J973" s="7" t="s">
        <v>316</v>
      </c>
      <c r="K973" s="7" t="s">
        <v>85</v>
      </c>
      <c r="L973" s="7" t="s">
        <v>48</v>
      </c>
      <c r="M973" s="7" t="s">
        <v>2128</v>
      </c>
      <c r="N973" s="7" t="s">
        <v>5226</v>
      </c>
      <c r="O973" s="7" t="s">
        <v>0</v>
      </c>
      <c r="P973" s="7" t="s">
        <v>2128</v>
      </c>
      <c r="Q973" s="7" t="s">
        <v>5227</v>
      </c>
      <c r="R973" s="7" t="s">
        <v>505</v>
      </c>
      <c r="S973" s="7" t="s">
        <v>4594</v>
      </c>
      <c r="T973" s="7" t="s">
        <v>54</v>
      </c>
      <c r="U973" s="7" t="s">
        <v>210</v>
      </c>
      <c r="V973" s="7" t="s">
        <v>126</v>
      </c>
      <c r="W973" s="7" t="s">
        <v>57</v>
      </c>
      <c r="X973" s="7" t="s">
        <v>103</v>
      </c>
      <c r="Y973" s="8">
        <v>45134</v>
      </c>
      <c r="Z973" s="8">
        <v>45291</v>
      </c>
      <c r="AA973" s="7" t="s">
        <v>224</v>
      </c>
      <c r="AB973" s="7" t="s">
        <v>130</v>
      </c>
      <c r="AC973" s="7" t="s">
        <v>65</v>
      </c>
      <c r="AD973" s="7" t="s">
        <v>0</v>
      </c>
      <c r="AE973" s="7" t="s">
        <v>0</v>
      </c>
      <c r="AF973" s="7" t="s">
        <v>0</v>
      </c>
      <c r="AG973" s="7" t="s">
        <v>0</v>
      </c>
      <c r="AH973" s="9" t="s">
        <v>0</v>
      </c>
      <c r="AI973" s="9" t="s">
        <v>0</v>
      </c>
      <c r="AJ973" s="9" t="s">
        <v>0</v>
      </c>
      <c r="AK973" s="7" t="s">
        <v>61</v>
      </c>
      <c r="AL973" s="7" t="s">
        <v>61</v>
      </c>
      <c r="AM973" s="7" t="s">
        <v>0</v>
      </c>
      <c r="AN973" s="7" t="s">
        <v>0</v>
      </c>
      <c r="AO973" s="7" t="s">
        <v>0</v>
      </c>
      <c r="AP973" s="7" t="s">
        <v>0</v>
      </c>
      <c r="AQ973" s="7" t="s">
        <v>61</v>
      </c>
      <c r="AR973" s="7" t="s">
        <v>0</v>
      </c>
      <c r="AS973" s="10" t="str">
        <f>HYPERLINK("https://tessa.gazprom-neft.local/edo/card/f31611ad-17ad-4f40-8c66-e3054488c8a4", "https://tessa.gazprom-neft.local/edo/card/f31611ad-17ad-4f40-8c66-e3054488c8a4")</f>
        <v>https://tessa.gazprom-neft.local/edo/card/f31611ad-17ad-4f40-8c66-e3054488c8a4</v>
      </c>
    </row>
    <row r="974" spans="1:45" hidden="1" x14ac:dyDescent="0.25">
      <c r="A974" s="6" t="s">
        <v>44</v>
      </c>
      <c r="B974" s="7" t="s">
        <v>1950</v>
      </c>
      <c r="C974" s="7" t="s">
        <v>67</v>
      </c>
      <c r="D974" s="8">
        <v>45134</v>
      </c>
      <c r="E974" s="8" t="s">
        <v>0</v>
      </c>
      <c r="F974" s="16" t="s">
        <v>1951</v>
      </c>
      <c r="G974" s="7" t="s">
        <v>1952</v>
      </c>
      <c r="H974" s="7" t="s">
        <v>1947</v>
      </c>
      <c r="I974" s="7" t="s">
        <v>0</v>
      </c>
      <c r="J974" s="7" t="s">
        <v>955</v>
      </c>
      <c r="K974" s="7" t="s">
        <v>47</v>
      </c>
      <c r="L974" s="7" t="s">
        <v>239</v>
      </c>
      <c r="M974" s="7" t="s">
        <v>0</v>
      </c>
      <c r="N974" s="7" t="s">
        <v>5234</v>
      </c>
      <c r="O974" s="7" t="s">
        <v>0</v>
      </c>
      <c r="P974" s="7" t="s">
        <v>5235</v>
      </c>
      <c r="Q974" s="7" t="s">
        <v>5236</v>
      </c>
      <c r="R974" s="7" t="s">
        <v>646</v>
      </c>
      <c r="S974" s="7" t="s">
        <v>1711</v>
      </c>
      <c r="T974" s="7" t="s">
        <v>54</v>
      </c>
      <c r="U974" s="7" t="s">
        <v>125</v>
      </c>
      <c r="V974" s="7" t="s">
        <v>126</v>
      </c>
      <c r="W974" s="7" t="s">
        <v>74</v>
      </c>
      <c r="X974" s="7" t="s">
        <v>103</v>
      </c>
      <c r="Y974" s="8">
        <v>45134</v>
      </c>
      <c r="Z974" s="8">
        <v>45260</v>
      </c>
      <c r="AA974" s="7" t="s">
        <v>224</v>
      </c>
      <c r="AB974" s="7" t="s">
        <v>1893</v>
      </c>
      <c r="AC974" s="7" t="s">
        <v>79</v>
      </c>
      <c r="AD974" s="7" t="s">
        <v>144</v>
      </c>
      <c r="AE974" s="7" t="s">
        <v>118</v>
      </c>
      <c r="AF974" s="7" t="s">
        <v>0</v>
      </c>
      <c r="AG974" s="7" t="s">
        <v>0</v>
      </c>
      <c r="AH974" s="9" t="s">
        <v>12405</v>
      </c>
      <c r="AI974" s="9" t="s">
        <v>12405</v>
      </c>
      <c r="AJ974" s="9">
        <v>0</v>
      </c>
      <c r="AK974" s="7" t="s">
        <v>61</v>
      </c>
      <c r="AL974" s="7" t="s">
        <v>61</v>
      </c>
      <c r="AM974" s="7" t="s">
        <v>0</v>
      </c>
      <c r="AN974" s="7" t="s">
        <v>0</v>
      </c>
      <c r="AO974" s="7" t="s">
        <v>0</v>
      </c>
      <c r="AP974" s="7" t="s">
        <v>0</v>
      </c>
      <c r="AQ974" s="7" t="s">
        <v>61</v>
      </c>
      <c r="AR974" s="7" t="s">
        <v>0</v>
      </c>
      <c r="AS974" s="10" t="str">
        <f>HYPERLINK("https://tessa.gazprom-neft.local/edo/card/3b755317-73a4-4c5c-9204-28a33cbe50f4", "https://tessa.gazprom-neft.local/edo/card/3b755317-73a4-4c5c-9204-28a33cbe50f4")</f>
        <v>https://tessa.gazprom-neft.local/edo/card/3b755317-73a4-4c5c-9204-28a33cbe50f4</v>
      </c>
    </row>
    <row r="975" spans="1:45" hidden="1" x14ac:dyDescent="0.25">
      <c r="A975" s="6" t="s">
        <v>44</v>
      </c>
      <c r="B975" s="7" t="s">
        <v>5029</v>
      </c>
      <c r="C975" s="7" t="s">
        <v>67</v>
      </c>
      <c r="D975" s="8">
        <v>45134</v>
      </c>
      <c r="E975" s="8" t="s">
        <v>0</v>
      </c>
      <c r="F975" s="16" t="s">
        <v>5030</v>
      </c>
      <c r="G975" s="7" t="s">
        <v>5031</v>
      </c>
      <c r="H975" s="7" t="s">
        <v>0</v>
      </c>
      <c r="I975" s="7" t="s">
        <v>5251</v>
      </c>
      <c r="J975" s="7" t="s">
        <v>5251</v>
      </c>
      <c r="K975" s="7" t="s">
        <v>85</v>
      </c>
      <c r="L975" s="7" t="s">
        <v>86</v>
      </c>
      <c r="M975" s="7" t="s">
        <v>216</v>
      </c>
      <c r="N975" s="7" t="s">
        <v>5250</v>
      </c>
      <c r="O975" s="7" t="s">
        <v>0</v>
      </c>
      <c r="P975" s="7" t="s">
        <v>216</v>
      </c>
      <c r="Q975" s="7" t="s">
        <v>5252</v>
      </c>
      <c r="R975" s="7" t="s">
        <v>53</v>
      </c>
      <c r="S975" s="7" t="s">
        <v>53</v>
      </c>
      <c r="T975" s="7" t="s">
        <v>54</v>
      </c>
      <c r="U975" s="7" t="s">
        <v>55</v>
      </c>
      <c r="V975" s="7" t="s">
        <v>308</v>
      </c>
      <c r="W975" s="7" t="s">
        <v>74</v>
      </c>
      <c r="X975" s="7" t="s">
        <v>223</v>
      </c>
      <c r="Y975" s="8">
        <v>45134</v>
      </c>
      <c r="Z975" s="8" t="s">
        <v>0</v>
      </c>
      <c r="AA975" s="7" t="s">
        <v>309</v>
      </c>
      <c r="AB975" s="7" t="s">
        <v>228</v>
      </c>
      <c r="AC975" s="7" t="s">
        <v>65</v>
      </c>
      <c r="AD975" s="7" t="s">
        <v>0</v>
      </c>
      <c r="AE975" s="7" t="s">
        <v>0</v>
      </c>
      <c r="AF975" s="7" t="s">
        <v>0</v>
      </c>
      <c r="AG975" s="7" t="s">
        <v>0</v>
      </c>
      <c r="AH975" s="9" t="s">
        <v>0</v>
      </c>
      <c r="AI975" s="9" t="s">
        <v>0</v>
      </c>
      <c r="AJ975" s="9" t="s">
        <v>0</v>
      </c>
      <c r="AK975" s="7" t="s">
        <v>61</v>
      </c>
      <c r="AL975" s="7" t="s">
        <v>61</v>
      </c>
      <c r="AM975" s="7" t="s">
        <v>0</v>
      </c>
      <c r="AN975" s="7" t="s">
        <v>0</v>
      </c>
      <c r="AO975" s="7" t="s">
        <v>0</v>
      </c>
      <c r="AP975" s="7" t="s">
        <v>0</v>
      </c>
      <c r="AQ975" s="7" t="s">
        <v>61</v>
      </c>
      <c r="AR975" s="7" t="s">
        <v>0</v>
      </c>
      <c r="AS975" s="10" t="str">
        <f>HYPERLINK("https://tessa.gazprom-neft.local/edo/card/2ca17dfb-ab4a-48fe-8779-9a5143419587", "https://tessa.gazprom-neft.local/edo/card/2ca17dfb-ab4a-48fe-8779-9a5143419587")</f>
        <v>https://tessa.gazprom-neft.local/edo/card/2ca17dfb-ab4a-48fe-8779-9a5143419587</v>
      </c>
    </row>
    <row r="976" spans="1:45" hidden="1" x14ac:dyDescent="0.25">
      <c r="A976" s="6" t="s">
        <v>44</v>
      </c>
      <c r="B976" s="7" t="s">
        <v>1657</v>
      </c>
      <c r="C976" s="7" t="s">
        <v>67</v>
      </c>
      <c r="D976" s="8">
        <v>45133</v>
      </c>
      <c r="E976" s="8" t="s">
        <v>0</v>
      </c>
      <c r="F976" s="16" t="s">
        <v>1658</v>
      </c>
      <c r="G976" s="7" t="s">
        <v>1659</v>
      </c>
      <c r="H976" s="7" t="s">
        <v>0</v>
      </c>
      <c r="I976" s="7" t="s">
        <v>5056</v>
      </c>
      <c r="J976" s="7" t="s">
        <v>5056</v>
      </c>
      <c r="K976" s="7" t="s">
        <v>47</v>
      </c>
      <c r="L976" s="7" t="s">
        <v>96</v>
      </c>
      <c r="M976" s="7" t="s">
        <v>0</v>
      </c>
      <c r="N976" s="7" t="s">
        <v>5055</v>
      </c>
      <c r="O976" s="7" t="s">
        <v>0</v>
      </c>
      <c r="P976" s="7" t="s">
        <v>5057</v>
      </c>
      <c r="Q976" s="7" t="s">
        <v>5058</v>
      </c>
      <c r="R976" s="7" t="s">
        <v>646</v>
      </c>
      <c r="S976" s="7" t="s">
        <v>5059</v>
      </c>
      <c r="T976" s="7" t="s">
        <v>54</v>
      </c>
      <c r="U976" s="7" t="s">
        <v>307</v>
      </c>
      <c r="V976" s="7" t="s">
        <v>126</v>
      </c>
      <c r="W976" s="7" t="s">
        <v>74</v>
      </c>
      <c r="X976" s="7" t="s">
        <v>103</v>
      </c>
      <c r="Y976" s="8">
        <v>45139</v>
      </c>
      <c r="Z976" s="8">
        <v>45657</v>
      </c>
      <c r="AA976" s="7" t="s">
        <v>224</v>
      </c>
      <c r="AB976" s="7" t="s">
        <v>130</v>
      </c>
      <c r="AC976" s="7" t="s">
        <v>79</v>
      </c>
      <c r="AD976" s="7" t="s">
        <v>80</v>
      </c>
      <c r="AE976" s="7" t="s">
        <v>82</v>
      </c>
      <c r="AF976" s="7" t="s">
        <v>0</v>
      </c>
      <c r="AG976" s="7" t="s">
        <v>5060</v>
      </c>
      <c r="AH976" s="9" t="s">
        <v>12315</v>
      </c>
      <c r="AI976" s="9" t="s">
        <v>12316</v>
      </c>
      <c r="AJ976" s="9" t="s">
        <v>12317</v>
      </c>
      <c r="AK976" s="7" t="s">
        <v>81</v>
      </c>
      <c r="AL976" s="7" t="s">
        <v>61</v>
      </c>
      <c r="AM976" s="7" t="s">
        <v>0</v>
      </c>
      <c r="AN976" s="7" t="s">
        <v>0</v>
      </c>
      <c r="AO976" s="7" t="s">
        <v>0</v>
      </c>
      <c r="AP976" s="7" t="s">
        <v>0</v>
      </c>
      <c r="AQ976" s="7" t="s">
        <v>61</v>
      </c>
      <c r="AR976" s="7" t="s">
        <v>0</v>
      </c>
      <c r="AS976" s="10" t="str">
        <f>HYPERLINK("https://tessa.gazprom-neft.local/edo/card/ffd9a426-3898-4fc5-88dd-87336480c626", "https://tessa.gazprom-neft.local/edo/card/ffd9a426-3898-4fc5-88dd-87336480c626")</f>
        <v>https://tessa.gazprom-neft.local/edo/card/ffd9a426-3898-4fc5-88dd-87336480c626</v>
      </c>
    </row>
    <row r="977" spans="1:45" hidden="1" x14ac:dyDescent="0.25">
      <c r="A977" s="6" t="s">
        <v>44</v>
      </c>
      <c r="B977" s="7" t="s">
        <v>1657</v>
      </c>
      <c r="C977" s="7" t="s">
        <v>67</v>
      </c>
      <c r="D977" s="8">
        <v>45133</v>
      </c>
      <c r="E977" s="8" t="s">
        <v>0</v>
      </c>
      <c r="F977" s="16" t="s">
        <v>1658</v>
      </c>
      <c r="G977" s="7" t="s">
        <v>1659</v>
      </c>
      <c r="H977" s="7" t="s">
        <v>0</v>
      </c>
      <c r="I977" s="7" t="s">
        <v>5164</v>
      </c>
      <c r="J977" s="7" t="s">
        <v>5164</v>
      </c>
      <c r="K977" s="7" t="s">
        <v>85</v>
      </c>
      <c r="L977" s="7" t="s">
        <v>86</v>
      </c>
      <c r="M977" s="7" t="s">
        <v>289</v>
      </c>
      <c r="N977" s="7" t="s">
        <v>5163</v>
      </c>
      <c r="O977" s="7" t="s">
        <v>0</v>
      </c>
      <c r="P977" s="7" t="s">
        <v>289</v>
      </c>
      <c r="Q977" s="7" t="s">
        <v>5165</v>
      </c>
      <c r="R977" s="7" t="s">
        <v>646</v>
      </c>
      <c r="S977" s="7" t="s">
        <v>5166</v>
      </c>
      <c r="T977" s="7" t="s">
        <v>54</v>
      </c>
      <c r="U977" s="7" t="s">
        <v>307</v>
      </c>
      <c r="V977" s="7" t="s">
        <v>340</v>
      </c>
      <c r="W977" s="7" t="s">
        <v>74</v>
      </c>
      <c r="X977" s="7" t="s">
        <v>103</v>
      </c>
      <c r="Y977" s="8">
        <v>45139</v>
      </c>
      <c r="Z977" s="8">
        <v>45657</v>
      </c>
      <c r="AA977" s="7" t="s">
        <v>341</v>
      </c>
      <c r="AB977" s="7" t="s">
        <v>300</v>
      </c>
      <c r="AC977" s="7" t="s">
        <v>65</v>
      </c>
      <c r="AD977" s="7" t="s">
        <v>0</v>
      </c>
      <c r="AE977" s="7" t="s">
        <v>0</v>
      </c>
      <c r="AF977" s="7" t="s">
        <v>0</v>
      </c>
      <c r="AG977" s="7" t="s">
        <v>0</v>
      </c>
      <c r="AH977" s="9" t="s">
        <v>0</v>
      </c>
      <c r="AI977" s="9" t="s">
        <v>0</v>
      </c>
      <c r="AJ977" s="9" t="s">
        <v>0</v>
      </c>
      <c r="AK977" s="7" t="s">
        <v>61</v>
      </c>
      <c r="AL977" s="7" t="s">
        <v>61</v>
      </c>
      <c r="AM977" s="7" t="s">
        <v>0</v>
      </c>
      <c r="AN977" s="7" t="s">
        <v>0</v>
      </c>
      <c r="AO977" s="7" t="s">
        <v>0</v>
      </c>
      <c r="AP977" s="7" t="s">
        <v>0</v>
      </c>
      <c r="AQ977" s="7" t="s">
        <v>61</v>
      </c>
      <c r="AR977" s="7" t="s">
        <v>0</v>
      </c>
      <c r="AS977" s="10" t="str">
        <f>HYPERLINK("https://tessa.gazprom-neft.local/edo/card/a3dbca86-0eb0-4a31-a78b-d380ff594427", "https://tessa.gazprom-neft.local/edo/card/a3dbca86-0eb0-4a31-a78b-d380ff594427")</f>
        <v>https://tessa.gazprom-neft.local/edo/card/a3dbca86-0eb0-4a31-a78b-d380ff594427</v>
      </c>
    </row>
    <row r="978" spans="1:45" hidden="1" x14ac:dyDescent="0.25">
      <c r="A978" s="6" t="s">
        <v>44</v>
      </c>
      <c r="B978" s="7" t="s">
        <v>350</v>
      </c>
      <c r="C978" s="7" t="s">
        <v>67</v>
      </c>
      <c r="D978" s="8">
        <v>45133</v>
      </c>
      <c r="E978" s="8" t="s">
        <v>0</v>
      </c>
      <c r="F978" s="16" t="s">
        <v>1027</v>
      </c>
      <c r="G978" s="7" t="s">
        <v>352</v>
      </c>
      <c r="H978" s="7" t="s">
        <v>1024</v>
      </c>
      <c r="I978" s="7" t="s">
        <v>0</v>
      </c>
      <c r="J978" s="7" t="s">
        <v>5218</v>
      </c>
      <c r="K978" s="7" t="s">
        <v>47</v>
      </c>
      <c r="L978" s="7" t="s">
        <v>763</v>
      </c>
      <c r="M978" s="7" t="s">
        <v>0</v>
      </c>
      <c r="N978" s="7" t="s">
        <v>5216</v>
      </c>
      <c r="O978" s="7" t="s">
        <v>0</v>
      </c>
      <c r="P978" s="7" t="s">
        <v>5217</v>
      </c>
      <c r="Q978" s="7" t="s">
        <v>5219</v>
      </c>
      <c r="R978" s="7" t="s">
        <v>124</v>
      </c>
      <c r="S978" s="7" t="s">
        <v>0</v>
      </c>
      <c r="T978" s="7" t="s">
        <v>54</v>
      </c>
      <c r="U978" s="7" t="s">
        <v>362</v>
      </c>
      <c r="V978" s="7" t="s">
        <v>308</v>
      </c>
      <c r="W978" s="7" t="s">
        <v>74</v>
      </c>
      <c r="X978" s="7" t="s">
        <v>58</v>
      </c>
      <c r="Y978" s="8">
        <v>45133</v>
      </c>
      <c r="Z978" s="8" t="s">
        <v>0</v>
      </c>
      <c r="AA978" s="7" t="s">
        <v>309</v>
      </c>
      <c r="AB978" s="7" t="s">
        <v>64</v>
      </c>
      <c r="AC978" s="7" t="s">
        <v>79</v>
      </c>
      <c r="AD978" s="7" t="s">
        <v>80</v>
      </c>
      <c r="AE978" s="7" t="s">
        <v>82</v>
      </c>
      <c r="AF978" s="7" t="s">
        <v>0</v>
      </c>
      <c r="AG978" s="7" t="s">
        <v>0</v>
      </c>
      <c r="AH978" s="9" t="s">
        <v>12393</v>
      </c>
      <c r="AI978" s="9" t="s">
        <v>12394</v>
      </c>
      <c r="AJ978" s="9" t="s">
        <v>12395</v>
      </c>
      <c r="AK978" s="7" t="s">
        <v>61</v>
      </c>
      <c r="AL978" s="7" t="s">
        <v>61</v>
      </c>
      <c r="AM978" s="7" t="s">
        <v>0</v>
      </c>
      <c r="AN978" s="7" t="s">
        <v>0</v>
      </c>
      <c r="AO978" s="7" t="s">
        <v>0</v>
      </c>
      <c r="AP978" s="7" t="s">
        <v>0</v>
      </c>
      <c r="AQ978" s="7" t="s">
        <v>61</v>
      </c>
      <c r="AR978" s="7" t="s">
        <v>0</v>
      </c>
      <c r="AS978" s="10" t="str">
        <f>HYPERLINK("https://tessa.gazprom-neft.local/edo/card/941409a2-187b-45ea-b9c4-310eb05f9690", "https://tessa.gazprom-neft.local/edo/card/941409a2-187b-45ea-b9c4-310eb05f9690")</f>
        <v>https://tessa.gazprom-neft.local/edo/card/941409a2-187b-45ea-b9c4-310eb05f9690</v>
      </c>
    </row>
    <row r="979" spans="1:45" hidden="1" x14ac:dyDescent="0.25">
      <c r="A979" s="6" t="s">
        <v>44</v>
      </c>
      <c r="B979" s="7" t="s">
        <v>4898</v>
      </c>
      <c r="C979" s="7" t="s">
        <v>67</v>
      </c>
      <c r="D979" s="8">
        <v>45132</v>
      </c>
      <c r="E979" s="8" t="s">
        <v>0</v>
      </c>
      <c r="F979" s="16" t="s">
        <v>4899</v>
      </c>
      <c r="G979" s="7" t="s">
        <v>4900</v>
      </c>
      <c r="H979" s="7" t="s">
        <v>0</v>
      </c>
      <c r="I979" s="7" t="s">
        <v>4922</v>
      </c>
      <c r="J979" s="7" t="s">
        <v>4922</v>
      </c>
      <c r="K979" s="7" t="s">
        <v>47</v>
      </c>
      <c r="L979" s="7" t="s">
        <v>96</v>
      </c>
      <c r="M979" s="7" t="s">
        <v>0</v>
      </c>
      <c r="N979" s="7" t="s">
        <v>4921</v>
      </c>
      <c r="O979" s="7" t="s">
        <v>0</v>
      </c>
      <c r="P979" s="7" t="s">
        <v>4923</v>
      </c>
      <c r="Q979" s="7" t="s">
        <v>4924</v>
      </c>
      <c r="R979" s="7" t="s">
        <v>646</v>
      </c>
      <c r="S979" s="7" t="s">
        <v>233</v>
      </c>
      <c r="T979" s="7" t="s">
        <v>54</v>
      </c>
      <c r="U979" s="7" t="s">
        <v>55</v>
      </c>
      <c r="V979" s="7" t="s">
        <v>340</v>
      </c>
      <c r="W979" s="7" t="s">
        <v>74</v>
      </c>
      <c r="X979" s="7" t="s">
        <v>103</v>
      </c>
      <c r="Y979" s="8">
        <v>45132</v>
      </c>
      <c r="Z979" s="8">
        <v>45205</v>
      </c>
      <c r="AA979" s="7" t="s">
        <v>341</v>
      </c>
      <c r="AB979" s="7" t="s">
        <v>130</v>
      </c>
      <c r="AC979" s="7" t="s">
        <v>79</v>
      </c>
      <c r="AD979" s="7" t="s">
        <v>80</v>
      </c>
      <c r="AE979" s="7" t="s">
        <v>82</v>
      </c>
      <c r="AF979" s="7" t="s">
        <v>0</v>
      </c>
      <c r="AG979" s="7" t="s">
        <v>4925</v>
      </c>
      <c r="AH979" s="9" t="s">
        <v>12262</v>
      </c>
      <c r="AI979" s="9" t="s">
        <v>12263</v>
      </c>
      <c r="AJ979" s="9" t="s">
        <v>12264</v>
      </c>
      <c r="AK979" s="7" t="s">
        <v>81</v>
      </c>
      <c r="AL979" s="7" t="s">
        <v>61</v>
      </c>
      <c r="AM979" s="7" t="s">
        <v>0</v>
      </c>
      <c r="AN979" s="7" t="s">
        <v>0</v>
      </c>
      <c r="AO979" s="7" t="s">
        <v>0</v>
      </c>
      <c r="AP979" s="7" t="s">
        <v>0</v>
      </c>
      <c r="AQ979" s="7" t="s">
        <v>61</v>
      </c>
      <c r="AR979" s="7" t="s">
        <v>0</v>
      </c>
      <c r="AS979" s="10" t="str">
        <f>HYPERLINK("https://tessa.gazprom-neft.local/edo/card/897309c1-14ad-4bfa-87cb-cf5687696b36", "https://tessa.gazprom-neft.local/edo/card/897309c1-14ad-4bfa-87cb-cf5687696b36")</f>
        <v>https://tessa.gazprom-neft.local/edo/card/897309c1-14ad-4bfa-87cb-cf5687696b36</v>
      </c>
    </row>
    <row r="980" spans="1:45" hidden="1" x14ac:dyDescent="0.25">
      <c r="A980" s="6" t="s">
        <v>44</v>
      </c>
      <c r="B980" s="7" t="s">
        <v>4898</v>
      </c>
      <c r="C980" s="7" t="s">
        <v>67</v>
      </c>
      <c r="D980" s="8">
        <v>45132</v>
      </c>
      <c r="E980" s="8" t="s">
        <v>0</v>
      </c>
      <c r="F980" s="16" t="s">
        <v>4899</v>
      </c>
      <c r="G980" s="7" t="s">
        <v>4900</v>
      </c>
      <c r="H980" s="7" t="s">
        <v>0</v>
      </c>
      <c r="I980" s="7" t="s">
        <v>4929</v>
      </c>
      <c r="J980" s="7" t="s">
        <v>4929</v>
      </c>
      <c r="K980" s="7" t="s">
        <v>47</v>
      </c>
      <c r="L980" s="7" t="s">
        <v>86</v>
      </c>
      <c r="M980" s="7" t="s">
        <v>0</v>
      </c>
      <c r="N980" s="7" t="s">
        <v>4928</v>
      </c>
      <c r="O980" s="7" t="s">
        <v>0</v>
      </c>
      <c r="P980" s="7" t="s">
        <v>2017</v>
      </c>
      <c r="Q980" s="7" t="s">
        <v>4930</v>
      </c>
      <c r="R980" s="7" t="s">
        <v>646</v>
      </c>
      <c r="S980" s="7" t="s">
        <v>233</v>
      </c>
      <c r="T980" s="7" t="s">
        <v>54</v>
      </c>
      <c r="U980" s="7" t="s">
        <v>55</v>
      </c>
      <c r="V980" s="7" t="s">
        <v>91</v>
      </c>
      <c r="W980" s="7" t="s">
        <v>74</v>
      </c>
      <c r="X980" s="7" t="s">
        <v>103</v>
      </c>
      <c r="Y980" s="8">
        <v>45132</v>
      </c>
      <c r="Z980" s="8">
        <v>45205</v>
      </c>
      <c r="AA980" s="7" t="s">
        <v>92</v>
      </c>
      <c r="AB980" s="7" t="s">
        <v>237</v>
      </c>
      <c r="AC980" s="7" t="s">
        <v>65</v>
      </c>
      <c r="AD980" s="7" t="s">
        <v>0</v>
      </c>
      <c r="AE980" s="7" t="s">
        <v>0</v>
      </c>
      <c r="AF980" s="7" t="s">
        <v>0</v>
      </c>
      <c r="AG980" s="7" t="s">
        <v>0</v>
      </c>
      <c r="AH980" s="9" t="s">
        <v>0</v>
      </c>
      <c r="AI980" s="9" t="s">
        <v>0</v>
      </c>
      <c r="AJ980" s="9" t="s">
        <v>0</v>
      </c>
      <c r="AK980" s="7" t="s">
        <v>61</v>
      </c>
      <c r="AL980" s="7" t="s">
        <v>61</v>
      </c>
      <c r="AM980" s="7" t="s">
        <v>0</v>
      </c>
      <c r="AN980" s="7" t="s">
        <v>0</v>
      </c>
      <c r="AO980" s="7" t="s">
        <v>0</v>
      </c>
      <c r="AP980" s="7" t="s">
        <v>0</v>
      </c>
      <c r="AQ980" s="7" t="s">
        <v>61</v>
      </c>
      <c r="AR980" s="7" t="s">
        <v>0</v>
      </c>
      <c r="AS980" s="10" t="str">
        <f>HYPERLINK("https://tessa.gazprom-neft.local/edo/card/9d8c7572-ef11-4db7-9c43-74f5e3881c21", "https://tessa.gazprom-neft.local/edo/card/9d8c7572-ef11-4db7-9c43-74f5e3881c21")</f>
        <v>https://tessa.gazprom-neft.local/edo/card/9d8c7572-ef11-4db7-9c43-74f5e3881c21</v>
      </c>
    </row>
    <row r="981" spans="1:45" hidden="1" x14ac:dyDescent="0.25">
      <c r="A981" s="6" t="s">
        <v>44</v>
      </c>
      <c r="B981" s="7" t="s">
        <v>1240</v>
      </c>
      <c r="C981" s="7" t="s">
        <v>67</v>
      </c>
      <c r="D981" s="8">
        <v>45132</v>
      </c>
      <c r="E981" s="8" t="s">
        <v>0</v>
      </c>
      <c r="F981" s="16" t="s">
        <v>1241</v>
      </c>
      <c r="G981" s="7" t="s">
        <v>1242</v>
      </c>
      <c r="H981" s="7" t="s">
        <v>2042</v>
      </c>
      <c r="I981" s="7" t="s">
        <v>0</v>
      </c>
      <c r="J981" s="7" t="s">
        <v>271</v>
      </c>
      <c r="K981" s="7" t="s">
        <v>47</v>
      </c>
      <c r="L981" s="7" t="s">
        <v>493</v>
      </c>
      <c r="M981" s="7" t="s">
        <v>0</v>
      </c>
      <c r="N981" s="7" t="s">
        <v>5144</v>
      </c>
      <c r="O981" s="7" t="s">
        <v>0</v>
      </c>
      <c r="P981" s="7" t="s">
        <v>1679</v>
      </c>
      <c r="Q981" s="7" t="s">
        <v>5145</v>
      </c>
      <c r="R981" s="7" t="s">
        <v>1120</v>
      </c>
      <c r="S981" s="7" t="s">
        <v>1120</v>
      </c>
      <c r="T981" s="7" t="s">
        <v>54</v>
      </c>
      <c r="U981" s="7" t="s">
        <v>294</v>
      </c>
      <c r="V981" s="7" t="s">
        <v>864</v>
      </c>
      <c r="W981" s="7" t="s">
        <v>74</v>
      </c>
      <c r="X981" s="7" t="s">
        <v>58</v>
      </c>
      <c r="Y981" s="8">
        <v>45132</v>
      </c>
      <c r="Z981" s="8" t="s">
        <v>0</v>
      </c>
      <c r="AA981" s="7" t="s">
        <v>865</v>
      </c>
      <c r="AB981" s="7" t="s">
        <v>1354</v>
      </c>
      <c r="AC981" s="7" t="s">
        <v>278</v>
      </c>
      <c r="AD981" s="7" t="s">
        <v>80</v>
      </c>
      <c r="AE981" s="7" t="s">
        <v>82</v>
      </c>
      <c r="AF981" s="7" t="s">
        <v>0</v>
      </c>
      <c r="AG981" s="7" t="s">
        <v>0</v>
      </c>
      <c r="AH981" s="9" t="s">
        <v>12365</v>
      </c>
      <c r="AI981" s="9" t="s">
        <v>12366</v>
      </c>
      <c r="AJ981" s="9" t="s">
        <v>12367</v>
      </c>
      <c r="AK981" s="7" t="s">
        <v>61</v>
      </c>
      <c r="AL981" s="7" t="s">
        <v>61</v>
      </c>
      <c r="AM981" s="7" t="s">
        <v>0</v>
      </c>
      <c r="AN981" s="7" t="s">
        <v>0</v>
      </c>
      <c r="AO981" s="7" t="s">
        <v>0</v>
      </c>
      <c r="AP981" s="7" t="s">
        <v>0</v>
      </c>
      <c r="AQ981" s="7" t="s">
        <v>61</v>
      </c>
      <c r="AR981" s="7" t="s">
        <v>0</v>
      </c>
      <c r="AS981" s="10" t="str">
        <f>HYPERLINK("https://tessa.gazprom-neft.local/edo/card/e53cab1f-c688-4701-a211-f1dad95543f9", "https://tessa.gazprom-neft.local/edo/card/e53cab1f-c688-4701-a211-f1dad95543f9")</f>
        <v>https://tessa.gazprom-neft.local/edo/card/e53cab1f-c688-4701-a211-f1dad95543f9</v>
      </c>
    </row>
    <row r="982" spans="1:45" x14ac:dyDescent="0.25">
      <c r="A982" s="6" t="s">
        <v>44</v>
      </c>
      <c r="B982" s="7" t="s">
        <v>620</v>
      </c>
      <c r="C982" s="7" t="s">
        <v>67</v>
      </c>
      <c r="D982" s="8">
        <v>45132</v>
      </c>
      <c r="E982" s="8" t="s">
        <v>0</v>
      </c>
      <c r="F982" s="16" t="s">
        <v>621</v>
      </c>
      <c r="G982" s="7" t="s">
        <v>622</v>
      </c>
      <c r="H982" s="7" t="s">
        <v>618</v>
      </c>
      <c r="I982" s="7" t="s">
        <v>0</v>
      </c>
      <c r="J982" s="7" t="s">
        <v>51</v>
      </c>
      <c r="K982" s="7" t="s">
        <v>47</v>
      </c>
      <c r="L982" s="7" t="s">
        <v>48</v>
      </c>
      <c r="M982" s="7" t="s">
        <v>0</v>
      </c>
      <c r="N982" s="7" t="s">
        <v>5175</v>
      </c>
      <c r="O982" s="7" t="s">
        <v>0</v>
      </c>
      <c r="P982" s="7" t="s">
        <v>5176</v>
      </c>
      <c r="Q982" s="7" t="s">
        <v>5177</v>
      </c>
      <c r="R982" s="7" t="s">
        <v>393</v>
      </c>
      <c r="S982" s="7" t="s">
        <v>209</v>
      </c>
      <c r="T982" s="7" t="s">
        <v>54</v>
      </c>
      <c r="U982" s="7" t="s">
        <v>210</v>
      </c>
      <c r="V982" s="7" t="s">
        <v>126</v>
      </c>
      <c r="W982" s="7" t="s">
        <v>74</v>
      </c>
      <c r="X982" s="7" t="s">
        <v>58</v>
      </c>
      <c r="Y982" s="8">
        <v>45132</v>
      </c>
      <c r="Z982" s="8" t="s">
        <v>0</v>
      </c>
      <c r="AA982" s="7" t="s">
        <v>224</v>
      </c>
      <c r="AB982" s="7" t="s">
        <v>130</v>
      </c>
      <c r="AC982" s="7" t="s">
        <v>65</v>
      </c>
      <c r="AD982" s="7" t="s">
        <v>80</v>
      </c>
      <c r="AE982" s="7" t="s">
        <v>0</v>
      </c>
      <c r="AF982" s="7" t="s">
        <v>0</v>
      </c>
      <c r="AG982" s="7" t="s">
        <v>0</v>
      </c>
      <c r="AH982" s="9" t="s">
        <v>0</v>
      </c>
      <c r="AI982" s="9" t="s">
        <v>0</v>
      </c>
      <c r="AJ982" s="9" t="s">
        <v>0</v>
      </c>
      <c r="AK982" s="7" t="s">
        <v>61</v>
      </c>
      <c r="AL982" s="7" t="s">
        <v>61</v>
      </c>
      <c r="AM982" s="7" t="s">
        <v>0</v>
      </c>
      <c r="AN982" s="7" t="s">
        <v>0</v>
      </c>
      <c r="AO982" s="7" t="s">
        <v>0</v>
      </c>
      <c r="AP982" s="7" t="s">
        <v>0</v>
      </c>
      <c r="AQ982" s="7" t="s">
        <v>61</v>
      </c>
      <c r="AR982" s="7" t="s">
        <v>0</v>
      </c>
      <c r="AS982" s="10" t="str">
        <f>HYPERLINK("https://tessa.gazprom-neft.local/edo/card/d579b748-7abe-4593-a8d1-903754dd6450", "https://tessa.gazprom-neft.local/edo/card/d579b748-7abe-4593-a8d1-903754dd6450")</f>
        <v>https://tessa.gazprom-neft.local/edo/card/d579b748-7abe-4593-a8d1-903754dd6450</v>
      </c>
    </row>
    <row r="983" spans="1:45" hidden="1" x14ac:dyDescent="0.25">
      <c r="A983" s="6" t="s">
        <v>44</v>
      </c>
      <c r="B983" s="7" t="s">
        <v>0</v>
      </c>
      <c r="C983" s="7" t="s">
        <v>67</v>
      </c>
      <c r="D983" s="8">
        <v>45131</v>
      </c>
      <c r="E983" s="8" t="s">
        <v>0</v>
      </c>
      <c r="F983" s="16" t="s">
        <v>4904</v>
      </c>
      <c r="G983" s="7" t="s">
        <v>0</v>
      </c>
      <c r="H983" s="7" t="s">
        <v>0</v>
      </c>
      <c r="I983" s="7" t="s">
        <v>4936</v>
      </c>
      <c r="J983" s="7" t="s">
        <v>4936</v>
      </c>
      <c r="K983" s="7" t="s">
        <v>85</v>
      </c>
      <c r="L983" s="7" t="s">
        <v>86</v>
      </c>
      <c r="M983" s="7" t="s">
        <v>523</v>
      </c>
      <c r="N983" s="7" t="s">
        <v>4935</v>
      </c>
      <c r="O983" s="7" t="s">
        <v>0</v>
      </c>
      <c r="P983" s="7" t="s">
        <v>523</v>
      </c>
      <c r="Q983" s="7" t="s">
        <v>4937</v>
      </c>
      <c r="R983" s="7" t="s">
        <v>540</v>
      </c>
      <c r="S983" s="7" t="s">
        <v>0</v>
      </c>
      <c r="T983" s="7" t="s">
        <v>54</v>
      </c>
      <c r="U983" s="7" t="s">
        <v>541</v>
      </c>
      <c r="V983" s="7" t="s">
        <v>91</v>
      </c>
      <c r="W983" s="7" t="s">
        <v>57</v>
      </c>
      <c r="X983" s="7" t="s">
        <v>103</v>
      </c>
      <c r="Y983" s="8">
        <v>45139</v>
      </c>
      <c r="Z983" s="8">
        <v>45169</v>
      </c>
      <c r="AA983" s="7" t="s">
        <v>92</v>
      </c>
      <c r="AB983" s="7" t="s">
        <v>94</v>
      </c>
      <c r="AC983" s="7" t="s">
        <v>65</v>
      </c>
      <c r="AD983" s="7" t="s">
        <v>0</v>
      </c>
      <c r="AE983" s="7" t="s">
        <v>0</v>
      </c>
      <c r="AF983" s="7" t="s">
        <v>0</v>
      </c>
      <c r="AG983" s="7" t="s">
        <v>0</v>
      </c>
      <c r="AH983" s="9" t="s">
        <v>0</v>
      </c>
      <c r="AI983" s="9" t="s">
        <v>0</v>
      </c>
      <c r="AJ983" s="9" t="s">
        <v>0</v>
      </c>
      <c r="AK983" s="7" t="s">
        <v>61</v>
      </c>
      <c r="AL983" s="7" t="s">
        <v>61</v>
      </c>
      <c r="AM983" s="7" t="s">
        <v>0</v>
      </c>
      <c r="AN983" s="7" t="s">
        <v>0</v>
      </c>
      <c r="AO983" s="7" t="s">
        <v>0</v>
      </c>
      <c r="AP983" s="7" t="s">
        <v>0</v>
      </c>
      <c r="AQ983" s="7" t="s">
        <v>61</v>
      </c>
      <c r="AR983" s="7" t="s">
        <v>0</v>
      </c>
      <c r="AS983" s="10" t="str">
        <f>HYPERLINK("https://tessa.gazprom-neft.local/edo/card/04e73b15-e73d-43ac-84d2-e33b3582b846", "https://tessa.gazprom-neft.local/edo/card/04e73b15-e73d-43ac-84d2-e33b3582b846")</f>
        <v>https://tessa.gazprom-neft.local/edo/card/04e73b15-e73d-43ac-84d2-e33b3582b846</v>
      </c>
    </row>
    <row r="984" spans="1:45" hidden="1" x14ac:dyDescent="0.25">
      <c r="A984" s="6" t="s">
        <v>44</v>
      </c>
      <c r="B984" s="7" t="s">
        <v>1935</v>
      </c>
      <c r="C984" s="7" t="s">
        <v>67</v>
      </c>
      <c r="D984" s="8">
        <v>45131</v>
      </c>
      <c r="E984" s="8" t="s">
        <v>0</v>
      </c>
      <c r="F984" s="16" t="s">
        <v>1936</v>
      </c>
      <c r="G984" s="7" t="s">
        <v>1937</v>
      </c>
      <c r="H984" s="7" t="s">
        <v>0</v>
      </c>
      <c r="I984" s="7" t="s">
        <v>4991</v>
      </c>
      <c r="J984" s="7" t="s">
        <v>4991</v>
      </c>
      <c r="K984" s="7" t="s">
        <v>47</v>
      </c>
      <c r="L984" s="7" t="s">
        <v>86</v>
      </c>
      <c r="M984" s="7" t="s">
        <v>0</v>
      </c>
      <c r="N984" s="7" t="s">
        <v>4990</v>
      </c>
      <c r="O984" s="7" t="s">
        <v>0</v>
      </c>
      <c r="P984" s="7" t="s">
        <v>4220</v>
      </c>
      <c r="Q984" s="7" t="s">
        <v>4992</v>
      </c>
      <c r="R984" s="7" t="s">
        <v>1199</v>
      </c>
      <c r="S984" s="7" t="s">
        <v>1199</v>
      </c>
      <c r="T984" s="7" t="s">
        <v>54</v>
      </c>
      <c r="U984" s="7" t="s">
        <v>605</v>
      </c>
      <c r="V984" s="7" t="s">
        <v>126</v>
      </c>
      <c r="W984" s="7" t="s">
        <v>57</v>
      </c>
      <c r="X984" s="7" t="s">
        <v>58</v>
      </c>
      <c r="Y984" s="8">
        <v>45033</v>
      </c>
      <c r="Z984" s="8" t="s">
        <v>0</v>
      </c>
      <c r="AA984" s="7" t="s">
        <v>224</v>
      </c>
      <c r="AB984" s="7" t="s">
        <v>1203</v>
      </c>
      <c r="AC984" s="7" t="s">
        <v>79</v>
      </c>
      <c r="AD984" s="7" t="s">
        <v>80</v>
      </c>
      <c r="AE984" s="7" t="s">
        <v>193</v>
      </c>
      <c r="AF984" s="7" t="s">
        <v>0</v>
      </c>
      <c r="AG984" s="7" t="s">
        <v>0</v>
      </c>
      <c r="AH984" s="9" t="s">
        <v>12292</v>
      </c>
      <c r="AI984" s="9" t="s">
        <v>12293</v>
      </c>
      <c r="AJ984" s="9">
        <v>775</v>
      </c>
      <c r="AK984" s="7" t="s">
        <v>61</v>
      </c>
      <c r="AL984" s="7" t="s">
        <v>61</v>
      </c>
      <c r="AM984" s="7" t="s">
        <v>0</v>
      </c>
      <c r="AN984" s="7" t="s">
        <v>0</v>
      </c>
      <c r="AO984" s="7" t="s">
        <v>0</v>
      </c>
      <c r="AP984" s="7" t="s">
        <v>0</v>
      </c>
      <c r="AQ984" s="7" t="s">
        <v>61</v>
      </c>
      <c r="AR984" s="7" t="s">
        <v>0</v>
      </c>
      <c r="AS984" s="10" t="str">
        <f>HYPERLINK("https://tessa.gazprom-neft.local/edo/card/364616c2-755c-449a-b135-8f3a3556e5b1", "https://tessa.gazprom-neft.local/edo/card/364616c2-755c-449a-b135-8f3a3556e5b1")</f>
        <v>https://tessa.gazprom-neft.local/edo/card/364616c2-755c-449a-b135-8f3a3556e5b1</v>
      </c>
    </row>
    <row r="985" spans="1:45" hidden="1" x14ac:dyDescent="0.25">
      <c r="A985" s="6" t="s">
        <v>44</v>
      </c>
      <c r="B985" s="7" t="s">
        <v>661</v>
      </c>
      <c r="C985" s="7" t="s">
        <v>67</v>
      </c>
      <c r="D985" s="8">
        <v>45131</v>
      </c>
      <c r="E985" s="8" t="s">
        <v>0</v>
      </c>
      <c r="F985" s="16" t="s">
        <v>662</v>
      </c>
      <c r="G985" s="7" t="s">
        <v>663</v>
      </c>
      <c r="H985" s="7" t="s">
        <v>0</v>
      </c>
      <c r="I985" s="7" t="s">
        <v>5047</v>
      </c>
      <c r="J985" s="7" t="s">
        <v>5047</v>
      </c>
      <c r="K985" s="7" t="s">
        <v>47</v>
      </c>
      <c r="L985" s="7" t="s">
        <v>96</v>
      </c>
      <c r="M985" s="7" t="s">
        <v>0</v>
      </c>
      <c r="N985" s="7" t="s">
        <v>5046</v>
      </c>
      <c r="O985" s="7" t="s">
        <v>0</v>
      </c>
      <c r="P985" s="7" t="s">
        <v>434</v>
      </c>
      <c r="Q985" s="7" t="s">
        <v>5048</v>
      </c>
      <c r="R985" s="7" t="s">
        <v>1481</v>
      </c>
      <c r="S985" s="7" t="s">
        <v>1481</v>
      </c>
      <c r="T985" s="7" t="s">
        <v>54</v>
      </c>
      <c r="U985" s="7" t="s">
        <v>777</v>
      </c>
      <c r="V985" s="7" t="s">
        <v>91</v>
      </c>
      <c r="W985" s="7" t="s">
        <v>74</v>
      </c>
      <c r="X985" s="7" t="s">
        <v>103</v>
      </c>
      <c r="Y985" s="8">
        <v>45131</v>
      </c>
      <c r="Z985" s="8">
        <v>47118</v>
      </c>
      <c r="AA985" s="7" t="s">
        <v>92</v>
      </c>
      <c r="AB985" s="7" t="s">
        <v>5049</v>
      </c>
      <c r="AC985" s="7" t="s">
        <v>65</v>
      </c>
      <c r="AD985" s="7" t="s">
        <v>0</v>
      </c>
      <c r="AE985" s="7" t="s">
        <v>0</v>
      </c>
      <c r="AF985" s="7" t="s">
        <v>0</v>
      </c>
      <c r="AG985" s="7" t="s">
        <v>0</v>
      </c>
      <c r="AH985" s="9" t="s">
        <v>0</v>
      </c>
      <c r="AI985" s="9" t="s">
        <v>0</v>
      </c>
      <c r="AJ985" s="9" t="s">
        <v>0</v>
      </c>
      <c r="AK985" s="7" t="s">
        <v>61</v>
      </c>
      <c r="AL985" s="7" t="s">
        <v>61</v>
      </c>
      <c r="AM985" s="7" t="s">
        <v>0</v>
      </c>
      <c r="AN985" s="7" t="s">
        <v>0</v>
      </c>
      <c r="AO985" s="7" t="s">
        <v>0</v>
      </c>
      <c r="AP985" s="7" t="s">
        <v>0</v>
      </c>
      <c r="AQ985" s="7" t="s">
        <v>61</v>
      </c>
      <c r="AR985" s="7" t="s">
        <v>0</v>
      </c>
      <c r="AS985" s="10" t="str">
        <f>HYPERLINK("https://tessa.gazprom-neft.local/edo/card/2f8eb2b2-c828-4a7a-bef3-0da16158d655", "https://tessa.gazprom-neft.local/edo/card/2f8eb2b2-c828-4a7a-bef3-0da16158d655")</f>
        <v>https://tessa.gazprom-neft.local/edo/card/2f8eb2b2-c828-4a7a-bef3-0da16158d655</v>
      </c>
    </row>
    <row r="986" spans="1:45" hidden="1" x14ac:dyDescent="0.25">
      <c r="A986" s="6" t="s">
        <v>44</v>
      </c>
      <c r="B986" s="7" t="s">
        <v>0</v>
      </c>
      <c r="C986" s="7" t="s">
        <v>67</v>
      </c>
      <c r="D986" s="8">
        <v>45131</v>
      </c>
      <c r="E986" s="8" t="s">
        <v>0</v>
      </c>
      <c r="F986" s="16" t="s">
        <v>5103</v>
      </c>
      <c r="G986" s="7" t="s">
        <v>0</v>
      </c>
      <c r="H986" s="7" t="s">
        <v>0</v>
      </c>
      <c r="I986" s="7" t="s">
        <v>5100</v>
      </c>
      <c r="J986" s="7" t="s">
        <v>5100</v>
      </c>
      <c r="K986" s="7" t="s">
        <v>47</v>
      </c>
      <c r="L986" s="7" t="s">
        <v>96</v>
      </c>
      <c r="M986" s="7" t="s">
        <v>0</v>
      </c>
      <c r="N986" s="7" t="s">
        <v>5099</v>
      </c>
      <c r="O986" s="7" t="s">
        <v>0</v>
      </c>
      <c r="P986" s="7" t="s">
        <v>5101</v>
      </c>
      <c r="Q986" s="7" t="s">
        <v>5102</v>
      </c>
      <c r="R986" s="7" t="s">
        <v>1829</v>
      </c>
      <c r="S986" s="7" t="s">
        <v>1172</v>
      </c>
      <c r="T986" s="7" t="s">
        <v>54</v>
      </c>
      <c r="U986" s="7" t="s">
        <v>307</v>
      </c>
      <c r="V986" s="7" t="s">
        <v>126</v>
      </c>
      <c r="W986" s="7" t="s">
        <v>57</v>
      </c>
      <c r="X986" s="7" t="s">
        <v>103</v>
      </c>
      <c r="Y986" s="8">
        <v>45131</v>
      </c>
      <c r="Z986" s="8">
        <v>45169</v>
      </c>
      <c r="AA986" s="7" t="s">
        <v>224</v>
      </c>
      <c r="AB986" s="7" t="s">
        <v>130</v>
      </c>
      <c r="AC986" s="7" t="s">
        <v>79</v>
      </c>
      <c r="AD986" s="7" t="s">
        <v>514</v>
      </c>
      <c r="AE986" s="7" t="s">
        <v>82</v>
      </c>
      <c r="AF986" s="7" t="s">
        <v>0</v>
      </c>
      <c r="AG986" s="7" t="s">
        <v>0</v>
      </c>
      <c r="AH986" s="9" t="s">
        <v>12340</v>
      </c>
      <c r="AI986" s="9" t="s">
        <v>12341</v>
      </c>
      <c r="AJ986" s="9" t="s">
        <v>12342</v>
      </c>
      <c r="AK986" s="7" t="s">
        <v>61</v>
      </c>
      <c r="AL986" s="7" t="s">
        <v>61</v>
      </c>
      <c r="AM986" s="7" t="s">
        <v>0</v>
      </c>
      <c r="AN986" s="7" t="s">
        <v>0</v>
      </c>
      <c r="AO986" s="7" t="s">
        <v>0</v>
      </c>
      <c r="AP986" s="7" t="s">
        <v>0</v>
      </c>
      <c r="AQ986" s="7" t="s">
        <v>61</v>
      </c>
      <c r="AR986" s="7" t="s">
        <v>0</v>
      </c>
      <c r="AS986" s="10" t="str">
        <f>HYPERLINK("https://tessa.gazprom-neft.local/edo/card/a54a58ba-99e8-445e-b728-76cbfda09cd3", "https://tessa.gazprom-neft.local/edo/card/a54a58ba-99e8-445e-b728-76cbfda09cd3")</f>
        <v>https://tessa.gazprom-neft.local/edo/card/a54a58ba-99e8-445e-b728-76cbfda09cd3</v>
      </c>
    </row>
    <row r="987" spans="1:45" x14ac:dyDescent="0.25">
      <c r="A987" s="6" t="s">
        <v>44</v>
      </c>
      <c r="B987" s="7" t="s">
        <v>488</v>
      </c>
      <c r="C987" s="7" t="s">
        <v>67</v>
      </c>
      <c r="D987" s="8">
        <v>45131</v>
      </c>
      <c r="E987" s="8" t="s">
        <v>0</v>
      </c>
      <c r="F987" s="16" t="s">
        <v>489</v>
      </c>
      <c r="G987" s="7" t="s">
        <v>490</v>
      </c>
      <c r="H987" s="7" t="s">
        <v>870</v>
      </c>
      <c r="I987" s="7" t="s">
        <v>0</v>
      </c>
      <c r="J987" s="7" t="s">
        <v>1098</v>
      </c>
      <c r="K987" s="7" t="s">
        <v>47</v>
      </c>
      <c r="L987" s="7" t="s">
        <v>48</v>
      </c>
      <c r="M987" s="7" t="s">
        <v>0</v>
      </c>
      <c r="N987" s="7" t="s">
        <v>5138</v>
      </c>
      <c r="O987" s="7" t="s">
        <v>0</v>
      </c>
      <c r="P987" s="7" t="s">
        <v>5139</v>
      </c>
      <c r="Q987" s="7" t="s">
        <v>3846</v>
      </c>
      <c r="R987" s="7" t="s">
        <v>282</v>
      </c>
      <c r="S987" s="7" t="s">
        <v>0</v>
      </c>
      <c r="T987" s="7" t="s">
        <v>54</v>
      </c>
      <c r="U987" s="7" t="s">
        <v>55</v>
      </c>
      <c r="V987" s="7" t="s">
        <v>846</v>
      </c>
      <c r="W987" s="7" t="s">
        <v>74</v>
      </c>
      <c r="X987" s="7" t="s">
        <v>103</v>
      </c>
      <c r="Y987" s="8">
        <v>45131</v>
      </c>
      <c r="Z987" s="8">
        <v>45291</v>
      </c>
      <c r="AA987" s="7" t="s">
        <v>847</v>
      </c>
      <c r="AB987" s="7" t="s">
        <v>130</v>
      </c>
      <c r="AC987" s="7" t="s">
        <v>79</v>
      </c>
      <c r="AD987" s="7" t="s">
        <v>144</v>
      </c>
      <c r="AE987" s="7" t="s">
        <v>82</v>
      </c>
      <c r="AF987" s="7" t="s">
        <v>0</v>
      </c>
      <c r="AG987" s="7" t="s">
        <v>0</v>
      </c>
      <c r="AH987" s="9" t="s">
        <v>12359</v>
      </c>
      <c r="AI987" s="9" t="s">
        <v>12360</v>
      </c>
      <c r="AJ987" s="9" t="s">
        <v>12361</v>
      </c>
      <c r="AK987" s="7" t="s">
        <v>61</v>
      </c>
      <c r="AL987" s="7" t="s">
        <v>61</v>
      </c>
      <c r="AM987" s="7" t="s">
        <v>0</v>
      </c>
      <c r="AN987" s="7" t="s">
        <v>0</v>
      </c>
      <c r="AO987" s="7" t="s">
        <v>0</v>
      </c>
      <c r="AP987" s="7" t="s">
        <v>0</v>
      </c>
      <c r="AQ987" s="7" t="s">
        <v>61</v>
      </c>
      <c r="AR987" s="7" t="s">
        <v>0</v>
      </c>
      <c r="AS987" s="10" t="str">
        <f>HYPERLINK("https://tessa.gazprom-neft.local/edo/card/195d950c-3526-4213-a831-8f34afb19e99", "https://tessa.gazprom-neft.local/edo/card/195d950c-3526-4213-a831-8f34afb19e99")</f>
        <v>https://tessa.gazprom-neft.local/edo/card/195d950c-3526-4213-a831-8f34afb19e99</v>
      </c>
    </row>
    <row r="988" spans="1:45" hidden="1" x14ac:dyDescent="0.25">
      <c r="A988" s="6" t="s">
        <v>44</v>
      </c>
      <c r="B988" s="7" t="s">
        <v>450</v>
      </c>
      <c r="C988" s="7" t="s">
        <v>67</v>
      </c>
      <c r="D988" s="8">
        <v>45131</v>
      </c>
      <c r="E988" s="8" t="s">
        <v>0</v>
      </c>
      <c r="F988" s="16" t="s">
        <v>5361</v>
      </c>
      <c r="G988" s="7" t="s">
        <v>452</v>
      </c>
      <c r="H988" s="7" t="s">
        <v>5356</v>
      </c>
      <c r="I988" s="7" t="s">
        <v>0</v>
      </c>
      <c r="J988" s="7" t="s">
        <v>5358</v>
      </c>
      <c r="K988" s="7" t="s">
        <v>47</v>
      </c>
      <c r="L988" s="7" t="s">
        <v>1858</v>
      </c>
      <c r="M988" s="7" t="s">
        <v>0</v>
      </c>
      <c r="N988" s="7" t="s">
        <v>5355</v>
      </c>
      <c r="O988" s="7" t="s">
        <v>0</v>
      </c>
      <c r="P988" s="7" t="s">
        <v>5357</v>
      </c>
      <c r="Q988" s="7" t="s">
        <v>5359</v>
      </c>
      <c r="R988" s="7" t="s">
        <v>5360</v>
      </c>
      <c r="S988" s="7" t="s">
        <v>5360</v>
      </c>
      <c r="T988" s="7" t="s">
        <v>54</v>
      </c>
      <c r="U988" s="7" t="s">
        <v>44</v>
      </c>
      <c r="V988" s="7" t="s">
        <v>137</v>
      </c>
      <c r="W988" s="7" t="s">
        <v>57</v>
      </c>
      <c r="X988" s="7" t="s">
        <v>223</v>
      </c>
      <c r="Y988" s="8">
        <v>45131</v>
      </c>
      <c r="Z988" s="8" t="s">
        <v>0</v>
      </c>
      <c r="AA988" s="7" t="s">
        <v>0</v>
      </c>
      <c r="AB988" s="7" t="s">
        <v>5362</v>
      </c>
      <c r="AC988" s="7" t="s">
        <v>65</v>
      </c>
      <c r="AD988" s="7" t="s">
        <v>0</v>
      </c>
      <c r="AE988" s="7" t="s">
        <v>0</v>
      </c>
      <c r="AF988" s="7" t="s">
        <v>0</v>
      </c>
      <c r="AG988" s="7" t="s">
        <v>0</v>
      </c>
      <c r="AH988" s="9" t="s">
        <v>0</v>
      </c>
      <c r="AI988" s="9" t="s">
        <v>0</v>
      </c>
      <c r="AJ988" s="9" t="s">
        <v>0</v>
      </c>
      <c r="AK988" s="7" t="s">
        <v>61</v>
      </c>
      <c r="AL988" s="7" t="s">
        <v>61</v>
      </c>
      <c r="AM988" s="7" t="s">
        <v>0</v>
      </c>
      <c r="AN988" s="7" t="s">
        <v>0</v>
      </c>
      <c r="AO988" s="7" t="s">
        <v>0</v>
      </c>
      <c r="AP988" s="7" t="s">
        <v>0</v>
      </c>
      <c r="AQ988" s="7" t="s">
        <v>61</v>
      </c>
      <c r="AR988" s="7" t="s">
        <v>0</v>
      </c>
      <c r="AS988" s="10" t="str">
        <f>HYPERLINK("https://tessa.gazprom-neft.local/edo/card/f7dcf1c2-5b64-44a1-9d07-095486944177", "https://tessa.gazprom-neft.local/edo/card/f7dcf1c2-5b64-44a1-9d07-095486944177")</f>
        <v>https://tessa.gazprom-neft.local/edo/card/f7dcf1c2-5b64-44a1-9d07-095486944177</v>
      </c>
    </row>
    <row r="989" spans="1:45" x14ac:dyDescent="0.25">
      <c r="A989" s="6" t="s">
        <v>44</v>
      </c>
      <c r="B989" s="7" t="s">
        <v>1240</v>
      </c>
      <c r="C989" s="7" t="s">
        <v>67</v>
      </c>
      <c r="D989" s="8">
        <v>45128</v>
      </c>
      <c r="E989" s="8" t="s">
        <v>0</v>
      </c>
      <c r="F989" s="16" t="s">
        <v>1241</v>
      </c>
      <c r="G989" s="7" t="s">
        <v>1242</v>
      </c>
      <c r="H989" s="7" t="s">
        <v>3083</v>
      </c>
      <c r="I989" s="7" t="s">
        <v>0</v>
      </c>
      <c r="J989" s="7" t="s">
        <v>872</v>
      </c>
      <c r="K989" s="7" t="s">
        <v>47</v>
      </c>
      <c r="L989" s="7" t="s">
        <v>48</v>
      </c>
      <c r="M989" s="7" t="s">
        <v>0</v>
      </c>
      <c r="N989" s="7" t="s">
        <v>5003</v>
      </c>
      <c r="O989" s="7" t="s">
        <v>0</v>
      </c>
      <c r="P989" s="7" t="s">
        <v>5004</v>
      </c>
      <c r="Q989" s="7" t="s">
        <v>5005</v>
      </c>
      <c r="R989" s="7" t="s">
        <v>393</v>
      </c>
      <c r="S989" s="7" t="s">
        <v>1261</v>
      </c>
      <c r="T989" s="7" t="s">
        <v>54</v>
      </c>
      <c r="U989" s="7" t="s">
        <v>125</v>
      </c>
      <c r="V989" s="7" t="s">
        <v>126</v>
      </c>
      <c r="W989" s="7" t="s">
        <v>74</v>
      </c>
      <c r="X989" s="7" t="s">
        <v>58</v>
      </c>
      <c r="Y989" s="8">
        <v>45128</v>
      </c>
      <c r="Z989" s="8" t="s">
        <v>0</v>
      </c>
      <c r="AA989" s="7" t="s">
        <v>224</v>
      </c>
      <c r="AB989" s="7" t="s">
        <v>1243</v>
      </c>
      <c r="AC989" s="7" t="s">
        <v>65</v>
      </c>
      <c r="AD989" s="7" t="s">
        <v>144</v>
      </c>
      <c r="AE989" s="7" t="s">
        <v>0</v>
      </c>
      <c r="AF989" s="7" t="s">
        <v>0</v>
      </c>
      <c r="AG989" s="7" t="s">
        <v>0</v>
      </c>
      <c r="AH989" s="9" t="s">
        <v>0</v>
      </c>
      <c r="AI989" s="9" t="s">
        <v>0</v>
      </c>
      <c r="AJ989" s="9" t="s">
        <v>0</v>
      </c>
      <c r="AK989" s="7" t="s">
        <v>61</v>
      </c>
      <c r="AL989" s="7" t="s">
        <v>61</v>
      </c>
      <c r="AM989" s="7" t="s">
        <v>0</v>
      </c>
      <c r="AN989" s="7" t="s">
        <v>0</v>
      </c>
      <c r="AO989" s="7" t="s">
        <v>0</v>
      </c>
      <c r="AP989" s="7" t="s">
        <v>0</v>
      </c>
      <c r="AQ989" s="7" t="s">
        <v>61</v>
      </c>
      <c r="AR989" s="7" t="s">
        <v>0</v>
      </c>
      <c r="AS989" s="10" t="str">
        <f>HYPERLINK("https://tessa.gazprom-neft.local/edo/card/14517c73-fb57-4b52-b36b-a5981d346c79", "https://tessa.gazprom-neft.local/edo/card/14517c73-fb57-4b52-b36b-a5981d346c79")</f>
        <v>https://tessa.gazprom-neft.local/edo/card/14517c73-fb57-4b52-b36b-a5981d346c79</v>
      </c>
    </row>
    <row r="990" spans="1:45" x14ac:dyDescent="0.25">
      <c r="A990" s="6" t="s">
        <v>44</v>
      </c>
      <c r="B990" s="7" t="s">
        <v>1240</v>
      </c>
      <c r="C990" s="7" t="s">
        <v>67</v>
      </c>
      <c r="D990" s="8">
        <v>45128</v>
      </c>
      <c r="E990" s="8" t="s">
        <v>0</v>
      </c>
      <c r="F990" s="16" t="s">
        <v>1241</v>
      </c>
      <c r="G990" s="7" t="s">
        <v>1242</v>
      </c>
      <c r="H990" s="7" t="s">
        <v>1237</v>
      </c>
      <c r="I990" s="7" t="s">
        <v>0</v>
      </c>
      <c r="J990" s="7" t="s">
        <v>872</v>
      </c>
      <c r="K990" s="7" t="s">
        <v>47</v>
      </c>
      <c r="L990" s="7" t="s">
        <v>48</v>
      </c>
      <c r="M990" s="7" t="s">
        <v>0</v>
      </c>
      <c r="N990" s="7" t="s">
        <v>5017</v>
      </c>
      <c r="O990" s="7" t="s">
        <v>0</v>
      </c>
      <c r="P990" s="7" t="s">
        <v>5018</v>
      </c>
      <c r="Q990" s="7" t="s">
        <v>5005</v>
      </c>
      <c r="R990" s="7" t="s">
        <v>393</v>
      </c>
      <c r="S990" s="7" t="s">
        <v>1261</v>
      </c>
      <c r="T990" s="7" t="s">
        <v>54</v>
      </c>
      <c r="U990" s="7" t="s">
        <v>125</v>
      </c>
      <c r="V990" s="7" t="s">
        <v>126</v>
      </c>
      <c r="W990" s="7" t="s">
        <v>74</v>
      </c>
      <c r="X990" s="7" t="s">
        <v>58</v>
      </c>
      <c r="Y990" s="8">
        <v>45128</v>
      </c>
      <c r="Z990" s="8" t="s">
        <v>0</v>
      </c>
      <c r="AA990" s="7" t="s">
        <v>224</v>
      </c>
      <c r="AB990" s="7" t="s">
        <v>1243</v>
      </c>
      <c r="AC990" s="7" t="s">
        <v>65</v>
      </c>
      <c r="AD990" s="7" t="s">
        <v>144</v>
      </c>
      <c r="AE990" s="7" t="s">
        <v>0</v>
      </c>
      <c r="AF990" s="7" t="s">
        <v>0</v>
      </c>
      <c r="AG990" s="7" t="s">
        <v>0</v>
      </c>
      <c r="AH990" s="9" t="s">
        <v>0</v>
      </c>
      <c r="AI990" s="9" t="s">
        <v>0</v>
      </c>
      <c r="AJ990" s="9" t="s">
        <v>0</v>
      </c>
      <c r="AK990" s="7" t="s">
        <v>61</v>
      </c>
      <c r="AL990" s="7" t="s">
        <v>61</v>
      </c>
      <c r="AM990" s="7" t="s">
        <v>0</v>
      </c>
      <c r="AN990" s="7" t="s">
        <v>0</v>
      </c>
      <c r="AO990" s="7" t="s">
        <v>0</v>
      </c>
      <c r="AP990" s="7" t="s">
        <v>0</v>
      </c>
      <c r="AQ990" s="7" t="s">
        <v>61</v>
      </c>
      <c r="AR990" s="7" t="s">
        <v>0</v>
      </c>
      <c r="AS990" s="10" t="str">
        <f>HYPERLINK("https://tessa.gazprom-neft.local/edo/card/75e1c5d1-4e47-4695-9e42-0fdd758a16da", "https://tessa.gazprom-neft.local/edo/card/75e1c5d1-4e47-4695-9e42-0fdd758a16da")</f>
        <v>https://tessa.gazprom-neft.local/edo/card/75e1c5d1-4e47-4695-9e42-0fdd758a16da</v>
      </c>
    </row>
    <row r="991" spans="1:45" hidden="1" x14ac:dyDescent="0.25">
      <c r="A991" s="6" t="s">
        <v>44</v>
      </c>
      <c r="B991" s="7" t="s">
        <v>497</v>
      </c>
      <c r="C991" s="7" t="s">
        <v>218</v>
      </c>
      <c r="D991" s="8">
        <v>45128</v>
      </c>
      <c r="E991" s="8" t="s">
        <v>0</v>
      </c>
      <c r="F991" s="16" t="s">
        <v>498</v>
      </c>
      <c r="G991" s="7" t="s">
        <v>499</v>
      </c>
      <c r="H991" s="7" t="s">
        <v>5075</v>
      </c>
      <c r="I991" s="7" t="s">
        <v>0</v>
      </c>
      <c r="J991" s="7" t="s">
        <v>271</v>
      </c>
      <c r="K991" s="7" t="s">
        <v>47</v>
      </c>
      <c r="L991" s="7" t="s">
        <v>493</v>
      </c>
      <c r="M991" s="7" t="s">
        <v>0</v>
      </c>
      <c r="N991" s="7" t="s">
        <v>5074</v>
      </c>
      <c r="O991" s="7" t="s">
        <v>0</v>
      </c>
      <c r="P991" s="7" t="s">
        <v>5076</v>
      </c>
      <c r="Q991" s="7" t="s">
        <v>5077</v>
      </c>
      <c r="R991" s="7" t="s">
        <v>1062</v>
      </c>
      <c r="S991" s="7" t="s">
        <v>1062</v>
      </c>
      <c r="T991" s="7" t="s">
        <v>54</v>
      </c>
      <c r="U991" s="7" t="s">
        <v>294</v>
      </c>
      <c r="V991" s="7" t="s">
        <v>295</v>
      </c>
      <c r="W991" s="7" t="s">
        <v>57</v>
      </c>
      <c r="X991" s="7" t="s">
        <v>58</v>
      </c>
      <c r="Y991" s="8">
        <v>44918</v>
      </c>
      <c r="Z991" s="8" t="s">
        <v>0</v>
      </c>
      <c r="AA991" s="7" t="s">
        <v>296</v>
      </c>
      <c r="AB991" s="7" t="s">
        <v>500</v>
      </c>
      <c r="AC991" s="7" t="s">
        <v>278</v>
      </c>
      <c r="AD991" s="7" t="s">
        <v>80</v>
      </c>
      <c r="AE991" s="7" t="s">
        <v>82</v>
      </c>
      <c r="AF991" s="7" t="s">
        <v>0</v>
      </c>
      <c r="AG991" s="7" t="s">
        <v>0</v>
      </c>
      <c r="AH991" s="9" t="s">
        <v>12322</v>
      </c>
      <c r="AI991" s="9" t="s">
        <v>12323</v>
      </c>
      <c r="AJ991" s="9" t="s">
        <v>12324</v>
      </c>
      <c r="AK991" s="7" t="s">
        <v>61</v>
      </c>
      <c r="AL991" s="7" t="s">
        <v>61</v>
      </c>
      <c r="AM991" s="7" t="s">
        <v>0</v>
      </c>
      <c r="AN991" s="7" t="s">
        <v>0</v>
      </c>
      <c r="AO991" s="7" t="s">
        <v>0</v>
      </c>
      <c r="AP991" s="7" t="s">
        <v>0</v>
      </c>
      <c r="AQ991" s="7" t="s">
        <v>61</v>
      </c>
      <c r="AR991" s="7" t="s">
        <v>0</v>
      </c>
      <c r="AS991" s="10" t="str">
        <f>HYPERLINK("https://tessa.gazprom-neft.local/edo/card/4e04993f-8838-4c20-8753-5ac89aa82591", "https://tessa.gazprom-neft.local/edo/card/4e04993f-8838-4c20-8753-5ac89aa82591")</f>
        <v>https://tessa.gazprom-neft.local/edo/card/4e04993f-8838-4c20-8753-5ac89aa82591</v>
      </c>
    </row>
    <row r="992" spans="1:45" hidden="1" x14ac:dyDescent="0.25">
      <c r="A992" s="6" t="s">
        <v>44</v>
      </c>
      <c r="B992" s="7" t="s">
        <v>2724</v>
      </c>
      <c r="C992" s="7" t="s">
        <v>67</v>
      </c>
      <c r="D992" s="8">
        <v>45127</v>
      </c>
      <c r="E992" s="8" t="s">
        <v>0</v>
      </c>
      <c r="F992" s="16" t="s">
        <v>2671</v>
      </c>
      <c r="G992" s="7" t="s">
        <v>2725</v>
      </c>
      <c r="H992" s="7" t="s">
        <v>0</v>
      </c>
      <c r="I992" s="7" t="s">
        <v>5748</v>
      </c>
      <c r="J992" s="7" t="s">
        <v>5748</v>
      </c>
      <c r="K992" s="7" t="s">
        <v>47</v>
      </c>
      <c r="L992" s="7" t="s">
        <v>86</v>
      </c>
      <c r="M992" s="7" t="s">
        <v>0</v>
      </c>
      <c r="N992" s="7" t="s">
        <v>5747</v>
      </c>
      <c r="O992" s="7" t="s">
        <v>0</v>
      </c>
      <c r="P992" s="7" t="s">
        <v>440</v>
      </c>
      <c r="Q992" s="7" t="s">
        <v>5749</v>
      </c>
      <c r="R992" s="7" t="s">
        <v>1765</v>
      </c>
      <c r="S992" s="7" t="s">
        <v>1765</v>
      </c>
      <c r="T992" s="7" t="s">
        <v>54</v>
      </c>
      <c r="U992" s="7" t="s">
        <v>1766</v>
      </c>
      <c r="V992" s="7" t="s">
        <v>91</v>
      </c>
      <c r="W992" s="7" t="s">
        <v>57</v>
      </c>
      <c r="X992" s="7" t="s">
        <v>103</v>
      </c>
      <c r="Y992" s="8">
        <v>45127</v>
      </c>
      <c r="Z992" s="8">
        <v>47118</v>
      </c>
      <c r="AA992" s="7" t="s">
        <v>92</v>
      </c>
      <c r="AB992" s="7" t="s">
        <v>94</v>
      </c>
      <c r="AC992" s="7" t="s">
        <v>65</v>
      </c>
      <c r="AD992" s="7" t="s">
        <v>0</v>
      </c>
      <c r="AE992" s="7" t="s">
        <v>0</v>
      </c>
      <c r="AF992" s="7" t="s">
        <v>0</v>
      </c>
      <c r="AG992" s="7" t="s">
        <v>0</v>
      </c>
      <c r="AH992" s="9" t="s">
        <v>0</v>
      </c>
      <c r="AI992" s="9" t="s">
        <v>0</v>
      </c>
      <c r="AJ992" s="9" t="s">
        <v>0</v>
      </c>
      <c r="AK992" s="7" t="s">
        <v>61</v>
      </c>
      <c r="AL992" s="7" t="s">
        <v>61</v>
      </c>
      <c r="AM992" s="7" t="s">
        <v>0</v>
      </c>
      <c r="AN992" s="7" t="s">
        <v>0</v>
      </c>
      <c r="AO992" s="7" t="s">
        <v>0</v>
      </c>
      <c r="AP992" s="7" t="s">
        <v>0</v>
      </c>
      <c r="AQ992" s="7" t="s">
        <v>61</v>
      </c>
      <c r="AR992" s="7" t="s">
        <v>0</v>
      </c>
      <c r="AS992" s="10" t="str">
        <f>HYPERLINK("https://tessa.gazprom-neft.local/edo/card/777ff3a9-d203-4e70-8010-b43ac301820e", "https://tessa.gazprom-neft.local/edo/card/777ff3a9-d203-4e70-8010-b43ac301820e")</f>
        <v>https://tessa.gazprom-neft.local/edo/card/777ff3a9-d203-4e70-8010-b43ac301820e</v>
      </c>
    </row>
    <row r="993" spans="1:45" x14ac:dyDescent="0.25">
      <c r="A993" s="6" t="s">
        <v>44</v>
      </c>
      <c r="B993" s="7" t="s">
        <v>2001</v>
      </c>
      <c r="C993" s="7" t="s">
        <v>67</v>
      </c>
      <c r="D993" s="8">
        <v>45126</v>
      </c>
      <c r="E993" s="8" t="s">
        <v>0</v>
      </c>
      <c r="F993" s="16" t="s">
        <v>2002</v>
      </c>
      <c r="G993" s="7" t="s">
        <v>2003</v>
      </c>
      <c r="H993" s="7" t="s">
        <v>1998</v>
      </c>
      <c r="I993" s="7" t="s">
        <v>0</v>
      </c>
      <c r="J993" s="7" t="s">
        <v>271</v>
      </c>
      <c r="K993" s="7" t="s">
        <v>47</v>
      </c>
      <c r="L993" s="7" t="s">
        <v>48</v>
      </c>
      <c r="M993" s="7" t="s">
        <v>0</v>
      </c>
      <c r="N993" s="7" t="s">
        <v>5122</v>
      </c>
      <c r="O993" s="7" t="s">
        <v>0</v>
      </c>
      <c r="P993" s="7" t="s">
        <v>5123</v>
      </c>
      <c r="Q993" s="7" t="s">
        <v>5124</v>
      </c>
      <c r="R993" s="7" t="s">
        <v>393</v>
      </c>
      <c r="S993" s="7" t="s">
        <v>1503</v>
      </c>
      <c r="T993" s="7" t="s">
        <v>54</v>
      </c>
      <c r="U993" s="7" t="s">
        <v>283</v>
      </c>
      <c r="V993" s="7" t="s">
        <v>308</v>
      </c>
      <c r="W993" s="7" t="s">
        <v>74</v>
      </c>
      <c r="X993" s="7" t="s">
        <v>58</v>
      </c>
      <c r="Y993" s="8">
        <v>45126</v>
      </c>
      <c r="Z993" s="8" t="s">
        <v>0</v>
      </c>
      <c r="AA993" s="7" t="s">
        <v>309</v>
      </c>
      <c r="AB993" s="7" t="s">
        <v>130</v>
      </c>
      <c r="AC993" s="7" t="s">
        <v>65</v>
      </c>
      <c r="AD993" s="7" t="s">
        <v>144</v>
      </c>
      <c r="AE993" s="7" t="s">
        <v>0</v>
      </c>
      <c r="AF993" s="7" t="s">
        <v>0</v>
      </c>
      <c r="AG993" s="7" t="s">
        <v>0</v>
      </c>
      <c r="AH993" s="9" t="s">
        <v>0</v>
      </c>
      <c r="AI993" s="9" t="s">
        <v>0</v>
      </c>
      <c r="AJ993" s="9" t="s">
        <v>0</v>
      </c>
      <c r="AK993" s="7" t="s">
        <v>61</v>
      </c>
      <c r="AL993" s="7" t="s">
        <v>61</v>
      </c>
      <c r="AM993" s="7" t="s">
        <v>0</v>
      </c>
      <c r="AN993" s="7" t="s">
        <v>0</v>
      </c>
      <c r="AO993" s="7" t="s">
        <v>0</v>
      </c>
      <c r="AP993" s="7" t="s">
        <v>0</v>
      </c>
      <c r="AQ993" s="7" t="s">
        <v>61</v>
      </c>
      <c r="AR993" s="7" t="s">
        <v>0</v>
      </c>
      <c r="AS993" s="10" t="str">
        <f>HYPERLINK("https://tessa.gazprom-neft.local/edo/card/7131cf9e-93c2-4f4c-a801-efa8d96f125a", "https://tessa.gazprom-neft.local/edo/card/7131cf9e-93c2-4f4c-a801-efa8d96f125a")</f>
        <v>https://tessa.gazprom-neft.local/edo/card/7131cf9e-93c2-4f4c-a801-efa8d96f125a</v>
      </c>
    </row>
    <row r="994" spans="1:45" x14ac:dyDescent="0.25">
      <c r="A994" s="6" t="s">
        <v>44</v>
      </c>
      <c r="B994" s="7" t="s">
        <v>661</v>
      </c>
      <c r="C994" s="7" t="s">
        <v>67</v>
      </c>
      <c r="D994" s="8">
        <v>45125</v>
      </c>
      <c r="E994" s="8" t="s">
        <v>0</v>
      </c>
      <c r="F994" s="16" t="s">
        <v>662</v>
      </c>
      <c r="G994" s="7" t="s">
        <v>663</v>
      </c>
      <c r="H994" s="7" t="s">
        <v>764</v>
      </c>
      <c r="I994" s="7" t="s">
        <v>0</v>
      </c>
      <c r="J994" s="7" t="s">
        <v>331</v>
      </c>
      <c r="K994" s="7" t="s">
        <v>47</v>
      </c>
      <c r="L994" s="7" t="s">
        <v>48</v>
      </c>
      <c r="M994" s="7" t="s">
        <v>0</v>
      </c>
      <c r="N994" s="7" t="s">
        <v>5109</v>
      </c>
      <c r="O994" s="7" t="s">
        <v>0</v>
      </c>
      <c r="P994" s="7" t="s">
        <v>5110</v>
      </c>
      <c r="Q994" s="7" t="s">
        <v>5111</v>
      </c>
      <c r="R994" s="7" t="s">
        <v>393</v>
      </c>
      <c r="S994" s="7" t="s">
        <v>714</v>
      </c>
      <c r="T994" s="7" t="s">
        <v>54</v>
      </c>
      <c r="U994" s="7" t="s">
        <v>283</v>
      </c>
      <c r="V994" s="7" t="s">
        <v>168</v>
      </c>
      <c r="W994" s="7" t="s">
        <v>74</v>
      </c>
      <c r="X994" s="7" t="s">
        <v>58</v>
      </c>
      <c r="Y994" s="8">
        <v>45125</v>
      </c>
      <c r="Z994" s="8" t="s">
        <v>0</v>
      </c>
      <c r="AA994" s="7" t="s">
        <v>169</v>
      </c>
      <c r="AB994" s="7" t="s">
        <v>130</v>
      </c>
      <c r="AC994" s="7" t="s">
        <v>65</v>
      </c>
      <c r="AD994" s="7" t="s">
        <v>80</v>
      </c>
      <c r="AE994" s="7" t="s">
        <v>0</v>
      </c>
      <c r="AF994" s="7" t="s">
        <v>0</v>
      </c>
      <c r="AG994" s="7" t="s">
        <v>0</v>
      </c>
      <c r="AH994" s="9" t="s">
        <v>0</v>
      </c>
      <c r="AI994" s="9" t="s">
        <v>0</v>
      </c>
      <c r="AJ994" s="9" t="s">
        <v>0</v>
      </c>
      <c r="AK994" s="7" t="s">
        <v>61</v>
      </c>
      <c r="AL994" s="7" t="s">
        <v>61</v>
      </c>
      <c r="AM994" s="7" t="s">
        <v>0</v>
      </c>
      <c r="AN994" s="7" t="s">
        <v>0</v>
      </c>
      <c r="AO994" s="7" t="s">
        <v>0</v>
      </c>
      <c r="AP994" s="7" t="s">
        <v>0</v>
      </c>
      <c r="AQ994" s="7" t="s">
        <v>61</v>
      </c>
      <c r="AR994" s="7" t="s">
        <v>0</v>
      </c>
      <c r="AS994" s="10" t="str">
        <f>HYPERLINK("https://tessa.gazprom-neft.local/edo/card/cc5d926c-d28d-468e-a30e-4ec1ec155e56", "https://tessa.gazprom-neft.local/edo/card/cc5d926c-d28d-468e-a30e-4ec1ec155e56")</f>
        <v>https://tessa.gazprom-neft.local/edo/card/cc5d926c-d28d-468e-a30e-4ec1ec155e56</v>
      </c>
    </row>
    <row r="995" spans="1:45" hidden="1" x14ac:dyDescent="0.25">
      <c r="A995" s="6" t="s">
        <v>44</v>
      </c>
      <c r="B995" s="7" t="s">
        <v>661</v>
      </c>
      <c r="C995" s="7" t="s">
        <v>67</v>
      </c>
      <c r="D995" s="8">
        <v>45125</v>
      </c>
      <c r="E995" s="8" t="s">
        <v>0</v>
      </c>
      <c r="F995" s="16" t="s">
        <v>662</v>
      </c>
      <c r="G995" s="7" t="s">
        <v>663</v>
      </c>
      <c r="H995" s="7" t="s">
        <v>2557</v>
      </c>
      <c r="I995" s="7" t="s">
        <v>0</v>
      </c>
      <c r="J995" s="7" t="s">
        <v>5264</v>
      </c>
      <c r="K995" s="7" t="s">
        <v>47</v>
      </c>
      <c r="L995" s="7" t="s">
        <v>763</v>
      </c>
      <c r="M995" s="7" t="s">
        <v>0</v>
      </c>
      <c r="N995" s="7" t="s">
        <v>5262</v>
      </c>
      <c r="O995" s="7" t="s">
        <v>0</v>
      </c>
      <c r="P995" s="7" t="s">
        <v>5263</v>
      </c>
      <c r="Q995" s="7" t="s">
        <v>5265</v>
      </c>
      <c r="R995" s="7" t="s">
        <v>393</v>
      </c>
      <c r="S995" s="7" t="s">
        <v>714</v>
      </c>
      <c r="T995" s="7" t="s">
        <v>54</v>
      </c>
      <c r="U995" s="7" t="s">
        <v>283</v>
      </c>
      <c r="V995" s="7" t="s">
        <v>308</v>
      </c>
      <c r="W995" s="7" t="s">
        <v>74</v>
      </c>
      <c r="X995" s="7" t="s">
        <v>58</v>
      </c>
      <c r="Y995" s="8">
        <v>45125</v>
      </c>
      <c r="Z995" s="8" t="s">
        <v>0</v>
      </c>
      <c r="AA995" s="7" t="s">
        <v>309</v>
      </c>
      <c r="AB995" s="7" t="s">
        <v>130</v>
      </c>
      <c r="AC995" s="7" t="s">
        <v>79</v>
      </c>
      <c r="AD995" s="7" t="s">
        <v>80</v>
      </c>
      <c r="AE995" s="7" t="s">
        <v>82</v>
      </c>
      <c r="AF995" s="7" t="s">
        <v>0</v>
      </c>
      <c r="AG995" s="7" t="s">
        <v>0</v>
      </c>
      <c r="AH995" s="9" t="s">
        <v>12412</v>
      </c>
      <c r="AI995" s="9" t="s">
        <v>12413</v>
      </c>
      <c r="AJ995" s="9" t="s">
        <v>12414</v>
      </c>
      <c r="AK995" s="7" t="s">
        <v>61</v>
      </c>
      <c r="AL995" s="7" t="s">
        <v>61</v>
      </c>
      <c r="AM995" s="7" t="s">
        <v>0</v>
      </c>
      <c r="AN995" s="7" t="s">
        <v>0</v>
      </c>
      <c r="AO995" s="7" t="s">
        <v>0</v>
      </c>
      <c r="AP995" s="7" t="s">
        <v>0</v>
      </c>
      <c r="AQ995" s="7" t="s">
        <v>61</v>
      </c>
      <c r="AR995" s="7" t="s">
        <v>0</v>
      </c>
      <c r="AS995" s="10" t="str">
        <f>HYPERLINK("https://tessa.gazprom-neft.local/edo/card/0a148578-0acc-476b-9840-c05a4f78881a", "https://tessa.gazprom-neft.local/edo/card/0a148578-0acc-476b-9840-c05a4f78881a")</f>
        <v>https://tessa.gazprom-neft.local/edo/card/0a148578-0acc-476b-9840-c05a4f78881a</v>
      </c>
    </row>
    <row r="996" spans="1:45" hidden="1" x14ac:dyDescent="0.25">
      <c r="A996" s="6" t="s">
        <v>44</v>
      </c>
      <c r="B996" s="7" t="s">
        <v>4231</v>
      </c>
      <c r="C996" s="7" t="s">
        <v>67</v>
      </c>
      <c r="D996" s="8">
        <v>45124</v>
      </c>
      <c r="E996" s="8" t="s">
        <v>0</v>
      </c>
      <c r="F996" s="16" t="s">
        <v>4232</v>
      </c>
      <c r="G996" s="7" t="s">
        <v>4233</v>
      </c>
      <c r="H996" s="7" t="s">
        <v>0</v>
      </c>
      <c r="I996" s="7" t="s">
        <v>4229</v>
      </c>
      <c r="J996" s="7" t="s">
        <v>4229</v>
      </c>
      <c r="K996" s="7" t="s">
        <v>47</v>
      </c>
      <c r="L996" s="7" t="s">
        <v>96</v>
      </c>
      <c r="M996" s="7" t="s">
        <v>0</v>
      </c>
      <c r="N996" s="7" t="s">
        <v>4228</v>
      </c>
      <c r="O996" s="7" t="s">
        <v>0</v>
      </c>
      <c r="P996" s="7" t="s">
        <v>4230</v>
      </c>
      <c r="Q996" s="7" t="s">
        <v>4230</v>
      </c>
      <c r="R996" s="7" t="s">
        <v>2079</v>
      </c>
      <c r="S996" s="7" t="s">
        <v>2079</v>
      </c>
      <c r="T996" s="7" t="s">
        <v>54</v>
      </c>
      <c r="U996" s="7" t="s">
        <v>55</v>
      </c>
      <c r="V996" s="7" t="s">
        <v>56</v>
      </c>
      <c r="W996" s="7" t="s">
        <v>57</v>
      </c>
      <c r="X996" s="7" t="s">
        <v>103</v>
      </c>
      <c r="Y996" s="8">
        <v>45124</v>
      </c>
      <c r="Z996" s="8">
        <v>45443</v>
      </c>
      <c r="AA996" s="7" t="s">
        <v>59</v>
      </c>
      <c r="AB996" s="7" t="s">
        <v>64</v>
      </c>
      <c r="AC996" s="7" t="s">
        <v>79</v>
      </c>
      <c r="AD996" s="7" t="s">
        <v>80</v>
      </c>
      <c r="AE996" s="7" t="s">
        <v>118</v>
      </c>
      <c r="AF996" s="7" t="s">
        <v>0</v>
      </c>
      <c r="AG996" s="7" t="s">
        <v>0</v>
      </c>
      <c r="AH996" s="9" t="s">
        <v>11973</v>
      </c>
      <c r="AI996" s="9" t="s">
        <v>11973</v>
      </c>
      <c r="AJ996" s="9">
        <v>0</v>
      </c>
      <c r="AK996" s="7" t="s">
        <v>61</v>
      </c>
      <c r="AL996" s="7" t="s">
        <v>81</v>
      </c>
      <c r="AM996" s="7" t="s">
        <v>1410</v>
      </c>
      <c r="AN996" s="7" t="s">
        <v>4234</v>
      </c>
      <c r="AO996" s="7" t="s">
        <v>0</v>
      </c>
      <c r="AP996" s="7" t="s">
        <v>0</v>
      </c>
      <c r="AQ996" s="7" t="s">
        <v>61</v>
      </c>
      <c r="AR996" s="7" t="s">
        <v>0</v>
      </c>
      <c r="AS996" s="10" t="str">
        <f>HYPERLINK("https://tessa.gazprom-neft.local/edo/card/bbd1fc53-cf64-44e1-ad6b-ab23bdf33090", "https://tessa.gazprom-neft.local/edo/card/bbd1fc53-cf64-44e1-ad6b-ab23bdf33090")</f>
        <v>https://tessa.gazprom-neft.local/edo/card/bbd1fc53-cf64-44e1-ad6b-ab23bdf33090</v>
      </c>
    </row>
    <row r="997" spans="1:45" hidden="1" x14ac:dyDescent="0.25">
      <c r="A997" s="6" t="s">
        <v>44</v>
      </c>
      <c r="B997" s="7" t="s">
        <v>4864</v>
      </c>
      <c r="C997" s="7" t="s">
        <v>67</v>
      </c>
      <c r="D997" s="8">
        <v>45124</v>
      </c>
      <c r="E997" s="8" t="s">
        <v>0</v>
      </c>
      <c r="F997" s="16" t="s">
        <v>4865</v>
      </c>
      <c r="G997" s="7" t="s">
        <v>4866</v>
      </c>
      <c r="H997" s="7" t="s">
        <v>0</v>
      </c>
      <c r="I997" s="7" t="s">
        <v>4877</v>
      </c>
      <c r="J997" s="7" t="s">
        <v>4877</v>
      </c>
      <c r="K997" s="7" t="s">
        <v>85</v>
      </c>
      <c r="L997" s="7" t="s">
        <v>96</v>
      </c>
      <c r="M997" s="7" t="s">
        <v>183</v>
      </c>
      <c r="N997" s="7" t="s">
        <v>4876</v>
      </c>
      <c r="O997" s="7" t="s">
        <v>0</v>
      </c>
      <c r="P997" s="7" t="s">
        <v>183</v>
      </c>
      <c r="Q997" s="7" t="s">
        <v>4862</v>
      </c>
      <c r="R997" s="7" t="s">
        <v>4863</v>
      </c>
      <c r="S997" s="7" t="s">
        <v>4863</v>
      </c>
      <c r="T997" s="7" t="s">
        <v>54</v>
      </c>
      <c r="U997" s="7" t="s">
        <v>1012</v>
      </c>
      <c r="V997" s="7" t="s">
        <v>137</v>
      </c>
      <c r="W997" s="7" t="s">
        <v>57</v>
      </c>
      <c r="X997" s="7" t="s">
        <v>103</v>
      </c>
      <c r="Y997" s="8">
        <v>45124</v>
      </c>
      <c r="Z997" s="8">
        <v>45289</v>
      </c>
      <c r="AA997" s="7" t="s">
        <v>0</v>
      </c>
      <c r="AB997" s="7" t="s">
        <v>192</v>
      </c>
      <c r="AC997" s="7" t="s">
        <v>79</v>
      </c>
      <c r="AD997" s="7" t="s">
        <v>80</v>
      </c>
      <c r="AE997" s="7" t="s">
        <v>193</v>
      </c>
      <c r="AF997" s="7" t="s">
        <v>0</v>
      </c>
      <c r="AG997" s="7" t="s">
        <v>0</v>
      </c>
      <c r="AH997" s="9" t="s">
        <v>12255</v>
      </c>
      <c r="AI997" s="9" t="s">
        <v>12256</v>
      </c>
      <c r="AJ997" s="9" t="s">
        <v>12257</v>
      </c>
      <c r="AK997" s="7" t="s">
        <v>61</v>
      </c>
      <c r="AL997" s="7" t="s">
        <v>61</v>
      </c>
      <c r="AM997" s="7" t="s">
        <v>0</v>
      </c>
      <c r="AN997" s="7" t="s">
        <v>0</v>
      </c>
      <c r="AO997" s="7" t="s">
        <v>0</v>
      </c>
      <c r="AP997" s="7" t="s">
        <v>0</v>
      </c>
      <c r="AQ997" s="7" t="s">
        <v>61</v>
      </c>
      <c r="AR997" s="7" t="s">
        <v>0</v>
      </c>
      <c r="AS997" s="10" t="str">
        <f>HYPERLINK("https://tessa.gazprom-neft.local/edo/card/1252fbaf-fdef-47a0-a840-6cdd7730198d", "https://tessa.gazprom-neft.local/edo/card/1252fbaf-fdef-47a0-a840-6cdd7730198d")</f>
        <v>https://tessa.gazprom-neft.local/edo/card/1252fbaf-fdef-47a0-a840-6cdd7730198d</v>
      </c>
    </row>
    <row r="998" spans="1:45" hidden="1" x14ac:dyDescent="0.25">
      <c r="A998" s="6" t="s">
        <v>44</v>
      </c>
      <c r="B998" s="7" t="s">
        <v>4864</v>
      </c>
      <c r="C998" s="7" t="s">
        <v>67</v>
      </c>
      <c r="D998" s="8">
        <v>45124</v>
      </c>
      <c r="E998" s="8" t="s">
        <v>0</v>
      </c>
      <c r="F998" s="16" t="s">
        <v>4865</v>
      </c>
      <c r="G998" s="7" t="s">
        <v>4866</v>
      </c>
      <c r="H998" s="7" t="s">
        <v>0</v>
      </c>
      <c r="I998" s="7" t="s">
        <v>4887</v>
      </c>
      <c r="J998" s="7" t="s">
        <v>4887</v>
      </c>
      <c r="K998" s="7" t="s">
        <v>85</v>
      </c>
      <c r="L998" s="7" t="s">
        <v>86</v>
      </c>
      <c r="M998" s="7" t="s">
        <v>523</v>
      </c>
      <c r="N998" s="7" t="s">
        <v>4886</v>
      </c>
      <c r="O998" s="7" t="s">
        <v>0</v>
      </c>
      <c r="P998" s="7" t="s">
        <v>523</v>
      </c>
      <c r="Q998" s="7" t="s">
        <v>4871</v>
      </c>
      <c r="R998" s="7" t="s">
        <v>4863</v>
      </c>
      <c r="S998" s="7" t="s">
        <v>0</v>
      </c>
      <c r="T998" s="7" t="s">
        <v>54</v>
      </c>
      <c r="U998" s="7" t="s">
        <v>1012</v>
      </c>
      <c r="V998" s="7" t="s">
        <v>91</v>
      </c>
      <c r="W998" s="7" t="s">
        <v>57</v>
      </c>
      <c r="X998" s="7" t="s">
        <v>103</v>
      </c>
      <c r="Y998" s="8">
        <v>45124</v>
      </c>
      <c r="Z998" s="8">
        <v>45289</v>
      </c>
      <c r="AA998" s="7" t="s">
        <v>92</v>
      </c>
      <c r="AB998" s="7" t="s">
        <v>94</v>
      </c>
      <c r="AC998" s="7" t="s">
        <v>65</v>
      </c>
      <c r="AD998" s="7" t="s">
        <v>0</v>
      </c>
      <c r="AE998" s="7" t="s">
        <v>0</v>
      </c>
      <c r="AF998" s="7" t="s">
        <v>0</v>
      </c>
      <c r="AG998" s="7" t="s">
        <v>0</v>
      </c>
      <c r="AH998" s="9" t="s">
        <v>0</v>
      </c>
      <c r="AI998" s="9" t="s">
        <v>0</v>
      </c>
      <c r="AJ998" s="9" t="s">
        <v>0</v>
      </c>
      <c r="AK998" s="7" t="s">
        <v>61</v>
      </c>
      <c r="AL998" s="7" t="s">
        <v>61</v>
      </c>
      <c r="AM998" s="7" t="s">
        <v>0</v>
      </c>
      <c r="AN998" s="7" t="s">
        <v>0</v>
      </c>
      <c r="AO998" s="7" t="s">
        <v>0</v>
      </c>
      <c r="AP998" s="7" t="s">
        <v>0</v>
      </c>
      <c r="AQ998" s="7" t="s">
        <v>61</v>
      </c>
      <c r="AR998" s="7" t="s">
        <v>0</v>
      </c>
      <c r="AS998" s="10" t="str">
        <f>HYPERLINK("https://tessa.gazprom-neft.local/edo/card/8489f318-aba9-464b-9771-fc3b3193bf1d", "https://tessa.gazprom-neft.local/edo/card/8489f318-aba9-464b-9771-fc3b3193bf1d")</f>
        <v>https://tessa.gazprom-neft.local/edo/card/8489f318-aba9-464b-9771-fc3b3193bf1d</v>
      </c>
    </row>
    <row r="999" spans="1:45" hidden="1" x14ac:dyDescent="0.25">
      <c r="A999" s="6" t="s">
        <v>44</v>
      </c>
      <c r="B999" s="7" t="s">
        <v>4576</v>
      </c>
      <c r="C999" s="7" t="s">
        <v>67</v>
      </c>
      <c r="D999" s="8">
        <v>45124</v>
      </c>
      <c r="E999" s="8" t="s">
        <v>0</v>
      </c>
      <c r="F999" s="16" t="s">
        <v>4577</v>
      </c>
      <c r="G999" s="7" t="s">
        <v>4578</v>
      </c>
      <c r="H999" s="7" t="s">
        <v>0</v>
      </c>
      <c r="I999" s="7" t="s">
        <v>4954</v>
      </c>
      <c r="J999" s="7" t="s">
        <v>4954</v>
      </c>
      <c r="K999" s="7" t="s">
        <v>85</v>
      </c>
      <c r="L999" s="7" t="s">
        <v>86</v>
      </c>
      <c r="M999" s="7" t="s">
        <v>523</v>
      </c>
      <c r="N999" s="7" t="s">
        <v>4953</v>
      </c>
      <c r="O999" s="7" t="s">
        <v>0</v>
      </c>
      <c r="P999" s="7" t="s">
        <v>523</v>
      </c>
      <c r="Q999" s="7" t="s">
        <v>4955</v>
      </c>
      <c r="R999" s="7" t="s">
        <v>1711</v>
      </c>
      <c r="S999" s="7" t="s">
        <v>1711</v>
      </c>
      <c r="T999" s="7" t="s">
        <v>54</v>
      </c>
      <c r="U999" s="7" t="s">
        <v>605</v>
      </c>
      <c r="V999" s="7" t="s">
        <v>137</v>
      </c>
      <c r="W999" s="7" t="s">
        <v>57</v>
      </c>
      <c r="X999" s="7" t="s">
        <v>103</v>
      </c>
      <c r="Y999" s="8">
        <v>45124</v>
      </c>
      <c r="Z999" s="8">
        <v>45154</v>
      </c>
      <c r="AA999" s="7" t="s">
        <v>0</v>
      </c>
      <c r="AB999" s="7" t="s">
        <v>94</v>
      </c>
      <c r="AC999" s="7" t="s">
        <v>65</v>
      </c>
      <c r="AD999" s="7" t="s">
        <v>0</v>
      </c>
      <c r="AE999" s="7" t="s">
        <v>0</v>
      </c>
      <c r="AF999" s="7" t="s">
        <v>0</v>
      </c>
      <c r="AG999" s="7" t="s">
        <v>0</v>
      </c>
      <c r="AH999" s="9" t="s">
        <v>0</v>
      </c>
      <c r="AI999" s="9" t="s">
        <v>0</v>
      </c>
      <c r="AJ999" s="9" t="s">
        <v>0</v>
      </c>
      <c r="AK999" s="7" t="s">
        <v>61</v>
      </c>
      <c r="AL999" s="7" t="s">
        <v>61</v>
      </c>
      <c r="AM999" s="7" t="s">
        <v>0</v>
      </c>
      <c r="AN999" s="7" t="s">
        <v>0</v>
      </c>
      <c r="AO999" s="7" t="s">
        <v>0</v>
      </c>
      <c r="AP999" s="7" t="s">
        <v>0</v>
      </c>
      <c r="AQ999" s="7" t="s">
        <v>61</v>
      </c>
      <c r="AR999" s="7" t="s">
        <v>0</v>
      </c>
      <c r="AS999" s="10" t="str">
        <f>HYPERLINK("https://tessa.gazprom-neft.local/edo/card/414dc8c9-2016-479f-a6dc-9edb1bfa276c", "https://tessa.gazprom-neft.local/edo/card/414dc8c9-2016-479f-a6dc-9edb1bfa276c")</f>
        <v>https://tessa.gazprom-neft.local/edo/card/414dc8c9-2016-479f-a6dc-9edb1bfa276c</v>
      </c>
    </row>
    <row r="1000" spans="1:45" x14ac:dyDescent="0.25">
      <c r="A1000" s="6" t="s">
        <v>44</v>
      </c>
      <c r="B1000" s="7" t="s">
        <v>1495</v>
      </c>
      <c r="C1000" s="7" t="s">
        <v>67</v>
      </c>
      <c r="D1000" s="8">
        <v>45124</v>
      </c>
      <c r="E1000" s="8" t="s">
        <v>0</v>
      </c>
      <c r="F1000" s="16" t="s">
        <v>1496</v>
      </c>
      <c r="G1000" s="7" t="s">
        <v>1497</v>
      </c>
      <c r="H1000" s="7" t="s">
        <v>1492</v>
      </c>
      <c r="I1000" s="7" t="s">
        <v>0</v>
      </c>
      <c r="J1000" s="7" t="s">
        <v>70</v>
      </c>
      <c r="K1000" s="7" t="s">
        <v>47</v>
      </c>
      <c r="L1000" s="7" t="s">
        <v>48</v>
      </c>
      <c r="M1000" s="7" t="s">
        <v>0</v>
      </c>
      <c r="N1000" s="7" t="s">
        <v>5184</v>
      </c>
      <c r="O1000" s="7" t="s">
        <v>0</v>
      </c>
      <c r="P1000" s="7" t="s">
        <v>5185</v>
      </c>
      <c r="Q1000" s="7" t="s">
        <v>3720</v>
      </c>
      <c r="R1000" s="7" t="s">
        <v>505</v>
      </c>
      <c r="S1000" s="7" t="s">
        <v>3144</v>
      </c>
      <c r="T1000" s="7" t="s">
        <v>54</v>
      </c>
      <c r="U1000" s="7" t="s">
        <v>210</v>
      </c>
      <c r="V1000" s="7" t="s">
        <v>126</v>
      </c>
      <c r="W1000" s="7" t="s">
        <v>74</v>
      </c>
      <c r="X1000" s="7" t="s">
        <v>58</v>
      </c>
      <c r="Y1000" s="8">
        <v>45124</v>
      </c>
      <c r="Z1000" s="8" t="s">
        <v>0</v>
      </c>
      <c r="AA1000" s="7" t="s">
        <v>224</v>
      </c>
      <c r="AB1000" s="7" t="s">
        <v>1498</v>
      </c>
      <c r="AC1000" s="7" t="s">
        <v>79</v>
      </c>
      <c r="AD1000" s="7" t="s">
        <v>80</v>
      </c>
      <c r="AE1000" s="7" t="s">
        <v>82</v>
      </c>
      <c r="AF1000" s="7" t="s">
        <v>0</v>
      </c>
      <c r="AG1000" s="7" t="s">
        <v>0</v>
      </c>
      <c r="AH1000" s="9" t="s">
        <v>12377</v>
      </c>
      <c r="AI1000" s="9" t="s">
        <v>12378</v>
      </c>
      <c r="AJ1000" s="9" t="s">
        <v>12379</v>
      </c>
      <c r="AK1000" s="7" t="s">
        <v>61</v>
      </c>
      <c r="AL1000" s="7" t="s">
        <v>61</v>
      </c>
      <c r="AM1000" s="7" t="s">
        <v>0</v>
      </c>
      <c r="AN1000" s="7" t="s">
        <v>0</v>
      </c>
      <c r="AO1000" s="7" t="s">
        <v>0</v>
      </c>
      <c r="AP1000" s="7" t="s">
        <v>0</v>
      </c>
      <c r="AQ1000" s="7" t="s">
        <v>61</v>
      </c>
      <c r="AR1000" s="7" t="s">
        <v>0</v>
      </c>
      <c r="AS1000" s="10" t="str">
        <f>HYPERLINK("https://tessa.gazprom-neft.local/edo/card/db428030-dfb4-4623-86be-83f3e8db43f7", "https://tessa.gazprom-neft.local/edo/card/db428030-dfb4-4623-86be-83f3e8db43f7")</f>
        <v>https://tessa.gazprom-neft.local/edo/card/db428030-dfb4-4623-86be-83f3e8db43f7</v>
      </c>
    </row>
    <row r="1001" spans="1:45" hidden="1" x14ac:dyDescent="0.25">
      <c r="A1001" s="6" t="s">
        <v>44</v>
      </c>
      <c r="B1001" s="7" t="s">
        <v>4576</v>
      </c>
      <c r="C1001" s="7" t="s">
        <v>67</v>
      </c>
      <c r="D1001" s="8">
        <v>45121</v>
      </c>
      <c r="E1001" s="8" t="s">
        <v>0</v>
      </c>
      <c r="F1001" s="16" t="s">
        <v>4577</v>
      </c>
      <c r="G1001" s="7" t="s">
        <v>4578</v>
      </c>
      <c r="H1001" s="7" t="s">
        <v>0</v>
      </c>
      <c r="I1001" s="7" t="s">
        <v>4575</v>
      </c>
      <c r="J1001" s="7" t="s">
        <v>4575</v>
      </c>
      <c r="K1001" s="7" t="s">
        <v>85</v>
      </c>
      <c r="L1001" s="7" t="s">
        <v>96</v>
      </c>
      <c r="M1001" s="7" t="s">
        <v>183</v>
      </c>
      <c r="N1001" s="7" t="s">
        <v>4574</v>
      </c>
      <c r="O1001" s="7" t="s">
        <v>0</v>
      </c>
      <c r="P1001" s="7" t="s">
        <v>183</v>
      </c>
      <c r="Q1001" s="7" t="s">
        <v>3441</v>
      </c>
      <c r="R1001" s="7" t="s">
        <v>1711</v>
      </c>
      <c r="S1001" s="7" t="s">
        <v>1711</v>
      </c>
      <c r="T1001" s="7" t="s">
        <v>54</v>
      </c>
      <c r="U1001" s="7" t="s">
        <v>605</v>
      </c>
      <c r="V1001" s="7" t="s">
        <v>137</v>
      </c>
      <c r="W1001" s="7" t="s">
        <v>57</v>
      </c>
      <c r="X1001" s="7" t="s">
        <v>103</v>
      </c>
      <c r="Y1001" s="8">
        <v>45124</v>
      </c>
      <c r="Z1001" s="8">
        <v>45147</v>
      </c>
      <c r="AA1001" s="7" t="s">
        <v>0</v>
      </c>
      <c r="AB1001" s="7" t="s">
        <v>192</v>
      </c>
      <c r="AC1001" s="7" t="s">
        <v>79</v>
      </c>
      <c r="AD1001" s="7" t="s">
        <v>80</v>
      </c>
      <c r="AE1001" s="7" t="s">
        <v>193</v>
      </c>
      <c r="AF1001" s="7" t="s">
        <v>0</v>
      </c>
      <c r="AG1001" s="7" t="s">
        <v>0</v>
      </c>
      <c r="AH1001" s="9" t="s">
        <v>12121</v>
      </c>
      <c r="AI1001" s="9" t="s">
        <v>12122</v>
      </c>
      <c r="AJ1001" s="9">
        <v>390</v>
      </c>
      <c r="AK1001" s="7" t="s">
        <v>61</v>
      </c>
      <c r="AL1001" s="7" t="s">
        <v>61</v>
      </c>
      <c r="AM1001" s="7" t="s">
        <v>0</v>
      </c>
      <c r="AN1001" s="7" t="s">
        <v>0</v>
      </c>
      <c r="AO1001" s="7" t="s">
        <v>0</v>
      </c>
      <c r="AP1001" s="7" t="s">
        <v>0</v>
      </c>
      <c r="AQ1001" s="7" t="s">
        <v>61</v>
      </c>
      <c r="AR1001" s="7" t="s">
        <v>0</v>
      </c>
      <c r="AS1001" s="10" t="str">
        <f>HYPERLINK("https://tessa.gazprom-neft.local/edo/card/f8ec6e8a-37aa-4fe0-9f3a-00ae2ddd53ed", "https://tessa.gazprom-neft.local/edo/card/f8ec6e8a-37aa-4fe0-9f3a-00ae2ddd53ed")</f>
        <v>https://tessa.gazprom-neft.local/edo/card/f8ec6e8a-37aa-4fe0-9f3a-00ae2ddd53ed</v>
      </c>
    </row>
    <row r="1002" spans="1:45" hidden="1" x14ac:dyDescent="0.25">
      <c r="A1002" s="6" t="s">
        <v>44</v>
      </c>
      <c r="B1002" s="7" t="s">
        <v>4898</v>
      </c>
      <c r="C1002" s="7" t="s">
        <v>67</v>
      </c>
      <c r="D1002" s="8">
        <v>45121</v>
      </c>
      <c r="E1002" s="8" t="s">
        <v>0</v>
      </c>
      <c r="F1002" s="16" t="s">
        <v>4899</v>
      </c>
      <c r="G1002" s="7" t="s">
        <v>4900</v>
      </c>
      <c r="H1002" s="7" t="s">
        <v>0</v>
      </c>
      <c r="I1002" s="7" t="s">
        <v>4896</v>
      </c>
      <c r="J1002" s="7" t="s">
        <v>4896</v>
      </c>
      <c r="K1002" s="7" t="s">
        <v>85</v>
      </c>
      <c r="L1002" s="7" t="s">
        <v>86</v>
      </c>
      <c r="M1002" s="7" t="s">
        <v>216</v>
      </c>
      <c r="N1002" s="7" t="s">
        <v>4895</v>
      </c>
      <c r="O1002" s="7" t="s">
        <v>0</v>
      </c>
      <c r="P1002" s="7" t="s">
        <v>216</v>
      </c>
      <c r="Q1002" s="7" t="s">
        <v>2790</v>
      </c>
      <c r="R1002" s="7" t="s">
        <v>646</v>
      </c>
      <c r="S1002" s="7" t="s">
        <v>4897</v>
      </c>
      <c r="T1002" s="7" t="s">
        <v>54</v>
      </c>
      <c r="U1002" s="7" t="s">
        <v>283</v>
      </c>
      <c r="V1002" s="7" t="s">
        <v>308</v>
      </c>
      <c r="W1002" s="7" t="s">
        <v>74</v>
      </c>
      <c r="X1002" s="7" t="s">
        <v>58</v>
      </c>
      <c r="Y1002" s="8">
        <v>45121</v>
      </c>
      <c r="Z1002" s="8" t="s">
        <v>0</v>
      </c>
      <c r="AA1002" s="7" t="s">
        <v>309</v>
      </c>
      <c r="AB1002" s="7" t="s">
        <v>228</v>
      </c>
      <c r="AC1002" s="7" t="s">
        <v>65</v>
      </c>
      <c r="AD1002" s="7" t="s">
        <v>0</v>
      </c>
      <c r="AE1002" s="7" t="s">
        <v>0</v>
      </c>
      <c r="AF1002" s="7" t="s">
        <v>0</v>
      </c>
      <c r="AG1002" s="7" t="s">
        <v>0</v>
      </c>
      <c r="AH1002" s="9" t="s">
        <v>0</v>
      </c>
      <c r="AI1002" s="9" t="s">
        <v>0</v>
      </c>
      <c r="AJ1002" s="9" t="s">
        <v>0</v>
      </c>
      <c r="AK1002" s="7" t="s">
        <v>61</v>
      </c>
      <c r="AL1002" s="7" t="s">
        <v>61</v>
      </c>
      <c r="AM1002" s="7" t="s">
        <v>0</v>
      </c>
      <c r="AN1002" s="7" t="s">
        <v>0</v>
      </c>
      <c r="AO1002" s="7" t="s">
        <v>0</v>
      </c>
      <c r="AP1002" s="7" t="s">
        <v>0</v>
      </c>
      <c r="AQ1002" s="7" t="s">
        <v>61</v>
      </c>
      <c r="AR1002" s="7" t="s">
        <v>0</v>
      </c>
      <c r="AS1002" s="10" t="str">
        <f>HYPERLINK("https://tessa.gazprom-neft.local/edo/card/aa3dff34-8215-42aa-aeea-cd7edaa3e8e8", "https://tessa.gazprom-neft.local/edo/card/aa3dff34-8215-42aa-aeea-cd7edaa3e8e8")</f>
        <v>https://tessa.gazprom-neft.local/edo/card/aa3dff34-8215-42aa-aeea-cd7edaa3e8e8</v>
      </c>
    </row>
    <row r="1003" spans="1:45" x14ac:dyDescent="0.25">
      <c r="A1003" s="6" t="s">
        <v>44</v>
      </c>
      <c r="B1003" s="7" t="s">
        <v>661</v>
      </c>
      <c r="C1003" s="7" t="s">
        <v>67</v>
      </c>
      <c r="D1003" s="8">
        <v>45119</v>
      </c>
      <c r="E1003" s="8" t="s">
        <v>0</v>
      </c>
      <c r="F1003" s="16" t="s">
        <v>662</v>
      </c>
      <c r="G1003" s="7" t="s">
        <v>663</v>
      </c>
      <c r="H1003" s="7" t="s">
        <v>1478</v>
      </c>
      <c r="I1003" s="7" t="s">
        <v>0</v>
      </c>
      <c r="J1003" s="7" t="s">
        <v>271</v>
      </c>
      <c r="K1003" s="7" t="s">
        <v>47</v>
      </c>
      <c r="L1003" s="7" t="s">
        <v>48</v>
      </c>
      <c r="M1003" s="7" t="s">
        <v>0</v>
      </c>
      <c r="N1003" s="7" t="s">
        <v>4970</v>
      </c>
      <c r="O1003" s="7" t="s">
        <v>0</v>
      </c>
      <c r="P1003" s="7" t="s">
        <v>4971</v>
      </c>
      <c r="Q1003" s="7" t="s">
        <v>4972</v>
      </c>
      <c r="R1003" s="7" t="s">
        <v>1481</v>
      </c>
      <c r="S1003" s="7" t="s">
        <v>1481</v>
      </c>
      <c r="T1003" s="7" t="s">
        <v>54</v>
      </c>
      <c r="U1003" s="7" t="s">
        <v>777</v>
      </c>
      <c r="V1003" s="7" t="s">
        <v>308</v>
      </c>
      <c r="W1003" s="7" t="s">
        <v>74</v>
      </c>
      <c r="X1003" s="7" t="s">
        <v>103</v>
      </c>
      <c r="Y1003" s="8">
        <v>45119</v>
      </c>
      <c r="Z1003" s="8">
        <v>45291</v>
      </c>
      <c r="AA1003" s="7" t="s">
        <v>309</v>
      </c>
      <c r="AB1003" s="7" t="s">
        <v>64</v>
      </c>
      <c r="AC1003" s="7" t="s">
        <v>79</v>
      </c>
      <c r="AD1003" s="7" t="s">
        <v>80</v>
      </c>
      <c r="AE1003" s="7" t="s">
        <v>82</v>
      </c>
      <c r="AF1003" s="7" t="s">
        <v>0</v>
      </c>
      <c r="AG1003" s="7" t="s">
        <v>0</v>
      </c>
      <c r="AH1003" s="9" t="s">
        <v>12283</v>
      </c>
      <c r="AI1003" s="9" t="s">
        <v>12284</v>
      </c>
      <c r="AJ1003" s="9" t="s">
        <v>12285</v>
      </c>
      <c r="AK1003" s="7" t="s">
        <v>61</v>
      </c>
      <c r="AL1003" s="7" t="s">
        <v>61</v>
      </c>
      <c r="AM1003" s="7" t="s">
        <v>0</v>
      </c>
      <c r="AN1003" s="7" t="s">
        <v>0</v>
      </c>
      <c r="AO1003" s="7" t="s">
        <v>0</v>
      </c>
      <c r="AP1003" s="7" t="s">
        <v>0</v>
      </c>
      <c r="AQ1003" s="7" t="s">
        <v>61</v>
      </c>
      <c r="AR1003" s="7" t="s">
        <v>0</v>
      </c>
      <c r="AS1003" s="10" t="str">
        <f>HYPERLINK("https://tessa.gazprom-neft.local/edo/card/d21f5c3d-3a34-4356-afdd-502ee7d0b2ea", "https://tessa.gazprom-neft.local/edo/card/d21f5c3d-3a34-4356-afdd-502ee7d0b2ea")</f>
        <v>https://tessa.gazprom-neft.local/edo/card/d21f5c3d-3a34-4356-afdd-502ee7d0b2ea</v>
      </c>
    </row>
    <row r="1004" spans="1:45" hidden="1" x14ac:dyDescent="0.25">
      <c r="A1004" s="6" t="s">
        <v>44</v>
      </c>
      <c r="B1004" s="7" t="s">
        <v>0</v>
      </c>
      <c r="C1004" s="7" t="s">
        <v>67</v>
      </c>
      <c r="D1004" s="8">
        <v>45117</v>
      </c>
      <c r="E1004" s="8" t="s">
        <v>0</v>
      </c>
      <c r="F1004" s="16" t="s">
        <v>4506</v>
      </c>
      <c r="G1004" s="7" t="s">
        <v>0</v>
      </c>
      <c r="H1004" s="7" t="s">
        <v>0</v>
      </c>
      <c r="I1004" s="7" t="s">
        <v>4504</v>
      </c>
      <c r="J1004" s="7" t="s">
        <v>4504</v>
      </c>
      <c r="K1004" s="7" t="s">
        <v>85</v>
      </c>
      <c r="L1004" s="7" t="s">
        <v>96</v>
      </c>
      <c r="M1004" s="7" t="s">
        <v>183</v>
      </c>
      <c r="N1004" s="7" t="s">
        <v>4503</v>
      </c>
      <c r="O1004" s="7" t="s">
        <v>0</v>
      </c>
      <c r="P1004" s="7" t="s">
        <v>183</v>
      </c>
      <c r="Q1004" s="7" t="s">
        <v>4505</v>
      </c>
      <c r="R1004" s="7" t="s">
        <v>646</v>
      </c>
      <c r="S1004" s="7" t="s">
        <v>282</v>
      </c>
      <c r="T1004" s="7" t="s">
        <v>54</v>
      </c>
      <c r="U1004" s="7" t="s">
        <v>362</v>
      </c>
      <c r="V1004" s="7" t="s">
        <v>137</v>
      </c>
      <c r="W1004" s="7" t="s">
        <v>57</v>
      </c>
      <c r="X1004" s="7" t="s">
        <v>103</v>
      </c>
      <c r="Y1004" s="8">
        <v>45117</v>
      </c>
      <c r="Z1004" s="8">
        <v>45148</v>
      </c>
      <c r="AA1004" s="7" t="s">
        <v>0</v>
      </c>
      <c r="AB1004" s="7" t="s">
        <v>192</v>
      </c>
      <c r="AC1004" s="7" t="s">
        <v>79</v>
      </c>
      <c r="AD1004" s="7" t="s">
        <v>80</v>
      </c>
      <c r="AE1004" s="7" t="s">
        <v>193</v>
      </c>
      <c r="AF1004" s="7" t="s">
        <v>0</v>
      </c>
      <c r="AG1004" s="7" t="s">
        <v>0</v>
      </c>
      <c r="AH1004" s="9" t="s">
        <v>12096</v>
      </c>
      <c r="AI1004" s="9" t="s">
        <v>12097</v>
      </c>
      <c r="AJ1004" s="9" t="s">
        <v>12098</v>
      </c>
      <c r="AK1004" s="7" t="s">
        <v>61</v>
      </c>
      <c r="AL1004" s="7" t="s">
        <v>61</v>
      </c>
      <c r="AM1004" s="7" t="s">
        <v>0</v>
      </c>
      <c r="AN1004" s="7" t="s">
        <v>0</v>
      </c>
      <c r="AO1004" s="7" t="s">
        <v>0</v>
      </c>
      <c r="AP1004" s="7" t="s">
        <v>0</v>
      </c>
      <c r="AQ1004" s="7" t="s">
        <v>61</v>
      </c>
      <c r="AR1004" s="7" t="s">
        <v>0</v>
      </c>
      <c r="AS1004" s="10" t="str">
        <f>HYPERLINK("https://tessa.gazprom-neft.local/edo/card/022ab075-e471-4c2e-9577-ad3439543bc0", "https://tessa.gazprom-neft.local/edo/card/022ab075-e471-4c2e-9577-ad3439543bc0")</f>
        <v>https://tessa.gazprom-neft.local/edo/card/022ab075-e471-4c2e-9577-ad3439543bc0</v>
      </c>
    </row>
    <row r="1005" spans="1:45" hidden="1" x14ac:dyDescent="0.25">
      <c r="A1005" s="6" t="s">
        <v>44</v>
      </c>
      <c r="B1005" s="7" t="s">
        <v>661</v>
      </c>
      <c r="C1005" s="7" t="s">
        <v>67</v>
      </c>
      <c r="D1005" s="8">
        <v>45117</v>
      </c>
      <c r="E1005" s="8" t="s">
        <v>0</v>
      </c>
      <c r="F1005" s="16" t="s">
        <v>662</v>
      </c>
      <c r="G1005" s="7" t="s">
        <v>663</v>
      </c>
      <c r="H1005" s="7" t="s">
        <v>2557</v>
      </c>
      <c r="I1005" s="7" t="s">
        <v>0</v>
      </c>
      <c r="J1005" s="7" t="s">
        <v>4530</v>
      </c>
      <c r="K1005" s="7" t="s">
        <v>47</v>
      </c>
      <c r="L1005" s="7" t="s">
        <v>763</v>
      </c>
      <c r="M1005" s="7" t="s">
        <v>0</v>
      </c>
      <c r="N1005" s="7" t="s">
        <v>4528</v>
      </c>
      <c r="O1005" s="7" t="s">
        <v>0</v>
      </c>
      <c r="P1005" s="7" t="s">
        <v>4529</v>
      </c>
      <c r="Q1005" s="7" t="s">
        <v>4531</v>
      </c>
      <c r="R1005" s="7" t="s">
        <v>393</v>
      </c>
      <c r="S1005" s="7" t="s">
        <v>0</v>
      </c>
      <c r="T1005" s="7" t="s">
        <v>54</v>
      </c>
      <c r="U1005" s="7" t="s">
        <v>283</v>
      </c>
      <c r="V1005" s="7" t="s">
        <v>168</v>
      </c>
      <c r="W1005" s="7" t="s">
        <v>74</v>
      </c>
      <c r="X1005" s="7" t="s">
        <v>103</v>
      </c>
      <c r="Y1005" s="8">
        <v>45170</v>
      </c>
      <c r="Z1005" s="8">
        <v>45275</v>
      </c>
      <c r="AA1005" s="7" t="s">
        <v>169</v>
      </c>
      <c r="AB1005" s="7" t="s">
        <v>130</v>
      </c>
      <c r="AC1005" s="7" t="s">
        <v>79</v>
      </c>
      <c r="AD1005" s="7" t="s">
        <v>80</v>
      </c>
      <c r="AE1005" s="7" t="s">
        <v>82</v>
      </c>
      <c r="AF1005" s="7" t="s">
        <v>0</v>
      </c>
      <c r="AG1005" s="7" t="s">
        <v>0</v>
      </c>
      <c r="AH1005" s="9" t="s">
        <v>12102</v>
      </c>
      <c r="AI1005" s="9" t="s">
        <v>12103</v>
      </c>
      <c r="AJ1005" s="9" t="s">
        <v>12104</v>
      </c>
      <c r="AK1005" s="7" t="s">
        <v>61</v>
      </c>
      <c r="AL1005" s="7" t="s">
        <v>61</v>
      </c>
      <c r="AM1005" s="7" t="s">
        <v>0</v>
      </c>
      <c r="AN1005" s="7" t="s">
        <v>0</v>
      </c>
      <c r="AO1005" s="7" t="s">
        <v>0</v>
      </c>
      <c r="AP1005" s="7" t="s">
        <v>0</v>
      </c>
      <c r="AQ1005" s="7" t="s">
        <v>61</v>
      </c>
      <c r="AR1005" s="7" t="s">
        <v>0</v>
      </c>
      <c r="AS1005" s="10" t="str">
        <f>HYPERLINK("https://tessa.gazprom-neft.local/edo/card/795fd15d-8478-4e48-a862-7198f34f8fa8", "https://tessa.gazprom-neft.local/edo/card/795fd15d-8478-4e48-a862-7198f34f8fa8")</f>
        <v>https://tessa.gazprom-neft.local/edo/card/795fd15d-8478-4e48-a862-7198f34f8fa8</v>
      </c>
    </row>
    <row r="1006" spans="1:45" hidden="1" x14ac:dyDescent="0.25">
      <c r="A1006" s="6" t="s">
        <v>44</v>
      </c>
      <c r="B1006" s="7" t="s">
        <v>2872</v>
      </c>
      <c r="C1006" s="7" t="s">
        <v>67</v>
      </c>
      <c r="D1006" s="8">
        <v>45117</v>
      </c>
      <c r="E1006" s="8" t="s">
        <v>0</v>
      </c>
      <c r="F1006" s="16" t="s">
        <v>2873</v>
      </c>
      <c r="G1006" s="7" t="s">
        <v>2874</v>
      </c>
      <c r="H1006" s="7" t="s">
        <v>0</v>
      </c>
      <c r="I1006" s="7" t="s">
        <v>4651</v>
      </c>
      <c r="J1006" s="7" t="s">
        <v>4651</v>
      </c>
      <c r="K1006" s="7" t="s">
        <v>85</v>
      </c>
      <c r="L1006" s="7" t="s">
        <v>86</v>
      </c>
      <c r="M1006" s="7" t="s">
        <v>289</v>
      </c>
      <c r="N1006" s="7" t="s">
        <v>4650</v>
      </c>
      <c r="O1006" s="7" t="s">
        <v>0</v>
      </c>
      <c r="P1006" s="7" t="s">
        <v>289</v>
      </c>
      <c r="Q1006" s="7" t="s">
        <v>4652</v>
      </c>
      <c r="R1006" s="7" t="s">
        <v>1199</v>
      </c>
      <c r="S1006" s="7" t="s">
        <v>1199</v>
      </c>
      <c r="T1006" s="7" t="s">
        <v>54</v>
      </c>
      <c r="U1006" s="7" t="s">
        <v>605</v>
      </c>
      <c r="V1006" s="7" t="s">
        <v>340</v>
      </c>
      <c r="W1006" s="7" t="s">
        <v>57</v>
      </c>
      <c r="X1006" s="7" t="s">
        <v>223</v>
      </c>
      <c r="Y1006" s="8">
        <v>45117</v>
      </c>
      <c r="Z1006" s="8" t="s">
        <v>0</v>
      </c>
      <c r="AA1006" s="7" t="s">
        <v>341</v>
      </c>
      <c r="AB1006" s="7" t="s">
        <v>300</v>
      </c>
      <c r="AC1006" s="7" t="s">
        <v>65</v>
      </c>
      <c r="AD1006" s="7" t="s">
        <v>0</v>
      </c>
      <c r="AE1006" s="7" t="s">
        <v>0</v>
      </c>
      <c r="AF1006" s="7" t="s">
        <v>0</v>
      </c>
      <c r="AG1006" s="7" t="s">
        <v>0</v>
      </c>
      <c r="AH1006" s="9" t="s">
        <v>0</v>
      </c>
      <c r="AI1006" s="9" t="s">
        <v>0</v>
      </c>
      <c r="AJ1006" s="9" t="s">
        <v>0</v>
      </c>
      <c r="AK1006" s="7" t="s">
        <v>61</v>
      </c>
      <c r="AL1006" s="7" t="s">
        <v>61</v>
      </c>
      <c r="AM1006" s="7" t="s">
        <v>0</v>
      </c>
      <c r="AN1006" s="7" t="s">
        <v>0</v>
      </c>
      <c r="AO1006" s="7" t="s">
        <v>0</v>
      </c>
      <c r="AP1006" s="7" t="s">
        <v>0</v>
      </c>
      <c r="AQ1006" s="7" t="s">
        <v>61</v>
      </c>
      <c r="AR1006" s="7" t="s">
        <v>0</v>
      </c>
      <c r="AS1006" s="10" t="str">
        <f>HYPERLINK("https://tessa.gazprom-neft.local/edo/card/d0227dfa-d616-465a-a1df-8dee0dcae66a", "https://tessa.gazprom-neft.local/edo/card/d0227dfa-d616-465a-a1df-8dee0dcae66a")</f>
        <v>https://tessa.gazprom-neft.local/edo/card/d0227dfa-d616-465a-a1df-8dee0dcae66a</v>
      </c>
    </row>
    <row r="1007" spans="1:45" hidden="1" x14ac:dyDescent="0.25">
      <c r="A1007" s="6" t="s">
        <v>44</v>
      </c>
      <c r="B1007" s="7" t="s">
        <v>0</v>
      </c>
      <c r="C1007" s="7" t="s">
        <v>67</v>
      </c>
      <c r="D1007" s="8">
        <v>45117</v>
      </c>
      <c r="E1007" s="8" t="s">
        <v>0</v>
      </c>
      <c r="F1007" s="16" t="s">
        <v>4506</v>
      </c>
      <c r="G1007" s="7" t="s">
        <v>0</v>
      </c>
      <c r="H1007" s="7" t="s">
        <v>0</v>
      </c>
      <c r="I1007" s="7" t="s">
        <v>4667</v>
      </c>
      <c r="J1007" s="7" t="s">
        <v>4667</v>
      </c>
      <c r="K1007" s="7" t="s">
        <v>85</v>
      </c>
      <c r="L1007" s="7" t="s">
        <v>86</v>
      </c>
      <c r="M1007" s="7" t="s">
        <v>523</v>
      </c>
      <c r="N1007" s="7" t="s">
        <v>4666</v>
      </c>
      <c r="O1007" s="7" t="s">
        <v>0</v>
      </c>
      <c r="P1007" s="7" t="s">
        <v>523</v>
      </c>
      <c r="Q1007" s="7" t="s">
        <v>4668</v>
      </c>
      <c r="R1007" s="7" t="s">
        <v>646</v>
      </c>
      <c r="S1007" s="7" t="s">
        <v>4669</v>
      </c>
      <c r="T1007" s="7" t="s">
        <v>54</v>
      </c>
      <c r="U1007" s="7" t="s">
        <v>303</v>
      </c>
      <c r="V1007" s="7" t="s">
        <v>91</v>
      </c>
      <c r="W1007" s="7" t="s">
        <v>57</v>
      </c>
      <c r="X1007" s="7" t="s">
        <v>223</v>
      </c>
      <c r="Y1007" s="8">
        <v>45117</v>
      </c>
      <c r="Z1007" s="8" t="s">
        <v>0</v>
      </c>
      <c r="AA1007" s="7" t="s">
        <v>92</v>
      </c>
      <c r="AB1007" s="7" t="s">
        <v>94</v>
      </c>
      <c r="AC1007" s="7" t="s">
        <v>65</v>
      </c>
      <c r="AD1007" s="7" t="s">
        <v>0</v>
      </c>
      <c r="AE1007" s="7" t="s">
        <v>0</v>
      </c>
      <c r="AF1007" s="7" t="s">
        <v>0</v>
      </c>
      <c r="AG1007" s="7" t="s">
        <v>0</v>
      </c>
      <c r="AH1007" s="9" t="s">
        <v>0</v>
      </c>
      <c r="AI1007" s="9" t="s">
        <v>0</v>
      </c>
      <c r="AJ1007" s="9" t="s">
        <v>0</v>
      </c>
      <c r="AK1007" s="7" t="s">
        <v>61</v>
      </c>
      <c r="AL1007" s="7" t="s">
        <v>61</v>
      </c>
      <c r="AM1007" s="7" t="s">
        <v>0</v>
      </c>
      <c r="AN1007" s="7" t="s">
        <v>0</v>
      </c>
      <c r="AO1007" s="7" t="s">
        <v>0</v>
      </c>
      <c r="AP1007" s="7" t="s">
        <v>0</v>
      </c>
      <c r="AQ1007" s="7" t="s">
        <v>61</v>
      </c>
      <c r="AR1007" s="7" t="s">
        <v>0</v>
      </c>
      <c r="AS1007" s="10" t="str">
        <f>HYPERLINK("https://tessa.gazprom-neft.local/edo/card/9b3b3cd7-29e4-4eca-9f26-509a6681a40f", "https://tessa.gazprom-neft.local/edo/card/9b3b3cd7-29e4-4eca-9f26-509a6681a40f")</f>
        <v>https://tessa.gazprom-neft.local/edo/card/9b3b3cd7-29e4-4eca-9f26-509a6681a40f</v>
      </c>
    </row>
    <row r="1008" spans="1:45" hidden="1" x14ac:dyDescent="0.25">
      <c r="A1008" s="6" t="s">
        <v>44</v>
      </c>
      <c r="B1008" s="7" t="s">
        <v>374</v>
      </c>
      <c r="C1008" s="7" t="s">
        <v>67</v>
      </c>
      <c r="D1008" s="8">
        <v>45117</v>
      </c>
      <c r="E1008" s="8" t="s">
        <v>0</v>
      </c>
      <c r="F1008" s="16" t="s">
        <v>375</v>
      </c>
      <c r="G1008" s="7" t="s">
        <v>376</v>
      </c>
      <c r="H1008" s="7" t="s">
        <v>4677</v>
      </c>
      <c r="I1008" s="7" t="s">
        <v>0</v>
      </c>
      <c r="J1008" s="7" t="s">
        <v>4679</v>
      </c>
      <c r="K1008" s="7" t="s">
        <v>47</v>
      </c>
      <c r="L1008" s="7" t="s">
        <v>239</v>
      </c>
      <c r="M1008" s="7" t="s">
        <v>0</v>
      </c>
      <c r="N1008" s="7" t="s">
        <v>4676</v>
      </c>
      <c r="O1008" s="7" t="s">
        <v>0</v>
      </c>
      <c r="P1008" s="7" t="s">
        <v>4678</v>
      </c>
      <c r="Q1008" s="7" t="s">
        <v>4680</v>
      </c>
      <c r="R1008" s="7" t="s">
        <v>53</v>
      </c>
      <c r="S1008" s="7" t="s">
        <v>0</v>
      </c>
      <c r="T1008" s="7" t="s">
        <v>54</v>
      </c>
      <c r="U1008" s="7" t="s">
        <v>55</v>
      </c>
      <c r="V1008" s="7" t="s">
        <v>56</v>
      </c>
      <c r="W1008" s="7" t="s">
        <v>57</v>
      </c>
      <c r="X1008" s="7" t="s">
        <v>103</v>
      </c>
      <c r="Y1008" s="8">
        <v>45117</v>
      </c>
      <c r="Z1008" s="8">
        <v>45535</v>
      </c>
      <c r="AA1008" s="7" t="s">
        <v>59</v>
      </c>
      <c r="AB1008" s="7" t="s">
        <v>64</v>
      </c>
      <c r="AC1008" s="7" t="s">
        <v>79</v>
      </c>
      <c r="AD1008" s="7" t="s">
        <v>80</v>
      </c>
      <c r="AE1008" s="7" t="s">
        <v>82</v>
      </c>
      <c r="AF1008" s="7" t="s">
        <v>0</v>
      </c>
      <c r="AG1008" s="7" t="s">
        <v>0</v>
      </c>
      <c r="AH1008" s="9" t="s">
        <v>12166</v>
      </c>
      <c r="AI1008" s="9" t="s">
        <v>12167</v>
      </c>
      <c r="AJ1008" s="9" t="s">
        <v>12168</v>
      </c>
      <c r="AK1008" s="7" t="s">
        <v>61</v>
      </c>
      <c r="AL1008" s="7" t="s">
        <v>61</v>
      </c>
      <c r="AM1008" s="7" t="s">
        <v>0</v>
      </c>
      <c r="AN1008" s="7" t="s">
        <v>0</v>
      </c>
      <c r="AO1008" s="7" t="s">
        <v>0</v>
      </c>
      <c r="AP1008" s="7" t="s">
        <v>0</v>
      </c>
      <c r="AQ1008" s="7" t="s">
        <v>61</v>
      </c>
      <c r="AR1008" s="7" t="s">
        <v>0</v>
      </c>
      <c r="AS1008" s="10" t="str">
        <f>HYPERLINK("https://tessa.gazprom-neft.local/edo/card/0d2e7782-19ab-4463-bab8-524a809651a3", "https://tessa.gazprom-neft.local/edo/card/0d2e7782-19ab-4463-bab8-524a809651a3")</f>
        <v>https://tessa.gazprom-neft.local/edo/card/0d2e7782-19ab-4463-bab8-524a809651a3</v>
      </c>
    </row>
    <row r="1009" spans="1:45" hidden="1" x14ac:dyDescent="0.25">
      <c r="A1009" s="6" t="s">
        <v>44</v>
      </c>
      <c r="B1009" s="7" t="s">
        <v>374</v>
      </c>
      <c r="C1009" s="7" t="s">
        <v>67</v>
      </c>
      <c r="D1009" s="8">
        <v>45117</v>
      </c>
      <c r="E1009" s="8" t="s">
        <v>0</v>
      </c>
      <c r="F1009" s="16" t="s">
        <v>375</v>
      </c>
      <c r="G1009" s="7" t="s">
        <v>376</v>
      </c>
      <c r="H1009" s="7" t="s">
        <v>4677</v>
      </c>
      <c r="I1009" s="7" t="s">
        <v>0</v>
      </c>
      <c r="J1009" s="7" t="s">
        <v>4694</v>
      </c>
      <c r="K1009" s="7" t="s">
        <v>47</v>
      </c>
      <c r="L1009" s="7" t="s">
        <v>239</v>
      </c>
      <c r="M1009" s="7" t="s">
        <v>0</v>
      </c>
      <c r="N1009" s="7" t="s">
        <v>4692</v>
      </c>
      <c r="O1009" s="7" t="s">
        <v>0</v>
      </c>
      <c r="P1009" s="7" t="s">
        <v>4693</v>
      </c>
      <c r="Q1009" s="7" t="s">
        <v>4695</v>
      </c>
      <c r="R1009" s="7" t="s">
        <v>53</v>
      </c>
      <c r="S1009" s="7" t="s">
        <v>0</v>
      </c>
      <c r="T1009" s="7" t="s">
        <v>54</v>
      </c>
      <c r="U1009" s="7" t="s">
        <v>55</v>
      </c>
      <c r="V1009" s="7" t="s">
        <v>56</v>
      </c>
      <c r="W1009" s="7" t="s">
        <v>57</v>
      </c>
      <c r="X1009" s="7" t="s">
        <v>103</v>
      </c>
      <c r="Y1009" s="8">
        <v>45117</v>
      </c>
      <c r="Z1009" s="8">
        <v>45535</v>
      </c>
      <c r="AA1009" s="7" t="s">
        <v>59</v>
      </c>
      <c r="AB1009" s="7" t="s">
        <v>64</v>
      </c>
      <c r="AC1009" s="7" t="s">
        <v>79</v>
      </c>
      <c r="AD1009" s="7" t="s">
        <v>80</v>
      </c>
      <c r="AE1009" s="7" t="s">
        <v>82</v>
      </c>
      <c r="AF1009" s="7" t="s">
        <v>0</v>
      </c>
      <c r="AG1009" s="7" t="s">
        <v>0</v>
      </c>
      <c r="AH1009" s="9" t="s">
        <v>12175</v>
      </c>
      <c r="AI1009" s="9" t="s">
        <v>12176</v>
      </c>
      <c r="AJ1009" s="9" t="s">
        <v>12177</v>
      </c>
      <c r="AK1009" s="7" t="s">
        <v>61</v>
      </c>
      <c r="AL1009" s="7" t="s">
        <v>61</v>
      </c>
      <c r="AM1009" s="7" t="s">
        <v>0</v>
      </c>
      <c r="AN1009" s="7" t="s">
        <v>0</v>
      </c>
      <c r="AO1009" s="7" t="s">
        <v>0</v>
      </c>
      <c r="AP1009" s="7" t="s">
        <v>0</v>
      </c>
      <c r="AQ1009" s="7" t="s">
        <v>61</v>
      </c>
      <c r="AR1009" s="7" t="s">
        <v>0</v>
      </c>
      <c r="AS1009" s="10" t="str">
        <f>HYPERLINK("https://tessa.gazprom-neft.local/edo/card/fabecccc-7eb9-49d4-a94b-024b53bc14ce", "https://tessa.gazprom-neft.local/edo/card/fabecccc-7eb9-49d4-a94b-024b53bc14ce")</f>
        <v>https://tessa.gazprom-neft.local/edo/card/fabecccc-7eb9-49d4-a94b-024b53bc14ce</v>
      </c>
    </row>
    <row r="1010" spans="1:45" hidden="1" x14ac:dyDescent="0.25">
      <c r="A1010" s="6" t="s">
        <v>44</v>
      </c>
      <c r="B1010" s="7" t="s">
        <v>374</v>
      </c>
      <c r="C1010" s="7" t="s">
        <v>67</v>
      </c>
      <c r="D1010" s="8">
        <v>45117</v>
      </c>
      <c r="E1010" s="8" t="s">
        <v>0</v>
      </c>
      <c r="F1010" s="16" t="s">
        <v>375</v>
      </c>
      <c r="G1010" s="7" t="s">
        <v>376</v>
      </c>
      <c r="H1010" s="7" t="s">
        <v>4677</v>
      </c>
      <c r="I1010" s="7" t="s">
        <v>0</v>
      </c>
      <c r="J1010" s="7" t="s">
        <v>4704</v>
      </c>
      <c r="K1010" s="7" t="s">
        <v>47</v>
      </c>
      <c r="L1010" s="7" t="s">
        <v>239</v>
      </c>
      <c r="M1010" s="7" t="s">
        <v>0</v>
      </c>
      <c r="N1010" s="7" t="s">
        <v>4702</v>
      </c>
      <c r="O1010" s="7" t="s">
        <v>0</v>
      </c>
      <c r="P1010" s="7" t="s">
        <v>4703</v>
      </c>
      <c r="Q1010" s="7" t="s">
        <v>4680</v>
      </c>
      <c r="R1010" s="7" t="s">
        <v>53</v>
      </c>
      <c r="S1010" s="7" t="s">
        <v>0</v>
      </c>
      <c r="T1010" s="7" t="s">
        <v>54</v>
      </c>
      <c r="U1010" s="7" t="s">
        <v>55</v>
      </c>
      <c r="V1010" s="7" t="s">
        <v>56</v>
      </c>
      <c r="W1010" s="7" t="s">
        <v>57</v>
      </c>
      <c r="X1010" s="7" t="s">
        <v>103</v>
      </c>
      <c r="Y1010" s="8">
        <v>45117</v>
      </c>
      <c r="Z1010" s="8">
        <v>45535</v>
      </c>
      <c r="AA1010" s="7" t="s">
        <v>59</v>
      </c>
      <c r="AB1010" s="7" t="s">
        <v>64</v>
      </c>
      <c r="AC1010" s="7" t="s">
        <v>79</v>
      </c>
      <c r="AD1010" s="7" t="s">
        <v>80</v>
      </c>
      <c r="AE1010" s="7" t="s">
        <v>82</v>
      </c>
      <c r="AF1010" s="7" t="s">
        <v>0</v>
      </c>
      <c r="AG1010" s="7" t="s">
        <v>0</v>
      </c>
      <c r="AH1010" s="9" t="s">
        <v>12181</v>
      </c>
      <c r="AI1010" s="9" t="s">
        <v>12182</v>
      </c>
      <c r="AJ1010" s="9" t="s">
        <v>12183</v>
      </c>
      <c r="AK1010" s="7" t="s">
        <v>61</v>
      </c>
      <c r="AL1010" s="7" t="s">
        <v>61</v>
      </c>
      <c r="AM1010" s="7" t="s">
        <v>0</v>
      </c>
      <c r="AN1010" s="7" t="s">
        <v>0</v>
      </c>
      <c r="AO1010" s="7" t="s">
        <v>0</v>
      </c>
      <c r="AP1010" s="7" t="s">
        <v>0</v>
      </c>
      <c r="AQ1010" s="7" t="s">
        <v>61</v>
      </c>
      <c r="AR1010" s="7" t="s">
        <v>0</v>
      </c>
      <c r="AS1010" s="10" t="str">
        <f>HYPERLINK("https://tessa.gazprom-neft.local/edo/card/92e8bef0-011c-4260-ab4a-7335e7ecee3d", "https://tessa.gazprom-neft.local/edo/card/92e8bef0-011c-4260-ab4a-7335e7ecee3d")</f>
        <v>https://tessa.gazprom-neft.local/edo/card/92e8bef0-011c-4260-ab4a-7335e7ecee3d</v>
      </c>
    </row>
    <row r="1011" spans="1:45" hidden="1" x14ac:dyDescent="0.25">
      <c r="A1011" s="6" t="s">
        <v>44</v>
      </c>
      <c r="B1011" s="7" t="s">
        <v>374</v>
      </c>
      <c r="C1011" s="7" t="s">
        <v>67</v>
      </c>
      <c r="D1011" s="8">
        <v>45117</v>
      </c>
      <c r="E1011" s="8" t="s">
        <v>0</v>
      </c>
      <c r="F1011" s="16" t="s">
        <v>375</v>
      </c>
      <c r="G1011" s="7" t="s">
        <v>376</v>
      </c>
      <c r="H1011" s="7" t="s">
        <v>4677</v>
      </c>
      <c r="I1011" s="7" t="s">
        <v>0</v>
      </c>
      <c r="J1011" s="7" t="s">
        <v>4727</v>
      </c>
      <c r="K1011" s="7" t="s">
        <v>47</v>
      </c>
      <c r="L1011" s="7" t="s">
        <v>239</v>
      </c>
      <c r="M1011" s="7" t="s">
        <v>0</v>
      </c>
      <c r="N1011" s="7" t="s">
        <v>4725</v>
      </c>
      <c r="O1011" s="7" t="s">
        <v>0</v>
      </c>
      <c r="P1011" s="7" t="s">
        <v>4726</v>
      </c>
      <c r="Q1011" s="7" t="s">
        <v>4728</v>
      </c>
      <c r="R1011" s="7" t="s">
        <v>53</v>
      </c>
      <c r="S1011" s="7" t="s">
        <v>0</v>
      </c>
      <c r="T1011" s="7" t="s">
        <v>54</v>
      </c>
      <c r="U1011" s="7" t="s">
        <v>55</v>
      </c>
      <c r="V1011" s="7" t="s">
        <v>56</v>
      </c>
      <c r="W1011" s="7" t="s">
        <v>57</v>
      </c>
      <c r="X1011" s="7" t="s">
        <v>103</v>
      </c>
      <c r="Y1011" s="8">
        <v>45117</v>
      </c>
      <c r="Z1011" s="8">
        <v>45535</v>
      </c>
      <c r="AA1011" s="7" t="s">
        <v>59</v>
      </c>
      <c r="AB1011" s="7" t="s">
        <v>64</v>
      </c>
      <c r="AC1011" s="7" t="s">
        <v>79</v>
      </c>
      <c r="AD1011" s="7" t="s">
        <v>80</v>
      </c>
      <c r="AE1011" s="7" t="s">
        <v>82</v>
      </c>
      <c r="AF1011" s="7" t="s">
        <v>0</v>
      </c>
      <c r="AG1011" s="7" t="s">
        <v>0</v>
      </c>
      <c r="AH1011" s="9" t="s">
        <v>12189</v>
      </c>
      <c r="AI1011" s="9" t="s">
        <v>12190</v>
      </c>
      <c r="AJ1011" s="9" t="s">
        <v>12191</v>
      </c>
      <c r="AK1011" s="7" t="s">
        <v>61</v>
      </c>
      <c r="AL1011" s="7" t="s">
        <v>61</v>
      </c>
      <c r="AM1011" s="7" t="s">
        <v>0</v>
      </c>
      <c r="AN1011" s="7" t="s">
        <v>0</v>
      </c>
      <c r="AO1011" s="7" t="s">
        <v>0</v>
      </c>
      <c r="AP1011" s="7" t="s">
        <v>0</v>
      </c>
      <c r="AQ1011" s="7" t="s">
        <v>61</v>
      </c>
      <c r="AR1011" s="7" t="s">
        <v>0</v>
      </c>
      <c r="AS1011" s="10" t="str">
        <f>HYPERLINK("https://tessa.gazprom-neft.local/edo/card/d1b42631-77ab-45d3-a275-23d6bf7e84b1", "https://tessa.gazprom-neft.local/edo/card/d1b42631-77ab-45d3-a275-23d6bf7e84b1")</f>
        <v>https://tessa.gazprom-neft.local/edo/card/d1b42631-77ab-45d3-a275-23d6bf7e84b1</v>
      </c>
    </row>
    <row r="1012" spans="1:45" hidden="1" x14ac:dyDescent="0.25">
      <c r="A1012" s="6" t="s">
        <v>44</v>
      </c>
      <c r="B1012" s="7" t="s">
        <v>374</v>
      </c>
      <c r="C1012" s="7" t="s">
        <v>67</v>
      </c>
      <c r="D1012" s="8">
        <v>45117</v>
      </c>
      <c r="E1012" s="8" t="s">
        <v>0</v>
      </c>
      <c r="F1012" s="16" t="s">
        <v>375</v>
      </c>
      <c r="G1012" s="7" t="s">
        <v>376</v>
      </c>
      <c r="H1012" s="7" t="s">
        <v>4677</v>
      </c>
      <c r="I1012" s="7" t="s">
        <v>0</v>
      </c>
      <c r="J1012" s="7" t="s">
        <v>4741</v>
      </c>
      <c r="K1012" s="7" t="s">
        <v>47</v>
      </c>
      <c r="L1012" s="7" t="s">
        <v>239</v>
      </c>
      <c r="M1012" s="7" t="s">
        <v>0</v>
      </c>
      <c r="N1012" s="7" t="s">
        <v>4739</v>
      </c>
      <c r="O1012" s="7" t="s">
        <v>0</v>
      </c>
      <c r="P1012" s="7" t="s">
        <v>4740</v>
      </c>
      <c r="Q1012" s="7" t="s">
        <v>4742</v>
      </c>
      <c r="R1012" s="7" t="s">
        <v>53</v>
      </c>
      <c r="S1012" s="7" t="s">
        <v>0</v>
      </c>
      <c r="T1012" s="7" t="s">
        <v>54</v>
      </c>
      <c r="U1012" s="7" t="s">
        <v>55</v>
      </c>
      <c r="V1012" s="7" t="s">
        <v>56</v>
      </c>
      <c r="W1012" s="7" t="s">
        <v>57</v>
      </c>
      <c r="X1012" s="7" t="s">
        <v>103</v>
      </c>
      <c r="Y1012" s="8">
        <v>45117</v>
      </c>
      <c r="Z1012" s="8">
        <v>45535</v>
      </c>
      <c r="AA1012" s="7" t="s">
        <v>59</v>
      </c>
      <c r="AB1012" s="7" t="s">
        <v>64</v>
      </c>
      <c r="AC1012" s="7" t="s">
        <v>79</v>
      </c>
      <c r="AD1012" s="7" t="s">
        <v>80</v>
      </c>
      <c r="AE1012" s="7" t="s">
        <v>82</v>
      </c>
      <c r="AF1012" s="7" t="s">
        <v>0</v>
      </c>
      <c r="AG1012" s="7" t="s">
        <v>0</v>
      </c>
      <c r="AH1012" s="9" t="s">
        <v>12195</v>
      </c>
      <c r="AI1012" s="9" t="s">
        <v>12196</v>
      </c>
      <c r="AJ1012" s="9" t="s">
        <v>12197</v>
      </c>
      <c r="AK1012" s="7" t="s">
        <v>61</v>
      </c>
      <c r="AL1012" s="7" t="s">
        <v>61</v>
      </c>
      <c r="AM1012" s="7" t="s">
        <v>0</v>
      </c>
      <c r="AN1012" s="7" t="s">
        <v>0</v>
      </c>
      <c r="AO1012" s="7" t="s">
        <v>0</v>
      </c>
      <c r="AP1012" s="7" t="s">
        <v>0</v>
      </c>
      <c r="AQ1012" s="7" t="s">
        <v>61</v>
      </c>
      <c r="AR1012" s="7" t="s">
        <v>0</v>
      </c>
      <c r="AS1012" s="10" t="str">
        <f>HYPERLINK("https://tessa.gazprom-neft.local/edo/card/e05c80c7-bcb6-4d87-bacf-48187dc3c5fa", "https://tessa.gazprom-neft.local/edo/card/e05c80c7-bcb6-4d87-bacf-48187dc3c5fa")</f>
        <v>https://tessa.gazprom-neft.local/edo/card/e05c80c7-bcb6-4d87-bacf-48187dc3c5fa</v>
      </c>
    </row>
    <row r="1013" spans="1:45" hidden="1" x14ac:dyDescent="0.25">
      <c r="A1013" s="6" t="s">
        <v>44</v>
      </c>
      <c r="B1013" s="7" t="s">
        <v>374</v>
      </c>
      <c r="C1013" s="7" t="s">
        <v>67</v>
      </c>
      <c r="D1013" s="8">
        <v>45117</v>
      </c>
      <c r="E1013" s="8" t="s">
        <v>0</v>
      </c>
      <c r="F1013" s="16" t="s">
        <v>375</v>
      </c>
      <c r="G1013" s="7" t="s">
        <v>376</v>
      </c>
      <c r="H1013" s="7" t="s">
        <v>4677</v>
      </c>
      <c r="I1013" s="7" t="s">
        <v>0</v>
      </c>
      <c r="J1013" s="7" t="s">
        <v>4751</v>
      </c>
      <c r="K1013" s="7" t="s">
        <v>47</v>
      </c>
      <c r="L1013" s="7" t="s">
        <v>239</v>
      </c>
      <c r="M1013" s="7" t="s">
        <v>0</v>
      </c>
      <c r="N1013" s="7" t="s">
        <v>4749</v>
      </c>
      <c r="O1013" s="7" t="s">
        <v>0</v>
      </c>
      <c r="P1013" s="7" t="s">
        <v>4750</v>
      </c>
      <c r="Q1013" s="7" t="s">
        <v>4742</v>
      </c>
      <c r="R1013" s="7" t="s">
        <v>53</v>
      </c>
      <c r="S1013" s="7" t="s">
        <v>0</v>
      </c>
      <c r="T1013" s="7" t="s">
        <v>54</v>
      </c>
      <c r="U1013" s="7" t="s">
        <v>55</v>
      </c>
      <c r="V1013" s="7" t="s">
        <v>56</v>
      </c>
      <c r="W1013" s="7" t="s">
        <v>57</v>
      </c>
      <c r="X1013" s="7" t="s">
        <v>103</v>
      </c>
      <c r="Y1013" s="8">
        <v>45117</v>
      </c>
      <c r="Z1013" s="8">
        <v>45535</v>
      </c>
      <c r="AA1013" s="7" t="s">
        <v>59</v>
      </c>
      <c r="AB1013" s="7" t="s">
        <v>64</v>
      </c>
      <c r="AC1013" s="7" t="s">
        <v>79</v>
      </c>
      <c r="AD1013" s="7" t="s">
        <v>80</v>
      </c>
      <c r="AE1013" s="7" t="s">
        <v>82</v>
      </c>
      <c r="AF1013" s="7" t="s">
        <v>0</v>
      </c>
      <c r="AG1013" s="7" t="s">
        <v>0</v>
      </c>
      <c r="AH1013" s="9" t="s">
        <v>12198</v>
      </c>
      <c r="AI1013" s="9" t="s">
        <v>12199</v>
      </c>
      <c r="AJ1013" s="9" t="s">
        <v>12200</v>
      </c>
      <c r="AK1013" s="7" t="s">
        <v>61</v>
      </c>
      <c r="AL1013" s="7" t="s">
        <v>61</v>
      </c>
      <c r="AM1013" s="7" t="s">
        <v>0</v>
      </c>
      <c r="AN1013" s="7" t="s">
        <v>0</v>
      </c>
      <c r="AO1013" s="7" t="s">
        <v>0</v>
      </c>
      <c r="AP1013" s="7" t="s">
        <v>0</v>
      </c>
      <c r="AQ1013" s="7" t="s">
        <v>61</v>
      </c>
      <c r="AR1013" s="7" t="s">
        <v>0</v>
      </c>
      <c r="AS1013" s="10" t="str">
        <f>HYPERLINK("https://tessa.gazprom-neft.local/edo/card/ff886a8a-d639-4fa7-b044-527eefcb7a09", "https://tessa.gazprom-neft.local/edo/card/ff886a8a-d639-4fa7-b044-527eefcb7a09")</f>
        <v>https://tessa.gazprom-neft.local/edo/card/ff886a8a-d639-4fa7-b044-527eefcb7a09</v>
      </c>
    </row>
    <row r="1014" spans="1:45" hidden="1" x14ac:dyDescent="0.25">
      <c r="A1014" s="6" t="s">
        <v>44</v>
      </c>
      <c r="B1014" s="7" t="s">
        <v>374</v>
      </c>
      <c r="C1014" s="7" t="s">
        <v>67</v>
      </c>
      <c r="D1014" s="8">
        <v>45117</v>
      </c>
      <c r="E1014" s="8" t="s">
        <v>0</v>
      </c>
      <c r="F1014" s="16" t="s">
        <v>375</v>
      </c>
      <c r="G1014" s="7" t="s">
        <v>376</v>
      </c>
      <c r="H1014" s="7" t="s">
        <v>4677</v>
      </c>
      <c r="I1014" s="7" t="s">
        <v>0</v>
      </c>
      <c r="J1014" s="7" t="s">
        <v>4765</v>
      </c>
      <c r="K1014" s="7" t="s">
        <v>47</v>
      </c>
      <c r="L1014" s="7" t="s">
        <v>239</v>
      </c>
      <c r="M1014" s="7" t="s">
        <v>0</v>
      </c>
      <c r="N1014" s="7" t="s">
        <v>4763</v>
      </c>
      <c r="O1014" s="7" t="s">
        <v>0</v>
      </c>
      <c r="P1014" s="7" t="s">
        <v>4764</v>
      </c>
      <c r="Q1014" s="7" t="s">
        <v>4728</v>
      </c>
      <c r="R1014" s="7" t="s">
        <v>53</v>
      </c>
      <c r="S1014" s="7" t="s">
        <v>0</v>
      </c>
      <c r="T1014" s="7" t="s">
        <v>54</v>
      </c>
      <c r="U1014" s="7" t="s">
        <v>55</v>
      </c>
      <c r="V1014" s="7" t="s">
        <v>56</v>
      </c>
      <c r="W1014" s="7" t="s">
        <v>57</v>
      </c>
      <c r="X1014" s="7" t="s">
        <v>103</v>
      </c>
      <c r="Y1014" s="8">
        <v>45117</v>
      </c>
      <c r="Z1014" s="8">
        <v>45535</v>
      </c>
      <c r="AA1014" s="7" t="s">
        <v>59</v>
      </c>
      <c r="AB1014" s="7" t="s">
        <v>64</v>
      </c>
      <c r="AC1014" s="7" t="s">
        <v>79</v>
      </c>
      <c r="AD1014" s="7" t="s">
        <v>80</v>
      </c>
      <c r="AE1014" s="7" t="s">
        <v>82</v>
      </c>
      <c r="AF1014" s="7" t="s">
        <v>0</v>
      </c>
      <c r="AG1014" s="7" t="s">
        <v>0</v>
      </c>
      <c r="AH1014" s="9" t="s">
        <v>12189</v>
      </c>
      <c r="AI1014" s="9" t="s">
        <v>12190</v>
      </c>
      <c r="AJ1014" s="9" t="s">
        <v>12191</v>
      </c>
      <c r="AK1014" s="7" t="s">
        <v>61</v>
      </c>
      <c r="AL1014" s="7" t="s">
        <v>61</v>
      </c>
      <c r="AM1014" s="7" t="s">
        <v>0</v>
      </c>
      <c r="AN1014" s="7" t="s">
        <v>0</v>
      </c>
      <c r="AO1014" s="7" t="s">
        <v>0</v>
      </c>
      <c r="AP1014" s="7" t="s">
        <v>0</v>
      </c>
      <c r="AQ1014" s="7" t="s">
        <v>61</v>
      </c>
      <c r="AR1014" s="7" t="s">
        <v>0</v>
      </c>
      <c r="AS1014" s="10" t="str">
        <f>HYPERLINK("https://tessa.gazprom-neft.local/edo/card/c388d510-f578-4297-b47d-feba9ffab34a", "https://tessa.gazprom-neft.local/edo/card/c388d510-f578-4297-b47d-feba9ffab34a")</f>
        <v>https://tessa.gazprom-neft.local/edo/card/c388d510-f578-4297-b47d-feba9ffab34a</v>
      </c>
    </row>
    <row r="1015" spans="1:45" hidden="1" x14ac:dyDescent="0.25">
      <c r="A1015" s="6" t="s">
        <v>44</v>
      </c>
      <c r="B1015" s="7" t="s">
        <v>374</v>
      </c>
      <c r="C1015" s="7" t="s">
        <v>67</v>
      </c>
      <c r="D1015" s="8">
        <v>45117</v>
      </c>
      <c r="E1015" s="8" t="s">
        <v>0</v>
      </c>
      <c r="F1015" s="16" t="s">
        <v>375</v>
      </c>
      <c r="G1015" s="7" t="s">
        <v>376</v>
      </c>
      <c r="H1015" s="7" t="s">
        <v>4677</v>
      </c>
      <c r="I1015" s="7" t="s">
        <v>0</v>
      </c>
      <c r="J1015" s="7" t="s">
        <v>4780</v>
      </c>
      <c r="K1015" s="7" t="s">
        <v>47</v>
      </c>
      <c r="L1015" s="7" t="s">
        <v>239</v>
      </c>
      <c r="M1015" s="7" t="s">
        <v>0</v>
      </c>
      <c r="N1015" s="7" t="s">
        <v>4778</v>
      </c>
      <c r="O1015" s="7" t="s">
        <v>0</v>
      </c>
      <c r="P1015" s="7" t="s">
        <v>4779</v>
      </c>
      <c r="Q1015" s="7" t="s">
        <v>4781</v>
      </c>
      <c r="R1015" s="7" t="s">
        <v>53</v>
      </c>
      <c r="S1015" s="7" t="s">
        <v>0</v>
      </c>
      <c r="T1015" s="7" t="s">
        <v>54</v>
      </c>
      <c r="U1015" s="7" t="s">
        <v>55</v>
      </c>
      <c r="V1015" s="7" t="s">
        <v>56</v>
      </c>
      <c r="W1015" s="7" t="s">
        <v>57</v>
      </c>
      <c r="X1015" s="7" t="s">
        <v>103</v>
      </c>
      <c r="Y1015" s="8">
        <v>45117</v>
      </c>
      <c r="Z1015" s="8">
        <v>45535</v>
      </c>
      <c r="AA1015" s="7" t="s">
        <v>59</v>
      </c>
      <c r="AB1015" s="7" t="s">
        <v>64</v>
      </c>
      <c r="AC1015" s="7" t="s">
        <v>79</v>
      </c>
      <c r="AD1015" s="7" t="s">
        <v>80</v>
      </c>
      <c r="AE1015" s="7" t="s">
        <v>82</v>
      </c>
      <c r="AF1015" s="7" t="s">
        <v>0</v>
      </c>
      <c r="AG1015" s="7" t="s">
        <v>0</v>
      </c>
      <c r="AH1015" s="9" t="s">
        <v>12175</v>
      </c>
      <c r="AI1015" s="9" t="s">
        <v>12176</v>
      </c>
      <c r="AJ1015" s="9" t="s">
        <v>12177</v>
      </c>
      <c r="AK1015" s="7" t="s">
        <v>61</v>
      </c>
      <c r="AL1015" s="7" t="s">
        <v>61</v>
      </c>
      <c r="AM1015" s="7" t="s">
        <v>0</v>
      </c>
      <c r="AN1015" s="7" t="s">
        <v>0</v>
      </c>
      <c r="AO1015" s="7" t="s">
        <v>0</v>
      </c>
      <c r="AP1015" s="7" t="s">
        <v>0</v>
      </c>
      <c r="AQ1015" s="7" t="s">
        <v>61</v>
      </c>
      <c r="AR1015" s="7" t="s">
        <v>0</v>
      </c>
      <c r="AS1015" s="10" t="str">
        <f>HYPERLINK("https://tessa.gazprom-neft.local/edo/card/6dcb3de0-772e-4dac-a429-0619960b3d77", "https://tessa.gazprom-neft.local/edo/card/6dcb3de0-772e-4dac-a429-0619960b3d77")</f>
        <v>https://tessa.gazprom-neft.local/edo/card/6dcb3de0-772e-4dac-a429-0619960b3d77</v>
      </c>
    </row>
    <row r="1016" spans="1:45" hidden="1" x14ac:dyDescent="0.25">
      <c r="A1016" s="6" t="s">
        <v>44</v>
      </c>
      <c r="B1016" s="7" t="s">
        <v>395</v>
      </c>
      <c r="C1016" s="7" t="s">
        <v>67</v>
      </c>
      <c r="D1016" s="8">
        <v>45117</v>
      </c>
      <c r="E1016" s="8" t="s">
        <v>0</v>
      </c>
      <c r="F1016" s="16" t="s">
        <v>396</v>
      </c>
      <c r="G1016" s="7" t="s">
        <v>397</v>
      </c>
      <c r="H1016" s="7" t="s">
        <v>390</v>
      </c>
      <c r="I1016" s="7" t="s">
        <v>0</v>
      </c>
      <c r="J1016" s="7" t="s">
        <v>355</v>
      </c>
      <c r="K1016" s="7" t="s">
        <v>47</v>
      </c>
      <c r="L1016" s="7" t="s">
        <v>239</v>
      </c>
      <c r="M1016" s="7" t="s">
        <v>0</v>
      </c>
      <c r="N1016" s="7" t="s">
        <v>4826</v>
      </c>
      <c r="O1016" s="7" t="s">
        <v>0</v>
      </c>
      <c r="P1016" s="7" t="s">
        <v>4827</v>
      </c>
      <c r="Q1016" s="7" t="s">
        <v>4828</v>
      </c>
      <c r="R1016" s="7" t="s">
        <v>393</v>
      </c>
      <c r="S1016" s="7" t="s">
        <v>0</v>
      </c>
      <c r="T1016" s="7" t="s">
        <v>54</v>
      </c>
      <c r="U1016" s="7" t="s">
        <v>591</v>
      </c>
      <c r="V1016" s="7" t="s">
        <v>126</v>
      </c>
      <c r="W1016" s="7" t="s">
        <v>74</v>
      </c>
      <c r="X1016" s="7" t="s">
        <v>58</v>
      </c>
      <c r="Y1016" s="8">
        <v>45117</v>
      </c>
      <c r="Z1016" s="8" t="s">
        <v>0</v>
      </c>
      <c r="AA1016" s="7" t="s">
        <v>224</v>
      </c>
      <c r="AB1016" s="7" t="s">
        <v>387</v>
      </c>
      <c r="AC1016" s="7" t="s">
        <v>79</v>
      </c>
      <c r="AD1016" s="7" t="s">
        <v>80</v>
      </c>
      <c r="AE1016" s="7" t="s">
        <v>82</v>
      </c>
      <c r="AF1016" s="7" t="s">
        <v>0</v>
      </c>
      <c r="AG1016" s="7" t="s">
        <v>4684</v>
      </c>
      <c r="AH1016" s="9" t="s">
        <v>12228</v>
      </c>
      <c r="AI1016" s="9" t="s">
        <v>12229</v>
      </c>
      <c r="AJ1016" s="9" t="s">
        <v>12230</v>
      </c>
      <c r="AK1016" s="7" t="s">
        <v>81</v>
      </c>
      <c r="AL1016" s="7" t="s">
        <v>61</v>
      </c>
      <c r="AM1016" s="7" t="s">
        <v>0</v>
      </c>
      <c r="AN1016" s="7" t="s">
        <v>0</v>
      </c>
      <c r="AO1016" s="7" t="s">
        <v>0</v>
      </c>
      <c r="AP1016" s="7" t="s">
        <v>0</v>
      </c>
      <c r="AQ1016" s="7" t="s">
        <v>61</v>
      </c>
      <c r="AR1016" s="7" t="s">
        <v>0</v>
      </c>
      <c r="AS1016" s="10" t="str">
        <f>HYPERLINK("https://tessa.gazprom-neft.local/edo/card/6ff39f19-ab55-4dd4-80ff-7139d3c941e4", "https://tessa.gazprom-neft.local/edo/card/6ff39f19-ab55-4dd4-80ff-7139d3c941e4")</f>
        <v>https://tessa.gazprom-neft.local/edo/card/6ff39f19-ab55-4dd4-80ff-7139d3c941e4</v>
      </c>
    </row>
    <row r="1017" spans="1:45" hidden="1" x14ac:dyDescent="0.25">
      <c r="A1017" s="6" t="s">
        <v>44</v>
      </c>
      <c r="B1017" s="7" t="s">
        <v>395</v>
      </c>
      <c r="C1017" s="7" t="s">
        <v>67</v>
      </c>
      <c r="D1017" s="8">
        <v>45117</v>
      </c>
      <c r="E1017" s="8" t="s">
        <v>0</v>
      </c>
      <c r="F1017" s="16" t="s">
        <v>396</v>
      </c>
      <c r="G1017" s="7" t="s">
        <v>397</v>
      </c>
      <c r="H1017" s="7" t="s">
        <v>390</v>
      </c>
      <c r="I1017" s="7" t="s">
        <v>0</v>
      </c>
      <c r="J1017" s="7" t="s">
        <v>156</v>
      </c>
      <c r="K1017" s="7" t="s">
        <v>47</v>
      </c>
      <c r="L1017" s="7" t="s">
        <v>239</v>
      </c>
      <c r="M1017" s="7" t="s">
        <v>0</v>
      </c>
      <c r="N1017" s="7" t="s">
        <v>4832</v>
      </c>
      <c r="O1017" s="7" t="s">
        <v>0</v>
      </c>
      <c r="P1017" s="7" t="s">
        <v>4833</v>
      </c>
      <c r="Q1017" s="7" t="s">
        <v>4834</v>
      </c>
      <c r="R1017" s="7" t="s">
        <v>393</v>
      </c>
      <c r="S1017" s="7" t="s">
        <v>0</v>
      </c>
      <c r="T1017" s="7" t="s">
        <v>54</v>
      </c>
      <c r="U1017" s="7" t="s">
        <v>591</v>
      </c>
      <c r="V1017" s="7" t="s">
        <v>126</v>
      </c>
      <c r="W1017" s="7" t="s">
        <v>74</v>
      </c>
      <c r="X1017" s="7" t="s">
        <v>58</v>
      </c>
      <c r="Y1017" s="8">
        <v>45117</v>
      </c>
      <c r="Z1017" s="8" t="s">
        <v>0</v>
      </c>
      <c r="AA1017" s="7" t="s">
        <v>224</v>
      </c>
      <c r="AB1017" s="7" t="s">
        <v>387</v>
      </c>
      <c r="AC1017" s="7" t="s">
        <v>79</v>
      </c>
      <c r="AD1017" s="7" t="s">
        <v>80</v>
      </c>
      <c r="AE1017" s="7" t="s">
        <v>82</v>
      </c>
      <c r="AF1017" s="7" t="s">
        <v>0</v>
      </c>
      <c r="AG1017" s="7" t="s">
        <v>4835</v>
      </c>
      <c r="AH1017" s="9" t="s">
        <v>12234</v>
      </c>
      <c r="AI1017" s="9" t="s">
        <v>12235</v>
      </c>
      <c r="AJ1017" s="9" t="s">
        <v>12236</v>
      </c>
      <c r="AK1017" s="7" t="s">
        <v>81</v>
      </c>
      <c r="AL1017" s="7" t="s">
        <v>61</v>
      </c>
      <c r="AM1017" s="7" t="s">
        <v>0</v>
      </c>
      <c r="AN1017" s="7" t="s">
        <v>0</v>
      </c>
      <c r="AO1017" s="7" t="s">
        <v>0</v>
      </c>
      <c r="AP1017" s="7" t="s">
        <v>0</v>
      </c>
      <c r="AQ1017" s="7" t="s">
        <v>61</v>
      </c>
      <c r="AR1017" s="7" t="s">
        <v>0</v>
      </c>
      <c r="AS1017" s="10" t="str">
        <f>HYPERLINK("https://tessa.gazprom-neft.local/edo/card/10627465-4adb-469b-88fb-6cd1344ff436", "https://tessa.gazprom-neft.local/edo/card/10627465-4adb-469b-88fb-6cd1344ff436")</f>
        <v>https://tessa.gazprom-neft.local/edo/card/10627465-4adb-469b-88fb-6cd1344ff436</v>
      </c>
    </row>
    <row r="1018" spans="1:45" x14ac:dyDescent="0.25">
      <c r="A1018" s="6" t="s">
        <v>44</v>
      </c>
      <c r="B1018" s="7" t="s">
        <v>927</v>
      </c>
      <c r="C1018" s="7" t="s">
        <v>67</v>
      </c>
      <c r="D1018" s="8">
        <v>45116</v>
      </c>
      <c r="E1018" s="8">
        <v>45495</v>
      </c>
      <c r="F1018" s="16" t="s">
        <v>928</v>
      </c>
      <c r="G1018" s="7" t="s">
        <v>929</v>
      </c>
      <c r="H1018" s="7" t="s">
        <v>1052</v>
      </c>
      <c r="I1018" s="7" t="s">
        <v>0</v>
      </c>
      <c r="J1018" s="7" t="s">
        <v>156</v>
      </c>
      <c r="K1018" s="7" t="s">
        <v>47</v>
      </c>
      <c r="L1018" s="7" t="s">
        <v>48</v>
      </c>
      <c r="M1018" s="7" t="s">
        <v>0</v>
      </c>
      <c r="N1018" s="7" t="s">
        <v>5293</v>
      </c>
      <c r="O1018" s="7" t="s">
        <v>0</v>
      </c>
      <c r="P1018" s="7" t="s">
        <v>5294</v>
      </c>
      <c r="Q1018" s="7" t="s">
        <v>5295</v>
      </c>
      <c r="R1018" s="7" t="s">
        <v>393</v>
      </c>
      <c r="S1018" s="7" t="s">
        <v>209</v>
      </c>
      <c r="T1018" s="7" t="s">
        <v>54</v>
      </c>
      <c r="U1018" s="7" t="s">
        <v>210</v>
      </c>
      <c r="V1018" s="7" t="s">
        <v>126</v>
      </c>
      <c r="W1018" s="7" t="s">
        <v>74</v>
      </c>
      <c r="X1018" s="7" t="s">
        <v>103</v>
      </c>
      <c r="Y1018" s="8">
        <v>45116</v>
      </c>
      <c r="Z1018" s="8">
        <v>45747</v>
      </c>
      <c r="AA1018" s="7" t="s">
        <v>200</v>
      </c>
      <c r="AB1018" s="7" t="s">
        <v>130</v>
      </c>
      <c r="AC1018" s="7" t="s">
        <v>79</v>
      </c>
      <c r="AD1018" s="7" t="s">
        <v>80</v>
      </c>
      <c r="AE1018" s="7" t="s">
        <v>82</v>
      </c>
      <c r="AF1018" s="7" t="s">
        <v>0</v>
      </c>
      <c r="AG1018" s="7" t="s">
        <v>0</v>
      </c>
      <c r="AH1018" s="9" t="s">
        <v>12436</v>
      </c>
      <c r="AI1018" s="9" t="s">
        <v>12437</v>
      </c>
      <c r="AJ1018" s="9" t="s">
        <v>12438</v>
      </c>
      <c r="AK1018" s="7" t="s">
        <v>61</v>
      </c>
      <c r="AL1018" s="7" t="s">
        <v>61</v>
      </c>
      <c r="AM1018" s="7" t="s">
        <v>0</v>
      </c>
      <c r="AN1018" s="7" t="s">
        <v>0</v>
      </c>
      <c r="AO1018" s="7" t="s">
        <v>0</v>
      </c>
      <c r="AP1018" s="7" t="s">
        <v>0</v>
      </c>
      <c r="AQ1018" s="7" t="s">
        <v>61</v>
      </c>
      <c r="AR1018" s="7" t="s">
        <v>0</v>
      </c>
      <c r="AS1018" s="10" t="str">
        <f>HYPERLINK("https://tessa.gazprom-neft.local/edo/card/70a25883-d478-4bc1-b6b3-d77dc919e756", "https://tessa.gazprom-neft.local/edo/card/70a25883-d478-4bc1-b6b3-d77dc919e756")</f>
        <v>https://tessa.gazprom-neft.local/edo/card/70a25883-d478-4bc1-b6b3-d77dc919e756</v>
      </c>
    </row>
    <row r="1019" spans="1:45" hidden="1" x14ac:dyDescent="0.25">
      <c r="A1019" s="6" t="s">
        <v>44</v>
      </c>
      <c r="B1019" s="7" t="s">
        <v>114</v>
      </c>
      <c r="C1019" s="7" t="s">
        <v>67</v>
      </c>
      <c r="D1019" s="8">
        <v>45114</v>
      </c>
      <c r="E1019" s="8" t="s">
        <v>0</v>
      </c>
      <c r="F1019" s="16" t="s">
        <v>115</v>
      </c>
      <c r="G1019" s="7" t="s">
        <v>116</v>
      </c>
      <c r="H1019" s="7" t="s">
        <v>0</v>
      </c>
      <c r="I1019" s="7" t="s">
        <v>4448</v>
      </c>
      <c r="J1019" s="7" t="s">
        <v>4448</v>
      </c>
      <c r="K1019" s="7" t="s">
        <v>47</v>
      </c>
      <c r="L1019" s="7" t="s">
        <v>96</v>
      </c>
      <c r="M1019" s="7" t="s">
        <v>0</v>
      </c>
      <c r="N1019" s="7" t="s">
        <v>4447</v>
      </c>
      <c r="O1019" s="7" t="s">
        <v>0</v>
      </c>
      <c r="P1019" s="7" t="s">
        <v>117</v>
      </c>
      <c r="Q1019" s="7" t="s">
        <v>4449</v>
      </c>
      <c r="R1019" s="7" t="s">
        <v>1575</v>
      </c>
      <c r="S1019" s="7" t="s">
        <v>1575</v>
      </c>
      <c r="T1019" s="7" t="s">
        <v>54</v>
      </c>
      <c r="U1019" s="7" t="s">
        <v>222</v>
      </c>
      <c r="V1019" s="7" t="s">
        <v>126</v>
      </c>
      <c r="W1019" s="7" t="s">
        <v>57</v>
      </c>
      <c r="X1019" s="7" t="s">
        <v>103</v>
      </c>
      <c r="Y1019" s="8">
        <v>45136</v>
      </c>
      <c r="Z1019" s="8">
        <v>45501</v>
      </c>
      <c r="AA1019" s="7" t="s">
        <v>224</v>
      </c>
      <c r="AB1019" s="7" t="s">
        <v>117</v>
      </c>
      <c r="AC1019" s="7" t="s">
        <v>79</v>
      </c>
      <c r="AD1019" s="7" t="s">
        <v>80</v>
      </c>
      <c r="AE1019" s="7" t="s">
        <v>118</v>
      </c>
      <c r="AF1019" s="7" t="s">
        <v>0</v>
      </c>
      <c r="AG1019" s="7" t="s">
        <v>0</v>
      </c>
      <c r="AH1019" s="9" t="s">
        <v>12067</v>
      </c>
      <c r="AI1019" s="9" t="s">
        <v>12067</v>
      </c>
      <c r="AJ1019" s="9">
        <v>0</v>
      </c>
      <c r="AK1019" s="7" t="s">
        <v>61</v>
      </c>
      <c r="AL1019" s="7" t="s">
        <v>61</v>
      </c>
      <c r="AM1019" s="7" t="s">
        <v>0</v>
      </c>
      <c r="AN1019" s="7" t="s">
        <v>0</v>
      </c>
      <c r="AO1019" s="7" t="s">
        <v>0</v>
      </c>
      <c r="AP1019" s="7" t="s">
        <v>0</v>
      </c>
      <c r="AQ1019" s="7" t="s">
        <v>61</v>
      </c>
      <c r="AR1019" s="7" t="s">
        <v>0</v>
      </c>
      <c r="AS1019" s="10" t="str">
        <f>HYPERLINK("https://tessa.gazprom-neft.local/edo/card/f2c4c52b-4ff2-4c74-b8dd-8170a174b989", "https://tessa.gazprom-neft.local/edo/card/f2c4c52b-4ff2-4c74-b8dd-8170a174b989")</f>
        <v>https://tessa.gazprom-neft.local/edo/card/f2c4c52b-4ff2-4c74-b8dd-8170a174b989</v>
      </c>
    </row>
    <row r="1020" spans="1:45" hidden="1" x14ac:dyDescent="0.25">
      <c r="A1020" s="6" t="s">
        <v>44</v>
      </c>
      <c r="B1020" s="7" t="s">
        <v>4344</v>
      </c>
      <c r="C1020" s="7" t="s">
        <v>67</v>
      </c>
      <c r="D1020" s="8">
        <v>45114</v>
      </c>
      <c r="E1020" s="8" t="s">
        <v>0</v>
      </c>
      <c r="F1020" s="16" t="s">
        <v>4345</v>
      </c>
      <c r="G1020" s="7" t="s">
        <v>4346</v>
      </c>
      <c r="H1020" s="7" t="s">
        <v>0</v>
      </c>
      <c r="I1020" s="7" t="s">
        <v>4847</v>
      </c>
      <c r="J1020" s="7" t="s">
        <v>4847</v>
      </c>
      <c r="K1020" s="7" t="s">
        <v>47</v>
      </c>
      <c r="L1020" s="7" t="s">
        <v>96</v>
      </c>
      <c r="M1020" s="7" t="s">
        <v>0</v>
      </c>
      <c r="N1020" s="7" t="s">
        <v>4846</v>
      </c>
      <c r="O1020" s="7" t="s">
        <v>0</v>
      </c>
      <c r="P1020" s="7" t="s">
        <v>4342</v>
      </c>
      <c r="Q1020" s="7" t="s">
        <v>4848</v>
      </c>
      <c r="R1020" s="7" t="s">
        <v>233</v>
      </c>
      <c r="S1020" s="7" t="s">
        <v>233</v>
      </c>
      <c r="T1020" s="7" t="s">
        <v>54</v>
      </c>
      <c r="U1020" s="7" t="s">
        <v>55</v>
      </c>
      <c r="V1020" s="7" t="s">
        <v>56</v>
      </c>
      <c r="W1020" s="7" t="s">
        <v>57</v>
      </c>
      <c r="X1020" s="7" t="s">
        <v>103</v>
      </c>
      <c r="Y1020" s="8">
        <v>45114</v>
      </c>
      <c r="Z1020" s="8">
        <v>45230</v>
      </c>
      <c r="AA1020" s="7" t="s">
        <v>0</v>
      </c>
      <c r="AB1020" s="7" t="s">
        <v>256</v>
      </c>
      <c r="AC1020" s="7" t="s">
        <v>278</v>
      </c>
      <c r="AD1020" s="7" t="s">
        <v>80</v>
      </c>
      <c r="AE1020" s="7" t="s">
        <v>82</v>
      </c>
      <c r="AF1020" s="7" t="s">
        <v>0</v>
      </c>
      <c r="AG1020" s="7" t="s">
        <v>0</v>
      </c>
      <c r="AH1020" s="9" t="s">
        <v>12246</v>
      </c>
      <c r="AI1020" s="9" t="s">
        <v>12247</v>
      </c>
      <c r="AJ1020" s="9" t="s">
        <v>12248</v>
      </c>
      <c r="AK1020" s="7" t="s">
        <v>61</v>
      </c>
      <c r="AL1020" s="7" t="s">
        <v>61</v>
      </c>
      <c r="AM1020" s="7" t="s">
        <v>0</v>
      </c>
      <c r="AN1020" s="7" t="s">
        <v>0</v>
      </c>
      <c r="AO1020" s="7" t="s">
        <v>0</v>
      </c>
      <c r="AP1020" s="7" t="s">
        <v>0</v>
      </c>
      <c r="AQ1020" s="7" t="s">
        <v>61</v>
      </c>
      <c r="AR1020" s="7" t="s">
        <v>0</v>
      </c>
      <c r="AS1020" s="10" t="str">
        <f>HYPERLINK("https://tessa.gazprom-neft.local/edo/card/6a5b89c3-8113-4af6-a541-fcd3cf807223", "https://tessa.gazprom-neft.local/edo/card/6a5b89c3-8113-4af6-a541-fcd3cf807223")</f>
        <v>https://tessa.gazprom-neft.local/edo/card/6a5b89c3-8113-4af6-a541-fcd3cf807223</v>
      </c>
    </row>
    <row r="1021" spans="1:45" hidden="1" x14ac:dyDescent="0.25">
      <c r="A1021" s="6" t="s">
        <v>44</v>
      </c>
      <c r="B1021" s="7" t="s">
        <v>661</v>
      </c>
      <c r="C1021" s="7" t="s">
        <v>67</v>
      </c>
      <c r="D1021" s="8">
        <v>45113</v>
      </c>
      <c r="E1021" s="8" t="s">
        <v>0</v>
      </c>
      <c r="F1021" s="16" t="s">
        <v>662</v>
      </c>
      <c r="G1021" s="7" t="s">
        <v>663</v>
      </c>
      <c r="H1021" s="7" t="s">
        <v>2557</v>
      </c>
      <c r="I1021" s="7" t="s">
        <v>0</v>
      </c>
      <c r="J1021" s="7" t="s">
        <v>4542</v>
      </c>
      <c r="K1021" s="7" t="s">
        <v>47</v>
      </c>
      <c r="L1021" s="7" t="s">
        <v>763</v>
      </c>
      <c r="M1021" s="7" t="s">
        <v>0</v>
      </c>
      <c r="N1021" s="7" t="s">
        <v>4540</v>
      </c>
      <c r="O1021" s="7" t="s">
        <v>0</v>
      </c>
      <c r="P1021" s="7" t="s">
        <v>4541</v>
      </c>
      <c r="Q1021" s="7" t="s">
        <v>4543</v>
      </c>
      <c r="R1021" s="7" t="s">
        <v>393</v>
      </c>
      <c r="S1021" s="7" t="s">
        <v>714</v>
      </c>
      <c r="T1021" s="7" t="s">
        <v>54</v>
      </c>
      <c r="U1021" s="7" t="s">
        <v>283</v>
      </c>
      <c r="V1021" s="7" t="s">
        <v>168</v>
      </c>
      <c r="W1021" s="7" t="s">
        <v>74</v>
      </c>
      <c r="X1021" s="7" t="s">
        <v>103</v>
      </c>
      <c r="Y1021" s="8">
        <v>45200</v>
      </c>
      <c r="Z1021" s="8">
        <v>45351</v>
      </c>
      <c r="AA1021" s="7" t="s">
        <v>169</v>
      </c>
      <c r="AB1021" s="7" t="s">
        <v>130</v>
      </c>
      <c r="AC1021" s="7" t="s">
        <v>79</v>
      </c>
      <c r="AD1021" s="7" t="s">
        <v>80</v>
      </c>
      <c r="AE1021" s="7" t="s">
        <v>82</v>
      </c>
      <c r="AF1021" s="7" t="s">
        <v>0</v>
      </c>
      <c r="AG1021" s="7" t="s">
        <v>0</v>
      </c>
      <c r="AH1021" s="9" t="s">
        <v>12105</v>
      </c>
      <c r="AI1021" s="9" t="s">
        <v>12106</v>
      </c>
      <c r="AJ1021" s="9" t="s">
        <v>12107</v>
      </c>
      <c r="AK1021" s="7" t="s">
        <v>61</v>
      </c>
      <c r="AL1021" s="7" t="s">
        <v>61</v>
      </c>
      <c r="AM1021" s="7" t="s">
        <v>0</v>
      </c>
      <c r="AN1021" s="7" t="s">
        <v>0</v>
      </c>
      <c r="AO1021" s="7" t="s">
        <v>0</v>
      </c>
      <c r="AP1021" s="7" t="s">
        <v>0</v>
      </c>
      <c r="AQ1021" s="7" t="s">
        <v>61</v>
      </c>
      <c r="AR1021" s="7" t="s">
        <v>0</v>
      </c>
      <c r="AS1021" s="10" t="str">
        <f>HYPERLINK("https://tessa.gazprom-neft.local/edo/card/824cb962-bfe1-49b9-bbc8-193c9ed6ffae", "https://tessa.gazprom-neft.local/edo/card/824cb962-bfe1-49b9-bbc8-193c9ed6ffae")</f>
        <v>https://tessa.gazprom-neft.local/edo/card/824cb962-bfe1-49b9-bbc8-193c9ed6ffae</v>
      </c>
    </row>
    <row r="1022" spans="1:45" hidden="1" x14ac:dyDescent="0.25">
      <c r="A1022" s="6" t="s">
        <v>44</v>
      </c>
      <c r="B1022" s="7" t="s">
        <v>3766</v>
      </c>
      <c r="C1022" s="7" t="s">
        <v>67</v>
      </c>
      <c r="D1022" s="8">
        <v>45113</v>
      </c>
      <c r="E1022" s="8" t="s">
        <v>0</v>
      </c>
      <c r="F1022" s="16" t="s">
        <v>3767</v>
      </c>
      <c r="G1022" s="7" t="s">
        <v>3768</v>
      </c>
      <c r="H1022" s="7" t="s">
        <v>0</v>
      </c>
      <c r="I1022" s="7" t="s">
        <v>4794</v>
      </c>
      <c r="J1022" s="7" t="s">
        <v>4794</v>
      </c>
      <c r="K1022" s="7" t="s">
        <v>85</v>
      </c>
      <c r="L1022" s="7" t="s">
        <v>86</v>
      </c>
      <c r="M1022" s="7" t="s">
        <v>83</v>
      </c>
      <c r="N1022" s="7" t="s">
        <v>4793</v>
      </c>
      <c r="O1022" s="7" t="s">
        <v>0</v>
      </c>
      <c r="P1022" s="7" t="s">
        <v>83</v>
      </c>
      <c r="Q1022" s="7" t="s">
        <v>548</v>
      </c>
      <c r="R1022" s="7" t="s">
        <v>549</v>
      </c>
      <c r="S1022" s="7" t="s">
        <v>549</v>
      </c>
      <c r="T1022" s="7" t="s">
        <v>54</v>
      </c>
      <c r="U1022" s="7" t="s">
        <v>303</v>
      </c>
      <c r="V1022" s="7" t="s">
        <v>91</v>
      </c>
      <c r="W1022" s="7" t="s">
        <v>57</v>
      </c>
      <c r="X1022" s="7" t="s">
        <v>103</v>
      </c>
      <c r="Y1022" s="8">
        <v>45068</v>
      </c>
      <c r="Z1022" s="8">
        <v>46164</v>
      </c>
      <c r="AA1022" s="7" t="s">
        <v>92</v>
      </c>
      <c r="AB1022" s="7" t="s">
        <v>94</v>
      </c>
      <c r="AC1022" s="7" t="s">
        <v>65</v>
      </c>
      <c r="AD1022" s="7" t="s">
        <v>0</v>
      </c>
      <c r="AE1022" s="7" t="s">
        <v>0</v>
      </c>
      <c r="AF1022" s="7" t="s">
        <v>0</v>
      </c>
      <c r="AG1022" s="7" t="s">
        <v>0</v>
      </c>
      <c r="AH1022" s="9" t="s">
        <v>0</v>
      </c>
      <c r="AI1022" s="9" t="s">
        <v>0</v>
      </c>
      <c r="AJ1022" s="9" t="s">
        <v>0</v>
      </c>
      <c r="AK1022" s="7" t="s">
        <v>61</v>
      </c>
      <c r="AL1022" s="7" t="s">
        <v>61</v>
      </c>
      <c r="AM1022" s="7" t="s">
        <v>0</v>
      </c>
      <c r="AN1022" s="7" t="s">
        <v>0</v>
      </c>
      <c r="AO1022" s="7" t="s">
        <v>0</v>
      </c>
      <c r="AP1022" s="7" t="s">
        <v>0</v>
      </c>
      <c r="AQ1022" s="7" t="s">
        <v>61</v>
      </c>
      <c r="AR1022" s="7" t="s">
        <v>0</v>
      </c>
      <c r="AS1022" s="10" t="str">
        <f>HYPERLINK("https://tessa.gazprom-neft.local/edo/card/dd434c8d-8acc-4292-8dbd-cb985be7acc9", "https://tessa.gazprom-neft.local/edo/card/dd434c8d-8acc-4292-8dbd-cb985be7acc9")</f>
        <v>https://tessa.gazprom-neft.local/edo/card/dd434c8d-8acc-4292-8dbd-cb985be7acc9</v>
      </c>
    </row>
    <row r="1023" spans="1:45" hidden="1" x14ac:dyDescent="0.25">
      <c r="A1023" s="6" t="s">
        <v>44</v>
      </c>
      <c r="B1023" s="7" t="s">
        <v>1328</v>
      </c>
      <c r="C1023" s="7" t="s">
        <v>67</v>
      </c>
      <c r="D1023" s="8">
        <v>45112</v>
      </c>
      <c r="E1023" s="8" t="s">
        <v>0</v>
      </c>
      <c r="F1023" s="16" t="s">
        <v>1329</v>
      </c>
      <c r="G1023" s="7" t="s">
        <v>1330</v>
      </c>
      <c r="H1023" s="7" t="s">
        <v>3640</v>
      </c>
      <c r="I1023" s="7" t="s">
        <v>0</v>
      </c>
      <c r="J1023" s="7" t="s">
        <v>51</v>
      </c>
      <c r="K1023" s="7" t="s">
        <v>47</v>
      </c>
      <c r="L1023" s="7" t="s">
        <v>239</v>
      </c>
      <c r="M1023" s="7" t="s">
        <v>0</v>
      </c>
      <c r="N1023" s="7" t="s">
        <v>4818</v>
      </c>
      <c r="O1023" s="7" t="s">
        <v>0</v>
      </c>
      <c r="P1023" s="7" t="s">
        <v>4819</v>
      </c>
      <c r="Q1023" s="7" t="s">
        <v>4820</v>
      </c>
      <c r="R1023" s="7" t="s">
        <v>393</v>
      </c>
      <c r="S1023" s="7" t="s">
        <v>166</v>
      </c>
      <c r="T1023" s="7" t="s">
        <v>54</v>
      </c>
      <c r="U1023" s="7" t="s">
        <v>283</v>
      </c>
      <c r="V1023" s="7" t="s">
        <v>308</v>
      </c>
      <c r="W1023" s="7" t="s">
        <v>57</v>
      </c>
      <c r="X1023" s="7" t="s">
        <v>103</v>
      </c>
      <c r="Y1023" s="8">
        <v>45113</v>
      </c>
      <c r="Z1023" s="8">
        <v>45233</v>
      </c>
      <c r="AA1023" s="7" t="s">
        <v>309</v>
      </c>
      <c r="AB1023" s="7" t="s">
        <v>130</v>
      </c>
      <c r="AC1023" s="7" t="s">
        <v>79</v>
      </c>
      <c r="AD1023" s="7" t="s">
        <v>80</v>
      </c>
      <c r="AE1023" s="7" t="s">
        <v>82</v>
      </c>
      <c r="AF1023" s="7" t="s">
        <v>0</v>
      </c>
      <c r="AG1023" s="7" t="s">
        <v>4821</v>
      </c>
      <c r="AH1023" s="9" t="s">
        <v>12219</v>
      </c>
      <c r="AI1023" s="9" t="s">
        <v>12220</v>
      </c>
      <c r="AJ1023" s="9" t="s">
        <v>12221</v>
      </c>
      <c r="AK1023" s="7" t="s">
        <v>81</v>
      </c>
      <c r="AL1023" s="7" t="s">
        <v>61</v>
      </c>
      <c r="AM1023" s="7" t="s">
        <v>0</v>
      </c>
      <c r="AN1023" s="7" t="s">
        <v>0</v>
      </c>
      <c r="AO1023" s="7" t="s">
        <v>0</v>
      </c>
      <c r="AP1023" s="7" t="s">
        <v>0</v>
      </c>
      <c r="AQ1023" s="7" t="s">
        <v>61</v>
      </c>
      <c r="AR1023" s="7" t="s">
        <v>0</v>
      </c>
      <c r="AS1023" s="10" t="str">
        <f>HYPERLINK("https://tessa.gazprom-neft.local/edo/card/14c3d657-2ae7-4f41-9b7d-fb6ca1b8e1eb", "https://tessa.gazprom-neft.local/edo/card/14c3d657-2ae7-4f41-9b7d-fb6ca1b8e1eb")</f>
        <v>https://tessa.gazprom-neft.local/edo/card/14c3d657-2ae7-4f41-9b7d-fb6ca1b8e1eb</v>
      </c>
    </row>
    <row r="1024" spans="1:45" hidden="1" x14ac:dyDescent="0.25">
      <c r="A1024" s="6" t="s">
        <v>44</v>
      </c>
      <c r="B1024" s="7" t="s">
        <v>0</v>
      </c>
      <c r="C1024" s="7" t="s">
        <v>67</v>
      </c>
      <c r="D1024" s="8">
        <v>45111</v>
      </c>
      <c r="E1024" s="8" t="s">
        <v>0</v>
      </c>
      <c r="F1024" s="16" t="s">
        <v>4001</v>
      </c>
      <c r="G1024" s="7" t="s">
        <v>0</v>
      </c>
      <c r="H1024" s="7" t="s">
        <v>0</v>
      </c>
      <c r="I1024" s="7" t="s">
        <v>3999</v>
      </c>
      <c r="J1024" s="7" t="s">
        <v>3999</v>
      </c>
      <c r="K1024" s="7" t="s">
        <v>47</v>
      </c>
      <c r="L1024" s="7" t="s">
        <v>96</v>
      </c>
      <c r="M1024" s="7" t="s">
        <v>0</v>
      </c>
      <c r="N1024" s="7" t="s">
        <v>3998</v>
      </c>
      <c r="O1024" s="7" t="s">
        <v>0</v>
      </c>
      <c r="P1024" s="7" t="s">
        <v>4000</v>
      </c>
      <c r="Q1024" s="7" t="s">
        <v>4000</v>
      </c>
      <c r="R1024" s="7" t="s">
        <v>2079</v>
      </c>
      <c r="S1024" s="7" t="s">
        <v>2079</v>
      </c>
      <c r="T1024" s="7" t="s">
        <v>54</v>
      </c>
      <c r="U1024" s="7" t="s">
        <v>55</v>
      </c>
      <c r="V1024" s="7" t="s">
        <v>56</v>
      </c>
      <c r="W1024" s="7" t="s">
        <v>57</v>
      </c>
      <c r="X1024" s="7" t="s">
        <v>103</v>
      </c>
      <c r="Y1024" s="8">
        <v>45111</v>
      </c>
      <c r="Z1024" s="8">
        <v>45477</v>
      </c>
      <c r="AA1024" s="7" t="s">
        <v>59</v>
      </c>
      <c r="AB1024" s="7" t="s">
        <v>64</v>
      </c>
      <c r="AC1024" s="7" t="s">
        <v>79</v>
      </c>
      <c r="AD1024" s="7" t="s">
        <v>80</v>
      </c>
      <c r="AE1024" s="7" t="s">
        <v>82</v>
      </c>
      <c r="AF1024" s="7" t="s">
        <v>0</v>
      </c>
      <c r="AG1024" s="7" t="s">
        <v>0</v>
      </c>
      <c r="AH1024" s="9" t="s">
        <v>11896</v>
      </c>
      <c r="AI1024" s="9" t="s">
        <v>11897</v>
      </c>
      <c r="AJ1024" s="9">
        <v>650</v>
      </c>
      <c r="AK1024" s="7" t="s">
        <v>61</v>
      </c>
      <c r="AL1024" s="7" t="s">
        <v>61</v>
      </c>
      <c r="AM1024" s="7" t="s">
        <v>0</v>
      </c>
      <c r="AN1024" s="7" t="s">
        <v>0</v>
      </c>
      <c r="AO1024" s="7" t="s">
        <v>0</v>
      </c>
      <c r="AP1024" s="7" t="s">
        <v>0</v>
      </c>
      <c r="AQ1024" s="7" t="s">
        <v>61</v>
      </c>
      <c r="AR1024" s="7" t="s">
        <v>0</v>
      </c>
      <c r="AS1024" s="10" t="str">
        <f>HYPERLINK("https://tessa.gazprom-neft.local/edo/card/f5b96107-4774-460b-bd2d-2fb9fc62508b", "https://tessa.gazprom-neft.local/edo/card/f5b96107-4774-460b-bd2d-2fb9fc62508b")</f>
        <v>https://tessa.gazprom-neft.local/edo/card/f5b96107-4774-460b-bd2d-2fb9fc62508b</v>
      </c>
    </row>
    <row r="1025" spans="1:45" x14ac:dyDescent="0.25">
      <c r="A1025" s="6" t="s">
        <v>44</v>
      </c>
      <c r="B1025" s="7" t="s">
        <v>1192</v>
      </c>
      <c r="C1025" s="7" t="s">
        <v>67</v>
      </c>
      <c r="D1025" s="8">
        <v>45110</v>
      </c>
      <c r="E1025" s="8" t="s">
        <v>0</v>
      </c>
      <c r="F1025" s="16" t="s">
        <v>4005</v>
      </c>
      <c r="G1025" s="7" t="s">
        <v>1194</v>
      </c>
      <c r="H1025" s="7" t="s">
        <v>4003</v>
      </c>
      <c r="I1025" s="7" t="s">
        <v>0</v>
      </c>
      <c r="J1025" s="7" t="s">
        <v>51</v>
      </c>
      <c r="K1025" s="7" t="s">
        <v>47</v>
      </c>
      <c r="L1025" s="7" t="s">
        <v>48</v>
      </c>
      <c r="M1025" s="7" t="s">
        <v>0</v>
      </c>
      <c r="N1025" s="7" t="s">
        <v>4583</v>
      </c>
      <c r="O1025" s="7" t="s">
        <v>0</v>
      </c>
      <c r="P1025" s="7" t="s">
        <v>4584</v>
      </c>
      <c r="Q1025" s="7" t="s">
        <v>4585</v>
      </c>
      <c r="R1025" s="7" t="s">
        <v>393</v>
      </c>
      <c r="S1025" s="7" t="s">
        <v>0</v>
      </c>
      <c r="T1025" s="7" t="s">
        <v>54</v>
      </c>
      <c r="U1025" s="7" t="s">
        <v>362</v>
      </c>
      <c r="V1025" s="7" t="s">
        <v>295</v>
      </c>
      <c r="W1025" s="7" t="s">
        <v>74</v>
      </c>
      <c r="X1025" s="7" t="s">
        <v>58</v>
      </c>
      <c r="Y1025" s="8">
        <v>45110</v>
      </c>
      <c r="Z1025" s="8" t="s">
        <v>0</v>
      </c>
      <c r="AA1025" s="7" t="s">
        <v>296</v>
      </c>
      <c r="AB1025" s="7" t="s">
        <v>1748</v>
      </c>
      <c r="AC1025" s="7" t="s">
        <v>79</v>
      </c>
      <c r="AD1025" s="7" t="s">
        <v>80</v>
      </c>
      <c r="AE1025" s="7" t="s">
        <v>82</v>
      </c>
      <c r="AF1025" s="7" t="s">
        <v>0</v>
      </c>
      <c r="AG1025" s="7" t="s">
        <v>4586</v>
      </c>
      <c r="AH1025" s="9" t="s">
        <v>12123</v>
      </c>
      <c r="AI1025" s="9" t="s">
        <v>12124</v>
      </c>
      <c r="AJ1025" s="9" t="s">
        <v>12125</v>
      </c>
      <c r="AK1025" s="7" t="s">
        <v>81</v>
      </c>
      <c r="AL1025" s="7" t="s">
        <v>61</v>
      </c>
      <c r="AM1025" s="7" t="s">
        <v>0</v>
      </c>
      <c r="AN1025" s="7" t="s">
        <v>0</v>
      </c>
      <c r="AO1025" s="7" t="s">
        <v>0</v>
      </c>
      <c r="AP1025" s="7" t="s">
        <v>0</v>
      </c>
      <c r="AQ1025" s="7" t="s">
        <v>61</v>
      </c>
      <c r="AR1025" s="7" t="s">
        <v>0</v>
      </c>
      <c r="AS1025" s="10" t="str">
        <f>HYPERLINK("https://tessa.gazprom-neft.local/edo/card/a6b3568d-77e2-4477-b2ce-48afe14d5f01", "https://tessa.gazprom-neft.local/edo/card/a6b3568d-77e2-4477-b2ce-48afe14d5f01")</f>
        <v>https://tessa.gazprom-neft.local/edo/card/a6b3568d-77e2-4477-b2ce-48afe14d5f01</v>
      </c>
    </row>
    <row r="1026" spans="1:45" x14ac:dyDescent="0.25">
      <c r="A1026" s="6" t="s">
        <v>44</v>
      </c>
      <c r="B1026" s="7" t="s">
        <v>1552</v>
      </c>
      <c r="C1026" s="7" t="s">
        <v>67</v>
      </c>
      <c r="D1026" s="8">
        <v>45110</v>
      </c>
      <c r="E1026" s="8" t="s">
        <v>0</v>
      </c>
      <c r="F1026" s="16" t="s">
        <v>1553</v>
      </c>
      <c r="G1026" s="7" t="s">
        <v>1554</v>
      </c>
      <c r="H1026" s="7" t="s">
        <v>0</v>
      </c>
      <c r="I1026" s="7" t="s">
        <v>0</v>
      </c>
      <c r="J1026" s="7" t="s">
        <v>712</v>
      </c>
      <c r="K1026" s="7" t="s">
        <v>47</v>
      </c>
      <c r="L1026" s="7" t="s">
        <v>48</v>
      </c>
      <c r="M1026" s="7" t="s">
        <v>0</v>
      </c>
      <c r="N1026" s="7" t="s">
        <v>4592</v>
      </c>
      <c r="O1026" s="7" t="s">
        <v>0</v>
      </c>
      <c r="P1026" s="7" t="s">
        <v>4593</v>
      </c>
      <c r="Q1026" s="7" t="s">
        <v>3143</v>
      </c>
      <c r="R1026" s="7" t="s">
        <v>505</v>
      </c>
      <c r="S1026" s="7" t="s">
        <v>4594</v>
      </c>
      <c r="T1026" s="7" t="s">
        <v>54</v>
      </c>
      <c r="U1026" s="7" t="s">
        <v>210</v>
      </c>
      <c r="V1026" s="7" t="s">
        <v>126</v>
      </c>
      <c r="W1026" s="7" t="s">
        <v>57</v>
      </c>
      <c r="X1026" s="7" t="s">
        <v>103</v>
      </c>
      <c r="Y1026" s="8">
        <v>45110</v>
      </c>
      <c r="Z1026" s="8">
        <v>45291</v>
      </c>
      <c r="AA1026" s="7" t="s">
        <v>224</v>
      </c>
      <c r="AB1026" s="7" t="s">
        <v>130</v>
      </c>
      <c r="AC1026" s="7" t="s">
        <v>65</v>
      </c>
      <c r="AD1026" s="7" t="s">
        <v>0</v>
      </c>
      <c r="AE1026" s="7" t="s">
        <v>0</v>
      </c>
      <c r="AF1026" s="7" t="s">
        <v>0</v>
      </c>
      <c r="AG1026" s="7" t="s">
        <v>0</v>
      </c>
      <c r="AH1026" s="9" t="s">
        <v>0</v>
      </c>
      <c r="AI1026" s="9" t="s">
        <v>0</v>
      </c>
      <c r="AJ1026" s="9" t="s">
        <v>0</v>
      </c>
      <c r="AK1026" s="7" t="s">
        <v>61</v>
      </c>
      <c r="AL1026" s="7" t="s">
        <v>61</v>
      </c>
      <c r="AM1026" s="7" t="s">
        <v>0</v>
      </c>
      <c r="AN1026" s="7" t="s">
        <v>0</v>
      </c>
      <c r="AO1026" s="7" t="s">
        <v>0</v>
      </c>
      <c r="AP1026" s="7" t="s">
        <v>0</v>
      </c>
      <c r="AQ1026" s="7" t="s">
        <v>61</v>
      </c>
      <c r="AR1026" s="7" t="s">
        <v>0</v>
      </c>
      <c r="AS1026" s="10" t="str">
        <f>HYPERLINK("https://tessa.gazprom-neft.local/edo/card/75df4ab4-81be-481b-9826-c5d7e5e32cab", "https://tessa.gazprom-neft.local/edo/card/75df4ab4-81be-481b-9826-c5d7e5e32cab")</f>
        <v>https://tessa.gazprom-neft.local/edo/card/75df4ab4-81be-481b-9826-c5d7e5e32cab</v>
      </c>
    </row>
    <row r="1027" spans="1:45" hidden="1" x14ac:dyDescent="0.25">
      <c r="A1027" s="6" t="s">
        <v>44</v>
      </c>
      <c r="B1027" s="7" t="s">
        <v>1552</v>
      </c>
      <c r="C1027" s="7" t="s">
        <v>67</v>
      </c>
      <c r="D1027" s="8">
        <v>45110</v>
      </c>
      <c r="E1027" s="8" t="s">
        <v>0</v>
      </c>
      <c r="F1027" s="16" t="s">
        <v>1553</v>
      </c>
      <c r="G1027" s="7" t="s">
        <v>1554</v>
      </c>
      <c r="H1027" s="7" t="s">
        <v>5205</v>
      </c>
      <c r="I1027" s="7" t="s">
        <v>0</v>
      </c>
      <c r="J1027" s="7" t="s">
        <v>5207</v>
      </c>
      <c r="K1027" s="7" t="s">
        <v>47</v>
      </c>
      <c r="L1027" s="7" t="s">
        <v>2474</v>
      </c>
      <c r="M1027" s="7" t="s">
        <v>0</v>
      </c>
      <c r="N1027" s="7" t="s">
        <v>5204</v>
      </c>
      <c r="O1027" s="7" t="s">
        <v>0</v>
      </c>
      <c r="P1027" s="7" t="s">
        <v>5206</v>
      </c>
      <c r="Q1027" s="7" t="s">
        <v>5208</v>
      </c>
      <c r="R1027" s="7" t="s">
        <v>505</v>
      </c>
      <c r="S1027" s="7" t="s">
        <v>4594</v>
      </c>
      <c r="T1027" s="7" t="s">
        <v>54</v>
      </c>
      <c r="U1027" s="7" t="s">
        <v>210</v>
      </c>
      <c r="V1027" s="7" t="s">
        <v>126</v>
      </c>
      <c r="W1027" s="7" t="s">
        <v>57</v>
      </c>
      <c r="X1027" s="7" t="s">
        <v>103</v>
      </c>
      <c r="Y1027" s="8">
        <v>45110</v>
      </c>
      <c r="Z1027" s="8">
        <v>45291</v>
      </c>
      <c r="AA1027" s="7" t="s">
        <v>224</v>
      </c>
      <c r="AB1027" s="7" t="s">
        <v>130</v>
      </c>
      <c r="AC1027" s="7" t="s">
        <v>65</v>
      </c>
      <c r="AD1027" s="7" t="s">
        <v>0</v>
      </c>
      <c r="AE1027" s="7" t="s">
        <v>0</v>
      </c>
      <c r="AF1027" s="7" t="s">
        <v>0</v>
      </c>
      <c r="AG1027" s="7" t="s">
        <v>0</v>
      </c>
      <c r="AH1027" s="9" t="s">
        <v>0</v>
      </c>
      <c r="AI1027" s="9" t="s">
        <v>0</v>
      </c>
      <c r="AJ1027" s="9" t="s">
        <v>0</v>
      </c>
      <c r="AK1027" s="7" t="s">
        <v>61</v>
      </c>
      <c r="AL1027" s="7" t="s">
        <v>61</v>
      </c>
      <c r="AM1027" s="7" t="s">
        <v>0</v>
      </c>
      <c r="AN1027" s="7" t="s">
        <v>0</v>
      </c>
      <c r="AO1027" s="7" t="s">
        <v>0</v>
      </c>
      <c r="AP1027" s="7" t="s">
        <v>0</v>
      </c>
      <c r="AQ1027" s="7" t="s">
        <v>61</v>
      </c>
      <c r="AR1027" s="7" t="s">
        <v>0</v>
      </c>
      <c r="AS1027" s="10" t="str">
        <f>HYPERLINK("https://tessa.gazprom-neft.local/edo/card/15992ec0-cd35-447d-9a53-c9f2e0fefae5", "https://tessa.gazprom-neft.local/edo/card/15992ec0-cd35-447d-9a53-c9f2e0fefae5")</f>
        <v>https://tessa.gazprom-neft.local/edo/card/15992ec0-cd35-447d-9a53-c9f2e0fefae5</v>
      </c>
    </row>
    <row r="1028" spans="1:45" x14ac:dyDescent="0.25">
      <c r="A1028" s="6" t="s">
        <v>44</v>
      </c>
      <c r="B1028" s="7" t="s">
        <v>1017</v>
      </c>
      <c r="C1028" s="7" t="s">
        <v>67</v>
      </c>
      <c r="D1028" s="8">
        <v>45108</v>
      </c>
      <c r="E1028" s="8" t="s">
        <v>0</v>
      </c>
      <c r="F1028" s="16" t="s">
        <v>1018</v>
      </c>
      <c r="G1028" s="7" t="s">
        <v>1019</v>
      </c>
      <c r="H1028" s="7" t="s">
        <v>1014</v>
      </c>
      <c r="I1028" s="7" t="s">
        <v>0</v>
      </c>
      <c r="J1028" s="7" t="s">
        <v>51</v>
      </c>
      <c r="K1028" s="7" t="s">
        <v>47</v>
      </c>
      <c r="L1028" s="7" t="s">
        <v>48</v>
      </c>
      <c r="M1028" s="7" t="s">
        <v>0</v>
      </c>
      <c r="N1028" s="7" t="s">
        <v>4405</v>
      </c>
      <c r="O1028" s="7" t="s">
        <v>0</v>
      </c>
      <c r="P1028" s="7" t="s">
        <v>4406</v>
      </c>
      <c r="Q1028" s="7" t="s">
        <v>4407</v>
      </c>
      <c r="R1028" s="7" t="s">
        <v>53</v>
      </c>
      <c r="S1028" s="7" t="s">
        <v>0</v>
      </c>
      <c r="T1028" s="7" t="s">
        <v>54</v>
      </c>
      <c r="U1028" s="7" t="s">
        <v>55</v>
      </c>
      <c r="V1028" s="7" t="s">
        <v>56</v>
      </c>
      <c r="W1028" s="7" t="s">
        <v>57</v>
      </c>
      <c r="X1028" s="7" t="s">
        <v>103</v>
      </c>
      <c r="Y1028" s="8">
        <v>45108</v>
      </c>
      <c r="Z1028" s="8">
        <v>46387</v>
      </c>
      <c r="AA1028" s="7" t="s">
        <v>59</v>
      </c>
      <c r="AB1028" s="7" t="s">
        <v>64</v>
      </c>
      <c r="AC1028" s="7" t="s">
        <v>79</v>
      </c>
      <c r="AD1028" s="7" t="s">
        <v>514</v>
      </c>
      <c r="AE1028" s="7" t="s">
        <v>82</v>
      </c>
      <c r="AF1028" s="7" t="s">
        <v>0</v>
      </c>
      <c r="AG1028" s="7" t="s">
        <v>0</v>
      </c>
      <c r="AH1028" s="9" t="s">
        <v>12052</v>
      </c>
      <c r="AI1028" s="9" t="s">
        <v>12053</v>
      </c>
      <c r="AJ1028" s="9" t="s">
        <v>12054</v>
      </c>
      <c r="AK1028" s="7" t="s">
        <v>61</v>
      </c>
      <c r="AL1028" s="7" t="s">
        <v>61</v>
      </c>
      <c r="AM1028" s="7" t="s">
        <v>0</v>
      </c>
      <c r="AN1028" s="7" t="s">
        <v>0</v>
      </c>
      <c r="AO1028" s="7" t="s">
        <v>0</v>
      </c>
      <c r="AP1028" s="7" t="s">
        <v>0</v>
      </c>
      <c r="AQ1028" s="7" t="s">
        <v>61</v>
      </c>
      <c r="AR1028" s="7" t="s">
        <v>0</v>
      </c>
      <c r="AS1028" s="10" t="str">
        <f>HYPERLINK("https://tessa.gazprom-neft.local/edo/card/cd2580de-0df4-4bef-938c-18b4dad8051e", "https://tessa.gazprom-neft.local/edo/card/cd2580de-0df4-4bef-938c-18b4dad8051e")</f>
        <v>https://tessa.gazprom-neft.local/edo/card/cd2580de-0df4-4bef-938c-18b4dad8051e</v>
      </c>
    </row>
    <row r="1029" spans="1:45" hidden="1" x14ac:dyDescent="0.25">
      <c r="A1029" s="6" t="s">
        <v>44</v>
      </c>
      <c r="B1029" s="7" t="s">
        <v>606</v>
      </c>
      <c r="C1029" s="7" t="s">
        <v>67</v>
      </c>
      <c r="D1029" s="8">
        <v>45108</v>
      </c>
      <c r="E1029" s="8" t="s">
        <v>0</v>
      </c>
      <c r="F1029" s="16" t="s">
        <v>607</v>
      </c>
      <c r="G1029" s="7" t="s">
        <v>608</v>
      </c>
      <c r="H1029" s="7" t="s">
        <v>600</v>
      </c>
      <c r="I1029" s="7" t="s">
        <v>0</v>
      </c>
      <c r="J1029" s="7" t="s">
        <v>4470</v>
      </c>
      <c r="K1029" s="7" t="s">
        <v>47</v>
      </c>
      <c r="L1029" s="7" t="s">
        <v>239</v>
      </c>
      <c r="M1029" s="7" t="s">
        <v>0</v>
      </c>
      <c r="N1029" s="7" t="s">
        <v>4468</v>
      </c>
      <c r="O1029" s="7" t="s">
        <v>0</v>
      </c>
      <c r="P1029" s="7" t="s">
        <v>4469</v>
      </c>
      <c r="Q1029" s="7" t="s">
        <v>4471</v>
      </c>
      <c r="R1029" s="7" t="s">
        <v>604</v>
      </c>
      <c r="S1029" s="7" t="s">
        <v>604</v>
      </c>
      <c r="T1029" s="7" t="s">
        <v>54</v>
      </c>
      <c r="U1029" s="7" t="s">
        <v>605</v>
      </c>
      <c r="V1029" s="7" t="s">
        <v>126</v>
      </c>
      <c r="W1029" s="7" t="s">
        <v>74</v>
      </c>
      <c r="X1029" s="7" t="s">
        <v>103</v>
      </c>
      <c r="Y1029" s="8">
        <v>44987</v>
      </c>
      <c r="Z1029" s="8">
        <v>45443</v>
      </c>
      <c r="AA1029" s="7" t="s">
        <v>224</v>
      </c>
      <c r="AB1029" s="7" t="s">
        <v>130</v>
      </c>
      <c r="AC1029" s="7" t="s">
        <v>79</v>
      </c>
      <c r="AD1029" s="7" t="s">
        <v>144</v>
      </c>
      <c r="AE1029" s="7" t="s">
        <v>82</v>
      </c>
      <c r="AF1029" s="7" t="s">
        <v>0</v>
      </c>
      <c r="AG1029" s="7" t="s">
        <v>0</v>
      </c>
      <c r="AH1029" s="9" t="s">
        <v>12080</v>
      </c>
      <c r="AI1029" s="9" t="s">
        <v>12081</v>
      </c>
      <c r="AJ1029" s="9" t="s">
        <v>12082</v>
      </c>
      <c r="AK1029" s="7" t="s">
        <v>61</v>
      </c>
      <c r="AL1029" s="7" t="s">
        <v>61</v>
      </c>
      <c r="AM1029" s="7" t="s">
        <v>0</v>
      </c>
      <c r="AN1029" s="7" t="s">
        <v>0</v>
      </c>
      <c r="AO1029" s="7" t="s">
        <v>0</v>
      </c>
      <c r="AP1029" s="7" t="s">
        <v>0</v>
      </c>
      <c r="AQ1029" s="7" t="s">
        <v>61</v>
      </c>
      <c r="AR1029" s="7" t="s">
        <v>0</v>
      </c>
      <c r="AS1029" s="10" t="str">
        <f>HYPERLINK("https://tessa.gazprom-neft.local/edo/card/864ddd5f-f55d-4d67-ac3d-2e0ff5db9af0", "https://tessa.gazprom-neft.local/edo/card/864ddd5f-f55d-4d67-ac3d-2e0ff5db9af0")</f>
        <v>https://tessa.gazprom-neft.local/edo/card/864ddd5f-f55d-4d67-ac3d-2e0ff5db9af0</v>
      </c>
    </row>
    <row r="1030" spans="1:45" hidden="1" x14ac:dyDescent="0.25">
      <c r="A1030" s="6" t="s">
        <v>44</v>
      </c>
      <c r="B1030" s="7" t="s">
        <v>4519</v>
      </c>
      <c r="C1030" s="7" t="s">
        <v>67</v>
      </c>
      <c r="D1030" s="8">
        <v>45108</v>
      </c>
      <c r="E1030" s="8" t="s">
        <v>0</v>
      </c>
      <c r="F1030" s="16" t="s">
        <v>4520</v>
      </c>
      <c r="G1030" s="7" t="s">
        <v>4521</v>
      </c>
      <c r="H1030" s="7" t="s">
        <v>0</v>
      </c>
      <c r="I1030" s="7" t="s">
        <v>4517</v>
      </c>
      <c r="J1030" s="7" t="s">
        <v>4517</v>
      </c>
      <c r="K1030" s="7" t="s">
        <v>47</v>
      </c>
      <c r="L1030" s="7" t="s">
        <v>86</v>
      </c>
      <c r="M1030" s="7" t="s">
        <v>0</v>
      </c>
      <c r="N1030" s="7" t="s">
        <v>4516</v>
      </c>
      <c r="O1030" s="7" t="s">
        <v>0</v>
      </c>
      <c r="P1030" s="7" t="s">
        <v>3661</v>
      </c>
      <c r="Q1030" s="7" t="s">
        <v>4518</v>
      </c>
      <c r="R1030" s="7" t="s">
        <v>1199</v>
      </c>
      <c r="S1030" s="7" t="s">
        <v>1199</v>
      </c>
      <c r="T1030" s="7" t="s">
        <v>54</v>
      </c>
      <c r="U1030" s="7" t="s">
        <v>605</v>
      </c>
      <c r="V1030" s="7" t="s">
        <v>126</v>
      </c>
      <c r="W1030" s="7" t="s">
        <v>57</v>
      </c>
      <c r="X1030" s="7" t="s">
        <v>103</v>
      </c>
      <c r="Y1030" s="8">
        <v>45115</v>
      </c>
      <c r="Z1030" s="8">
        <v>45450</v>
      </c>
      <c r="AA1030" s="7" t="s">
        <v>224</v>
      </c>
      <c r="AB1030" s="7" t="s">
        <v>3666</v>
      </c>
      <c r="AC1030" s="7" t="s">
        <v>79</v>
      </c>
      <c r="AD1030" s="7" t="s">
        <v>80</v>
      </c>
      <c r="AE1030" s="7" t="s">
        <v>193</v>
      </c>
      <c r="AF1030" s="7" t="s">
        <v>0</v>
      </c>
      <c r="AG1030" s="7" t="s">
        <v>0</v>
      </c>
      <c r="AH1030" s="9" t="s">
        <v>12099</v>
      </c>
      <c r="AI1030" s="9" t="s">
        <v>12100</v>
      </c>
      <c r="AJ1030" s="9" t="s">
        <v>12101</v>
      </c>
      <c r="AK1030" s="7" t="s">
        <v>61</v>
      </c>
      <c r="AL1030" s="7" t="s">
        <v>61</v>
      </c>
      <c r="AM1030" s="7" t="s">
        <v>0</v>
      </c>
      <c r="AN1030" s="7" t="s">
        <v>0</v>
      </c>
      <c r="AO1030" s="7" t="s">
        <v>0</v>
      </c>
      <c r="AP1030" s="7" t="s">
        <v>0</v>
      </c>
      <c r="AQ1030" s="7" t="s">
        <v>61</v>
      </c>
      <c r="AR1030" s="7" t="s">
        <v>0</v>
      </c>
      <c r="AS1030" s="10" t="str">
        <f>HYPERLINK("https://tessa.gazprom-neft.local/edo/card/8482d317-c777-4482-8308-990fe228a571", "https://tessa.gazprom-neft.local/edo/card/8482d317-c777-4482-8308-990fe228a571")</f>
        <v>https://tessa.gazprom-neft.local/edo/card/8482d317-c777-4482-8308-990fe228a571</v>
      </c>
    </row>
    <row r="1031" spans="1:45" hidden="1" x14ac:dyDescent="0.25">
      <c r="A1031" s="6" t="s">
        <v>44</v>
      </c>
      <c r="B1031" s="7" t="s">
        <v>661</v>
      </c>
      <c r="C1031" s="7" t="s">
        <v>67</v>
      </c>
      <c r="D1031" s="8">
        <v>45108</v>
      </c>
      <c r="E1031" s="8" t="s">
        <v>0</v>
      </c>
      <c r="F1031" s="16" t="s">
        <v>662</v>
      </c>
      <c r="G1031" s="7" t="s">
        <v>663</v>
      </c>
      <c r="H1031" s="7" t="s">
        <v>2557</v>
      </c>
      <c r="I1031" s="7" t="s">
        <v>0</v>
      </c>
      <c r="J1031" s="7" t="s">
        <v>4550</v>
      </c>
      <c r="K1031" s="7" t="s">
        <v>47</v>
      </c>
      <c r="L1031" s="7" t="s">
        <v>763</v>
      </c>
      <c r="M1031" s="7" t="s">
        <v>0</v>
      </c>
      <c r="N1031" s="7" t="s">
        <v>4548</v>
      </c>
      <c r="O1031" s="7" t="s">
        <v>0</v>
      </c>
      <c r="P1031" s="7" t="s">
        <v>4549</v>
      </c>
      <c r="Q1031" s="7" t="s">
        <v>4551</v>
      </c>
      <c r="R1031" s="7" t="s">
        <v>393</v>
      </c>
      <c r="S1031" s="7" t="s">
        <v>714</v>
      </c>
      <c r="T1031" s="7" t="s">
        <v>54</v>
      </c>
      <c r="U1031" s="7" t="s">
        <v>283</v>
      </c>
      <c r="V1031" s="7" t="s">
        <v>168</v>
      </c>
      <c r="W1031" s="7" t="s">
        <v>74</v>
      </c>
      <c r="X1031" s="7" t="s">
        <v>103</v>
      </c>
      <c r="Y1031" s="8">
        <v>45108</v>
      </c>
      <c r="Z1031" s="8">
        <v>45169</v>
      </c>
      <c r="AA1031" s="7" t="s">
        <v>169</v>
      </c>
      <c r="AB1031" s="7" t="s">
        <v>130</v>
      </c>
      <c r="AC1031" s="7" t="s">
        <v>79</v>
      </c>
      <c r="AD1031" s="7" t="s">
        <v>80</v>
      </c>
      <c r="AE1031" s="7" t="s">
        <v>82</v>
      </c>
      <c r="AF1031" s="7" t="s">
        <v>0</v>
      </c>
      <c r="AG1031" s="7" t="s">
        <v>0</v>
      </c>
      <c r="AH1031" s="9" t="s">
        <v>12111</v>
      </c>
      <c r="AI1031" s="9" t="s">
        <v>12112</v>
      </c>
      <c r="AJ1031" s="9" t="s">
        <v>12113</v>
      </c>
      <c r="AK1031" s="7" t="s">
        <v>61</v>
      </c>
      <c r="AL1031" s="7" t="s">
        <v>61</v>
      </c>
      <c r="AM1031" s="7" t="s">
        <v>0</v>
      </c>
      <c r="AN1031" s="7" t="s">
        <v>0</v>
      </c>
      <c r="AO1031" s="7" t="s">
        <v>0</v>
      </c>
      <c r="AP1031" s="7" t="s">
        <v>0</v>
      </c>
      <c r="AQ1031" s="7" t="s">
        <v>61</v>
      </c>
      <c r="AR1031" s="7" t="s">
        <v>0</v>
      </c>
      <c r="AS1031" s="10" t="str">
        <f>HYPERLINK("https://tessa.gazprom-neft.local/edo/card/ea60bce2-77cf-4dea-a75d-c1d01dd745ae", "https://tessa.gazprom-neft.local/edo/card/ea60bce2-77cf-4dea-a75d-c1d01dd745ae")</f>
        <v>https://tessa.gazprom-neft.local/edo/card/ea60bce2-77cf-4dea-a75d-c1d01dd745ae</v>
      </c>
    </row>
    <row r="1032" spans="1:45" hidden="1" x14ac:dyDescent="0.25">
      <c r="A1032" s="6" t="s">
        <v>44</v>
      </c>
      <c r="B1032" s="7" t="s">
        <v>170</v>
      </c>
      <c r="C1032" s="7" t="s">
        <v>67</v>
      </c>
      <c r="D1032" s="8">
        <v>45108</v>
      </c>
      <c r="E1032" s="8" t="s">
        <v>0</v>
      </c>
      <c r="F1032" s="16" t="s">
        <v>171</v>
      </c>
      <c r="G1032" s="7" t="s">
        <v>172</v>
      </c>
      <c r="H1032" s="7" t="s">
        <v>1109</v>
      </c>
      <c r="I1032" s="7" t="s">
        <v>0</v>
      </c>
      <c r="J1032" s="7" t="s">
        <v>872</v>
      </c>
      <c r="K1032" s="7" t="s">
        <v>47</v>
      </c>
      <c r="L1032" s="7" t="s">
        <v>239</v>
      </c>
      <c r="M1032" s="7" t="s">
        <v>0</v>
      </c>
      <c r="N1032" s="7" t="s">
        <v>4565</v>
      </c>
      <c r="O1032" s="7" t="s">
        <v>0</v>
      </c>
      <c r="P1032" s="7" t="s">
        <v>4566</v>
      </c>
      <c r="Q1032" s="7" t="s">
        <v>4567</v>
      </c>
      <c r="R1032" s="7" t="s">
        <v>646</v>
      </c>
      <c r="S1032" s="7" t="s">
        <v>166</v>
      </c>
      <c r="T1032" s="7" t="s">
        <v>54</v>
      </c>
      <c r="U1032" s="7" t="s">
        <v>283</v>
      </c>
      <c r="V1032" s="7" t="s">
        <v>308</v>
      </c>
      <c r="W1032" s="7" t="s">
        <v>74</v>
      </c>
      <c r="X1032" s="7" t="s">
        <v>103</v>
      </c>
      <c r="Y1032" s="8">
        <v>45108</v>
      </c>
      <c r="Z1032" s="8">
        <v>45227</v>
      </c>
      <c r="AA1032" s="7" t="s">
        <v>309</v>
      </c>
      <c r="AB1032" s="7" t="s">
        <v>64</v>
      </c>
      <c r="AC1032" s="7" t="s">
        <v>79</v>
      </c>
      <c r="AD1032" s="7" t="s">
        <v>80</v>
      </c>
      <c r="AE1032" s="7" t="s">
        <v>82</v>
      </c>
      <c r="AF1032" s="7" t="s">
        <v>0</v>
      </c>
      <c r="AG1032" s="7" t="s">
        <v>0</v>
      </c>
      <c r="AH1032" s="9" t="s">
        <v>12118</v>
      </c>
      <c r="AI1032" s="9" t="s">
        <v>12119</v>
      </c>
      <c r="AJ1032" s="9" t="s">
        <v>12120</v>
      </c>
      <c r="AK1032" s="7" t="s">
        <v>61</v>
      </c>
      <c r="AL1032" s="7" t="s">
        <v>61</v>
      </c>
      <c r="AM1032" s="7" t="s">
        <v>0</v>
      </c>
      <c r="AN1032" s="7" t="s">
        <v>0</v>
      </c>
      <c r="AO1032" s="7" t="s">
        <v>0</v>
      </c>
      <c r="AP1032" s="7" t="s">
        <v>0</v>
      </c>
      <c r="AQ1032" s="7" t="s">
        <v>61</v>
      </c>
      <c r="AR1032" s="7" t="s">
        <v>0</v>
      </c>
      <c r="AS1032" s="10" t="str">
        <f>HYPERLINK("https://tessa.gazprom-neft.local/edo/card/5770a0ff-61ec-4e44-9d96-1f555cfd7de8", "https://tessa.gazprom-neft.local/edo/card/5770a0ff-61ec-4e44-9d96-1f555cfd7de8")</f>
        <v>https://tessa.gazprom-neft.local/edo/card/5770a0ff-61ec-4e44-9d96-1f555cfd7de8</v>
      </c>
    </row>
    <row r="1033" spans="1:45" hidden="1" x14ac:dyDescent="0.25">
      <c r="A1033" s="6" t="s">
        <v>44</v>
      </c>
      <c r="B1033" s="7" t="s">
        <v>1935</v>
      </c>
      <c r="C1033" s="7" t="s">
        <v>67</v>
      </c>
      <c r="D1033" s="8">
        <v>45108</v>
      </c>
      <c r="E1033" s="8" t="s">
        <v>0</v>
      </c>
      <c r="F1033" s="16" t="s">
        <v>1936</v>
      </c>
      <c r="G1033" s="7" t="s">
        <v>1937</v>
      </c>
      <c r="H1033" s="7" t="s">
        <v>0</v>
      </c>
      <c r="I1033" s="7" t="s">
        <v>4619</v>
      </c>
      <c r="J1033" s="7" t="s">
        <v>4619</v>
      </c>
      <c r="K1033" s="7" t="s">
        <v>85</v>
      </c>
      <c r="L1033" s="7" t="s">
        <v>96</v>
      </c>
      <c r="M1033" s="7" t="s">
        <v>1931</v>
      </c>
      <c r="N1033" s="7" t="s">
        <v>4618</v>
      </c>
      <c r="O1033" s="7" t="s">
        <v>0</v>
      </c>
      <c r="P1033" s="7" t="s">
        <v>1931</v>
      </c>
      <c r="Q1033" s="7" t="s">
        <v>4620</v>
      </c>
      <c r="R1033" s="7" t="s">
        <v>1199</v>
      </c>
      <c r="S1033" s="7" t="s">
        <v>1199</v>
      </c>
      <c r="T1033" s="7" t="s">
        <v>54</v>
      </c>
      <c r="U1033" s="7" t="s">
        <v>605</v>
      </c>
      <c r="V1033" s="7" t="s">
        <v>126</v>
      </c>
      <c r="W1033" s="7" t="s">
        <v>57</v>
      </c>
      <c r="X1033" s="7" t="s">
        <v>103</v>
      </c>
      <c r="Y1033" s="8">
        <v>45115</v>
      </c>
      <c r="Z1033" s="8">
        <v>45450</v>
      </c>
      <c r="AA1033" s="7" t="s">
        <v>224</v>
      </c>
      <c r="AB1033" s="7" t="s">
        <v>1203</v>
      </c>
      <c r="AC1033" s="7" t="s">
        <v>79</v>
      </c>
      <c r="AD1033" s="7" t="s">
        <v>80</v>
      </c>
      <c r="AE1033" s="7" t="s">
        <v>193</v>
      </c>
      <c r="AF1033" s="7" t="s">
        <v>0</v>
      </c>
      <c r="AG1033" s="7" t="s">
        <v>0</v>
      </c>
      <c r="AH1033" s="9" t="s">
        <v>12141</v>
      </c>
      <c r="AI1033" s="9" t="s">
        <v>12142</v>
      </c>
      <c r="AJ1033" s="9" t="s">
        <v>12143</v>
      </c>
      <c r="AK1033" s="7" t="s">
        <v>61</v>
      </c>
      <c r="AL1033" s="7" t="s">
        <v>61</v>
      </c>
      <c r="AM1033" s="7" t="s">
        <v>0</v>
      </c>
      <c r="AN1033" s="7" t="s">
        <v>0</v>
      </c>
      <c r="AO1033" s="7" t="s">
        <v>0</v>
      </c>
      <c r="AP1033" s="7" t="s">
        <v>0</v>
      </c>
      <c r="AQ1033" s="7" t="s">
        <v>61</v>
      </c>
      <c r="AR1033" s="7" t="s">
        <v>0</v>
      </c>
      <c r="AS1033" s="10" t="str">
        <f>HYPERLINK("https://tessa.gazprom-neft.local/edo/card/ba333196-dde9-4dcc-845c-91a25448317c", "https://tessa.gazprom-neft.local/edo/card/ba333196-dde9-4dcc-845c-91a25448317c")</f>
        <v>https://tessa.gazprom-neft.local/edo/card/ba333196-dde9-4dcc-845c-91a25448317c</v>
      </c>
    </row>
    <row r="1034" spans="1:45" x14ac:dyDescent="0.25">
      <c r="A1034" s="6" t="s">
        <v>44</v>
      </c>
      <c r="B1034" s="7" t="s">
        <v>1240</v>
      </c>
      <c r="C1034" s="7" t="s">
        <v>67</v>
      </c>
      <c r="D1034" s="8">
        <v>45108</v>
      </c>
      <c r="E1034" s="8" t="s">
        <v>0</v>
      </c>
      <c r="F1034" s="16" t="s">
        <v>1241</v>
      </c>
      <c r="G1034" s="7" t="s">
        <v>1242</v>
      </c>
      <c r="H1034" s="7" t="s">
        <v>3254</v>
      </c>
      <c r="I1034" s="7" t="s">
        <v>0</v>
      </c>
      <c r="J1034" s="7" t="s">
        <v>51</v>
      </c>
      <c r="K1034" s="7" t="s">
        <v>47</v>
      </c>
      <c r="L1034" s="7" t="s">
        <v>48</v>
      </c>
      <c r="M1034" s="7" t="s">
        <v>0</v>
      </c>
      <c r="N1034" s="7" t="s">
        <v>4853</v>
      </c>
      <c r="O1034" s="7" t="s">
        <v>0</v>
      </c>
      <c r="P1034" s="7" t="s">
        <v>4854</v>
      </c>
      <c r="Q1034" s="7" t="s">
        <v>360</v>
      </c>
      <c r="R1034" s="7" t="s">
        <v>361</v>
      </c>
      <c r="S1034" s="7" t="s">
        <v>361</v>
      </c>
      <c r="T1034" s="7" t="s">
        <v>54</v>
      </c>
      <c r="U1034" s="7" t="s">
        <v>362</v>
      </c>
      <c r="V1034" s="7" t="s">
        <v>295</v>
      </c>
      <c r="W1034" s="7" t="s">
        <v>74</v>
      </c>
      <c r="X1034" s="7" t="s">
        <v>103</v>
      </c>
      <c r="Y1034" s="8">
        <v>45108</v>
      </c>
      <c r="Z1034" s="8">
        <v>45291</v>
      </c>
      <c r="AA1034" s="7" t="s">
        <v>296</v>
      </c>
      <c r="AB1034" s="7" t="s">
        <v>366</v>
      </c>
      <c r="AC1034" s="7" t="s">
        <v>278</v>
      </c>
      <c r="AD1034" s="7" t="s">
        <v>367</v>
      </c>
      <c r="AE1034" s="7" t="s">
        <v>82</v>
      </c>
      <c r="AF1034" s="7" t="s">
        <v>0</v>
      </c>
      <c r="AG1034" s="7" t="s">
        <v>0</v>
      </c>
      <c r="AH1034" s="9" t="s">
        <v>12249</v>
      </c>
      <c r="AI1034" s="9" t="s">
        <v>12250</v>
      </c>
      <c r="AJ1034" s="9" t="s">
        <v>12251</v>
      </c>
      <c r="AK1034" s="7" t="s">
        <v>61</v>
      </c>
      <c r="AL1034" s="7" t="s">
        <v>61</v>
      </c>
      <c r="AM1034" s="7" t="s">
        <v>0</v>
      </c>
      <c r="AN1034" s="7" t="s">
        <v>0</v>
      </c>
      <c r="AO1034" s="7" t="s">
        <v>0</v>
      </c>
      <c r="AP1034" s="7" t="s">
        <v>0</v>
      </c>
      <c r="AQ1034" s="7" t="s">
        <v>61</v>
      </c>
      <c r="AR1034" s="7" t="s">
        <v>0</v>
      </c>
      <c r="AS1034" s="10" t="str">
        <f>HYPERLINK("https://tessa.gazprom-neft.local/edo/card/1772a09c-8674-4c45-bbfa-f3caffca9cc0", "https://tessa.gazprom-neft.local/edo/card/1772a09c-8674-4c45-bbfa-f3caffca9cc0")</f>
        <v>https://tessa.gazprom-neft.local/edo/card/1772a09c-8674-4c45-bbfa-f3caffca9cc0</v>
      </c>
    </row>
    <row r="1035" spans="1:45" hidden="1" x14ac:dyDescent="0.25">
      <c r="A1035" s="6" t="s">
        <v>44</v>
      </c>
      <c r="B1035" s="7" t="s">
        <v>60</v>
      </c>
      <c r="C1035" s="7" t="s">
        <v>67</v>
      </c>
      <c r="D1035" s="8">
        <v>45107</v>
      </c>
      <c r="E1035" s="8" t="s">
        <v>0</v>
      </c>
      <c r="F1035" s="16" t="s">
        <v>62</v>
      </c>
      <c r="G1035" s="7" t="s">
        <v>63</v>
      </c>
      <c r="H1035" s="7" t="s">
        <v>0</v>
      </c>
      <c r="I1035" s="7" t="s">
        <v>4351</v>
      </c>
      <c r="J1035" s="7" t="s">
        <v>4351</v>
      </c>
      <c r="K1035" s="7" t="s">
        <v>47</v>
      </c>
      <c r="L1035" s="7" t="s">
        <v>96</v>
      </c>
      <c r="M1035" s="7" t="s">
        <v>0</v>
      </c>
      <c r="N1035" s="7" t="s">
        <v>4350</v>
      </c>
      <c r="O1035" s="7" t="s">
        <v>0</v>
      </c>
      <c r="P1035" s="7" t="s">
        <v>4352</v>
      </c>
      <c r="Q1035" s="7" t="s">
        <v>4353</v>
      </c>
      <c r="R1035" s="7" t="s">
        <v>2788</v>
      </c>
      <c r="S1035" s="7" t="s">
        <v>2788</v>
      </c>
      <c r="T1035" s="7" t="s">
        <v>54</v>
      </c>
      <c r="U1035" s="7" t="s">
        <v>55</v>
      </c>
      <c r="V1035" s="7" t="s">
        <v>56</v>
      </c>
      <c r="W1035" s="7" t="s">
        <v>57</v>
      </c>
      <c r="X1035" s="7" t="s">
        <v>58</v>
      </c>
      <c r="Y1035" s="8">
        <v>45107</v>
      </c>
      <c r="Z1035" s="8" t="s">
        <v>0</v>
      </c>
      <c r="AA1035" s="7" t="s">
        <v>59</v>
      </c>
      <c r="AB1035" s="7" t="s">
        <v>64</v>
      </c>
      <c r="AC1035" s="7" t="s">
        <v>79</v>
      </c>
      <c r="AD1035" s="7" t="s">
        <v>80</v>
      </c>
      <c r="AE1035" s="7" t="s">
        <v>82</v>
      </c>
      <c r="AF1035" s="7" t="s">
        <v>0</v>
      </c>
      <c r="AG1035" s="7" t="s">
        <v>0</v>
      </c>
      <c r="AH1035" s="9" t="s">
        <v>12032</v>
      </c>
      <c r="AI1035" s="9" t="s">
        <v>12033</v>
      </c>
      <c r="AJ1035" s="9" t="s">
        <v>12034</v>
      </c>
      <c r="AK1035" s="7" t="s">
        <v>61</v>
      </c>
      <c r="AL1035" s="7" t="s">
        <v>61</v>
      </c>
      <c r="AM1035" s="7" t="s">
        <v>0</v>
      </c>
      <c r="AN1035" s="7" t="s">
        <v>0</v>
      </c>
      <c r="AO1035" s="7" t="s">
        <v>0</v>
      </c>
      <c r="AP1035" s="7" t="s">
        <v>0</v>
      </c>
      <c r="AQ1035" s="7" t="s">
        <v>61</v>
      </c>
      <c r="AR1035" s="7" t="s">
        <v>0</v>
      </c>
      <c r="AS1035" s="10" t="str">
        <f>HYPERLINK("https://tessa.gazprom-neft.local/edo/card/bd459c15-b425-4cfd-a7c2-dcfedeef50e1", "https://tessa.gazprom-neft.local/edo/card/bd459c15-b425-4cfd-a7c2-dcfedeef50e1")</f>
        <v>https://tessa.gazprom-neft.local/edo/card/bd459c15-b425-4cfd-a7c2-dcfedeef50e1</v>
      </c>
    </row>
    <row r="1036" spans="1:45" hidden="1" x14ac:dyDescent="0.25">
      <c r="A1036" s="6" t="s">
        <v>44</v>
      </c>
      <c r="B1036" s="7" t="s">
        <v>1200</v>
      </c>
      <c r="C1036" s="7" t="s">
        <v>67</v>
      </c>
      <c r="D1036" s="8">
        <v>45107</v>
      </c>
      <c r="E1036" s="8" t="s">
        <v>0</v>
      </c>
      <c r="F1036" s="16" t="s">
        <v>1201</v>
      </c>
      <c r="G1036" s="7" t="s">
        <v>1202</v>
      </c>
      <c r="H1036" s="7" t="s">
        <v>0</v>
      </c>
      <c r="I1036" s="7" t="s">
        <v>4479</v>
      </c>
      <c r="J1036" s="7" t="s">
        <v>4479</v>
      </c>
      <c r="K1036" s="7" t="s">
        <v>85</v>
      </c>
      <c r="L1036" s="7" t="s">
        <v>96</v>
      </c>
      <c r="M1036" s="7" t="s">
        <v>1931</v>
      </c>
      <c r="N1036" s="7" t="s">
        <v>4478</v>
      </c>
      <c r="O1036" s="7" t="s">
        <v>0</v>
      </c>
      <c r="P1036" s="7" t="s">
        <v>1931</v>
      </c>
      <c r="Q1036" s="7" t="s">
        <v>4480</v>
      </c>
      <c r="R1036" s="7" t="s">
        <v>1199</v>
      </c>
      <c r="S1036" s="7" t="s">
        <v>1199</v>
      </c>
      <c r="T1036" s="7" t="s">
        <v>54</v>
      </c>
      <c r="U1036" s="7" t="s">
        <v>605</v>
      </c>
      <c r="V1036" s="7" t="s">
        <v>126</v>
      </c>
      <c r="W1036" s="7" t="s">
        <v>57</v>
      </c>
      <c r="X1036" s="7" t="s">
        <v>103</v>
      </c>
      <c r="Y1036" s="8">
        <v>45107</v>
      </c>
      <c r="Z1036" s="8">
        <v>45198</v>
      </c>
      <c r="AA1036" s="7" t="s">
        <v>224</v>
      </c>
      <c r="AB1036" s="7" t="s">
        <v>1203</v>
      </c>
      <c r="AC1036" s="7" t="s">
        <v>79</v>
      </c>
      <c r="AD1036" s="7" t="s">
        <v>80</v>
      </c>
      <c r="AE1036" s="7" t="s">
        <v>82</v>
      </c>
      <c r="AF1036" s="7" t="s">
        <v>0</v>
      </c>
      <c r="AG1036" s="7" t="s">
        <v>0</v>
      </c>
      <c r="AH1036" s="9" t="s">
        <v>12084</v>
      </c>
      <c r="AI1036" s="9" t="s">
        <v>11873</v>
      </c>
      <c r="AJ1036" s="9" t="s">
        <v>12085</v>
      </c>
      <c r="AK1036" s="7" t="s">
        <v>61</v>
      </c>
      <c r="AL1036" s="7" t="s">
        <v>61</v>
      </c>
      <c r="AM1036" s="7" t="s">
        <v>0</v>
      </c>
      <c r="AN1036" s="7" t="s">
        <v>0</v>
      </c>
      <c r="AO1036" s="7" t="s">
        <v>0</v>
      </c>
      <c r="AP1036" s="7" t="s">
        <v>0</v>
      </c>
      <c r="AQ1036" s="7" t="s">
        <v>61</v>
      </c>
      <c r="AR1036" s="7" t="s">
        <v>0</v>
      </c>
      <c r="AS1036" s="10" t="str">
        <f>HYPERLINK("https://tessa.gazprom-neft.local/edo/card/c66c0945-e181-4c01-802a-29446b0b46b5", "https://tessa.gazprom-neft.local/edo/card/c66c0945-e181-4c01-802a-29446b0b46b5")</f>
        <v>https://tessa.gazprom-neft.local/edo/card/c66c0945-e181-4c01-802a-29446b0b46b5</v>
      </c>
    </row>
    <row r="1037" spans="1:45" x14ac:dyDescent="0.25">
      <c r="A1037" s="6" t="s">
        <v>44</v>
      </c>
      <c r="B1037" s="7" t="s">
        <v>1200</v>
      </c>
      <c r="C1037" s="7" t="s">
        <v>67</v>
      </c>
      <c r="D1037" s="8">
        <v>45107</v>
      </c>
      <c r="E1037" s="8" t="s">
        <v>0</v>
      </c>
      <c r="F1037" s="16" t="s">
        <v>1201</v>
      </c>
      <c r="G1037" s="7" t="s">
        <v>1202</v>
      </c>
      <c r="H1037" s="7" t="s">
        <v>4487</v>
      </c>
      <c r="I1037" s="7" t="s">
        <v>0</v>
      </c>
      <c r="J1037" s="7" t="s">
        <v>51</v>
      </c>
      <c r="K1037" s="7" t="s">
        <v>47</v>
      </c>
      <c r="L1037" s="7" t="s">
        <v>48</v>
      </c>
      <c r="M1037" s="7" t="s">
        <v>0</v>
      </c>
      <c r="N1037" s="7" t="s">
        <v>4486</v>
      </c>
      <c r="O1037" s="7" t="s">
        <v>0</v>
      </c>
      <c r="P1037" s="7" t="s">
        <v>4488</v>
      </c>
      <c r="Q1037" s="7" t="s">
        <v>4489</v>
      </c>
      <c r="R1037" s="7" t="s">
        <v>1199</v>
      </c>
      <c r="S1037" s="7" t="s">
        <v>1199</v>
      </c>
      <c r="T1037" s="7" t="s">
        <v>54</v>
      </c>
      <c r="U1037" s="7" t="s">
        <v>605</v>
      </c>
      <c r="V1037" s="7" t="s">
        <v>126</v>
      </c>
      <c r="W1037" s="7" t="s">
        <v>57</v>
      </c>
      <c r="X1037" s="7" t="s">
        <v>103</v>
      </c>
      <c r="Y1037" s="8">
        <v>45107</v>
      </c>
      <c r="Z1037" s="8">
        <v>45198</v>
      </c>
      <c r="AA1037" s="7" t="s">
        <v>224</v>
      </c>
      <c r="AB1037" s="7" t="s">
        <v>2985</v>
      </c>
      <c r="AC1037" s="7" t="s">
        <v>79</v>
      </c>
      <c r="AD1037" s="7" t="s">
        <v>80</v>
      </c>
      <c r="AE1037" s="7" t="s">
        <v>82</v>
      </c>
      <c r="AF1037" s="7" t="s">
        <v>0</v>
      </c>
      <c r="AG1037" s="7" t="s">
        <v>0</v>
      </c>
      <c r="AH1037" s="9" t="s">
        <v>12089</v>
      </c>
      <c r="AI1037" s="9" t="s">
        <v>12090</v>
      </c>
      <c r="AJ1037" s="9" t="s">
        <v>12091</v>
      </c>
      <c r="AK1037" s="7" t="s">
        <v>61</v>
      </c>
      <c r="AL1037" s="7" t="s">
        <v>61</v>
      </c>
      <c r="AM1037" s="7" t="s">
        <v>0</v>
      </c>
      <c r="AN1037" s="7" t="s">
        <v>0</v>
      </c>
      <c r="AO1037" s="7" t="s">
        <v>0</v>
      </c>
      <c r="AP1037" s="7" t="s">
        <v>0</v>
      </c>
      <c r="AQ1037" s="7" t="s">
        <v>61</v>
      </c>
      <c r="AR1037" s="7" t="s">
        <v>0</v>
      </c>
      <c r="AS1037" s="10" t="str">
        <f>HYPERLINK("https://tessa.gazprom-neft.local/edo/card/55edc157-5de2-4b8d-8d54-055c20c20df0", "https://tessa.gazprom-neft.local/edo/card/55edc157-5de2-4b8d-8d54-055c20c20df0")</f>
        <v>https://tessa.gazprom-neft.local/edo/card/55edc157-5de2-4b8d-8d54-055c20c20df0</v>
      </c>
    </row>
    <row r="1038" spans="1:45" x14ac:dyDescent="0.25">
      <c r="A1038" s="6" t="s">
        <v>44</v>
      </c>
      <c r="B1038" s="7" t="s">
        <v>4496</v>
      </c>
      <c r="C1038" s="7" t="s">
        <v>67</v>
      </c>
      <c r="D1038" s="8">
        <v>45107</v>
      </c>
      <c r="E1038" s="8" t="s">
        <v>0</v>
      </c>
      <c r="F1038" s="16" t="s">
        <v>4497</v>
      </c>
      <c r="G1038" s="7" t="s">
        <v>4498</v>
      </c>
      <c r="H1038" s="7" t="s">
        <v>4494</v>
      </c>
      <c r="I1038" s="7" t="s">
        <v>0</v>
      </c>
      <c r="J1038" s="7" t="s">
        <v>51</v>
      </c>
      <c r="K1038" s="7" t="s">
        <v>47</v>
      </c>
      <c r="L1038" s="7" t="s">
        <v>48</v>
      </c>
      <c r="M1038" s="7" t="s">
        <v>0</v>
      </c>
      <c r="N1038" s="7" t="s">
        <v>4493</v>
      </c>
      <c r="O1038" s="7" t="s">
        <v>0</v>
      </c>
      <c r="P1038" s="7" t="s">
        <v>4495</v>
      </c>
      <c r="Q1038" s="7" t="s">
        <v>4489</v>
      </c>
      <c r="R1038" s="7" t="s">
        <v>1199</v>
      </c>
      <c r="S1038" s="7" t="s">
        <v>1199</v>
      </c>
      <c r="T1038" s="7" t="s">
        <v>54</v>
      </c>
      <c r="U1038" s="7" t="s">
        <v>605</v>
      </c>
      <c r="V1038" s="7" t="s">
        <v>126</v>
      </c>
      <c r="W1038" s="7" t="s">
        <v>57</v>
      </c>
      <c r="X1038" s="7" t="s">
        <v>103</v>
      </c>
      <c r="Y1038" s="8">
        <v>45107</v>
      </c>
      <c r="Z1038" s="8">
        <v>45198</v>
      </c>
      <c r="AA1038" s="7" t="s">
        <v>224</v>
      </c>
      <c r="AB1038" s="7" t="s">
        <v>2985</v>
      </c>
      <c r="AC1038" s="7" t="s">
        <v>79</v>
      </c>
      <c r="AD1038" s="7" t="s">
        <v>80</v>
      </c>
      <c r="AE1038" s="7" t="s">
        <v>82</v>
      </c>
      <c r="AF1038" s="7" t="s">
        <v>0</v>
      </c>
      <c r="AG1038" s="7" t="s">
        <v>0</v>
      </c>
      <c r="AH1038" s="9" t="s">
        <v>12092</v>
      </c>
      <c r="AI1038" s="9" t="s">
        <v>12093</v>
      </c>
      <c r="AJ1038" s="9" t="s">
        <v>12094</v>
      </c>
      <c r="AK1038" s="7" t="s">
        <v>61</v>
      </c>
      <c r="AL1038" s="7" t="s">
        <v>61</v>
      </c>
      <c r="AM1038" s="7" t="s">
        <v>0</v>
      </c>
      <c r="AN1038" s="7" t="s">
        <v>0</v>
      </c>
      <c r="AO1038" s="7" t="s">
        <v>0</v>
      </c>
      <c r="AP1038" s="7" t="s">
        <v>0</v>
      </c>
      <c r="AQ1038" s="7" t="s">
        <v>61</v>
      </c>
      <c r="AR1038" s="7" t="s">
        <v>0</v>
      </c>
      <c r="AS1038" s="10" t="str">
        <f>HYPERLINK("https://tessa.gazprom-neft.local/edo/card/4f326b0a-906a-42fc-8bc0-be1ffac42c97", "https://tessa.gazprom-neft.local/edo/card/4f326b0a-906a-42fc-8bc0-be1ffac42c97")</f>
        <v>https://tessa.gazprom-neft.local/edo/card/4f326b0a-906a-42fc-8bc0-be1ffac42c97</v>
      </c>
    </row>
    <row r="1039" spans="1:45" hidden="1" x14ac:dyDescent="0.25">
      <c r="A1039" s="6" t="s">
        <v>44</v>
      </c>
      <c r="B1039" s="7" t="s">
        <v>170</v>
      </c>
      <c r="C1039" s="7" t="s">
        <v>67</v>
      </c>
      <c r="D1039" s="8">
        <v>45107</v>
      </c>
      <c r="E1039" s="8" t="s">
        <v>0</v>
      </c>
      <c r="F1039" s="16" t="s">
        <v>171</v>
      </c>
      <c r="G1039" s="7" t="s">
        <v>172</v>
      </c>
      <c r="H1039" s="7" t="s">
        <v>1109</v>
      </c>
      <c r="I1039" s="7" t="s">
        <v>0</v>
      </c>
      <c r="J1039" s="7" t="s">
        <v>4608</v>
      </c>
      <c r="K1039" s="7" t="s">
        <v>47</v>
      </c>
      <c r="L1039" s="7" t="s">
        <v>239</v>
      </c>
      <c r="M1039" s="7" t="s">
        <v>0</v>
      </c>
      <c r="N1039" s="7" t="s">
        <v>4606</v>
      </c>
      <c r="O1039" s="7" t="s">
        <v>0</v>
      </c>
      <c r="P1039" s="7" t="s">
        <v>4607</v>
      </c>
      <c r="Q1039" s="7" t="s">
        <v>4609</v>
      </c>
      <c r="R1039" s="7" t="s">
        <v>646</v>
      </c>
      <c r="S1039" s="7" t="s">
        <v>166</v>
      </c>
      <c r="T1039" s="7" t="s">
        <v>54</v>
      </c>
      <c r="U1039" s="7" t="s">
        <v>283</v>
      </c>
      <c r="V1039" s="7" t="s">
        <v>168</v>
      </c>
      <c r="W1039" s="7" t="s">
        <v>74</v>
      </c>
      <c r="X1039" s="7" t="s">
        <v>103</v>
      </c>
      <c r="Y1039" s="8">
        <v>44973</v>
      </c>
      <c r="Z1039" s="8">
        <v>45107</v>
      </c>
      <c r="AA1039" s="7" t="s">
        <v>169</v>
      </c>
      <c r="AB1039" s="7" t="s">
        <v>64</v>
      </c>
      <c r="AC1039" s="7" t="s">
        <v>79</v>
      </c>
      <c r="AD1039" s="7" t="s">
        <v>80</v>
      </c>
      <c r="AE1039" s="7" t="s">
        <v>82</v>
      </c>
      <c r="AF1039" s="7" t="s">
        <v>0</v>
      </c>
      <c r="AG1039" s="7" t="s">
        <v>0</v>
      </c>
      <c r="AH1039" s="9" t="s">
        <v>12135</v>
      </c>
      <c r="AI1039" s="9" t="s">
        <v>12136</v>
      </c>
      <c r="AJ1039" s="9" t="s">
        <v>12137</v>
      </c>
      <c r="AK1039" s="7" t="s">
        <v>61</v>
      </c>
      <c r="AL1039" s="7" t="s">
        <v>61</v>
      </c>
      <c r="AM1039" s="7" t="s">
        <v>0</v>
      </c>
      <c r="AN1039" s="7" t="s">
        <v>0</v>
      </c>
      <c r="AO1039" s="7" t="s">
        <v>0</v>
      </c>
      <c r="AP1039" s="7" t="s">
        <v>0</v>
      </c>
      <c r="AQ1039" s="7" t="s">
        <v>61</v>
      </c>
      <c r="AR1039" s="7" t="s">
        <v>0</v>
      </c>
      <c r="AS1039" s="10" t="str">
        <f>HYPERLINK("https://tessa.gazprom-neft.local/edo/card/b95415fb-69c1-4770-8975-3581845f6037", "https://tessa.gazprom-neft.local/edo/card/b95415fb-69c1-4770-8975-3581845f6037")</f>
        <v>https://tessa.gazprom-neft.local/edo/card/b95415fb-69c1-4770-8975-3581845f6037</v>
      </c>
    </row>
    <row r="1040" spans="1:45" x14ac:dyDescent="0.25">
      <c r="A1040" s="6" t="s">
        <v>44</v>
      </c>
      <c r="B1040" s="7" t="s">
        <v>737</v>
      </c>
      <c r="C1040" s="7" t="s">
        <v>67</v>
      </c>
      <c r="D1040" s="8">
        <v>45107</v>
      </c>
      <c r="E1040" s="8" t="s">
        <v>0</v>
      </c>
      <c r="F1040" s="16" t="s">
        <v>738</v>
      </c>
      <c r="G1040" s="7" t="s">
        <v>739</v>
      </c>
      <c r="H1040" s="7" t="s">
        <v>2169</v>
      </c>
      <c r="I1040" s="7" t="s">
        <v>0</v>
      </c>
      <c r="J1040" s="7" t="s">
        <v>872</v>
      </c>
      <c r="K1040" s="7" t="s">
        <v>47</v>
      </c>
      <c r="L1040" s="7" t="s">
        <v>48</v>
      </c>
      <c r="M1040" s="7" t="s">
        <v>0</v>
      </c>
      <c r="N1040" s="7" t="s">
        <v>4638</v>
      </c>
      <c r="O1040" s="7" t="s">
        <v>0</v>
      </c>
      <c r="P1040" s="7" t="s">
        <v>4639</v>
      </c>
      <c r="Q1040" s="7" t="s">
        <v>4640</v>
      </c>
      <c r="R1040" s="7" t="s">
        <v>505</v>
      </c>
      <c r="S1040" s="7" t="s">
        <v>1753</v>
      </c>
      <c r="T1040" s="7" t="s">
        <v>54</v>
      </c>
      <c r="U1040" s="7" t="s">
        <v>210</v>
      </c>
      <c r="V1040" s="7" t="s">
        <v>126</v>
      </c>
      <c r="W1040" s="7" t="s">
        <v>57</v>
      </c>
      <c r="X1040" s="7" t="s">
        <v>103</v>
      </c>
      <c r="Y1040" s="8">
        <v>45107</v>
      </c>
      <c r="Z1040" s="8">
        <v>45443</v>
      </c>
      <c r="AA1040" s="7" t="s">
        <v>224</v>
      </c>
      <c r="AB1040" s="7" t="s">
        <v>130</v>
      </c>
      <c r="AC1040" s="7" t="s">
        <v>79</v>
      </c>
      <c r="AD1040" s="7" t="s">
        <v>80</v>
      </c>
      <c r="AE1040" s="7" t="s">
        <v>82</v>
      </c>
      <c r="AF1040" s="7" t="s">
        <v>0</v>
      </c>
      <c r="AG1040" s="7" t="s">
        <v>0</v>
      </c>
      <c r="AH1040" s="9" t="s">
        <v>12150</v>
      </c>
      <c r="AI1040" s="9" t="s">
        <v>12151</v>
      </c>
      <c r="AJ1040" s="9" t="s">
        <v>12152</v>
      </c>
      <c r="AK1040" s="7" t="s">
        <v>61</v>
      </c>
      <c r="AL1040" s="7" t="s">
        <v>61</v>
      </c>
      <c r="AM1040" s="7" t="s">
        <v>0</v>
      </c>
      <c r="AN1040" s="7" t="s">
        <v>0</v>
      </c>
      <c r="AO1040" s="7" t="s">
        <v>0</v>
      </c>
      <c r="AP1040" s="7" t="s">
        <v>0</v>
      </c>
      <c r="AQ1040" s="7" t="s">
        <v>61</v>
      </c>
      <c r="AR1040" s="7" t="s">
        <v>0</v>
      </c>
      <c r="AS1040" s="10" t="str">
        <f>HYPERLINK("https://tessa.gazprom-neft.local/edo/card/09b7594e-dda3-4ac7-bc24-0d8eb2d7ed43", "https://tessa.gazprom-neft.local/edo/card/09b7594e-dda3-4ac7-bc24-0d8eb2d7ed43")</f>
        <v>https://tessa.gazprom-neft.local/edo/card/09b7594e-dda3-4ac7-bc24-0d8eb2d7ed43</v>
      </c>
    </row>
    <row r="1041" spans="1:45" x14ac:dyDescent="0.25">
      <c r="A1041" s="6" t="s">
        <v>44</v>
      </c>
      <c r="B1041" s="7" t="s">
        <v>2706</v>
      </c>
      <c r="C1041" s="7" t="s">
        <v>67</v>
      </c>
      <c r="D1041" s="8">
        <v>45107</v>
      </c>
      <c r="E1041" s="8" t="s">
        <v>0</v>
      </c>
      <c r="F1041" s="16" t="s">
        <v>2707</v>
      </c>
      <c r="G1041" s="7" t="s">
        <v>2708</v>
      </c>
      <c r="H1041" s="7" t="s">
        <v>2704</v>
      </c>
      <c r="I1041" s="7" t="s">
        <v>0</v>
      </c>
      <c r="J1041" s="7" t="s">
        <v>955</v>
      </c>
      <c r="K1041" s="7" t="s">
        <v>47</v>
      </c>
      <c r="L1041" s="7" t="s">
        <v>48</v>
      </c>
      <c r="M1041" s="7" t="s">
        <v>0</v>
      </c>
      <c r="N1041" s="7" t="s">
        <v>4804</v>
      </c>
      <c r="O1041" s="7" t="s">
        <v>0</v>
      </c>
      <c r="P1041" s="7" t="s">
        <v>4805</v>
      </c>
      <c r="Q1041" s="7" t="s">
        <v>4806</v>
      </c>
      <c r="R1041" s="7" t="s">
        <v>646</v>
      </c>
      <c r="S1041" s="7" t="s">
        <v>1753</v>
      </c>
      <c r="T1041" s="7" t="s">
        <v>54</v>
      </c>
      <c r="U1041" s="7" t="s">
        <v>210</v>
      </c>
      <c r="V1041" s="7" t="s">
        <v>126</v>
      </c>
      <c r="W1041" s="7" t="s">
        <v>74</v>
      </c>
      <c r="X1041" s="7" t="s">
        <v>58</v>
      </c>
      <c r="Y1041" s="8">
        <v>45107</v>
      </c>
      <c r="Z1041" s="8" t="s">
        <v>0</v>
      </c>
      <c r="AA1041" s="7" t="s">
        <v>224</v>
      </c>
      <c r="AB1041" s="7" t="s">
        <v>64</v>
      </c>
      <c r="AC1041" s="7" t="s">
        <v>65</v>
      </c>
      <c r="AD1041" s="7" t="s">
        <v>80</v>
      </c>
      <c r="AE1041" s="7" t="s">
        <v>0</v>
      </c>
      <c r="AF1041" s="7" t="s">
        <v>0</v>
      </c>
      <c r="AG1041" s="7" t="s">
        <v>0</v>
      </c>
      <c r="AH1041" s="9" t="s">
        <v>0</v>
      </c>
      <c r="AI1041" s="9" t="s">
        <v>0</v>
      </c>
      <c r="AJ1041" s="9" t="s">
        <v>0</v>
      </c>
      <c r="AK1041" s="7" t="s">
        <v>61</v>
      </c>
      <c r="AL1041" s="7" t="s">
        <v>61</v>
      </c>
      <c r="AM1041" s="7" t="s">
        <v>0</v>
      </c>
      <c r="AN1041" s="7" t="s">
        <v>0</v>
      </c>
      <c r="AO1041" s="7" t="s">
        <v>0</v>
      </c>
      <c r="AP1041" s="7" t="s">
        <v>0</v>
      </c>
      <c r="AQ1041" s="7" t="s">
        <v>61</v>
      </c>
      <c r="AR1041" s="7" t="s">
        <v>0</v>
      </c>
      <c r="AS1041" s="10" t="str">
        <f>HYPERLINK("https://tessa.gazprom-neft.local/edo/card/09636b11-0107-466e-8258-7316a56b4699", "https://tessa.gazprom-neft.local/edo/card/09636b11-0107-466e-8258-7316a56b4699")</f>
        <v>https://tessa.gazprom-neft.local/edo/card/09636b11-0107-466e-8258-7316a56b4699</v>
      </c>
    </row>
    <row r="1042" spans="1:45" x14ac:dyDescent="0.25">
      <c r="A1042" s="6" t="s">
        <v>44</v>
      </c>
      <c r="B1042" s="7" t="s">
        <v>2595</v>
      </c>
      <c r="C1042" s="7" t="s">
        <v>67</v>
      </c>
      <c r="D1042" s="8">
        <v>45107</v>
      </c>
      <c r="E1042" s="8" t="s">
        <v>0</v>
      </c>
      <c r="F1042" s="16" t="s">
        <v>2596</v>
      </c>
      <c r="G1042" s="7" t="s">
        <v>2597</v>
      </c>
      <c r="H1042" s="7" t="s">
        <v>3371</v>
      </c>
      <c r="I1042" s="7" t="s">
        <v>0</v>
      </c>
      <c r="J1042" s="7" t="s">
        <v>51</v>
      </c>
      <c r="K1042" s="7" t="s">
        <v>47</v>
      </c>
      <c r="L1042" s="7" t="s">
        <v>48</v>
      </c>
      <c r="M1042" s="7" t="s">
        <v>0</v>
      </c>
      <c r="N1042" s="7" t="s">
        <v>4841</v>
      </c>
      <c r="O1042" s="7" t="s">
        <v>0</v>
      </c>
      <c r="P1042" s="7" t="s">
        <v>4842</v>
      </c>
      <c r="Q1042" s="7" t="s">
        <v>3272</v>
      </c>
      <c r="R1042" s="7" t="s">
        <v>361</v>
      </c>
      <c r="S1042" s="7" t="s">
        <v>361</v>
      </c>
      <c r="T1042" s="7" t="s">
        <v>54</v>
      </c>
      <c r="U1042" s="7" t="s">
        <v>362</v>
      </c>
      <c r="V1042" s="7" t="s">
        <v>295</v>
      </c>
      <c r="W1042" s="7" t="s">
        <v>74</v>
      </c>
      <c r="X1042" s="7" t="s">
        <v>103</v>
      </c>
      <c r="Y1042" s="8">
        <v>45107</v>
      </c>
      <c r="Z1042" s="8">
        <v>45169</v>
      </c>
      <c r="AA1042" s="7" t="s">
        <v>296</v>
      </c>
      <c r="AB1042" s="7" t="s">
        <v>366</v>
      </c>
      <c r="AC1042" s="7" t="s">
        <v>278</v>
      </c>
      <c r="AD1042" s="7" t="s">
        <v>367</v>
      </c>
      <c r="AE1042" s="7" t="s">
        <v>82</v>
      </c>
      <c r="AF1042" s="7" t="s">
        <v>0</v>
      </c>
      <c r="AG1042" s="7" t="s">
        <v>0</v>
      </c>
      <c r="AH1042" s="9" t="s">
        <v>12240</v>
      </c>
      <c r="AI1042" s="9" t="s">
        <v>12241</v>
      </c>
      <c r="AJ1042" s="9" t="s">
        <v>12242</v>
      </c>
      <c r="AK1042" s="7" t="s">
        <v>61</v>
      </c>
      <c r="AL1042" s="7" t="s">
        <v>61</v>
      </c>
      <c r="AM1042" s="7" t="s">
        <v>0</v>
      </c>
      <c r="AN1042" s="7" t="s">
        <v>0</v>
      </c>
      <c r="AO1042" s="7" t="s">
        <v>0</v>
      </c>
      <c r="AP1042" s="7" t="s">
        <v>0</v>
      </c>
      <c r="AQ1042" s="7" t="s">
        <v>61</v>
      </c>
      <c r="AR1042" s="7" t="s">
        <v>0</v>
      </c>
      <c r="AS1042" s="10" t="str">
        <f>HYPERLINK("https://tessa.gazprom-neft.local/edo/card/2dd48b9d-29ac-4bb0-b273-c95c56b3ec9d", "https://tessa.gazprom-neft.local/edo/card/2dd48b9d-29ac-4bb0-b273-c95c56b3ec9d")</f>
        <v>https://tessa.gazprom-neft.local/edo/card/2dd48b9d-29ac-4bb0-b273-c95c56b3ec9d</v>
      </c>
    </row>
    <row r="1043" spans="1:45" hidden="1" x14ac:dyDescent="0.25">
      <c r="A1043" s="6" t="s">
        <v>44</v>
      </c>
      <c r="B1043" s="7" t="s">
        <v>2001</v>
      </c>
      <c r="C1043" s="7" t="s">
        <v>67</v>
      </c>
      <c r="D1043" s="8">
        <v>45106</v>
      </c>
      <c r="E1043" s="8" t="s">
        <v>0</v>
      </c>
      <c r="F1043" s="16" t="s">
        <v>2002</v>
      </c>
      <c r="G1043" s="7" t="s">
        <v>2003</v>
      </c>
      <c r="H1043" s="7" t="s">
        <v>1998</v>
      </c>
      <c r="I1043" s="7" t="s">
        <v>0</v>
      </c>
      <c r="J1043" s="7" t="s">
        <v>936</v>
      </c>
      <c r="K1043" s="7" t="s">
        <v>47</v>
      </c>
      <c r="L1043" s="7" t="s">
        <v>239</v>
      </c>
      <c r="M1043" s="7" t="s">
        <v>0</v>
      </c>
      <c r="N1043" s="7" t="s">
        <v>4399</v>
      </c>
      <c r="O1043" s="7" t="s">
        <v>0</v>
      </c>
      <c r="P1043" s="7" t="s">
        <v>4400</v>
      </c>
      <c r="Q1043" s="7" t="s">
        <v>4401</v>
      </c>
      <c r="R1043" s="7" t="s">
        <v>393</v>
      </c>
      <c r="S1043" s="7" t="s">
        <v>1503</v>
      </c>
      <c r="T1043" s="7" t="s">
        <v>54</v>
      </c>
      <c r="U1043" s="7" t="s">
        <v>283</v>
      </c>
      <c r="V1043" s="7" t="s">
        <v>308</v>
      </c>
      <c r="W1043" s="7" t="s">
        <v>74</v>
      </c>
      <c r="X1043" s="7" t="s">
        <v>58</v>
      </c>
      <c r="Y1043" s="8">
        <v>45108</v>
      </c>
      <c r="Z1043" s="8" t="s">
        <v>0</v>
      </c>
      <c r="AA1043" s="7" t="s">
        <v>309</v>
      </c>
      <c r="AB1043" s="7" t="s">
        <v>130</v>
      </c>
      <c r="AC1043" s="7" t="s">
        <v>79</v>
      </c>
      <c r="AD1043" s="7" t="s">
        <v>144</v>
      </c>
      <c r="AE1043" s="7" t="s">
        <v>82</v>
      </c>
      <c r="AF1043" s="7" t="s">
        <v>0</v>
      </c>
      <c r="AG1043" s="7" t="s">
        <v>0</v>
      </c>
      <c r="AH1043" s="9" t="s">
        <v>12049</v>
      </c>
      <c r="AI1043" s="9" t="s">
        <v>12050</v>
      </c>
      <c r="AJ1043" s="9" t="s">
        <v>12051</v>
      </c>
      <c r="AK1043" s="7" t="s">
        <v>61</v>
      </c>
      <c r="AL1043" s="7" t="s">
        <v>61</v>
      </c>
      <c r="AM1043" s="7" t="s">
        <v>0</v>
      </c>
      <c r="AN1043" s="7" t="s">
        <v>0</v>
      </c>
      <c r="AO1043" s="7" t="s">
        <v>0</v>
      </c>
      <c r="AP1043" s="7" t="s">
        <v>0</v>
      </c>
      <c r="AQ1043" s="7" t="s">
        <v>61</v>
      </c>
      <c r="AR1043" s="7" t="s">
        <v>0</v>
      </c>
      <c r="AS1043" s="10" t="str">
        <f>HYPERLINK("https://tessa.gazprom-neft.local/edo/card/48257542-7e37-437c-8000-3d8ebb3bdd70", "https://tessa.gazprom-neft.local/edo/card/48257542-7e37-437c-8000-3d8ebb3bdd70")</f>
        <v>https://tessa.gazprom-neft.local/edo/card/48257542-7e37-437c-8000-3d8ebb3bdd70</v>
      </c>
    </row>
    <row r="1044" spans="1:45" hidden="1" x14ac:dyDescent="0.25">
      <c r="A1044" s="6" t="s">
        <v>44</v>
      </c>
      <c r="B1044" s="7" t="s">
        <v>1935</v>
      </c>
      <c r="C1044" s="7" t="s">
        <v>67</v>
      </c>
      <c r="D1044" s="8">
        <v>45106</v>
      </c>
      <c r="E1044" s="8" t="s">
        <v>0</v>
      </c>
      <c r="F1044" s="16" t="s">
        <v>1936</v>
      </c>
      <c r="G1044" s="7" t="s">
        <v>1937</v>
      </c>
      <c r="H1044" s="7" t="s">
        <v>0</v>
      </c>
      <c r="I1044" s="7" t="s">
        <v>4980</v>
      </c>
      <c r="J1044" s="7" t="s">
        <v>4980</v>
      </c>
      <c r="K1044" s="7" t="s">
        <v>85</v>
      </c>
      <c r="L1044" s="7" t="s">
        <v>96</v>
      </c>
      <c r="M1044" s="7" t="s">
        <v>1931</v>
      </c>
      <c r="N1044" s="7" t="s">
        <v>4979</v>
      </c>
      <c r="O1044" s="7" t="s">
        <v>0</v>
      </c>
      <c r="P1044" s="7" t="s">
        <v>1931</v>
      </c>
      <c r="Q1044" s="7" t="s">
        <v>1934</v>
      </c>
      <c r="R1044" s="7" t="s">
        <v>1199</v>
      </c>
      <c r="S1044" s="7" t="s">
        <v>1199</v>
      </c>
      <c r="T1044" s="7" t="s">
        <v>54</v>
      </c>
      <c r="U1044" s="7" t="s">
        <v>605</v>
      </c>
      <c r="V1044" s="7" t="s">
        <v>126</v>
      </c>
      <c r="W1044" s="7" t="s">
        <v>57</v>
      </c>
      <c r="X1044" s="7" t="s">
        <v>103</v>
      </c>
      <c r="Y1044" s="8">
        <v>45033</v>
      </c>
      <c r="Z1044" s="8">
        <v>45367</v>
      </c>
      <c r="AA1044" s="7" t="s">
        <v>224</v>
      </c>
      <c r="AB1044" s="7" t="s">
        <v>1203</v>
      </c>
      <c r="AC1044" s="7" t="s">
        <v>79</v>
      </c>
      <c r="AD1044" s="7" t="s">
        <v>80</v>
      </c>
      <c r="AE1044" s="7" t="s">
        <v>193</v>
      </c>
      <c r="AF1044" s="7" t="s">
        <v>0</v>
      </c>
      <c r="AG1044" s="7" t="s">
        <v>0</v>
      </c>
      <c r="AH1044" s="9" t="s">
        <v>11185</v>
      </c>
      <c r="AI1044" s="9" t="s">
        <v>11186</v>
      </c>
      <c r="AJ1044" s="9" t="s">
        <v>11187</v>
      </c>
      <c r="AK1044" s="7" t="s">
        <v>61</v>
      </c>
      <c r="AL1044" s="7" t="s">
        <v>61</v>
      </c>
      <c r="AM1044" s="7" t="s">
        <v>0</v>
      </c>
      <c r="AN1044" s="7" t="s">
        <v>0</v>
      </c>
      <c r="AO1044" s="7" t="s">
        <v>0</v>
      </c>
      <c r="AP1044" s="7" t="s">
        <v>0</v>
      </c>
      <c r="AQ1044" s="7" t="s">
        <v>61</v>
      </c>
      <c r="AR1044" s="7" t="s">
        <v>0</v>
      </c>
      <c r="AS1044" s="10" t="str">
        <f>HYPERLINK("https://tessa.gazprom-neft.local/edo/card/84b87e9f-5051-4af0-b356-aca61dda81e0", "https://tessa.gazprom-neft.local/edo/card/84b87e9f-5051-4af0-b356-aca61dda81e0")</f>
        <v>https://tessa.gazprom-neft.local/edo/card/84b87e9f-5051-4af0-b356-aca61dda81e0</v>
      </c>
    </row>
    <row r="1045" spans="1:45" hidden="1" x14ac:dyDescent="0.25">
      <c r="A1045" s="6" t="s">
        <v>44</v>
      </c>
      <c r="B1045" s="7" t="s">
        <v>3787</v>
      </c>
      <c r="C1045" s="7" t="s">
        <v>67</v>
      </c>
      <c r="D1045" s="8">
        <v>45104</v>
      </c>
      <c r="E1045" s="8" t="s">
        <v>0</v>
      </c>
      <c r="F1045" s="16" t="s">
        <v>3788</v>
      </c>
      <c r="G1045" s="7" t="s">
        <v>3789</v>
      </c>
      <c r="H1045" s="7" t="s">
        <v>0</v>
      </c>
      <c r="I1045" s="7" t="s">
        <v>3784</v>
      </c>
      <c r="J1045" s="7" t="s">
        <v>3784</v>
      </c>
      <c r="K1045" s="7" t="s">
        <v>47</v>
      </c>
      <c r="L1045" s="7" t="s">
        <v>96</v>
      </c>
      <c r="M1045" s="7" t="s">
        <v>0</v>
      </c>
      <c r="N1045" s="7" t="s">
        <v>3783</v>
      </c>
      <c r="O1045" s="7" t="s">
        <v>0</v>
      </c>
      <c r="P1045" s="7" t="s">
        <v>3785</v>
      </c>
      <c r="Q1045" s="7" t="s">
        <v>3786</v>
      </c>
      <c r="R1045" s="7" t="s">
        <v>53</v>
      </c>
      <c r="S1045" s="7" t="s">
        <v>53</v>
      </c>
      <c r="T1045" s="7" t="s">
        <v>54</v>
      </c>
      <c r="U1045" s="7" t="s">
        <v>55</v>
      </c>
      <c r="V1045" s="7" t="s">
        <v>56</v>
      </c>
      <c r="W1045" s="7" t="s">
        <v>74</v>
      </c>
      <c r="X1045" s="7" t="s">
        <v>103</v>
      </c>
      <c r="Y1045" s="8">
        <v>45104</v>
      </c>
      <c r="Z1045" s="8">
        <v>46752</v>
      </c>
      <c r="AA1045" s="7" t="s">
        <v>59</v>
      </c>
      <c r="AB1045" s="7" t="s">
        <v>64</v>
      </c>
      <c r="AC1045" s="7" t="s">
        <v>79</v>
      </c>
      <c r="AD1045" s="7" t="s">
        <v>80</v>
      </c>
      <c r="AE1045" s="7" t="s">
        <v>82</v>
      </c>
      <c r="AF1045" s="7" t="s">
        <v>0</v>
      </c>
      <c r="AG1045" s="7" t="s">
        <v>0</v>
      </c>
      <c r="AH1045" s="9" t="s">
        <v>11817</v>
      </c>
      <c r="AI1045" s="9" t="s">
        <v>11818</v>
      </c>
      <c r="AJ1045" s="9" t="s">
        <v>11819</v>
      </c>
      <c r="AK1045" s="7" t="s">
        <v>61</v>
      </c>
      <c r="AL1045" s="7" t="s">
        <v>61</v>
      </c>
      <c r="AM1045" s="7" t="s">
        <v>0</v>
      </c>
      <c r="AN1045" s="7" t="s">
        <v>0</v>
      </c>
      <c r="AO1045" s="7" t="s">
        <v>0</v>
      </c>
      <c r="AP1045" s="7" t="s">
        <v>0</v>
      </c>
      <c r="AQ1045" s="7" t="s">
        <v>61</v>
      </c>
      <c r="AR1045" s="7" t="s">
        <v>0</v>
      </c>
      <c r="AS1045" s="10" t="str">
        <f>HYPERLINK("https://tessa.gazprom-neft.local/edo/card/c85c4a4a-a94b-49f6-95e3-e31547341ab5", "https://tessa.gazprom-neft.local/edo/card/c85c4a4a-a94b-49f6-95e3-e31547341ab5")</f>
        <v>https://tessa.gazprom-neft.local/edo/card/c85c4a4a-a94b-49f6-95e3-e31547341ab5</v>
      </c>
    </row>
    <row r="1046" spans="1:45" hidden="1" x14ac:dyDescent="0.25">
      <c r="A1046" s="6" t="s">
        <v>44</v>
      </c>
      <c r="B1046" s="7" t="s">
        <v>395</v>
      </c>
      <c r="C1046" s="7" t="s">
        <v>67</v>
      </c>
      <c r="D1046" s="8">
        <v>45104</v>
      </c>
      <c r="E1046" s="8" t="s">
        <v>0</v>
      </c>
      <c r="F1046" s="16" t="s">
        <v>396</v>
      </c>
      <c r="G1046" s="7" t="s">
        <v>397</v>
      </c>
      <c r="H1046" s="7" t="s">
        <v>0</v>
      </c>
      <c r="I1046" s="7" t="s">
        <v>4451</v>
      </c>
      <c r="J1046" s="7" t="s">
        <v>4451</v>
      </c>
      <c r="K1046" s="7" t="s">
        <v>85</v>
      </c>
      <c r="L1046" s="7" t="s">
        <v>96</v>
      </c>
      <c r="M1046" s="7" t="s">
        <v>398</v>
      </c>
      <c r="N1046" s="7" t="s">
        <v>4450</v>
      </c>
      <c r="O1046" s="7" t="s">
        <v>0</v>
      </c>
      <c r="P1046" s="7" t="s">
        <v>4452</v>
      </c>
      <c r="Q1046" s="7" t="s">
        <v>402</v>
      </c>
      <c r="R1046" s="7" t="s">
        <v>361</v>
      </c>
      <c r="S1046" s="7" t="s">
        <v>361</v>
      </c>
      <c r="T1046" s="7" t="s">
        <v>54</v>
      </c>
      <c r="U1046" s="7" t="s">
        <v>362</v>
      </c>
      <c r="V1046" s="7" t="s">
        <v>295</v>
      </c>
      <c r="W1046" s="7" t="s">
        <v>74</v>
      </c>
      <c r="X1046" s="7" t="s">
        <v>103</v>
      </c>
      <c r="Y1046" s="8">
        <v>45108</v>
      </c>
      <c r="Z1046" s="8">
        <v>45199</v>
      </c>
      <c r="AA1046" s="7" t="s">
        <v>296</v>
      </c>
      <c r="AB1046" s="7" t="s">
        <v>366</v>
      </c>
      <c r="AC1046" s="7" t="s">
        <v>278</v>
      </c>
      <c r="AD1046" s="7" t="s">
        <v>367</v>
      </c>
      <c r="AE1046" s="7" t="s">
        <v>82</v>
      </c>
      <c r="AF1046" s="7" t="s">
        <v>0</v>
      </c>
      <c r="AG1046" s="7" t="s">
        <v>0</v>
      </c>
      <c r="AH1046" s="9" t="s">
        <v>12068</v>
      </c>
      <c r="AI1046" s="9" t="s">
        <v>12069</v>
      </c>
      <c r="AJ1046" s="9" t="s">
        <v>12070</v>
      </c>
      <c r="AK1046" s="7" t="s">
        <v>61</v>
      </c>
      <c r="AL1046" s="7" t="s">
        <v>61</v>
      </c>
      <c r="AM1046" s="7" t="s">
        <v>0</v>
      </c>
      <c r="AN1046" s="7" t="s">
        <v>0</v>
      </c>
      <c r="AO1046" s="7" t="s">
        <v>0</v>
      </c>
      <c r="AP1046" s="7" t="s">
        <v>0</v>
      </c>
      <c r="AQ1046" s="7" t="s">
        <v>61</v>
      </c>
      <c r="AR1046" s="7" t="s">
        <v>0</v>
      </c>
      <c r="AS1046" s="10" t="str">
        <f>HYPERLINK("https://tessa.gazprom-neft.local/edo/card/275fd042-04e6-4f36-9baf-8836f6032ff4", "https://tessa.gazprom-neft.local/edo/card/275fd042-04e6-4f36-9baf-8836f6032ff4")</f>
        <v>https://tessa.gazprom-neft.local/edo/card/275fd042-04e6-4f36-9baf-8836f6032ff4</v>
      </c>
    </row>
    <row r="1047" spans="1:45" hidden="1" x14ac:dyDescent="0.25">
      <c r="A1047" s="6" t="s">
        <v>44</v>
      </c>
      <c r="B1047" s="7" t="s">
        <v>592</v>
      </c>
      <c r="C1047" s="7" t="s">
        <v>67</v>
      </c>
      <c r="D1047" s="8">
        <v>45104</v>
      </c>
      <c r="E1047" s="8" t="s">
        <v>0</v>
      </c>
      <c r="F1047" s="16" t="s">
        <v>593</v>
      </c>
      <c r="G1047" s="7" t="s">
        <v>594</v>
      </c>
      <c r="H1047" s="7" t="s">
        <v>953</v>
      </c>
      <c r="I1047" s="7" t="s">
        <v>0</v>
      </c>
      <c r="J1047" s="7" t="s">
        <v>355</v>
      </c>
      <c r="K1047" s="7" t="s">
        <v>47</v>
      </c>
      <c r="L1047" s="7" t="s">
        <v>239</v>
      </c>
      <c r="M1047" s="7" t="s">
        <v>0</v>
      </c>
      <c r="N1047" s="7" t="s">
        <v>4462</v>
      </c>
      <c r="O1047" s="7" t="s">
        <v>0</v>
      </c>
      <c r="P1047" s="7" t="s">
        <v>4463</v>
      </c>
      <c r="Q1047" s="7" t="s">
        <v>4464</v>
      </c>
      <c r="R1047" s="7" t="s">
        <v>590</v>
      </c>
      <c r="S1047" s="7" t="s">
        <v>394</v>
      </c>
      <c r="T1047" s="7" t="s">
        <v>54</v>
      </c>
      <c r="U1047" s="7" t="s">
        <v>591</v>
      </c>
      <c r="V1047" s="7" t="s">
        <v>126</v>
      </c>
      <c r="W1047" s="7" t="s">
        <v>74</v>
      </c>
      <c r="X1047" s="7" t="s">
        <v>58</v>
      </c>
      <c r="Y1047" s="8">
        <v>45110</v>
      </c>
      <c r="Z1047" s="8" t="s">
        <v>0</v>
      </c>
      <c r="AA1047" s="7" t="s">
        <v>224</v>
      </c>
      <c r="AB1047" s="7" t="s">
        <v>387</v>
      </c>
      <c r="AC1047" s="7" t="s">
        <v>79</v>
      </c>
      <c r="AD1047" s="7" t="s">
        <v>144</v>
      </c>
      <c r="AE1047" s="7" t="s">
        <v>82</v>
      </c>
      <c r="AF1047" s="7" t="s">
        <v>0</v>
      </c>
      <c r="AG1047" s="7" t="s">
        <v>0</v>
      </c>
      <c r="AH1047" s="9" t="s">
        <v>12077</v>
      </c>
      <c r="AI1047" s="9" t="s">
        <v>12078</v>
      </c>
      <c r="AJ1047" s="9" t="s">
        <v>12079</v>
      </c>
      <c r="AK1047" s="7" t="s">
        <v>61</v>
      </c>
      <c r="AL1047" s="7" t="s">
        <v>61</v>
      </c>
      <c r="AM1047" s="7" t="s">
        <v>0</v>
      </c>
      <c r="AN1047" s="7" t="s">
        <v>0</v>
      </c>
      <c r="AO1047" s="7" t="s">
        <v>0</v>
      </c>
      <c r="AP1047" s="7" t="s">
        <v>0</v>
      </c>
      <c r="AQ1047" s="7" t="s">
        <v>61</v>
      </c>
      <c r="AR1047" s="7" t="s">
        <v>0</v>
      </c>
      <c r="AS1047" s="10" t="str">
        <f>HYPERLINK("https://tessa.gazprom-neft.local/edo/card/9c0a4622-ab2a-40d3-89a0-54fde4074b98", "https://tessa.gazprom-neft.local/edo/card/9c0a4622-ab2a-40d3-89a0-54fde4074b98")</f>
        <v>https://tessa.gazprom-neft.local/edo/card/9c0a4622-ab2a-40d3-89a0-54fde4074b98</v>
      </c>
    </row>
    <row r="1048" spans="1:45" x14ac:dyDescent="0.25">
      <c r="A1048" s="6" t="s">
        <v>44</v>
      </c>
      <c r="B1048" s="7" t="s">
        <v>1067</v>
      </c>
      <c r="C1048" s="7" t="s">
        <v>67</v>
      </c>
      <c r="D1048" s="8">
        <v>45103</v>
      </c>
      <c r="E1048" s="8" t="s">
        <v>0</v>
      </c>
      <c r="F1048" s="16" t="s">
        <v>1068</v>
      </c>
      <c r="G1048" s="7" t="s">
        <v>1069</v>
      </c>
      <c r="H1048" s="7" t="s">
        <v>4323</v>
      </c>
      <c r="I1048" s="7" t="s">
        <v>0</v>
      </c>
      <c r="J1048" s="7" t="s">
        <v>51</v>
      </c>
      <c r="K1048" s="7" t="s">
        <v>47</v>
      </c>
      <c r="L1048" s="7" t="s">
        <v>48</v>
      </c>
      <c r="M1048" s="7" t="s">
        <v>0</v>
      </c>
      <c r="N1048" s="7" t="s">
        <v>4322</v>
      </c>
      <c r="O1048" s="7" t="s">
        <v>0</v>
      </c>
      <c r="P1048" s="7" t="s">
        <v>4324</v>
      </c>
      <c r="Q1048" s="7" t="s">
        <v>4325</v>
      </c>
      <c r="R1048" s="7" t="s">
        <v>1066</v>
      </c>
      <c r="S1048" s="7" t="s">
        <v>0</v>
      </c>
      <c r="T1048" s="7" t="s">
        <v>54</v>
      </c>
      <c r="U1048" s="7" t="s">
        <v>136</v>
      </c>
      <c r="V1048" s="7" t="s">
        <v>168</v>
      </c>
      <c r="W1048" s="7" t="s">
        <v>74</v>
      </c>
      <c r="X1048" s="7" t="s">
        <v>103</v>
      </c>
      <c r="Y1048" s="8">
        <v>45103</v>
      </c>
      <c r="Z1048" s="8">
        <v>46752</v>
      </c>
      <c r="AA1048" s="7" t="s">
        <v>169</v>
      </c>
      <c r="AB1048" s="7" t="s">
        <v>2425</v>
      </c>
      <c r="AC1048" s="7" t="s">
        <v>79</v>
      </c>
      <c r="AD1048" s="7" t="s">
        <v>144</v>
      </c>
      <c r="AE1048" s="7" t="s">
        <v>82</v>
      </c>
      <c r="AF1048" s="7" t="s">
        <v>0</v>
      </c>
      <c r="AG1048" s="7" t="s">
        <v>0</v>
      </c>
      <c r="AH1048" s="9" t="s">
        <v>12017</v>
      </c>
      <c r="AI1048" s="9" t="s">
        <v>12018</v>
      </c>
      <c r="AJ1048" s="9" t="s">
        <v>12019</v>
      </c>
      <c r="AK1048" s="7" t="s">
        <v>61</v>
      </c>
      <c r="AL1048" s="7" t="s">
        <v>61</v>
      </c>
      <c r="AM1048" s="7" t="s">
        <v>0</v>
      </c>
      <c r="AN1048" s="7" t="s">
        <v>0</v>
      </c>
      <c r="AO1048" s="7" t="s">
        <v>0</v>
      </c>
      <c r="AP1048" s="7" t="s">
        <v>0</v>
      </c>
      <c r="AQ1048" s="7" t="s">
        <v>61</v>
      </c>
      <c r="AR1048" s="7" t="s">
        <v>0</v>
      </c>
      <c r="AS1048" s="10" t="str">
        <f>HYPERLINK("https://tessa.gazprom-neft.local/edo/card/24fb4a04-1570-4fdc-8c6a-dd13267093b9", "https://tessa.gazprom-neft.local/edo/card/24fb4a04-1570-4fdc-8c6a-dd13267093b9")</f>
        <v>https://tessa.gazprom-neft.local/edo/card/24fb4a04-1570-4fdc-8c6a-dd13267093b9</v>
      </c>
    </row>
    <row r="1049" spans="1:45" x14ac:dyDescent="0.25">
      <c r="A1049" s="6" t="s">
        <v>44</v>
      </c>
      <c r="B1049" s="7" t="s">
        <v>114</v>
      </c>
      <c r="C1049" s="7" t="s">
        <v>67</v>
      </c>
      <c r="D1049" s="8">
        <v>45103</v>
      </c>
      <c r="E1049" s="8" t="s">
        <v>0</v>
      </c>
      <c r="F1049" s="16" t="s">
        <v>115</v>
      </c>
      <c r="G1049" s="7" t="s">
        <v>116</v>
      </c>
      <c r="H1049" s="7" t="s">
        <v>2817</v>
      </c>
      <c r="I1049" s="7" t="s">
        <v>0</v>
      </c>
      <c r="J1049" s="7" t="s">
        <v>271</v>
      </c>
      <c r="K1049" s="7" t="s">
        <v>47</v>
      </c>
      <c r="L1049" s="7" t="s">
        <v>48</v>
      </c>
      <c r="M1049" s="7" t="s">
        <v>0</v>
      </c>
      <c r="N1049" s="7" t="s">
        <v>4370</v>
      </c>
      <c r="O1049" s="7" t="s">
        <v>0</v>
      </c>
      <c r="P1049" s="7" t="s">
        <v>4371</v>
      </c>
      <c r="Q1049" s="7" t="s">
        <v>4372</v>
      </c>
      <c r="R1049" s="7" t="s">
        <v>110</v>
      </c>
      <c r="S1049" s="7" t="s">
        <v>0</v>
      </c>
      <c r="T1049" s="7" t="s">
        <v>54</v>
      </c>
      <c r="U1049" s="7" t="s">
        <v>111</v>
      </c>
      <c r="V1049" s="7" t="s">
        <v>112</v>
      </c>
      <c r="W1049" s="7" t="s">
        <v>57</v>
      </c>
      <c r="X1049" s="7" t="s">
        <v>103</v>
      </c>
      <c r="Y1049" s="8">
        <v>45103</v>
      </c>
      <c r="Z1049" s="8">
        <v>45382</v>
      </c>
      <c r="AA1049" s="7" t="s">
        <v>113</v>
      </c>
      <c r="AB1049" s="7" t="s">
        <v>117</v>
      </c>
      <c r="AC1049" s="7" t="s">
        <v>79</v>
      </c>
      <c r="AD1049" s="7" t="s">
        <v>144</v>
      </c>
      <c r="AE1049" s="7" t="s">
        <v>118</v>
      </c>
      <c r="AF1049" s="7" t="s">
        <v>0</v>
      </c>
      <c r="AG1049" s="7" t="s">
        <v>0</v>
      </c>
      <c r="AH1049" s="9" t="s">
        <v>12042</v>
      </c>
      <c r="AI1049" s="9" t="s">
        <v>12042</v>
      </c>
      <c r="AJ1049" s="9">
        <v>0</v>
      </c>
      <c r="AK1049" s="7" t="s">
        <v>61</v>
      </c>
      <c r="AL1049" s="7" t="s">
        <v>61</v>
      </c>
      <c r="AM1049" s="7" t="s">
        <v>0</v>
      </c>
      <c r="AN1049" s="7" t="s">
        <v>0</v>
      </c>
      <c r="AO1049" s="7" t="s">
        <v>0</v>
      </c>
      <c r="AP1049" s="7" t="s">
        <v>0</v>
      </c>
      <c r="AQ1049" s="7" t="s">
        <v>61</v>
      </c>
      <c r="AR1049" s="7" t="s">
        <v>0</v>
      </c>
      <c r="AS1049" s="10" t="str">
        <f>HYPERLINK("https://tessa.gazprom-neft.local/edo/card/a7d8ab82-db76-49fa-827d-d1e4c2bbc345", "https://tessa.gazprom-neft.local/edo/card/a7d8ab82-db76-49fa-827d-d1e4c2bbc345")</f>
        <v>https://tessa.gazprom-neft.local/edo/card/a7d8ab82-db76-49fa-827d-d1e4c2bbc345</v>
      </c>
    </row>
    <row r="1050" spans="1:45" hidden="1" x14ac:dyDescent="0.25">
      <c r="A1050" s="6" t="s">
        <v>44</v>
      </c>
      <c r="B1050" s="7" t="s">
        <v>0</v>
      </c>
      <c r="C1050" s="7" t="s">
        <v>67</v>
      </c>
      <c r="D1050" s="8">
        <v>45103</v>
      </c>
      <c r="E1050" s="8" t="s">
        <v>0</v>
      </c>
      <c r="F1050" s="16" t="s">
        <v>4388</v>
      </c>
      <c r="G1050" s="7" t="s">
        <v>0</v>
      </c>
      <c r="H1050" s="7" t="s">
        <v>0</v>
      </c>
      <c r="I1050" s="7" t="s">
        <v>4384</v>
      </c>
      <c r="J1050" s="7" t="s">
        <v>4384</v>
      </c>
      <c r="K1050" s="7" t="s">
        <v>47</v>
      </c>
      <c r="L1050" s="7" t="s">
        <v>96</v>
      </c>
      <c r="M1050" s="7" t="s">
        <v>0</v>
      </c>
      <c r="N1050" s="7" t="s">
        <v>4383</v>
      </c>
      <c r="O1050" s="7" t="s">
        <v>0</v>
      </c>
      <c r="P1050" s="7" t="s">
        <v>4385</v>
      </c>
      <c r="Q1050" s="7" t="s">
        <v>4386</v>
      </c>
      <c r="R1050" s="7" t="s">
        <v>4387</v>
      </c>
      <c r="S1050" s="7" t="s">
        <v>4387</v>
      </c>
      <c r="T1050" s="7" t="s">
        <v>54</v>
      </c>
      <c r="U1050" s="7" t="s">
        <v>892</v>
      </c>
      <c r="V1050" s="7" t="s">
        <v>56</v>
      </c>
      <c r="W1050" s="7" t="s">
        <v>57</v>
      </c>
      <c r="X1050" s="7" t="s">
        <v>103</v>
      </c>
      <c r="Y1050" s="8">
        <v>45103</v>
      </c>
      <c r="Z1050" s="8">
        <v>45164</v>
      </c>
      <c r="AA1050" s="7" t="s">
        <v>59</v>
      </c>
      <c r="AB1050" s="7" t="s">
        <v>161</v>
      </c>
      <c r="AC1050" s="7" t="s">
        <v>65</v>
      </c>
      <c r="AD1050" s="7" t="s">
        <v>0</v>
      </c>
      <c r="AE1050" s="7" t="s">
        <v>0</v>
      </c>
      <c r="AF1050" s="7" t="s">
        <v>0</v>
      </c>
      <c r="AG1050" s="7" t="s">
        <v>0</v>
      </c>
      <c r="AH1050" s="9" t="s">
        <v>0</v>
      </c>
      <c r="AI1050" s="9" t="s">
        <v>0</v>
      </c>
      <c r="AJ1050" s="9" t="s">
        <v>0</v>
      </c>
      <c r="AK1050" s="7" t="s">
        <v>61</v>
      </c>
      <c r="AL1050" s="7" t="s">
        <v>61</v>
      </c>
      <c r="AM1050" s="7" t="s">
        <v>0</v>
      </c>
      <c r="AN1050" s="7" t="s">
        <v>0</v>
      </c>
      <c r="AO1050" s="7" t="s">
        <v>0</v>
      </c>
      <c r="AP1050" s="7" t="s">
        <v>0</v>
      </c>
      <c r="AQ1050" s="7" t="s">
        <v>61</v>
      </c>
      <c r="AR1050" s="7" t="s">
        <v>0</v>
      </c>
      <c r="AS1050" s="10" t="str">
        <f>HYPERLINK("https://tessa.gazprom-neft.local/edo/card/63d19a38-fb9c-4670-82c8-4dc31fb3b59f", "https://tessa.gazprom-neft.local/edo/card/63d19a38-fb9c-4670-82c8-4dc31fb3b59f")</f>
        <v>https://tessa.gazprom-neft.local/edo/card/63d19a38-fb9c-4670-82c8-4dc31fb3b59f</v>
      </c>
    </row>
    <row r="1051" spans="1:45" hidden="1" x14ac:dyDescent="0.25">
      <c r="A1051" s="6" t="s">
        <v>44</v>
      </c>
      <c r="B1051" s="7" t="s">
        <v>0</v>
      </c>
      <c r="C1051" s="7" t="s">
        <v>67</v>
      </c>
      <c r="D1051" s="8">
        <v>45100</v>
      </c>
      <c r="E1051" s="8" t="s">
        <v>0</v>
      </c>
      <c r="F1051" s="16" t="s">
        <v>3824</v>
      </c>
      <c r="G1051" s="7" t="s">
        <v>0</v>
      </c>
      <c r="H1051" s="7" t="s">
        <v>0</v>
      </c>
      <c r="I1051" s="7" t="s">
        <v>3822</v>
      </c>
      <c r="J1051" s="7" t="s">
        <v>3822</v>
      </c>
      <c r="K1051" s="7" t="s">
        <v>47</v>
      </c>
      <c r="L1051" s="7" t="s">
        <v>86</v>
      </c>
      <c r="M1051" s="7" t="s">
        <v>0</v>
      </c>
      <c r="N1051" s="7" t="s">
        <v>3821</v>
      </c>
      <c r="O1051" s="7" t="s">
        <v>0</v>
      </c>
      <c r="P1051" s="7" t="s">
        <v>94</v>
      </c>
      <c r="Q1051" s="7" t="s">
        <v>3823</v>
      </c>
      <c r="R1051" s="7" t="s">
        <v>484</v>
      </c>
      <c r="S1051" s="7" t="s">
        <v>484</v>
      </c>
      <c r="T1051" s="7" t="s">
        <v>54</v>
      </c>
      <c r="U1051" s="7" t="s">
        <v>274</v>
      </c>
      <c r="V1051" s="7" t="s">
        <v>91</v>
      </c>
      <c r="W1051" s="7" t="s">
        <v>57</v>
      </c>
      <c r="X1051" s="7" t="s">
        <v>103</v>
      </c>
      <c r="Y1051" s="8">
        <v>45100</v>
      </c>
      <c r="Z1051" s="8">
        <v>46022</v>
      </c>
      <c r="AA1051" s="7" t="s">
        <v>92</v>
      </c>
      <c r="AB1051" s="7" t="s">
        <v>94</v>
      </c>
      <c r="AC1051" s="7" t="s">
        <v>65</v>
      </c>
      <c r="AD1051" s="7" t="s">
        <v>144</v>
      </c>
      <c r="AE1051" s="7" t="s">
        <v>0</v>
      </c>
      <c r="AF1051" s="7" t="s">
        <v>0</v>
      </c>
      <c r="AG1051" s="7" t="s">
        <v>0</v>
      </c>
      <c r="AH1051" s="9" t="s">
        <v>0</v>
      </c>
      <c r="AI1051" s="9" t="s">
        <v>0</v>
      </c>
      <c r="AJ1051" s="9" t="s">
        <v>0</v>
      </c>
      <c r="AK1051" s="7" t="s">
        <v>61</v>
      </c>
      <c r="AL1051" s="7" t="s">
        <v>61</v>
      </c>
      <c r="AM1051" s="7" t="s">
        <v>0</v>
      </c>
      <c r="AN1051" s="7" t="s">
        <v>0</v>
      </c>
      <c r="AO1051" s="7" t="s">
        <v>0</v>
      </c>
      <c r="AP1051" s="7" t="s">
        <v>0</v>
      </c>
      <c r="AQ1051" s="7" t="s">
        <v>61</v>
      </c>
      <c r="AR1051" s="7" t="s">
        <v>0</v>
      </c>
      <c r="AS1051" s="10" t="str">
        <f>HYPERLINK("https://tessa.gazprom-neft.local/edo/card/fd63e5bc-af2c-4cac-94bd-711b85365b53", "https://tessa.gazprom-neft.local/edo/card/fd63e5bc-af2c-4cac-94bd-711b85365b53")</f>
        <v>https://tessa.gazprom-neft.local/edo/card/fd63e5bc-af2c-4cac-94bd-711b85365b53</v>
      </c>
    </row>
    <row r="1052" spans="1:45" hidden="1" x14ac:dyDescent="0.25">
      <c r="A1052" s="6" t="s">
        <v>44</v>
      </c>
      <c r="B1052" s="7" t="s">
        <v>1240</v>
      </c>
      <c r="C1052" s="7" t="s">
        <v>67</v>
      </c>
      <c r="D1052" s="8">
        <v>45100</v>
      </c>
      <c r="E1052" s="8" t="s">
        <v>0</v>
      </c>
      <c r="F1052" s="16" t="s">
        <v>1241</v>
      </c>
      <c r="G1052" s="7" t="s">
        <v>1242</v>
      </c>
      <c r="H1052" s="7" t="s">
        <v>1237</v>
      </c>
      <c r="I1052" s="7" t="s">
        <v>0</v>
      </c>
      <c r="J1052" s="7" t="s">
        <v>156</v>
      </c>
      <c r="K1052" s="7" t="s">
        <v>47</v>
      </c>
      <c r="L1052" s="7" t="s">
        <v>389</v>
      </c>
      <c r="M1052" s="7" t="s">
        <v>0</v>
      </c>
      <c r="N1052" s="7" t="s">
        <v>4419</v>
      </c>
      <c r="O1052" s="7" t="s">
        <v>51</v>
      </c>
      <c r="P1052" s="7" t="s">
        <v>4420</v>
      </c>
      <c r="Q1052" s="7" t="s">
        <v>4421</v>
      </c>
      <c r="R1052" s="7" t="s">
        <v>393</v>
      </c>
      <c r="S1052" s="7" t="s">
        <v>0</v>
      </c>
      <c r="T1052" s="7" t="s">
        <v>54</v>
      </c>
      <c r="U1052" s="7" t="s">
        <v>222</v>
      </c>
      <c r="V1052" s="7" t="s">
        <v>382</v>
      </c>
      <c r="W1052" s="7" t="s">
        <v>74</v>
      </c>
      <c r="X1052" s="7" t="s">
        <v>58</v>
      </c>
      <c r="Y1052" s="8">
        <v>45100</v>
      </c>
      <c r="Z1052" s="8" t="s">
        <v>0</v>
      </c>
      <c r="AA1052" s="7" t="s">
        <v>383</v>
      </c>
      <c r="AB1052" s="7" t="s">
        <v>1243</v>
      </c>
      <c r="AC1052" s="7" t="s">
        <v>79</v>
      </c>
      <c r="AD1052" s="7" t="s">
        <v>144</v>
      </c>
      <c r="AE1052" s="7" t="s">
        <v>82</v>
      </c>
      <c r="AF1052" s="7" t="s">
        <v>0</v>
      </c>
      <c r="AG1052" s="7" t="s">
        <v>0</v>
      </c>
      <c r="AH1052" s="9" t="s">
        <v>12055</v>
      </c>
      <c r="AI1052" s="9" t="s">
        <v>12056</v>
      </c>
      <c r="AJ1052" s="9" t="s">
        <v>12057</v>
      </c>
      <c r="AK1052" s="7" t="s">
        <v>61</v>
      </c>
      <c r="AL1052" s="7" t="s">
        <v>61</v>
      </c>
      <c r="AM1052" s="7" t="s">
        <v>0</v>
      </c>
      <c r="AN1052" s="7" t="s">
        <v>0</v>
      </c>
      <c r="AO1052" s="7" t="s">
        <v>0</v>
      </c>
      <c r="AP1052" s="7" t="s">
        <v>0</v>
      </c>
      <c r="AQ1052" s="7" t="s">
        <v>61</v>
      </c>
      <c r="AR1052" s="7" t="s">
        <v>0</v>
      </c>
      <c r="AS1052" s="10" t="str">
        <f>HYPERLINK("https://tessa.gazprom-neft.local/edo/card/a0f6d660-adb9-4bc2-bdfc-0bb4bbfa083f", "https://tessa.gazprom-neft.local/edo/card/a0f6d660-adb9-4bc2-bdfc-0bb4bbfa083f")</f>
        <v>https://tessa.gazprom-neft.local/edo/card/a0f6d660-adb9-4bc2-bdfc-0bb4bbfa083f</v>
      </c>
    </row>
    <row r="1053" spans="1:45" hidden="1" x14ac:dyDescent="0.25">
      <c r="A1053" s="6" t="s">
        <v>44</v>
      </c>
      <c r="B1053" s="7" t="s">
        <v>1240</v>
      </c>
      <c r="C1053" s="7" t="s">
        <v>67</v>
      </c>
      <c r="D1053" s="8">
        <v>45100</v>
      </c>
      <c r="E1053" s="8" t="s">
        <v>0</v>
      </c>
      <c r="F1053" s="16" t="s">
        <v>1241</v>
      </c>
      <c r="G1053" s="7" t="s">
        <v>1242</v>
      </c>
      <c r="H1053" s="7" t="s">
        <v>1237</v>
      </c>
      <c r="I1053" s="7" t="s">
        <v>0</v>
      </c>
      <c r="J1053" s="7" t="s">
        <v>271</v>
      </c>
      <c r="K1053" s="7" t="s">
        <v>47</v>
      </c>
      <c r="L1053" s="7" t="s">
        <v>389</v>
      </c>
      <c r="M1053" s="7" t="s">
        <v>0</v>
      </c>
      <c r="N1053" s="7" t="s">
        <v>4428</v>
      </c>
      <c r="O1053" s="7" t="s">
        <v>271</v>
      </c>
      <c r="P1053" s="7" t="s">
        <v>4429</v>
      </c>
      <c r="Q1053" s="7" t="s">
        <v>4430</v>
      </c>
      <c r="R1053" s="7" t="s">
        <v>393</v>
      </c>
      <c r="S1053" s="7" t="s">
        <v>1261</v>
      </c>
      <c r="T1053" s="7" t="s">
        <v>54</v>
      </c>
      <c r="U1053" s="7" t="s">
        <v>222</v>
      </c>
      <c r="V1053" s="7" t="s">
        <v>382</v>
      </c>
      <c r="W1053" s="7" t="s">
        <v>74</v>
      </c>
      <c r="X1053" s="7" t="s">
        <v>58</v>
      </c>
      <c r="Y1053" s="8">
        <v>45100</v>
      </c>
      <c r="Z1053" s="8" t="s">
        <v>0</v>
      </c>
      <c r="AA1053" s="7" t="s">
        <v>383</v>
      </c>
      <c r="AB1053" s="7" t="s">
        <v>1243</v>
      </c>
      <c r="AC1053" s="7" t="s">
        <v>79</v>
      </c>
      <c r="AD1053" s="7" t="s">
        <v>144</v>
      </c>
      <c r="AE1053" s="7" t="s">
        <v>82</v>
      </c>
      <c r="AF1053" s="7" t="s">
        <v>0</v>
      </c>
      <c r="AG1053" s="7" t="s">
        <v>0</v>
      </c>
      <c r="AH1053" s="9" t="s">
        <v>12058</v>
      </c>
      <c r="AI1053" s="9" t="s">
        <v>12059</v>
      </c>
      <c r="AJ1053" s="9" t="s">
        <v>12060</v>
      </c>
      <c r="AK1053" s="7" t="s">
        <v>61</v>
      </c>
      <c r="AL1053" s="7" t="s">
        <v>61</v>
      </c>
      <c r="AM1053" s="7" t="s">
        <v>0</v>
      </c>
      <c r="AN1053" s="7" t="s">
        <v>0</v>
      </c>
      <c r="AO1053" s="7" t="s">
        <v>0</v>
      </c>
      <c r="AP1053" s="7" t="s">
        <v>0</v>
      </c>
      <c r="AQ1053" s="7" t="s">
        <v>61</v>
      </c>
      <c r="AR1053" s="7" t="s">
        <v>0</v>
      </c>
      <c r="AS1053" s="10" t="str">
        <f>HYPERLINK("https://tessa.gazprom-neft.local/edo/card/abea30d3-9ca8-415f-904d-97086c69b7ce", "https://tessa.gazprom-neft.local/edo/card/abea30d3-9ca8-415f-904d-97086c69b7ce")</f>
        <v>https://tessa.gazprom-neft.local/edo/card/abea30d3-9ca8-415f-904d-97086c69b7ce</v>
      </c>
    </row>
    <row r="1054" spans="1:45" hidden="1" x14ac:dyDescent="0.25">
      <c r="A1054" s="6" t="s">
        <v>44</v>
      </c>
      <c r="B1054" s="7" t="s">
        <v>3815</v>
      </c>
      <c r="C1054" s="7" t="s">
        <v>67</v>
      </c>
      <c r="D1054" s="8">
        <v>45099</v>
      </c>
      <c r="E1054" s="8" t="s">
        <v>0</v>
      </c>
      <c r="F1054" s="16" t="s">
        <v>3816</v>
      </c>
      <c r="G1054" s="7" t="s">
        <v>3817</v>
      </c>
      <c r="H1054" s="7" t="s">
        <v>0</v>
      </c>
      <c r="I1054" s="7" t="s">
        <v>3812</v>
      </c>
      <c r="J1054" s="7" t="s">
        <v>3812</v>
      </c>
      <c r="K1054" s="7" t="s">
        <v>47</v>
      </c>
      <c r="L1054" s="7" t="s">
        <v>96</v>
      </c>
      <c r="M1054" s="7" t="s">
        <v>0</v>
      </c>
      <c r="N1054" s="7" t="s">
        <v>3811</v>
      </c>
      <c r="O1054" s="7" t="s">
        <v>0</v>
      </c>
      <c r="P1054" s="7" t="s">
        <v>3813</v>
      </c>
      <c r="Q1054" s="7" t="s">
        <v>3814</v>
      </c>
      <c r="R1054" s="7" t="s">
        <v>233</v>
      </c>
      <c r="S1054" s="7" t="s">
        <v>233</v>
      </c>
      <c r="T1054" s="7" t="s">
        <v>54</v>
      </c>
      <c r="U1054" s="7" t="s">
        <v>55</v>
      </c>
      <c r="V1054" s="7" t="s">
        <v>56</v>
      </c>
      <c r="W1054" s="7" t="s">
        <v>57</v>
      </c>
      <c r="X1054" s="7" t="s">
        <v>103</v>
      </c>
      <c r="Y1054" s="8">
        <v>45099</v>
      </c>
      <c r="Z1054" s="8">
        <v>45131</v>
      </c>
      <c r="AA1054" s="7" t="s">
        <v>59</v>
      </c>
      <c r="AB1054" s="7" t="s">
        <v>979</v>
      </c>
      <c r="AC1054" s="7" t="s">
        <v>65</v>
      </c>
      <c r="AD1054" s="7" t="s">
        <v>0</v>
      </c>
      <c r="AE1054" s="7" t="s">
        <v>0</v>
      </c>
      <c r="AF1054" s="7" t="s">
        <v>0</v>
      </c>
      <c r="AG1054" s="7" t="s">
        <v>0</v>
      </c>
      <c r="AH1054" s="9" t="s">
        <v>0</v>
      </c>
      <c r="AI1054" s="9" t="s">
        <v>0</v>
      </c>
      <c r="AJ1054" s="9" t="s">
        <v>0</v>
      </c>
      <c r="AK1054" s="7" t="s">
        <v>61</v>
      </c>
      <c r="AL1054" s="7" t="s">
        <v>61</v>
      </c>
      <c r="AM1054" s="7" t="s">
        <v>0</v>
      </c>
      <c r="AN1054" s="7" t="s">
        <v>0</v>
      </c>
      <c r="AO1054" s="7" t="s">
        <v>0</v>
      </c>
      <c r="AP1054" s="7" t="s">
        <v>0</v>
      </c>
      <c r="AQ1054" s="7" t="s">
        <v>61</v>
      </c>
      <c r="AR1054" s="7" t="s">
        <v>0</v>
      </c>
      <c r="AS1054" s="10" t="str">
        <f>HYPERLINK("https://tessa.gazprom-neft.local/edo/card/640550f1-9168-4d9a-814b-b4fde491b0e3", "https://tessa.gazprom-neft.local/edo/card/640550f1-9168-4d9a-814b-b4fde491b0e3")</f>
        <v>https://tessa.gazprom-neft.local/edo/card/640550f1-9168-4d9a-814b-b4fde491b0e3</v>
      </c>
    </row>
    <row r="1055" spans="1:45" x14ac:dyDescent="0.25">
      <c r="A1055" s="6" t="s">
        <v>44</v>
      </c>
      <c r="B1055" s="7" t="s">
        <v>234</v>
      </c>
      <c r="C1055" s="7" t="s">
        <v>67</v>
      </c>
      <c r="D1055" s="8">
        <v>45099</v>
      </c>
      <c r="E1055" s="8" t="s">
        <v>0</v>
      </c>
      <c r="F1055" s="16" t="s">
        <v>235</v>
      </c>
      <c r="G1055" s="7" t="s">
        <v>236</v>
      </c>
      <c r="H1055" s="7" t="s">
        <v>415</v>
      </c>
      <c r="I1055" s="7" t="s">
        <v>0</v>
      </c>
      <c r="J1055" s="7" t="s">
        <v>51</v>
      </c>
      <c r="K1055" s="7" t="s">
        <v>47</v>
      </c>
      <c r="L1055" s="7" t="s">
        <v>48</v>
      </c>
      <c r="M1055" s="7" t="s">
        <v>0</v>
      </c>
      <c r="N1055" s="7" t="s">
        <v>4310</v>
      </c>
      <c r="O1055" s="7" t="s">
        <v>0</v>
      </c>
      <c r="P1055" s="7" t="s">
        <v>4311</v>
      </c>
      <c r="Q1055" s="7" t="s">
        <v>4312</v>
      </c>
      <c r="R1055" s="7" t="s">
        <v>233</v>
      </c>
      <c r="S1055" s="7" t="s">
        <v>233</v>
      </c>
      <c r="T1055" s="7" t="s">
        <v>54</v>
      </c>
      <c r="U1055" s="7" t="s">
        <v>55</v>
      </c>
      <c r="V1055" s="7" t="s">
        <v>56</v>
      </c>
      <c r="W1055" s="7" t="s">
        <v>74</v>
      </c>
      <c r="X1055" s="7" t="s">
        <v>103</v>
      </c>
      <c r="Y1055" s="8">
        <v>45099</v>
      </c>
      <c r="Z1055" s="8">
        <v>45107</v>
      </c>
      <c r="AA1055" s="7" t="s">
        <v>59</v>
      </c>
      <c r="AB1055" s="7" t="s">
        <v>130</v>
      </c>
      <c r="AC1055" s="7" t="s">
        <v>79</v>
      </c>
      <c r="AD1055" s="7" t="s">
        <v>80</v>
      </c>
      <c r="AE1055" s="7" t="s">
        <v>82</v>
      </c>
      <c r="AF1055" s="7" t="s">
        <v>0</v>
      </c>
      <c r="AG1055" s="7" t="s">
        <v>0</v>
      </c>
      <c r="AH1055" s="9" t="s">
        <v>12014</v>
      </c>
      <c r="AI1055" s="9" t="s">
        <v>12015</v>
      </c>
      <c r="AJ1055" s="9" t="s">
        <v>12016</v>
      </c>
      <c r="AK1055" s="7" t="s">
        <v>61</v>
      </c>
      <c r="AL1055" s="7" t="s">
        <v>61</v>
      </c>
      <c r="AM1055" s="7" t="s">
        <v>0</v>
      </c>
      <c r="AN1055" s="7" t="s">
        <v>0</v>
      </c>
      <c r="AO1055" s="7" t="s">
        <v>0</v>
      </c>
      <c r="AP1055" s="7" t="s">
        <v>0</v>
      </c>
      <c r="AQ1055" s="7" t="s">
        <v>61</v>
      </c>
      <c r="AR1055" s="7" t="s">
        <v>0</v>
      </c>
      <c r="AS1055" s="10" t="str">
        <f>HYPERLINK("https://tessa.gazprom-neft.local/edo/card/43ec2da0-5327-4fda-b3f7-a4d3ab98985c", "https://tessa.gazprom-neft.local/edo/card/43ec2da0-5327-4fda-b3f7-a4d3ab98985c")</f>
        <v>https://tessa.gazprom-neft.local/edo/card/43ec2da0-5327-4fda-b3f7-a4d3ab98985c</v>
      </c>
    </row>
    <row r="1056" spans="1:45" x14ac:dyDescent="0.25">
      <c r="A1056" s="6" t="s">
        <v>44</v>
      </c>
      <c r="B1056" s="7" t="s">
        <v>4293</v>
      </c>
      <c r="C1056" s="7" t="s">
        <v>67</v>
      </c>
      <c r="D1056" s="8">
        <v>45097</v>
      </c>
      <c r="E1056" s="8" t="s">
        <v>0</v>
      </c>
      <c r="F1056" s="16" t="s">
        <v>4294</v>
      </c>
      <c r="G1056" s="7" t="s">
        <v>4295</v>
      </c>
      <c r="H1056" s="7" t="s">
        <v>4290</v>
      </c>
      <c r="I1056" s="7" t="s">
        <v>0</v>
      </c>
      <c r="J1056" s="7" t="s">
        <v>156</v>
      </c>
      <c r="K1056" s="7" t="s">
        <v>47</v>
      </c>
      <c r="L1056" s="7" t="s">
        <v>48</v>
      </c>
      <c r="M1056" s="7" t="s">
        <v>0</v>
      </c>
      <c r="N1056" s="7" t="s">
        <v>4289</v>
      </c>
      <c r="O1056" s="7" t="s">
        <v>0</v>
      </c>
      <c r="P1056" s="7" t="s">
        <v>4291</v>
      </c>
      <c r="Q1056" s="7" t="s">
        <v>4292</v>
      </c>
      <c r="R1056" s="7" t="s">
        <v>679</v>
      </c>
      <c r="S1056" s="7" t="s">
        <v>2349</v>
      </c>
      <c r="T1056" s="7" t="s">
        <v>54</v>
      </c>
      <c r="U1056" s="7" t="s">
        <v>362</v>
      </c>
      <c r="V1056" s="7" t="s">
        <v>295</v>
      </c>
      <c r="W1056" s="7" t="s">
        <v>74</v>
      </c>
      <c r="X1056" s="7" t="s">
        <v>58</v>
      </c>
      <c r="Y1056" s="8">
        <v>45097</v>
      </c>
      <c r="Z1056" s="8" t="s">
        <v>0</v>
      </c>
      <c r="AA1056" s="7" t="s">
        <v>296</v>
      </c>
      <c r="AB1056" s="7" t="s">
        <v>64</v>
      </c>
      <c r="AC1056" s="7" t="s">
        <v>65</v>
      </c>
      <c r="AD1056" s="7" t="s">
        <v>80</v>
      </c>
      <c r="AE1056" s="7" t="s">
        <v>0</v>
      </c>
      <c r="AF1056" s="7" t="s">
        <v>0</v>
      </c>
      <c r="AG1056" s="7" t="s">
        <v>0</v>
      </c>
      <c r="AH1056" s="9" t="s">
        <v>0</v>
      </c>
      <c r="AI1056" s="9" t="s">
        <v>0</v>
      </c>
      <c r="AJ1056" s="9" t="s">
        <v>0</v>
      </c>
      <c r="AK1056" s="7" t="s">
        <v>61</v>
      </c>
      <c r="AL1056" s="7" t="s">
        <v>61</v>
      </c>
      <c r="AM1056" s="7" t="s">
        <v>0</v>
      </c>
      <c r="AN1056" s="7" t="s">
        <v>0</v>
      </c>
      <c r="AO1056" s="7" t="s">
        <v>0</v>
      </c>
      <c r="AP1056" s="7" t="s">
        <v>0</v>
      </c>
      <c r="AQ1056" s="7" t="s">
        <v>61</v>
      </c>
      <c r="AR1056" s="7" t="s">
        <v>0</v>
      </c>
      <c r="AS1056" s="10" t="str">
        <f>HYPERLINK("https://tessa.gazprom-neft.local/edo/card/797556c3-dbe3-47f0-a4bb-7f7bc347f2c2", "https://tessa.gazprom-neft.local/edo/card/797556c3-dbe3-47f0-a4bb-7f7bc347f2c2")</f>
        <v>https://tessa.gazprom-neft.local/edo/card/797556c3-dbe3-47f0-a4bb-7f7bc347f2c2</v>
      </c>
    </row>
    <row r="1057" spans="1:45" hidden="1" x14ac:dyDescent="0.25">
      <c r="A1057" s="6" t="s">
        <v>44</v>
      </c>
      <c r="B1057" s="7" t="s">
        <v>0</v>
      </c>
      <c r="C1057" s="7" t="s">
        <v>67</v>
      </c>
      <c r="D1057" s="8">
        <v>45096</v>
      </c>
      <c r="E1057" s="8" t="s">
        <v>0</v>
      </c>
      <c r="F1057" s="16" t="s">
        <v>4254</v>
      </c>
      <c r="G1057" s="7" t="s">
        <v>0</v>
      </c>
      <c r="H1057" s="7" t="s">
        <v>0</v>
      </c>
      <c r="I1057" s="7" t="s">
        <v>4251</v>
      </c>
      <c r="J1057" s="7" t="s">
        <v>4251</v>
      </c>
      <c r="K1057" s="7" t="s">
        <v>47</v>
      </c>
      <c r="L1057" s="7" t="s">
        <v>86</v>
      </c>
      <c r="M1057" s="7" t="s">
        <v>0</v>
      </c>
      <c r="N1057" s="7" t="s">
        <v>4250</v>
      </c>
      <c r="O1057" s="7" t="s">
        <v>0</v>
      </c>
      <c r="P1057" s="7" t="s">
        <v>94</v>
      </c>
      <c r="Q1057" s="7" t="s">
        <v>4252</v>
      </c>
      <c r="R1057" s="7" t="s">
        <v>4253</v>
      </c>
      <c r="S1057" s="7" t="s">
        <v>4253</v>
      </c>
      <c r="T1057" s="7" t="s">
        <v>54</v>
      </c>
      <c r="U1057" s="7" t="s">
        <v>90</v>
      </c>
      <c r="V1057" s="7" t="s">
        <v>91</v>
      </c>
      <c r="W1057" s="7" t="s">
        <v>57</v>
      </c>
      <c r="X1057" s="7" t="s">
        <v>58</v>
      </c>
      <c r="Y1057" s="8">
        <v>45090</v>
      </c>
      <c r="Z1057" s="8" t="s">
        <v>0</v>
      </c>
      <c r="AA1057" s="7" t="s">
        <v>92</v>
      </c>
      <c r="AB1057" s="7" t="s">
        <v>94</v>
      </c>
      <c r="AC1057" s="7" t="s">
        <v>65</v>
      </c>
      <c r="AD1057" s="7" t="s">
        <v>0</v>
      </c>
      <c r="AE1057" s="7" t="s">
        <v>0</v>
      </c>
      <c r="AF1057" s="7" t="s">
        <v>0</v>
      </c>
      <c r="AG1057" s="7" t="s">
        <v>0</v>
      </c>
      <c r="AH1057" s="9" t="s">
        <v>0</v>
      </c>
      <c r="AI1057" s="9" t="s">
        <v>0</v>
      </c>
      <c r="AJ1057" s="9" t="s">
        <v>0</v>
      </c>
      <c r="AK1057" s="7" t="s">
        <v>61</v>
      </c>
      <c r="AL1057" s="7" t="s">
        <v>61</v>
      </c>
      <c r="AM1057" s="7" t="s">
        <v>0</v>
      </c>
      <c r="AN1057" s="7" t="s">
        <v>0</v>
      </c>
      <c r="AO1057" s="7" t="s">
        <v>0</v>
      </c>
      <c r="AP1057" s="7" t="s">
        <v>0</v>
      </c>
      <c r="AQ1057" s="7" t="s">
        <v>61</v>
      </c>
      <c r="AR1057" s="7" t="s">
        <v>0</v>
      </c>
      <c r="AS1057" s="10" t="str">
        <f>HYPERLINK("https://tessa.gazprom-neft.local/edo/card/61556e74-5034-4980-b96d-9a0b9a73f247", "https://tessa.gazprom-neft.local/edo/card/61556e74-5034-4980-b96d-9a0b9a73f247")</f>
        <v>https://tessa.gazprom-neft.local/edo/card/61556e74-5034-4980-b96d-9a0b9a73f247</v>
      </c>
    </row>
    <row r="1058" spans="1:45" hidden="1" x14ac:dyDescent="0.25">
      <c r="A1058" s="6" t="s">
        <v>44</v>
      </c>
      <c r="B1058" s="7" t="s">
        <v>4333</v>
      </c>
      <c r="C1058" s="7" t="s">
        <v>67</v>
      </c>
      <c r="D1058" s="8">
        <v>45096</v>
      </c>
      <c r="E1058" s="8" t="s">
        <v>0</v>
      </c>
      <c r="F1058" s="16" t="s">
        <v>4334</v>
      </c>
      <c r="G1058" s="7" t="s">
        <v>4335</v>
      </c>
      <c r="H1058" s="7" t="s">
        <v>4330</v>
      </c>
      <c r="I1058" s="7" t="s">
        <v>0</v>
      </c>
      <c r="J1058" s="7" t="s">
        <v>51</v>
      </c>
      <c r="K1058" s="7" t="s">
        <v>47</v>
      </c>
      <c r="L1058" s="7" t="s">
        <v>239</v>
      </c>
      <c r="M1058" s="7" t="s">
        <v>0</v>
      </c>
      <c r="N1058" s="7" t="s">
        <v>4329</v>
      </c>
      <c r="O1058" s="7" t="s">
        <v>0</v>
      </c>
      <c r="P1058" s="7" t="s">
        <v>4331</v>
      </c>
      <c r="Q1058" s="7" t="s">
        <v>4332</v>
      </c>
      <c r="R1058" s="7" t="s">
        <v>1610</v>
      </c>
      <c r="S1058" s="7" t="s">
        <v>1610</v>
      </c>
      <c r="T1058" s="7" t="s">
        <v>54</v>
      </c>
      <c r="U1058" s="7" t="s">
        <v>101</v>
      </c>
      <c r="V1058" s="7" t="s">
        <v>308</v>
      </c>
      <c r="W1058" s="7" t="s">
        <v>57</v>
      </c>
      <c r="X1058" s="7" t="s">
        <v>58</v>
      </c>
      <c r="Y1058" s="8">
        <v>45096</v>
      </c>
      <c r="Z1058" s="8" t="s">
        <v>0</v>
      </c>
      <c r="AA1058" s="7" t="s">
        <v>309</v>
      </c>
      <c r="AB1058" s="7" t="s">
        <v>130</v>
      </c>
      <c r="AC1058" s="7" t="s">
        <v>79</v>
      </c>
      <c r="AD1058" s="7" t="s">
        <v>80</v>
      </c>
      <c r="AE1058" s="7" t="s">
        <v>82</v>
      </c>
      <c r="AF1058" s="7" t="s">
        <v>0</v>
      </c>
      <c r="AG1058" s="7" t="s">
        <v>0</v>
      </c>
      <c r="AH1058" s="9" t="s">
        <v>12023</v>
      </c>
      <c r="AI1058" s="9" t="s">
        <v>12024</v>
      </c>
      <c r="AJ1058" s="9" t="s">
        <v>12025</v>
      </c>
      <c r="AK1058" s="7" t="s">
        <v>61</v>
      </c>
      <c r="AL1058" s="7" t="s">
        <v>61</v>
      </c>
      <c r="AM1058" s="7" t="s">
        <v>0</v>
      </c>
      <c r="AN1058" s="7" t="s">
        <v>0</v>
      </c>
      <c r="AO1058" s="7" t="s">
        <v>0</v>
      </c>
      <c r="AP1058" s="7" t="s">
        <v>0</v>
      </c>
      <c r="AQ1058" s="7" t="s">
        <v>61</v>
      </c>
      <c r="AR1058" s="7" t="s">
        <v>0</v>
      </c>
      <c r="AS1058" s="10" t="str">
        <f>HYPERLINK("https://tessa.gazprom-neft.local/edo/card/eb76cb98-16f9-48cb-af8e-41ea1239c0b1", "https://tessa.gazprom-neft.local/edo/card/eb76cb98-16f9-48cb-af8e-41ea1239c0b1")</f>
        <v>https://tessa.gazprom-neft.local/edo/card/eb76cb98-16f9-48cb-af8e-41ea1239c0b1</v>
      </c>
    </row>
    <row r="1059" spans="1:45" hidden="1" x14ac:dyDescent="0.25">
      <c r="A1059" s="6" t="s">
        <v>44</v>
      </c>
      <c r="B1059" s="7" t="s">
        <v>4344</v>
      </c>
      <c r="C1059" s="7" t="s">
        <v>67</v>
      </c>
      <c r="D1059" s="8">
        <v>45096</v>
      </c>
      <c r="E1059" s="8" t="s">
        <v>0</v>
      </c>
      <c r="F1059" s="16" t="s">
        <v>4345</v>
      </c>
      <c r="G1059" s="7" t="s">
        <v>4346</v>
      </c>
      <c r="H1059" s="7" t="s">
        <v>0</v>
      </c>
      <c r="I1059" s="7" t="s">
        <v>4341</v>
      </c>
      <c r="J1059" s="7" t="s">
        <v>4341</v>
      </c>
      <c r="K1059" s="7" t="s">
        <v>47</v>
      </c>
      <c r="L1059" s="7" t="s">
        <v>96</v>
      </c>
      <c r="M1059" s="7" t="s">
        <v>0</v>
      </c>
      <c r="N1059" s="7" t="s">
        <v>4340</v>
      </c>
      <c r="O1059" s="7" t="s">
        <v>0</v>
      </c>
      <c r="P1059" s="7" t="s">
        <v>4342</v>
      </c>
      <c r="Q1059" s="7" t="s">
        <v>4343</v>
      </c>
      <c r="R1059" s="7" t="s">
        <v>233</v>
      </c>
      <c r="S1059" s="7" t="s">
        <v>233</v>
      </c>
      <c r="T1059" s="7" t="s">
        <v>54</v>
      </c>
      <c r="U1059" s="7" t="s">
        <v>55</v>
      </c>
      <c r="V1059" s="7" t="s">
        <v>56</v>
      </c>
      <c r="W1059" s="7" t="s">
        <v>57</v>
      </c>
      <c r="X1059" s="7" t="s">
        <v>103</v>
      </c>
      <c r="Y1059" s="8">
        <v>45096</v>
      </c>
      <c r="Z1059" s="8">
        <v>45260</v>
      </c>
      <c r="AA1059" s="7" t="s">
        <v>0</v>
      </c>
      <c r="AB1059" s="7" t="s">
        <v>64</v>
      </c>
      <c r="AC1059" s="7" t="s">
        <v>278</v>
      </c>
      <c r="AD1059" s="7" t="s">
        <v>80</v>
      </c>
      <c r="AE1059" s="7" t="s">
        <v>82</v>
      </c>
      <c r="AF1059" s="7" t="s">
        <v>0</v>
      </c>
      <c r="AG1059" s="7" t="s">
        <v>0</v>
      </c>
      <c r="AH1059" s="9" t="s">
        <v>12026</v>
      </c>
      <c r="AI1059" s="9" t="s">
        <v>12027</v>
      </c>
      <c r="AJ1059" s="9" t="s">
        <v>12028</v>
      </c>
      <c r="AK1059" s="7" t="s">
        <v>61</v>
      </c>
      <c r="AL1059" s="7" t="s">
        <v>61</v>
      </c>
      <c r="AM1059" s="7" t="s">
        <v>0</v>
      </c>
      <c r="AN1059" s="7" t="s">
        <v>0</v>
      </c>
      <c r="AO1059" s="7" t="s">
        <v>0</v>
      </c>
      <c r="AP1059" s="7" t="s">
        <v>0</v>
      </c>
      <c r="AQ1059" s="7" t="s">
        <v>61</v>
      </c>
      <c r="AR1059" s="7" t="s">
        <v>0</v>
      </c>
      <c r="AS1059" s="10" t="str">
        <f>HYPERLINK("https://tessa.gazprom-neft.local/edo/card/9acf33a5-c7ab-49d8-aa82-07ce161375d8", "https://tessa.gazprom-neft.local/edo/card/9acf33a5-c7ab-49d8-aa82-07ce161375d8")</f>
        <v>https://tessa.gazprom-neft.local/edo/card/9acf33a5-c7ab-49d8-aa82-07ce161375d8</v>
      </c>
    </row>
    <row r="1060" spans="1:45" x14ac:dyDescent="0.25">
      <c r="A1060" s="6" t="s">
        <v>44</v>
      </c>
      <c r="B1060" s="7" t="s">
        <v>2350</v>
      </c>
      <c r="C1060" s="7" t="s">
        <v>67</v>
      </c>
      <c r="D1060" s="8">
        <v>45093</v>
      </c>
      <c r="E1060" s="8" t="s">
        <v>0</v>
      </c>
      <c r="F1060" s="16" t="s">
        <v>2351</v>
      </c>
      <c r="G1060" s="7" t="s">
        <v>2352</v>
      </c>
      <c r="H1060" s="7" t="s">
        <v>3718</v>
      </c>
      <c r="I1060" s="7" t="s">
        <v>0</v>
      </c>
      <c r="J1060" s="7" t="s">
        <v>872</v>
      </c>
      <c r="K1060" s="7" t="s">
        <v>47</v>
      </c>
      <c r="L1060" s="7" t="s">
        <v>48</v>
      </c>
      <c r="M1060" s="7" t="s">
        <v>0</v>
      </c>
      <c r="N1060" s="7" t="s">
        <v>3717</v>
      </c>
      <c r="O1060" s="7" t="s">
        <v>0</v>
      </c>
      <c r="P1060" s="7" t="s">
        <v>3719</v>
      </c>
      <c r="Q1060" s="7" t="s">
        <v>3720</v>
      </c>
      <c r="R1060" s="7" t="s">
        <v>505</v>
      </c>
      <c r="S1060" s="7" t="s">
        <v>2349</v>
      </c>
      <c r="T1060" s="7" t="s">
        <v>54</v>
      </c>
      <c r="U1060" s="7" t="s">
        <v>362</v>
      </c>
      <c r="V1060" s="7" t="s">
        <v>295</v>
      </c>
      <c r="W1060" s="7" t="s">
        <v>74</v>
      </c>
      <c r="X1060" s="7" t="s">
        <v>103</v>
      </c>
      <c r="Y1060" s="8">
        <v>45100</v>
      </c>
      <c r="Z1060" s="8">
        <v>46022</v>
      </c>
      <c r="AA1060" s="7" t="s">
        <v>296</v>
      </c>
      <c r="AB1060" s="7" t="s">
        <v>130</v>
      </c>
      <c r="AC1060" s="7" t="s">
        <v>79</v>
      </c>
      <c r="AD1060" s="7" t="s">
        <v>80</v>
      </c>
      <c r="AE1060" s="7" t="s">
        <v>82</v>
      </c>
      <c r="AF1060" s="7" t="s">
        <v>0</v>
      </c>
      <c r="AG1060" s="7" t="s">
        <v>0</v>
      </c>
      <c r="AH1060" s="9" t="s">
        <v>11797</v>
      </c>
      <c r="AI1060" s="9" t="s">
        <v>11798</v>
      </c>
      <c r="AJ1060" s="9" t="s">
        <v>11799</v>
      </c>
      <c r="AK1060" s="7" t="s">
        <v>61</v>
      </c>
      <c r="AL1060" s="7" t="s">
        <v>61</v>
      </c>
      <c r="AM1060" s="7" t="s">
        <v>0</v>
      </c>
      <c r="AN1060" s="7" t="s">
        <v>0</v>
      </c>
      <c r="AO1060" s="7" t="s">
        <v>0</v>
      </c>
      <c r="AP1060" s="7" t="s">
        <v>0</v>
      </c>
      <c r="AQ1060" s="7" t="s">
        <v>61</v>
      </c>
      <c r="AR1060" s="7" t="s">
        <v>0</v>
      </c>
      <c r="AS1060" s="10" t="str">
        <f>HYPERLINK("https://tessa.gazprom-neft.local/edo/card/80daf15b-fd2d-4fe5-a5de-e9a3e8e4d311", "https://tessa.gazprom-neft.local/edo/card/80daf15b-fd2d-4fe5-a5de-e9a3e8e4d311")</f>
        <v>https://tessa.gazprom-neft.local/edo/card/80daf15b-fd2d-4fe5-a5de-e9a3e8e4d311</v>
      </c>
    </row>
    <row r="1061" spans="1:45" x14ac:dyDescent="0.25">
      <c r="A1061" s="6" t="s">
        <v>44</v>
      </c>
      <c r="B1061" s="7" t="s">
        <v>813</v>
      </c>
      <c r="C1061" s="7" t="s">
        <v>67</v>
      </c>
      <c r="D1061" s="8">
        <v>45091</v>
      </c>
      <c r="E1061" s="8" t="s">
        <v>0</v>
      </c>
      <c r="F1061" s="16" t="s">
        <v>814</v>
      </c>
      <c r="G1061" s="7" t="s">
        <v>815</v>
      </c>
      <c r="H1061" s="7" t="s">
        <v>809</v>
      </c>
      <c r="I1061" s="7" t="s">
        <v>0</v>
      </c>
      <c r="J1061" s="7" t="s">
        <v>955</v>
      </c>
      <c r="K1061" s="7" t="s">
        <v>47</v>
      </c>
      <c r="L1061" s="7" t="s">
        <v>48</v>
      </c>
      <c r="M1061" s="7" t="s">
        <v>0</v>
      </c>
      <c r="N1061" s="7" t="s">
        <v>4281</v>
      </c>
      <c r="O1061" s="7" t="s">
        <v>0</v>
      </c>
      <c r="P1061" s="7" t="s">
        <v>4282</v>
      </c>
      <c r="Q1061" s="7" t="s">
        <v>4283</v>
      </c>
      <c r="R1061" s="7" t="s">
        <v>768</v>
      </c>
      <c r="S1061" s="7" t="s">
        <v>812</v>
      </c>
      <c r="T1061" s="7" t="s">
        <v>54</v>
      </c>
      <c r="U1061" s="7" t="s">
        <v>55</v>
      </c>
      <c r="V1061" s="7" t="s">
        <v>56</v>
      </c>
      <c r="W1061" s="7" t="s">
        <v>74</v>
      </c>
      <c r="X1061" s="7" t="s">
        <v>103</v>
      </c>
      <c r="Y1061" s="8">
        <v>45091</v>
      </c>
      <c r="Z1061" s="8">
        <v>46387</v>
      </c>
      <c r="AA1061" s="7" t="s">
        <v>0</v>
      </c>
      <c r="AB1061" s="7" t="s">
        <v>256</v>
      </c>
      <c r="AC1061" s="7" t="s">
        <v>79</v>
      </c>
      <c r="AD1061" s="7" t="s">
        <v>80</v>
      </c>
      <c r="AE1061" s="7" t="s">
        <v>82</v>
      </c>
      <c r="AF1061" s="7" t="s">
        <v>0</v>
      </c>
      <c r="AG1061" s="7" t="s">
        <v>0</v>
      </c>
      <c r="AH1061" s="9" t="s">
        <v>11995</v>
      </c>
      <c r="AI1061" s="9" t="s">
        <v>11996</v>
      </c>
      <c r="AJ1061" s="9" t="s">
        <v>11997</v>
      </c>
      <c r="AK1061" s="7" t="s">
        <v>61</v>
      </c>
      <c r="AL1061" s="7" t="s">
        <v>61</v>
      </c>
      <c r="AM1061" s="7" t="s">
        <v>0</v>
      </c>
      <c r="AN1061" s="7" t="s">
        <v>0</v>
      </c>
      <c r="AO1061" s="7" t="s">
        <v>0</v>
      </c>
      <c r="AP1061" s="7" t="s">
        <v>0</v>
      </c>
      <c r="AQ1061" s="7" t="s">
        <v>61</v>
      </c>
      <c r="AR1061" s="7" t="s">
        <v>0</v>
      </c>
      <c r="AS1061" s="10" t="str">
        <f>HYPERLINK("https://tessa.gazprom-neft.local/edo/card/53e15899-dac7-45b5-a86c-61853ed23e08", "https://tessa.gazprom-neft.local/edo/card/53e15899-dac7-45b5-a86c-61853ed23e08")</f>
        <v>https://tessa.gazprom-neft.local/edo/card/53e15899-dac7-45b5-a86c-61853ed23e08</v>
      </c>
    </row>
    <row r="1062" spans="1:45" hidden="1" x14ac:dyDescent="0.25">
      <c r="A1062" s="6" t="s">
        <v>44</v>
      </c>
      <c r="B1062" s="7" t="s">
        <v>813</v>
      </c>
      <c r="C1062" s="7" t="s">
        <v>67</v>
      </c>
      <c r="D1062" s="8">
        <v>45091</v>
      </c>
      <c r="E1062" s="8" t="s">
        <v>0</v>
      </c>
      <c r="F1062" s="16" t="s">
        <v>814</v>
      </c>
      <c r="G1062" s="7" t="s">
        <v>815</v>
      </c>
      <c r="H1062" s="7" t="s">
        <v>809</v>
      </c>
      <c r="I1062" s="7" t="s">
        <v>0</v>
      </c>
      <c r="J1062" s="7" t="s">
        <v>263</v>
      </c>
      <c r="K1062" s="7" t="s">
        <v>47</v>
      </c>
      <c r="L1062" s="7" t="s">
        <v>709</v>
      </c>
      <c r="M1062" s="7" t="s">
        <v>0</v>
      </c>
      <c r="N1062" s="7" t="s">
        <v>4436</v>
      </c>
      <c r="O1062" s="7" t="s">
        <v>0</v>
      </c>
      <c r="P1062" s="7" t="s">
        <v>4437</v>
      </c>
      <c r="Q1062" s="7" t="s">
        <v>4438</v>
      </c>
      <c r="R1062" s="7" t="s">
        <v>812</v>
      </c>
      <c r="S1062" s="7" t="s">
        <v>812</v>
      </c>
      <c r="T1062" s="7" t="s">
        <v>54</v>
      </c>
      <c r="U1062" s="7" t="s">
        <v>1534</v>
      </c>
      <c r="V1062" s="7" t="s">
        <v>56</v>
      </c>
      <c r="W1062" s="7" t="s">
        <v>74</v>
      </c>
      <c r="X1062" s="7" t="s">
        <v>103</v>
      </c>
      <c r="Y1062" s="8">
        <v>45091</v>
      </c>
      <c r="Z1062" s="8">
        <v>45219</v>
      </c>
      <c r="AA1062" s="7" t="s">
        <v>0</v>
      </c>
      <c r="AB1062" s="7" t="s">
        <v>256</v>
      </c>
      <c r="AC1062" s="7" t="s">
        <v>79</v>
      </c>
      <c r="AD1062" s="7" t="s">
        <v>80</v>
      </c>
      <c r="AE1062" s="7" t="s">
        <v>82</v>
      </c>
      <c r="AF1062" s="7" t="s">
        <v>0</v>
      </c>
      <c r="AG1062" s="7" t="s">
        <v>0</v>
      </c>
      <c r="AH1062" s="9" t="s">
        <v>12061</v>
      </c>
      <c r="AI1062" s="9" t="s">
        <v>12062</v>
      </c>
      <c r="AJ1062" s="9" t="s">
        <v>12063</v>
      </c>
      <c r="AK1062" s="7" t="s">
        <v>61</v>
      </c>
      <c r="AL1062" s="7" t="s">
        <v>61</v>
      </c>
      <c r="AM1062" s="7" t="s">
        <v>0</v>
      </c>
      <c r="AN1062" s="7" t="s">
        <v>0</v>
      </c>
      <c r="AO1062" s="7" t="s">
        <v>0</v>
      </c>
      <c r="AP1062" s="7" t="s">
        <v>0</v>
      </c>
      <c r="AQ1062" s="7" t="s">
        <v>61</v>
      </c>
      <c r="AR1062" s="7" t="s">
        <v>0</v>
      </c>
      <c r="AS1062" s="10" t="str">
        <f>HYPERLINK("https://tessa.gazprom-neft.local/edo/card/d16dd46e-fdf4-4050-9e49-a371efa1fdc7", "https://tessa.gazprom-neft.local/edo/card/d16dd46e-fdf4-4050-9e49-a371efa1fdc7")</f>
        <v>https://tessa.gazprom-neft.local/edo/card/d16dd46e-fdf4-4050-9e49-a371efa1fdc7</v>
      </c>
    </row>
    <row r="1063" spans="1:45" x14ac:dyDescent="0.25">
      <c r="A1063" s="6" t="s">
        <v>44</v>
      </c>
      <c r="B1063" s="7" t="s">
        <v>488</v>
      </c>
      <c r="C1063" s="7" t="s">
        <v>67</v>
      </c>
      <c r="D1063" s="8">
        <v>45090</v>
      </c>
      <c r="E1063" s="8" t="s">
        <v>0</v>
      </c>
      <c r="F1063" s="16" t="s">
        <v>489</v>
      </c>
      <c r="G1063" s="7" t="s">
        <v>490</v>
      </c>
      <c r="H1063" s="7" t="s">
        <v>4243</v>
      </c>
      <c r="I1063" s="7" t="s">
        <v>0</v>
      </c>
      <c r="J1063" s="7" t="s">
        <v>271</v>
      </c>
      <c r="K1063" s="7" t="s">
        <v>47</v>
      </c>
      <c r="L1063" s="7" t="s">
        <v>48</v>
      </c>
      <c r="M1063" s="7" t="s">
        <v>0</v>
      </c>
      <c r="N1063" s="7" t="s">
        <v>4242</v>
      </c>
      <c r="O1063" s="7" t="s">
        <v>0</v>
      </c>
      <c r="P1063" s="7" t="s">
        <v>4244</v>
      </c>
      <c r="Q1063" s="7" t="s">
        <v>3272</v>
      </c>
      <c r="R1063" s="7" t="s">
        <v>361</v>
      </c>
      <c r="S1063" s="7" t="s">
        <v>0</v>
      </c>
      <c r="T1063" s="7" t="s">
        <v>54</v>
      </c>
      <c r="U1063" s="7" t="s">
        <v>362</v>
      </c>
      <c r="V1063" s="7" t="s">
        <v>864</v>
      </c>
      <c r="W1063" s="7" t="s">
        <v>74</v>
      </c>
      <c r="X1063" s="7" t="s">
        <v>103</v>
      </c>
      <c r="Y1063" s="8">
        <v>45078</v>
      </c>
      <c r="Z1063" s="8">
        <v>45170</v>
      </c>
      <c r="AA1063" s="7" t="s">
        <v>865</v>
      </c>
      <c r="AB1063" s="7" t="s">
        <v>366</v>
      </c>
      <c r="AC1063" s="7" t="s">
        <v>278</v>
      </c>
      <c r="AD1063" s="7" t="s">
        <v>367</v>
      </c>
      <c r="AE1063" s="7" t="s">
        <v>82</v>
      </c>
      <c r="AF1063" s="7" t="s">
        <v>0</v>
      </c>
      <c r="AG1063" s="7" t="s">
        <v>0</v>
      </c>
      <c r="AH1063" s="9" t="s">
        <v>11977</v>
      </c>
      <c r="AI1063" s="9" t="s">
        <v>11978</v>
      </c>
      <c r="AJ1063" s="9" t="s">
        <v>11979</v>
      </c>
      <c r="AK1063" s="7" t="s">
        <v>61</v>
      </c>
      <c r="AL1063" s="7" t="s">
        <v>61</v>
      </c>
      <c r="AM1063" s="7" t="s">
        <v>0</v>
      </c>
      <c r="AN1063" s="7" t="s">
        <v>0</v>
      </c>
      <c r="AO1063" s="7" t="s">
        <v>0</v>
      </c>
      <c r="AP1063" s="7" t="s">
        <v>0</v>
      </c>
      <c r="AQ1063" s="7" t="s">
        <v>61</v>
      </c>
      <c r="AR1063" s="7" t="s">
        <v>0</v>
      </c>
      <c r="AS1063" s="10" t="str">
        <f>HYPERLINK("https://tessa.gazprom-neft.local/edo/card/b1d08837-f88c-48a4-b4cc-213d9867602c", "https://tessa.gazprom-neft.local/edo/card/b1d08837-f88c-48a4-b4cc-213d9867602c")</f>
        <v>https://tessa.gazprom-neft.local/edo/card/b1d08837-f88c-48a4-b4cc-213d9867602c</v>
      </c>
    </row>
    <row r="1064" spans="1:45" x14ac:dyDescent="0.25">
      <c r="A1064" s="6" t="s">
        <v>44</v>
      </c>
      <c r="B1064" s="7" t="s">
        <v>2595</v>
      </c>
      <c r="C1064" s="7" t="s">
        <v>67</v>
      </c>
      <c r="D1064" s="8">
        <v>45090</v>
      </c>
      <c r="E1064" s="8" t="s">
        <v>0</v>
      </c>
      <c r="F1064" s="16" t="s">
        <v>2596</v>
      </c>
      <c r="G1064" s="7" t="s">
        <v>2597</v>
      </c>
      <c r="H1064" s="7" t="s">
        <v>2548</v>
      </c>
      <c r="I1064" s="7" t="s">
        <v>0</v>
      </c>
      <c r="J1064" s="7" t="s">
        <v>872</v>
      </c>
      <c r="K1064" s="7" t="s">
        <v>47</v>
      </c>
      <c r="L1064" s="7" t="s">
        <v>48</v>
      </c>
      <c r="M1064" s="7" t="s">
        <v>0</v>
      </c>
      <c r="N1064" s="7" t="s">
        <v>4260</v>
      </c>
      <c r="O1064" s="7" t="s">
        <v>0</v>
      </c>
      <c r="P1064" s="7" t="s">
        <v>4261</v>
      </c>
      <c r="Q1064" s="7" t="s">
        <v>4262</v>
      </c>
      <c r="R1064" s="7" t="s">
        <v>646</v>
      </c>
      <c r="S1064" s="7" t="s">
        <v>1753</v>
      </c>
      <c r="T1064" s="7" t="s">
        <v>54</v>
      </c>
      <c r="U1064" s="7" t="s">
        <v>210</v>
      </c>
      <c r="V1064" s="7" t="s">
        <v>126</v>
      </c>
      <c r="W1064" s="7" t="s">
        <v>74</v>
      </c>
      <c r="X1064" s="7" t="s">
        <v>58</v>
      </c>
      <c r="Y1064" s="8">
        <v>45090</v>
      </c>
      <c r="Z1064" s="8" t="s">
        <v>0</v>
      </c>
      <c r="AA1064" s="7" t="s">
        <v>224</v>
      </c>
      <c r="AB1064" s="7" t="s">
        <v>130</v>
      </c>
      <c r="AC1064" s="7" t="s">
        <v>79</v>
      </c>
      <c r="AD1064" s="7" t="s">
        <v>80</v>
      </c>
      <c r="AE1064" s="7" t="s">
        <v>82</v>
      </c>
      <c r="AF1064" s="7" t="s">
        <v>0</v>
      </c>
      <c r="AG1064" s="7" t="s">
        <v>0</v>
      </c>
      <c r="AH1064" s="9" t="s">
        <v>11983</v>
      </c>
      <c r="AI1064" s="9" t="s">
        <v>11984</v>
      </c>
      <c r="AJ1064" s="9" t="s">
        <v>11985</v>
      </c>
      <c r="AK1064" s="7" t="s">
        <v>61</v>
      </c>
      <c r="AL1064" s="7" t="s">
        <v>61</v>
      </c>
      <c r="AM1064" s="7" t="s">
        <v>0</v>
      </c>
      <c r="AN1064" s="7" t="s">
        <v>0</v>
      </c>
      <c r="AO1064" s="7" t="s">
        <v>0</v>
      </c>
      <c r="AP1064" s="7" t="s">
        <v>0</v>
      </c>
      <c r="AQ1064" s="7" t="s">
        <v>61</v>
      </c>
      <c r="AR1064" s="7" t="s">
        <v>0</v>
      </c>
      <c r="AS1064" s="10" t="str">
        <f>HYPERLINK("https://tessa.gazprom-neft.local/edo/card/e8aaa67d-2b75-4da6-a47a-f8e1a6e7a430", "https://tessa.gazprom-neft.local/edo/card/e8aaa67d-2b75-4da6-a47a-f8e1a6e7a430")</f>
        <v>https://tessa.gazprom-neft.local/edo/card/e8aaa67d-2b75-4da6-a47a-f8e1a6e7a430</v>
      </c>
    </row>
    <row r="1065" spans="1:45" hidden="1" x14ac:dyDescent="0.25">
      <c r="A1065" s="6" t="s">
        <v>44</v>
      </c>
      <c r="B1065" s="7" t="s">
        <v>2595</v>
      </c>
      <c r="C1065" s="7" t="s">
        <v>67</v>
      </c>
      <c r="D1065" s="8">
        <v>45090</v>
      </c>
      <c r="E1065" s="8" t="s">
        <v>0</v>
      </c>
      <c r="F1065" s="16" t="s">
        <v>2596</v>
      </c>
      <c r="G1065" s="7" t="s">
        <v>2597</v>
      </c>
      <c r="H1065" s="7" t="s">
        <v>2548</v>
      </c>
      <c r="I1065" s="7" t="s">
        <v>0</v>
      </c>
      <c r="J1065" s="7" t="s">
        <v>271</v>
      </c>
      <c r="K1065" s="7" t="s">
        <v>47</v>
      </c>
      <c r="L1065" s="7" t="s">
        <v>239</v>
      </c>
      <c r="M1065" s="7" t="s">
        <v>0</v>
      </c>
      <c r="N1065" s="7" t="s">
        <v>4271</v>
      </c>
      <c r="O1065" s="7" t="s">
        <v>0</v>
      </c>
      <c r="P1065" s="7" t="s">
        <v>4272</v>
      </c>
      <c r="Q1065" s="7" t="s">
        <v>4273</v>
      </c>
      <c r="R1065" s="7" t="s">
        <v>646</v>
      </c>
      <c r="S1065" s="7" t="s">
        <v>1753</v>
      </c>
      <c r="T1065" s="7" t="s">
        <v>54</v>
      </c>
      <c r="U1065" s="7" t="s">
        <v>210</v>
      </c>
      <c r="V1065" s="7" t="s">
        <v>864</v>
      </c>
      <c r="W1065" s="7" t="s">
        <v>74</v>
      </c>
      <c r="X1065" s="7" t="s">
        <v>58</v>
      </c>
      <c r="Y1065" s="8">
        <v>45090</v>
      </c>
      <c r="Z1065" s="8" t="s">
        <v>0</v>
      </c>
      <c r="AA1065" s="7" t="s">
        <v>865</v>
      </c>
      <c r="AB1065" s="7" t="s">
        <v>130</v>
      </c>
      <c r="AC1065" s="7" t="s">
        <v>79</v>
      </c>
      <c r="AD1065" s="7" t="s">
        <v>80</v>
      </c>
      <c r="AE1065" s="7" t="s">
        <v>82</v>
      </c>
      <c r="AF1065" s="7" t="s">
        <v>0</v>
      </c>
      <c r="AG1065" s="7" t="s">
        <v>0</v>
      </c>
      <c r="AH1065" s="9" t="s">
        <v>11992</v>
      </c>
      <c r="AI1065" s="9" t="s">
        <v>11993</v>
      </c>
      <c r="AJ1065" s="9" t="s">
        <v>11994</v>
      </c>
      <c r="AK1065" s="7" t="s">
        <v>61</v>
      </c>
      <c r="AL1065" s="7" t="s">
        <v>61</v>
      </c>
      <c r="AM1065" s="7" t="s">
        <v>0</v>
      </c>
      <c r="AN1065" s="7" t="s">
        <v>0</v>
      </c>
      <c r="AO1065" s="7" t="s">
        <v>0</v>
      </c>
      <c r="AP1065" s="7" t="s">
        <v>0</v>
      </c>
      <c r="AQ1065" s="7" t="s">
        <v>61</v>
      </c>
      <c r="AR1065" s="7" t="s">
        <v>0</v>
      </c>
      <c r="AS1065" s="10" t="str">
        <f>HYPERLINK("https://tessa.gazprom-neft.local/edo/card/e851bd14-4707-4e84-a77d-efd81e15235e", "https://tessa.gazprom-neft.local/edo/card/e851bd14-4707-4e84-a77d-efd81e15235e")</f>
        <v>https://tessa.gazprom-neft.local/edo/card/e851bd14-4707-4e84-a77d-efd81e15235e</v>
      </c>
    </row>
    <row r="1066" spans="1:45" x14ac:dyDescent="0.25">
      <c r="A1066" s="6" t="s">
        <v>44</v>
      </c>
      <c r="B1066" s="7" t="s">
        <v>1351</v>
      </c>
      <c r="C1066" s="7" t="s">
        <v>67</v>
      </c>
      <c r="D1066" s="8">
        <v>45090</v>
      </c>
      <c r="E1066" s="8" t="s">
        <v>0</v>
      </c>
      <c r="F1066" s="16" t="s">
        <v>1352</v>
      </c>
      <c r="G1066" s="7" t="s">
        <v>1353</v>
      </c>
      <c r="H1066" s="7" t="s">
        <v>4556</v>
      </c>
      <c r="I1066" s="7" t="s">
        <v>0</v>
      </c>
      <c r="J1066" s="7" t="s">
        <v>355</v>
      </c>
      <c r="K1066" s="7" t="s">
        <v>47</v>
      </c>
      <c r="L1066" s="7" t="s">
        <v>48</v>
      </c>
      <c r="M1066" s="7" t="s">
        <v>0</v>
      </c>
      <c r="N1066" s="7" t="s">
        <v>4555</v>
      </c>
      <c r="O1066" s="7" t="s">
        <v>0</v>
      </c>
      <c r="P1066" s="7" t="s">
        <v>4557</v>
      </c>
      <c r="Q1066" s="7" t="s">
        <v>4558</v>
      </c>
      <c r="R1066" s="7" t="s">
        <v>198</v>
      </c>
      <c r="S1066" s="7" t="s">
        <v>198</v>
      </c>
      <c r="T1066" s="7" t="s">
        <v>54</v>
      </c>
      <c r="U1066" s="7" t="s">
        <v>199</v>
      </c>
      <c r="V1066" s="7" t="s">
        <v>126</v>
      </c>
      <c r="W1066" s="7" t="s">
        <v>74</v>
      </c>
      <c r="X1066" s="7" t="s">
        <v>103</v>
      </c>
      <c r="Y1066" s="8">
        <v>44015</v>
      </c>
      <c r="Z1066" s="8">
        <v>45657</v>
      </c>
      <c r="AA1066" s="7" t="s">
        <v>224</v>
      </c>
      <c r="AB1066" s="7" t="s">
        <v>64</v>
      </c>
      <c r="AC1066" s="7" t="s">
        <v>79</v>
      </c>
      <c r="AD1066" s="7" t="s">
        <v>514</v>
      </c>
      <c r="AE1066" s="7" t="s">
        <v>82</v>
      </c>
      <c r="AF1066" s="7" t="s">
        <v>0</v>
      </c>
      <c r="AG1066" s="7" t="s">
        <v>0</v>
      </c>
      <c r="AH1066" s="9" t="s">
        <v>12114</v>
      </c>
      <c r="AI1066" s="9" t="s">
        <v>12115</v>
      </c>
      <c r="AJ1066" s="9" t="s">
        <v>12116</v>
      </c>
      <c r="AK1066" s="7" t="s">
        <v>61</v>
      </c>
      <c r="AL1066" s="7" t="s">
        <v>61</v>
      </c>
      <c r="AM1066" s="7" t="s">
        <v>0</v>
      </c>
      <c r="AN1066" s="7" t="s">
        <v>0</v>
      </c>
      <c r="AO1066" s="7" t="s">
        <v>0</v>
      </c>
      <c r="AP1066" s="7" t="s">
        <v>0</v>
      </c>
      <c r="AQ1066" s="7" t="s">
        <v>61</v>
      </c>
      <c r="AR1066" s="7" t="s">
        <v>0</v>
      </c>
      <c r="AS1066" s="10" t="str">
        <f>HYPERLINK("https://tessa.gazprom-neft.local/edo/card/1f3a590e-eb65-4d6f-830a-7d16c58640b7", "https://tessa.gazprom-neft.local/edo/card/1f3a590e-eb65-4d6f-830a-7d16c58640b7")</f>
        <v>https://tessa.gazprom-neft.local/edo/card/1f3a590e-eb65-4d6f-830a-7d16c58640b7</v>
      </c>
    </row>
    <row r="1067" spans="1:45" hidden="1" x14ac:dyDescent="0.25">
      <c r="A1067" s="6" t="s">
        <v>44</v>
      </c>
      <c r="B1067" s="7" t="s">
        <v>395</v>
      </c>
      <c r="C1067" s="7" t="s">
        <v>67</v>
      </c>
      <c r="D1067" s="8">
        <v>45083</v>
      </c>
      <c r="E1067" s="8" t="s">
        <v>0</v>
      </c>
      <c r="F1067" s="16" t="s">
        <v>396</v>
      </c>
      <c r="G1067" s="7" t="s">
        <v>397</v>
      </c>
      <c r="H1067" s="7" t="s">
        <v>390</v>
      </c>
      <c r="I1067" s="7" t="s">
        <v>0</v>
      </c>
      <c r="J1067" s="7" t="s">
        <v>4134</v>
      </c>
      <c r="K1067" s="7" t="s">
        <v>47</v>
      </c>
      <c r="L1067" s="7" t="s">
        <v>239</v>
      </c>
      <c r="M1067" s="7" t="s">
        <v>0</v>
      </c>
      <c r="N1067" s="7" t="s">
        <v>4132</v>
      </c>
      <c r="O1067" s="7" t="s">
        <v>0</v>
      </c>
      <c r="P1067" s="7" t="s">
        <v>4133</v>
      </c>
      <c r="Q1067" s="7" t="s">
        <v>4135</v>
      </c>
      <c r="R1067" s="7" t="s">
        <v>393</v>
      </c>
      <c r="S1067" s="7" t="s">
        <v>590</v>
      </c>
      <c r="T1067" s="7" t="s">
        <v>54</v>
      </c>
      <c r="U1067" s="7" t="s">
        <v>591</v>
      </c>
      <c r="V1067" s="7" t="s">
        <v>126</v>
      </c>
      <c r="W1067" s="7" t="s">
        <v>74</v>
      </c>
      <c r="X1067" s="7" t="s">
        <v>58</v>
      </c>
      <c r="Y1067" s="8">
        <v>45083</v>
      </c>
      <c r="Z1067" s="8" t="s">
        <v>0</v>
      </c>
      <c r="AA1067" s="7" t="s">
        <v>224</v>
      </c>
      <c r="AB1067" s="7" t="s">
        <v>387</v>
      </c>
      <c r="AC1067" s="7" t="s">
        <v>79</v>
      </c>
      <c r="AD1067" s="7" t="s">
        <v>80</v>
      </c>
      <c r="AE1067" s="7" t="s">
        <v>82</v>
      </c>
      <c r="AF1067" s="7" t="s">
        <v>0</v>
      </c>
      <c r="AG1067" s="7" t="s">
        <v>0</v>
      </c>
      <c r="AH1067" s="9" t="s">
        <v>11945</v>
      </c>
      <c r="AI1067" s="9" t="s">
        <v>11946</v>
      </c>
      <c r="AJ1067" s="9" t="s">
        <v>11947</v>
      </c>
      <c r="AK1067" s="7" t="s">
        <v>61</v>
      </c>
      <c r="AL1067" s="7" t="s">
        <v>61</v>
      </c>
      <c r="AM1067" s="7" t="s">
        <v>0</v>
      </c>
      <c r="AN1067" s="7" t="s">
        <v>0</v>
      </c>
      <c r="AO1067" s="7" t="s">
        <v>0</v>
      </c>
      <c r="AP1067" s="7" t="s">
        <v>0</v>
      </c>
      <c r="AQ1067" s="7" t="s">
        <v>61</v>
      </c>
      <c r="AR1067" s="7" t="s">
        <v>0</v>
      </c>
      <c r="AS1067" s="10" t="str">
        <f>HYPERLINK("https://tessa.gazprom-neft.local/edo/card/f12b47e2-9184-4a6a-9a11-21a5bd4cefe6", "https://tessa.gazprom-neft.local/edo/card/f12b47e2-9184-4a6a-9a11-21a5bd4cefe6")</f>
        <v>https://tessa.gazprom-neft.local/edo/card/f12b47e2-9184-4a6a-9a11-21a5bd4cefe6</v>
      </c>
    </row>
    <row r="1068" spans="1:45" x14ac:dyDescent="0.25">
      <c r="A1068" s="6" t="s">
        <v>44</v>
      </c>
      <c r="B1068" s="7" t="s">
        <v>3172</v>
      </c>
      <c r="C1068" s="7" t="s">
        <v>67</v>
      </c>
      <c r="D1068" s="8">
        <v>45079</v>
      </c>
      <c r="E1068" s="8" t="s">
        <v>0</v>
      </c>
      <c r="F1068" s="16" t="s">
        <v>3173</v>
      </c>
      <c r="G1068" s="7" t="s">
        <v>3174</v>
      </c>
      <c r="H1068" s="7" t="s">
        <v>4123</v>
      </c>
      <c r="I1068" s="7" t="s">
        <v>0</v>
      </c>
      <c r="J1068" s="7" t="s">
        <v>4124</v>
      </c>
      <c r="K1068" s="7" t="s">
        <v>85</v>
      </c>
      <c r="L1068" s="7" t="s">
        <v>48</v>
      </c>
      <c r="M1068" s="7" t="s">
        <v>2128</v>
      </c>
      <c r="N1068" s="7" t="s">
        <v>4122</v>
      </c>
      <c r="O1068" s="7" t="s">
        <v>0</v>
      </c>
      <c r="P1068" s="7" t="s">
        <v>2128</v>
      </c>
      <c r="Q1068" s="7" t="s">
        <v>4125</v>
      </c>
      <c r="R1068" s="7" t="s">
        <v>590</v>
      </c>
      <c r="S1068" s="7" t="s">
        <v>394</v>
      </c>
      <c r="T1068" s="7" t="s">
        <v>54</v>
      </c>
      <c r="U1068" s="7" t="s">
        <v>591</v>
      </c>
      <c r="V1068" s="7" t="s">
        <v>126</v>
      </c>
      <c r="W1068" s="7" t="s">
        <v>57</v>
      </c>
      <c r="X1068" s="7" t="s">
        <v>58</v>
      </c>
      <c r="Y1068" s="8">
        <v>45079</v>
      </c>
      <c r="Z1068" s="8" t="s">
        <v>0</v>
      </c>
      <c r="AA1068" s="7" t="s">
        <v>224</v>
      </c>
      <c r="AB1068" s="7" t="s">
        <v>387</v>
      </c>
      <c r="AC1068" s="7" t="s">
        <v>65</v>
      </c>
      <c r="AD1068" s="7" t="s">
        <v>0</v>
      </c>
      <c r="AE1068" s="7" t="s">
        <v>0</v>
      </c>
      <c r="AF1068" s="7" t="s">
        <v>0</v>
      </c>
      <c r="AG1068" s="7" t="s">
        <v>0</v>
      </c>
      <c r="AH1068" s="9" t="s">
        <v>0</v>
      </c>
      <c r="AI1068" s="9" t="s">
        <v>0</v>
      </c>
      <c r="AJ1068" s="9" t="s">
        <v>0</v>
      </c>
      <c r="AK1068" s="7" t="s">
        <v>61</v>
      </c>
      <c r="AL1068" s="7" t="s">
        <v>61</v>
      </c>
      <c r="AM1068" s="7" t="s">
        <v>0</v>
      </c>
      <c r="AN1068" s="7" t="s">
        <v>0</v>
      </c>
      <c r="AO1068" s="7" t="s">
        <v>0</v>
      </c>
      <c r="AP1068" s="7" t="s">
        <v>0</v>
      </c>
      <c r="AQ1068" s="7" t="s">
        <v>61</v>
      </c>
      <c r="AR1068" s="7" t="s">
        <v>0</v>
      </c>
      <c r="AS1068" s="10" t="str">
        <f>HYPERLINK("https://tessa.gazprom-neft.local/edo/card/6aa1b8cd-eda9-4ae9-bc01-a31f9b5a041c", "https://tessa.gazprom-neft.local/edo/card/6aa1b8cd-eda9-4ae9-bc01-a31f9b5a041c")</f>
        <v>https://tessa.gazprom-neft.local/edo/card/6aa1b8cd-eda9-4ae9-bc01-a31f9b5a041c</v>
      </c>
    </row>
    <row r="1069" spans="1:45" hidden="1" x14ac:dyDescent="0.25">
      <c r="A1069" s="6" t="s">
        <v>44</v>
      </c>
      <c r="B1069" s="7" t="s">
        <v>592</v>
      </c>
      <c r="C1069" s="7" t="s">
        <v>67</v>
      </c>
      <c r="D1069" s="8">
        <v>45079</v>
      </c>
      <c r="E1069" s="8" t="s">
        <v>0</v>
      </c>
      <c r="F1069" s="16" t="s">
        <v>593</v>
      </c>
      <c r="G1069" s="7" t="s">
        <v>594</v>
      </c>
      <c r="H1069" s="7" t="s">
        <v>953</v>
      </c>
      <c r="I1069" s="7" t="s">
        <v>0</v>
      </c>
      <c r="J1069" s="7" t="s">
        <v>156</v>
      </c>
      <c r="K1069" s="7" t="s">
        <v>47</v>
      </c>
      <c r="L1069" s="7" t="s">
        <v>239</v>
      </c>
      <c r="M1069" s="7" t="s">
        <v>0</v>
      </c>
      <c r="N1069" s="7" t="s">
        <v>4208</v>
      </c>
      <c r="O1069" s="7" t="s">
        <v>0</v>
      </c>
      <c r="P1069" s="7" t="s">
        <v>4209</v>
      </c>
      <c r="Q1069" s="7" t="s">
        <v>4210</v>
      </c>
      <c r="R1069" s="7" t="s">
        <v>590</v>
      </c>
      <c r="S1069" s="7" t="s">
        <v>394</v>
      </c>
      <c r="T1069" s="7" t="s">
        <v>54</v>
      </c>
      <c r="U1069" s="7" t="s">
        <v>591</v>
      </c>
      <c r="V1069" s="7" t="s">
        <v>126</v>
      </c>
      <c r="W1069" s="7" t="s">
        <v>74</v>
      </c>
      <c r="X1069" s="7" t="s">
        <v>58</v>
      </c>
      <c r="Y1069" s="8">
        <v>44848</v>
      </c>
      <c r="Z1069" s="8" t="s">
        <v>0</v>
      </c>
      <c r="AA1069" s="7" t="s">
        <v>224</v>
      </c>
      <c r="AB1069" s="7" t="s">
        <v>387</v>
      </c>
      <c r="AC1069" s="7" t="s">
        <v>79</v>
      </c>
      <c r="AD1069" s="7" t="s">
        <v>144</v>
      </c>
      <c r="AE1069" s="7" t="s">
        <v>82</v>
      </c>
      <c r="AF1069" s="7" t="s">
        <v>0</v>
      </c>
      <c r="AG1069" s="7" t="s">
        <v>0</v>
      </c>
      <c r="AH1069" s="9" t="s">
        <v>11968</v>
      </c>
      <c r="AI1069" s="9" t="s">
        <v>11969</v>
      </c>
      <c r="AJ1069" s="9" t="s">
        <v>11970</v>
      </c>
      <c r="AK1069" s="7" t="s">
        <v>61</v>
      </c>
      <c r="AL1069" s="7" t="s">
        <v>61</v>
      </c>
      <c r="AM1069" s="7" t="s">
        <v>0</v>
      </c>
      <c r="AN1069" s="7" t="s">
        <v>0</v>
      </c>
      <c r="AO1069" s="7" t="s">
        <v>0</v>
      </c>
      <c r="AP1069" s="7" t="s">
        <v>0</v>
      </c>
      <c r="AQ1069" s="7" t="s">
        <v>61</v>
      </c>
      <c r="AR1069" s="7" t="s">
        <v>0</v>
      </c>
      <c r="AS1069" s="10" t="str">
        <f>HYPERLINK("https://tessa.gazprom-neft.local/edo/card/1d07f6ad-1f2d-48f2-908d-1271018024d4", "https://tessa.gazprom-neft.local/edo/card/1d07f6ad-1f2d-48f2-908d-1271018024d4")</f>
        <v>https://tessa.gazprom-neft.local/edo/card/1d07f6ad-1f2d-48f2-908d-1271018024d4</v>
      </c>
    </row>
    <row r="1070" spans="1:45" hidden="1" x14ac:dyDescent="0.25">
      <c r="A1070" s="6" t="s">
        <v>44</v>
      </c>
      <c r="B1070" s="7" t="s">
        <v>1328</v>
      </c>
      <c r="C1070" s="7" t="s">
        <v>67</v>
      </c>
      <c r="D1070" s="8">
        <v>45078</v>
      </c>
      <c r="E1070" s="8" t="s">
        <v>0</v>
      </c>
      <c r="F1070" s="16" t="s">
        <v>1329</v>
      </c>
      <c r="G1070" s="7" t="s">
        <v>1330</v>
      </c>
      <c r="H1070" s="7" t="s">
        <v>0</v>
      </c>
      <c r="I1070" s="7" t="s">
        <v>3640</v>
      </c>
      <c r="J1070" s="7" t="s">
        <v>3640</v>
      </c>
      <c r="K1070" s="7" t="s">
        <v>47</v>
      </c>
      <c r="L1070" s="7" t="s">
        <v>96</v>
      </c>
      <c r="M1070" s="7" t="s">
        <v>0</v>
      </c>
      <c r="N1070" s="7" t="s">
        <v>3639</v>
      </c>
      <c r="O1070" s="7" t="s">
        <v>0</v>
      </c>
      <c r="P1070" s="7" t="s">
        <v>3641</v>
      </c>
      <c r="Q1070" s="7" t="s">
        <v>3642</v>
      </c>
      <c r="R1070" s="7" t="s">
        <v>393</v>
      </c>
      <c r="S1070" s="7" t="s">
        <v>166</v>
      </c>
      <c r="T1070" s="7" t="s">
        <v>54</v>
      </c>
      <c r="U1070" s="7" t="s">
        <v>283</v>
      </c>
      <c r="V1070" s="7" t="s">
        <v>308</v>
      </c>
      <c r="W1070" s="7" t="s">
        <v>57</v>
      </c>
      <c r="X1070" s="7" t="s">
        <v>103</v>
      </c>
      <c r="Y1070" s="8">
        <v>45078</v>
      </c>
      <c r="Z1070" s="8">
        <v>46387</v>
      </c>
      <c r="AA1070" s="7" t="s">
        <v>309</v>
      </c>
      <c r="AB1070" s="7" t="s">
        <v>130</v>
      </c>
      <c r="AC1070" s="7" t="s">
        <v>79</v>
      </c>
      <c r="AD1070" s="7" t="s">
        <v>80</v>
      </c>
      <c r="AE1070" s="7" t="s">
        <v>82</v>
      </c>
      <c r="AF1070" s="7" t="s">
        <v>0</v>
      </c>
      <c r="AG1070" s="7" t="s">
        <v>0</v>
      </c>
      <c r="AH1070" s="9" t="s">
        <v>11754</v>
      </c>
      <c r="AI1070" s="9" t="s">
        <v>11755</v>
      </c>
      <c r="AJ1070" s="9" t="s">
        <v>11756</v>
      </c>
      <c r="AK1070" s="7" t="s">
        <v>61</v>
      </c>
      <c r="AL1070" s="7" t="s">
        <v>61</v>
      </c>
      <c r="AM1070" s="7" t="s">
        <v>0</v>
      </c>
      <c r="AN1070" s="7" t="s">
        <v>0</v>
      </c>
      <c r="AO1070" s="7" t="s">
        <v>0</v>
      </c>
      <c r="AP1070" s="7" t="s">
        <v>0</v>
      </c>
      <c r="AQ1070" s="7" t="s">
        <v>61</v>
      </c>
      <c r="AR1070" s="7" t="s">
        <v>0</v>
      </c>
      <c r="AS1070" s="10" t="str">
        <f>HYPERLINK("https://tessa.gazprom-neft.local/edo/card/77070975-6d36-4540-9dff-e978eab94dd5", "https://tessa.gazprom-neft.local/edo/card/77070975-6d36-4540-9dff-e978eab94dd5")</f>
        <v>https://tessa.gazprom-neft.local/edo/card/77070975-6d36-4540-9dff-e978eab94dd5</v>
      </c>
    </row>
    <row r="1071" spans="1:45" hidden="1" x14ac:dyDescent="0.25">
      <c r="A1071" s="6" t="s">
        <v>44</v>
      </c>
      <c r="B1071" s="7" t="s">
        <v>3663</v>
      </c>
      <c r="C1071" s="7" t="s">
        <v>67</v>
      </c>
      <c r="D1071" s="8">
        <v>45078</v>
      </c>
      <c r="E1071" s="8" t="s">
        <v>0</v>
      </c>
      <c r="F1071" s="16" t="s">
        <v>3664</v>
      </c>
      <c r="G1071" s="7" t="s">
        <v>3665</v>
      </c>
      <c r="H1071" s="7" t="s">
        <v>0</v>
      </c>
      <c r="I1071" s="7" t="s">
        <v>3660</v>
      </c>
      <c r="J1071" s="7" t="s">
        <v>3660</v>
      </c>
      <c r="K1071" s="7" t="s">
        <v>47</v>
      </c>
      <c r="L1071" s="7" t="s">
        <v>86</v>
      </c>
      <c r="M1071" s="7" t="s">
        <v>0</v>
      </c>
      <c r="N1071" s="7" t="s">
        <v>3659</v>
      </c>
      <c r="O1071" s="7" t="s">
        <v>0</v>
      </c>
      <c r="P1071" s="7" t="s">
        <v>3661</v>
      </c>
      <c r="Q1071" s="7" t="s">
        <v>3662</v>
      </c>
      <c r="R1071" s="7" t="s">
        <v>1199</v>
      </c>
      <c r="S1071" s="7" t="s">
        <v>1199</v>
      </c>
      <c r="T1071" s="7" t="s">
        <v>54</v>
      </c>
      <c r="U1071" s="7" t="s">
        <v>605</v>
      </c>
      <c r="V1071" s="7" t="s">
        <v>382</v>
      </c>
      <c r="W1071" s="7" t="s">
        <v>57</v>
      </c>
      <c r="X1071" s="7" t="s">
        <v>103</v>
      </c>
      <c r="Y1071" s="8">
        <v>45078</v>
      </c>
      <c r="Z1071" s="8">
        <v>45412</v>
      </c>
      <c r="AA1071" s="7" t="s">
        <v>383</v>
      </c>
      <c r="AB1071" s="7" t="s">
        <v>3666</v>
      </c>
      <c r="AC1071" s="7" t="s">
        <v>79</v>
      </c>
      <c r="AD1071" s="7" t="s">
        <v>80</v>
      </c>
      <c r="AE1071" s="7" t="s">
        <v>193</v>
      </c>
      <c r="AF1071" s="7" t="s">
        <v>0</v>
      </c>
      <c r="AG1071" s="7" t="s">
        <v>0</v>
      </c>
      <c r="AH1071" s="9" t="s">
        <v>11769</v>
      </c>
      <c r="AI1071" s="9" t="s">
        <v>11770</v>
      </c>
      <c r="AJ1071" s="9" t="s">
        <v>11771</v>
      </c>
      <c r="AK1071" s="7" t="s">
        <v>61</v>
      </c>
      <c r="AL1071" s="7" t="s">
        <v>61</v>
      </c>
      <c r="AM1071" s="7" t="s">
        <v>0</v>
      </c>
      <c r="AN1071" s="7" t="s">
        <v>0</v>
      </c>
      <c r="AO1071" s="7" t="s">
        <v>0</v>
      </c>
      <c r="AP1071" s="7" t="s">
        <v>0</v>
      </c>
      <c r="AQ1071" s="7" t="s">
        <v>61</v>
      </c>
      <c r="AR1071" s="7" t="s">
        <v>0</v>
      </c>
      <c r="AS1071" s="10" t="str">
        <f>HYPERLINK("https://tessa.gazprom-neft.local/edo/card/9b239fc6-decf-452b-bc57-46b05b1c3fab", "https://tessa.gazprom-neft.local/edo/card/9b239fc6-decf-452b-bc57-46b05b1c3fab")</f>
        <v>https://tessa.gazprom-neft.local/edo/card/9b239fc6-decf-452b-bc57-46b05b1c3fab</v>
      </c>
    </row>
    <row r="1072" spans="1:45" hidden="1" x14ac:dyDescent="0.25">
      <c r="A1072" s="6" t="s">
        <v>44</v>
      </c>
      <c r="B1072" s="7" t="s">
        <v>0</v>
      </c>
      <c r="C1072" s="7" t="s">
        <v>67</v>
      </c>
      <c r="D1072" s="8">
        <v>45078</v>
      </c>
      <c r="E1072" s="8" t="s">
        <v>0</v>
      </c>
      <c r="F1072" s="16" t="s">
        <v>3873</v>
      </c>
      <c r="G1072" s="7" t="s">
        <v>0</v>
      </c>
      <c r="H1072" s="7" t="s">
        <v>0</v>
      </c>
      <c r="I1072" s="7" t="s">
        <v>2176</v>
      </c>
      <c r="J1072" s="7" t="s">
        <v>2176</v>
      </c>
      <c r="K1072" s="7" t="s">
        <v>47</v>
      </c>
      <c r="L1072" s="7" t="s">
        <v>96</v>
      </c>
      <c r="M1072" s="7" t="s">
        <v>0</v>
      </c>
      <c r="N1072" s="7" t="s">
        <v>3870</v>
      </c>
      <c r="O1072" s="7" t="s">
        <v>0</v>
      </c>
      <c r="P1072" s="7" t="s">
        <v>3871</v>
      </c>
      <c r="Q1072" s="7" t="s">
        <v>3872</v>
      </c>
      <c r="R1072" s="7" t="s">
        <v>646</v>
      </c>
      <c r="S1072" s="7" t="s">
        <v>2178</v>
      </c>
      <c r="T1072" s="7" t="s">
        <v>54</v>
      </c>
      <c r="U1072" s="7" t="s">
        <v>605</v>
      </c>
      <c r="V1072" s="7" t="s">
        <v>126</v>
      </c>
      <c r="W1072" s="7" t="s">
        <v>57</v>
      </c>
      <c r="X1072" s="7" t="s">
        <v>103</v>
      </c>
      <c r="Y1072" s="8">
        <v>45078</v>
      </c>
      <c r="Z1072" s="8">
        <v>46022</v>
      </c>
      <c r="AA1072" s="7" t="s">
        <v>224</v>
      </c>
      <c r="AB1072" s="7" t="s">
        <v>130</v>
      </c>
      <c r="AC1072" s="7" t="s">
        <v>79</v>
      </c>
      <c r="AD1072" s="7" t="s">
        <v>144</v>
      </c>
      <c r="AE1072" s="7" t="s">
        <v>82</v>
      </c>
      <c r="AF1072" s="7" t="s">
        <v>0</v>
      </c>
      <c r="AG1072" s="7" t="s">
        <v>0</v>
      </c>
      <c r="AH1072" s="9" t="s">
        <v>11847</v>
      </c>
      <c r="AI1072" s="9" t="s">
        <v>11848</v>
      </c>
      <c r="AJ1072" s="9" t="s">
        <v>11849</v>
      </c>
      <c r="AK1072" s="7" t="s">
        <v>61</v>
      </c>
      <c r="AL1072" s="7" t="s">
        <v>61</v>
      </c>
      <c r="AM1072" s="7" t="s">
        <v>0</v>
      </c>
      <c r="AN1072" s="7" t="s">
        <v>0</v>
      </c>
      <c r="AO1072" s="7" t="s">
        <v>0</v>
      </c>
      <c r="AP1072" s="7" t="s">
        <v>0</v>
      </c>
      <c r="AQ1072" s="7" t="s">
        <v>61</v>
      </c>
      <c r="AR1072" s="7" t="s">
        <v>0</v>
      </c>
      <c r="AS1072" s="10" t="str">
        <f>HYPERLINK("https://tessa.gazprom-neft.local/edo/card/44946a13-7a27-4244-aa78-39c2a19cbc00", "https://tessa.gazprom-neft.local/edo/card/44946a13-7a27-4244-aa78-39c2a19cbc00")</f>
        <v>https://tessa.gazprom-neft.local/edo/card/44946a13-7a27-4244-aa78-39c2a19cbc00</v>
      </c>
    </row>
    <row r="1073" spans="1:45" x14ac:dyDescent="0.25">
      <c r="A1073" s="6" t="s">
        <v>44</v>
      </c>
      <c r="B1073" s="7" t="s">
        <v>2495</v>
      </c>
      <c r="C1073" s="7" t="s">
        <v>67</v>
      </c>
      <c r="D1073" s="8">
        <v>45078</v>
      </c>
      <c r="E1073" s="8" t="s">
        <v>0</v>
      </c>
      <c r="F1073" s="16" t="s">
        <v>2496</v>
      </c>
      <c r="G1073" s="7" t="s">
        <v>2497</v>
      </c>
      <c r="H1073" s="7" t="s">
        <v>2856</v>
      </c>
      <c r="I1073" s="7" t="s">
        <v>0</v>
      </c>
      <c r="J1073" s="7" t="s">
        <v>271</v>
      </c>
      <c r="K1073" s="7" t="s">
        <v>47</v>
      </c>
      <c r="L1073" s="7" t="s">
        <v>48</v>
      </c>
      <c r="M1073" s="7" t="s">
        <v>0</v>
      </c>
      <c r="N1073" s="7" t="s">
        <v>3906</v>
      </c>
      <c r="O1073" s="7" t="s">
        <v>0</v>
      </c>
      <c r="P1073" s="7" t="s">
        <v>3907</v>
      </c>
      <c r="Q1073" s="7" t="s">
        <v>3908</v>
      </c>
      <c r="R1073" s="7" t="s">
        <v>393</v>
      </c>
      <c r="S1073" s="7" t="s">
        <v>0</v>
      </c>
      <c r="T1073" s="7" t="s">
        <v>54</v>
      </c>
      <c r="U1073" s="7" t="s">
        <v>210</v>
      </c>
      <c r="V1073" s="7" t="s">
        <v>126</v>
      </c>
      <c r="W1073" s="7" t="s">
        <v>57</v>
      </c>
      <c r="X1073" s="7" t="s">
        <v>58</v>
      </c>
      <c r="Y1073" s="8">
        <v>45078</v>
      </c>
      <c r="Z1073" s="8" t="s">
        <v>0</v>
      </c>
      <c r="AA1073" s="7" t="s">
        <v>224</v>
      </c>
      <c r="AB1073" s="7" t="s">
        <v>130</v>
      </c>
      <c r="AC1073" s="7" t="s">
        <v>65</v>
      </c>
      <c r="AD1073" s="7" t="s">
        <v>80</v>
      </c>
      <c r="AE1073" s="7" t="s">
        <v>0</v>
      </c>
      <c r="AF1073" s="7" t="s">
        <v>0</v>
      </c>
      <c r="AG1073" s="7" t="s">
        <v>0</v>
      </c>
      <c r="AH1073" s="9" t="s">
        <v>0</v>
      </c>
      <c r="AI1073" s="9" t="s">
        <v>0</v>
      </c>
      <c r="AJ1073" s="9" t="s">
        <v>0</v>
      </c>
      <c r="AK1073" s="7" t="s">
        <v>61</v>
      </c>
      <c r="AL1073" s="7" t="s">
        <v>61</v>
      </c>
      <c r="AM1073" s="7" t="s">
        <v>0</v>
      </c>
      <c r="AN1073" s="7" t="s">
        <v>0</v>
      </c>
      <c r="AO1073" s="7" t="s">
        <v>0</v>
      </c>
      <c r="AP1073" s="7" t="s">
        <v>0</v>
      </c>
      <c r="AQ1073" s="7" t="s">
        <v>61</v>
      </c>
      <c r="AR1073" s="7" t="s">
        <v>0</v>
      </c>
      <c r="AS1073" s="10" t="str">
        <f>HYPERLINK("https://tessa.gazprom-neft.local/edo/card/46aefc50-7f4e-4b27-b036-22d7a9cb62fc", "https://tessa.gazprom-neft.local/edo/card/46aefc50-7f4e-4b27-b036-22d7a9cb62fc")</f>
        <v>https://tessa.gazprom-neft.local/edo/card/46aefc50-7f4e-4b27-b036-22d7a9cb62fc</v>
      </c>
    </row>
    <row r="1074" spans="1:45" x14ac:dyDescent="0.25">
      <c r="A1074" s="6" t="s">
        <v>44</v>
      </c>
      <c r="B1074" s="7" t="s">
        <v>2495</v>
      </c>
      <c r="C1074" s="7" t="s">
        <v>67</v>
      </c>
      <c r="D1074" s="8">
        <v>45078</v>
      </c>
      <c r="E1074" s="8" t="s">
        <v>0</v>
      </c>
      <c r="F1074" s="16" t="s">
        <v>2496</v>
      </c>
      <c r="G1074" s="7" t="s">
        <v>2497</v>
      </c>
      <c r="H1074" s="7" t="s">
        <v>3129</v>
      </c>
      <c r="I1074" s="7" t="s">
        <v>0</v>
      </c>
      <c r="J1074" s="7" t="s">
        <v>271</v>
      </c>
      <c r="K1074" s="7" t="s">
        <v>47</v>
      </c>
      <c r="L1074" s="7" t="s">
        <v>48</v>
      </c>
      <c r="M1074" s="7" t="s">
        <v>0</v>
      </c>
      <c r="N1074" s="7" t="s">
        <v>3917</v>
      </c>
      <c r="O1074" s="7" t="s">
        <v>0</v>
      </c>
      <c r="P1074" s="7" t="s">
        <v>3918</v>
      </c>
      <c r="Q1074" s="7" t="s">
        <v>3919</v>
      </c>
      <c r="R1074" s="7" t="s">
        <v>393</v>
      </c>
      <c r="S1074" s="7" t="s">
        <v>0</v>
      </c>
      <c r="T1074" s="7" t="s">
        <v>54</v>
      </c>
      <c r="U1074" s="7" t="s">
        <v>210</v>
      </c>
      <c r="V1074" s="7" t="s">
        <v>126</v>
      </c>
      <c r="W1074" s="7" t="s">
        <v>57</v>
      </c>
      <c r="X1074" s="7" t="s">
        <v>58</v>
      </c>
      <c r="Y1074" s="8">
        <v>45078</v>
      </c>
      <c r="Z1074" s="8" t="s">
        <v>0</v>
      </c>
      <c r="AA1074" s="7" t="s">
        <v>224</v>
      </c>
      <c r="AB1074" s="7" t="s">
        <v>130</v>
      </c>
      <c r="AC1074" s="7" t="s">
        <v>65</v>
      </c>
      <c r="AD1074" s="7" t="s">
        <v>80</v>
      </c>
      <c r="AE1074" s="7" t="s">
        <v>0</v>
      </c>
      <c r="AF1074" s="7" t="s">
        <v>0</v>
      </c>
      <c r="AG1074" s="7" t="s">
        <v>0</v>
      </c>
      <c r="AH1074" s="9" t="s">
        <v>0</v>
      </c>
      <c r="AI1074" s="9" t="s">
        <v>0</v>
      </c>
      <c r="AJ1074" s="9" t="s">
        <v>0</v>
      </c>
      <c r="AK1074" s="7" t="s">
        <v>61</v>
      </c>
      <c r="AL1074" s="7" t="s">
        <v>61</v>
      </c>
      <c r="AM1074" s="7" t="s">
        <v>0</v>
      </c>
      <c r="AN1074" s="7" t="s">
        <v>0</v>
      </c>
      <c r="AO1074" s="7" t="s">
        <v>0</v>
      </c>
      <c r="AP1074" s="7" t="s">
        <v>0</v>
      </c>
      <c r="AQ1074" s="7" t="s">
        <v>61</v>
      </c>
      <c r="AR1074" s="7" t="s">
        <v>0</v>
      </c>
      <c r="AS1074" s="10" t="str">
        <f>HYPERLINK("https://tessa.gazprom-neft.local/edo/card/82e370ad-d319-48eb-81de-7732fefefb76", "https://tessa.gazprom-neft.local/edo/card/82e370ad-d319-48eb-81de-7732fefefb76")</f>
        <v>https://tessa.gazprom-neft.local/edo/card/82e370ad-d319-48eb-81de-7732fefefb76</v>
      </c>
    </row>
    <row r="1075" spans="1:45" hidden="1" x14ac:dyDescent="0.25">
      <c r="A1075" s="6" t="s">
        <v>44</v>
      </c>
      <c r="B1075" s="7" t="s">
        <v>1240</v>
      </c>
      <c r="C1075" s="7" t="s">
        <v>67</v>
      </c>
      <c r="D1075" s="8">
        <v>45078</v>
      </c>
      <c r="E1075" s="8" t="s">
        <v>0</v>
      </c>
      <c r="F1075" s="16" t="s">
        <v>1241</v>
      </c>
      <c r="G1075" s="7" t="s">
        <v>1242</v>
      </c>
      <c r="H1075" s="7" t="s">
        <v>0</v>
      </c>
      <c r="I1075" s="7" t="s">
        <v>2042</v>
      </c>
      <c r="J1075" s="7" t="s">
        <v>2042</v>
      </c>
      <c r="K1075" s="7" t="s">
        <v>47</v>
      </c>
      <c r="L1075" s="7" t="s">
        <v>96</v>
      </c>
      <c r="M1075" s="7" t="s">
        <v>0</v>
      </c>
      <c r="N1075" s="7" t="s">
        <v>3964</v>
      </c>
      <c r="O1075" s="7" t="s">
        <v>0</v>
      </c>
      <c r="P1075" s="7" t="s">
        <v>3965</v>
      </c>
      <c r="Q1075" s="7" t="s">
        <v>3966</v>
      </c>
      <c r="R1075" s="7" t="s">
        <v>220</v>
      </c>
      <c r="S1075" s="7" t="s">
        <v>1261</v>
      </c>
      <c r="T1075" s="7" t="s">
        <v>54</v>
      </c>
      <c r="U1075" s="7" t="s">
        <v>222</v>
      </c>
      <c r="V1075" s="7" t="s">
        <v>864</v>
      </c>
      <c r="W1075" s="7" t="s">
        <v>74</v>
      </c>
      <c r="X1075" s="7" t="s">
        <v>58</v>
      </c>
      <c r="Y1075" s="8">
        <v>45078</v>
      </c>
      <c r="Z1075" s="8" t="s">
        <v>0</v>
      </c>
      <c r="AA1075" s="7" t="s">
        <v>865</v>
      </c>
      <c r="AB1075" s="7" t="s">
        <v>1354</v>
      </c>
      <c r="AC1075" s="7" t="s">
        <v>278</v>
      </c>
      <c r="AD1075" s="7" t="s">
        <v>80</v>
      </c>
      <c r="AE1075" s="7" t="s">
        <v>82</v>
      </c>
      <c r="AF1075" s="7" t="s">
        <v>0</v>
      </c>
      <c r="AG1075" s="7" t="s">
        <v>0</v>
      </c>
      <c r="AH1075" s="9" t="s">
        <v>11887</v>
      </c>
      <c r="AI1075" s="9" t="s">
        <v>11888</v>
      </c>
      <c r="AJ1075" s="9" t="s">
        <v>11889</v>
      </c>
      <c r="AK1075" s="7" t="s">
        <v>61</v>
      </c>
      <c r="AL1075" s="7" t="s">
        <v>61</v>
      </c>
      <c r="AM1075" s="7" t="s">
        <v>0</v>
      </c>
      <c r="AN1075" s="7" t="s">
        <v>0</v>
      </c>
      <c r="AO1075" s="7" t="s">
        <v>0</v>
      </c>
      <c r="AP1075" s="7" t="s">
        <v>0</v>
      </c>
      <c r="AQ1075" s="7" t="s">
        <v>61</v>
      </c>
      <c r="AR1075" s="7" t="s">
        <v>0</v>
      </c>
      <c r="AS1075" s="10" t="str">
        <f>HYPERLINK("https://tessa.gazprom-neft.local/edo/card/2cfbd1dd-c92e-4589-b35a-39ff506bb93b", "https://tessa.gazprom-neft.local/edo/card/2cfbd1dd-c92e-4589-b35a-39ff506bb93b")</f>
        <v>https://tessa.gazprom-neft.local/edo/card/2cfbd1dd-c92e-4589-b35a-39ff506bb93b</v>
      </c>
    </row>
    <row r="1076" spans="1:45" x14ac:dyDescent="0.25">
      <c r="A1076" s="6" t="s">
        <v>44</v>
      </c>
      <c r="B1076" s="7" t="s">
        <v>673</v>
      </c>
      <c r="C1076" s="7" t="s">
        <v>67</v>
      </c>
      <c r="D1076" s="8">
        <v>45078</v>
      </c>
      <c r="E1076" s="8" t="s">
        <v>0</v>
      </c>
      <c r="F1076" s="16" t="s">
        <v>674</v>
      </c>
      <c r="G1076" s="7" t="s">
        <v>675</v>
      </c>
      <c r="H1076" s="7" t="s">
        <v>668</v>
      </c>
      <c r="I1076" s="7" t="s">
        <v>0</v>
      </c>
      <c r="J1076" s="7" t="s">
        <v>271</v>
      </c>
      <c r="K1076" s="7" t="s">
        <v>85</v>
      </c>
      <c r="L1076" s="7" t="s">
        <v>48</v>
      </c>
      <c r="M1076" s="7" t="s">
        <v>2128</v>
      </c>
      <c r="N1076" s="7" t="s">
        <v>4010</v>
      </c>
      <c r="O1076" s="7" t="s">
        <v>0</v>
      </c>
      <c r="P1076" s="7" t="s">
        <v>4011</v>
      </c>
      <c r="Q1076" s="7" t="s">
        <v>4012</v>
      </c>
      <c r="R1076" s="7" t="s">
        <v>646</v>
      </c>
      <c r="S1076" s="7" t="s">
        <v>671</v>
      </c>
      <c r="T1076" s="7" t="s">
        <v>54</v>
      </c>
      <c r="U1076" s="7" t="s">
        <v>210</v>
      </c>
      <c r="V1076" s="7" t="s">
        <v>56</v>
      </c>
      <c r="W1076" s="7" t="s">
        <v>74</v>
      </c>
      <c r="X1076" s="7" t="s">
        <v>58</v>
      </c>
      <c r="Y1076" s="8">
        <v>45078</v>
      </c>
      <c r="Z1076" s="8" t="s">
        <v>0</v>
      </c>
      <c r="AA1076" s="7" t="s">
        <v>0</v>
      </c>
      <c r="AB1076" s="7" t="s">
        <v>130</v>
      </c>
      <c r="AC1076" s="7" t="s">
        <v>65</v>
      </c>
      <c r="AD1076" s="7" t="s">
        <v>144</v>
      </c>
      <c r="AE1076" s="7" t="s">
        <v>0</v>
      </c>
      <c r="AF1076" s="7" t="s">
        <v>0</v>
      </c>
      <c r="AG1076" s="7" t="s">
        <v>0</v>
      </c>
      <c r="AH1076" s="9" t="s">
        <v>0</v>
      </c>
      <c r="AI1076" s="9" t="s">
        <v>0</v>
      </c>
      <c r="AJ1076" s="9" t="s">
        <v>0</v>
      </c>
      <c r="AK1076" s="7" t="s">
        <v>61</v>
      </c>
      <c r="AL1076" s="7" t="s">
        <v>61</v>
      </c>
      <c r="AM1076" s="7" t="s">
        <v>0</v>
      </c>
      <c r="AN1076" s="7" t="s">
        <v>0</v>
      </c>
      <c r="AO1076" s="7" t="s">
        <v>0</v>
      </c>
      <c r="AP1076" s="7" t="s">
        <v>0</v>
      </c>
      <c r="AQ1076" s="7" t="s">
        <v>61</v>
      </c>
      <c r="AR1076" s="7" t="s">
        <v>0</v>
      </c>
      <c r="AS1076" s="10" t="str">
        <f>HYPERLINK("https://tessa.gazprom-neft.local/edo/card/5c98db51-7882-47ed-9c70-16ef61cc8fff", "https://tessa.gazprom-neft.local/edo/card/5c98db51-7882-47ed-9c70-16ef61cc8fff")</f>
        <v>https://tessa.gazprom-neft.local/edo/card/5c98db51-7882-47ed-9c70-16ef61cc8fff</v>
      </c>
    </row>
    <row r="1077" spans="1:45" hidden="1" x14ac:dyDescent="0.25">
      <c r="A1077" s="6" t="s">
        <v>44</v>
      </c>
      <c r="B1077" s="7" t="s">
        <v>75</v>
      </c>
      <c r="C1077" s="7" t="s">
        <v>67</v>
      </c>
      <c r="D1077" s="8">
        <v>45078</v>
      </c>
      <c r="E1077" s="8" t="s">
        <v>0</v>
      </c>
      <c r="F1077" s="16" t="s">
        <v>76</v>
      </c>
      <c r="G1077" s="7" t="s">
        <v>77</v>
      </c>
      <c r="H1077" s="7" t="s">
        <v>68</v>
      </c>
      <c r="I1077" s="7" t="s">
        <v>0</v>
      </c>
      <c r="J1077" s="7" t="s">
        <v>955</v>
      </c>
      <c r="K1077" s="7" t="s">
        <v>47</v>
      </c>
      <c r="L1077" s="7" t="s">
        <v>239</v>
      </c>
      <c r="M1077" s="7" t="s">
        <v>0</v>
      </c>
      <c r="N1077" s="7" t="s">
        <v>4031</v>
      </c>
      <c r="O1077" s="7" t="s">
        <v>0</v>
      </c>
      <c r="P1077" s="7" t="s">
        <v>4032</v>
      </c>
      <c r="Q1077" s="7" t="s">
        <v>4033</v>
      </c>
      <c r="R1077" s="7" t="s">
        <v>646</v>
      </c>
      <c r="S1077" s="7" t="s">
        <v>72</v>
      </c>
      <c r="T1077" s="7" t="s">
        <v>54</v>
      </c>
      <c r="U1077" s="7" t="s">
        <v>55</v>
      </c>
      <c r="V1077" s="7" t="s">
        <v>56</v>
      </c>
      <c r="W1077" s="7" t="s">
        <v>74</v>
      </c>
      <c r="X1077" s="7" t="s">
        <v>58</v>
      </c>
      <c r="Y1077" s="8">
        <v>45078</v>
      </c>
      <c r="Z1077" s="8" t="s">
        <v>0</v>
      </c>
      <c r="AA1077" s="7" t="s">
        <v>59</v>
      </c>
      <c r="AB1077" s="7" t="s">
        <v>78</v>
      </c>
      <c r="AC1077" s="7" t="s">
        <v>79</v>
      </c>
      <c r="AD1077" s="7" t="s">
        <v>80</v>
      </c>
      <c r="AE1077" s="7" t="s">
        <v>82</v>
      </c>
      <c r="AF1077" s="7" t="s">
        <v>0</v>
      </c>
      <c r="AG1077" s="7" t="s">
        <v>0</v>
      </c>
      <c r="AH1077" s="9" t="s">
        <v>11853</v>
      </c>
      <c r="AI1077" s="9" t="s">
        <v>11854</v>
      </c>
      <c r="AJ1077" s="9" t="s">
        <v>11855</v>
      </c>
      <c r="AK1077" s="7" t="s">
        <v>61</v>
      </c>
      <c r="AL1077" s="7" t="s">
        <v>61</v>
      </c>
      <c r="AM1077" s="7" t="s">
        <v>0</v>
      </c>
      <c r="AN1077" s="7" t="s">
        <v>0</v>
      </c>
      <c r="AO1077" s="7" t="s">
        <v>0</v>
      </c>
      <c r="AP1077" s="7" t="s">
        <v>0</v>
      </c>
      <c r="AQ1077" s="7" t="s">
        <v>61</v>
      </c>
      <c r="AR1077" s="7" t="s">
        <v>0</v>
      </c>
      <c r="AS1077" s="10" t="str">
        <f>HYPERLINK("https://tessa.gazprom-neft.local/edo/card/9cbb1af3-5e9f-483c-9943-fa39fdceb1b7", "https://tessa.gazprom-neft.local/edo/card/9cbb1af3-5e9f-483c-9943-fa39fdceb1b7")</f>
        <v>https://tessa.gazprom-neft.local/edo/card/9cbb1af3-5e9f-483c-9943-fa39fdceb1b7</v>
      </c>
    </row>
    <row r="1078" spans="1:45" hidden="1" x14ac:dyDescent="0.25">
      <c r="A1078" s="6" t="s">
        <v>44</v>
      </c>
      <c r="B1078" s="7" t="s">
        <v>673</v>
      </c>
      <c r="C1078" s="7" t="s">
        <v>67</v>
      </c>
      <c r="D1078" s="8">
        <v>45078</v>
      </c>
      <c r="E1078" s="8" t="s">
        <v>0</v>
      </c>
      <c r="F1078" s="16" t="s">
        <v>674</v>
      </c>
      <c r="G1078" s="7" t="s">
        <v>675</v>
      </c>
      <c r="H1078" s="7" t="s">
        <v>0</v>
      </c>
      <c r="I1078" s="7" t="s">
        <v>4061</v>
      </c>
      <c r="J1078" s="7" t="s">
        <v>4061</v>
      </c>
      <c r="K1078" s="7" t="s">
        <v>47</v>
      </c>
      <c r="L1078" s="7" t="s">
        <v>86</v>
      </c>
      <c r="M1078" s="7" t="s">
        <v>0</v>
      </c>
      <c r="N1078" s="7" t="s">
        <v>4060</v>
      </c>
      <c r="O1078" s="7" t="s">
        <v>0</v>
      </c>
      <c r="P1078" s="7" t="s">
        <v>237</v>
      </c>
      <c r="Q1078" s="7" t="s">
        <v>4062</v>
      </c>
      <c r="R1078" s="7" t="s">
        <v>198</v>
      </c>
      <c r="S1078" s="7" t="s">
        <v>198</v>
      </c>
      <c r="T1078" s="7" t="s">
        <v>54</v>
      </c>
      <c r="U1078" s="7" t="s">
        <v>199</v>
      </c>
      <c r="V1078" s="7" t="s">
        <v>864</v>
      </c>
      <c r="W1078" s="7" t="s">
        <v>74</v>
      </c>
      <c r="X1078" s="7" t="s">
        <v>103</v>
      </c>
      <c r="Y1078" s="8">
        <v>45078</v>
      </c>
      <c r="Z1078" s="8">
        <v>46022</v>
      </c>
      <c r="AA1078" s="7" t="s">
        <v>865</v>
      </c>
      <c r="AB1078" s="7" t="s">
        <v>237</v>
      </c>
      <c r="AC1078" s="7" t="s">
        <v>65</v>
      </c>
      <c r="AD1078" s="7" t="s">
        <v>0</v>
      </c>
      <c r="AE1078" s="7" t="s">
        <v>0</v>
      </c>
      <c r="AF1078" s="7" t="s">
        <v>0</v>
      </c>
      <c r="AG1078" s="7" t="s">
        <v>0</v>
      </c>
      <c r="AH1078" s="9" t="s">
        <v>0</v>
      </c>
      <c r="AI1078" s="9" t="s">
        <v>0</v>
      </c>
      <c r="AJ1078" s="9" t="s">
        <v>0</v>
      </c>
      <c r="AK1078" s="7" t="s">
        <v>61</v>
      </c>
      <c r="AL1078" s="7" t="s">
        <v>61</v>
      </c>
      <c r="AM1078" s="7" t="s">
        <v>0</v>
      </c>
      <c r="AN1078" s="7" t="s">
        <v>0</v>
      </c>
      <c r="AO1078" s="7" t="s">
        <v>0</v>
      </c>
      <c r="AP1078" s="7" t="s">
        <v>0</v>
      </c>
      <c r="AQ1078" s="7" t="s">
        <v>61</v>
      </c>
      <c r="AR1078" s="7" t="s">
        <v>0</v>
      </c>
      <c r="AS1078" s="10" t="str">
        <f>HYPERLINK("https://tessa.gazprom-neft.local/edo/card/12ac172b-c964-43bf-a41a-847877e6889d", "https://tessa.gazprom-neft.local/edo/card/12ac172b-c964-43bf-a41a-847877e6889d")</f>
        <v>https://tessa.gazprom-neft.local/edo/card/12ac172b-c964-43bf-a41a-847877e6889d</v>
      </c>
    </row>
    <row r="1079" spans="1:45" x14ac:dyDescent="0.25">
      <c r="A1079" s="6" t="s">
        <v>44</v>
      </c>
      <c r="B1079" s="7" t="s">
        <v>2108</v>
      </c>
      <c r="C1079" s="7" t="s">
        <v>67</v>
      </c>
      <c r="D1079" s="8">
        <v>45078</v>
      </c>
      <c r="E1079" s="8" t="s">
        <v>0</v>
      </c>
      <c r="F1079" s="16" t="s">
        <v>2109</v>
      </c>
      <c r="G1079" s="7" t="s">
        <v>2110</v>
      </c>
      <c r="H1079" s="7" t="s">
        <v>2107</v>
      </c>
      <c r="I1079" s="7" t="s">
        <v>0</v>
      </c>
      <c r="J1079" s="7" t="s">
        <v>872</v>
      </c>
      <c r="K1079" s="7" t="s">
        <v>47</v>
      </c>
      <c r="L1079" s="7" t="s">
        <v>48</v>
      </c>
      <c r="M1079" s="7" t="s">
        <v>0</v>
      </c>
      <c r="N1079" s="7" t="s">
        <v>4099</v>
      </c>
      <c r="O1079" s="7" t="s">
        <v>0</v>
      </c>
      <c r="P1079" s="7" t="s">
        <v>4100</v>
      </c>
      <c r="Q1079" s="7" t="s">
        <v>4101</v>
      </c>
      <c r="R1079" s="7" t="s">
        <v>505</v>
      </c>
      <c r="S1079" s="7" t="s">
        <v>1753</v>
      </c>
      <c r="T1079" s="7" t="s">
        <v>54</v>
      </c>
      <c r="U1079" s="7" t="s">
        <v>210</v>
      </c>
      <c r="V1079" s="7" t="s">
        <v>126</v>
      </c>
      <c r="W1079" s="7" t="s">
        <v>74</v>
      </c>
      <c r="X1079" s="7" t="s">
        <v>103</v>
      </c>
      <c r="Y1079" s="8">
        <v>45078</v>
      </c>
      <c r="Z1079" s="8">
        <v>45413</v>
      </c>
      <c r="AA1079" s="7" t="s">
        <v>224</v>
      </c>
      <c r="AB1079" s="7" t="s">
        <v>130</v>
      </c>
      <c r="AC1079" s="7" t="s">
        <v>79</v>
      </c>
      <c r="AD1079" s="7" t="s">
        <v>80</v>
      </c>
      <c r="AE1079" s="7" t="s">
        <v>82</v>
      </c>
      <c r="AF1079" s="7" t="s">
        <v>0</v>
      </c>
      <c r="AG1079" s="7" t="s">
        <v>0</v>
      </c>
      <c r="AH1079" s="9" t="s">
        <v>11926</v>
      </c>
      <c r="AI1079" s="9" t="s">
        <v>11927</v>
      </c>
      <c r="AJ1079" s="9" t="s">
        <v>11928</v>
      </c>
      <c r="AK1079" s="7" t="s">
        <v>61</v>
      </c>
      <c r="AL1079" s="7" t="s">
        <v>61</v>
      </c>
      <c r="AM1079" s="7" t="s">
        <v>0</v>
      </c>
      <c r="AN1079" s="7" t="s">
        <v>0</v>
      </c>
      <c r="AO1079" s="7" t="s">
        <v>0</v>
      </c>
      <c r="AP1079" s="7" t="s">
        <v>0</v>
      </c>
      <c r="AQ1079" s="7" t="s">
        <v>61</v>
      </c>
      <c r="AR1079" s="7" t="s">
        <v>0</v>
      </c>
      <c r="AS1079" s="10" t="str">
        <f>HYPERLINK("https://tessa.gazprom-neft.local/edo/card/e796d88d-dbc1-4a87-ab3d-f1a2913066ed", "https://tessa.gazprom-neft.local/edo/card/e796d88d-dbc1-4a87-ab3d-f1a2913066ed")</f>
        <v>https://tessa.gazprom-neft.local/edo/card/e796d88d-dbc1-4a87-ab3d-f1a2913066ed</v>
      </c>
    </row>
    <row r="1080" spans="1:45" x14ac:dyDescent="0.25">
      <c r="A1080" s="6" t="s">
        <v>44</v>
      </c>
      <c r="B1080" s="7" t="s">
        <v>265</v>
      </c>
      <c r="C1080" s="7" t="s">
        <v>67</v>
      </c>
      <c r="D1080" s="8">
        <v>45078</v>
      </c>
      <c r="E1080" s="8" t="s">
        <v>0</v>
      </c>
      <c r="F1080" s="16" t="s">
        <v>266</v>
      </c>
      <c r="G1080" s="7" t="s">
        <v>267</v>
      </c>
      <c r="H1080" s="7" t="s">
        <v>261</v>
      </c>
      <c r="I1080" s="7" t="s">
        <v>0</v>
      </c>
      <c r="J1080" s="7" t="s">
        <v>316</v>
      </c>
      <c r="K1080" s="7" t="s">
        <v>47</v>
      </c>
      <c r="L1080" s="7" t="s">
        <v>48</v>
      </c>
      <c r="M1080" s="7" t="s">
        <v>0</v>
      </c>
      <c r="N1080" s="7" t="s">
        <v>4110</v>
      </c>
      <c r="O1080" s="7" t="s">
        <v>0</v>
      </c>
      <c r="P1080" s="7" t="s">
        <v>4111</v>
      </c>
      <c r="Q1080" s="7" t="s">
        <v>4112</v>
      </c>
      <c r="R1080" s="7" t="s">
        <v>198</v>
      </c>
      <c r="S1080" s="7" t="s">
        <v>198</v>
      </c>
      <c r="T1080" s="7" t="s">
        <v>54</v>
      </c>
      <c r="U1080" s="7" t="s">
        <v>199</v>
      </c>
      <c r="V1080" s="7" t="s">
        <v>864</v>
      </c>
      <c r="W1080" s="7" t="s">
        <v>74</v>
      </c>
      <c r="X1080" s="7" t="s">
        <v>103</v>
      </c>
      <c r="Y1080" s="8">
        <v>45078</v>
      </c>
      <c r="Z1080" s="8">
        <v>45657</v>
      </c>
      <c r="AA1080" s="7" t="s">
        <v>865</v>
      </c>
      <c r="AB1080" s="7" t="s">
        <v>2014</v>
      </c>
      <c r="AC1080" s="7" t="s">
        <v>65</v>
      </c>
      <c r="AD1080" s="7" t="s">
        <v>80</v>
      </c>
      <c r="AE1080" s="7" t="s">
        <v>0</v>
      </c>
      <c r="AF1080" s="7" t="s">
        <v>0</v>
      </c>
      <c r="AG1080" s="7" t="s">
        <v>0</v>
      </c>
      <c r="AH1080" s="9" t="s">
        <v>0</v>
      </c>
      <c r="AI1080" s="9" t="s">
        <v>0</v>
      </c>
      <c r="AJ1080" s="9" t="s">
        <v>0</v>
      </c>
      <c r="AK1080" s="7" t="s">
        <v>61</v>
      </c>
      <c r="AL1080" s="7" t="s">
        <v>61</v>
      </c>
      <c r="AM1080" s="7" t="s">
        <v>0</v>
      </c>
      <c r="AN1080" s="7" t="s">
        <v>0</v>
      </c>
      <c r="AO1080" s="7" t="s">
        <v>0</v>
      </c>
      <c r="AP1080" s="7" t="s">
        <v>0</v>
      </c>
      <c r="AQ1080" s="7" t="s">
        <v>61</v>
      </c>
      <c r="AR1080" s="7" t="s">
        <v>0</v>
      </c>
      <c r="AS1080" s="10" t="str">
        <f>HYPERLINK("https://tessa.gazprom-neft.local/edo/card/fbb9bfd2-a0bf-4093-a82f-afb5c4282ca9", "https://tessa.gazprom-neft.local/edo/card/fbb9bfd2-a0bf-4093-a82f-afb5c4282ca9")</f>
        <v>https://tessa.gazprom-neft.local/edo/card/fbb9bfd2-a0bf-4093-a82f-afb5c4282ca9</v>
      </c>
    </row>
    <row r="1081" spans="1:45" hidden="1" x14ac:dyDescent="0.25">
      <c r="A1081" s="6" t="s">
        <v>44</v>
      </c>
      <c r="B1081" s="7" t="s">
        <v>3663</v>
      </c>
      <c r="C1081" s="7" t="s">
        <v>67</v>
      </c>
      <c r="D1081" s="8">
        <v>45078</v>
      </c>
      <c r="E1081" s="8" t="s">
        <v>0</v>
      </c>
      <c r="F1081" s="16" t="s">
        <v>3664</v>
      </c>
      <c r="G1081" s="7" t="s">
        <v>3665</v>
      </c>
      <c r="H1081" s="7" t="s">
        <v>0</v>
      </c>
      <c r="I1081" s="7" t="s">
        <v>4219</v>
      </c>
      <c r="J1081" s="7" t="s">
        <v>4219</v>
      </c>
      <c r="K1081" s="7" t="s">
        <v>47</v>
      </c>
      <c r="L1081" s="7" t="s">
        <v>86</v>
      </c>
      <c r="M1081" s="7" t="s">
        <v>0</v>
      </c>
      <c r="N1081" s="7" t="s">
        <v>4218</v>
      </c>
      <c r="O1081" s="7" t="s">
        <v>0</v>
      </c>
      <c r="P1081" s="7" t="s">
        <v>4220</v>
      </c>
      <c r="Q1081" s="7" t="s">
        <v>4221</v>
      </c>
      <c r="R1081" s="7" t="s">
        <v>1199</v>
      </c>
      <c r="S1081" s="7" t="s">
        <v>1199</v>
      </c>
      <c r="T1081" s="7" t="s">
        <v>54</v>
      </c>
      <c r="U1081" s="7" t="s">
        <v>605</v>
      </c>
      <c r="V1081" s="7" t="s">
        <v>126</v>
      </c>
      <c r="W1081" s="7" t="s">
        <v>57</v>
      </c>
      <c r="X1081" s="7" t="s">
        <v>58</v>
      </c>
      <c r="Y1081" s="8">
        <v>45078</v>
      </c>
      <c r="Z1081" s="8" t="s">
        <v>0</v>
      </c>
      <c r="AA1081" s="7" t="s">
        <v>224</v>
      </c>
      <c r="AB1081" s="7" t="s">
        <v>3666</v>
      </c>
      <c r="AC1081" s="7" t="s">
        <v>79</v>
      </c>
      <c r="AD1081" s="7" t="s">
        <v>80</v>
      </c>
      <c r="AE1081" s="7" t="s">
        <v>193</v>
      </c>
      <c r="AF1081" s="7" t="s">
        <v>0</v>
      </c>
      <c r="AG1081" s="7" t="s">
        <v>0</v>
      </c>
      <c r="AH1081" s="9" t="s">
        <v>11971</v>
      </c>
      <c r="AI1081" s="9" t="s">
        <v>11972</v>
      </c>
      <c r="AJ1081" s="9">
        <v>258</v>
      </c>
      <c r="AK1081" s="7" t="s">
        <v>61</v>
      </c>
      <c r="AL1081" s="7" t="s">
        <v>61</v>
      </c>
      <c r="AM1081" s="7" t="s">
        <v>0</v>
      </c>
      <c r="AN1081" s="7" t="s">
        <v>0</v>
      </c>
      <c r="AO1081" s="7" t="s">
        <v>0</v>
      </c>
      <c r="AP1081" s="7" t="s">
        <v>0</v>
      </c>
      <c r="AQ1081" s="7" t="s">
        <v>61</v>
      </c>
      <c r="AR1081" s="7" t="s">
        <v>0</v>
      </c>
      <c r="AS1081" s="10" t="str">
        <f>HYPERLINK("https://tessa.gazprom-neft.local/edo/card/5351cd41-2ca8-4ca9-bc35-073f0d80ee7d", "https://tessa.gazprom-neft.local/edo/card/5351cd41-2ca8-4ca9-bc35-073f0d80ee7d")</f>
        <v>https://tessa.gazprom-neft.local/edo/card/5351cd41-2ca8-4ca9-bc35-073f0d80ee7d</v>
      </c>
    </row>
    <row r="1082" spans="1:45" hidden="1" x14ac:dyDescent="0.25">
      <c r="A1082" s="6" t="s">
        <v>44</v>
      </c>
      <c r="B1082" s="7" t="s">
        <v>988</v>
      </c>
      <c r="C1082" s="7" t="s">
        <v>67</v>
      </c>
      <c r="D1082" s="8">
        <v>45078</v>
      </c>
      <c r="E1082" s="8" t="s">
        <v>0</v>
      </c>
      <c r="F1082" s="16" t="s">
        <v>989</v>
      </c>
      <c r="G1082" s="7" t="s">
        <v>990</v>
      </c>
      <c r="H1082" s="7" t="s">
        <v>2826</v>
      </c>
      <c r="I1082" s="7" t="s">
        <v>0</v>
      </c>
      <c r="J1082" s="7" t="s">
        <v>355</v>
      </c>
      <c r="K1082" s="7" t="s">
        <v>47</v>
      </c>
      <c r="L1082" s="7" t="s">
        <v>763</v>
      </c>
      <c r="M1082" s="7" t="s">
        <v>0</v>
      </c>
      <c r="N1082" s="7" t="s">
        <v>4455</v>
      </c>
      <c r="O1082" s="7" t="s">
        <v>0</v>
      </c>
      <c r="P1082" s="7" t="s">
        <v>4456</v>
      </c>
      <c r="Q1082" s="7" t="s">
        <v>4457</v>
      </c>
      <c r="R1082" s="7" t="s">
        <v>505</v>
      </c>
      <c r="S1082" s="7" t="s">
        <v>1503</v>
      </c>
      <c r="T1082" s="7" t="s">
        <v>54</v>
      </c>
      <c r="U1082" s="7" t="s">
        <v>283</v>
      </c>
      <c r="V1082" s="7" t="s">
        <v>308</v>
      </c>
      <c r="W1082" s="7" t="s">
        <v>74</v>
      </c>
      <c r="X1082" s="7" t="s">
        <v>103</v>
      </c>
      <c r="Y1082" s="8">
        <v>45078</v>
      </c>
      <c r="Z1082" s="8">
        <v>45230</v>
      </c>
      <c r="AA1082" s="7" t="s">
        <v>309</v>
      </c>
      <c r="AB1082" s="7" t="s">
        <v>2546</v>
      </c>
      <c r="AC1082" s="7" t="s">
        <v>79</v>
      </c>
      <c r="AD1082" s="7" t="s">
        <v>144</v>
      </c>
      <c r="AE1082" s="7" t="s">
        <v>82</v>
      </c>
      <c r="AF1082" s="7" t="s">
        <v>0</v>
      </c>
      <c r="AG1082" s="7" t="s">
        <v>0</v>
      </c>
      <c r="AH1082" s="9" t="s">
        <v>12071</v>
      </c>
      <c r="AI1082" s="9" t="s">
        <v>12072</v>
      </c>
      <c r="AJ1082" s="9" t="s">
        <v>12073</v>
      </c>
      <c r="AK1082" s="7" t="s">
        <v>61</v>
      </c>
      <c r="AL1082" s="7" t="s">
        <v>61</v>
      </c>
      <c r="AM1082" s="7" t="s">
        <v>0</v>
      </c>
      <c r="AN1082" s="7" t="s">
        <v>0</v>
      </c>
      <c r="AO1082" s="7" t="s">
        <v>0</v>
      </c>
      <c r="AP1082" s="7" t="s">
        <v>0</v>
      </c>
      <c r="AQ1082" s="7" t="s">
        <v>61</v>
      </c>
      <c r="AR1082" s="7" t="s">
        <v>0</v>
      </c>
      <c r="AS1082" s="10" t="str">
        <f>HYPERLINK("https://tessa.gazprom-neft.local/edo/card/d29133a3-2a82-4b8e-8ff2-0e5ef786a285", "https://tessa.gazprom-neft.local/edo/card/d29133a3-2a82-4b8e-8ff2-0e5ef786a285")</f>
        <v>https://tessa.gazprom-neft.local/edo/card/d29133a3-2a82-4b8e-8ff2-0e5ef786a285</v>
      </c>
    </row>
    <row r="1083" spans="1:45" hidden="1" x14ac:dyDescent="0.25">
      <c r="A1083" s="6" t="s">
        <v>44</v>
      </c>
      <c r="B1083" s="7" t="s">
        <v>2179</v>
      </c>
      <c r="C1083" s="7" t="s">
        <v>67</v>
      </c>
      <c r="D1083" s="8">
        <v>45078</v>
      </c>
      <c r="E1083" s="8" t="s">
        <v>0</v>
      </c>
      <c r="F1083" s="16" t="s">
        <v>2180</v>
      </c>
      <c r="G1083" s="7" t="s">
        <v>2181</v>
      </c>
      <c r="H1083" s="7" t="s">
        <v>2176</v>
      </c>
      <c r="I1083" s="7" t="s">
        <v>0</v>
      </c>
      <c r="J1083" s="7" t="s">
        <v>271</v>
      </c>
      <c r="K1083" s="7" t="s">
        <v>47</v>
      </c>
      <c r="L1083" s="7" t="s">
        <v>239</v>
      </c>
      <c r="M1083" s="7" t="s">
        <v>0</v>
      </c>
      <c r="N1083" s="7" t="s">
        <v>4481</v>
      </c>
      <c r="O1083" s="7" t="s">
        <v>0</v>
      </c>
      <c r="P1083" s="7" t="s">
        <v>4482</v>
      </c>
      <c r="Q1083" s="7" t="s">
        <v>4483</v>
      </c>
      <c r="R1083" s="7" t="s">
        <v>2178</v>
      </c>
      <c r="S1083" s="7" t="s">
        <v>0</v>
      </c>
      <c r="T1083" s="7" t="s">
        <v>54</v>
      </c>
      <c r="U1083" s="7" t="s">
        <v>605</v>
      </c>
      <c r="V1083" s="7" t="s">
        <v>126</v>
      </c>
      <c r="W1083" s="7" t="s">
        <v>57</v>
      </c>
      <c r="X1083" s="7" t="s">
        <v>103</v>
      </c>
      <c r="Y1083" s="8">
        <v>45444</v>
      </c>
      <c r="Z1083" s="8">
        <v>45777</v>
      </c>
      <c r="AA1083" s="7" t="s">
        <v>0</v>
      </c>
      <c r="AB1083" s="7" t="s">
        <v>130</v>
      </c>
      <c r="AC1083" s="7" t="s">
        <v>79</v>
      </c>
      <c r="AD1083" s="7" t="s">
        <v>144</v>
      </c>
      <c r="AE1083" s="7" t="s">
        <v>82</v>
      </c>
      <c r="AF1083" s="7" t="s">
        <v>0</v>
      </c>
      <c r="AG1083" s="7" t="s">
        <v>0</v>
      </c>
      <c r="AH1083" s="9" t="s">
        <v>12086</v>
      </c>
      <c r="AI1083" s="9" t="s">
        <v>12087</v>
      </c>
      <c r="AJ1083" s="9" t="s">
        <v>12088</v>
      </c>
      <c r="AK1083" s="7" t="s">
        <v>61</v>
      </c>
      <c r="AL1083" s="7" t="s">
        <v>61</v>
      </c>
      <c r="AM1083" s="7" t="s">
        <v>0</v>
      </c>
      <c r="AN1083" s="7" t="s">
        <v>0</v>
      </c>
      <c r="AO1083" s="7" t="s">
        <v>0</v>
      </c>
      <c r="AP1083" s="7" t="s">
        <v>0</v>
      </c>
      <c r="AQ1083" s="7" t="s">
        <v>61</v>
      </c>
      <c r="AR1083" s="7" t="s">
        <v>0</v>
      </c>
      <c r="AS1083" s="10" t="str">
        <f>HYPERLINK("https://tessa.gazprom-neft.local/edo/card/5d6a3d62-fc04-4492-907e-94a4f70a440a", "https://tessa.gazprom-neft.local/edo/card/5d6a3d62-fc04-4492-907e-94a4f70a440a")</f>
        <v>https://tessa.gazprom-neft.local/edo/card/5d6a3d62-fc04-4492-907e-94a4f70a440a</v>
      </c>
    </row>
    <row r="1084" spans="1:45" x14ac:dyDescent="0.25">
      <c r="A1084" s="6" t="s">
        <v>44</v>
      </c>
      <c r="B1084" s="7" t="s">
        <v>1981</v>
      </c>
      <c r="C1084" s="7" t="s">
        <v>67</v>
      </c>
      <c r="D1084" s="8">
        <v>45077</v>
      </c>
      <c r="E1084" s="8" t="s">
        <v>0</v>
      </c>
      <c r="F1084" s="16" t="s">
        <v>1982</v>
      </c>
      <c r="G1084" s="7" t="s">
        <v>1983</v>
      </c>
      <c r="H1084" s="7" t="s">
        <v>1979</v>
      </c>
      <c r="I1084" s="7" t="s">
        <v>0</v>
      </c>
      <c r="J1084" s="7" t="s">
        <v>872</v>
      </c>
      <c r="K1084" s="7" t="s">
        <v>47</v>
      </c>
      <c r="L1084" s="7" t="s">
        <v>48</v>
      </c>
      <c r="M1084" s="7" t="s">
        <v>0</v>
      </c>
      <c r="N1084" s="7" t="s">
        <v>4079</v>
      </c>
      <c r="O1084" s="7" t="s">
        <v>0</v>
      </c>
      <c r="P1084" s="7" t="s">
        <v>4080</v>
      </c>
      <c r="Q1084" s="7" t="s">
        <v>4081</v>
      </c>
      <c r="R1084" s="7" t="s">
        <v>2594</v>
      </c>
      <c r="S1084" s="7" t="s">
        <v>2594</v>
      </c>
      <c r="T1084" s="7" t="s">
        <v>54</v>
      </c>
      <c r="U1084" s="7" t="s">
        <v>199</v>
      </c>
      <c r="V1084" s="7" t="s">
        <v>846</v>
      </c>
      <c r="W1084" s="7" t="s">
        <v>74</v>
      </c>
      <c r="X1084" s="7" t="s">
        <v>58</v>
      </c>
      <c r="Y1084" s="8">
        <v>45047</v>
      </c>
      <c r="Z1084" s="8" t="s">
        <v>0</v>
      </c>
      <c r="AA1084" s="7" t="s">
        <v>847</v>
      </c>
      <c r="AB1084" s="7" t="s">
        <v>1984</v>
      </c>
      <c r="AC1084" s="7" t="s">
        <v>79</v>
      </c>
      <c r="AD1084" s="7" t="s">
        <v>80</v>
      </c>
      <c r="AE1084" s="7" t="s">
        <v>82</v>
      </c>
      <c r="AF1084" s="7" t="s">
        <v>0</v>
      </c>
      <c r="AG1084" s="7" t="s">
        <v>0</v>
      </c>
      <c r="AH1084" s="9" t="s">
        <v>11914</v>
      </c>
      <c r="AI1084" s="9" t="s">
        <v>11915</v>
      </c>
      <c r="AJ1084" s="9" t="s">
        <v>11916</v>
      </c>
      <c r="AK1084" s="7" t="s">
        <v>61</v>
      </c>
      <c r="AL1084" s="7" t="s">
        <v>61</v>
      </c>
      <c r="AM1084" s="7" t="s">
        <v>0</v>
      </c>
      <c r="AN1084" s="7" t="s">
        <v>0</v>
      </c>
      <c r="AO1084" s="7" t="s">
        <v>0</v>
      </c>
      <c r="AP1084" s="7" t="s">
        <v>0</v>
      </c>
      <c r="AQ1084" s="7" t="s">
        <v>61</v>
      </c>
      <c r="AR1084" s="7" t="s">
        <v>0</v>
      </c>
      <c r="AS1084" s="10" t="str">
        <f>HYPERLINK("https://tessa.gazprom-neft.local/edo/card/e4dd20bf-22a2-4742-a39a-a4c3329e04b9", "https://tessa.gazprom-neft.local/edo/card/e4dd20bf-22a2-4742-a39a-a4c3329e04b9")</f>
        <v>https://tessa.gazprom-neft.local/edo/card/e4dd20bf-22a2-4742-a39a-a4c3329e04b9</v>
      </c>
    </row>
    <row r="1085" spans="1:45" hidden="1" x14ac:dyDescent="0.25">
      <c r="A1085" s="6" t="s">
        <v>44</v>
      </c>
      <c r="B1085" s="7" t="s">
        <v>2001</v>
      </c>
      <c r="C1085" s="7" t="s">
        <v>67</v>
      </c>
      <c r="D1085" s="8">
        <v>45077</v>
      </c>
      <c r="E1085" s="8" t="s">
        <v>0</v>
      </c>
      <c r="F1085" s="16" t="s">
        <v>2002</v>
      </c>
      <c r="G1085" s="7" t="s">
        <v>2003</v>
      </c>
      <c r="H1085" s="7" t="s">
        <v>1998</v>
      </c>
      <c r="I1085" s="7" t="s">
        <v>0</v>
      </c>
      <c r="J1085" s="7" t="s">
        <v>955</v>
      </c>
      <c r="K1085" s="7" t="s">
        <v>47</v>
      </c>
      <c r="L1085" s="7" t="s">
        <v>239</v>
      </c>
      <c r="M1085" s="7" t="s">
        <v>0</v>
      </c>
      <c r="N1085" s="7" t="s">
        <v>4082</v>
      </c>
      <c r="O1085" s="7" t="s">
        <v>0</v>
      </c>
      <c r="P1085" s="7" t="s">
        <v>4083</v>
      </c>
      <c r="Q1085" s="7" t="s">
        <v>4084</v>
      </c>
      <c r="R1085" s="7" t="s">
        <v>768</v>
      </c>
      <c r="S1085" s="7" t="s">
        <v>1503</v>
      </c>
      <c r="T1085" s="7" t="s">
        <v>54</v>
      </c>
      <c r="U1085" s="7" t="s">
        <v>283</v>
      </c>
      <c r="V1085" s="7" t="s">
        <v>168</v>
      </c>
      <c r="W1085" s="7" t="s">
        <v>74</v>
      </c>
      <c r="X1085" s="7" t="s">
        <v>103</v>
      </c>
      <c r="Y1085" s="8">
        <v>45085</v>
      </c>
      <c r="Z1085" s="8">
        <v>45169</v>
      </c>
      <c r="AA1085" s="7" t="s">
        <v>169</v>
      </c>
      <c r="AB1085" s="7" t="s">
        <v>130</v>
      </c>
      <c r="AC1085" s="7" t="s">
        <v>79</v>
      </c>
      <c r="AD1085" s="7" t="s">
        <v>144</v>
      </c>
      <c r="AE1085" s="7" t="s">
        <v>82</v>
      </c>
      <c r="AF1085" s="7" t="s">
        <v>0</v>
      </c>
      <c r="AG1085" s="7" t="s">
        <v>0</v>
      </c>
      <c r="AH1085" s="9" t="s">
        <v>11917</v>
      </c>
      <c r="AI1085" s="9" t="s">
        <v>11918</v>
      </c>
      <c r="AJ1085" s="9" t="s">
        <v>11919</v>
      </c>
      <c r="AK1085" s="7" t="s">
        <v>61</v>
      </c>
      <c r="AL1085" s="7" t="s">
        <v>61</v>
      </c>
      <c r="AM1085" s="7" t="s">
        <v>0</v>
      </c>
      <c r="AN1085" s="7" t="s">
        <v>0</v>
      </c>
      <c r="AO1085" s="7" t="s">
        <v>0</v>
      </c>
      <c r="AP1085" s="7" t="s">
        <v>0</v>
      </c>
      <c r="AQ1085" s="7" t="s">
        <v>61</v>
      </c>
      <c r="AR1085" s="7" t="s">
        <v>0</v>
      </c>
      <c r="AS1085" s="10" t="str">
        <f>HYPERLINK("https://tessa.gazprom-neft.local/edo/card/19503a47-1a3a-43f7-a7c8-a50e6c042b4b", "https://tessa.gazprom-neft.local/edo/card/19503a47-1a3a-43f7-a7c8-a50e6c042b4b")</f>
        <v>https://tessa.gazprom-neft.local/edo/card/19503a47-1a3a-43f7-a7c8-a50e6c042b4b</v>
      </c>
    </row>
    <row r="1086" spans="1:45" hidden="1" x14ac:dyDescent="0.25">
      <c r="A1086" s="6" t="s">
        <v>44</v>
      </c>
      <c r="B1086" s="7" t="s">
        <v>2001</v>
      </c>
      <c r="C1086" s="7" t="s">
        <v>67</v>
      </c>
      <c r="D1086" s="8">
        <v>45077</v>
      </c>
      <c r="E1086" s="8" t="s">
        <v>0</v>
      </c>
      <c r="F1086" s="16" t="s">
        <v>2002</v>
      </c>
      <c r="G1086" s="7" t="s">
        <v>2003</v>
      </c>
      <c r="H1086" s="7" t="s">
        <v>1998</v>
      </c>
      <c r="I1086" s="7" t="s">
        <v>0</v>
      </c>
      <c r="J1086" s="7" t="s">
        <v>1098</v>
      </c>
      <c r="K1086" s="7" t="s">
        <v>47</v>
      </c>
      <c r="L1086" s="7" t="s">
        <v>239</v>
      </c>
      <c r="M1086" s="7" t="s">
        <v>0</v>
      </c>
      <c r="N1086" s="7" t="s">
        <v>4090</v>
      </c>
      <c r="O1086" s="7" t="s">
        <v>0</v>
      </c>
      <c r="P1086" s="7" t="s">
        <v>4091</v>
      </c>
      <c r="Q1086" s="7" t="s">
        <v>4092</v>
      </c>
      <c r="R1086" s="7" t="s">
        <v>768</v>
      </c>
      <c r="S1086" s="7" t="s">
        <v>1503</v>
      </c>
      <c r="T1086" s="7" t="s">
        <v>54</v>
      </c>
      <c r="U1086" s="7" t="s">
        <v>283</v>
      </c>
      <c r="V1086" s="7" t="s">
        <v>168</v>
      </c>
      <c r="W1086" s="7" t="s">
        <v>74</v>
      </c>
      <c r="X1086" s="7" t="s">
        <v>103</v>
      </c>
      <c r="Y1086" s="8">
        <v>45078</v>
      </c>
      <c r="Z1086" s="8">
        <v>45291</v>
      </c>
      <c r="AA1086" s="7" t="s">
        <v>0</v>
      </c>
      <c r="AB1086" s="7" t="s">
        <v>130</v>
      </c>
      <c r="AC1086" s="7" t="s">
        <v>79</v>
      </c>
      <c r="AD1086" s="7" t="s">
        <v>144</v>
      </c>
      <c r="AE1086" s="7" t="s">
        <v>82</v>
      </c>
      <c r="AF1086" s="7" t="s">
        <v>0</v>
      </c>
      <c r="AG1086" s="7" t="s">
        <v>0</v>
      </c>
      <c r="AH1086" s="9" t="s">
        <v>11920</v>
      </c>
      <c r="AI1086" s="9" t="s">
        <v>11921</v>
      </c>
      <c r="AJ1086" s="9" t="s">
        <v>11922</v>
      </c>
      <c r="AK1086" s="7" t="s">
        <v>61</v>
      </c>
      <c r="AL1086" s="7" t="s">
        <v>61</v>
      </c>
      <c r="AM1086" s="7" t="s">
        <v>0</v>
      </c>
      <c r="AN1086" s="7" t="s">
        <v>0</v>
      </c>
      <c r="AO1086" s="7" t="s">
        <v>0</v>
      </c>
      <c r="AP1086" s="7" t="s">
        <v>0</v>
      </c>
      <c r="AQ1086" s="7" t="s">
        <v>61</v>
      </c>
      <c r="AR1086" s="7" t="s">
        <v>0</v>
      </c>
      <c r="AS1086" s="10" t="str">
        <f>HYPERLINK("https://tessa.gazprom-neft.local/edo/card/02699a6a-b47a-465b-81c7-bb56bd69ef1f", "https://tessa.gazprom-neft.local/edo/card/02699a6a-b47a-465b-81c7-bb56bd69ef1f")</f>
        <v>https://tessa.gazprom-neft.local/edo/card/02699a6a-b47a-465b-81c7-bb56bd69ef1f</v>
      </c>
    </row>
    <row r="1087" spans="1:45" x14ac:dyDescent="0.25">
      <c r="A1087" s="6" t="s">
        <v>44</v>
      </c>
      <c r="B1087" s="7" t="s">
        <v>1909</v>
      </c>
      <c r="C1087" s="7" t="s">
        <v>67</v>
      </c>
      <c r="D1087" s="8">
        <v>45077</v>
      </c>
      <c r="E1087" s="8" t="s">
        <v>0</v>
      </c>
      <c r="F1087" s="16" t="s">
        <v>1910</v>
      </c>
      <c r="G1087" s="7" t="s">
        <v>1911</v>
      </c>
      <c r="H1087" s="7" t="s">
        <v>4149</v>
      </c>
      <c r="I1087" s="7" t="s">
        <v>0</v>
      </c>
      <c r="J1087" s="7" t="s">
        <v>156</v>
      </c>
      <c r="K1087" s="7" t="s">
        <v>47</v>
      </c>
      <c r="L1087" s="7" t="s">
        <v>48</v>
      </c>
      <c r="M1087" s="7" t="s">
        <v>0</v>
      </c>
      <c r="N1087" s="7" t="s">
        <v>4148</v>
      </c>
      <c r="O1087" s="7" t="s">
        <v>0</v>
      </c>
      <c r="P1087" s="7" t="s">
        <v>4150</v>
      </c>
      <c r="Q1087" s="7" t="s">
        <v>4151</v>
      </c>
      <c r="R1087" s="7" t="s">
        <v>220</v>
      </c>
      <c r="S1087" s="7" t="s">
        <v>1261</v>
      </c>
      <c r="T1087" s="7" t="s">
        <v>54</v>
      </c>
      <c r="U1087" s="7" t="s">
        <v>222</v>
      </c>
      <c r="V1087" s="7" t="s">
        <v>382</v>
      </c>
      <c r="W1087" s="7" t="s">
        <v>74</v>
      </c>
      <c r="X1087" s="7" t="s">
        <v>58</v>
      </c>
      <c r="Y1087" s="8">
        <v>45077</v>
      </c>
      <c r="Z1087" s="8" t="s">
        <v>0</v>
      </c>
      <c r="AA1087" s="7" t="s">
        <v>383</v>
      </c>
      <c r="AB1087" s="7" t="s">
        <v>387</v>
      </c>
      <c r="AC1087" s="7" t="s">
        <v>65</v>
      </c>
      <c r="AD1087" s="7" t="s">
        <v>0</v>
      </c>
      <c r="AE1087" s="7" t="s">
        <v>0</v>
      </c>
      <c r="AF1087" s="7" t="s">
        <v>0</v>
      </c>
      <c r="AG1087" s="7" t="s">
        <v>0</v>
      </c>
      <c r="AH1087" s="9" t="s">
        <v>0</v>
      </c>
      <c r="AI1087" s="9" t="s">
        <v>0</v>
      </c>
      <c r="AJ1087" s="9" t="s">
        <v>0</v>
      </c>
      <c r="AK1087" s="7" t="s">
        <v>61</v>
      </c>
      <c r="AL1087" s="7" t="s">
        <v>61</v>
      </c>
      <c r="AM1087" s="7" t="s">
        <v>0</v>
      </c>
      <c r="AN1087" s="7" t="s">
        <v>0</v>
      </c>
      <c r="AO1087" s="7" t="s">
        <v>0</v>
      </c>
      <c r="AP1087" s="7" t="s">
        <v>0</v>
      </c>
      <c r="AQ1087" s="7" t="s">
        <v>61</v>
      </c>
      <c r="AR1087" s="7" t="s">
        <v>0</v>
      </c>
      <c r="AS1087" s="10" t="str">
        <f>HYPERLINK("https://tessa.gazprom-neft.local/edo/card/70388ace-faa5-46ad-a0fb-f16c94e59d10", "https://tessa.gazprom-neft.local/edo/card/70388ace-faa5-46ad-a0fb-f16c94e59d10")</f>
        <v>https://tessa.gazprom-neft.local/edo/card/70388ace-faa5-46ad-a0fb-f16c94e59d10</v>
      </c>
    </row>
    <row r="1088" spans="1:45" x14ac:dyDescent="0.25">
      <c r="A1088" s="6" t="s">
        <v>44</v>
      </c>
      <c r="B1088" s="7" t="s">
        <v>753</v>
      </c>
      <c r="C1088" s="7" t="s">
        <v>67</v>
      </c>
      <c r="D1088" s="8">
        <v>45077</v>
      </c>
      <c r="E1088" s="8" t="s">
        <v>0</v>
      </c>
      <c r="F1088" s="16" t="s">
        <v>754</v>
      </c>
      <c r="G1088" s="7" t="s">
        <v>755</v>
      </c>
      <c r="H1088" s="7" t="s">
        <v>4166</v>
      </c>
      <c r="I1088" s="7" t="s">
        <v>0</v>
      </c>
      <c r="J1088" s="7" t="s">
        <v>70</v>
      </c>
      <c r="K1088" s="7" t="s">
        <v>47</v>
      </c>
      <c r="L1088" s="7" t="s">
        <v>48</v>
      </c>
      <c r="M1088" s="7" t="s">
        <v>0</v>
      </c>
      <c r="N1088" s="7" t="s">
        <v>4165</v>
      </c>
      <c r="O1088" s="7" t="s">
        <v>0</v>
      </c>
      <c r="P1088" s="7" t="s">
        <v>4167</v>
      </c>
      <c r="Q1088" s="7" t="s">
        <v>4168</v>
      </c>
      <c r="R1088" s="7" t="s">
        <v>1575</v>
      </c>
      <c r="S1088" s="7" t="s">
        <v>381</v>
      </c>
      <c r="T1088" s="7" t="s">
        <v>54</v>
      </c>
      <c r="U1088" s="7" t="s">
        <v>222</v>
      </c>
      <c r="V1088" s="7" t="s">
        <v>382</v>
      </c>
      <c r="W1088" s="7" t="s">
        <v>74</v>
      </c>
      <c r="X1088" s="7" t="s">
        <v>58</v>
      </c>
      <c r="Y1088" s="8">
        <v>45077</v>
      </c>
      <c r="Z1088" s="8" t="s">
        <v>0</v>
      </c>
      <c r="AA1088" s="7" t="s">
        <v>383</v>
      </c>
      <c r="AB1088" s="7" t="s">
        <v>387</v>
      </c>
      <c r="AC1088" s="7" t="s">
        <v>65</v>
      </c>
      <c r="AD1088" s="7" t="s">
        <v>0</v>
      </c>
      <c r="AE1088" s="7" t="s">
        <v>0</v>
      </c>
      <c r="AF1088" s="7" t="s">
        <v>0</v>
      </c>
      <c r="AG1088" s="7" t="s">
        <v>0</v>
      </c>
      <c r="AH1088" s="9" t="s">
        <v>0</v>
      </c>
      <c r="AI1088" s="9" t="s">
        <v>0</v>
      </c>
      <c r="AJ1088" s="9" t="s">
        <v>0</v>
      </c>
      <c r="AK1088" s="7" t="s">
        <v>61</v>
      </c>
      <c r="AL1088" s="7" t="s">
        <v>61</v>
      </c>
      <c r="AM1088" s="7" t="s">
        <v>0</v>
      </c>
      <c r="AN1088" s="7" t="s">
        <v>0</v>
      </c>
      <c r="AO1088" s="7" t="s">
        <v>0</v>
      </c>
      <c r="AP1088" s="7" t="s">
        <v>0</v>
      </c>
      <c r="AQ1088" s="7" t="s">
        <v>61</v>
      </c>
      <c r="AR1088" s="7" t="s">
        <v>0</v>
      </c>
      <c r="AS1088" s="10" t="str">
        <f>HYPERLINK("https://tessa.gazprom-neft.local/edo/card/d7a3fc17-56ee-4b02-968d-260c5df712e7", "https://tessa.gazprom-neft.local/edo/card/d7a3fc17-56ee-4b02-968d-260c5df712e7")</f>
        <v>https://tessa.gazprom-neft.local/edo/card/d7a3fc17-56ee-4b02-968d-260c5df712e7</v>
      </c>
    </row>
    <row r="1089" spans="1:45" x14ac:dyDescent="0.25">
      <c r="A1089" s="6" t="s">
        <v>44</v>
      </c>
      <c r="B1089" s="7" t="s">
        <v>592</v>
      </c>
      <c r="C1089" s="7" t="s">
        <v>67</v>
      </c>
      <c r="D1089" s="8">
        <v>45077</v>
      </c>
      <c r="E1089" s="8" t="s">
        <v>0</v>
      </c>
      <c r="F1089" s="16" t="s">
        <v>593</v>
      </c>
      <c r="G1089" s="7" t="s">
        <v>594</v>
      </c>
      <c r="H1089" s="7" t="s">
        <v>953</v>
      </c>
      <c r="I1089" s="7" t="s">
        <v>0</v>
      </c>
      <c r="J1089" s="7" t="s">
        <v>271</v>
      </c>
      <c r="K1089" s="7" t="s">
        <v>47</v>
      </c>
      <c r="L1089" s="7" t="s">
        <v>48</v>
      </c>
      <c r="M1089" s="7" t="s">
        <v>0</v>
      </c>
      <c r="N1089" s="7" t="s">
        <v>4185</v>
      </c>
      <c r="O1089" s="7" t="s">
        <v>0</v>
      </c>
      <c r="P1089" s="7" t="s">
        <v>4186</v>
      </c>
      <c r="Q1089" s="7" t="s">
        <v>4187</v>
      </c>
      <c r="R1089" s="7" t="s">
        <v>590</v>
      </c>
      <c r="S1089" s="7" t="s">
        <v>394</v>
      </c>
      <c r="T1089" s="7" t="s">
        <v>54</v>
      </c>
      <c r="U1089" s="7" t="s">
        <v>591</v>
      </c>
      <c r="V1089" s="7" t="s">
        <v>382</v>
      </c>
      <c r="W1089" s="7" t="s">
        <v>74</v>
      </c>
      <c r="X1089" s="7" t="s">
        <v>58</v>
      </c>
      <c r="Y1089" s="8">
        <v>45077</v>
      </c>
      <c r="Z1089" s="8" t="s">
        <v>0</v>
      </c>
      <c r="AA1089" s="7" t="s">
        <v>383</v>
      </c>
      <c r="AB1089" s="7" t="s">
        <v>387</v>
      </c>
      <c r="AC1089" s="7" t="s">
        <v>65</v>
      </c>
      <c r="AD1089" s="7" t="s">
        <v>0</v>
      </c>
      <c r="AE1089" s="7" t="s">
        <v>0</v>
      </c>
      <c r="AF1089" s="7" t="s">
        <v>0</v>
      </c>
      <c r="AG1089" s="7" t="s">
        <v>0</v>
      </c>
      <c r="AH1089" s="9" t="s">
        <v>0</v>
      </c>
      <c r="AI1089" s="9" t="s">
        <v>0</v>
      </c>
      <c r="AJ1089" s="9" t="s">
        <v>0</v>
      </c>
      <c r="AK1089" s="7" t="s">
        <v>61</v>
      </c>
      <c r="AL1089" s="7" t="s">
        <v>61</v>
      </c>
      <c r="AM1089" s="7" t="s">
        <v>0</v>
      </c>
      <c r="AN1089" s="7" t="s">
        <v>0</v>
      </c>
      <c r="AO1089" s="7" t="s">
        <v>0</v>
      </c>
      <c r="AP1089" s="7" t="s">
        <v>0</v>
      </c>
      <c r="AQ1089" s="7" t="s">
        <v>61</v>
      </c>
      <c r="AR1089" s="7" t="s">
        <v>0</v>
      </c>
      <c r="AS1089" s="10" t="str">
        <f>HYPERLINK("https://tessa.gazprom-neft.local/edo/card/424385c7-988c-45a2-965e-a575b2032c02", "https://tessa.gazprom-neft.local/edo/card/424385c7-988c-45a2-965e-a575b2032c02")</f>
        <v>https://tessa.gazprom-neft.local/edo/card/424385c7-988c-45a2-965e-a575b2032c02</v>
      </c>
    </row>
    <row r="1090" spans="1:45" x14ac:dyDescent="0.25">
      <c r="A1090" s="6" t="s">
        <v>44</v>
      </c>
      <c r="B1090" s="7" t="s">
        <v>395</v>
      </c>
      <c r="C1090" s="7" t="s">
        <v>67</v>
      </c>
      <c r="D1090" s="8">
        <v>45077</v>
      </c>
      <c r="E1090" s="8" t="s">
        <v>0</v>
      </c>
      <c r="F1090" s="16" t="s">
        <v>396</v>
      </c>
      <c r="G1090" s="7" t="s">
        <v>397</v>
      </c>
      <c r="H1090" s="7" t="s">
        <v>390</v>
      </c>
      <c r="I1090" s="7" t="s">
        <v>0</v>
      </c>
      <c r="J1090" s="7" t="s">
        <v>271</v>
      </c>
      <c r="K1090" s="7" t="s">
        <v>47</v>
      </c>
      <c r="L1090" s="7" t="s">
        <v>48</v>
      </c>
      <c r="M1090" s="7" t="s">
        <v>0</v>
      </c>
      <c r="N1090" s="7" t="s">
        <v>4200</v>
      </c>
      <c r="O1090" s="7" t="s">
        <v>0</v>
      </c>
      <c r="P1090" s="7" t="s">
        <v>4201</v>
      </c>
      <c r="Q1090" s="7" t="s">
        <v>4202</v>
      </c>
      <c r="R1090" s="7" t="s">
        <v>393</v>
      </c>
      <c r="S1090" s="7" t="s">
        <v>4203</v>
      </c>
      <c r="T1090" s="7" t="s">
        <v>54</v>
      </c>
      <c r="U1090" s="7" t="s">
        <v>591</v>
      </c>
      <c r="V1090" s="7" t="s">
        <v>382</v>
      </c>
      <c r="W1090" s="7" t="s">
        <v>74</v>
      </c>
      <c r="X1090" s="7" t="s">
        <v>58</v>
      </c>
      <c r="Y1090" s="8">
        <v>45077</v>
      </c>
      <c r="Z1090" s="8" t="s">
        <v>0</v>
      </c>
      <c r="AA1090" s="7" t="s">
        <v>383</v>
      </c>
      <c r="AB1090" s="7" t="s">
        <v>387</v>
      </c>
      <c r="AC1090" s="7" t="s">
        <v>65</v>
      </c>
      <c r="AD1090" s="7" t="s">
        <v>80</v>
      </c>
      <c r="AE1090" s="7" t="s">
        <v>0</v>
      </c>
      <c r="AF1090" s="7" t="s">
        <v>0</v>
      </c>
      <c r="AG1090" s="7" t="s">
        <v>0</v>
      </c>
      <c r="AH1090" s="9" t="s">
        <v>0</v>
      </c>
      <c r="AI1090" s="9" t="s">
        <v>0</v>
      </c>
      <c r="AJ1090" s="9" t="s">
        <v>0</v>
      </c>
      <c r="AK1090" s="7" t="s">
        <v>61</v>
      </c>
      <c r="AL1090" s="7" t="s">
        <v>61</v>
      </c>
      <c r="AM1090" s="7" t="s">
        <v>0</v>
      </c>
      <c r="AN1090" s="7" t="s">
        <v>0</v>
      </c>
      <c r="AO1090" s="7" t="s">
        <v>0</v>
      </c>
      <c r="AP1090" s="7" t="s">
        <v>0</v>
      </c>
      <c r="AQ1090" s="7" t="s">
        <v>61</v>
      </c>
      <c r="AR1090" s="7" t="s">
        <v>0</v>
      </c>
      <c r="AS1090" s="10" t="str">
        <f>HYPERLINK("https://tessa.gazprom-neft.local/edo/card/b466664d-f9d0-45bf-baa2-50dc07dfcf90", "https://tessa.gazprom-neft.local/edo/card/b466664d-f9d0-45bf-baa2-50dc07dfcf90")</f>
        <v>https://tessa.gazprom-neft.local/edo/card/b466664d-f9d0-45bf-baa2-50dc07dfcf90</v>
      </c>
    </row>
    <row r="1091" spans="1:45" x14ac:dyDescent="0.25">
      <c r="A1091" s="6" t="s">
        <v>44</v>
      </c>
      <c r="B1091" s="7" t="s">
        <v>75</v>
      </c>
      <c r="C1091" s="7" t="s">
        <v>67</v>
      </c>
      <c r="D1091" s="8">
        <v>45076</v>
      </c>
      <c r="E1091" s="8" t="s">
        <v>0</v>
      </c>
      <c r="F1091" s="16" t="s">
        <v>76</v>
      </c>
      <c r="G1091" s="7" t="s">
        <v>77</v>
      </c>
      <c r="H1091" s="7" t="s">
        <v>68</v>
      </c>
      <c r="I1091" s="7" t="s">
        <v>0</v>
      </c>
      <c r="J1091" s="7" t="s">
        <v>955</v>
      </c>
      <c r="K1091" s="7" t="s">
        <v>47</v>
      </c>
      <c r="L1091" s="7" t="s">
        <v>48</v>
      </c>
      <c r="M1091" s="7" t="s">
        <v>0</v>
      </c>
      <c r="N1091" s="7" t="s">
        <v>3893</v>
      </c>
      <c r="O1091" s="7" t="s">
        <v>0</v>
      </c>
      <c r="P1091" s="7" t="s">
        <v>3894</v>
      </c>
      <c r="Q1091" s="7" t="s">
        <v>3895</v>
      </c>
      <c r="R1091" s="7" t="s">
        <v>646</v>
      </c>
      <c r="S1091" s="7" t="s">
        <v>72</v>
      </c>
      <c r="T1091" s="7" t="s">
        <v>54</v>
      </c>
      <c r="U1091" s="7" t="s">
        <v>55</v>
      </c>
      <c r="V1091" s="7" t="s">
        <v>56</v>
      </c>
      <c r="W1091" s="7" t="s">
        <v>74</v>
      </c>
      <c r="X1091" s="7" t="s">
        <v>58</v>
      </c>
      <c r="Y1091" s="8">
        <v>45076</v>
      </c>
      <c r="Z1091" s="8" t="s">
        <v>0</v>
      </c>
      <c r="AA1091" s="7" t="s">
        <v>59</v>
      </c>
      <c r="AB1091" s="7" t="s">
        <v>78</v>
      </c>
      <c r="AC1091" s="7" t="s">
        <v>79</v>
      </c>
      <c r="AD1091" s="7" t="s">
        <v>80</v>
      </c>
      <c r="AE1091" s="7" t="s">
        <v>82</v>
      </c>
      <c r="AF1091" s="7" t="s">
        <v>0</v>
      </c>
      <c r="AG1091" s="7" t="s">
        <v>0</v>
      </c>
      <c r="AH1091" s="9" t="s">
        <v>11853</v>
      </c>
      <c r="AI1091" s="9" t="s">
        <v>11854</v>
      </c>
      <c r="AJ1091" s="9" t="s">
        <v>11855</v>
      </c>
      <c r="AK1091" s="7" t="s">
        <v>61</v>
      </c>
      <c r="AL1091" s="7" t="s">
        <v>61</v>
      </c>
      <c r="AM1091" s="7" t="s">
        <v>0</v>
      </c>
      <c r="AN1091" s="7" t="s">
        <v>0</v>
      </c>
      <c r="AO1091" s="7" t="s">
        <v>0</v>
      </c>
      <c r="AP1091" s="7" t="s">
        <v>0</v>
      </c>
      <c r="AQ1091" s="7" t="s">
        <v>61</v>
      </c>
      <c r="AR1091" s="7" t="s">
        <v>0</v>
      </c>
      <c r="AS1091" s="10" t="str">
        <f>HYPERLINK("https://tessa.gazprom-neft.local/edo/card/2aae81bc-d836-46b3-9ac1-75d5e3dc6058", "https://tessa.gazprom-neft.local/edo/card/2aae81bc-d836-46b3-9ac1-75d5e3dc6058")</f>
        <v>https://tessa.gazprom-neft.local/edo/card/2aae81bc-d836-46b3-9ac1-75d5e3dc6058</v>
      </c>
    </row>
    <row r="1092" spans="1:45" hidden="1" x14ac:dyDescent="0.25">
      <c r="A1092" s="6" t="s">
        <v>44</v>
      </c>
      <c r="B1092" s="7" t="s">
        <v>403</v>
      </c>
      <c r="C1092" s="7" t="s">
        <v>67</v>
      </c>
      <c r="D1092" s="8">
        <v>45076</v>
      </c>
      <c r="E1092" s="8" t="s">
        <v>0</v>
      </c>
      <c r="F1092" s="16" t="s">
        <v>404</v>
      </c>
      <c r="G1092" s="7" t="s">
        <v>405</v>
      </c>
      <c r="H1092" s="7" t="s">
        <v>1805</v>
      </c>
      <c r="I1092" s="7" t="s">
        <v>0</v>
      </c>
      <c r="J1092" s="7" t="s">
        <v>271</v>
      </c>
      <c r="K1092" s="7" t="s">
        <v>47</v>
      </c>
      <c r="L1092" s="7" t="s">
        <v>239</v>
      </c>
      <c r="M1092" s="7" t="s">
        <v>0</v>
      </c>
      <c r="N1092" s="7" t="s">
        <v>3952</v>
      </c>
      <c r="O1092" s="7" t="s">
        <v>0</v>
      </c>
      <c r="P1092" s="7" t="s">
        <v>3953</v>
      </c>
      <c r="Q1092" s="7" t="s">
        <v>3954</v>
      </c>
      <c r="R1092" s="7" t="s">
        <v>282</v>
      </c>
      <c r="S1092" s="7" t="s">
        <v>0</v>
      </c>
      <c r="T1092" s="7" t="s">
        <v>54</v>
      </c>
      <c r="U1092" s="7" t="s">
        <v>55</v>
      </c>
      <c r="V1092" s="7" t="s">
        <v>56</v>
      </c>
      <c r="W1092" s="7" t="s">
        <v>74</v>
      </c>
      <c r="X1092" s="7" t="s">
        <v>103</v>
      </c>
      <c r="Y1092" s="8">
        <v>45076</v>
      </c>
      <c r="Z1092" s="8">
        <v>46387</v>
      </c>
      <c r="AA1092" s="7" t="s">
        <v>0</v>
      </c>
      <c r="AB1092" s="7" t="s">
        <v>130</v>
      </c>
      <c r="AC1092" s="7" t="s">
        <v>79</v>
      </c>
      <c r="AD1092" s="7" t="s">
        <v>144</v>
      </c>
      <c r="AE1092" s="7" t="s">
        <v>82</v>
      </c>
      <c r="AF1092" s="7" t="s">
        <v>0</v>
      </c>
      <c r="AG1092" s="7" t="s">
        <v>0</v>
      </c>
      <c r="AH1092" s="9" t="s">
        <v>11880</v>
      </c>
      <c r="AI1092" s="9" t="s">
        <v>11881</v>
      </c>
      <c r="AJ1092" s="9" t="s">
        <v>11882</v>
      </c>
      <c r="AK1092" s="7" t="s">
        <v>61</v>
      </c>
      <c r="AL1092" s="7" t="s">
        <v>61</v>
      </c>
      <c r="AM1092" s="7" t="s">
        <v>0</v>
      </c>
      <c r="AN1092" s="7" t="s">
        <v>0</v>
      </c>
      <c r="AO1092" s="7" t="s">
        <v>0</v>
      </c>
      <c r="AP1092" s="7" t="s">
        <v>0</v>
      </c>
      <c r="AQ1092" s="7" t="s">
        <v>61</v>
      </c>
      <c r="AR1092" s="7" t="s">
        <v>0</v>
      </c>
      <c r="AS1092" s="10" t="str">
        <f>HYPERLINK("https://tessa.gazprom-neft.local/edo/card/01a40c11-8f44-4717-b8b6-e67637d3e27b", "https://tessa.gazprom-neft.local/edo/card/01a40c11-8f44-4717-b8b6-e67637d3e27b")</f>
        <v>https://tessa.gazprom-neft.local/edo/card/01a40c11-8f44-4717-b8b6-e67637d3e27b</v>
      </c>
    </row>
    <row r="1093" spans="1:45" hidden="1" x14ac:dyDescent="0.25">
      <c r="A1093" s="6" t="s">
        <v>44</v>
      </c>
      <c r="B1093" s="7" t="s">
        <v>170</v>
      </c>
      <c r="C1093" s="7" t="s">
        <v>67</v>
      </c>
      <c r="D1093" s="8">
        <v>45075</v>
      </c>
      <c r="E1093" s="8" t="s">
        <v>0</v>
      </c>
      <c r="F1093" s="16" t="s">
        <v>171</v>
      </c>
      <c r="G1093" s="7" t="s">
        <v>172</v>
      </c>
      <c r="H1093" s="7" t="s">
        <v>1109</v>
      </c>
      <c r="I1093" s="7" t="s">
        <v>0</v>
      </c>
      <c r="J1093" s="7" t="s">
        <v>355</v>
      </c>
      <c r="K1093" s="7" t="s">
        <v>47</v>
      </c>
      <c r="L1093" s="7" t="s">
        <v>239</v>
      </c>
      <c r="M1093" s="7" t="s">
        <v>0</v>
      </c>
      <c r="N1093" s="7" t="s">
        <v>3805</v>
      </c>
      <c r="O1093" s="7" t="s">
        <v>0</v>
      </c>
      <c r="P1093" s="7" t="s">
        <v>3806</v>
      </c>
      <c r="Q1093" s="7" t="s">
        <v>3807</v>
      </c>
      <c r="R1093" s="7" t="s">
        <v>768</v>
      </c>
      <c r="S1093" s="7" t="s">
        <v>166</v>
      </c>
      <c r="T1093" s="7" t="s">
        <v>54</v>
      </c>
      <c r="U1093" s="7" t="s">
        <v>283</v>
      </c>
      <c r="V1093" s="7" t="s">
        <v>308</v>
      </c>
      <c r="W1093" s="7" t="s">
        <v>74</v>
      </c>
      <c r="X1093" s="7" t="s">
        <v>103</v>
      </c>
      <c r="Y1093" s="8">
        <v>45078</v>
      </c>
      <c r="Z1093" s="8">
        <v>45291</v>
      </c>
      <c r="AA1093" s="7" t="s">
        <v>309</v>
      </c>
      <c r="AB1093" s="7" t="s">
        <v>64</v>
      </c>
      <c r="AC1093" s="7" t="s">
        <v>79</v>
      </c>
      <c r="AD1093" s="7" t="s">
        <v>80</v>
      </c>
      <c r="AE1093" s="7" t="s">
        <v>82</v>
      </c>
      <c r="AF1093" s="7" t="s">
        <v>0</v>
      </c>
      <c r="AG1093" s="7" t="s">
        <v>0</v>
      </c>
      <c r="AH1093" s="9" t="s">
        <v>11823</v>
      </c>
      <c r="AI1093" s="9" t="s">
        <v>11824</v>
      </c>
      <c r="AJ1093" s="9" t="s">
        <v>11825</v>
      </c>
      <c r="AK1093" s="7" t="s">
        <v>61</v>
      </c>
      <c r="AL1093" s="7" t="s">
        <v>61</v>
      </c>
      <c r="AM1093" s="7" t="s">
        <v>0</v>
      </c>
      <c r="AN1093" s="7" t="s">
        <v>0</v>
      </c>
      <c r="AO1093" s="7" t="s">
        <v>0</v>
      </c>
      <c r="AP1093" s="7" t="s">
        <v>0</v>
      </c>
      <c r="AQ1093" s="7" t="s">
        <v>61</v>
      </c>
      <c r="AR1093" s="7" t="s">
        <v>0</v>
      </c>
      <c r="AS1093" s="10" t="str">
        <f>HYPERLINK("https://tessa.gazprom-neft.local/edo/card/bc536588-ba58-43a9-b195-ca069f7837a5", "https://tessa.gazprom-neft.local/edo/card/bc536588-ba58-43a9-b195-ca069f7837a5")</f>
        <v>https://tessa.gazprom-neft.local/edo/card/bc536588-ba58-43a9-b195-ca069f7837a5</v>
      </c>
    </row>
    <row r="1094" spans="1:45" x14ac:dyDescent="0.25">
      <c r="A1094" s="6" t="s">
        <v>44</v>
      </c>
      <c r="B1094" s="7" t="s">
        <v>1328</v>
      </c>
      <c r="C1094" s="7" t="s">
        <v>67</v>
      </c>
      <c r="D1094" s="8">
        <v>45075</v>
      </c>
      <c r="E1094" s="8" t="s">
        <v>0</v>
      </c>
      <c r="F1094" s="16" t="s">
        <v>1329</v>
      </c>
      <c r="G1094" s="7" t="s">
        <v>1330</v>
      </c>
      <c r="H1094" s="7" t="s">
        <v>3941</v>
      </c>
      <c r="I1094" s="7" t="s">
        <v>0</v>
      </c>
      <c r="J1094" s="7" t="s">
        <v>872</v>
      </c>
      <c r="K1094" s="7" t="s">
        <v>47</v>
      </c>
      <c r="L1094" s="7" t="s">
        <v>48</v>
      </c>
      <c r="M1094" s="7" t="s">
        <v>0</v>
      </c>
      <c r="N1094" s="7" t="s">
        <v>3940</v>
      </c>
      <c r="O1094" s="7" t="s">
        <v>0</v>
      </c>
      <c r="P1094" s="7" t="s">
        <v>2371</v>
      </c>
      <c r="Q1094" s="7" t="s">
        <v>3942</v>
      </c>
      <c r="R1094" s="7" t="s">
        <v>166</v>
      </c>
      <c r="S1094" s="7" t="s">
        <v>166</v>
      </c>
      <c r="T1094" s="7" t="s">
        <v>54</v>
      </c>
      <c r="U1094" s="7" t="s">
        <v>167</v>
      </c>
      <c r="V1094" s="7" t="s">
        <v>308</v>
      </c>
      <c r="W1094" s="7" t="s">
        <v>57</v>
      </c>
      <c r="X1094" s="7" t="s">
        <v>58</v>
      </c>
      <c r="Y1094" s="8">
        <v>45078</v>
      </c>
      <c r="Z1094" s="8" t="s">
        <v>0</v>
      </c>
      <c r="AA1094" s="7" t="s">
        <v>309</v>
      </c>
      <c r="AB1094" s="7" t="s">
        <v>130</v>
      </c>
      <c r="AC1094" s="7" t="s">
        <v>79</v>
      </c>
      <c r="AD1094" s="7" t="s">
        <v>144</v>
      </c>
      <c r="AE1094" s="7" t="s">
        <v>82</v>
      </c>
      <c r="AF1094" s="7" t="s">
        <v>0</v>
      </c>
      <c r="AG1094" s="7" t="s">
        <v>0</v>
      </c>
      <c r="AH1094" s="9" t="s">
        <v>11874</v>
      </c>
      <c r="AI1094" s="9" t="s">
        <v>11875</v>
      </c>
      <c r="AJ1094" s="9" t="s">
        <v>11876</v>
      </c>
      <c r="AK1094" s="7" t="s">
        <v>61</v>
      </c>
      <c r="AL1094" s="7" t="s">
        <v>61</v>
      </c>
      <c r="AM1094" s="7" t="s">
        <v>0</v>
      </c>
      <c r="AN1094" s="7" t="s">
        <v>0</v>
      </c>
      <c r="AO1094" s="7" t="s">
        <v>0</v>
      </c>
      <c r="AP1094" s="7" t="s">
        <v>0</v>
      </c>
      <c r="AQ1094" s="7" t="s">
        <v>61</v>
      </c>
      <c r="AR1094" s="7" t="s">
        <v>0</v>
      </c>
      <c r="AS1094" s="10" t="str">
        <f>HYPERLINK("https://tessa.gazprom-neft.local/edo/card/091c5da9-4052-40ae-a254-1214deac8645", "https://tessa.gazprom-neft.local/edo/card/091c5da9-4052-40ae-a254-1214deac8645")</f>
        <v>https://tessa.gazprom-neft.local/edo/card/091c5da9-4052-40ae-a254-1214deac8645</v>
      </c>
    </row>
    <row r="1095" spans="1:45" hidden="1" x14ac:dyDescent="0.25">
      <c r="A1095" s="6" t="s">
        <v>44</v>
      </c>
      <c r="B1095" s="7" t="s">
        <v>4042</v>
      </c>
      <c r="C1095" s="7" t="s">
        <v>67</v>
      </c>
      <c r="D1095" s="8">
        <v>45072</v>
      </c>
      <c r="E1095" s="8" t="s">
        <v>0</v>
      </c>
      <c r="F1095" s="16" t="s">
        <v>4043</v>
      </c>
      <c r="G1095" s="7" t="s">
        <v>4044</v>
      </c>
      <c r="H1095" s="7" t="s">
        <v>4040</v>
      </c>
      <c r="I1095" s="7" t="s">
        <v>0</v>
      </c>
      <c r="J1095" s="7" t="s">
        <v>3632</v>
      </c>
      <c r="K1095" s="7" t="s">
        <v>47</v>
      </c>
      <c r="L1095" s="7" t="s">
        <v>1858</v>
      </c>
      <c r="M1095" s="7" t="s">
        <v>0</v>
      </c>
      <c r="N1095" s="7" t="s">
        <v>4039</v>
      </c>
      <c r="O1095" s="7" t="s">
        <v>0</v>
      </c>
      <c r="P1095" s="7" t="s">
        <v>4041</v>
      </c>
      <c r="Q1095" s="7" t="s">
        <v>3633</v>
      </c>
      <c r="R1095" s="7" t="s">
        <v>549</v>
      </c>
      <c r="S1095" s="7" t="s">
        <v>549</v>
      </c>
      <c r="T1095" s="7" t="s">
        <v>54</v>
      </c>
      <c r="U1095" s="7" t="s">
        <v>303</v>
      </c>
      <c r="V1095" s="7" t="s">
        <v>137</v>
      </c>
      <c r="W1095" s="7" t="s">
        <v>57</v>
      </c>
      <c r="X1095" s="7" t="s">
        <v>58</v>
      </c>
      <c r="Y1095" s="8">
        <v>45071</v>
      </c>
      <c r="Z1095" s="8" t="s">
        <v>0</v>
      </c>
      <c r="AA1095" s="7" t="s">
        <v>0</v>
      </c>
      <c r="AB1095" s="7" t="s">
        <v>192</v>
      </c>
      <c r="AC1095" s="7" t="s">
        <v>65</v>
      </c>
      <c r="AD1095" s="7" t="s">
        <v>80</v>
      </c>
      <c r="AE1095" s="7" t="s">
        <v>0</v>
      </c>
      <c r="AF1095" s="7" t="s">
        <v>0</v>
      </c>
      <c r="AG1095" s="7" t="s">
        <v>0</v>
      </c>
      <c r="AH1095" s="9" t="s">
        <v>0</v>
      </c>
      <c r="AI1095" s="9" t="s">
        <v>0</v>
      </c>
      <c r="AJ1095" s="9" t="s">
        <v>0</v>
      </c>
      <c r="AK1095" s="7" t="s">
        <v>61</v>
      </c>
      <c r="AL1095" s="7" t="s">
        <v>61</v>
      </c>
      <c r="AM1095" s="7" t="s">
        <v>0</v>
      </c>
      <c r="AN1095" s="7" t="s">
        <v>0</v>
      </c>
      <c r="AO1095" s="7" t="s">
        <v>0</v>
      </c>
      <c r="AP1095" s="7" t="s">
        <v>0</v>
      </c>
      <c r="AQ1095" s="7" t="s">
        <v>61</v>
      </c>
      <c r="AR1095" s="7" t="s">
        <v>0</v>
      </c>
      <c r="AS1095" s="10" t="str">
        <f>HYPERLINK("https://tessa.gazprom-neft.local/edo/card/b5bda538-0df2-45a4-9094-fbce3ef9df56", "https://tessa.gazprom-neft.local/edo/card/b5bda538-0df2-45a4-9094-fbce3ef9df56")</f>
        <v>https://tessa.gazprom-neft.local/edo/card/b5bda538-0df2-45a4-9094-fbce3ef9df56</v>
      </c>
    </row>
    <row r="1096" spans="1:45" x14ac:dyDescent="0.25">
      <c r="A1096" s="6" t="s">
        <v>44</v>
      </c>
      <c r="B1096" s="7" t="s">
        <v>1495</v>
      </c>
      <c r="C1096" s="7" t="s">
        <v>67</v>
      </c>
      <c r="D1096" s="8">
        <v>45071</v>
      </c>
      <c r="E1096" s="8" t="s">
        <v>0</v>
      </c>
      <c r="F1096" s="16" t="s">
        <v>1496</v>
      </c>
      <c r="G1096" s="7" t="s">
        <v>1497</v>
      </c>
      <c r="H1096" s="7" t="s">
        <v>1492</v>
      </c>
      <c r="I1096" s="7" t="s">
        <v>0</v>
      </c>
      <c r="J1096" s="7" t="s">
        <v>872</v>
      </c>
      <c r="K1096" s="7" t="s">
        <v>47</v>
      </c>
      <c r="L1096" s="7" t="s">
        <v>48</v>
      </c>
      <c r="M1096" s="7" t="s">
        <v>0</v>
      </c>
      <c r="N1096" s="7" t="s">
        <v>3974</v>
      </c>
      <c r="O1096" s="7" t="s">
        <v>0</v>
      </c>
      <c r="P1096" s="7" t="s">
        <v>3975</v>
      </c>
      <c r="Q1096" s="7" t="s">
        <v>3976</v>
      </c>
      <c r="R1096" s="7" t="s">
        <v>505</v>
      </c>
      <c r="S1096" s="7" t="s">
        <v>3144</v>
      </c>
      <c r="T1096" s="7" t="s">
        <v>54</v>
      </c>
      <c r="U1096" s="7" t="s">
        <v>210</v>
      </c>
      <c r="V1096" s="7" t="s">
        <v>56</v>
      </c>
      <c r="W1096" s="7" t="s">
        <v>74</v>
      </c>
      <c r="X1096" s="7" t="s">
        <v>103</v>
      </c>
      <c r="Y1096" s="8">
        <v>45017</v>
      </c>
      <c r="Z1096" s="8">
        <v>45504</v>
      </c>
      <c r="AA1096" s="7" t="s">
        <v>0</v>
      </c>
      <c r="AB1096" s="7" t="s">
        <v>1498</v>
      </c>
      <c r="AC1096" s="7" t="s">
        <v>65</v>
      </c>
      <c r="AD1096" s="7" t="s">
        <v>80</v>
      </c>
      <c r="AE1096" s="7" t="s">
        <v>0</v>
      </c>
      <c r="AF1096" s="7" t="s">
        <v>0</v>
      </c>
      <c r="AG1096" s="7" t="s">
        <v>0</v>
      </c>
      <c r="AH1096" s="9" t="s">
        <v>0</v>
      </c>
      <c r="AI1096" s="9" t="s">
        <v>0</v>
      </c>
      <c r="AJ1096" s="9" t="s">
        <v>0</v>
      </c>
      <c r="AK1096" s="7" t="s">
        <v>61</v>
      </c>
      <c r="AL1096" s="7" t="s">
        <v>61</v>
      </c>
      <c r="AM1096" s="7" t="s">
        <v>0</v>
      </c>
      <c r="AN1096" s="7" t="s">
        <v>0</v>
      </c>
      <c r="AO1096" s="7" t="s">
        <v>0</v>
      </c>
      <c r="AP1096" s="7" t="s">
        <v>0</v>
      </c>
      <c r="AQ1096" s="7" t="s">
        <v>61</v>
      </c>
      <c r="AR1096" s="7" t="s">
        <v>0</v>
      </c>
      <c r="AS1096" s="10" t="str">
        <f>HYPERLINK("https://tessa.gazprom-neft.local/edo/card/19b89be3-9fed-41fb-a8d6-3f124b0d1f50", "https://tessa.gazprom-neft.local/edo/card/19b89be3-9fed-41fb-a8d6-3f124b0d1f50")</f>
        <v>https://tessa.gazprom-neft.local/edo/card/19b89be3-9fed-41fb-a8d6-3f124b0d1f50</v>
      </c>
    </row>
    <row r="1097" spans="1:45" x14ac:dyDescent="0.25">
      <c r="A1097" s="6" t="s">
        <v>44</v>
      </c>
      <c r="B1097" s="7" t="s">
        <v>971</v>
      </c>
      <c r="C1097" s="7" t="s">
        <v>67</v>
      </c>
      <c r="D1097" s="8">
        <v>45071</v>
      </c>
      <c r="E1097" s="8" t="s">
        <v>0</v>
      </c>
      <c r="F1097" s="16" t="s">
        <v>972</v>
      </c>
      <c r="G1097" s="7" t="s">
        <v>973</v>
      </c>
      <c r="H1097" s="7" t="s">
        <v>968</v>
      </c>
      <c r="I1097" s="7" t="s">
        <v>0</v>
      </c>
      <c r="J1097" s="7" t="s">
        <v>156</v>
      </c>
      <c r="K1097" s="7" t="s">
        <v>47</v>
      </c>
      <c r="L1097" s="7" t="s">
        <v>48</v>
      </c>
      <c r="M1097" s="7" t="s">
        <v>0</v>
      </c>
      <c r="N1097" s="7" t="s">
        <v>3982</v>
      </c>
      <c r="O1097" s="7" t="s">
        <v>0</v>
      </c>
      <c r="P1097" s="7" t="s">
        <v>3983</v>
      </c>
      <c r="Q1097" s="7" t="s">
        <v>3984</v>
      </c>
      <c r="R1097" s="7" t="s">
        <v>3298</v>
      </c>
      <c r="S1097" s="7" t="s">
        <v>3298</v>
      </c>
      <c r="T1097" s="7" t="s">
        <v>54</v>
      </c>
      <c r="U1097" s="7" t="s">
        <v>303</v>
      </c>
      <c r="V1097" s="7" t="s">
        <v>91</v>
      </c>
      <c r="W1097" s="7" t="s">
        <v>74</v>
      </c>
      <c r="X1097" s="7" t="s">
        <v>103</v>
      </c>
      <c r="Y1097" s="8">
        <v>45071</v>
      </c>
      <c r="Z1097" s="8">
        <v>45716</v>
      </c>
      <c r="AA1097" s="7" t="s">
        <v>92</v>
      </c>
      <c r="AB1097" s="7" t="s">
        <v>64</v>
      </c>
      <c r="AC1097" s="7" t="s">
        <v>79</v>
      </c>
      <c r="AD1097" s="7" t="s">
        <v>80</v>
      </c>
      <c r="AE1097" s="7" t="s">
        <v>118</v>
      </c>
      <c r="AF1097" s="7" t="s">
        <v>0</v>
      </c>
      <c r="AG1097" s="7" t="s">
        <v>0</v>
      </c>
      <c r="AH1097" s="9" t="s">
        <v>10984</v>
      </c>
      <c r="AI1097" s="9" t="s">
        <v>10984</v>
      </c>
      <c r="AJ1097" s="9">
        <v>0</v>
      </c>
      <c r="AK1097" s="7" t="s">
        <v>61</v>
      </c>
      <c r="AL1097" s="7" t="s">
        <v>61</v>
      </c>
      <c r="AM1097" s="7" t="s">
        <v>0</v>
      </c>
      <c r="AN1097" s="7" t="s">
        <v>0</v>
      </c>
      <c r="AO1097" s="7" t="s">
        <v>0</v>
      </c>
      <c r="AP1097" s="7" t="s">
        <v>0</v>
      </c>
      <c r="AQ1097" s="7" t="s">
        <v>61</v>
      </c>
      <c r="AR1097" s="7" t="s">
        <v>0</v>
      </c>
      <c r="AS1097" s="10" t="str">
        <f>HYPERLINK("https://tessa.gazprom-neft.local/edo/card/baccf658-b4dd-4d91-befa-ce7bc4ffae08", "https://tessa.gazprom-neft.local/edo/card/baccf658-b4dd-4d91-befa-ce7bc4ffae08")</f>
        <v>https://tessa.gazprom-neft.local/edo/card/baccf658-b4dd-4d91-befa-ce7bc4ffae08</v>
      </c>
    </row>
    <row r="1098" spans="1:45" x14ac:dyDescent="0.25">
      <c r="A1098" s="6" t="s">
        <v>44</v>
      </c>
      <c r="B1098" s="7" t="s">
        <v>1593</v>
      </c>
      <c r="C1098" s="7" t="s">
        <v>67</v>
      </c>
      <c r="D1098" s="8">
        <v>45070</v>
      </c>
      <c r="E1098" s="8" t="s">
        <v>0</v>
      </c>
      <c r="F1098" s="16" t="s">
        <v>1594</v>
      </c>
      <c r="G1098" s="7" t="s">
        <v>1595</v>
      </c>
      <c r="H1098" s="7" t="s">
        <v>4022</v>
      </c>
      <c r="I1098" s="7" t="s">
        <v>0</v>
      </c>
      <c r="J1098" s="7" t="s">
        <v>936</v>
      </c>
      <c r="K1098" s="7" t="s">
        <v>47</v>
      </c>
      <c r="L1098" s="7" t="s">
        <v>48</v>
      </c>
      <c r="M1098" s="7" t="s">
        <v>0</v>
      </c>
      <c r="N1098" s="7" t="s">
        <v>4021</v>
      </c>
      <c r="O1098" s="7" t="s">
        <v>0</v>
      </c>
      <c r="P1098" s="7" t="s">
        <v>4023</v>
      </c>
      <c r="Q1098" s="7" t="s">
        <v>4024</v>
      </c>
      <c r="R1098" s="7" t="s">
        <v>1575</v>
      </c>
      <c r="S1098" s="7" t="s">
        <v>381</v>
      </c>
      <c r="T1098" s="7" t="s">
        <v>54</v>
      </c>
      <c r="U1098" s="7" t="s">
        <v>222</v>
      </c>
      <c r="V1098" s="7" t="s">
        <v>382</v>
      </c>
      <c r="W1098" s="7" t="s">
        <v>57</v>
      </c>
      <c r="X1098" s="7" t="s">
        <v>58</v>
      </c>
      <c r="Y1098" s="8">
        <v>45070</v>
      </c>
      <c r="Z1098" s="8" t="s">
        <v>0</v>
      </c>
      <c r="AA1098" s="7" t="s">
        <v>383</v>
      </c>
      <c r="AB1098" s="7" t="s">
        <v>387</v>
      </c>
      <c r="AC1098" s="7" t="s">
        <v>65</v>
      </c>
      <c r="AD1098" s="7" t="s">
        <v>0</v>
      </c>
      <c r="AE1098" s="7" t="s">
        <v>0</v>
      </c>
      <c r="AF1098" s="7" t="s">
        <v>0</v>
      </c>
      <c r="AG1098" s="7" t="s">
        <v>0</v>
      </c>
      <c r="AH1098" s="9" t="s">
        <v>0</v>
      </c>
      <c r="AI1098" s="9" t="s">
        <v>0</v>
      </c>
      <c r="AJ1098" s="9" t="s">
        <v>0</v>
      </c>
      <c r="AK1098" s="7" t="s">
        <v>61</v>
      </c>
      <c r="AL1098" s="7" t="s">
        <v>61</v>
      </c>
      <c r="AM1098" s="7" t="s">
        <v>0</v>
      </c>
      <c r="AN1098" s="7" t="s">
        <v>0</v>
      </c>
      <c r="AO1098" s="7" t="s">
        <v>0</v>
      </c>
      <c r="AP1098" s="7" t="s">
        <v>0</v>
      </c>
      <c r="AQ1098" s="7" t="s">
        <v>61</v>
      </c>
      <c r="AR1098" s="7" t="s">
        <v>0</v>
      </c>
      <c r="AS1098" s="10" t="str">
        <f>HYPERLINK("https://tessa.gazprom-neft.local/edo/card/3520b5a9-6a8d-48e2-953e-20c9ec933701", "https://tessa.gazprom-neft.local/edo/card/3520b5a9-6a8d-48e2-953e-20c9ec933701")</f>
        <v>https://tessa.gazprom-neft.local/edo/card/3520b5a9-6a8d-48e2-953e-20c9ec933701</v>
      </c>
    </row>
    <row r="1099" spans="1:45" x14ac:dyDescent="0.25">
      <c r="A1099" s="6" t="s">
        <v>44</v>
      </c>
      <c r="B1099" s="7" t="s">
        <v>1691</v>
      </c>
      <c r="C1099" s="7" t="s">
        <v>67</v>
      </c>
      <c r="D1099" s="8">
        <v>45070</v>
      </c>
      <c r="E1099" s="8" t="s">
        <v>0</v>
      </c>
      <c r="F1099" s="16" t="s">
        <v>1692</v>
      </c>
      <c r="G1099" s="7" t="s">
        <v>1693</v>
      </c>
      <c r="H1099" s="7" t="s">
        <v>1688</v>
      </c>
      <c r="I1099" s="7" t="s">
        <v>0</v>
      </c>
      <c r="J1099" s="7" t="s">
        <v>51</v>
      </c>
      <c r="K1099" s="7" t="s">
        <v>47</v>
      </c>
      <c r="L1099" s="7" t="s">
        <v>48</v>
      </c>
      <c r="M1099" s="7" t="s">
        <v>0</v>
      </c>
      <c r="N1099" s="7" t="s">
        <v>4303</v>
      </c>
      <c r="O1099" s="7" t="s">
        <v>0</v>
      </c>
      <c r="P1099" s="7" t="s">
        <v>4304</v>
      </c>
      <c r="Q1099" s="7" t="s">
        <v>4305</v>
      </c>
      <c r="R1099" s="7" t="s">
        <v>604</v>
      </c>
      <c r="S1099" s="7" t="s">
        <v>604</v>
      </c>
      <c r="T1099" s="7" t="s">
        <v>54</v>
      </c>
      <c r="U1099" s="7" t="s">
        <v>605</v>
      </c>
      <c r="V1099" s="7" t="s">
        <v>126</v>
      </c>
      <c r="W1099" s="7" t="s">
        <v>57</v>
      </c>
      <c r="X1099" s="7" t="s">
        <v>103</v>
      </c>
      <c r="Y1099" s="8">
        <v>45105</v>
      </c>
      <c r="Z1099" s="8">
        <v>46266</v>
      </c>
      <c r="AA1099" s="7" t="s">
        <v>224</v>
      </c>
      <c r="AB1099" s="7" t="s">
        <v>1694</v>
      </c>
      <c r="AC1099" s="7" t="s">
        <v>79</v>
      </c>
      <c r="AD1099" s="7" t="s">
        <v>80</v>
      </c>
      <c r="AE1099" s="7" t="s">
        <v>889</v>
      </c>
      <c r="AF1099" s="7" t="s">
        <v>0</v>
      </c>
      <c r="AG1099" s="7" t="s">
        <v>0</v>
      </c>
      <c r="AH1099" s="9" t="s">
        <v>12007</v>
      </c>
      <c r="AI1099" s="9" t="s">
        <v>12007</v>
      </c>
      <c r="AJ1099" s="9">
        <v>0</v>
      </c>
      <c r="AK1099" s="7" t="s">
        <v>61</v>
      </c>
      <c r="AL1099" s="7" t="s">
        <v>61</v>
      </c>
      <c r="AM1099" s="7" t="s">
        <v>0</v>
      </c>
      <c r="AN1099" s="7" t="s">
        <v>0</v>
      </c>
      <c r="AO1099" s="7" t="s">
        <v>0</v>
      </c>
      <c r="AP1099" s="7" t="s">
        <v>0</v>
      </c>
      <c r="AQ1099" s="7" t="s">
        <v>61</v>
      </c>
      <c r="AR1099" s="7" t="s">
        <v>0</v>
      </c>
      <c r="AS1099" s="10" t="str">
        <f>HYPERLINK("https://tessa.gazprom-neft.local/edo/card/7de58699-89ad-476a-bbb5-c4c8e9b4145a", "https://tessa.gazprom-neft.local/edo/card/7de58699-89ad-476a-bbb5-c4c8e9b4145a")</f>
        <v>https://tessa.gazprom-neft.local/edo/card/7de58699-89ad-476a-bbb5-c4c8e9b4145a</v>
      </c>
    </row>
    <row r="1100" spans="1:45" hidden="1" x14ac:dyDescent="0.25">
      <c r="A1100" s="6" t="s">
        <v>44</v>
      </c>
      <c r="B1100" s="7" t="s">
        <v>1775</v>
      </c>
      <c r="C1100" s="7" t="s">
        <v>67</v>
      </c>
      <c r="D1100" s="8">
        <v>45069</v>
      </c>
      <c r="E1100" s="8" t="s">
        <v>0</v>
      </c>
      <c r="F1100" s="16" t="s">
        <v>1776</v>
      </c>
      <c r="G1100" s="7" t="s">
        <v>1777</v>
      </c>
      <c r="H1100" s="7" t="s">
        <v>0</v>
      </c>
      <c r="I1100" s="7" t="s">
        <v>3889</v>
      </c>
      <c r="J1100" s="7" t="s">
        <v>3889</v>
      </c>
      <c r="K1100" s="7" t="s">
        <v>47</v>
      </c>
      <c r="L1100" s="7" t="s">
        <v>86</v>
      </c>
      <c r="M1100" s="7" t="s">
        <v>0</v>
      </c>
      <c r="N1100" s="7" t="s">
        <v>3888</v>
      </c>
      <c r="O1100" s="7" t="s">
        <v>0</v>
      </c>
      <c r="P1100" s="7" t="s">
        <v>237</v>
      </c>
      <c r="Q1100" s="7" t="s">
        <v>3890</v>
      </c>
      <c r="R1100" s="7" t="s">
        <v>1774</v>
      </c>
      <c r="S1100" s="7" t="s">
        <v>1774</v>
      </c>
      <c r="T1100" s="7" t="s">
        <v>54</v>
      </c>
      <c r="U1100" s="7" t="s">
        <v>307</v>
      </c>
      <c r="V1100" s="7" t="s">
        <v>56</v>
      </c>
      <c r="W1100" s="7" t="s">
        <v>74</v>
      </c>
      <c r="X1100" s="7" t="s">
        <v>223</v>
      </c>
      <c r="Y1100" s="8">
        <v>45069</v>
      </c>
      <c r="Z1100" s="8" t="s">
        <v>0</v>
      </c>
      <c r="AA1100" s="7" t="s">
        <v>0</v>
      </c>
      <c r="AB1100" s="7" t="s">
        <v>237</v>
      </c>
      <c r="AC1100" s="7" t="s">
        <v>65</v>
      </c>
      <c r="AD1100" s="7" t="s">
        <v>0</v>
      </c>
      <c r="AE1100" s="7" t="s">
        <v>0</v>
      </c>
      <c r="AF1100" s="7" t="s">
        <v>0</v>
      </c>
      <c r="AG1100" s="7" t="s">
        <v>0</v>
      </c>
      <c r="AH1100" s="9" t="s">
        <v>0</v>
      </c>
      <c r="AI1100" s="9" t="s">
        <v>0</v>
      </c>
      <c r="AJ1100" s="9" t="s">
        <v>0</v>
      </c>
      <c r="AK1100" s="7" t="s">
        <v>61</v>
      </c>
      <c r="AL1100" s="7" t="s">
        <v>61</v>
      </c>
      <c r="AM1100" s="7" t="s">
        <v>0</v>
      </c>
      <c r="AN1100" s="7" t="s">
        <v>0</v>
      </c>
      <c r="AO1100" s="7" t="s">
        <v>0</v>
      </c>
      <c r="AP1100" s="7" t="s">
        <v>0</v>
      </c>
      <c r="AQ1100" s="7" t="s">
        <v>61</v>
      </c>
      <c r="AR1100" s="7" t="s">
        <v>0</v>
      </c>
      <c r="AS1100" s="10" t="str">
        <f>HYPERLINK("https://tessa.gazprom-neft.local/edo/card/be351816-fd4b-49c3-99d8-b76b64d71cd5", "https://tessa.gazprom-neft.local/edo/card/be351816-fd4b-49c3-99d8-b76b64d71cd5")</f>
        <v>https://tessa.gazprom-neft.local/edo/card/be351816-fd4b-49c3-99d8-b76b64d71cd5</v>
      </c>
    </row>
    <row r="1101" spans="1:45" hidden="1" x14ac:dyDescent="0.25">
      <c r="A1101" s="6" t="s">
        <v>44</v>
      </c>
      <c r="B1101" s="7" t="s">
        <v>0</v>
      </c>
      <c r="C1101" s="7" t="s">
        <v>67</v>
      </c>
      <c r="D1101" s="8">
        <v>45068</v>
      </c>
      <c r="E1101" s="8" t="s">
        <v>0</v>
      </c>
      <c r="F1101" s="16" t="s">
        <v>3676</v>
      </c>
      <c r="G1101" s="7" t="s">
        <v>0</v>
      </c>
      <c r="H1101" s="7" t="s">
        <v>0</v>
      </c>
      <c r="I1101" s="7" t="s">
        <v>3674</v>
      </c>
      <c r="J1101" s="7" t="s">
        <v>3674</v>
      </c>
      <c r="K1101" s="7" t="s">
        <v>85</v>
      </c>
      <c r="L1101" s="7" t="s">
        <v>96</v>
      </c>
      <c r="M1101" s="7" t="s">
        <v>183</v>
      </c>
      <c r="N1101" s="7" t="s">
        <v>3673</v>
      </c>
      <c r="O1101" s="7" t="s">
        <v>0</v>
      </c>
      <c r="P1101" s="7" t="s">
        <v>183</v>
      </c>
      <c r="Q1101" s="7" t="s">
        <v>3675</v>
      </c>
      <c r="R1101" s="7" t="s">
        <v>2349</v>
      </c>
      <c r="S1101" s="7" t="s">
        <v>2349</v>
      </c>
      <c r="T1101" s="7" t="s">
        <v>54</v>
      </c>
      <c r="U1101" s="7" t="s">
        <v>362</v>
      </c>
      <c r="V1101" s="7" t="s">
        <v>137</v>
      </c>
      <c r="W1101" s="7" t="s">
        <v>57</v>
      </c>
      <c r="X1101" s="7" t="s">
        <v>103</v>
      </c>
      <c r="Y1101" s="8">
        <v>45068</v>
      </c>
      <c r="Z1101" s="8">
        <v>45291</v>
      </c>
      <c r="AA1101" s="7" t="s">
        <v>0</v>
      </c>
      <c r="AB1101" s="7" t="s">
        <v>192</v>
      </c>
      <c r="AC1101" s="7" t="s">
        <v>79</v>
      </c>
      <c r="AD1101" s="7" t="s">
        <v>514</v>
      </c>
      <c r="AE1101" s="7" t="s">
        <v>193</v>
      </c>
      <c r="AF1101" s="7" t="s">
        <v>0</v>
      </c>
      <c r="AG1101" s="7" t="s">
        <v>0</v>
      </c>
      <c r="AH1101" s="9" t="s">
        <v>11778</v>
      </c>
      <c r="AI1101" s="9" t="s">
        <v>11779</v>
      </c>
      <c r="AJ1101" s="9" t="s">
        <v>11780</v>
      </c>
      <c r="AK1101" s="7" t="s">
        <v>61</v>
      </c>
      <c r="AL1101" s="7" t="s">
        <v>61</v>
      </c>
      <c r="AM1101" s="7" t="s">
        <v>0</v>
      </c>
      <c r="AN1101" s="7" t="s">
        <v>0</v>
      </c>
      <c r="AO1101" s="7" t="s">
        <v>0</v>
      </c>
      <c r="AP1101" s="7" t="s">
        <v>0</v>
      </c>
      <c r="AQ1101" s="7" t="s">
        <v>61</v>
      </c>
      <c r="AR1101" s="7" t="s">
        <v>0</v>
      </c>
      <c r="AS1101" s="10" t="str">
        <f>HYPERLINK("https://tessa.gazprom-neft.local/edo/card/bfd97647-9037-45b9-a744-c6c15289a25d", "https://tessa.gazprom-neft.local/edo/card/bfd97647-9037-45b9-a744-c6c15289a25d")</f>
        <v>https://tessa.gazprom-neft.local/edo/card/bfd97647-9037-45b9-a744-c6c15289a25d</v>
      </c>
    </row>
    <row r="1102" spans="1:45" hidden="1" x14ac:dyDescent="0.25">
      <c r="A1102" s="6" t="s">
        <v>44</v>
      </c>
      <c r="B1102" s="7" t="s">
        <v>1279</v>
      </c>
      <c r="C1102" s="7" t="s">
        <v>67</v>
      </c>
      <c r="D1102" s="8">
        <v>45068</v>
      </c>
      <c r="E1102" s="8" t="s">
        <v>0</v>
      </c>
      <c r="F1102" s="16" t="s">
        <v>1280</v>
      </c>
      <c r="G1102" s="7" t="s">
        <v>1281</v>
      </c>
      <c r="H1102" s="7" t="s">
        <v>1275</v>
      </c>
      <c r="I1102" s="7" t="s">
        <v>0</v>
      </c>
      <c r="J1102" s="7" t="s">
        <v>872</v>
      </c>
      <c r="K1102" s="7" t="s">
        <v>47</v>
      </c>
      <c r="L1102" s="7" t="s">
        <v>239</v>
      </c>
      <c r="M1102" s="7" t="s">
        <v>0</v>
      </c>
      <c r="N1102" s="7" t="s">
        <v>3739</v>
      </c>
      <c r="O1102" s="7" t="s">
        <v>0</v>
      </c>
      <c r="P1102" s="7" t="s">
        <v>3740</v>
      </c>
      <c r="Q1102" s="7" t="s">
        <v>2988</v>
      </c>
      <c r="R1102" s="7" t="s">
        <v>891</v>
      </c>
      <c r="S1102" s="7" t="s">
        <v>891</v>
      </c>
      <c r="T1102" s="7" t="s">
        <v>54</v>
      </c>
      <c r="U1102" s="7" t="s">
        <v>892</v>
      </c>
      <c r="V1102" s="7" t="s">
        <v>340</v>
      </c>
      <c r="W1102" s="7" t="s">
        <v>74</v>
      </c>
      <c r="X1102" s="7" t="s">
        <v>58</v>
      </c>
      <c r="Y1102" s="8">
        <v>45068</v>
      </c>
      <c r="Z1102" s="8" t="s">
        <v>0</v>
      </c>
      <c r="AA1102" s="7" t="s">
        <v>341</v>
      </c>
      <c r="AB1102" s="7" t="s">
        <v>256</v>
      </c>
      <c r="AC1102" s="7" t="s">
        <v>79</v>
      </c>
      <c r="AD1102" s="7" t="s">
        <v>144</v>
      </c>
      <c r="AE1102" s="7" t="s">
        <v>82</v>
      </c>
      <c r="AF1102" s="7" t="s">
        <v>0</v>
      </c>
      <c r="AG1102" s="7" t="s">
        <v>0</v>
      </c>
      <c r="AH1102" s="9" t="s">
        <v>11519</v>
      </c>
      <c r="AI1102" s="9" t="s">
        <v>11520</v>
      </c>
      <c r="AJ1102" s="9" t="s">
        <v>11521</v>
      </c>
      <c r="AK1102" s="7" t="s">
        <v>61</v>
      </c>
      <c r="AL1102" s="7" t="s">
        <v>61</v>
      </c>
      <c r="AM1102" s="7" t="s">
        <v>0</v>
      </c>
      <c r="AN1102" s="7" t="s">
        <v>0</v>
      </c>
      <c r="AO1102" s="7" t="s">
        <v>0</v>
      </c>
      <c r="AP1102" s="7" t="s">
        <v>0</v>
      </c>
      <c r="AQ1102" s="7" t="s">
        <v>61</v>
      </c>
      <c r="AR1102" s="7" t="s">
        <v>0</v>
      </c>
      <c r="AS1102" s="10" t="str">
        <f>HYPERLINK("https://tessa.gazprom-neft.local/edo/card/56bf868b-45fc-4bfd-9dea-130222cdd62f", "https://tessa.gazprom-neft.local/edo/card/56bf868b-45fc-4bfd-9dea-130222cdd62f")</f>
        <v>https://tessa.gazprom-neft.local/edo/card/56bf868b-45fc-4bfd-9dea-130222cdd62f</v>
      </c>
    </row>
    <row r="1103" spans="1:45" hidden="1" x14ac:dyDescent="0.25">
      <c r="A1103" s="6" t="s">
        <v>44</v>
      </c>
      <c r="B1103" s="7" t="s">
        <v>3766</v>
      </c>
      <c r="C1103" s="7" t="s">
        <v>67</v>
      </c>
      <c r="D1103" s="8">
        <v>45068</v>
      </c>
      <c r="E1103" s="8" t="s">
        <v>0</v>
      </c>
      <c r="F1103" s="16" t="s">
        <v>3767</v>
      </c>
      <c r="G1103" s="7" t="s">
        <v>3768</v>
      </c>
      <c r="H1103" s="7" t="s">
        <v>0</v>
      </c>
      <c r="I1103" s="7" t="s">
        <v>3763</v>
      </c>
      <c r="J1103" s="7" t="s">
        <v>3763</v>
      </c>
      <c r="K1103" s="7" t="s">
        <v>47</v>
      </c>
      <c r="L1103" s="7" t="s">
        <v>96</v>
      </c>
      <c r="M1103" s="7" t="s">
        <v>0</v>
      </c>
      <c r="N1103" s="7" t="s">
        <v>3762</v>
      </c>
      <c r="O1103" s="7" t="s">
        <v>0</v>
      </c>
      <c r="P1103" s="7" t="s">
        <v>3764</v>
      </c>
      <c r="Q1103" s="7" t="s">
        <v>3765</v>
      </c>
      <c r="R1103" s="7" t="s">
        <v>549</v>
      </c>
      <c r="S1103" s="7" t="s">
        <v>549</v>
      </c>
      <c r="T1103" s="7" t="s">
        <v>54</v>
      </c>
      <c r="U1103" s="7" t="s">
        <v>303</v>
      </c>
      <c r="V1103" s="7" t="s">
        <v>91</v>
      </c>
      <c r="W1103" s="7" t="s">
        <v>57</v>
      </c>
      <c r="X1103" s="7" t="s">
        <v>103</v>
      </c>
      <c r="Y1103" s="8">
        <v>45068</v>
      </c>
      <c r="Z1103" s="8">
        <v>45142</v>
      </c>
      <c r="AA1103" s="7" t="s">
        <v>92</v>
      </c>
      <c r="AB1103" s="7" t="s">
        <v>64</v>
      </c>
      <c r="AC1103" s="7" t="s">
        <v>79</v>
      </c>
      <c r="AD1103" s="7" t="s">
        <v>80</v>
      </c>
      <c r="AE1103" s="7" t="s">
        <v>82</v>
      </c>
      <c r="AF1103" s="7" t="s">
        <v>0</v>
      </c>
      <c r="AG1103" s="7" t="s">
        <v>0</v>
      </c>
      <c r="AH1103" s="9" t="s">
        <v>11807</v>
      </c>
      <c r="AI1103" s="9" t="s">
        <v>11808</v>
      </c>
      <c r="AJ1103" s="9" t="s">
        <v>11809</v>
      </c>
      <c r="AK1103" s="7" t="s">
        <v>61</v>
      </c>
      <c r="AL1103" s="7" t="s">
        <v>61</v>
      </c>
      <c r="AM1103" s="7" t="s">
        <v>0</v>
      </c>
      <c r="AN1103" s="7" t="s">
        <v>0</v>
      </c>
      <c r="AO1103" s="7" t="s">
        <v>0</v>
      </c>
      <c r="AP1103" s="7" t="s">
        <v>0</v>
      </c>
      <c r="AQ1103" s="7" t="s">
        <v>61</v>
      </c>
      <c r="AR1103" s="7" t="s">
        <v>0</v>
      </c>
      <c r="AS1103" s="10" t="str">
        <f>HYPERLINK("https://tessa.gazprom-neft.local/edo/card/e86ae07d-39ac-4c58-b233-d575b652fca4", "https://tessa.gazprom-neft.local/edo/card/e86ae07d-39ac-4c58-b233-d575b652fca4")</f>
        <v>https://tessa.gazprom-neft.local/edo/card/e86ae07d-39ac-4c58-b233-d575b652fca4</v>
      </c>
    </row>
    <row r="1104" spans="1:45" hidden="1" x14ac:dyDescent="0.25">
      <c r="A1104" s="6" t="s">
        <v>44</v>
      </c>
      <c r="B1104" s="7" t="s">
        <v>661</v>
      </c>
      <c r="C1104" s="7" t="s">
        <v>67</v>
      </c>
      <c r="D1104" s="8">
        <v>45066</v>
      </c>
      <c r="E1104" s="8" t="s">
        <v>0</v>
      </c>
      <c r="F1104" s="16" t="s">
        <v>662</v>
      </c>
      <c r="G1104" s="7" t="s">
        <v>663</v>
      </c>
      <c r="H1104" s="7" t="s">
        <v>3040</v>
      </c>
      <c r="I1104" s="7" t="s">
        <v>0</v>
      </c>
      <c r="J1104" s="7" t="s">
        <v>3838</v>
      </c>
      <c r="K1104" s="7" t="s">
        <v>47</v>
      </c>
      <c r="L1104" s="7" t="s">
        <v>763</v>
      </c>
      <c r="M1104" s="7" t="s">
        <v>0</v>
      </c>
      <c r="N1104" s="7" t="s">
        <v>3836</v>
      </c>
      <c r="O1104" s="7" t="s">
        <v>0</v>
      </c>
      <c r="P1104" s="7" t="s">
        <v>3837</v>
      </c>
      <c r="Q1104" s="7" t="s">
        <v>3839</v>
      </c>
      <c r="R1104" s="7" t="s">
        <v>768</v>
      </c>
      <c r="S1104" s="7" t="s">
        <v>714</v>
      </c>
      <c r="T1104" s="7" t="s">
        <v>54</v>
      </c>
      <c r="U1104" s="7" t="s">
        <v>283</v>
      </c>
      <c r="V1104" s="7" t="s">
        <v>308</v>
      </c>
      <c r="W1104" s="7" t="s">
        <v>74</v>
      </c>
      <c r="X1104" s="7" t="s">
        <v>103</v>
      </c>
      <c r="Y1104" s="8">
        <v>45066</v>
      </c>
      <c r="Z1104" s="8">
        <v>45138</v>
      </c>
      <c r="AA1104" s="7" t="s">
        <v>309</v>
      </c>
      <c r="AB1104" s="7" t="s">
        <v>130</v>
      </c>
      <c r="AC1104" s="7" t="s">
        <v>79</v>
      </c>
      <c r="AD1104" s="7" t="s">
        <v>80</v>
      </c>
      <c r="AE1104" s="7" t="s">
        <v>82</v>
      </c>
      <c r="AF1104" s="7" t="s">
        <v>0</v>
      </c>
      <c r="AG1104" s="7" t="s">
        <v>0</v>
      </c>
      <c r="AH1104" s="9" t="s">
        <v>11832</v>
      </c>
      <c r="AI1104" s="9" t="s">
        <v>11833</v>
      </c>
      <c r="AJ1104" s="9" t="s">
        <v>11834</v>
      </c>
      <c r="AK1104" s="7" t="s">
        <v>61</v>
      </c>
      <c r="AL1104" s="7" t="s">
        <v>61</v>
      </c>
      <c r="AM1104" s="7" t="s">
        <v>0</v>
      </c>
      <c r="AN1104" s="7" t="s">
        <v>0</v>
      </c>
      <c r="AO1104" s="7" t="s">
        <v>0</v>
      </c>
      <c r="AP1104" s="7" t="s">
        <v>0</v>
      </c>
      <c r="AQ1104" s="7" t="s">
        <v>61</v>
      </c>
      <c r="AR1104" s="7" t="s">
        <v>0</v>
      </c>
      <c r="AS1104" s="10" t="str">
        <f>HYPERLINK("https://tessa.gazprom-neft.local/edo/card/7848fef7-1dd4-4369-87be-5a5a5d4e89be", "https://tessa.gazprom-neft.local/edo/card/7848fef7-1dd4-4369-87be-5a5a5d4e89be")</f>
        <v>https://tessa.gazprom-neft.local/edo/card/7848fef7-1dd4-4369-87be-5a5a5d4e89be</v>
      </c>
    </row>
    <row r="1105" spans="1:45" hidden="1" x14ac:dyDescent="0.25">
      <c r="A1105" s="6" t="s">
        <v>44</v>
      </c>
      <c r="B1105" s="7" t="s">
        <v>3574</v>
      </c>
      <c r="C1105" s="7" t="s">
        <v>67</v>
      </c>
      <c r="D1105" s="8">
        <v>45065</v>
      </c>
      <c r="E1105" s="8" t="s">
        <v>0</v>
      </c>
      <c r="F1105" s="16" t="s">
        <v>3575</v>
      </c>
      <c r="G1105" s="7" t="s">
        <v>3576</v>
      </c>
      <c r="H1105" s="7" t="s">
        <v>0</v>
      </c>
      <c r="I1105" s="7" t="s">
        <v>3571</v>
      </c>
      <c r="J1105" s="7" t="s">
        <v>3571</v>
      </c>
      <c r="K1105" s="7" t="s">
        <v>47</v>
      </c>
      <c r="L1105" s="7" t="s">
        <v>86</v>
      </c>
      <c r="M1105" s="7" t="s">
        <v>0</v>
      </c>
      <c r="N1105" s="7" t="s">
        <v>3570</v>
      </c>
      <c r="O1105" s="7" t="s">
        <v>0</v>
      </c>
      <c r="P1105" s="7" t="s">
        <v>3572</v>
      </c>
      <c r="Q1105" s="7" t="s">
        <v>3573</v>
      </c>
      <c r="R1105" s="7" t="s">
        <v>604</v>
      </c>
      <c r="S1105" s="7" t="s">
        <v>604</v>
      </c>
      <c r="T1105" s="7" t="s">
        <v>54</v>
      </c>
      <c r="U1105" s="7" t="s">
        <v>605</v>
      </c>
      <c r="V1105" s="7" t="s">
        <v>126</v>
      </c>
      <c r="W1105" s="7" t="s">
        <v>57</v>
      </c>
      <c r="X1105" s="7" t="s">
        <v>58</v>
      </c>
      <c r="Y1105" s="8">
        <v>45065</v>
      </c>
      <c r="Z1105" s="8" t="s">
        <v>0</v>
      </c>
      <c r="AA1105" s="7" t="s">
        <v>224</v>
      </c>
      <c r="AB1105" s="7" t="s">
        <v>1419</v>
      </c>
      <c r="AC1105" s="7" t="s">
        <v>79</v>
      </c>
      <c r="AD1105" s="7" t="s">
        <v>80</v>
      </c>
      <c r="AE1105" s="7" t="s">
        <v>118</v>
      </c>
      <c r="AF1105" s="7" t="s">
        <v>0</v>
      </c>
      <c r="AG1105" s="7" t="s">
        <v>0</v>
      </c>
      <c r="AH1105" s="9" t="s">
        <v>11735</v>
      </c>
      <c r="AI1105" s="9" t="s">
        <v>11735</v>
      </c>
      <c r="AJ1105" s="9">
        <v>0</v>
      </c>
      <c r="AK1105" s="7" t="s">
        <v>61</v>
      </c>
      <c r="AL1105" s="7" t="s">
        <v>61</v>
      </c>
      <c r="AM1105" s="7" t="s">
        <v>0</v>
      </c>
      <c r="AN1105" s="7" t="s">
        <v>0</v>
      </c>
      <c r="AO1105" s="7" t="s">
        <v>0</v>
      </c>
      <c r="AP1105" s="7" t="s">
        <v>0</v>
      </c>
      <c r="AQ1105" s="7" t="s">
        <v>61</v>
      </c>
      <c r="AR1105" s="7" t="s">
        <v>0</v>
      </c>
      <c r="AS1105" s="10" t="str">
        <f>HYPERLINK("https://tessa.gazprom-neft.local/edo/card/d8908b90-ca90-4653-bb8e-81bcbee2ca0c", "https://tessa.gazprom-neft.local/edo/card/d8908b90-ca90-4653-bb8e-81bcbee2ca0c")</f>
        <v>https://tessa.gazprom-neft.local/edo/card/d8908b90-ca90-4653-bb8e-81bcbee2ca0c</v>
      </c>
    </row>
    <row r="1106" spans="1:45" x14ac:dyDescent="0.25">
      <c r="A1106" s="6" t="s">
        <v>44</v>
      </c>
      <c r="B1106" s="7" t="s">
        <v>488</v>
      </c>
      <c r="C1106" s="7" t="s">
        <v>67</v>
      </c>
      <c r="D1106" s="8">
        <v>45065</v>
      </c>
      <c r="E1106" s="8" t="s">
        <v>0</v>
      </c>
      <c r="F1106" s="16" t="s">
        <v>489</v>
      </c>
      <c r="G1106" s="7" t="s">
        <v>490</v>
      </c>
      <c r="H1106" s="7" t="s">
        <v>870</v>
      </c>
      <c r="I1106" s="7" t="s">
        <v>0</v>
      </c>
      <c r="J1106" s="7" t="s">
        <v>955</v>
      </c>
      <c r="K1106" s="7" t="s">
        <v>47</v>
      </c>
      <c r="L1106" s="7" t="s">
        <v>48</v>
      </c>
      <c r="M1106" s="7" t="s">
        <v>0</v>
      </c>
      <c r="N1106" s="7" t="s">
        <v>3844</v>
      </c>
      <c r="O1106" s="7" t="s">
        <v>0</v>
      </c>
      <c r="P1106" s="7" t="s">
        <v>3845</v>
      </c>
      <c r="Q1106" s="7" t="s">
        <v>3846</v>
      </c>
      <c r="R1106" s="7" t="s">
        <v>282</v>
      </c>
      <c r="S1106" s="7" t="s">
        <v>0</v>
      </c>
      <c r="T1106" s="7" t="s">
        <v>54</v>
      </c>
      <c r="U1106" s="7" t="s">
        <v>55</v>
      </c>
      <c r="V1106" s="7" t="s">
        <v>846</v>
      </c>
      <c r="W1106" s="7" t="s">
        <v>74</v>
      </c>
      <c r="X1106" s="7" t="s">
        <v>103</v>
      </c>
      <c r="Y1106" s="8">
        <v>45065</v>
      </c>
      <c r="Z1106" s="8">
        <v>45657</v>
      </c>
      <c r="AA1106" s="7" t="s">
        <v>847</v>
      </c>
      <c r="AB1106" s="7" t="s">
        <v>130</v>
      </c>
      <c r="AC1106" s="7" t="s">
        <v>79</v>
      </c>
      <c r="AD1106" s="7" t="s">
        <v>144</v>
      </c>
      <c r="AE1106" s="7" t="s">
        <v>82</v>
      </c>
      <c r="AF1106" s="7" t="s">
        <v>0</v>
      </c>
      <c r="AG1106" s="7" t="s">
        <v>0</v>
      </c>
      <c r="AH1106" s="9" t="s">
        <v>11838</v>
      </c>
      <c r="AI1106" s="9" t="s">
        <v>11839</v>
      </c>
      <c r="AJ1106" s="9" t="s">
        <v>11840</v>
      </c>
      <c r="AK1106" s="7" t="s">
        <v>61</v>
      </c>
      <c r="AL1106" s="7" t="s">
        <v>61</v>
      </c>
      <c r="AM1106" s="7" t="s">
        <v>0</v>
      </c>
      <c r="AN1106" s="7" t="s">
        <v>0</v>
      </c>
      <c r="AO1106" s="7" t="s">
        <v>0</v>
      </c>
      <c r="AP1106" s="7" t="s">
        <v>0</v>
      </c>
      <c r="AQ1106" s="7" t="s">
        <v>61</v>
      </c>
      <c r="AR1106" s="7" t="s">
        <v>0</v>
      </c>
      <c r="AS1106" s="10" t="str">
        <f>HYPERLINK("https://tessa.gazprom-neft.local/edo/card/1409cb90-fc9d-428d-8f51-d00dd78f6223", "https://tessa.gazprom-neft.local/edo/card/1409cb90-fc9d-428d-8f51-d00dd78f6223")</f>
        <v>https://tessa.gazprom-neft.local/edo/card/1409cb90-fc9d-428d-8f51-d00dd78f6223</v>
      </c>
    </row>
    <row r="1107" spans="1:45" x14ac:dyDescent="0.25">
      <c r="A1107" s="6" t="s">
        <v>44</v>
      </c>
      <c r="B1107" s="7" t="s">
        <v>582</v>
      </c>
      <c r="C1107" s="7" t="s">
        <v>67</v>
      </c>
      <c r="D1107" s="8">
        <v>45065</v>
      </c>
      <c r="E1107" s="8" t="s">
        <v>0</v>
      </c>
      <c r="F1107" s="16" t="s">
        <v>583</v>
      </c>
      <c r="G1107" s="7" t="s">
        <v>584</v>
      </c>
      <c r="H1107" s="7" t="s">
        <v>580</v>
      </c>
      <c r="I1107" s="7" t="s">
        <v>0</v>
      </c>
      <c r="J1107" s="7" t="s">
        <v>271</v>
      </c>
      <c r="K1107" s="7" t="s">
        <v>47</v>
      </c>
      <c r="L1107" s="7" t="s">
        <v>48</v>
      </c>
      <c r="M1107" s="7" t="s">
        <v>0</v>
      </c>
      <c r="N1107" s="7" t="s">
        <v>3855</v>
      </c>
      <c r="O1107" s="7" t="s">
        <v>0</v>
      </c>
      <c r="P1107" s="7" t="s">
        <v>3856</v>
      </c>
      <c r="Q1107" s="7" t="s">
        <v>3857</v>
      </c>
      <c r="R1107" s="7" t="s">
        <v>282</v>
      </c>
      <c r="S1107" s="7" t="s">
        <v>0</v>
      </c>
      <c r="T1107" s="7" t="s">
        <v>54</v>
      </c>
      <c r="U1107" s="7" t="s">
        <v>55</v>
      </c>
      <c r="V1107" s="7" t="s">
        <v>846</v>
      </c>
      <c r="W1107" s="7" t="s">
        <v>74</v>
      </c>
      <c r="X1107" s="7" t="s">
        <v>103</v>
      </c>
      <c r="Y1107" s="8">
        <v>45065</v>
      </c>
      <c r="Z1107" s="8">
        <v>46022</v>
      </c>
      <c r="AA1107" s="7" t="s">
        <v>847</v>
      </c>
      <c r="AB1107" s="7" t="s">
        <v>585</v>
      </c>
      <c r="AC1107" s="7" t="s">
        <v>79</v>
      </c>
      <c r="AD1107" s="7" t="s">
        <v>144</v>
      </c>
      <c r="AE1107" s="7" t="s">
        <v>82</v>
      </c>
      <c r="AF1107" s="7" t="s">
        <v>0</v>
      </c>
      <c r="AG1107" s="7" t="s">
        <v>0</v>
      </c>
      <c r="AH1107" s="9" t="s">
        <v>11841</v>
      </c>
      <c r="AI1107" s="9" t="s">
        <v>11842</v>
      </c>
      <c r="AJ1107" s="9" t="s">
        <v>11843</v>
      </c>
      <c r="AK1107" s="7" t="s">
        <v>61</v>
      </c>
      <c r="AL1107" s="7" t="s">
        <v>61</v>
      </c>
      <c r="AM1107" s="7" t="s">
        <v>0</v>
      </c>
      <c r="AN1107" s="7" t="s">
        <v>0</v>
      </c>
      <c r="AO1107" s="7" t="s">
        <v>0</v>
      </c>
      <c r="AP1107" s="7" t="s">
        <v>0</v>
      </c>
      <c r="AQ1107" s="7" t="s">
        <v>61</v>
      </c>
      <c r="AR1107" s="7" t="s">
        <v>0</v>
      </c>
      <c r="AS1107" s="10" t="str">
        <f>HYPERLINK("https://tessa.gazprom-neft.local/edo/card/355e0922-5974-4e2a-89ed-cde10ac4c040", "https://tessa.gazprom-neft.local/edo/card/355e0922-5974-4e2a-89ed-cde10ac4c040")</f>
        <v>https://tessa.gazprom-neft.local/edo/card/355e0922-5974-4e2a-89ed-cde10ac4c040</v>
      </c>
    </row>
    <row r="1108" spans="1:45" x14ac:dyDescent="0.25">
      <c r="A1108" s="6" t="s">
        <v>44</v>
      </c>
      <c r="B1108" s="7" t="s">
        <v>363</v>
      </c>
      <c r="C1108" s="7" t="s">
        <v>67</v>
      </c>
      <c r="D1108" s="8">
        <v>45065</v>
      </c>
      <c r="E1108" s="8" t="s">
        <v>0</v>
      </c>
      <c r="F1108" s="16" t="s">
        <v>364</v>
      </c>
      <c r="G1108" s="7" t="s">
        <v>365</v>
      </c>
      <c r="H1108" s="7" t="s">
        <v>502</v>
      </c>
      <c r="I1108" s="7" t="s">
        <v>0</v>
      </c>
      <c r="J1108" s="7" t="s">
        <v>156</v>
      </c>
      <c r="K1108" s="7" t="s">
        <v>47</v>
      </c>
      <c r="L1108" s="7" t="s">
        <v>48</v>
      </c>
      <c r="M1108" s="7" t="s">
        <v>0</v>
      </c>
      <c r="N1108" s="7" t="s">
        <v>3877</v>
      </c>
      <c r="O1108" s="7" t="s">
        <v>0</v>
      </c>
      <c r="P1108" s="7" t="s">
        <v>3878</v>
      </c>
      <c r="Q1108" s="7" t="s">
        <v>3879</v>
      </c>
      <c r="R1108" s="7" t="s">
        <v>282</v>
      </c>
      <c r="S1108" s="7" t="s">
        <v>0</v>
      </c>
      <c r="T1108" s="7" t="s">
        <v>54</v>
      </c>
      <c r="U1108" s="7" t="s">
        <v>55</v>
      </c>
      <c r="V1108" s="7" t="s">
        <v>846</v>
      </c>
      <c r="W1108" s="7" t="s">
        <v>74</v>
      </c>
      <c r="X1108" s="7" t="s">
        <v>103</v>
      </c>
      <c r="Y1108" s="8">
        <v>45065</v>
      </c>
      <c r="Z1108" s="8">
        <v>46022</v>
      </c>
      <c r="AA1108" s="7" t="s">
        <v>847</v>
      </c>
      <c r="AB1108" s="7" t="s">
        <v>507</v>
      </c>
      <c r="AC1108" s="7" t="s">
        <v>79</v>
      </c>
      <c r="AD1108" s="7" t="s">
        <v>80</v>
      </c>
      <c r="AE1108" s="7" t="s">
        <v>82</v>
      </c>
      <c r="AF1108" s="7" t="s">
        <v>0</v>
      </c>
      <c r="AG1108" s="7" t="s">
        <v>0</v>
      </c>
      <c r="AH1108" s="9" t="s">
        <v>11850</v>
      </c>
      <c r="AI1108" s="9" t="s">
        <v>11851</v>
      </c>
      <c r="AJ1108" s="9" t="s">
        <v>11852</v>
      </c>
      <c r="AK1108" s="7" t="s">
        <v>61</v>
      </c>
      <c r="AL1108" s="7" t="s">
        <v>61</v>
      </c>
      <c r="AM1108" s="7" t="s">
        <v>0</v>
      </c>
      <c r="AN1108" s="7" t="s">
        <v>0</v>
      </c>
      <c r="AO1108" s="7" t="s">
        <v>0</v>
      </c>
      <c r="AP1108" s="7" t="s">
        <v>0</v>
      </c>
      <c r="AQ1108" s="7" t="s">
        <v>61</v>
      </c>
      <c r="AR1108" s="7" t="s">
        <v>0</v>
      </c>
      <c r="AS1108" s="10" t="str">
        <f>HYPERLINK("https://tessa.gazprom-neft.local/edo/card/56735ea9-97e4-4291-ae2e-bb65295a6d2e", "https://tessa.gazprom-neft.local/edo/card/56735ea9-97e4-4291-ae2e-bb65295a6d2e")</f>
        <v>https://tessa.gazprom-neft.local/edo/card/56735ea9-97e4-4291-ae2e-bb65295a6d2e</v>
      </c>
    </row>
    <row r="1109" spans="1:45" hidden="1" x14ac:dyDescent="0.25">
      <c r="A1109" s="6" t="s">
        <v>44</v>
      </c>
      <c r="B1109" s="7" t="s">
        <v>582</v>
      </c>
      <c r="C1109" s="7" t="s">
        <v>67</v>
      </c>
      <c r="D1109" s="8">
        <v>45065</v>
      </c>
      <c r="E1109" s="8" t="s">
        <v>0</v>
      </c>
      <c r="F1109" s="16" t="s">
        <v>583</v>
      </c>
      <c r="G1109" s="7" t="s">
        <v>584</v>
      </c>
      <c r="H1109" s="7" t="s">
        <v>580</v>
      </c>
      <c r="I1109" s="7" t="s">
        <v>0</v>
      </c>
      <c r="J1109" s="7" t="s">
        <v>51</v>
      </c>
      <c r="K1109" s="7" t="s">
        <v>47</v>
      </c>
      <c r="L1109" s="7" t="s">
        <v>389</v>
      </c>
      <c r="M1109" s="7" t="s">
        <v>0</v>
      </c>
      <c r="N1109" s="7" t="s">
        <v>3990</v>
      </c>
      <c r="O1109" s="7" t="s">
        <v>51</v>
      </c>
      <c r="P1109" s="7" t="s">
        <v>3991</v>
      </c>
      <c r="Q1109" s="7" t="s">
        <v>3992</v>
      </c>
      <c r="R1109" s="7" t="s">
        <v>282</v>
      </c>
      <c r="S1109" s="7" t="s">
        <v>0</v>
      </c>
      <c r="T1109" s="7" t="s">
        <v>54</v>
      </c>
      <c r="U1109" s="7" t="s">
        <v>55</v>
      </c>
      <c r="V1109" s="7" t="s">
        <v>846</v>
      </c>
      <c r="W1109" s="7" t="s">
        <v>74</v>
      </c>
      <c r="X1109" s="7" t="s">
        <v>103</v>
      </c>
      <c r="Y1109" s="8">
        <v>45065</v>
      </c>
      <c r="Z1109" s="8">
        <v>46022</v>
      </c>
      <c r="AA1109" s="7" t="s">
        <v>847</v>
      </c>
      <c r="AB1109" s="7" t="s">
        <v>585</v>
      </c>
      <c r="AC1109" s="7" t="s">
        <v>79</v>
      </c>
      <c r="AD1109" s="7" t="s">
        <v>144</v>
      </c>
      <c r="AE1109" s="7" t="s">
        <v>82</v>
      </c>
      <c r="AF1109" s="7" t="s">
        <v>0</v>
      </c>
      <c r="AG1109" s="7" t="s">
        <v>0</v>
      </c>
      <c r="AH1109" s="9" t="s">
        <v>11890</v>
      </c>
      <c r="AI1109" s="9" t="s">
        <v>11891</v>
      </c>
      <c r="AJ1109" s="9" t="s">
        <v>11892</v>
      </c>
      <c r="AK1109" s="7" t="s">
        <v>61</v>
      </c>
      <c r="AL1109" s="7" t="s">
        <v>61</v>
      </c>
      <c r="AM1109" s="7" t="s">
        <v>0</v>
      </c>
      <c r="AN1109" s="7" t="s">
        <v>0</v>
      </c>
      <c r="AO1109" s="7" t="s">
        <v>0</v>
      </c>
      <c r="AP1109" s="7" t="s">
        <v>0</v>
      </c>
      <c r="AQ1109" s="7" t="s">
        <v>61</v>
      </c>
      <c r="AR1109" s="7" t="s">
        <v>0</v>
      </c>
      <c r="AS1109" s="10" t="str">
        <f>HYPERLINK("https://tessa.gazprom-neft.local/edo/card/a2a18162-e4c9-48a9-8e0d-c7c4f881d263", "https://tessa.gazprom-neft.local/edo/card/a2a18162-e4c9-48a9-8e0d-c7c4f881d263")</f>
        <v>https://tessa.gazprom-neft.local/edo/card/a2a18162-e4c9-48a9-8e0d-c7c4f881d263</v>
      </c>
    </row>
    <row r="1110" spans="1:45" hidden="1" x14ac:dyDescent="0.25">
      <c r="A1110" s="6" t="s">
        <v>44</v>
      </c>
      <c r="B1110" s="7" t="s">
        <v>363</v>
      </c>
      <c r="C1110" s="7" t="s">
        <v>67</v>
      </c>
      <c r="D1110" s="8">
        <v>45065</v>
      </c>
      <c r="E1110" s="8" t="s">
        <v>0</v>
      </c>
      <c r="F1110" s="16" t="s">
        <v>364</v>
      </c>
      <c r="G1110" s="7" t="s">
        <v>365</v>
      </c>
      <c r="H1110" s="7" t="s">
        <v>502</v>
      </c>
      <c r="I1110" s="7" t="s">
        <v>0</v>
      </c>
      <c r="J1110" s="7" t="s">
        <v>51</v>
      </c>
      <c r="K1110" s="7" t="s">
        <v>47</v>
      </c>
      <c r="L1110" s="7" t="s">
        <v>389</v>
      </c>
      <c r="M1110" s="7" t="s">
        <v>0</v>
      </c>
      <c r="N1110" s="7" t="s">
        <v>4066</v>
      </c>
      <c r="O1110" s="7" t="s">
        <v>51</v>
      </c>
      <c r="P1110" s="7" t="s">
        <v>4067</v>
      </c>
      <c r="Q1110" s="7" t="s">
        <v>4068</v>
      </c>
      <c r="R1110" s="7" t="s">
        <v>282</v>
      </c>
      <c r="S1110" s="7" t="s">
        <v>0</v>
      </c>
      <c r="T1110" s="7" t="s">
        <v>54</v>
      </c>
      <c r="U1110" s="7" t="s">
        <v>55</v>
      </c>
      <c r="V1110" s="7" t="s">
        <v>846</v>
      </c>
      <c r="W1110" s="7" t="s">
        <v>74</v>
      </c>
      <c r="X1110" s="7" t="s">
        <v>103</v>
      </c>
      <c r="Y1110" s="8">
        <v>45065</v>
      </c>
      <c r="Z1110" s="8">
        <v>46022</v>
      </c>
      <c r="AA1110" s="7" t="s">
        <v>847</v>
      </c>
      <c r="AB1110" s="7" t="s">
        <v>507</v>
      </c>
      <c r="AC1110" s="7" t="s">
        <v>79</v>
      </c>
      <c r="AD1110" s="7" t="s">
        <v>80</v>
      </c>
      <c r="AE1110" s="7" t="s">
        <v>82</v>
      </c>
      <c r="AF1110" s="7" t="s">
        <v>0</v>
      </c>
      <c r="AG1110" s="7" t="s">
        <v>0</v>
      </c>
      <c r="AH1110" s="9" t="s">
        <v>11908</v>
      </c>
      <c r="AI1110" s="9" t="s">
        <v>11909</v>
      </c>
      <c r="AJ1110" s="9" t="s">
        <v>11910</v>
      </c>
      <c r="AK1110" s="7" t="s">
        <v>61</v>
      </c>
      <c r="AL1110" s="7" t="s">
        <v>61</v>
      </c>
      <c r="AM1110" s="7" t="s">
        <v>0</v>
      </c>
      <c r="AN1110" s="7" t="s">
        <v>0</v>
      </c>
      <c r="AO1110" s="7" t="s">
        <v>0</v>
      </c>
      <c r="AP1110" s="7" t="s">
        <v>0</v>
      </c>
      <c r="AQ1110" s="7" t="s">
        <v>61</v>
      </c>
      <c r="AR1110" s="7" t="s">
        <v>0</v>
      </c>
      <c r="AS1110" s="10" t="str">
        <f>HYPERLINK("https://tessa.gazprom-neft.local/edo/card/2a4f725d-791d-4433-af93-41381f4e4d38", "https://tessa.gazprom-neft.local/edo/card/2a4f725d-791d-4433-af93-41381f4e4d38")</f>
        <v>https://tessa.gazprom-neft.local/edo/card/2a4f725d-791d-4433-af93-41381f4e4d38</v>
      </c>
    </row>
    <row r="1111" spans="1:45" x14ac:dyDescent="0.25">
      <c r="A1111" s="6" t="s">
        <v>44</v>
      </c>
      <c r="B1111" s="7" t="s">
        <v>1495</v>
      </c>
      <c r="C1111" s="7" t="s">
        <v>67</v>
      </c>
      <c r="D1111" s="8">
        <v>45064</v>
      </c>
      <c r="E1111" s="8" t="s">
        <v>0</v>
      </c>
      <c r="F1111" s="16" t="s">
        <v>1496</v>
      </c>
      <c r="G1111" s="7" t="s">
        <v>1497</v>
      </c>
      <c r="H1111" s="7" t="s">
        <v>1492</v>
      </c>
      <c r="I1111" s="7" t="s">
        <v>0</v>
      </c>
      <c r="J1111" s="7" t="s">
        <v>355</v>
      </c>
      <c r="K1111" s="7" t="s">
        <v>47</v>
      </c>
      <c r="L1111" s="7" t="s">
        <v>48</v>
      </c>
      <c r="M1111" s="7" t="s">
        <v>0</v>
      </c>
      <c r="N1111" s="7" t="s">
        <v>3141</v>
      </c>
      <c r="O1111" s="7" t="s">
        <v>0</v>
      </c>
      <c r="P1111" s="7" t="s">
        <v>3142</v>
      </c>
      <c r="Q1111" s="7" t="s">
        <v>3143</v>
      </c>
      <c r="R1111" s="7" t="s">
        <v>505</v>
      </c>
      <c r="S1111" s="7" t="s">
        <v>3144</v>
      </c>
      <c r="T1111" s="7" t="s">
        <v>54</v>
      </c>
      <c r="U1111" s="7" t="s">
        <v>210</v>
      </c>
      <c r="V1111" s="7" t="s">
        <v>126</v>
      </c>
      <c r="W1111" s="7" t="s">
        <v>74</v>
      </c>
      <c r="X1111" s="7" t="s">
        <v>103</v>
      </c>
      <c r="Y1111" s="8">
        <v>45064</v>
      </c>
      <c r="Z1111" s="8">
        <v>45504</v>
      </c>
      <c r="AA1111" s="7" t="s">
        <v>224</v>
      </c>
      <c r="AB1111" s="7" t="s">
        <v>1498</v>
      </c>
      <c r="AC1111" s="7" t="s">
        <v>65</v>
      </c>
      <c r="AD1111" s="7" t="s">
        <v>80</v>
      </c>
      <c r="AE1111" s="7" t="s">
        <v>0</v>
      </c>
      <c r="AF1111" s="7" t="s">
        <v>0</v>
      </c>
      <c r="AG1111" s="7" t="s">
        <v>0</v>
      </c>
      <c r="AH1111" s="9" t="s">
        <v>0</v>
      </c>
      <c r="AI1111" s="9" t="s">
        <v>0</v>
      </c>
      <c r="AJ1111" s="9" t="s">
        <v>0</v>
      </c>
      <c r="AK1111" s="7" t="s">
        <v>61</v>
      </c>
      <c r="AL1111" s="7" t="s">
        <v>61</v>
      </c>
      <c r="AM1111" s="7" t="s">
        <v>0</v>
      </c>
      <c r="AN1111" s="7" t="s">
        <v>0</v>
      </c>
      <c r="AO1111" s="7" t="s">
        <v>0</v>
      </c>
      <c r="AP1111" s="7" t="s">
        <v>0</v>
      </c>
      <c r="AQ1111" s="7" t="s">
        <v>61</v>
      </c>
      <c r="AR1111" s="7" t="s">
        <v>0</v>
      </c>
      <c r="AS1111" s="10" t="str">
        <f>HYPERLINK("https://tessa.gazprom-neft.local/edo/card/a7ec4f80-fadb-4696-9069-e746a7145b6c", "https://tessa.gazprom-neft.local/edo/card/a7ec4f80-fadb-4696-9069-e746a7145b6c")</f>
        <v>https://tessa.gazprom-neft.local/edo/card/a7ec4f80-fadb-4696-9069-e746a7145b6c</v>
      </c>
    </row>
    <row r="1112" spans="1:45" hidden="1" x14ac:dyDescent="0.25">
      <c r="A1112" s="6" t="s">
        <v>44</v>
      </c>
      <c r="B1112" s="7" t="s">
        <v>3730</v>
      </c>
      <c r="C1112" s="7" t="s">
        <v>67</v>
      </c>
      <c r="D1112" s="8">
        <v>45064</v>
      </c>
      <c r="E1112" s="8" t="s">
        <v>0</v>
      </c>
      <c r="F1112" s="16" t="s">
        <v>3731</v>
      </c>
      <c r="G1112" s="7" t="s">
        <v>3732</v>
      </c>
      <c r="H1112" s="7" t="s">
        <v>0</v>
      </c>
      <c r="I1112" s="7" t="s">
        <v>3728</v>
      </c>
      <c r="J1112" s="7" t="s">
        <v>3728</v>
      </c>
      <c r="K1112" s="7" t="s">
        <v>85</v>
      </c>
      <c r="L1112" s="7" t="s">
        <v>86</v>
      </c>
      <c r="M1112" s="7" t="s">
        <v>289</v>
      </c>
      <c r="N1112" s="7" t="s">
        <v>3727</v>
      </c>
      <c r="O1112" s="7" t="s">
        <v>0</v>
      </c>
      <c r="P1112" s="7" t="s">
        <v>289</v>
      </c>
      <c r="Q1112" s="7" t="s">
        <v>3729</v>
      </c>
      <c r="R1112" s="7" t="s">
        <v>1711</v>
      </c>
      <c r="S1112" s="7" t="s">
        <v>1711</v>
      </c>
      <c r="T1112" s="7" t="s">
        <v>54</v>
      </c>
      <c r="U1112" s="7" t="s">
        <v>605</v>
      </c>
      <c r="V1112" s="7" t="s">
        <v>126</v>
      </c>
      <c r="W1112" s="7" t="s">
        <v>57</v>
      </c>
      <c r="X1112" s="7" t="s">
        <v>103</v>
      </c>
      <c r="Y1112" s="8">
        <v>45068</v>
      </c>
      <c r="Z1112" s="8">
        <v>46164</v>
      </c>
      <c r="AA1112" s="7" t="s">
        <v>224</v>
      </c>
      <c r="AB1112" s="7" t="s">
        <v>300</v>
      </c>
      <c r="AC1112" s="7" t="s">
        <v>65</v>
      </c>
      <c r="AD1112" s="7" t="s">
        <v>0</v>
      </c>
      <c r="AE1112" s="7" t="s">
        <v>0</v>
      </c>
      <c r="AF1112" s="7" t="s">
        <v>0</v>
      </c>
      <c r="AG1112" s="7" t="s">
        <v>0</v>
      </c>
      <c r="AH1112" s="9" t="s">
        <v>0</v>
      </c>
      <c r="AI1112" s="9" t="s">
        <v>0</v>
      </c>
      <c r="AJ1112" s="9" t="s">
        <v>0</v>
      </c>
      <c r="AK1112" s="7" t="s">
        <v>61</v>
      </c>
      <c r="AL1112" s="7" t="s">
        <v>61</v>
      </c>
      <c r="AM1112" s="7" t="s">
        <v>0</v>
      </c>
      <c r="AN1112" s="7" t="s">
        <v>0</v>
      </c>
      <c r="AO1112" s="7" t="s">
        <v>0</v>
      </c>
      <c r="AP1112" s="7" t="s">
        <v>0</v>
      </c>
      <c r="AQ1112" s="7" t="s">
        <v>61</v>
      </c>
      <c r="AR1112" s="7" t="s">
        <v>0</v>
      </c>
      <c r="AS1112" s="10" t="str">
        <f>HYPERLINK("https://tessa.gazprom-neft.local/edo/card/24532baa-616d-4b0d-98dc-41e3a130c4d4", "https://tessa.gazprom-neft.local/edo/card/24532baa-616d-4b0d-98dc-41e3a130c4d4")</f>
        <v>https://tessa.gazprom-neft.local/edo/card/24532baa-616d-4b0d-98dc-41e3a130c4d4</v>
      </c>
    </row>
    <row r="1113" spans="1:45" x14ac:dyDescent="0.25">
      <c r="A1113" s="6" t="s">
        <v>44</v>
      </c>
      <c r="B1113" s="7" t="s">
        <v>2706</v>
      </c>
      <c r="C1113" s="7" t="s">
        <v>67</v>
      </c>
      <c r="D1113" s="8">
        <v>45064</v>
      </c>
      <c r="E1113" s="8" t="s">
        <v>0</v>
      </c>
      <c r="F1113" s="16" t="s">
        <v>2707</v>
      </c>
      <c r="G1113" s="7" t="s">
        <v>2708</v>
      </c>
      <c r="H1113" s="7" t="s">
        <v>2704</v>
      </c>
      <c r="I1113" s="7" t="s">
        <v>0</v>
      </c>
      <c r="J1113" s="7" t="s">
        <v>70</v>
      </c>
      <c r="K1113" s="7" t="s">
        <v>85</v>
      </c>
      <c r="L1113" s="7" t="s">
        <v>48</v>
      </c>
      <c r="M1113" s="7" t="s">
        <v>2128</v>
      </c>
      <c r="N1113" s="7" t="s">
        <v>3776</v>
      </c>
      <c r="O1113" s="7" t="s">
        <v>0</v>
      </c>
      <c r="P1113" s="7" t="s">
        <v>2128</v>
      </c>
      <c r="Q1113" s="7" t="s">
        <v>3777</v>
      </c>
      <c r="R1113" s="7" t="s">
        <v>2594</v>
      </c>
      <c r="S1113" s="7" t="s">
        <v>2594</v>
      </c>
      <c r="T1113" s="7" t="s">
        <v>54</v>
      </c>
      <c r="U1113" s="7" t="s">
        <v>199</v>
      </c>
      <c r="V1113" s="7" t="s">
        <v>56</v>
      </c>
      <c r="W1113" s="7" t="s">
        <v>74</v>
      </c>
      <c r="X1113" s="7" t="s">
        <v>223</v>
      </c>
      <c r="Y1113" s="8">
        <v>45064</v>
      </c>
      <c r="Z1113" s="8" t="s">
        <v>0</v>
      </c>
      <c r="AA1113" s="7" t="s">
        <v>0</v>
      </c>
      <c r="AB1113" s="7" t="s">
        <v>64</v>
      </c>
      <c r="AC1113" s="7" t="s">
        <v>65</v>
      </c>
      <c r="AD1113" s="7" t="s">
        <v>80</v>
      </c>
      <c r="AE1113" s="7" t="s">
        <v>0</v>
      </c>
      <c r="AF1113" s="7" t="s">
        <v>0</v>
      </c>
      <c r="AG1113" s="7" t="s">
        <v>0</v>
      </c>
      <c r="AH1113" s="9" t="s">
        <v>0</v>
      </c>
      <c r="AI1113" s="9" t="s">
        <v>0</v>
      </c>
      <c r="AJ1113" s="9" t="s">
        <v>0</v>
      </c>
      <c r="AK1113" s="7" t="s">
        <v>61</v>
      </c>
      <c r="AL1113" s="7" t="s">
        <v>61</v>
      </c>
      <c r="AM1113" s="7" t="s">
        <v>0</v>
      </c>
      <c r="AN1113" s="7" t="s">
        <v>0</v>
      </c>
      <c r="AO1113" s="7" t="s">
        <v>0</v>
      </c>
      <c r="AP1113" s="7" t="s">
        <v>0</v>
      </c>
      <c r="AQ1113" s="7" t="s">
        <v>61</v>
      </c>
      <c r="AR1113" s="7" t="s">
        <v>0</v>
      </c>
      <c r="AS1113" s="10" t="str">
        <f>HYPERLINK("https://tessa.gazprom-neft.local/edo/card/e44a66d6-4275-4cdd-8d45-0cd78a6e8df1", "https://tessa.gazprom-neft.local/edo/card/e44a66d6-4275-4cdd-8d45-0cd78a6e8df1")</f>
        <v>https://tessa.gazprom-neft.local/edo/card/e44a66d6-4275-4cdd-8d45-0cd78a6e8df1</v>
      </c>
    </row>
    <row r="1114" spans="1:45" x14ac:dyDescent="0.25">
      <c r="A1114" s="6" t="s">
        <v>44</v>
      </c>
      <c r="B1114" s="7" t="s">
        <v>1147</v>
      </c>
      <c r="C1114" s="7" t="s">
        <v>67</v>
      </c>
      <c r="D1114" s="8">
        <v>45062</v>
      </c>
      <c r="E1114" s="8" t="s">
        <v>0</v>
      </c>
      <c r="F1114" s="16" t="s">
        <v>1148</v>
      </c>
      <c r="G1114" s="7" t="s">
        <v>1149</v>
      </c>
      <c r="H1114" s="7" t="s">
        <v>1145</v>
      </c>
      <c r="I1114" s="7" t="s">
        <v>0</v>
      </c>
      <c r="J1114" s="7" t="s">
        <v>271</v>
      </c>
      <c r="K1114" s="7" t="s">
        <v>47</v>
      </c>
      <c r="L1114" s="7" t="s">
        <v>48</v>
      </c>
      <c r="M1114" s="7" t="s">
        <v>0</v>
      </c>
      <c r="N1114" s="7" t="s">
        <v>3704</v>
      </c>
      <c r="O1114" s="7" t="s">
        <v>0</v>
      </c>
      <c r="P1114" s="7" t="s">
        <v>312</v>
      </c>
      <c r="Q1114" s="7" t="s">
        <v>3705</v>
      </c>
      <c r="R1114" s="7" t="s">
        <v>898</v>
      </c>
      <c r="S1114" s="7" t="s">
        <v>898</v>
      </c>
      <c r="T1114" s="7" t="s">
        <v>54</v>
      </c>
      <c r="U1114" s="7" t="s">
        <v>899</v>
      </c>
      <c r="V1114" s="7" t="s">
        <v>56</v>
      </c>
      <c r="W1114" s="7" t="s">
        <v>74</v>
      </c>
      <c r="X1114" s="7" t="s">
        <v>58</v>
      </c>
      <c r="Y1114" s="8">
        <v>45062</v>
      </c>
      <c r="Z1114" s="8" t="s">
        <v>0</v>
      </c>
      <c r="AA1114" s="7" t="s">
        <v>0</v>
      </c>
      <c r="AB1114" s="7" t="s">
        <v>130</v>
      </c>
      <c r="AC1114" s="7" t="s">
        <v>79</v>
      </c>
      <c r="AD1114" s="7" t="s">
        <v>80</v>
      </c>
      <c r="AE1114" s="7" t="s">
        <v>82</v>
      </c>
      <c r="AF1114" s="7" t="s">
        <v>0</v>
      </c>
      <c r="AG1114" s="7" t="s">
        <v>3706</v>
      </c>
      <c r="AH1114" s="9" t="s">
        <v>11794</v>
      </c>
      <c r="AI1114" s="9" t="s">
        <v>11795</v>
      </c>
      <c r="AJ1114" s="9" t="s">
        <v>11796</v>
      </c>
      <c r="AK1114" s="7" t="s">
        <v>81</v>
      </c>
      <c r="AL1114" s="7" t="s">
        <v>61</v>
      </c>
      <c r="AM1114" s="7" t="s">
        <v>0</v>
      </c>
      <c r="AN1114" s="7" t="s">
        <v>0</v>
      </c>
      <c r="AO1114" s="7" t="s">
        <v>0</v>
      </c>
      <c r="AP1114" s="7" t="s">
        <v>0</v>
      </c>
      <c r="AQ1114" s="7" t="s">
        <v>61</v>
      </c>
      <c r="AR1114" s="7" t="s">
        <v>0</v>
      </c>
      <c r="AS1114" s="10" t="str">
        <f>HYPERLINK("https://tessa.gazprom-neft.local/edo/card/cff706c3-fea6-4da7-922a-ecfb92df9aba", "https://tessa.gazprom-neft.local/edo/card/cff706c3-fea6-4da7-922a-ecfb92df9aba")</f>
        <v>https://tessa.gazprom-neft.local/edo/card/cff706c3-fea6-4da7-922a-ecfb92df9aba</v>
      </c>
    </row>
    <row r="1115" spans="1:45" x14ac:dyDescent="0.25">
      <c r="A1115" s="6" t="s">
        <v>44</v>
      </c>
      <c r="B1115" s="7" t="s">
        <v>1240</v>
      </c>
      <c r="C1115" s="7" t="s">
        <v>67</v>
      </c>
      <c r="D1115" s="8">
        <v>45062</v>
      </c>
      <c r="E1115" s="8" t="s">
        <v>0</v>
      </c>
      <c r="F1115" s="16" t="s">
        <v>1241</v>
      </c>
      <c r="G1115" s="7" t="s">
        <v>1242</v>
      </c>
      <c r="H1115" s="7" t="s">
        <v>1237</v>
      </c>
      <c r="I1115" s="7" t="s">
        <v>0</v>
      </c>
      <c r="J1115" s="7" t="s">
        <v>156</v>
      </c>
      <c r="K1115" s="7" t="s">
        <v>47</v>
      </c>
      <c r="L1115" s="7" t="s">
        <v>48</v>
      </c>
      <c r="M1115" s="7" t="s">
        <v>0</v>
      </c>
      <c r="N1115" s="7" t="s">
        <v>3711</v>
      </c>
      <c r="O1115" s="7" t="s">
        <v>0</v>
      </c>
      <c r="P1115" s="7" t="s">
        <v>3712</v>
      </c>
      <c r="Q1115" s="7" t="s">
        <v>3598</v>
      </c>
      <c r="R1115" s="7" t="s">
        <v>393</v>
      </c>
      <c r="S1115" s="7" t="s">
        <v>1261</v>
      </c>
      <c r="T1115" s="7" t="s">
        <v>54</v>
      </c>
      <c r="U1115" s="7" t="s">
        <v>222</v>
      </c>
      <c r="V1115" s="7" t="s">
        <v>126</v>
      </c>
      <c r="W1115" s="7" t="s">
        <v>74</v>
      </c>
      <c r="X1115" s="7" t="s">
        <v>58</v>
      </c>
      <c r="Y1115" s="8">
        <v>45062</v>
      </c>
      <c r="Z1115" s="8" t="s">
        <v>0</v>
      </c>
      <c r="AA1115" s="7" t="s">
        <v>224</v>
      </c>
      <c r="AB1115" s="7" t="s">
        <v>1243</v>
      </c>
      <c r="AC1115" s="7" t="s">
        <v>65</v>
      </c>
      <c r="AD1115" s="7" t="s">
        <v>144</v>
      </c>
      <c r="AE1115" s="7" t="s">
        <v>0</v>
      </c>
      <c r="AF1115" s="7" t="s">
        <v>0</v>
      </c>
      <c r="AG1115" s="7" t="s">
        <v>0</v>
      </c>
      <c r="AH1115" s="9" t="s">
        <v>0</v>
      </c>
      <c r="AI1115" s="9" t="s">
        <v>0</v>
      </c>
      <c r="AJ1115" s="9" t="s">
        <v>0</v>
      </c>
      <c r="AK1115" s="7" t="s">
        <v>61</v>
      </c>
      <c r="AL1115" s="7" t="s">
        <v>61</v>
      </c>
      <c r="AM1115" s="7" t="s">
        <v>0</v>
      </c>
      <c r="AN1115" s="7" t="s">
        <v>0</v>
      </c>
      <c r="AO1115" s="7" t="s">
        <v>0</v>
      </c>
      <c r="AP1115" s="7" t="s">
        <v>0</v>
      </c>
      <c r="AQ1115" s="7" t="s">
        <v>61</v>
      </c>
      <c r="AR1115" s="7" t="s">
        <v>0</v>
      </c>
      <c r="AS1115" s="10" t="str">
        <f>HYPERLINK("https://tessa.gazprom-neft.local/edo/card/0eef1c45-f84e-43ba-84b7-e1fa32a63dd3", "https://tessa.gazprom-neft.local/edo/card/0eef1c45-f84e-43ba-84b7-e1fa32a63dd3")</f>
        <v>https://tessa.gazprom-neft.local/edo/card/0eef1c45-f84e-43ba-84b7-e1fa32a63dd3</v>
      </c>
    </row>
    <row r="1116" spans="1:45" x14ac:dyDescent="0.25">
      <c r="A1116" s="6" t="s">
        <v>44</v>
      </c>
      <c r="B1116" s="7" t="s">
        <v>1351</v>
      </c>
      <c r="C1116" s="7" t="s">
        <v>67</v>
      </c>
      <c r="D1116" s="8">
        <v>45061</v>
      </c>
      <c r="E1116" s="8" t="s">
        <v>0</v>
      </c>
      <c r="F1116" s="16" t="s">
        <v>1352</v>
      </c>
      <c r="G1116" s="7" t="s">
        <v>1353</v>
      </c>
      <c r="H1116" s="7" t="s">
        <v>3586</v>
      </c>
      <c r="I1116" s="7" t="s">
        <v>0</v>
      </c>
      <c r="J1116" s="7" t="s">
        <v>872</v>
      </c>
      <c r="K1116" s="7" t="s">
        <v>47</v>
      </c>
      <c r="L1116" s="7" t="s">
        <v>48</v>
      </c>
      <c r="M1116" s="7" t="s">
        <v>0</v>
      </c>
      <c r="N1116" s="7" t="s">
        <v>3585</v>
      </c>
      <c r="O1116" s="7" t="s">
        <v>0</v>
      </c>
      <c r="P1116" s="7" t="s">
        <v>3587</v>
      </c>
      <c r="Q1116" s="7" t="s">
        <v>3588</v>
      </c>
      <c r="R1116" s="7" t="s">
        <v>361</v>
      </c>
      <c r="S1116" s="7" t="s">
        <v>361</v>
      </c>
      <c r="T1116" s="7" t="s">
        <v>54</v>
      </c>
      <c r="U1116" s="7" t="s">
        <v>362</v>
      </c>
      <c r="V1116" s="7" t="s">
        <v>295</v>
      </c>
      <c r="W1116" s="7" t="s">
        <v>74</v>
      </c>
      <c r="X1116" s="7" t="s">
        <v>103</v>
      </c>
      <c r="Y1116" s="8">
        <v>45061</v>
      </c>
      <c r="Z1116" s="8">
        <v>46022</v>
      </c>
      <c r="AA1116" s="7" t="s">
        <v>296</v>
      </c>
      <c r="AB1116" s="7" t="s">
        <v>366</v>
      </c>
      <c r="AC1116" s="7" t="s">
        <v>278</v>
      </c>
      <c r="AD1116" s="7" t="s">
        <v>367</v>
      </c>
      <c r="AE1116" s="7" t="s">
        <v>82</v>
      </c>
      <c r="AF1116" s="7" t="s">
        <v>0</v>
      </c>
      <c r="AG1116" s="7" t="s">
        <v>0</v>
      </c>
      <c r="AH1116" s="9" t="s">
        <v>11739</v>
      </c>
      <c r="AI1116" s="9" t="s">
        <v>11740</v>
      </c>
      <c r="AJ1116" s="9" t="s">
        <v>11741</v>
      </c>
      <c r="AK1116" s="7" t="s">
        <v>61</v>
      </c>
      <c r="AL1116" s="7" t="s">
        <v>61</v>
      </c>
      <c r="AM1116" s="7" t="s">
        <v>0</v>
      </c>
      <c r="AN1116" s="7" t="s">
        <v>0</v>
      </c>
      <c r="AO1116" s="7" t="s">
        <v>0</v>
      </c>
      <c r="AP1116" s="7" t="s">
        <v>0</v>
      </c>
      <c r="AQ1116" s="7" t="s">
        <v>61</v>
      </c>
      <c r="AR1116" s="7" t="s">
        <v>0</v>
      </c>
      <c r="AS1116" s="10" t="str">
        <f>HYPERLINK("https://tessa.gazprom-neft.local/edo/card/cab2e725-8b94-49cd-ae86-d41a7f1b3f90", "https://tessa.gazprom-neft.local/edo/card/cab2e725-8b94-49cd-ae86-d41a7f1b3f90")</f>
        <v>https://tessa.gazprom-neft.local/edo/card/cab2e725-8b94-49cd-ae86-d41a7f1b3f90</v>
      </c>
    </row>
    <row r="1117" spans="1:45" hidden="1" x14ac:dyDescent="0.25">
      <c r="A1117" s="6" t="s">
        <v>44</v>
      </c>
      <c r="B1117" s="7" t="s">
        <v>661</v>
      </c>
      <c r="C1117" s="7" t="s">
        <v>67</v>
      </c>
      <c r="D1117" s="8">
        <v>45061</v>
      </c>
      <c r="E1117" s="8" t="s">
        <v>0</v>
      </c>
      <c r="F1117" s="16" t="s">
        <v>662</v>
      </c>
      <c r="G1117" s="7" t="s">
        <v>663</v>
      </c>
      <c r="H1117" s="7" t="s">
        <v>764</v>
      </c>
      <c r="I1117" s="7" t="s">
        <v>0</v>
      </c>
      <c r="J1117" s="7" t="s">
        <v>2917</v>
      </c>
      <c r="K1117" s="7" t="s">
        <v>47</v>
      </c>
      <c r="L1117" s="7" t="s">
        <v>763</v>
      </c>
      <c r="M1117" s="7" t="s">
        <v>0</v>
      </c>
      <c r="N1117" s="7" t="s">
        <v>3647</v>
      </c>
      <c r="O1117" s="7" t="s">
        <v>0</v>
      </c>
      <c r="P1117" s="7" t="s">
        <v>3648</v>
      </c>
      <c r="Q1117" s="7" t="s">
        <v>3649</v>
      </c>
      <c r="R1117" s="7" t="s">
        <v>768</v>
      </c>
      <c r="S1117" s="7" t="s">
        <v>714</v>
      </c>
      <c r="T1117" s="7" t="s">
        <v>54</v>
      </c>
      <c r="U1117" s="7" t="s">
        <v>283</v>
      </c>
      <c r="V1117" s="7" t="s">
        <v>308</v>
      </c>
      <c r="W1117" s="7" t="s">
        <v>74</v>
      </c>
      <c r="X1117" s="7" t="s">
        <v>103</v>
      </c>
      <c r="Y1117" s="8">
        <v>45061</v>
      </c>
      <c r="Z1117" s="8">
        <v>45291</v>
      </c>
      <c r="AA1117" s="7" t="s">
        <v>309</v>
      </c>
      <c r="AB1117" s="7" t="s">
        <v>130</v>
      </c>
      <c r="AC1117" s="7" t="s">
        <v>79</v>
      </c>
      <c r="AD1117" s="7" t="s">
        <v>80</v>
      </c>
      <c r="AE1117" s="7" t="s">
        <v>82</v>
      </c>
      <c r="AF1117" s="7" t="s">
        <v>0</v>
      </c>
      <c r="AG1117" s="7" t="s">
        <v>0</v>
      </c>
      <c r="AH1117" s="9" t="s">
        <v>11760</v>
      </c>
      <c r="AI1117" s="9" t="s">
        <v>11761</v>
      </c>
      <c r="AJ1117" s="9" t="s">
        <v>11762</v>
      </c>
      <c r="AK1117" s="7" t="s">
        <v>61</v>
      </c>
      <c r="AL1117" s="7" t="s">
        <v>61</v>
      </c>
      <c r="AM1117" s="7" t="s">
        <v>0</v>
      </c>
      <c r="AN1117" s="7" t="s">
        <v>0</v>
      </c>
      <c r="AO1117" s="7" t="s">
        <v>0</v>
      </c>
      <c r="AP1117" s="7" t="s">
        <v>0</v>
      </c>
      <c r="AQ1117" s="7" t="s">
        <v>61</v>
      </c>
      <c r="AR1117" s="7" t="s">
        <v>0</v>
      </c>
      <c r="AS1117" s="10" t="str">
        <f>HYPERLINK("https://tessa.gazprom-neft.local/edo/card/429898ba-75a3-4c11-9a7d-386804faa46b", "https://tessa.gazprom-neft.local/edo/card/429898ba-75a3-4c11-9a7d-386804faa46b")</f>
        <v>https://tessa.gazprom-neft.local/edo/card/429898ba-75a3-4c11-9a7d-386804faa46b</v>
      </c>
    </row>
    <row r="1118" spans="1:45" x14ac:dyDescent="0.25">
      <c r="A1118" s="6" t="s">
        <v>44</v>
      </c>
      <c r="B1118" s="7" t="s">
        <v>673</v>
      </c>
      <c r="C1118" s="7" t="s">
        <v>67</v>
      </c>
      <c r="D1118" s="8">
        <v>45061</v>
      </c>
      <c r="E1118" s="8" t="s">
        <v>0</v>
      </c>
      <c r="F1118" s="16" t="s">
        <v>674</v>
      </c>
      <c r="G1118" s="7" t="s">
        <v>675</v>
      </c>
      <c r="H1118" s="7" t="s">
        <v>668</v>
      </c>
      <c r="I1118" s="7" t="s">
        <v>0</v>
      </c>
      <c r="J1118" s="7" t="s">
        <v>51</v>
      </c>
      <c r="K1118" s="7" t="s">
        <v>47</v>
      </c>
      <c r="L1118" s="7" t="s">
        <v>48</v>
      </c>
      <c r="M1118" s="7" t="s">
        <v>0</v>
      </c>
      <c r="N1118" s="7" t="s">
        <v>3685</v>
      </c>
      <c r="O1118" s="7" t="s">
        <v>0</v>
      </c>
      <c r="P1118" s="7" t="s">
        <v>3686</v>
      </c>
      <c r="Q1118" s="7" t="s">
        <v>3687</v>
      </c>
      <c r="R1118" s="7" t="s">
        <v>671</v>
      </c>
      <c r="S1118" s="7" t="s">
        <v>671</v>
      </c>
      <c r="T1118" s="7" t="s">
        <v>54</v>
      </c>
      <c r="U1118" s="7" t="s">
        <v>672</v>
      </c>
      <c r="V1118" s="7" t="s">
        <v>126</v>
      </c>
      <c r="W1118" s="7" t="s">
        <v>74</v>
      </c>
      <c r="X1118" s="7" t="s">
        <v>103</v>
      </c>
      <c r="Y1118" s="8">
        <v>45061</v>
      </c>
      <c r="Z1118" s="8">
        <v>46022</v>
      </c>
      <c r="AA1118" s="7" t="s">
        <v>224</v>
      </c>
      <c r="AB1118" s="7" t="s">
        <v>130</v>
      </c>
      <c r="AC1118" s="7" t="s">
        <v>79</v>
      </c>
      <c r="AD1118" s="7" t="s">
        <v>144</v>
      </c>
      <c r="AE1118" s="7" t="s">
        <v>82</v>
      </c>
      <c r="AF1118" s="7" t="s">
        <v>0</v>
      </c>
      <c r="AG1118" s="7" t="s">
        <v>3688</v>
      </c>
      <c r="AH1118" s="9" t="s">
        <v>11781</v>
      </c>
      <c r="AI1118" s="9" t="s">
        <v>11782</v>
      </c>
      <c r="AJ1118" s="9" t="s">
        <v>11783</v>
      </c>
      <c r="AK1118" s="7" t="s">
        <v>81</v>
      </c>
      <c r="AL1118" s="7" t="s">
        <v>61</v>
      </c>
      <c r="AM1118" s="7" t="s">
        <v>0</v>
      </c>
      <c r="AN1118" s="7" t="s">
        <v>0</v>
      </c>
      <c r="AO1118" s="7" t="s">
        <v>0</v>
      </c>
      <c r="AP1118" s="7" t="s">
        <v>0</v>
      </c>
      <c r="AQ1118" s="7" t="s">
        <v>61</v>
      </c>
      <c r="AR1118" s="7" t="s">
        <v>0</v>
      </c>
      <c r="AS1118" s="10" t="str">
        <f>HYPERLINK("https://tessa.gazprom-neft.local/edo/card/2c9a222d-e1e2-4594-8857-da41fe94f6d6", "https://tessa.gazprom-neft.local/edo/card/2c9a222d-e1e2-4594-8857-da41fe94f6d6")</f>
        <v>https://tessa.gazprom-neft.local/edo/card/2c9a222d-e1e2-4594-8857-da41fe94f6d6</v>
      </c>
    </row>
    <row r="1119" spans="1:45" hidden="1" x14ac:dyDescent="0.25">
      <c r="A1119" s="6" t="s">
        <v>44</v>
      </c>
      <c r="B1119" s="7" t="s">
        <v>673</v>
      </c>
      <c r="C1119" s="7" t="s">
        <v>67</v>
      </c>
      <c r="D1119" s="8">
        <v>45061</v>
      </c>
      <c r="E1119" s="8" t="s">
        <v>0</v>
      </c>
      <c r="F1119" s="16" t="s">
        <v>674</v>
      </c>
      <c r="G1119" s="7" t="s">
        <v>675</v>
      </c>
      <c r="H1119" s="7" t="s">
        <v>668</v>
      </c>
      <c r="I1119" s="7" t="s">
        <v>0</v>
      </c>
      <c r="J1119" s="7" t="s">
        <v>271</v>
      </c>
      <c r="K1119" s="7" t="s">
        <v>47</v>
      </c>
      <c r="L1119" s="7" t="s">
        <v>239</v>
      </c>
      <c r="M1119" s="7" t="s">
        <v>0</v>
      </c>
      <c r="N1119" s="7" t="s">
        <v>3795</v>
      </c>
      <c r="O1119" s="7" t="s">
        <v>0</v>
      </c>
      <c r="P1119" s="7" t="s">
        <v>3796</v>
      </c>
      <c r="Q1119" s="7" t="s">
        <v>3797</v>
      </c>
      <c r="R1119" s="7" t="s">
        <v>671</v>
      </c>
      <c r="S1119" s="7" t="s">
        <v>3798</v>
      </c>
      <c r="T1119" s="7" t="s">
        <v>54</v>
      </c>
      <c r="U1119" s="7" t="s">
        <v>672</v>
      </c>
      <c r="V1119" s="7" t="s">
        <v>340</v>
      </c>
      <c r="W1119" s="7" t="s">
        <v>74</v>
      </c>
      <c r="X1119" s="7" t="s">
        <v>103</v>
      </c>
      <c r="Y1119" s="8">
        <v>45061</v>
      </c>
      <c r="Z1119" s="8">
        <v>45291</v>
      </c>
      <c r="AA1119" s="7" t="s">
        <v>341</v>
      </c>
      <c r="AB1119" s="7" t="s">
        <v>130</v>
      </c>
      <c r="AC1119" s="7" t="s">
        <v>79</v>
      </c>
      <c r="AD1119" s="7" t="s">
        <v>144</v>
      </c>
      <c r="AE1119" s="7" t="s">
        <v>82</v>
      </c>
      <c r="AF1119" s="7" t="s">
        <v>0</v>
      </c>
      <c r="AG1119" s="7" t="s">
        <v>3688</v>
      </c>
      <c r="AH1119" s="9" t="s">
        <v>11820</v>
      </c>
      <c r="AI1119" s="9" t="s">
        <v>11821</v>
      </c>
      <c r="AJ1119" s="9" t="s">
        <v>11822</v>
      </c>
      <c r="AK1119" s="7" t="s">
        <v>81</v>
      </c>
      <c r="AL1119" s="7" t="s">
        <v>61</v>
      </c>
      <c r="AM1119" s="7" t="s">
        <v>0</v>
      </c>
      <c r="AN1119" s="7" t="s">
        <v>0</v>
      </c>
      <c r="AO1119" s="7" t="s">
        <v>0</v>
      </c>
      <c r="AP1119" s="7" t="s">
        <v>0</v>
      </c>
      <c r="AQ1119" s="7" t="s">
        <v>61</v>
      </c>
      <c r="AR1119" s="7" t="s">
        <v>0</v>
      </c>
      <c r="AS1119" s="10" t="str">
        <f>HYPERLINK("https://tessa.gazprom-neft.local/edo/card/c07409e4-ac38-4797-97e6-311123c7bcb9", "https://tessa.gazprom-neft.local/edo/card/c07409e4-ac38-4797-97e6-311123c7bcb9")</f>
        <v>https://tessa.gazprom-neft.local/edo/card/c07409e4-ac38-4797-97e6-311123c7bcb9</v>
      </c>
    </row>
    <row r="1120" spans="1:45" x14ac:dyDescent="0.25">
      <c r="A1120" s="6" t="s">
        <v>44</v>
      </c>
      <c r="B1120" s="7" t="s">
        <v>2108</v>
      </c>
      <c r="C1120" s="7" t="s">
        <v>67</v>
      </c>
      <c r="D1120" s="8">
        <v>45057</v>
      </c>
      <c r="E1120" s="8" t="s">
        <v>0</v>
      </c>
      <c r="F1120" s="16" t="s">
        <v>2109</v>
      </c>
      <c r="G1120" s="7" t="s">
        <v>2110</v>
      </c>
      <c r="H1120" s="7" t="s">
        <v>3620</v>
      </c>
      <c r="I1120" s="7" t="s">
        <v>0</v>
      </c>
      <c r="J1120" s="7" t="s">
        <v>51</v>
      </c>
      <c r="K1120" s="7" t="s">
        <v>47</v>
      </c>
      <c r="L1120" s="7" t="s">
        <v>48</v>
      </c>
      <c r="M1120" s="7" t="s">
        <v>0</v>
      </c>
      <c r="N1120" s="7" t="s">
        <v>3619</v>
      </c>
      <c r="O1120" s="7" t="s">
        <v>0</v>
      </c>
      <c r="P1120" s="7" t="s">
        <v>3621</v>
      </c>
      <c r="Q1120" s="7" t="s">
        <v>3272</v>
      </c>
      <c r="R1120" s="7" t="s">
        <v>361</v>
      </c>
      <c r="S1120" s="7" t="s">
        <v>361</v>
      </c>
      <c r="T1120" s="7" t="s">
        <v>54</v>
      </c>
      <c r="U1120" s="7" t="s">
        <v>362</v>
      </c>
      <c r="V1120" s="7" t="s">
        <v>295</v>
      </c>
      <c r="W1120" s="7" t="s">
        <v>74</v>
      </c>
      <c r="X1120" s="7" t="s">
        <v>103</v>
      </c>
      <c r="Y1120" s="8">
        <v>45061</v>
      </c>
      <c r="Z1120" s="8">
        <v>45427</v>
      </c>
      <c r="AA1120" s="7" t="s">
        <v>296</v>
      </c>
      <c r="AB1120" s="7" t="s">
        <v>366</v>
      </c>
      <c r="AC1120" s="7" t="s">
        <v>278</v>
      </c>
      <c r="AD1120" s="7" t="s">
        <v>367</v>
      </c>
      <c r="AE1120" s="7" t="s">
        <v>82</v>
      </c>
      <c r="AF1120" s="7" t="s">
        <v>0</v>
      </c>
      <c r="AG1120" s="7" t="s">
        <v>0</v>
      </c>
      <c r="AH1120" s="9" t="s">
        <v>11748</v>
      </c>
      <c r="AI1120" s="9" t="s">
        <v>11749</v>
      </c>
      <c r="AJ1120" s="9" t="s">
        <v>11750</v>
      </c>
      <c r="AK1120" s="7" t="s">
        <v>61</v>
      </c>
      <c r="AL1120" s="7" t="s">
        <v>61</v>
      </c>
      <c r="AM1120" s="7" t="s">
        <v>0</v>
      </c>
      <c r="AN1120" s="7" t="s">
        <v>0</v>
      </c>
      <c r="AO1120" s="7" t="s">
        <v>0</v>
      </c>
      <c r="AP1120" s="7" t="s">
        <v>0</v>
      </c>
      <c r="AQ1120" s="7" t="s">
        <v>61</v>
      </c>
      <c r="AR1120" s="7" t="s">
        <v>0</v>
      </c>
      <c r="AS1120" s="10" t="str">
        <f>HYPERLINK("https://tessa.gazprom-neft.local/edo/card/05a00c0f-384a-4252-ab77-76744d98acd9", "https://tessa.gazprom-neft.local/edo/card/05a00c0f-384a-4252-ab77-76744d98acd9")</f>
        <v>https://tessa.gazprom-neft.local/edo/card/05a00c0f-384a-4252-ab77-76744d98acd9</v>
      </c>
    </row>
    <row r="1121" spans="1:45" x14ac:dyDescent="0.25">
      <c r="A1121" s="6" t="s">
        <v>44</v>
      </c>
      <c r="B1121" s="7" t="s">
        <v>1240</v>
      </c>
      <c r="C1121" s="7" t="s">
        <v>67</v>
      </c>
      <c r="D1121" s="8">
        <v>45051</v>
      </c>
      <c r="E1121" s="8" t="s">
        <v>0</v>
      </c>
      <c r="F1121" s="16" t="s">
        <v>1241</v>
      </c>
      <c r="G1121" s="7" t="s">
        <v>1242</v>
      </c>
      <c r="H1121" s="7" t="s">
        <v>3083</v>
      </c>
      <c r="I1121" s="7" t="s">
        <v>0</v>
      </c>
      <c r="J1121" s="7" t="s">
        <v>355</v>
      </c>
      <c r="K1121" s="7" t="s">
        <v>47</v>
      </c>
      <c r="L1121" s="7" t="s">
        <v>48</v>
      </c>
      <c r="M1121" s="7" t="s">
        <v>0</v>
      </c>
      <c r="N1121" s="7" t="s">
        <v>3596</v>
      </c>
      <c r="O1121" s="7" t="s">
        <v>0</v>
      </c>
      <c r="P1121" s="7" t="s">
        <v>3597</v>
      </c>
      <c r="Q1121" s="7" t="s">
        <v>3598</v>
      </c>
      <c r="R1121" s="7" t="s">
        <v>393</v>
      </c>
      <c r="S1121" s="7" t="s">
        <v>1261</v>
      </c>
      <c r="T1121" s="7" t="s">
        <v>54</v>
      </c>
      <c r="U1121" s="7" t="s">
        <v>222</v>
      </c>
      <c r="V1121" s="7" t="s">
        <v>382</v>
      </c>
      <c r="W1121" s="7" t="s">
        <v>74</v>
      </c>
      <c r="X1121" s="7" t="s">
        <v>58</v>
      </c>
      <c r="Y1121" s="8">
        <v>45051</v>
      </c>
      <c r="Z1121" s="8" t="s">
        <v>0</v>
      </c>
      <c r="AA1121" s="7" t="s">
        <v>383</v>
      </c>
      <c r="AB1121" s="7" t="s">
        <v>1243</v>
      </c>
      <c r="AC1121" s="7" t="s">
        <v>65</v>
      </c>
      <c r="AD1121" s="7" t="s">
        <v>144</v>
      </c>
      <c r="AE1121" s="7" t="s">
        <v>0</v>
      </c>
      <c r="AF1121" s="7" t="s">
        <v>0</v>
      </c>
      <c r="AG1121" s="7" t="s">
        <v>0</v>
      </c>
      <c r="AH1121" s="9" t="s">
        <v>0</v>
      </c>
      <c r="AI1121" s="9" t="s">
        <v>0</v>
      </c>
      <c r="AJ1121" s="9" t="s">
        <v>0</v>
      </c>
      <c r="AK1121" s="7" t="s">
        <v>61</v>
      </c>
      <c r="AL1121" s="7" t="s">
        <v>61</v>
      </c>
      <c r="AM1121" s="7" t="s">
        <v>0</v>
      </c>
      <c r="AN1121" s="7" t="s">
        <v>0</v>
      </c>
      <c r="AO1121" s="7" t="s">
        <v>0</v>
      </c>
      <c r="AP1121" s="7" t="s">
        <v>0</v>
      </c>
      <c r="AQ1121" s="7" t="s">
        <v>61</v>
      </c>
      <c r="AR1121" s="7" t="s">
        <v>0</v>
      </c>
      <c r="AS1121" s="10" t="str">
        <f>HYPERLINK("https://tessa.gazprom-neft.local/edo/card/b9c38065-85e9-43c3-afa6-9354583f5fcf", "https://tessa.gazprom-neft.local/edo/card/b9c38065-85e9-43c3-afa6-9354583f5fcf")</f>
        <v>https://tessa.gazprom-neft.local/edo/card/b9c38065-85e9-43c3-afa6-9354583f5fcf</v>
      </c>
    </row>
    <row r="1122" spans="1:45" x14ac:dyDescent="0.25">
      <c r="A1122" s="6" t="s">
        <v>44</v>
      </c>
      <c r="B1122" s="7" t="s">
        <v>1240</v>
      </c>
      <c r="C1122" s="7" t="s">
        <v>67</v>
      </c>
      <c r="D1122" s="8">
        <v>45051</v>
      </c>
      <c r="E1122" s="8" t="s">
        <v>0</v>
      </c>
      <c r="F1122" s="16" t="s">
        <v>1241</v>
      </c>
      <c r="G1122" s="7" t="s">
        <v>1242</v>
      </c>
      <c r="H1122" s="7" t="s">
        <v>1237</v>
      </c>
      <c r="I1122" s="7" t="s">
        <v>0</v>
      </c>
      <c r="J1122" s="7" t="s">
        <v>355</v>
      </c>
      <c r="K1122" s="7" t="s">
        <v>47</v>
      </c>
      <c r="L1122" s="7" t="s">
        <v>48</v>
      </c>
      <c r="M1122" s="7" t="s">
        <v>0</v>
      </c>
      <c r="N1122" s="7" t="s">
        <v>3610</v>
      </c>
      <c r="O1122" s="7" t="s">
        <v>0</v>
      </c>
      <c r="P1122" s="7" t="s">
        <v>3611</v>
      </c>
      <c r="Q1122" s="7" t="s">
        <v>3598</v>
      </c>
      <c r="R1122" s="7" t="s">
        <v>393</v>
      </c>
      <c r="S1122" s="7" t="s">
        <v>1261</v>
      </c>
      <c r="T1122" s="7" t="s">
        <v>54</v>
      </c>
      <c r="U1122" s="7" t="s">
        <v>222</v>
      </c>
      <c r="V1122" s="7" t="s">
        <v>382</v>
      </c>
      <c r="W1122" s="7" t="s">
        <v>74</v>
      </c>
      <c r="X1122" s="7" t="s">
        <v>58</v>
      </c>
      <c r="Y1122" s="8">
        <v>45051</v>
      </c>
      <c r="Z1122" s="8" t="s">
        <v>0</v>
      </c>
      <c r="AA1122" s="7" t="s">
        <v>383</v>
      </c>
      <c r="AB1122" s="7" t="s">
        <v>1243</v>
      </c>
      <c r="AC1122" s="7" t="s">
        <v>65</v>
      </c>
      <c r="AD1122" s="7" t="s">
        <v>144</v>
      </c>
      <c r="AE1122" s="7" t="s">
        <v>0</v>
      </c>
      <c r="AF1122" s="7" t="s">
        <v>0</v>
      </c>
      <c r="AG1122" s="7" t="s">
        <v>0</v>
      </c>
      <c r="AH1122" s="9" t="s">
        <v>0</v>
      </c>
      <c r="AI1122" s="9" t="s">
        <v>0</v>
      </c>
      <c r="AJ1122" s="9" t="s">
        <v>0</v>
      </c>
      <c r="AK1122" s="7" t="s">
        <v>61</v>
      </c>
      <c r="AL1122" s="7" t="s">
        <v>61</v>
      </c>
      <c r="AM1122" s="7" t="s">
        <v>0</v>
      </c>
      <c r="AN1122" s="7" t="s">
        <v>0</v>
      </c>
      <c r="AO1122" s="7" t="s">
        <v>0</v>
      </c>
      <c r="AP1122" s="7" t="s">
        <v>0</v>
      </c>
      <c r="AQ1122" s="7" t="s">
        <v>61</v>
      </c>
      <c r="AR1122" s="7" t="s">
        <v>0</v>
      </c>
      <c r="AS1122" s="10" t="str">
        <f>HYPERLINK("https://tessa.gazprom-neft.local/edo/card/1ba71651-c47e-4d86-8353-210e167f1a07", "https://tessa.gazprom-neft.local/edo/card/1ba71651-c47e-4d86-8353-210e167f1a07")</f>
        <v>https://tessa.gazprom-neft.local/edo/card/1ba71651-c47e-4d86-8353-210e167f1a07</v>
      </c>
    </row>
    <row r="1123" spans="1:45" hidden="1" x14ac:dyDescent="0.25">
      <c r="A1123" s="6" t="s">
        <v>44</v>
      </c>
      <c r="B1123" s="7" t="s">
        <v>786</v>
      </c>
      <c r="C1123" s="7" t="s">
        <v>67</v>
      </c>
      <c r="D1123" s="8">
        <v>45049</v>
      </c>
      <c r="E1123" s="8" t="s">
        <v>0</v>
      </c>
      <c r="F1123" s="16" t="s">
        <v>787</v>
      </c>
      <c r="G1123" s="7" t="s">
        <v>788</v>
      </c>
      <c r="H1123" s="7" t="s">
        <v>0</v>
      </c>
      <c r="I1123" s="7" t="s">
        <v>3379</v>
      </c>
      <c r="J1123" s="7" t="s">
        <v>3379</v>
      </c>
      <c r="K1123" s="7" t="s">
        <v>85</v>
      </c>
      <c r="L1123" s="7" t="s">
        <v>96</v>
      </c>
      <c r="M1123" s="7" t="s">
        <v>398</v>
      </c>
      <c r="N1123" s="7" t="s">
        <v>3378</v>
      </c>
      <c r="O1123" s="7" t="s">
        <v>0</v>
      </c>
      <c r="P1123" s="7" t="s">
        <v>3380</v>
      </c>
      <c r="Q1123" s="7" t="s">
        <v>402</v>
      </c>
      <c r="R1123" s="7" t="s">
        <v>361</v>
      </c>
      <c r="S1123" s="7" t="s">
        <v>361</v>
      </c>
      <c r="T1123" s="7" t="s">
        <v>54</v>
      </c>
      <c r="U1123" s="7" t="s">
        <v>362</v>
      </c>
      <c r="V1123" s="7" t="s">
        <v>295</v>
      </c>
      <c r="W1123" s="7" t="s">
        <v>74</v>
      </c>
      <c r="X1123" s="7" t="s">
        <v>103</v>
      </c>
      <c r="Y1123" s="8">
        <v>45040</v>
      </c>
      <c r="Z1123" s="8">
        <v>45291</v>
      </c>
      <c r="AA1123" s="7" t="s">
        <v>296</v>
      </c>
      <c r="AB1123" s="7" t="s">
        <v>366</v>
      </c>
      <c r="AC1123" s="7" t="s">
        <v>278</v>
      </c>
      <c r="AD1123" s="7" t="s">
        <v>367</v>
      </c>
      <c r="AE1123" s="7" t="s">
        <v>82</v>
      </c>
      <c r="AF1123" s="7" t="s">
        <v>0</v>
      </c>
      <c r="AG1123" s="7" t="s">
        <v>0</v>
      </c>
      <c r="AH1123" s="9" t="s">
        <v>11642</v>
      </c>
      <c r="AI1123" s="9" t="s">
        <v>11643</v>
      </c>
      <c r="AJ1123" s="9" t="s">
        <v>11644</v>
      </c>
      <c r="AK1123" s="7" t="s">
        <v>61</v>
      </c>
      <c r="AL1123" s="7" t="s">
        <v>61</v>
      </c>
      <c r="AM1123" s="7" t="s">
        <v>0</v>
      </c>
      <c r="AN1123" s="7" t="s">
        <v>0</v>
      </c>
      <c r="AO1123" s="7" t="s">
        <v>0</v>
      </c>
      <c r="AP1123" s="7" t="s">
        <v>0</v>
      </c>
      <c r="AQ1123" s="7" t="s">
        <v>61</v>
      </c>
      <c r="AR1123" s="7" t="s">
        <v>0</v>
      </c>
      <c r="AS1123" s="10" t="str">
        <f>HYPERLINK("https://tessa.gazprom-neft.local/edo/card/449ce108-66d6-41cc-8653-de29c40ec3fb", "https://tessa.gazprom-neft.local/edo/card/449ce108-66d6-41cc-8653-de29c40ec3fb")</f>
        <v>https://tessa.gazprom-neft.local/edo/card/449ce108-66d6-41cc-8653-de29c40ec3fb</v>
      </c>
    </row>
    <row r="1124" spans="1:45" hidden="1" x14ac:dyDescent="0.25">
      <c r="A1124" s="6" t="s">
        <v>44</v>
      </c>
      <c r="B1124" s="7" t="s">
        <v>1216</v>
      </c>
      <c r="C1124" s="7" t="s">
        <v>67</v>
      </c>
      <c r="D1124" s="8">
        <v>45049</v>
      </c>
      <c r="E1124" s="8" t="s">
        <v>0</v>
      </c>
      <c r="F1124" s="16" t="s">
        <v>1217</v>
      </c>
      <c r="G1124" s="7" t="s">
        <v>1218</v>
      </c>
      <c r="H1124" s="7" t="s">
        <v>0</v>
      </c>
      <c r="I1124" s="7" t="s">
        <v>3518</v>
      </c>
      <c r="J1124" s="7" t="s">
        <v>3518</v>
      </c>
      <c r="K1124" s="7" t="s">
        <v>85</v>
      </c>
      <c r="L1124" s="7" t="s">
        <v>96</v>
      </c>
      <c r="M1124" s="7" t="s">
        <v>398</v>
      </c>
      <c r="N1124" s="7" t="s">
        <v>3517</v>
      </c>
      <c r="O1124" s="7" t="s">
        <v>0</v>
      </c>
      <c r="P1124" s="7" t="s">
        <v>3519</v>
      </c>
      <c r="Q1124" s="7" t="s">
        <v>402</v>
      </c>
      <c r="R1124" s="7" t="s">
        <v>361</v>
      </c>
      <c r="S1124" s="7" t="s">
        <v>361</v>
      </c>
      <c r="T1124" s="7" t="s">
        <v>54</v>
      </c>
      <c r="U1124" s="7" t="s">
        <v>362</v>
      </c>
      <c r="V1124" s="7" t="s">
        <v>295</v>
      </c>
      <c r="W1124" s="7" t="s">
        <v>74</v>
      </c>
      <c r="X1124" s="7" t="s">
        <v>103</v>
      </c>
      <c r="Y1124" s="8">
        <v>45047</v>
      </c>
      <c r="Z1124" s="8">
        <v>45291</v>
      </c>
      <c r="AA1124" s="7" t="s">
        <v>296</v>
      </c>
      <c r="AB1124" s="7" t="s">
        <v>366</v>
      </c>
      <c r="AC1124" s="7" t="s">
        <v>278</v>
      </c>
      <c r="AD1124" s="7" t="s">
        <v>367</v>
      </c>
      <c r="AE1124" s="7" t="s">
        <v>82</v>
      </c>
      <c r="AF1124" s="7" t="s">
        <v>0</v>
      </c>
      <c r="AG1124" s="7" t="s">
        <v>0</v>
      </c>
      <c r="AH1124" s="9" t="s">
        <v>11713</v>
      </c>
      <c r="AI1124" s="9" t="s">
        <v>11714</v>
      </c>
      <c r="AJ1124" s="9" t="s">
        <v>11715</v>
      </c>
      <c r="AK1124" s="7" t="s">
        <v>61</v>
      </c>
      <c r="AL1124" s="7" t="s">
        <v>61</v>
      </c>
      <c r="AM1124" s="7" t="s">
        <v>0</v>
      </c>
      <c r="AN1124" s="7" t="s">
        <v>0</v>
      </c>
      <c r="AO1124" s="7" t="s">
        <v>0</v>
      </c>
      <c r="AP1124" s="7" t="s">
        <v>0</v>
      </c>
      <c r="AQ1124" s="7" t="s">
        <v>61</v>
      </c>
      <c r="AR1124" s="7" t="s">
        <v>0</v>
      </c>
      <c r="AS1124" s="10" t="str">
        <f>HYPERLINK("https://tessa.gazprom-neft.local/edo/card/dec41371-f392-4fb3-8f00-0be9defc6f9d", "https://tessa.gazprom-neft.local/edo/card/dec41371-f392-4fb3-8f00-0be9defc6f9d")</f>
        <v>https://tessa.gazprom-neft.local/edo/card/dec41371-f392-4fb3-8f00-0be9defc6f9d</v>
      </c>
    </row>
    <row r="1125" spans="1:45" x14ac:dyDescent="0.25">
      <c r="A1125" s="6" t="s">
        <v>44</v>
      </c>
      <c r="B1125" s="7" t="s">
        <v>3273</v>
      </c>
      <c r="C1125" s="7" t="s">
        <v>67</v>
      </c>
      <c r="D1125" s="8">
        <v>45049</v>
      </c>
      <c r="E1125" s="8" t="s">
        <v>0</v>
      </c>
      <c r="F1125" s="16" t="s">
        <v>3274</v>
      </c>
      <c r="G1125" s="7" t="s">
        <v>3275</v>
      </c>
      <c r="H1125" s="7" t="s">
        <v>3565</v>
      </c>
      <c r="I1125" s="7" t="s">
        <v>0</v>
      </c>
      <c r="J1125" s="7" t="s">
        <v>271</v>
      </c>
      <c r="K1125" s="7" t="s">
        <v>47</v>
      </c>
      <c r="L1125" s="7" t="s">
        <v>48</v>
      </c>
      <c r="M1125" s="7" t="s">
        <v>0</v>
      </c>
      <c r="N1125" s="7" t="s">
        <v>3564</v>
      </c>
      <c r="O1125" s="7" t="s">
        <v>0</v>
      </c>
      <c r="P1125" s="7" t="s">
        <v>312</v>
      </c>
      <c r="Q1125" s="7" t="s">
        <v>3566</v>
      </c>
      <c r="R1125" s="7" t="s">
        <v>898</v>
      </c>
      <c r="S1125" s="7" t="s">
        <v>898</v>
      </c>
      <c r="T1125" s="7" t="s">
        <v>54</v>
      </c>
      <c r="U1125" s="7" t="s">
        <v>899</v>
      </c>
      <c r="V1125" s="7" t="s">
        <v>126</v>
      </c>
      <c r="W1125" s="7" t="s">
        <v>74</v>
      </c>
      <c r="X1125" s="7" t="s">
        <v>58</v>
      </c>
      <c r="Y1125" s="8">
        <v>45049</v>
      </c>
      <c r="Z1125" s="8" t="s">
        <v>0</v>
      </c>
      <c r="AA1125" s="7" t="s">
        <v>224</v>
      </c>
      <c r="AB1125" s="7" t="s">
        <v>130</v>
      </c>
      <c r="AC1125" s="7" t="s">
        <v>65</v>
      </c>
      <c r="AD1125" s="7" t="s">
        <v>80</v>
      </c>
      <c r="AE1125" s="7" t="s">
        <v>0</v>
      </c>
      <c r="AF1125" s="7" t="s">
        <v>0</v>
      </c>
      <c r="AG1125" s="7" t="s">
        <v>0</v>
      </c>
      <c r="AH1125" s="9" t="s">
        <v>0</v>
      </c>
      <c r="AI1125" s="9" t="s">
        <v>0</v>
      </c>
      <c r="AJ1125" s="9" t="s">
        <v>0</v>
      </c>
      <c r="AK1125" s="7" t="s">
        <v>61</v>
      </c>
      <c r="AL1125" s="7" t="s">
        <v>61</v>
      </c>
      <c r="AM1125" s="7" t="s">
        <v>0</v>
      </c>
      <c r="AN1125" s="7" t="s">
        <v>0</v>
      </c>
      <c r="AO1125" s="7" t="s">
        <v>0</v>
      </c>
      <c r="AP1125" s="7" t="s">
        <v>0</v>
      </c>
      <c r="AQ1125" s="7" t="s">
        <v>61</v>
      </c>
      <c r="AR1125" s="7" t="s">
        <v>0</v>
      </c>
      <c r="AS1125" s="10" t="str">
        <f>HYPERLINK("https://tessa.gazprom-neft.local/edo/card/a4f53b02-7d12-4f96-8faf-de7315f0c768", "https://tessa.gazprom-neft.local/edo/card/a4f53b02-7d12-4f96-8faf-de7315f0c768")</f>
        <v>https://tessa.gazprom-neft.local/edo/card/a4f53b02-7d12-4f96-8faf-de7315f0c768</v>
      </c>
    </row>
    <row r="1126" spans="1:45" hidden="1" x14ac:dyDescent="0.25">
      <c r="A1126" s="6" t="s">
        <v>44</v>
      </c>
      <c r="B1126" s="7" t="s">
        <v>813</v>
      </c>
      <c r="C1126" s="7" t="s">
        <v>67</v>
      </c>
      <c r="D1126" s="8">
        <v>45048</v>
      </c>
      <c r="E1126" s="8" t="s">
        <v>0</v>
      </c>
      <c r="F1126" s="16" t="s">
        <v>814</v>
      </c>
      <c r="G1126" s="7" t="s">
        <v>815</v>
      </c>
      <c r="H1126" s="7" t="s">
        <v>809</v>
      </c>
      <c r="I1126" s="7" t="s">
        <v>0</v>
      </c>
      <c r="J1126" s="7" t="s">
        <v>1098</v>
      </c>
      <c r="K1126" s="7" t="s">
        <v>47</v>
      </c>
      <c r="L1126" s="7" t="s">
        <v>709</v>
      </c>
      <c r="M1126" s="7" t="s">
        <v>0</v>
      </c>
      <c r="N1126" s="7" t="s">
        <v>3396</v>
      </c>
      <c r="O1126" s="7" t="s">
        <v>0</v>
      </c>
      <c r="P1126" s="7" t="s">
        <v>3397</v>
      </c>
      <c r="Q1126" s="7" t="s">
        <v>3398</v>
      </c>
      <c r="R1126" s="7" t="s">
        <v>768</v>
      </c>
      <c r="S1126" s="7" t="s">
        <v>812</v>
      </c>
      <c r="T1126" s="7" t="s">
        <v>54</v>
      </c>
      <c r="U1126" s="7" t="s">
        <v>55</v>
      </c>
      <c r="V1126" s="7" t="s">
        <v>56</v>
      </c>
      <c r="W1126" s="7" t="s">
        <v>74</v>
      </c>
      <c r="X1126" s="7" t="s">
        <v>103</v>
      </c>
      <c r="Y1126" s="8">
        <v>45048</v>
      </c>
      <c r="Z1126" s="8">
        <v>45194</v>
      </c>
      <c r="AA1126" s="7" t="s">
        <v>212</v>
      </c>
      <c r="AB1126" s="7" t="s">
        <v>256</v>
      </c>
      <c r="AC1126" s="7" t="s">
        <v>79</v>
      </c>
      <c r="AD1126" s="7" t="s">
        <v>80</v>
      </c>
      <c r="AE1126" s="7" t="s">
        <v>82</v>
      </c>
      <c r="AF1126" s="7" t="s">
        <v>0</v>
      </c>
      <c r="AG1126" s="7" t="s">
        <v>0</v>
      </c>
      <c r="AH1126" s="9" t="s">
        <v>11651</v>
      </c>
      <c r="AI1126" s="9" t="s">
        <v>11652</v>
      </c>
      <c r="AJ1126" s="9" t="s">
        <v>11653</v>
      </c>
      <c r="AK1126" s="7" t="s">
        <v>61</v>
      </c>
      <c r="AL1126" s="7" t="s">
        <v>61</v>
      </c>
      <c r="AM1126" s="7" t="s">
        <v>0</v>
      </c>
      <c r="AN1126" s="7" t="s">
        <v>0</v>
      </c>
      <c r="AO1126" s="7" t="s">
        <v>0</v>
      </c>
      <c r="AP1126" s="7" t="s">
        <v>0</v>
      </c>
      <c r="AQ1126" s="7" t="s">
        <v>61</v>
      </c>
      <c r="AR1126" s="7" t="s">
        <v>0</v>
      </c>
      <c r="AS1126" s="10" t="str">
        <f>HYPERLINK("https://tessa.gazprom-neft.local/edo/card/2ab0677a-a6ee-4116-a235-4df7faf95f7a", "https://tessa.gazprom-neft.local/edo/card/2ab0677a-a6ee-4116-a235-4df7faf95f7a")</f>
        <v>https://tessa.gazprom-neft.local/edo/card/2ab0677a-a6ee-4116-a235-4df7faf95f7a</v>
      </c>
    </row>
    <row r="1127" spans="1:45" hidden="1" x14ac:dyDescent="0.25">
      <c r="A1127" s="6" t="s">
        <v>44</v>
      </c>
      <c r="B1127" s="7" t="s">
        <v>813</v>
      </c>
      <c r="C1127" s="7" t="s">
        <v>67</v>
      </c>
      <c r="D1127" s="8">
        <v>45048</v>
      </c>
      <c r="E1127" s="8" t="s">
        <v>0</v>
      </c>
      <c r="F1127" s="16" t="s">
        <v>814</v>
      </c>
      <c r="G1127" s="7" t="s">
        <v>815</v>
      </c>
      <c r="H1127" s="7" t="s">
        <v>809</v>
      </c>
      <c r="I1127" s="7" t="s">
        <v>0</v>
      </c>
      <c r="J1127" s="7" t="s">
        <v>936</v>
      </c>
      <c r="K1127" s="7" t="s">
        <v>47</v>
      </c>
      <c r="L1127" s="7" t="s">
        <v>709</v>
      </c>
      <c r="M1127" s="7" t="s">
        <v>0</v>
      </c>
      <c r="N1127" s="7" t="s">
        <v>3432</v>
      </c>
      <c r="O1127" s="7" t="s">
        <v>0</v>
      </c>
      <c r="P1127" s="7" t="s">
        <v>3433</v>
      </c>
      <c r="Q1127" s="7" t="s">
        <v>3434</v>
      </c>
      <c r="R1127" s="7" t="s">
        <v>768</v>
      </c>
      <c r="S1127" s="7" t="s">
        <v>812</v>
      </c>
      <c r="T1127" s="7" t="s">
        <v>54</v>
      </c>
      <c r="U1127" s="7" t="s">
        <v>55</v>
      </c>
      <c r="V1127" s="7" t="s">
        <v>56</v>
      </c>
      <c r="W1127" s="7" t="s">
        <v>74</v>
      </c>
      <c r="X1127" s="7" t="s">
        <v>103</v>
      </c>
      <c r="Y1127" s="8">
        <v>45048</v>
      </c>
      <c r="Z1127" s="8">
        <v>45255</v>
      </c>
      <c r="AA1127" s="7" t="s">
        <v>212</v>
      </c>
      <c r="AB1127" s="7" t="s">
        <v>256</v>
      </c>
      <c r="AC1127" s="7" t="s">
        <v>79</v>
      </c>
      <c r="AD1127" s="7" t="s">
        <v>80</v>
      </c>
      <c r="AE1127" s="7" t="s">
        <v>82</v>
      </c>
      <c r="AF1127" s="7" t="s">
        <v>0</v>
      </c>
      <c r="AG1127" s="7" t="s">
        <v>0</v>
      </c>
      <c r="AH1127" s="9" t="s">
        <v>11668</v>
      </c>
      <c r="AI1127" s="9" t="s">
        <v>11669</v>
      </c>
      <c r="AJ1127" s="9" t="s">
        <v>11670</v>
      </c>
      <c r="AK1127" s="7" t="s">
        <v>61</v>
      </c>
      <c r="AL1127" s="7" t="s">
        <v>61</v>
      </c>
      <c r="AM1127" s="7" t="s">
        <v>0</v>
      </c>
      <c r="AN1127" s="7" t="s">
        <v>0</v>
      </c>
      <c r="AO1127" s="7" t="s">
        <v>0</v>
      </c>
      <c r="AP1127" s="7" t="s">
        <v>0</v>
      </c>
      <c r="AQ1127" s="7" t="s">
        <v>61</v>
      </c>
      <c r="AR1127" s="7" t="s">
        <v>0</v>
      </c>
      <c r="AS1127" s="10" t="str">
        <f>HYPERLINK("https://tessa.gazprom-neft.local/edo/card/7195250a-9370-47f5-a7fb-7c476c7ee48b", "https://tessa.gazprom-neft.local/edo/card/7195250a-9370-47f5-a7fb-7c476c7ee48b")</f>
        <v>https://tessa.gazprom-neft.local/edo/card/7195250a-9370-47f5-a7fb-7c476c7ee48b</v>
      </c>
    </row>
    <row r="1128" spans="1:45" hidden="1" x14ac:dyDescent="0.25">
      <c r="A1128" s="6" t="s">
        <v>44</v>
      </c>
      <c r="B1128" s="7" t="s">
        <v>813</v>
      </c>
      <c r="C1128" s="7" t="s">
        <v>67</v>
      </c>
      <c r="D1128" s="8">
        <v>45048</v>
      </c>
      <c r="E1128" s="8" t="s">
        <v>0</v>
      </c>
      <c r="F1128" s="16" t="s">
        <v>814</v>
      </c>
      <c r="G1128" s="7" t="s">
        <v>815</v>
      </c>
      <c r="H1128" s="7" t="s">
        <v>809</v>
      </c>
      <c r="I1128" s="7" t="s">
        <v>0</v>
      </c>
      <c r="J1128" s="7" t="s">
        <v>712</v>
      </c>
      <c r="K1128" s="7" t="s">
        <v>47</v>
      </c>
      <c r="L1128" s="7" t="s">
        <v>709</v>
      </c>
      <c r="M1128" s="7" t="s">
        <v>0</v>
      </c>
      <c r="N1128" s="7" t="s">
        <v>3449</v>
      </c>
      <c r="O1128" s="7" t="s">
        <v>0</v>
      </c>
      <c r="P1128" s="7" t="s">
        <v>3450</v>
      </c>
      <c r="Q1128" s="7" t="s">
        <v>3451</v>
      </c>
      <c r="R1128" s="7" t="s">
        <v>768</v>
      </c>
      <c r="S1128" s="7" t="s">
        <v>812</v>
      </c>
      <c r="T1128" s="7" t="s">
        <v>54</v>
      </c>
      <c r="U1128" s="7" t="s">
        <v>55</v>
      </c>
      <c r="V1128" s="7" t="s">
        <v>56</v>
      </c>
      <c r="W1128" s="7" t="s">
        <v>74</v>
      </c>
      <c r="X1128" s="7" t="s">
        <v>103</v>
      </c>
      <c r="Y1128" s="8">
        <v>45048</v>
      </c>
      <c r="Z1128" s="8">
        <v>45291</v>
      </c>
      <c r="AA1128" s="7" t="s">
        <v>212</v>
      </c>
      <c r="AB1128" s="7" t="s">
        <v>256</v>
      </c>
      <c r="AC1128" s="7" t="s">
        <v>79</v>
      </c>
      <c r="AD1128" s="7" t="s">
        <v>80</v>
      </c>
      <c r="AE1128" s="7" t="s">
        <v>82</v>
      </c>
      <c r="AF1128" s="7" t="s">
        <v>0</v>
      </c>
      <c r="AG1128" s="7" t="s">
        <v>0</v>
      </c>
      <c r="AH1128" s="9" t="s">
        <v>11677</v>
      </c>
      <c r="AI1128" s="9" t="s">
        <v>11678</v>
      </c>
      <c r="AJ1128" s="9" t="s">
        <v>11679</v>
      </c>
      <c r="AK1128" s="7" t="s">
        <v>61</v>
      </c>
      <c r="AL1128" s="7" t="s">
        <v>61</v>
      </c>
      <c r="AM1128" s="7" t="s">
        <v>0</v>
      </c>
      <c r="AN1128" s="7" t="s">
        <v>0</v>
      </c>
      <c r="AO1128" s="7" t="s">
        <v>0</v>
      </c>
      <c r="AP1128" s="7" t="s">
        <v>0</v>
      </c>
      <c r="AQ1128" s="7" t="s">
        <v>61</v>
      </c>
      <c r="AR1128" s="7" t="s">
        <v>0</v>
      </c>
      <c r="AS1128" s="10" t="str">
        <f>HYPERLINK("https://tessa.gazprom-neft.local/edo/card/3061023d-e33d-434d-8ad7-13ddb225e864", "https://tessa.gazprom-neft.local/edo/card/3061023d-e33d-434d-8ad7-13ddb225e864")</f>
        <v>https://tessa.gazprom-neft.local/edo/card/3061023d-e33d-434d-8ad7-13ddb225e864</v>
      </c>
    </row>
    <row r="1129" spans="1:45" hidden="1" x14ac:dyDescent="0.25">
      <c r="A1129" s="6" t="s">
        <v>44</v>
      </c>
      <c r="B1129" s="7" t="s">
        <v>813</v>
      </c>
      <c r="C1129" s="7" t="s">
        <v>67</v>
      </c>
      <c r="D1129" s="8">
        <v>45048</v>
      </c>
      <c r="E1129" s="8" t="s">
        <v>0</v>
      </c>
      <c r="F1129" s="16" t="s">
        <v>814</v>
      </c>
      <c r="G1129" s="7" t="s">
        <v>815</v>
      </c>
      <c r="H1129" s="7" t="s">
        <v>809</v>
      </c>
      <c r="I1129" s="7" t="s">
        <v>0</v>
      </c>
      <c r="J1129" s="7" t="s">
        <v>316</v>
      </c>
      <c r="K1129" s="7" t="s">
        <v>47</v>
      </c>
      <c r="L1129" s="7" t="s">
        <v>709</v>
      </c>
      <c r="M1129" s="7" t="s">
        <v>0</v>
      </c>
      <c r="N1129" s="7" t="s">
        <v>3455</v>
      </c>
      <c r="O1129" s="7" t="s">
        <v>0</v>
      </c>
      <c r="P1129" s="7" t="s">
        <v>3456</v>
      </c>
      <c r="Q1129" s="7" t="s">
        <v>3457</v>
      </c>
      <c r="R1129" s="7" t="s">
        <v>768</v>
      </c>
      <c r="S1129" s="7" t="s">
        <v>812</v>
      </c>
      <c r="T1129" s="7" t="s">
        <v>54</v>
      </c>
      <c r="U1129" s="7" t="s">
        <v>55</v>
      </c>
      <c r="V1129" s="7" t="s">
        <v>56</v>
      </c>
      <c r="W1129" s="7" t="s">
        <v>74</v>
      </c>
      <c r="X1129" s="7" t="s">
        <v>103</v>
      </c>
      <c r="Y1129" s="8">
        <v>45048</v>
      </c>
      <c r="Z1129" s="8">
        <v>45078</v>
      </c>
      <c r="AA1129" s="7" t="s">
        <v>212</v>
      </c>
      <c r="AB1129" s="7" t="s">
        <v>256</v>
      </c>
      <c r="AC1129" s="7" t="s">
        <v>79</v>
      </c>
      <c r="AD1129" s="7" t="s">
        <v>80</v>
      </c>
      <c r="AE1129" s="7" t="s">
        <v>82</v>
      </c>
      <c r="AF1129" s="7" t="s">
        <v>0</v>
      </c>
      <c r="AG1129" s="7" t="s">
        <v>0</v>
      </c>
      <c r="AH1129" s="9" t="s">
        <v>11683</v>
      </c>
      <c r="AI1129" s="9" t="s">
        <v>11684</v>
      </c>
      <c r="AJ1129" s="9" t="s">
        <v>11685</v>
      </c>
      <c r="AK1129" s="7" t="s">
        <v>61</v>
      </c>
      <c r="AL1129" s="7" t="s">
        <v>61</v>
      </c>
      <c r="AM1129" s="7" t="s">
        <v>0</v>
      </c>
      <c r="AN1129" s="7" t="s">
        <v>0</v>
      </c>
      <c r="AO1129" s="7" t="s">
        <v>0</v>
      </c>
      <c r="AP1129" s="7" t="s">
        <v>0</v>
      </c>
      <c r="AQ1129" s="7" t="s">
        <v>61</v>
      </c>
      <c r="AR1129" s="7" t="s">
        <v>0</v>
      </c>
      <c r="AS1129" s="10" t="str">
        <f>HYPERLINK("https://tessa.gazprom-neft.local/edo/card/0a337ea7-166c-4545-bb2a-d1868e1aaa78", "https://tessa.gazprom-neft.local/edo/card/0a337ea7-166c-4545-bb2a-d1868e1aaa78")</f>
        <v>https://tessa.gazprom-neft.local/edo/card/0a337ea7-166c-4545-bb2a-d1868e1aaa78</v>
      </c>
    </row>
    <row r="1130" spans="1:45" hidden="1" x14ac:dyDescent="0.25">
      <c r="A1130" s="6" t="s">
        <v>44</v>
      </c>
      <c r="B1130" s="7" t="s">
        <v>813</v>
      </c>
      <c r="C1130" s="7" t="s">
        <v>67</v>
      </c>
      <c r="D1130" s="8">
        <v>45048</v>
      </c>
      <c r="E1130" s="8" t="s">
        <v>0</v>
      </c>
      <c r="F1130" s="16" t="s">
        <v>814</v>
      </c>
      <c r="G1130" s="7" t="s">
        <v>815</v>
      </c>
      <c r="H1130" s="7" t="s">
        <v>809</v>
      </c>
      <c r="I1130" s="7" t="s">
        <v>0</v>
      </c>
      <c r="J1130" s="7" t="s">
        <v>331</v>
      </c>
      <c r="K1130" s="7" t="s">
        <v>47</v>
      </c>
      <c r="L1130" s="7" t="s">
        <v>709</v>
      </c>
      <c r="M1130" s="7" t="s">
        <v>0</v>
      </c>
      <c r="N1130" s="7" t="s">
        <v>3469</v>
      </c>
      <c r="O1130" s="7" t="s">
        <v>0</v>
      </c>
      <c r="P1130" s="7" t="s">
        <v>3470</v>
      </c>
      <c r="Q1130" s="7" t="s">
        <v>3471</v>
      </c>
      <c r="R1130" s="7" t="s">
        <v>768</v>
      </c>
      <c r="S1130" s="7" t="s">
        <v>812</v>
      </c>
      <c r="T1130" s="7" t="s">
        <v>54</v>
      </c>
      <c r="U1130" s="7" t="s">
        <v>55</v>
      </c>
      <c r="V1130" s="7" t="s">
        <v>56</v>
      </c>
      <c r="W1130" s="7" t="s">
        <v>74</v>
      </c>
      <c r="X1130" s="7" t="s">
        <v>103</v>
      </c>
      <c r="Y1130" s="8">
        <v>45048</v>
      </c>
      <c r="Z1130" s="8">
        <v>45078</v>
      </c>
      <c r="AA1130" s="7" t="s">
        <v>212</v>
      </c>
      <c r="AB1130" s="7" t="s">
        <v>256</v>
      </c>
      <c r="AC1130" s="7" t="s">
        <v>79</v>
      </c>
      <c r="AD1130" s="7" t="s">
        <v>80</v>
      </c>
      <c r="AE1130" s="7" t="s">
        <v>82</v>
      </c>
      <c r="AF1130" s="7" t="s">
        <v>0</v>
      </c>
      <c r="AG1130" s="7" t="s">
        <v>0</v>
      </c>
      <c r="AH1130" s="9" t="s">
        <v>11686</v>
      </c>
      <c r="AI1130" s="9" t="s">
        <v>11687</v>
      </c>
      <c r="AJ1130" s="9" t="s">
        <v>11688</v>
      </c>
      <c r="AK1130" s="7" t="s">
        <v>61</v>
      </c>
      <c r="AL1130" s="7" t="s">
        <v>61</v>
      </c>
      <c r="AM1130" s="7" t="s">
        <v>0</v>
      </c>
      <c r="AN1130" s="7" t="s">
        <v>0</v>
      </c>
      <c r="AO1130" s="7" t="s">
        <v>0</v>
      </c>
      <c r="AP1130" s="7" t="s">
        <v>0</v>
      </c>
      <c r="AQ1130" s="7" t="s">
        <v>61</v>
      </c>
      <c r="AR1130" s="7" t="s">
        <v>0</v>
      </c>
      <c r="AS1130" s="10" t="str">
        <f>HYPERLINK("https://tessa.gazprom-neft.local/edo/card/1f38e401-4b95-445d-8af7-6a527975c6a2", "https://tessa.gazprom-neft.local/edo/card/1f38e401-4b95-445d-8af7-6a527975c6a2")</f>
        <v>https://tessa.gazprom-neft.local/edo/card/1f38e401-4b95-445d-8af7-6a527975c6a2</v>
      </c>
    </row>
    <row r="1131" spans="1:45" x14ac:dyDescent="0.25">
      <c r="A1131" s="6" t="s">
        <v>44</v>
      </c>
      <c r="B1131" s="7" t="s">
        <v>813</v>
      </c>
      <c r="C1131" s="7" t="s">
        <v>67</v>
      </c>
      <c r="D1131" s="8">
        <v>45048</v>
      </c>
      <c r="E1131" s="8" t="s">
        <v>0</v>
      </c>
      <c r="F1131" s="16" t="s">
        <v>814</v>
      </c>
      <c r="G1131" s="7" t="s">
        <v>815</v>
      </c>
      <c r="H1131" s="7" t="s">
        <v>809</v>
      </c>
      <c r="I1131" s="7" t="s">
        <v>0</v>
      </c>
      <c r="J1131" s="7" t="s">
        <v>70</v>
      </c>
      <c r="K1131" s="7" t="s">
        <v>47</v>
      </c>
      <c r="L1131" s="7" t="s">
        <v>48</v>
      </c>
      <c r="M1131" s="7" t="s">
        <v>0</v>
      </c>
      <c r="N1131" s="7" t="s">
        <v>3541</v>
      </c>
      <c r="O1131" s="7" t="s">
        <v>0</v>
      </c>
      <c r="P1131" s="7" t="s">
        <v>3542</v>
      </c>
      <c r="Q1131" s="7" t="s">
        <v>3543</v>
      </c>
      <c r="R1131" s="7" t="s">
        <v>768</v>
      </c>
      <c r="S1131" s="7" t="s">
        <v>812</v>
      </c>
      <c r="T1131" s="7" t="s">
        <v>54</v>
      </c>
      <c r="U1131" s="7" t="s">
        <v>55</v>
      </c>
      <c r="V1131" s="7" t="s">
        <v>56</v>
      </c>
      <c r="W1131" s="7" t="s">
        <v>74</v>
      </c>
      <c r="X1131" s="7" t="s">
        <v>103</v>
      </c>
      <c r="Y1131" s="8">
        <v>45048</v>
      </c>
      <c r="Z1131" s="8">
        <v>46387</v>
      </c>
      <c r="AA1131" s="7" t="s">
        <v>212</v>
      </c>
      <c r="AB1131" s="7" t="s">
        <v>256</v>
      </c>
      <c r="AC1131" s="7" t="s">
        <v>79</v>
      </c>
      <c r="AD1131" s="7" t="s">
        <v>80</v>
      </c>
      <c r="AE1131" s="7" t="s">
        <v>82</v>
      </c>
      <c r="AF1131" s="7" t="s">
        <v>0</v>
      </c>
      <c r="AG1131" s="7" t="s">
        <v>0</v>
      </c>
      <c r="AH1131" s="9" t="s">
        <v>11720</v>
      </c>
      <c r="AI1131" s="9" t="s">
        <v>11721</v>
      </c>
      <c r="AJ1131" s="9" t="s">
        <v>11722</v>
      </c>
      <c r="AK1131" s="7" t="s">
        <v>61</v>
      </c>
      <c r="AL1131" s="7" t="s">
        <v>61</v>
      </c>
      <c r="AM1131" s="7" t="s">
        <v>0</v>
      </c>
      <c r="AN1131" s="7" t="s">
        <v>0</v>
      </c>
      <c r="AO1131" s="7" t="s">
        <v>0</v>
      </c>
      <c r="AP1131" s="7" t="s">
        <v>0</v>
      </c>
      <c r="AQ1131" s="7" t="s">
        <v>61</v>
      </c>
      <c r="AR1131" s="7" t="s">
        <v>0</v>
      </c>
      <c r="AS1131" s="10" t="str">
        <f>HYPERLINK("https://tessa.gazprom-neft.local/edo/card/083f9929-1fe5-4890-81bd-ee4dd52b952b", "https://tessa.gazprom-neft.local/edo/card/083f9929-1fe5-4890-81bd-ee4dd52b952b")</f>
        <v>https://tessa.gazprom-neft.local/edo/card/083f9929-1fe5-4890-81bd-ee4dd52b952b</v>
      </c>
    </row>
    <row r="1132" spans="1:45" hidden="1" x14ac:dyDescent="0.25">
      <c r="A1132" s="6" t="s">
        <v>44</v>
      </c>
      <c r="B1132" s="7" t="s">
        <v>189</v>
      </c>
      <c r="C1132" s="7" t="s">
        <v>67</v>
      </c>
      <c r="D1132" s="8">
        <v>45048</v>
      </c>
      <c r="E1132" s="8" t="s">
        <v>0</v>
      </c>
      <c r="F1132" s="16" t="s">
        <v>190</v>
      </c>
      <c r="G1132" s="7" t="s">
        <v>191</v>
      </c>
      <c r="H1132" s="7" t="s">
        <v>185</v>
      </c>
      <c r="I1132" s="7" t="s">
        <v>0</v>
      </c>
      <c r="J1132" s="7" t="s">
        <v>3632</v>
      </c>
      <c r="K1132" s="7" t="s">
        <v>47</v>
      </c>
      <c r="L1132" s="7" t="s">
        <v>1858</v>
      </c>
      <c r="M1132" s="7" t="s">
        <v>0</v>
      </c>
      <c r="N1132" s="7" t="s">
        <v>3630</v>
      </c>
      <c r="O1132" s="7" t="s">
        <v>0</v>
      </c>
      <c r="P1132" s="7" t="s">
        <v>3631</v>
      </c>
      <c r="Q1132" s="7" t="s">
        <v>3633</v>
      </c>
      <c r="R1132" s="7" t="s">
        <v>1523</v>
      </c>
      <c r="S1132" s="7" t="s">
        <v>187</v>
      </c>
      <c r="T1132" s="7" t="s">
        <v>54</v>
      </c>
      <c r="U1132" s="7" t="s">
        <v>188</v>
      </c>
      <c r="V1132" s="7" t="s">
        <v>137</v>
      </c>
      <c r="W1132" s="7" t="s">
        <v>57</v>
      </c>
      <c r="X1132" s="7" t="s">
        <v>58</v>
      </c>
      <c r="Y1132" s="8">
        <v>45048</v>
      </c>
      <c r="Z1132" s="8" t="s">
        <v>0</v>
      </c>
      <c r="AA1132" s="7" t="s">
        <v>0</v>
      </c>
      <c r="AB1132" s="7" t="s">
        <v>192</v>
      </c>
      <c r="AC1132" s="7" t="s">
        <v>65</v>
      </c>
      <c r="AD1132" s="7" t="s">
        <v>80</v>
      </c>
      <c r="AE1132" s="7" t="s">
        <v>0</v>
      </c>
      <c r="AF1132" s="7" t="s">
        <v>0</v>
      </c>
      <c r="AG1132" s="7" t="s">
        <v>0</v>
      </c>
      <c r="AH1132" s="9" t="s">
        <v>0</v>
      </c>
      <c r="AI1132" s="9" t="s">
        <v>0</v>
      </c>
      <c r="AJ1132" s="9" t="s">
        <v>0</v>
      </c>
      <c r="AK1132" s="7" t="s">
        <v>61</v>
      </c>
      <c r="AL1132" s="7" t="s">
        <v>61</v>
      </c>
      <c r="AM1132" s="7" t="s">
        <v>0</v>
      </c>
      <c r="AN1132" s="7" t="s">
        <v>0</v>
      </c>
      <c r="AO1132" s="7" t="s">
        <v>0</v>
      </c>
      <c r="AP1132" s="7" t="s">
        <v>0</v>
      </c>
      <c r="AQ1132" s="7" t="s">
        <v>61</v>
      </c>
      <c r="AR1132" s="7" t="s">
        <v>0</v>
      </c>
      <c r="AS1132" s="10" t="str">
        <f>HYPERLINK("https://tessa.gazprom-neft.local/edo/card/9a3b9262-aace-4e91-b2a9-68936ef9d93f", "https://tessa.gazprom-neft.local/edo/card/9a3b9262-aace-4e91-b2a9-68936ef9d93f")</f>
        <v>https://tessa.gazprom-neft.local/edo/card/9a3b9262-aace-4e91-b2a9-68936ef9d93f</v>
      </c>
    </row>
    <row r="1133" spans="1:45" hidden="1" x14ac:dyDescent="0.25">
      <c r="A1133" s="6" t="s">
        <v>44</v>
      </c>
      <c r="B1133" s="7" t="s">
        <v>3326</v>
      </c>
      <c r="C1133" s="7" t="s">
        <v>67</v>
      </c>
      <c r="D1133" s="8">
        <v>45047</v>
      </c>
      <c r="E1133" s="8" t="s">
        <v>0</v>
      </c>
      <c r="F1133" s="16" t="s">
        <v>3327</v>
      </c>
      <c r="G1133" s="7" t="s">
        <v>3328</v>
      </c>
      <c r="H1133" s="7" t="s">
        <v>0</v>
      </c>
      <c r="I1133" s="7" t="s">
        <v>3323</v>
      </c>
      <c r="J1133" s="7" t="s">
        <v>3323</v>
      </c>
      <c r="K1133" s="7" t="s">
        <v>47</v>
      </c>
      <c r="L1133" s="7" t="s">
        <v>96</v>
      </c>
      <c r="M1133" s="7" t="s">
        <v>0</v>
      </c>
      <c r="N1133" s="7" t="s">
        <v>3322</v>
      </c>
      <c r="O1133" s="7" t="s">
        <v>0</v>
      </c>
      <c r="P1133" s="7" t="s">
        <v>3324</v>
      </c>
      <c r="Q1133" s="7" t="s">
        <v>3325</v>
      </c>
      <c r="R1133" s="7" t="s">
        <v>519</v>
      </c>
      <c r="S1133" s="7" t="s">
        <v>519</v>
      </c>
      <c r="T1133" s="7" t="s">
        <v>54</v>
      </c>
      <c r="U1133" s="7" t="s">
        <v>362</v>
      </c>
      <c r="V1133" s="7" t="s">
        <v>295</v>
      </c>
      <c r="W1133" s="7" t="s">
        <v>57</v>
      </c>
      <c r="X1133" s="7" t="s">
        <v>103</v>
      </c>
      <c r="Y1133" s="8">
        <v>45047</v>
      </c>
      <c r="Z1133" s="8">
        <v>45291</v>
      </c>
      <c r="AA1133" s="7" t="s">
        <v>296</v>
      </c>
      <c r="AB1133" s="7" t="s">
        <v>64</v>
      </c>
      <c r="AC1133" s="7" t="s">
        <v>79</v>
      </c>
      <c r="AD1133" s="7" t="s">
        <v>144</v>
      </c>
      <c r="AE1133" s="7" t="s">
        <v>82</v>
      </c>
      <c r="AF1133" s="7" t="s">
        <v>0</v>
      </c>
      <c r="AG1133" s="7" t="s">
        <v>0</v>
      </c>
      <c r="AH1133" s="9" t="s">
        <v>11619</v>
      </c>
      <c r="AI1133" s="9" t="s">
        <v>11620</v>
      </c>
      <c r="AJ1133" s="9" t="s">
        <v>11621</v>
      </c>
      <c r="AK1133" s="7" t="s">
        <v>61</v>
      </c>
      <c r="AL1133" s="7" t="s">
        <v>61</v>
      </c>
      <c r="AM1133" s="7" t="s">
        <v>0</v>
      </c>
      <c r="AN1133" s="7" t="s">
        <v>0</v>
      </c>
      <c r="AO1133" s="7" t="s">
        <v>0</v>
      </c>
      <c r="AP1133" s="7" t="s">
        <v>0</v>
      </c>
      <c r="AQ1133" s="7" t="s">
        <v>61</v>
      </c>
      <c r="AR1133" s="7" t="s">
        <v>0</v>
      </c>
      <c r="AS1133" s="10" t="str">
        <f>HYPERLINK("https://tessa.gazprom-neft.local/edo/card/289594e3-7b60-42d9-9882-367b099f3b2b", "https://tessa.gazprom-neft.local/edo/card/289594e3-7b60-42d9-9882-367b099f3b2b")</f>
        <v>https://tessa.gazprom-neft.local/edo/card/289594e3-7b60-42d9-9882-367b099f3b2b</v>
      </c>
    </row>
    <row r="1134" spans="1:45" x14ac:dyDescent="0.25">
      <c r="A1134" s="6" t="s">
        <v>44</v>
      </c>
      <c r="B1134" s="7" t="s">
        <v>1495</v>
      </c>
      <c r="C1134" s="7" t="s">
        <v>67</v>
      </c>
      <c r="D1134" s="8">
        <v>45047</v>
      </c>
      <c r="E1134" s="8" t="s">
        <v>0</v>
      </c>
      <c r="F1134" s="16" t="s">
        <v>1496</v>
      </c>
      <c r="G1134" s="7" t="s">
        <v>1497</v>
      </c>
      <c r="H1134" s="7" t="s">
        <v>3414</v>
      </c>
      <c r="I1134" s="7" t="s">
        <v>0</v>
      </c>
      <c r="J1134" s="7" t="s">
        <v>51</v>
      </c>
      <c r="K1134" s="7" t="s">
        <v>47</v>
      </c>
      <c r="L1134" s="7" t="s">
        <v>48</v>
      </c>
      <c r="M1134" s="7" t="s">
        <v>0</v>
      </c>
      <c r="N1134" s="7" t="s">
        <v>3413</v>
      </c>
      <c r="O1134" s="7" t="s">
        <v>0</v>
      </c>
      <c r="P1134" s="7" t="s">
        <v>3415</v>
      </c>
      <c r="Q1134" s="7" t="s">
        <v>3416</v>
      </c>
      <c r="R1134" s="7" t="s">
        <v>361</v>
      </c>
      <c r="S1134" s="7" t="s">
        <v>361</v>
      </c>
      <c r="T1134" s="7" t="s">
        <v>54</v>
      </c>
      <c r="U1134" s="7" t="s">
        <v>362</v>
      </c>
      <c r="V1134" s="7" t="s">
        <v>295</v>
      </c>
      <c r="W1134" s="7" t="s">
        <v>74</v>
      </c>
      <c r="X1134" s="7" t="s">
        <v>103</v>
      </c>
      <c r="Y1134" s="8">
        <v>45047</v>
      </c>
      <c r="Z1134" s="8">
        <v>45657</v>
      </c>
      <c r="AA1134" s="7" t="s">
        <v>296</v>
      </c>
      <c r="AB1134" s="7" t="s">
        <v>366</v>
      </c>
      <c r="AC1134" s="7" t="s">
        <v>65</v>
      </c>
      <c r="AD1134" s="7" t="s">
        <v>367</v>
      </c>
      <c r="AE1134" s="7" t="s">
        <v>0</v>
      </c>
      <c r="AF1134" s="7" t="s">
        <v>0</v>
      </c>
      <c r="AG1134" s="7" t="s">
        <v>0</v>
      </c>
      <c r="AH1134" s="9" t="s">
        <v>0</v>
      </c>
      <c r="AI1134" s="9" t="s">
        <v>0</v>
      </c>
      <c r="AJ1134" s="9" t="s">
        <v>0</v>
      </c>
      <c r="AK1134" s="7" t="s">
        <v>61</v>
      </c>
      <c r="AL1134" s="7" t="s">
        <v>61</v>
      </c>
      <c r="AM1134" s="7" t="s">
        <v>0</v>
      </c>
      <c r="AN1134" s="7" t="s">
        <v>0</v>
      </c>
      <c r="AO1134" s="7" t="s">
        <v>0</v>
      </c>
      <c r="AP1134" s="7" t="s">
        <v>0</v>
      </c>
      <c r="AQ1134" s="7" t="s">
        <v>61</v>
      </c>
      <c r="AR1134" s="7" t="s">
        <v>0</v>
      </c>
      <c r="AS1134" s="10" t="str">
        <f>HYPERLINK("https://tessa.gazprom-neft.local/edo/card/d6374e65-e3ea-475f-b4d0-354ebb337cf3", "https://tessa.gazprom-neft.local/edo/card/d6374e65-e3ea-475f-b4d0-354ebb337cf3")</f>
        <v>https://tessa.gazprom-neft.local/edo/card/d6374e65-e3ea-475f-b4d0-354ebb337cf3</v>
      </c>
    </row>
    <row r="1135" spans="1:45" hidden="1" x14ac:dyDescent="0.25">
      <c r="A1135" s="6" t="s">
        <v>44</v>
      </c>
      <c r="B1135" s="7" t="s">
        <v>2744</v>
      </c>
      <c r="C1135" s="7" t="s">
        <v>67</v>
      </c>
      <c r="D1135" s="8">
        <v>45047</v>
      </c>
      <c r="E1135" s="8" t="s">
        <v>0</v>
      </c>
      <c r="F1135" s="16" t="s">
        <v>2745</v>
      </c>
      <c r="G1135" s="7" t="s">
        <v>2746</v>
      </c>
      <c r="H1135" s="7" t="s">
        <v>0</v>
      </c>
      <c r="I1135" s="7" t="s">
        <v>2741</v>
      </c>
      <c r="J1135" s="7" t="s">
        <v>2741</v>
      </c>
      <c r="K1135" s="7" t="s">
        <v>85</v>
      </c>
      <c r="L1135" s="7" t="s">
        <v>96</v>
      </c>
      <c r="M1135" s="7" t="s">
        <v>183</v>
      </c>
      <c r="N1135" s="7" t="s">
        <v>3440</v>
      </c>
      <c r="O1135" s="7" t="s">
        <v>0</v>
      </c>
      <c r="P1135" s="7" t="s">
        <v>183</v>
      </c>
      <c r="Q1135" s="7" t="s">
        <v>3441</v>
      </c>
      <c r="R1135" s="7" t="s">
        <v>1711</v>
      </c>
      <c r="S1135" s="7" t="s">
        <v>1711</v>
      </c>
      <c r="T1135" s="7" t="s">
        <v>54</v>
      </c>
      <c r="U1135" s="7" t="s">
        <v>605</v>
      </c>
      <c r="V1135" s="7" t="s">
        <v>137</v>
      </c>
      <c r="W1135" s="7" t="s">
        <v>57</v>
      </c>
      <c r="X1135" s="7" t="s">
        <v>103</v>
      </c>
      <c r="Y1135" s="8">
        <v>45047</v>
      </c>
      <c r="Z1135" s="8">
        <v>45260</v>
      </c>
      <c r="AA1135" s="7" t="s">
        <v>0</v>
      </c>
      <c r="AB1135" s="7" t="s">
        <v>192</v>
      </c>
      <c r="AC1135" s="7" t="s">
        <v>79</v>
      </c>
      <c r="AD1135" s="7" t="s">
        <v>80</v>
      </c>
      <c r="AE1135" s="7" t="s">
        <v>193</v>
      </c>
      <c r="AF1135" s="7" t="s">
        <v>0</v>
      </c>
      <c r="AG1135" s="7" t="s">
        <v>0</v>
      </c>
      <c r="AH1135" s="9" t="s">
        <v>11674</v>
      </c>
      <c r="AI1135" s="9" t="s">
        <v>11675</v>
      </c>
      <c r="AJ1135" s="9" t="s">
        <v>11676</v>
      </c>
      <c r="AK1135" s="7" t="s">
        <v>61</v>
      </c>
      <c r="AL1135" s="7" t="s">
        <v>61</v>
      </c>
      <c r="AM1135" s="7" t="s">
        <v>0</v>
      </c>
      <c r="AN1135" s="7" t="s">
        <v>0</v>
      </c>
      <c r="AO1135" s="7" t="s">
        <v>0</v>
      </c>
      <c r="AP1135" s="7" t="s">
        <v>0</v>
      </c>
      <c r="AQ1135" s="7" t="s">
        <v>61</v>
      </c>
      <c r="AR1135" s="7" t="s">
        <v>0</v>
      </c>
      <c r="AS1135" s="10" t="str">
        <f>HYPERLINK("https://tessa.gazprom-neft.local/edo/card/629d48d1-9fe8-43e9-ac12-bd985e5d76a6", "https://tessa.gazprom-neft.local/edo/card/629d48d1-9fe8-43e9-ac12-bd985e5d76a6")</f>
        <v>https://tessa.gazprom-neft.local/edo/card/629d48d1-9fe8-43e9-ac12-bd985e5d76a6</v>
      </c>
    </row>
    <row r="1136" spans="1:45" hidden="1" x14ac:dyDescent="0.25">
      <c r="A1136" s="6" t="s">
        <v>44</v>
      </c>
      <c r="B1136" s="7" t="s">
        <v>1240</v>
      </c>
      <c r="C1136" s="7" t="s">
        <v>67</v>
      </c>
      <c r="D1136" s="8">
        <v>45047</v>
      </c>
      <c r="E1136" s="8" t="s">
        <v>0</v>
      </c>
      <c r="F1136" s="16" t="s">
        <v>1241</v>
      </c>
      <c r="G1136" s="7" t="s">
        <v>1242</v>
      </c>
      <c r="H1136" s="7" t="s">
        <v>3083</v>
      </c>
      <c r="I1136" s="7" t="s">
        <v>0</v>
      </c>
      <c r="J1136" s="7" t="s">
        <v>355</v>
      </c>
      <c r="K1136" s="7" t="s">
        <v>47</v>
      </c>
      <c r="L1136" s="7" t="s">
        <v>239</v>
      </c>
      <c r="M1136" s="7" t="s">
        <v>0</v>
      </c>
      <c r="N1136" s="7" t="s">
        <v>3510</v>
      </c>
      <c r="O1136" s="7" t="s">
        <v>0</v>
      </c>
      <c r="P1136" s="7" t="s">
        <v>3511</v>
      </c>
      <c r="Q1136" s="7" t="s">
        <v>3512</v>
      </c>
      <c r="R1136" s="7" t="s">
        <v>393</v>
      </c>
      <c r="S1136" s="7" t="s">
        <v>0</v>
      </c>
      <c r="T1136" s="7" t="s">
        <v>54</v>
      </c>
      <c r="U1136" s="7" t="s">
        <v>222</v>
      </c>
      <c r="V1136" s="7" t="s">
        <v>126</v>
      </c>
      <c r="W1136" s="7" t="s">
        <v>74</v>
      </c>
      <c r="X1136" s="7" t="s">
        <v>58</v>
      </c>
      <c r="Y1136" s="8">
        <v>45047</v>
      </c>
      <c r="Z1136" s="8" t="s">
        <v>0</v>
      </c>
      <c r="AA1136" s="7" t="s">
        <v>224</v>
      </c>
      <c r="AB1136" s="7" t="s">
        <v>1243</v>
      </c>
      <c r="AC1136" s="7" t="s">
        <v>79</v>
      </c>
      <c r="AD1136" s="7" t="s">
        <v>144</v>
      </c>
      <c r="AE1136" s="7" t="s">
        <v>82</v>
      </c>
      <c r="AF1136" s="7" t="s">
        <v>0</v>
      </c>
      <c r="AG1136" s="7" t="s">
        <v>0</v>
      </c>
      <c r="AH1136" s="9" t="s">
        <v>11707</v>
      </c>
      <c r="AI1136" s="9" t="s">
        <v>11708</v>
      </c>
      <c r="AJ1136" s="9" t="s">
        <v>11709</v>
      </c>
      <c r="AK1136" s="7" t="s">
        <v>61</v>
      </c>
      <c r="AL1136" s="7" t="s">
        <v>61</v>
      </c>
      <c r="AM1136" s="7" t="s">
        <v>0</v>
      </c>
      <c r="AN1136" s="7" t="s">
        <v>0</v>
      </c>
      <c r="AO1136" s="7" t="s">
        <v>0</v>
      </c>
      <c r="AP1136" s="7" t="s">
        <v>0</v>
      </c>
      <c r="AQ1136" s="7" t="s">
        <v>61</v>
      </c>
      <c r="AR1136" s="7" t="s">
        <v>0</v>
      </c>
      <c r="AS1136" s="10" t="str">
        <f>HYPERLINK("https://tessa.gazprom-neft.local/edo/card/bf89b57d-b419-478e-99b6-e944121aca7f", "https://tessa.gazprom-neft.local/edo/card/bf89b57d-b419-478e-99b6-e944121aca7f")</f>
        <v>https://tessa.gazprom-neft.local/edo/card/bf89b57d-b419-478e-99b6-e944121aca7f</v>
      </c>
    </row>
    <row r="1137" spans="1:45" hidden="1" x14ac:dyDescent="0.25">
      <c r="A1137" s="6" t="s">
        <v>44</v>
      </c>
      <c r="B1137" s="7" t="s">
        <v>2744</v>
      </c>
      <c r="C1137" s="7" t="s">
        <v>67</v>
      </c>
      <c r="D1137" s="8">
        <v>45047</v>
      </c>
      <c r="E1137" s="8" t="s">
        <v>0</v>
      </c>
      <c r="F1137" s="16" t="s">
        <v>2745</v>
      </c>
      <c r="G1137" s="7" t="s">
        <v>2746</v>
      </c>
      <c r="H1137" s="7" t="s">
        <v>0</v>
      </c>
      <c r="I1137" s="7" t="s">
        <v>3682</v>
      </c>
      <c r="J1137" s="7" t="s">
        <v>3682</v>
      </c>
      <c r="K1137" s="7" t="s">
        <v>85</v>
      </c>
      <c r="L1137" s="7" t="s">
        <v>86</v>
      </c>
      <c r="M1137" s="7" t="s">
        <v>523</v>
      </c>
      <c r="N1137" s="7" t="s">
        <v>3681</v>
      </c>
      <c r="O1137" s="7" t="s">
        <v>0</v>
      </c>
      <c r="P1137" s="7" t="s">
        <v>523</v>
      </c>
      <c r="Q1137" s="7" t="s">
        <v>3683</v>
      </c>
      <c r="R1137" s="7" t="s">
        <v>1711</v>
      </c>
      <c r="S1137" s="7" t="s">
        <v>1711</v>
      </c>
      <c r="T1137" s="7" t="s">
        <v>54</v>
      </c>
      <c r="U1137" s="7" t="s">
        <v>605</v>
      </c>
      <c r="V1137" s="7" t="s">
        <v>137</v>
      </c>
      <c r="W1137" s="7" t="s">
        <v>57</v>
      </c>
      <c r="X1137" s="7" t="s">
        <v>103</v>
      </c>
      <c r="Y1137" s="8">
        <v>45047</v>
      </c>
      <c r="Z1137" s="8">
        <v>45260</v>
      </c>
      <c r="AA1137" s="7" t="s">
        <v>0</v>
      </c>
      <c r="AB1137" s="7" t="s">
        <v>94</v>
      </c>
      <c r="AC1137" s="7" t="s">
        <v>65</v>
      </c>
      <c r="AD1137" s="7" t="s">
        <v>80</v>
      </c>
      <c r="AE1137" s="7" t="s">
        <v>0</v>
      </c>
      <c r="AF1137" s="7" t="s">
        <v>0</v>
      </c>
      <c r="AG1137" s="7" t="s">
        <v>0</v>
      </c>
      <c r="AH1137" s="9" t="s">
        <v>0</v>
      </c>
      <c r="AI1137" s="9" t="s">
        <v>0</v>
      </c>
      <c r="AJ1137" s="9" t="s">
        <v>0</v>
      </c>
      <c r="AK1137" s="7" t="s">
        <v>61</v>
      </c>
      <c r="AL1137" s="7" t="s">
        <v>61</v>
      </c>
      <c r="AM1137" s="7" t="s">
        <v>0</v>
      </c>
      <c r="AN1137" s="7" t="s">
        <v>0</v>
      </c>
      <c r="AO1137" s="7" t="s">
        <v>0</v>
      </c>
      <c r="AP1137" s="7" t="s">
        <v>0</v>
      </c>
      <c r="AQ1137" s="7" t="s">
        <v>61</v>
      </c>
      <c r="AR1137" s="7" t="s">
        <v>0</v>
      </c>
      <c r="AS1137" s="10" t="str">
        <f>HYPERLINK("https://tessa.gazprom-neft.local/edo/card/d4768fdb-ef11-4864-8704-066a705a5522", "https://tessa.gazprom-neft.local/edo/card/d4768fdb-ef11-4864-8704-066a705a5522")</f>
        <v>https://tessa.gazprom-neft.local/edo/card/d4768fdb-ef11-4864-8704-066a705a5522</v>
      </c>
    </row>
    <row r="1138" spans="1:45" x14ac:dyDescent="0.25">
      <c r="A1138" s="6" t="s">
        <v>44</v>
      </c>
      <c r="B1138" s="7" t="s">
        <v>363</v>
      </c>
      <c r="C1138" s="7" t="s">
        <v>67</v>
      </c>
      <c r="D1138" s="8">
        <v>45047</v>
      </c>
      <c r="E1138" s="8" t="s">
        <v>0</v>
      </c>
      <c r="F1138" s="16" t="s">
        <v>364</v>
      </c>
      <c r="G1138" s="7" t="s">
        <v>365</v>
      </c>
      <c r="H1138" s="7" t="s">
        <v>358</v>
      </c>
      <c r="I1138" s="7" t="s">
        <v>0</v>
      </c>
      <c r="J1138" s="7" t="s">
        <v>51</v>
      </c>
      <c r="K1138" s="7" t="s">
        <v>47</v>
      </c>
      <c r="L1138" s="7" t="s">
        <v>48</v>
      </c>
      <c r="M1138" s="7" t="s">
        <v>0</v>
      </c>
      <c r="N1138" s="7" t="s">
        <v>3697</v>
      </c>
      <c r="O1138" s="7" t="s">
        <v>0</v>
      </c>
      <c r="P1138" s="7" t="s">
        <v>3698</v>
      </c>
      <c r="Q1138" s="7" t="s">
        <v>3272</v>
      </c>
      <c r="R1138" s="7" t="s">
        <v>361</v>
      </c>
      <c r="S1138" s="7" t="s">
        <v>361</v>
      </c>
      <c r="T1138" s="7" t="s">
        <v>54</v>
      </c>
      <c r="U1138" s="7" t="s">
        <v>362</v>
      </c>
      <c r="V1138" s="7" t="s">
        <v>295</v>
      </c>
      <c r="W1138" s="7" t="s">
        <v>74</v>
      </c>
      <c r="X1138" s="7" t="s">
        <v>103</v>
      </c>
      <c r="Y1138" s="8">
        <v>45047</v>
      </c>
      <c r="Z1138" s="8">
        <v>45412</v>
      </c>
      <c r="AA1138" s="7" t="s">
        <v>296</v>
      </c>
      <c r="AB1138" s="7" t="s">
        <v>366</v>
      </c>
      <c r="AC1138" s="7" t="s">
        <v>278</v>
      </c>
      <c r="AD1138" s="7" t="s">
        <v>367</v>
      </c>
      <c r="AE1138" s="7" t="s">
        <v>82</v>
      </c>
      <c r="AF1138" s="7" t="s">
        <v>0</v>
      </c>
      <c r="AG1138" s="7" t="s">
        <v>0</v>
      </c>
      <c r="AH1138" s="9" t="s">
        <v>11788</v>
      </c>
      <c r="AI1138" s="9" t="s">
        <v>11789</v>
      </c>
      <c r="AJ1138" s="9" t="s">
        <v>11790</v>
      </c>
      <c r="AK1138" s="7" t="s">
        <v>61</v>
      </c>
      <c r="AL1138" s="7" t="s">
        <v>61</v>
      </c>
      <c r="AM1138" s="7" t="s">
        <v>0</v>
      </c>
      <c r="AN1138" s="7" t="s">
        <v>0</v>
      </c>
      <c r="AO1138" s="7" t="s">
        <v>0</v>
      </c>
      <c r="AP1138" s="7" t="s">
        <v>0</v>
      </c>
      <c r="AQ1138" s="7" t="s">
        <v>61</v>
      </c>
      <c r="AR1138" s="7" t="s">
        <v>0</v>
      </c>
      <c r="AS1138" s="10" t="str">
        <f>HYPERLINK("https://tessa.gazprom-neft.local/edo/card/1262235c-e8dd-46ff-a4ea-0c3f6ff0aec0", "https://tessa.gazprom-neft.local/edo/card/1262235c-e8dd-46ff-a4ea-0c3f6ff0aec0")</f>
        <v>https://tessa.gazprom-neft.local/edo/card/1262235c-e8dd-46ff-a4ea-0c3f6ff0aec0</v>
      </c>
    </row>
    <row r="1139" spans="1:45" hidden="1" x14ac:dyDescent="0.25">
      <c r="A1139" s="6" t="s">
        <v>44</v>
      </c>
      <c r="B1139" s="7" t="s">
        <v>2724</v>
      </c>
      <c r="C1139" s="7" t="s">
        <v>67</v>
      </c>
      <c r="D1139" s="8">
        <v>45044</v>
      </c>
      <c r="E1139" s="8" t="s">
        <v>0</v>
      </c>
      <c r="F1139" s="16" t="s">
        <v>2671</v>
      </c>
      <c r="G1139" s="7" t="s">
        <v>2725</v>
      </c>
      <c r="H1139" s="7" t="s">
        <v>2720</v>
      </c>
      <c r="I1139" s="7" t="s">
        <v>0</v>
      </c>
      <c r="J1139" s="7" t="s">
        <v>2722</v>
      </c>
      <c r="K1139" s="7" t="s">
        <v>47</v>
      </c>
      <c r="L1139" s="7" t="s">
        <v>2719</v>
      </c>
      <c r="M1139" s="7" t="s">
        <v>0</v>
      </c>
      <c r="N1139" s="7" t="s">
        <v>2718</v>
      </c>
      <c r="O1139" s="7" t="s">
        <v>0</v>
      </c>
      <c r="P1139" s="7" t="s">
        <v>2721</v>
      </c>
      <c r="Q1139" s="7" t="s">
        <v>2723</v>
      </c>
      <c r="R1139" s="7" t="s">
        <v>2178</v>
      </c>
      <c r="S1139" s="7" t="s">
        <v>2178</v>
      </c>
      <c r="T1139" s="7" t="s">
        <v>54</v>
      </c>
      <c r="U1139" s="7" t="s">
        <v>605</v>
      </c>
      <c r="V1139" s="7" t="s">
        <v>126</v>
      </c>
      <c r="W1139" s="7" t="s">
        <v>57</v>
      </c>
      <c r="X1139" s="7" t="s">
        <v>58</v>
      </c>
      <c r="Y1139" s="8">
        <v>44774</v>
      </c>
      <c r="Z1139" s="8" t="s">
        <v>0</v>
      </c>
      <c r="AA1139" s="7" t="s">
        <v>224</v>
      </c>
      <c r="AB1139" s="7" t="s">
        <v>888</v>
      </c>
      <c r="AC1139" s="7" t="s">
        <v>79</v>
      </c>
      <c r="AD1139" s="7" t="s">
        <v>80</v>
      </c>
      <c r="AE1139" s="7" t="s">
        <v>82</v>
      </c>
      <c r="AF1139" s="7" t="s">
        <v>0</v>
      </c>
      <c r="AG1139" s="7" t="s">
        <v>0</v>
      </c>
      <c r="AH1139" s="9" t="s">
        <v>11434</v>
      </c>
      <c r="AI1139" s="9" t="s">
        <v>11435</v>
      </c>
      <c r="AJ1139" s="9">
        <v>744.67</v>
      </c>
      <c r="AK1139" s="7" t="s">
        <v>61</v>
      </c>
      <c r="AL1139" s="7" t="s">
        <v>61</v>
      </c>
      <c r="AM1139" s="7" t="s">
        <v>0</v>
      </c>
      <c r="AN1139" s="7" t="s">
        <v>0</v>
      </c>
      <c r="AO1139" s="7" t="s">
        <v>0</v>
      </c>
      <c r="AP1139" s="7" t="s">
        <v>0</v>
      </c>
      <c r="AQ1139" s="7" t="s">
        <v>61</v>
      </c>
      <c r="AR1139" s="7" t="s">
        <v>0</v>
      </c>
      <c r="AS1139" s="10" t="str">
        <f>HYPERLINK("https://tessa.gazprom-neft.local/edo/card/d6877dff-a858-406b-a035-054a6c8558c4", "https://tessa.gazprom-neft.local/edo/card/d6877dff-a858-406b-a035-054a6c8558c4")</f>
        <v>https://tessa.gazprom-neft.local/edo/card/d6877dff-a858-406b-a035-054a6c8558c4</v>
      </c>
    </row>
    <row r="1140" spans="1:45" x14ac:dyDescent="0.25">
      <c r="A1140" s="6" t="s">
        <v>44</v>
      </c>
      <c r="B1140" s="7" t="s">
        <v>661</v>
      </c>
      <c r="C1140" s="7" t="s">
        <v>67</v>
      </c>
      <c r="D1140" s="8">
        <v>45044</v>
      </c>
      <c r="E1140" s="8" t="s">
        <v>0</v>
      </c>
      <c r="F1140" s="16" t="s">
        <v>662</v>
      </c>
      <c r="G1140" s="7" t="s">
        <v>663</v>
      </c>
      <c r="H1140" s="7" t="s">
        <v>655</v>
      </c>
      <c r="I1140" s="7" t="s">
        <v>0</v>
      </c>
      <c r="J1140" s="7" t="s">
        <v>316</v>
      </c>
      <c r="K1140" s="7" t="s">
        <v>47</v>
      </c>
      <c r="L1140" s="7" t="s">
        <v>48</v>
      </c>
      <c r="M1140" s="7" t="s">
        <v>0</v>
      </c>
      <c r="N1140" s="7" t="s">
        <v>3359</v>
      </c>
      <c r="O1140" s="7" t="s">
        <v>0</v>
      </c>
      <c r="P1140" s="7" t="s">
        <v>3360</v>
      </c>
      <c r="Q1140" s="7" t="s">
        <v>3361</v>
      </c>
      <c r="R1140" s="7" t="s">
        <v>646</v>
      </c>
      <c r="S1140" s="7" t="s">
        <v>714</v>
      </c>
      <c r="T1140" s="7" t="s">
        <v>54</v>
      </c>
      <c r="U1140" s="7" t="s">
        <v>283</v>
      </c>
      <c r="V1140" s="7" t="s">
        <v>308</v>
      </c>
      <c r="W1140" s="7" t="s">
        <v>74</v>
      </c>
      <c r="X1140" s="7" t="s">
        <v>58</v>
      </c>
      <c r="Y1140" s="8">
        <v>45044</v>
      </c>
      <c r="Z1140" s="8" t="s">
        <v>0</v>
      </c>
      <c r="AA1140" s="7" t="s">
        <v>309</v>
      </c>
      <c r="AB1140" s="7" t="s">
        <v>130</v>
      </c>
      <c r="AC1140" s="7" t="s">
        <v>65</v>
      </c>
      <c r="AD1140" s="7" t="s">
        <v>0</v>
      </c>
      <c r="AE1140" s="7" t="s">
        <v>0</v>
      </c>
      <c r="AF1140" s="7" t="s">
        <v>0</v>
      </c>
      <c r="AG1140" s="7" t="s">
        <v>0</v>
      </c>
      <c r="AH1140" s="9" t="s">
        <v>0</v>
      </c>
      <c r="AI1140" s="9" t="s">
        <v>0</v>
      </c>
      <c r="AJ1140" s="9" t="s">
        <v>0</v>
      </c>
      <c r="AK1140" s="7" t="s">
        <v>61</v>
      </c>
      <c r="AL1140" s="7" t="s">
        <v>61</v>
      </c>
      <c r="AM1140" s="7" t="s">
        <v>0</v>
      </c>
      <c r="AN1140" s="7" t="s">
        <v>0</v>
      </c>
      <c r="AO1140" s="7" t="s">
        <v>0</v>
      </c>
      <c r="AP1140" s="7" t="s">
        <v>0</v>
      </c>
      <c r="AQ1140" s="7" t="s">
        <v>61</v>
      </c>
      <c r="AR1140" s="7" t="s">
        <v>0</v>
      </c>
      <c r="AS1140" s="10" t="str">
        <f>HYPERLINK("https://tessa.gazprom-neft.local/edo/card/2a2a584c-9195-43a8-90b1-eea1b34afecc", "https://tessa.gazprom-neft.local/edo/card/2a2a584c-9195-43a8-90b1-eea1b34afecc")</f>
        <v>https://tessa.gazprom-neft.local/edo/card/2a2a584c-9195-43a8-90b1-eea1b34afecc</v>
      </c>
    </row>
    <row r="1141" spans="1:45" hidden="1" x14ac:dyDescent="0.25">
      <c r="A1141" s="6" t="s">
        <v>44</v>
      </c>
      <c r="B1141" s="7" t="s">
        <v>1165</v>
      </c>
      <c r="C1141" s="7" t="s">
        <v>67</v>
      </c>
      <c r="D1141" s="8">
        <v>45044</v>
      </c>
      <c r="E1141" s="8" t="s">
        <v>0</v>
      </c>
      <c r="F1141" s="16" t="s">
        <v>1166</v>
      </c>
      <c r="G1141" s="7" t="s">
        <v>1167</v>
      </c>
      <c r="H1141" s="7" t="s">
        <v>1161</v>
      </c>
      <c r="I1141" s="7" t="s">
        <v>0</v>
      </c>
      <c r="J1141" s="7" t="s">
        <v>3554</v>
      </c>
      <c r="K1141" s="7" t="s">
        <v>47</v>
      </c>
      <c r="L1141" s="7" t="s">
        <v>239</v>
      </c>
      <c r="M1141" s="7" t="s">
        <v>0</v>
      </c>
      <c r="N1141" s="7" t="s">
        <v>3552</v>
      </c>
      <c r="O1141" s="7" t="s">
        <v>0</v>
      </c>
      <c r="P1141" s="7" t="s">
        <v>3553</v>
      </c>
      <c r="Q1141" s="7" t="s">
        <v>3555</v>
      </c>
      <c r="R1141" s="7" t="s">
        <v>244</v>
      </c>
      <c r="S1141" s="7" t="s">
        <v>0</v>
      </c>
      <c r="T1141" s="7" t="s">
        <v>54</v>
      </c>
      <c r="U1141" s="7" t="s">
        <v>55</v>
      </c>
      <c r="V1141" s="7" t="s">
        <v>56</v>
      </c>
      <c r="W1141" s="7" t="s">
        <v>57</v>
      </c>
      <c r="X1141" s="7" t="s">
        <v>103</v>
      </c>
      <c r="Y1141" s="8">
        <v>45044</v>
      </c>
      <c r="Z1141" s="8">
        <v>45163</v>
      </c>
      <c r="AA1141" s="7" t="s">
        <v>59</v>
      </c>
      <c r="AB1141" s="7" t="s">
        <v>256</v>
      </c>
      <c r="AC1141" s="7" t="s">
        <v>79</v>
      </c>
      <c r="AD1141" s="7" t="s">
        <v>144</v>
      </c>
      <c r="AE1141" s="7" t="s">
        <v>82</v>
      </c>
      <c r="AF1141" s="7" t="s">
        <v>0</v>
      </c>
      <c r="AG1141" s="7" t="s">
        <v>0</v>
      </c>
      <c r="AH1141" s="9" t="s">
        <v>11726</v>
      </c>
      <c r="AI1141" s="9" t="s">
        <v>11727</v>
      </c>
      <c r="AJ1141" s="9" t="s">
        <v>11728</v>
      </c>
      <c r="AK1141" s="7" t="s">
        <v>61</v>
      </c>
      <c r="AL1141" s="7" t="s">
        <v>61</v>
      </c>
      <c r="AM1141" s="7" t="s">
        <v>0</v>
      </c>
      <c r="AN1141" s="7" t="s">
        <v>0</v>
      </c>
      <c r="AO1141" s="7" t="s">
        <v>0</v>
      </c>
      <c r="AP1141" s="7" t="s">
        <v>0</v>
      </c>
      <c r="AQ1141" s="7" t="s">
        <v>61</v>
      </c>
      <c r="AR1141" s="7" t="s">
        <v>0</v>
      </c>
      <c r="AS1141" s="10" t="str">
        <f>HYPERLINK("https://tessa.gazprom-neft.local/edo/card/54da087d-b160-4c9d-803f-6859c40d8fc3", "https://tessa.gazprom-neft.local/edo/card/54da087d-b160-4c9d-803f-6859c40d8fc3")</f>
        <v>https://tessa.gazprom-neft.local/edo/card/54da087d-b160-4c9d-803f-6859c40d8fc3</v>
      </c>
    </row>
    <row r="1142" spans="1:45" hidden="1" x14ac:dyDescent="0.25">
      <c r="A1142" s="6" t="s">
        <v>44</v>
      </c>
      <c r="B1142" s="7" t="s">
        <v>971</v>
      </c>
      <c r="C1142" s="7" t="s">
        <v>67</v>
      </c>
      <c r="D1142" s="8">
        <v>45043</v>
      </c>
      <c r="E1142" s="8" t="s">
        <v>0</v>
      </c>
      <c r="F1142" s="16" t="s">
        <v>972</v>
      </c>
      <c r="G1142" s="7" t="s">
        <v>973</v>
      </c>
      <c r="H1142" s="7" t="s">
        <v>998</v>
      </c>
      <c r="I1142" s="7" t="s">
        <v>0</v>
      </c>
      <c r="J1142" s="7" t="s">
        <v>355</v>
      </c>
      <c r="K1142" s="7" t="s">
        <v>47</v>
      </c>
      <c r="L1142" s="7" t="s">
        <v>239</v>
      </c>
      <c r="M1142" s="7" t="s">
        <v>0</v>
      </c>
      <c r="N1142" s="7" t="s">
        <v>3524</v>
      </c>
      <c r="O1142" s="7" t="s">
        <v>70</v>
      </c>
      <c r="P1142" s="7" t="s">
        <v>3525</v>
      </c>
      <c r="Q1142" s="7" t="s">
        <v>3526</v>
      </c>
      <c r="R1142" s="7" t="s">
        <v>3298</v>
      </c>
      <c r="S1142" s="7" t="s">
        <v>3298</v>
      </c>
      <c r="T1142" s="7" t="s">
        <v>54</v>
      </c>
      <c r="U1142" s="7" t="s">
        <v>303</v>
      </c>
      <c r="V1142" s="7" t="s">
        <v>91</v>
      </c>
      <c r="W1142" s="7" t="s">
        <v>74</v>
      </c>
      <c r="X1142" s="7" t="s">
        <v>103</v>
      </c>
      <c r="Y1142" s="8">
        <v>45047</v>
      </c>
      <c r="Z1142" s="8">
        <v>45107</v>
      </c>
      <c r="AA1142" s="7" t="s">
        <v>92</v>
      </c>
      <c r="AB1142" s="7" t="s">
        <v>64</v>
      </c>
      <c r="AC1142" s="7" t="s">
        <v>79</v>
      </c>
      <c r="AD1142" s="7" t="s">
        <v>144</v>
      </c>
      <c r="AE1142" s="7" t="s">
        <v>118</v>
      </c>
      <c r="AF1142" s="7" t="s">
        <v>0</v>
      </c>
      <c r="AG1142" s="7" t="s">
        <v>0</v>
      </c>
      <c r="AH1142" s="9" t="s">
        <v>11716</v>
      </c>
      <c r="AI1142" s="9" t="s">
        <v>11716</v>
      </c>
      <c r="AJ1142" s="9">
        <v>0</v>
      </c>
      <c r="AK1142" s="7" t="s">
        <v>61</v>
      </c>
      <c r="AL1142" s="7" t="s">
        <v>61</v>
      </c>
      <c r="AM1142" s="7" t="s">
        <v>0</v>
      </c>
      <c r="AN1142" s="7" t="s">
        <v>0</v>
      </c>
      <c r="AO1142" s="7" t="s">
        <v>0</v>
      </c>
      <c r="AP1142" s="7" t="s">
        <v>0</v>
      </c>
      <c r="AQ1142" s="7" t="s">
        <v>61</v>
      </c>
      <c r="AR1142" s="7" t="s">
        <v>0</v>
      </c>
      <c r="AS1142" s="10" t="str">
        <f>HYPERLINK("https://tessa.gazprom-neft.local/edo/card/5363c9b2-810c-45e3-9574-41e7523c2b4d", "https://tessa.gazprom-neft.local/edo/card/5363c9b2-810c-45e3-9574-41e7523c2b4d")</f>
        <v>https://tessa.gazprom-neft.local/edo/card/5363c9b2-810c-45e3-9574-41e7523c2b4d</v>
      </c>
    </row>
    <row r="1143" spans="1:45" hidden="1" x14ac:dyDescent="0.25">
      <c r="A1143" s="6" t="s">
        <v>44</v>
      </c>
      <c r="B1143" s="7" t="s">
        <v>2595</v>
      </c>
      <c r="C1143" s="7" t="s">
        <v>67</v>
      </c>
      <c r="D1143" s="8">
        <v>45040</v>
      </c>
      <c r="E1143" s="8" t="s">
        <v>0</v>
      </c>
      <c r="F1143" s="16" t="s">
        <v>2596</v>
      </c>
      <c r="G1143" s="7" t="s">
        <v>2597</v>
      </c>
      <c r="H1143" s="7" t="s">
        <v>0</v>
      </c>
      <c r="I1143" s="7" t="s">
        <v>3371</v>
      </c>
      <c r="J1143" s="7" t="s">
        <v>3371</v>
      </c>
      <c r="K1143" s="7" t="s">
        <v>85</v>
      </c>
      <c r="L1143" s="7" t="s">
        <v>96</v>
      </c>
      <c r="M1143" s="7" t="s">
        <v>398</v>
      </c>
      <c r="N1143" s="7" t="s">
        <v>3370</v>
      </c>
      <c r="O1143" s="7" t="s">
        <v>0</v>
      </c>
      <c r="P1143" s="7" t="s">
        <v>3372</v>
      </c>
      <c r="Q1143" s="7" t="s">
        <v>402</v>
      </c>
      <c r="R1143" s="7" t="s">
        <v>361</v>
      </c>
      <c r="S1143" s="7" t="s">
        <v>361</v>
      </c>
      <c r="T1143" s="7" t="s">
        <v>54</v>
      </c>
      <c r="U1143" s="7" t="s">
        <v>362</v>
      </c>
      <c r="V1143" s="7" t="s">
        <v>295</v>
      </c>
      <c r="W1143" s="7" t="s">
        <v>74</v>
      </c>
      <c r="X1143" s="7" t="s">
        <v>103</v>
      </c>
      <c r="Y1143" s="8">
        <v>45047</v>
      </c>
      <c r="Z1143" s="8">
        <v>45107</v>
      </c>
      <c r="AA1143" s="7" t="s">
        <v>296</v>
      </c>
      <c r="AB1143" s="7" t="s">
        <v>366</v>
      </c>
      <c r="AC1143" s="7" t="s">
        <v>278</v>
      </c>
      <c r="AD1143" s="7" t="s">
        <v>367</v>
      </c>
      <c r="AE1143" s="7" t="s">
        <v>82</v>
      </c>
      <c r="AF1143" s="7" t="s">
        <v>0</v>
      </c>
      <c r="AG1143" s="7" t="s">
        <v>0</v>
      </c>
      <c r="AH1143" s="9" t="s">
        <v>11635</v>
      </c>
      <c r="AI1143" s="9" t="s">
        <v>11636</v>
      </c>
      <c r="AJ1143" s="9" t="s">
        <v>11637</v>
      </c>
      <c r="AK1143" s="7" t="s">
        <v>61</v>
      </c>
      <c r="AL1143" s="7" t="s">
        <v>61</v>
      </c>
      <c r="AM1143" s="7" t="s">
        <v>0</v>
      </c>
      <c r="AN1143" s="7" t="s">
        <v>0</v>
      </c>
      <c r="AO1143" s="7" t="s">
        <v>0</v>
      </c>
      <c r="AP1143" s="7" t="s">
        <v>0</v>
      </c>
      <c r="AQ1143" s="7" t="s">
        <v>61</v>
      </c>
      <c r="AR1143" s="7" t="s">
        <v>0</v>
      </c>
      <c r="AS1143" s="10" t="str">
        <f>HYPERLINK("https://tessa.gazprom-neft.local/edo/card/f810f9bf-7ab2-4d83-a935-7ee3cdb146ea", "https://tessa.gazprom-neft.local/edo/card/f810f9bf-7ab2-4d83-a935-7ee3cdb146ea")</f>
        <v>https://tessa.gazprom-neft.local/edo/card/f810f9bf-7ab2-4d83-a935-7ee3cdb146ea</v>
      </c>
    </row>
    <row r="1144" spans="1:45" hidden="1" x14ac:dyDescent="0.25">
      <c r="A1144" s="6" t="s">
        <v>44</v>
      </c>
      <c r="B1144" s="7" t="s">
        <v>639</v>
      </c>
      <c r="C1144" s="7" t="s">
        <v>67</v>
      </c>
      <c r="D1144" s="8">
        <v>45040</v>
      </c>
      <c r="E1144" s="8" t="s">
        <v>0</v>
      </c>
      <c r="F1144" s="16" t="s">
        <v>640</v>
      </c>
      <c r="G1144" s="7" t="s">
        <v>641</v>
      </c>
      <c r="H1144" s="7" t="s">
        <v>0</v>
      </c>
      <c r="I1144" s="7" t="s">
        <v>3300</v>
      </c>
      <c r="J1144" s="7" t="s">
        <v>3300</v>
      </c>
      <c r="K1144" s="7" t="s">
        <v>85</v>
      </c>
      <c r="L1144" s="7" t="s">
        <v>86</v>
      </c>
      <c r="M1144" s="7" t="s">
        <v>216</v>
      </c>
      <c r="N1144" s="7" t="s">
        <v>3387</v>
      </c>
      <c r="O1144" s="7" t="s">
        <v>0</v>
      </c>
      <c r="P1144" s="7" t="s">
        <v>3388</v>
      </c>
      <c r="Q1144" s="7" t="s">
        <v>3389</v>
      </c>
      <c r="R1144" s="7" t="s">
        <v>393</v>
      </c>
      <c r="S1144" s="7" t="s">
        <v>859</v>
      </c>
      <c r="T1144" s="7" t="s">
        <v>54</v>
      </c>
      <c r="U1144" s="7" t="s">
        <v>777</v>
      </c>
      <c r="V1144" s="7" t="s">
        <v>308</v>
      </c>
      <c r="W1144" s="7" t="s">
        <v>74</v>
      </c>
      <c r="X1144" s="7" t="s">
        <v>58</v>
      </c>
      <c r="Y1144" s="8">
        <v>45040</v>
      </c>
      <c r="Z1144" s="8" t="s">
        <v>0</v>
      </c>
      <c r="AA1144" s="7" t="s">
        <v>309</v>
      </c>
      <c r="AB1144" s="7" t="s">
        <v>228</v>
      </c>
      <c r="AC1144" s="7" t="s">
        <v>65</v>
      </c>
      <c r="AD1144" s="7" t="s">
        <v>0</v>
      </c>
      <c r="AE1144" s="7" t="s">
        <v>0</v>
      </c>
      <c r="AF1144" s="7" t="s">
        <v>0</v>
      </c>
      <c r="AG1144" s="7" t="s">
        <v>0</v>
      </c>
      <c r="AH1144" s="9" t="s">
        <v>0</v>
      </c>
      <c r="AI1144" s="9" t="s">
        <v>0</v>
      </c>
      <c r="AJ1144" s="9" t="s">
        <v>0</v>
      </c>
      <c r="AK1144" s="7" t="s">
        <v>61</v>
      </c>
      <c r="AL1144" s="7" t="s">
        <v>61</v>
      </c>
      <c r="AM1144" s="7" t="s">
        <v>0</v>
      </c>
      <c r="AN1144" s="7" t="s">
        <v>0</v>
      </c>
      <c r="AO1144" s="7" t="s">
        <v>0</v>
      </c>
      <c r="AP1144" s="7" t="s">
        <v>0</v>
      </c>
      <c r="AQ1144" s="7" t="s">
        <v>61</v>
      </c>
      <c r="AR1144" s="7" t="s">
        <v>0</v>
      </c>
      <c r="AS1144" s="10" t="str">
        <f>HYPERLINK("https://tessa.gazprom-neft.local/edo/card/072bb0ff-7d3c-4686-a54c-83b9bc7140c4", "https://tessa.gazprom-neft.local/edo/card/072bb0ff-7d3c-4686-a54c-83b9bc7140c4")</f>
        <v>https://tessa.gazprom-neft.local/edo/card/072bb0ff-7d3c-4686-a54c-83b9bc7140c4</v>
      </c>
    </row>
    <row r="1145" spans="1:45" x14ac:dyDescent="0.25">
      <c r="A1145" s="6" t="s">
        <v>44</v>
      </c>
      <c r="B1145" s="7" t="s">
        <v>885</v>
      </c>
      <c r="C1145" s="7" t="s">
        <v>67</v>
      </c>
      <c r="D1145" s="8">
        <v>45040</v>
      </c>
      <c r="E1145" s="8" t="s">
        <v>0</v>
      </c>
      <c r="F1145" s="16" t="s">
        <v>886</v>
      </c>
      <c r="G1145" s="7" t="s">
        <v>887</v>
      </c>
      <c r="H1145" s="7" t="s">
        <v>1421</v>
      </c>
      <c r="I1145" s="7" t="s">
        <v>0</v>
      </c>
      <c r="J1145" s="7" t="s">
        <v>872</v>
      </c>
      <c r="K1145" s="7" t="s">
        <v>85</v>
      </c>
      <c r="L1145" s="7" t="s">
        <v>48</v>
      </c>
      <c r="M1145" s="7" t="s">
        <v>2128</v>
      </c>
      <c r="N1145" s="7" t="s">
        <v>3531</v>
      </c>
      <c r="O1145" s="7" t="s">
        <v>0</v>
      </c>
      <c r="P1145" s="7" t="s">
        <v>2128</v>
      </c>
      <c r="Q1145" s="7" t="s">
        <v>1423</v>
      </c>
      <c r="R1145" s="7" t="s">
        <v>2178</v>
      </c>
      <c r="S1145" s="7" t="s">
        <v>0</v>
      </c>
      <c r="T1145" s="7" t="s">
        <v>54</v>
      </c>
      <c r="U1145" s="7" t="s">
        <v>605</v>
      </c>
      <c r="V1145" s="7" t="s">
        <v>126</v>
      </c>
      <c r="W1145" s="7" t="s">
        <v>74</v>
      </c>
      <c r="X1145" s="7" t="s">
        <v>103</v>
      </c>
      <c r="Y1145" s="8">
        <v>45040</v>
      </c>
      <c r="Z1145" s="8">
        <v>45657</v>
      </c>
      <c r="AA1145" s="7" t="s">
        <v>224</v>
      </c>
      <c r="AB1145" s="7" t="s">
        <v>888</v>
      </c>
      <c r="AC1145" s="7" t="s">
        <v>65</v>
      </c>
      <c r="AD1145" s="7" t="s">
        <v>144</v>
      </c>
      <c r="AE1145" s="7" t="s">
        <v>0</v>
      </c>
      <c r="AF1145" s="7" t="s">
        <v>0</v>
      </c>
      <c r="AG1145" s="7" t="s">
        <v>0</v>
      </c>
      <c r="AH1145" s="9" t="s">
        <v>0</v>
      </c>
      <c r="AI1145" s="9" t="s">
        <v>0</v>
      </c>
      <c r="AJ1145" s="9" t="s">
        <v>0</v>
      </c>
      <c r="AK1145" s="7" t="s">
        <v>61</v>
      </c>
      <c r="AL1145" s="7" t="s">
        <v>61</v>
      </c>
      <c r="AM1145" s="7" t="s">
        <v>0</v>
      </c>
      <c r="AN1145" s="7" t="s">
        <v>0</v>
      </c>
      <c r="AO1145" s="7" t="s">
        <v>0</v>
      </c>
      <c r="AP1145" s="7" t="s">
        <v>0</v>
      </c>
      <c r="AQ1145" s="7" t="s">
        <v>61</v>
      </c>
      <c r="AR1145" s="7" t="s">
        <v>0</v>
      </c>
      <c r="AS1145" s="10" t="str">
        <f>HYPERLINK("https://tessa.gazprom-neft.local/edo/card/da659aaa-3bcb-47e8-ac64-90c5a2b19463", "https://tessa.gazprom-neft.local/edo/card/da659aaa-3bcb-47e8-ac64-90c5a2b19463")</f>
        <v>https://tessa.gazprom-neft.local/edo/card/da659aaa-3bcb-47e8-ac64-90c5a2b19463</v>
      </c>
    </row>
    <row r="1146" spans="1:45" hidden="1" x14ac:dyDescent="0.25">
      <c r="A1146" s="6" t="s">
        <v>44</v>
      </c>
      <c r="B1146" s="7" t="s">
        <v>1279</v>
      </c>
      <c r="C1146" s="7" t="s">
        <v>67</v>
      </c>
      <c r="D1146" s="8">
        <v>45037</v>
      </c>
      <c r="E1146" s="8" t="s">
        <v>0</v>
      </c>
      <c r="F1146" s="16" t="s">
        <v>1280</v>
      </c>
      <c r="G1146" s="7" t="s">
        <v>1281</v>
      </c>
      <c r="H1146" s="7" t="s">
        <v>1275</v>
      </c>
      <c r="I1146" s="7" t="s">
        <v>0</v>
      </c>
      <c r="J1146" s="7" t="s">
        <v>355</v>
      </c>
      <c r="K1146" s="7" t="s">
        <v>47</v>
      </c>
      <c r="L1146" s="7" t="s">
        <v>239</v>
      </c>
      <c r="M1146" s="7" t="s">
        <v>0</v>
      </c>
      <c r="N1146" s="7" t="s">
        <v>2986</v>
      </c>
      <c r="O1146" s="7" t="s">
        <v>0</v>
      </c>
      <c r="P1146" s="7" t="s">
        <v>2987</v>
      </c>
      <c r="Q1146" s="7" t="s">
        <v>2988</v>
      </c>
      <c r="R1146" s="7" t="s">
        <v>891</v>
      </c>
      <c r="S1146" s="7" t="s">
        <v>891</v>
      </c>
      <c r="T1146" s="7" t="s">
        <v>54</v>
      </c>
      <c r="U1146" s="7" t="s">
        <v>892</v>
      </c>
      <c r="V1146" s="7" t="s">
        <v>56</v>
      </c>
      <c r="W1146" s="7" t="s">
        <v>74</v>
      </c>
      <c r="X1146" s="7" t="s">
        <v>58</v>
      </c>
      <c r="Y1146" s="8">
        <v>45037</v>
      </c>
      <c r="Z1146" s="8" t="s">
        <v>0</v>
      </c>
      <c r="AA1146" s="7" t="s">
        <v>59</v>
      </c>
      <c r="AB1146" s="7" t="s">
        <v>256</v>
      </c>
      <c r="AC1146" s="7" t="s">
        <v>79</v>
      </c>
      <c r="AD1146" s="7" t="s">
        <v>144</v>
      </c>
      <c r="AE1146" s="7" t="s">
        <v>82</v>
      </c>
      <c r="AF1146" s="7" t="s">
        <v>0</v>
      </c>
      <c r="AG1146" s="7" t="s">
        <v>0</v>
      </c>
      <c r="AH1146" s="9" t="s">
        <v>11507</v>
      </c>
      <c r="AI1146" s="9" t="s">
        <v>11508</v>
      </c>
      <c r="AJ1146" s="9" t="s">
        <v>11509</v>
      </c>
      <c r="AK1146" s="7" t="s">
        <v>61</v>
      </c>
      <c r="AL1146" s="7" t="s">
        <v>61</v>
      </c>
      <c r="AM1146" s="7" t="s">
        <v>0</v>
      </c>
      <c r="AN1146" s="7" t="s">
        <v>0</v>
      </c>
      <c r="AO1146" s="7" t="s">
        <v>0</v>
      </c>
      <c r="AP1146" s="7" t="s">
        <v>0</v>
      </c>
      <c r="AQ1146" s="7" t="s">
        <v>61</v>
      </c>
      <c r="AR1146" s="7" t="s">
        <v>0</v>
      </c>
      <c r="AS1146" s="10" t="str">
        <f>HYPERLINK("https://tessa.gazprom-neft.local/edo/card/e5eceeb9-85f7-4f29-a180-d372679176a8", "https://tessa.gazprom-neft.local/edo/card/e5eceeb9-85f7-4f29-a180-d372679176a8")</f>
        <v>https://tessa.gazprom-neft.local/edo/card/e5eceeb9-85f7-4f29-a180-d372679176a8</v>
      </c>
    </row>
    <row r="1147" spans="1:45" x14ac:dyDescent="0.25">
      <c r="A1147" s="6" t="s">
        <v>44</v>
      </c>
      <c r="B1147" s="7" t="s">
        <v>1279</v>
      </c>
      <c r="C1147" s="7" t="s">
        <v>67</v>
      </c>
      <c r="D1147" s="8">
        <v>45037</v>
      </c>
      <c r="E1147" s="8" t="s">
        <v>0</v>
      </c>
      <c r="F1147" s="16" t="s">
        <v>1280</v>
      </c>
      <c r="G1147" s="7" t="s">
        <v>1281</v>
      </c>
      <c r="H1147" s="7" t="s">
        <v>1275</v>
      </c>
      <c r="I1147" s="7" t="s">
        <v>0</v>
      </c>
      <c r="J1147" s="7" t="s">
        <v>355</v>
      </c>
      <c r="K1147" s="7" t="s">
        <v>47</v>
      </c>
      <c r="L1147" s="7" t="s">
        <v>48</v>
      </c>
      <c r="M1147" s="7" t="s">
        <v>0</v>
      </c>
      <c r="N1147" s="7" t="s">
        <v>3012</v>
      </c>
      <c r="O1147" s="7" t="s">
        <v>0</v>
      </c>
      <c r="P1147" s="7" t="s">
        <v>3013</v>
      </c>
      <c r="Q1147" s="7" t="s">
        <v>1277</v>
      </c>
      <c r="R1147" s="7" t="s">
        <v>891</v>
      </c>
      <c r="S1147" s="7" t="s">
        <v>891</v>
      </c>
      <c r="T1147" s="7" t="s">
        <v>54</v>
      </c>
      <c r="U1147" s="7" t="s">
        <v>892</v>
      </c>
      <c r="V1147" s="7" t="s">
        <v>56</v>
      </c>
      <c r="W1147" s="7" t="s">
        <v>74</v>
      </c>
      <c r="X1147" s="7" t="s">
        <v>103</v>
      </c>
      <c r="Y1147" s="8">
        <v>45037</v>
      </c>
      <c r="Z1147" s="8">
        <v>44561</v>
      </c>
      <c r="AA1147" s="7" t="s">
        <v>59</v>
      </c>
      <c r="AB1147" s="7" t="s">
        <v>256</v>
      </c>
      <c r="AC1147" s="7" t="s">
        <v>79</v>
      </c>
      <c r="AD1147" s="7" t="s">
        <v>144</v>
      </c>
      <c r="AE1147" s="7" t="s">
        <v>82</v>
      </c>
      <c r="AF1147" s="7" t="s">
        <v>0</v>
      </c>
      <c r="AG1147" s="7" t="s">
        <v>0</v>
      </c>
      <c r="AH1147" s="9" t="s">
        <v>11519</v>
      </c>
      <c r="AI1147" s="9" t="s">
        <v>11520</v>
      </c>
      <c r="AJ1147" s="9" t="s">
        <v>11521</v>
      </c>
      <c r="AK1147" s="7" t="s">
        <v>61</v>
      </c>
      <c r="AL1147" s="7" t="s">
        <v>61</v>
      </c>
      <c r="AM1147" s="7" t="s">
        <v>0</v>
      </c>
      <c r="AN1147" s="7" t="s">
        <v>0</v>
      </c>
      <c r="AO1147" s="7" t="s">
        <v>0</v>
      </c>
      <c r="AP1147" s="7" t="s">
        <v>0</v>
      </c>
      <c r="AQ1147" s="7" t="s">
        <v>61</v>
      </c>
      <c r="AR1147" s="7" t="s">
        <v>0</v>
      </c>
      <c r="AS1147" s="10" t="str">
        <f>HYPERLINK("https://tessa.gazprom-neft.local/edo/card/41aa767b-60d0-4776-9b62-22ac16943c8b", "https://tessa.gazprom-neft.local/edo/card/41aa767b-60d0-4776-9b62-22ac16943c8b")</f>
        <v>https://tessa.gazprom-neft.local/edo/card/41aa767b-60d0-4776-9b62-22ac16943c8b</v>
      </c>
    </row>
    <row r="1148" spans="1:45" hidden="1" x14ac:dyDescent="0.25">
      <c r="A1148" s="6" t="s">
        <v>44</v>
      </c>
      <c r="B1148" s="7" t="s">
        <v>971</v>
      </c>
      <c r="C1148" s="7" t="s">
        <v>67</v>
      </c>
      <c r="D1148" s="8">
        <v>45037</v>
      </c>
      <c r="E1148" s="8" t="s">
        <v>0</v>
      </c>
      <c r="F1148" s="16" t="s">
        <v>972</v>
      </c>
      <c r="G1148" s="7" t="s">
        <v>973</v>
      </c>
      <c r="H1148" s="7" t="s">
        <v>1006</v>
      </c>
      <c r="I1148" s="7" t="s">
        <v>0</v>
      </c>
      <c r="J1148" s="7" t="s">
        <v>51</v>
      </c>
      <c r="K1148" s="7" t="s">
        <v>47</v>
      </c>
      <c r="L1148" s="7" t="s">
        <v>1858</v>
      </c>
      <c r="M1148" s="7" t="s">
        <v>0</v>
      </c>
      <c r="N1148" s="7" t="s">
        <v>3295</v>
      </c>
      <c r="O1148" s="7" t="s">
        <v>0</v>
      </c>
      <c r="P1148" s="7" t="s">
        <v>3296</v>
      </c>
      <c r="Q1148" s="7" t="s">
        <v>3297</v>
      </c>
      <c r="R1148" s="7" t="s">
        <v>3298</v>
      </c>
      <c r="S1148" s="7" t="s">
        <v>3298</v>
      </c>
      <c r="T1148" s="7" t="s">
        <v>54</v>
      </c>
      <c r="U1148" s="7" t="s">
        <v>303</v>
      </c>
      <c r="V1148" s="7" t="s">
        <v>91</v>
      </c>
      <c r="W1148" s="7" t="s">
        <v>74</v>
      </c>
      <c r="X1148" s="7" t="s">
        <v>223</v>
      </c>
      <c r="Y1148" s="8">
        <v>45046</v>
      </c>
      <c r="Z1148" s="8" t="s">
        <v>0</v>
      </c>
      <c r="AA1148" s="7" t="s">
        <v>92</v>
      </c>
      <c r="AB1148" s="7" t="s">
        <v>64</v>
      </c>
      <c r="AC1148" s="7" t="s">
        <v>65</v>
      </c>
      <c r="AD1148" s="7" t="s">
        <v>80</v>
      </c>
      <c r="AE1148" s="7" t="s">
        <v>0</v>
      </c>
      <c r="AF1148" s="7" t="s">
        <v>0</v>
      </c>
      <c r="AG1148" s="7" t="s">
        <v>0</v>
      </c>
      <c r="AH1148" s="9" t="s">
        <v>0</v>
      </c>
      <c r="AI1148" s="9" t="s">
        <v>0</v>
      </c>
      <c r="AJ1148" s="9" t="s">
        <v>0</v>
      </c>
      <c r="AK1148" s="7" t="s">
        <v>61</v>
      </c>
      <c r="AL1148" s="7" t="s">
        <v>61</v>
      </c>
      <c r="AM1148" s="7" t="s">
        <v>0</v>
      </c>
      <c r="AN1148" s="7" t="s">
        <v>0</v>
      </c>
      <c r="AO1148" s="7" t="s">
        <v>0</v>
      </c>
      <c r="AP1148" s="7" t="s">
        <v>0</v>
      </c>
      <c r="AQ1148" s="7" t="s">
        <v>61</v>
      </c>
      <c r="AR1148" s="7" t="s">
        <v>0</v>
      </c>
      <c r="AS1148" s="10" t="str">
        <f>HYPERLINK("https://tessa.gazprom-neft.local/edo/card/502e73f6-c7c1-44c6-9e5a-05e5cd83561d", "https://tessa.gazprom-neft.local/edo/card/502e73f6-c7c1-44c6-9e5a-05e5cd83561d")</f>
        <v>https://tessa.gazprom-neft.local/edo/card/502e73f6-c7c1-44c6-9e5a-05e5cd83561d</v>
      </c>
    </row>
    <row r="1149" spans="1:45" x14ac:dyDescent="0.25">
      <c r="A1149" s="6" t="s">
        <v>44</v>
      </c>
      <c r="B1149" s="7" t="s">
        <v>971</v>
      </c>
      <c r="C1149" s="7" t="s">
        <v>67</v>
      </c>
      <c r="D1149" s="8">
        <v>45037</v>
      </c>
      <c r="E1149" s="8" t="s">
        <v>0</v>
      </c>
      <c r="F1149" s="16" t="s">
        <v>972</v>
      </c>
      <c r="G1149" s="7" t="s">
        <v>973</v>
      </c>
      <c r="H1149" s="7" t="s">
        <v>998</v>
      </c>
      <c r="I1149" s="7" t="s">
        <v>0</v>
      </c>
      <c r="J1149" s="7" t="s">
        <v>70</v>
      </c>
      <c r="K1149" s="7" t="s">
        <v>47</v>
      </c>
      <c r="L1149" s="7" t="s">
        <v>48</v>
      </c>
      <c r="M1149" s="7" t="s">
        <v>0</v>
      </c>
      <c r="N1149" s="7" t="s">
        <v>3348</v>
      </c>
      <c r="O1149" s="7" t="s">
        <v>0</v>
      </c>
      <c r="P1149" s="7" t="s">
        <v>3349</v>
      </c>
      <c r="Q1149" s="7" t="s">
        <v>3350</v>
      </c>
      <c r="R1149" s="7" t="s">
        <v>3298</v>
      </c>
      <c r="S1149" s="7" t="s">
        <v>3298</v>
      </c>
      <c r="T1149" s="7" t="s">
        <v>54</v>
      </c>
      <c r="U1149" s="7" t="s">
        <v>303</v>
      </c>
      <c r="V1149" s="7" t="s">
        <v>91</v>
      </c>
      <c r="W1149" s="7" t="s">
        <v>74</v>
      </c>
      <c r="X1149" s="7" t="s">
        <v>103</v>
      </c>
      <c r="Y1149" s="8">
        <v>45047</v>
      </c>
      <c r="Z1149" s="8">
        <v>45107</v>
      </c>
      <c r="AA1149" s="7" t="s">
        <v>92</v>
      </c>
      <c r="AB1149" s="7" t="s">
        <v>64</v>
      </c>
      <c r="AC1149" s="7" t="s">
        <v>79</v>
      </c>
      <c r="AD1149" s="7" t="s">
        <v>144</v>
      </c>
      <c r="AE1149" s="7" t="s">
        <v>118</v>
      </c>
      <c r="AF1149" s="7" t="s">
        <v>0</v>
      </c>
      <c r="AG1149" s="7" t="s">
        <v>0</v>
      </c>
      <c r="AH1149" s="9" t="s">
        <v>11628</v>
      </c>
      <c r="AI1149" s="9" t="s">
        <v>11628</v>
      </c>
      <c r="AJ1149" s="9">
        <v>0</v>
      </c>
      <c r="AK1149" s="7" t="s">
        <v>61</v>
      </c>
      <c r="AL1149" s="7" t="s">
        <v>61</v>
      </c>
      <c r="AM1149" s="7" t="s">
        <v>0</v>
      </c>
      <c r="AN1149" s="7" t="s">
        <v>0</v>
      </c>
      <c r="AO1149" s="7" t="s">
        <v>0</v>
      </c>
      <c r="AP1149" s="7" t="s">
        <v>0</v>
      </c>
      <c r="AQ1149" s="7" t="s">
        <v>61</v>
      </c>
      <c r="AR1149" s="7" t="s">
        <v>0</v>
      </c>
      <c r="AS1149" s="10" t="str">
        <f>HYPERLINK("https://tessa.gazprom-neft.local/edo/card/dd394116-09d0-47ef-8e22-f2539397918e", "https://tessa.gazprom-neft.local/edo/card/dd394116-09d0-47ef-8e22-f2539397918e")</f>
        <v>https://tessa.gazprom-neft.local/edo/card/dd394116-09d0-47ef-8e22-f2539397918e</v>
      </c>
    </row>
    <row r="1150" spans="1:45" hidden="1" x14ac:dyDescent="0.25">
      <c r="A1150" s="6" t="s">
        <v>44</v>
      </c>
      <c r="B1150" s="7" t="s">
        <v>592</v>
      </c>
      <c r="C1150" s="7" t="s">
        <v>67</v>
      </c>
      <c r="D1150" s="8">
        <v>45037</v>
      </c>
      <c r="E1150" s="8" t="s">
        <v>0</v>
      </c>
      <c r="F1150" s="16" t="s">
        <v>593</v>
      </c>
      <c r="G1150" s="7" t="s">
        <v>594</v>
      </c>
      <c r="H1150" s="7" t="s">
        <v>953</v>
      </c>
      <c r="I1150" s="7" t="s">
        <v>0</v>
      </c>
      <c r="J1150" s="7" t="s">
        <v>51</v>
      </c>
      <c r="K1150" s="7" t="s">
        <v>47</v>
      </c>
      <c r="L1150" s="7" t="s">
        <v>389</v>
      </c>
      <c r="M1150" s="7" t="s">
        <v>0</v>
      </c>
      <c r="N1150" s="7" t="s">
        <v>3498</v>
      </c>
      <c r="O1150" s="7" t="s">
        <v>1467</v>
      </c>
      <c r="P1150" s="7" t="s">
        <v>3499</v>
      </c>
      <c r="Q1150" s="7" t="s">
        <v>1799</v>
      </c>
      <c r="R1150" s="7" t="s">
        <v>590</v>
      </c>
      <c r="S1150" s="7" t="s">
        <v>0</v>
      </c>
      <c r="T1150" s="7" t="s">
        <v>54</v>
      </c>
      <c r="U1150" s="7" t="s">
        <v>591</v>
      </c>
      <c r="V1150" s="7" t="s">
        <v>126</v>
      </c>
      <c r="W1150" s="7" t="s">
        <v>74</v>
      </c>
      <c r="X1150" s="7" t="s">
        <v>58</v>
      </c>
      <c r="Y1150" s="8">
        <v>45037</v>
      </c>
      <c r="Z1150" s="8" t="s">
        <v>0</v>
      </c>
      <c r="AA1150" s="7" t="s">
        <v>224</v>
      </c>
      <c r="AB1150" s="7" t="s">
        <v>387</v>
      </c>
      <c r="AC1150" s="7" t="s">
        <v>79</v>
      </c>
      <c r="AD1150" s="7" t="s">
        <v>144</v>
      </c>
      <c r="AE1150" s="7" t="s">
        <v>82</v>
      </c>
      <c r="AF1150" s="7" t="s">
        <v>0</v>
      </c>
      <c r="AG1150" s="7" t="s">
        <v>0</v>
      </c>
      <c r="AH1150" s="9" t="s">
        <v>11701</v>
      </c>
      <c r="AI1150" s="9" t="s">
        <v>11702</v>
      </c>
      <c r="AJ1150" s="9" t="s">
        <v>11703</v>
      </c>
      <c r="AK1150" s="7" t="s">
        <v>61</v>
      </c>
      <c r="AL1150" s="7" t="s">
        <v>61</v>
      </c>
      <c r="AM1150" s="7" t="s">
        <v>0</v>
      </c>
      <c r="AN1150" s="7" t="s">
        <v>0</v>
      </c>
      <c r="AO1150" s="7" t="s">
        <v>0</v>
      </c>
      <c r="AP1150" s="7" t="s">
        <v>0</v>
      </c>
      <c r="AQ1150" s="7" t="s">
        <v>61</v>
      </c>
      <c r="AR1150" s="7" t="s">
        <v>0</v>
      </c>
      <c r="AS1150" s="10" t="str">
        <f>HYPERLINK("https://tessa.gazprom-neft.local/edo/card/7fb9fe10-555d-447c-82a9-36ec693ddcf4", "https://tessa.gazprom-neft.local/edo/card/7fb9fe10-555d-447c-82a9-36ec693ddcf4")</f>
        <v>https://tessa.gazprom-neft.local/edo/card/7fb9fe10-555d-447c-82a9-36ec693ddcf4</v>
      </c>
    </row>
    <row r="1151" spans="1:45" x14ac:dyDescent="0.25">
      <c r="A1151" s="6" t="s">
        <v>44</v>
      </c>
      <c r="B1151" s="7" t="s">
        <v>3273</v>
      </c>
      <c r="C1151" s="7" t="s">
        <v>67</v>
      </c>
      <c r="D1151" s="8">
        <v>45036</v>
      </c>
      <c r="E1151" s="8" t="s">
        <v>0</v>
      </c>
      <c r="F1151" s="16" t="s">
        <v>3274</v>
      </c>
      <c r="G1151" s="7" t="s">
        <v>3275</v>
      </c>
      <c r="H1151" s="7" t="s">
        <v>3270</v>
      </c>
      <c r="I1151" s="7" t="s">
        <v>0</v>
      </c>
      <c r="J1151" s="7" t="s">
        <v>51</v>
      </c>
      <c r="K1151" s="7" t="s">
        <v>47</v>
      </c>
      <c r="L1151" s="7" t="s">
        <v>48</v>
      </c>
      <c r="M1151" s="7" t="s">
        <v>0</v>
      </c>
      <c r="N1151" s="7" t="s">
        <v>3269</v>
      </c>
      <c r="O1151" s="7" t="s">
        <v>0</v>
      </c>
      <c r="P1151" s="7" t="s">
        <v>3271</v>
      </c>
      <c r="Q1151" s="7" t="s">
        <v>3272</v>
      </c>
      <c r="R1151" s="7" t="s">
        <v>361</v>
      </c>
      <c r="S1151" s="7" t="s">
        <v>361</v>
      </c>
      <c r="T1151" s="7" t="s">
        <v>54</v>
      </c>
      <c r="U1151" s="7" t="s">
        <v>362</v>
      </c>
      <c r="V1151" s="7" t="s">
        <v>295</v>
      </c>
      <c r="W1151" s="7" t="s">
        <v>74</v>
      </c>
      <c r="X1151" s="7" t="s">
        <v>103</v>
      </c>
      <c r="Y1151" s="8">
        <v>45036</v>
      </c>
      <c r="Z1151" s="8">
        <v>45657</v>
      </c>
      <c r="AA1151" s="7" t="s">
        <v>296</v>
      </c>
      <c r="AB1151" s="7" t="s">
        <v>366</v>
      </c>
      <c r="AC1151" s="7" t="s">
        <v>278</v>
      </c>
      <c r="AD1151" s="7" t="s">
        <v>367</v>
      </c>
      <c r="AE1151" s="7" t="s">
        <v>82</v>
      </c>
      <c r="AF1151" s="7" t="s">
        <v>0</v>
      </c>
      <c r="AG1151" s="7" t="s">
        <v>0</v>
      </c>
      <c r="AH1151" s="9" t="s">
        <v>11606</v>
      </c>
      <c r="AI1151" s="9" t="s">
        <v>11607</v>
      </c>
      <c r="AJ1151" s="9" t="s">
        <v>11608</v>
      </c>
      <c r="AK1151" s="7" t="s">
        <v>61</v>
      </c>
      <c r="AL1151" s="7" t="s">
        <v>61</v>
      </c>
      <c r="AM1151" s="7" t="s">
        <v>0</v>
      </c>
      <c r="AN1151" s="7" t="s">
        <v>0</v>
      </c>
      <c r="AO1151" s="7" t="s">
        <v>0</v>
      </c>
      <c r="AP1151" s="7" t="s">
        <v>0</v>
      </c>
      <c r="AQ1151" s="7" t="s">
        <v>61</v>
      </c>
      <c r="AR1151" s="7" t="s">
        <v>0</v>
      </c>
      <c r="AS1151" s="10" t="str">
        <f>HYPERLINK("https://tessa.gazprom-neft.local/edo/card/84540f37-f59d-4a71-a19d-c8b7573d6047", "https://tessa.gazprom-neft.local/edo/card/84540f37-f59d-4a71-a19d-c8b7573d6047")</f>
        <v>https://tessa.gazprom-neft.local/edo/card/84540f37-f59d-4a71-a19d-c8b7573d6047</v>
      </c>
    </row>
    <row r="1152" spans="1:45" hidden="1" x14ac:dyDescent="0.25">
      <c r="A1152" s="6" t="s">
        <v>44</v>
      </c>
      <c r="B1152" s="7" t="s">
        <v>639</v>
      </c>
      <c r="C1152" s="7" t="s">
        <v>67</v>
      </c>
      <c r="D1152" s="8">
        <v>45036</v>
      </c>
      <c r="E1152" s="8" t="s">
        <v>0</v>
      </c>
      <c r="F1152" s="16" t="s">
        <v>640</v>
      </c>
      <c r="G1152" s="7" t="s">
        <v>641</v>
      </c>
      <c r="H1152" s="7" t="s">
        <v>0</v>
      </c>
      <c r="I1152" s="7" t="s">
        <v>3314</v>
      </c>
      <c r="J1152" s="7" t="s">
        <v>3314</v>
      </c>
      <c r="K1152" s="7" t="s">
        <v>85</v>
      </c>
      <c r="L1152" s="7" t="s">
        <v>96</v>
      </c>
      <c r="M1152" s="7" t="s">
        <v>398</v>
      </c>
      <c r="N1152" s="7" t="s">
        <v>3313</v>
      </c>
      <c r="O1152" s="7" t="s">
        <v>0</v>
      </c>
      <c r="P1152" s="7" t="s">
        <v>3315</v>
      </c>
      <c r="Q1152" s="7" t="s">
        <v>402</v>
      </c>
      <c r="R1152" s="7" t="s">
        <v>361</v>
      </c>
      <c r="S1152" s="7" t="s">
        <v>361</v>
      </c>
      <c r="T1152" s="7" t="s">
        <v>54</v>
      </c>
      <c r="U1152" s="7" t="s">
        <v>362</v>
      </c>
      <c r="V1152" s="7" t="s">
        <v>295</v>
      </c>
      <c r="W1152" s="7" t="s">
        <v>74</v>
      </c>
      <c r="X1152" s="7" t="s">
        <v>103</v>
      </c>
      <c r="Y1152" s="8">
        <v>45036</v>
      </c>
      <c r="Z1152" s="8">
        <v>45169</v>
      </c>
      <c r="AA1152" s="7" t="s">
        <v>296</v>
      </c>
      <c r="AB1152" s="7" t="s">
        <v>366</v>
      </c>
      <c r="AC1152" s="7" t="s">
        <v>278</v>
      </c>
      <c r="AD1152" s="7" t="s">
        <v>367</v>
      </c>
      <c r="AE1152" s="7" t="s">
        <v>82</v>
      </c>
      <c r="AF1152" s="7" t="s">
        <v>0</v>
      </c>
      <c r="AG1152" s="7" t="s">
        <v>0</v>
      </c>
      <c r="AH1152" s="9" t="s">
        <v>11616</v>
      </c>
      <c r="AI1152" s="9" t="s">
        <v>11617</v>
      </c>
      <c r="AJ1152" s="9" t="s">
        <v>11618</v>
      </c>
      <c r="AK1152" s="7" t="s">
        <v>61</v>
      </c>
      <c r="AL1152" s="7" t="s">
        <v>61</v>
      </c>
      <c r="AM1152" s="7" t="s">
        <v>0</v>
      </c>
      <c r="AN1152" s="7" t="s">
        <v>0</v>
      </c>
      <c r="AO1152" s="7" t="s">
        <v>0</v>
      </c>
      <c r="AP1152" s="7" t="s">
        <v>0</v>
      </c>
      <c r="AQ1152" s="7" t="s">
        <v>61</v>
      </c>
      <c r="AR1152" s="7" t="s">
        <v>0</v>
      </c>
      <c r="AS1152" s="10" t="str">
        <f>HYPERLINK("https://tessa.gazprom-neft.local/edo/card/4f72aa28-e6c5-408a-a48c-d101d7230967", "https://tessa.gazprom-neft.local/edo/card/4f72aa28-e6c5-408a-a48c-d101d7230967")</f>
        <v>https://tessa.gazprom-neft.local/edo/card/4f72aa28-e6c5-408a-a48c-d101d7230967</v>
      </c>
    </row>
    <row r="1153" spans="1:45" hidden="1" x14ac:dyDescent="0.25">
      <c r="A1153" s="6" t="s">
        <v>44</v>
      </c>
      <c r="B1153" s="7" t="s">
        <v>395</v>
      </c>
      <c r="C1153" s="7" t="s">
        <v>67</v>
      </c>
      <c r="D1153" s="8">
        <v>45036</v>
      </c>
      <c r="E1153" s="8" t="s">
        <v>0</v>
      </c>
      <c r="F1153" s="16" t="s">
        <v>396</v>
      </c>
      <c r="G1153" s="7" t="s">
        <v>397</v>
      </c>
      <c r="H1153" s="7" t="s">
        <v>390</v>
      </c>
      <c r="I1153" s="7" t="s">
        <v>0</v>
      </c>
      <c r="J1153" s="7" t="s">
        <v>271</v>
      </c>
      <c r="K1153" s="7" t="s">
        <v>47</v>
      </c>
      <c r="L1153" s="7" t="s">
        <v>389</v>
      </c>
      <c r="M1153" s="7" t="s">
        <v>0</v>
      </c>
      <c r="N1153" s="7" t="s">
        <v>3406</v>
      </c>
      <c r="O1153" s="7" t="s">
        <v>51</v>
      </c>
      <c r="P1153" s="7" t="s">
        <v>3407</v>
      </c>
      <c r="Q1153" s="7" t="s">
        <v>3408</v>
      </c>
      <c r="R1153" s="7" t="s">
        <v>393</v>
      </c>
      <c r="S1153" s="7" t="s">
        <v>0</v>
      </c>
      <c r="T1153" s="7" t="s">
        <v>54</v>
      </c>
      <c r="U1153" s="7" t="s">
        <v>222</v>
      </c>
      <c r="V1153" s="7" t="s">
        <v>126</v>
      </c>
      <c r="W1153" s="7" t="s">
        <v>74</v>
      </c>
      <c r="X1153" s="7" t="s">
        <v>58</v>
      </c>
      <c r="Y1153" s="8">
        <v>45036</v>
      </c>
      <c r="Z1153" s="8" t="s">
        <v>0</v>
      </c>
      <c r="AA1153" s="7" t="s">
        <v>224</v>
      </c>
      <c r="AB1153" s="7" t="s">
        <v>387</v>
      </c>
      <c r="AC1153" s="7" t="s">
        <v>79</v>
      </c>
      <c r="AD1153" s="7" t="s">
        <v>80</v>
      </c>
      <c r="AE1153" s="7" t="s">
        <v>82</v>
      </c>
      <c r="AF1153" s="7" t="s">
        <v>0</v>
      </c>
      <c r="AG1153" s="7" t="s">
        <v>3409</v>
      </c>
      <c r="AH1153" s="9" t="s">
        <v>11658</v>
      </c>
      <c r="AI1153" s="9" t="s">
        <v>11659</v>
      </c>
      <c r="AJ1153" s="9" t="s">
        <v>11660</v>
      </c>
      <c r="AK1153" s="7" t="s">
        <v>81</v>
      </c>
      <c r="AL1153" s="7" t="s">
        <v>61</v>
      </c>
      <c r="AM1153" s="7" t="s">
        <v>0</v>
      </c>
      <c r="AN1153" s="7" t="s">
        <v>0</v>
      </c>
      <c r="AO1153" s="7" t="s">
        <v>0</v>
      </c>
      <c r="AP1153" s="7" t="s">
        <v>0</v>
      </c>
      <c r="AQ1153" s="7" t="s">
        <v>61</v>
      </c>
      <c r="AR1153" s="7" t="s">
        <v>0</v>
      </c>
      <c r="AS1153" s="10" t="str">
        <f>HYPERLINK("https://tessa.gazprom-neft.local/edo/card/1e5a5491-3ad5-46db-99c5-16555c2232de", "https://tessa.gazprom-neft.local/edo/card/1e5a5491-3ad5-46db-99c5-16555c2232de")</f>
        <v>https://tessa.gazprom-neft.local/edo/card/1e5a5491-3ad5-46db-99c5-16555c2232de</v>
      </c>
    </row>
    <row r="1154" spans="1:45" hidden="1" x14ac:dyDescent="0.25">
      <c r="A1154" s="6" t="s">
        <v>44</v>
      </c>
      <c r="B1154" s="7" t="s">
        <v>3100</v>
      </c>
      <c r="C1154" s="7" t="s">
        <v>67</v>
      </c>
      <c r="D1154" s="8">
        <v>45033</v>
      </c>
      <c r="E1154" s="8" t="s">
        <v>0</v>
      </c>
      <c r="F1154" s="16" t="s">
        <v>3101</v>
      </c>
      <c r="G1154" s="7" t="s">
        <v>3102</v>
      </c>
      <c r="H1154" s="7" t="s">
        <v>0</v>
      </c>
      <c r="I1154" s="7" t="s">
        <v>3097</v>
      </c>
      <c r="J1154" s="7" t="s">
        <v>3097</v>
      </c>
      <c r="K1154" s="7" t="s">
        <v>47</v>
      </c>
      <c r="L1154" s="7" t="s">
        <v>96</v>
      </c>
      <c r="M1154" s="7" t="s">
        <v>0</v>
      </c>
      <c r="N1154" s="7" t="s">
        <v>3096</v>
      </c>
      <c r="O1154" s="7" t="s">
        <v>0</v>
      </c>
      <c r="P1154" s="7" t="s">
        <v>3098</v>
      </c>
      <c r="Q1154" s="7" t="s">
        <v>3099</v>
      </c>
      <c r="R1154" s="7" t="s">
        <v>2336</v>
      </c>
      <c r="S1154" s="7" t="s">
        <v>2336</v>
      </c>
      <c r="T1154" s="7" t="s">
        <v>54</v>
      </c>
      <c r="U1154" s="7" t="s">
        <v>307</v>
      </c>
      <c r="V1154" s="7" t="s">
        <v>126</v>
      </c>
      <c r="W1154" s="7" t="s">
        <v>57</v>
      </c>
      <c r="X1154" s="7" t="s">
        <v>103</v>
      </c>
      <c r="Y1154" s="8">
        <v>45033</v>
      </c>
      <c r="Z1154" s="8">
        <v>45291</v>
      </c>
      <c r="AA1154" s="7" t="s">
        <v>224</v>
      </c>
      <c r="AB1154" s="7" t="s">
        <v>130</v>
      </c>
      <c r="AC1154" s="7" t="s">
        <v>79</v>
      </c>
      <c r="AD1154" s="7" t="s">
        <v>80</v>
      </c>
      <c r="AE1154" s="7" t="s">
        <v>82</v>
      </c>
      <c r="AF1154" s="7" t="s">
        <v>0</v>
      </c>
      <c r="AG1154" s="7" t="s">
        <v>0</v>
      </c>
      <c r="AH1154" s="9" t="s">
        <v>11543</v>
      </c>
      <c r="AI1154" s="9" t="s">
        <v>11544</v>
      </c>
      <c r="AJ1154" s="9" t="s">
        <v>11545</v>
      </c>
      <c r="AK1154" s="7" t="s">
        <v>61</v>
      </c>
      <c r="AL1154" s="7" t="s">
        <v>61</v>
      </c>
      <c r="AM1154" s="7" t="s">
        <v>0</v>
      </c>
      <c r="AN1154" s="7" t="s">
        <v>0</v>
      </c>
      <c r="AO1154" s="7" t="s">
        <v>0</v>
      </c>
      <c r="AP1154" s="7" t="s">
        <v>0</v>
      </c>
      <c r="AQ1154" s="7" t="s">
        <v>61</v>
      </c>
      <c r="AR1154" s="7" t="s">
        <v>0</v>
      </c>
      <c r="AS1154" s="10" t="str">
        <f>HYPERLINK("https://tessa.gazprom-neft.local/edo/card/dcd7b6b1-e581-46e9-9695-8f3b405175f5", "https://tessa.gazprom-neft.local/edo/card/dcd7b6b1-e581-46e9-9695-8f3b405175f5")</f>
        <v>https://tessa.gazprom-neft.local/edo/card/dcd7b6b1-e581-46e9-9695-8f3b405175f5</v>
      </c>
    </row>
    <row r="1155" spans="1:45" x14ac:dyDescent="0.25">
      <c r="A1155" s="6" t="s">
        <v>44</v>
      </c>
      <c r="B1155" s="7" t="s">
        <v>2495</v>
      </c>
      <c r="C1155" s="7" t="s">
        <v>67</v>
      </c>
      <c r="D1155" s="8">
        <v>45033</v>
      </c>
      <c r="E1155" s="8" t="s">
        <v>0</v>
      </c>
      <c r="F1155" s="16" t="s">
        <v>2496</v>
      </c>
      <c r="G1155" s="7" t="s">
        <v>2497</v>
      </c>
      <c r="H1155" s="7" t="s">
        <v>2856</v>
      </c>
      <c r="I1155" s="7" t="s">
        <v>0</v>
      </c>
      <c r="J1155" s="7" t="s">
        <v>51</v>
      </c>
      <c r="K1155" s="7" t="s">
        <v>47</v>
      </c>
      <c r="L1155" s="7" t="s">
        <v>48</v>
      </c>
      <c r="M1155" s="7" t="s">
        <v>0</v>
      </c>
      <c r="N1155" s="7" t="s">
        <v>3122</v>
      </c>
      <c r="O1155" s="7" t="s">
        <v>0</v>
      </c>
      <c r="P1155" s="7" t="s">
        <v>3123</v>
      </c>
      <c r="Q1155" s="7" t="s">
        <v>3124</v>
      </c>
      <c r="R1155" s="7" t="s">
        <v>646</v>
      </c>
      <c r="S1155" s="7" t="s">
        <v>3125</v>
      </c>
      <c r="T1155" s="7" t="s">
        <v>54</v>
      </c>
      <c r="U1155" s="7" t="s">
        <v>210</v>
      </c>
      <c r="V1155" s="7" t="s">
        <v>126</v>
      </c>
      <c r="W1155" s="7" t="s">
        <v>57</v>
      </c>
      <c r="X1155" s="7" t="s">
        <v>58</v>
      </c>
      <c r="Y1155" s="8">
        <v>45033</v>
      </c>
      <c r="Z1155" s="8" t="s">
        <v>0</v>
      </c>
      <c r="AA1155" s="7" t="s">
        <v>224</v>
      </c>
      <c r="AB1155" s="7" t="s">
        <v>130</v>
      </c>
      <c r="AC1155" s="7" t="s">
        <v>65</v>
      </c>
      <c r="AD1155" s="7" t="s">
        <v>80</v>
      </c>
      <c r="AE1155" s="7" t="s">
        <v>0</v>
      </c>
      <c r="AF1155" s="7" t="s">
        <v>0</v>
      </c>
      <c r="AG1155" s="7" t="s">
        <v>0</v>
      </c>
      <c r="AH1155" s="9" t="s">
        <v>0</v>
      </c>
      <c r="AI1155" s="9" t="s">
        <v>0</v>
      </c>
      <c r="AJ1155" s="9" t="s">
        <v>0</v>
      </c>
      <c r="AK1155" s="7" t="s">
        <v>61</v>
      </c>
      <c r="AL1155" s="7" t="s">
        <v>61</v>
      </c>
      <c r="AM1155" s="7" t="s">
        <v>0</v>
      </c>
      <c r="AN1155" s="7" t="s">
        <v>0</v>
      </c>
      <c r="AO1155" s="7" t="s">
        <v>0</v>
      </c>
      <c r="AP1155" s="7" t="s">
        <v>0</v>
      </c>
      <c r="AQ1155" s="7" t="s">
        <v>61</v>
      </c>
      <c r="AR1155" s="7" t="s">
        <v>0</v>
      </c>
      <c r="AS1155" s="10" t="str">
        <f>HYPERLINK("https://tessa.gazprom-neft.local/edo/card/3f7c1a54-5b15-40e8-873a-cc6a5188d692", "https://tessa.gazprom-neft.local/edo/card/3f7c1a54-5b15-40e8-873a-cc6a5188d692")</f>
        <v>https://tessa.gazprom-neft.local/edo/card/3f7c1a54-5b15-40e8-873a-cc6a5188d692</v>
      </c>
    </row>
    <row r="1156" spans="1:45" x14ac:dyDescent="0.25">
      <c r="A1156" s="6" t="s">
        <v>44</v>
      </c>
      <c r="B1156" s="7" t="s">
        <v>2495</v>
      </c>
      <c r="C1156" s="7" t="s">
        <v>67</v>
      </c>
      <c r="D1156" s="8">
        <v>45033</v>
      </c>
      <c r="E1156" s="8" t="s">
        <v>0</v>
      </c>
      <c r="F1156" s="16" t="s">
        <v>2496</v>
      </c>
      <c r="G1156" s="7" t="s">
        <v>2497</v>
      </c>
      <c r="H1156" s="7" t="s">
        <v>3129</v>
      </c>
      <c r="I1156" s="7" t="s">
        <v>0</v>
      </c>
      <c r="J1156" s="7" t="s">
        <v>51</v>
      </c>
      <c r="K1156" s="7" t="s">
        <v>47</v>
      </c>
      <c r="L1156" s="7" t="s">
        <v>48</v>
      </c>
      <c r="M1156" s="7" t="s">
        <v>0</v>
      </c>
      <c r="N1156" s="7" t="s">
        <v>3128</v>
      </c>
      <c r="O1156" s="7" t="s">
        <v>0</v>
      </c>
      <c r="P1156" s="7" t="s">
        <v>3130</v>
      </c>
      <c r="Q1156" s="7" t="s">
        <v>3124</v>
      </c>
      <c r="R1156" s="7" t="s">
        <v>646</v>
      </c>
      <c r="S1156" s="7" t="s">
        <v>393</v>
      </c>
      <c r="T1156" s="7" t="s">
        <v>54</v>
      </c>
      <c r="U1156" s="7" t="s">
        <v>210</v>
      </c>
      <c r="V1156" s="7" t="s">
        <v>126</v>
      </c>
      <c r="W1156" s="7" t="s">
        <v>57</v>
      </c>
      <c r="X1156" s="7" t="s">
        <v>58</v>
      </c>
      <c r="Y1156" s="8">
        <v>45033</v>
      </c>
      <c r="Z1156" s="8" t="s">
        <v>0</v>
      </c>
      <c r="AA1156" s="7" t="s">
        <v>224</v>
      </c>
      <c r="AB1156" s="7" t="s">
        <v>130</v>
      </c>
      <c r="AC1156" s="7" t="s">
        <v>65</v>
      </c>
      <c r="AD1156" s="7" t="s">
        <v>80</v>
      </c>
      <c r="AE1156" s="7" t="s">
        <v>0</v>
      </c>
      <c r="AF1156" s="7" t="s">
        <v>0</v>
      </c>
      <c r="AG1156" s="7" t="s">
        <v>0</v>
      </c>
      <c r="AH1156" s="9" t="s">
        <v>0</v>
      </c>
      <c r="AI1156" s="9" t="s">
        <v>0</v>
      </c>
      <c r="AJ1156" s="9" t="s">
        <v>0</v>
      </c>
      <c r="AK1156" s="7" t="s">
        <v>61</v>
      </c>
      <c r="AL1156" s="7" t="s">
        <v>61</v>
      </c>
      <c r="AM1156" s="7" t="s">
        <v>0</v>
      </c>
      <c r="AN1156" s="7" t="s">
        <v>0</v>
      </c>
      <c r="AO1156" s="7" t="s">
        <v>0</v>
      </c>
      <c r="AP1156" s="7" t="s">
        <v>0</v>
      </c>
      <c r="AQ1156" s="7" t="s">
        <v>61</v>
      </c>
      <c r="AR1156" s="7" t="s">
        <v>0</v>
      </c>
      <c r="AS1156" s="10" t="str">
        <f>HYPERLINK("https://tessa.gazprom-neft.local/edo/card/92d7b8fc-47cf-4937-94e4-2ad4ec32c905", "https://tessa.gazprom-neft.local/edo/card/92d7b8fc-47cf-4937-94e4-2ad4ec32c905")</f>
        <v>https://tessa.gazprom-neft.local/edo/card/92d7b8fc-47cf-4937-94e4-2ad4ec32c905</v>
      </c>
    </row>
    <row r="1157" spans="1:45" x14ac:dyDescent="0.25">
      <c r="A1157" s="6" t="s">
        <v>44</v>
      </c>
      <c r="B1157" s="7" t="s">
        <v>1843</v>
      </c>
      <c r="C1157" s="7" t="s">
        <v>67</v>
      </c>
      <c r="D1157" s="8">
        <v>45033</v>
      </c>
      <c r="E1157" s="8" t="s">
        <v>0</v>
      </c>
      <c r="F1157" s="16" t="s">
        <v>1844</v>
      </c>
      <c r="G1157" s="7" t="s">
        <v>1845</v>
      </c>
      <c r="H1157" s="7" t="s">
        <v>3215</v>
      </c>
      <c r="I1157" s="7" t="s">
        <v>0</v>
      </c>
      <c r="J1157" s="7" t="s">
        <v>271</v>
      </c>
      <c r="K1157" s="7" t="s">
        <v>47</v>
      </c>
      <c r="L1157" s="7" t="s">
        <v>48</v>
      </c>
      <c r="M1157" s="7" t="s">
        <v>0</v>
      </c>
      <c r="N1157" s="7" t="s">
        <v>3214</v>
      </c>
      <c r="O1157" s="7" t="s">
        <v>0</v>
      </c>
      <c r="P1157" s="7" t="s">
        <v>312</v>
      </c>
      <c r="Q1157" s="7" t="s">
        <v>3216</v>
      </c>
      <c r="R1157" s="7" t="s">
        <v>1066</v>
      </c>
      <c r="S1157" s="7" t="s">
        <v>0</v>
      </c>
      <c r="T1157" s="7" t="s">
        <v>54</v>
      </c>
      <c r="U1157" s="7" t="s">
        <v>136</v>
      </c>
      <c r="V1157" s="7" t="s">
        <v>308</v>
      </c>
      <c r="W1157" s="7" t="s">
        <v>74</v>
      </c>
      <c r="X1157" s="7" t="s">
        <v>103</v>
      </c>
      <c r="Y1157" s="8">
        <v>45033</v>
      </c>
      <c r="Z1157" s="8">
        <v>45565</v>
      </c>
      <c r="AA1157" s="7" t="s">
        <v>309</v>
      </c>
      <c r="AB1157" s="7" t="s">
        <v>1143</v>
      </c>
      <c r="AC1157" s="7" t="s">
        <v>79</v>
      </c>
      <c r="AD1157" s="7" t="s">
        <v>80</v>
      </c>
      <c r="AE1157" s="7" t="s">
        <v>82</v>
      </c>
      <c r="AF1157" s="7" t="s">
        <v>0</v>
      </c>
      <c r="AG1157" s="7" t="s">
        <v>0</v>
      </c>
      <c r="AH1157" s="9" t="s">
        <v>11585</v>
      </c>
      <c r="AI1157" s="9" t="s">
        <v>11586</v>
      </c>
      <c r="AJ1157" s="9" t="s">
        <v>11587</v>
      </c>
      <c r="AK1157" s="7" t="s">
        <v>61</v>
      </c>
      <c r="AL1157" s="7" t="s">
        <v>61</v>
      </c>
      <c r="AM1157" s="7" t="s">
        <v>0</v>
      </c>
      <c r="AN1157" s="7" t="s">
        <v>0</v>
      </c>
      <c r="AO1157" s="7" t="s">
        <v>0</v>
      </c>
      <c r="AP1157" s="7" t="s">
        <v>0</v>
      </c>
      <c r="AQ1157" s="7" t="s">
        <v>61</v>
      </c>
      <c r="AR1157" s="7" t="s">
        <v>0</v>
      </c>
      <c r="AS1157" s="10" t="str">
        <f>HYPERLINK("https://tessa.gazprom-neft.local/edo/card/0b71b005-d599-4871-a10f-8243e7e16e2b", "https://tessa.gazprom-neft.local/edo/card/0b71b005-d599-4871-a10f-8243e7e16e2b")</f>
        <v>https://tessa.gazprom-neft.local/edo/card/0b71b005-d599-4871-a10f-8243e7e16e2b</v>
      </c>
    </row>
    <row r="1158" spans="1:45" hidden="1" x14ac:dyDescent="0.25">
      <c r="A1158" s="6" t="s">
        <v>44</v>
      </c>
      <c r="B1158" s="7" t="s">
        <v>3240</v>
      </c>
      <c r="C1158" s="7" t="s">
        <v>67</v>
      </c>
      <c r="D1158" s="8">
        <v>45033</v>
      </c>
      <c r="E1158" s="8" t="s">
        <v>0</v>
      </c>
      <c r="F1158" s="16" t="s">
        <v>3241</v>
      </c>
      <c r="G1158" s="7" t="s">
        <v>3242</v>
      </c>
      <c r="H1158" s="7" t="s">
        <v>0</v>
      </c>
      <c r="I1158" s="7" t="s">
        <v>3237</v>
      </c>
      <c r="J1158" s="7" t="s">
        <v>3237</v>
      </c>
      <c r="K1158" s="7" t="s">
        <v>47</v>
      </c>
      <c r="L1158" s="7" t="s">
        <v>96</v>
      </c>
      <c r="M1158" s="7" t="s">
        <v>0</v>
      </c>
      <c r="N1158" s="7" t="s">
        <v>3236</v>
      </c>
      <c r="O1158" s="7" t="s">
        <v>0</v>
      </c>
      <c r="P1158" s="7" t="s">
        <v>3238</v>
      </c>
      <c r="Q1158" s="7" t="s">
        <v>3239</v>
      </c>
      <c r="R1158" s="7" t="s">
        <v>2079</v>
      </c>
      <c r="S1158" s="7" t="s">
        <v>2079</v>
      </c>
      <c r="T1158" s="7" t="s">
        <v>54</v>
      </c>
      <c r="U1158" s="7" t="s">
        <v>55</v>
      </c>
      <c r="V1158" s="7" t="s">
        <v>56</v>
      </c>
      <c r="W1158" s="7" t="s">
        <v>57</v>
      </c>
      <c r="X1158" s="7" t="s">
        <v>103</v>
      </c>
      <c r="Y1158" s="8">
        <v>45033</v>
      </c>
      <c r="Z1158" s="8">
        <v>45398</v>
      </c>
      <c r="AA1158" s="7" t="s">
        <v>59</v>
      </c>
      <c r="AB1158" s="7" t="s">
        <v>1408</v>
      </c>
      <c r="AC1158" s="7" t="s">
        <v>79</v>
      </c>
      <c r="AD1158" s="7" t="s">
        <v>80</v>
      </c>
      <c r="AE1158" s="7" t="s">
        <v>472</v>
      </c>
      <c r="AF1158" s="7" t="s">
        <v>0</v>
      </c>
      <c r="AG1158" s="7" t="s">
        <v>0</v>
      </c>
      <c r="AH1158" s="9" t="s">
        <v>11594</v>
      </c>
      <c r="AI1158" s="9" t="s">
        <v>11595</v>
      </c>
      <c r="AJ1158" s="9" t="s">
        <v>11596</v>
      </c>
      <c r="AK1158" s="7" t="s">
        <v>61</v>
      </c>
      <c r="AL1158" s="7" t="s">
        <v>61</v>
      </c>
      <c r="AM1158" s="7" t="s">
        <v>0</v>
      </c>
      <c r="AN1158" s="7" t="s">
        <v>0</v>
      </c>
      <c r="AO1158" s="7" t="s">
        <v>0</v>
      </c>
      <c r="AP1158" s="7" t="s">
        <v>0</v>
      </c>
      <c r="AQ1158" s="7" t="s">
        <v>61</v>
      </c>
      <c r="AR1158" s="7" t="s">
        <v>0</v>
      </c>
      <c r="AS1158" s="10" t="str">
        <f>HYPERLINK("https://tessa.gazprom-neft.local/edo/card/09aaa4f9-4dc4-4cd7-8ca8-2e4c01c15c4c", "https://tessa.gazprom-neft.local/edo/card/09aaa4f9-4dc4-4cd7-8ca8-2e4c01c15c4c")</f>
        <v>https://tessa.gazprom-neft.local/edo/card/09aaa4f9-4dc4-4cd7-8ca8-2e4c01c15c4c</v>
      </c>
    </row>
    <row r="1159" spans="1:45" hidden="1" x14ac:dyDescent="0.25">
      <c r="A1159" s="6" t="s">
        <v>44</v>
      </c>
      <c r="B1159" s="7" t="s">
        <v>1240</v>
      </c>
      <c r="C1159" s="7" t="s">
        <v>67</v>
      </c>
      <c r="D1159" s="8">
        <v>45033</v>
      </c>
      <c r="E1159" s="8" t="s">
        <v>0</v>
      </c>
      <c r="F1159" s="16" t="s">
        <v>1241</v>
      </c>
      <c r="G1159" s="7" t="s">
        <v>1242</v>
      </c>
      <c r="H1159" s="7" t="s">
        <v>0</v>
      </c>
      <c r="I1159" s="7" t="s">
        <v>3254</v>
      </c>
      <c r="J1159" s="7" t="s">
        <v>3254</v>
      </c>
      <c r="K1159" s="7" t="s">
        <v>85</v>
      </c>
      <c r="L1159" s="7" t="s">
        <v>96</v>
      </c>
      <c r="M1159" s="7" t="s">
        <v>398</v>
      </c>
      <c r="N1159" s="7" t="s">
        <v>3253</v>
      </c>
      <c r="O1159" s="7" t="s">
        <v>0</v>
      </c>
      <c r="P1159" s="7" t="s">
        <v>3255</v>
      </c>
      <c r="Q1159" s="7" t="s">
        <v>402</v>
      </c>
      <c r="R1159" s="7" t="s">
        <v>361</v>
      </c>
      <c r="S1159" s="7" t="s">
        <v>361</v>
      </c>
      <c r="T1159" s="7" t="s">
        <v>54</v>
      </c>
      <c r="U1159" s="7" t="s">
        <v>362</v>
      </c>
      <c r="V1159" s="7" t="s">
        <v>295</v>
      </c>
      <c r="W1159" s="7" t="s">
        <v>74</v>
      </c>
      <c r="X1159" s="7" t="s">
        <v>103</v>
      </c>
      <c r="Y1159" s="8">
        <v>45033</v>
      </c>
      <c r="Z1159" s="8">
        <v>45291</v>
      </c>
      <c r="AA1159" s="7" t="s">
        <v>296</v>
      </c>
      <c r="AB1159" s="7" t="s">
        <v>366</v>
      </c>
      <c r="AC1159" s="7" t="s">
        <v>278</v>
      </c>
      <c r="AD1159" s="7" t="s">
        <v>367</v>
      </c>
      <c r="AE1159" s="7" t="s">
        <v>82</v>
      </c>
      <c r="AF1159" s="7" t="s">
        <v>0</v>
      </c>
      <c r="AG1159" s="7" t="s">
        <v>0</v>
      </c>
      <c r="AH1159" s="9" t="s">
        <v>11600</v>
      </c>
      <c r="AI1159" s="9" t="s">
        <v>11601</v>
      </c>
      <c r="AJ1159" s="9" t="s">
        <v>11602</v>
      </c>
      <c r="AK1159" s="7" t="s">
        <v>61</v>
      </c>
      <c r="AL1159" s="7" t="s">
        <v>61</v>
      </c>
      <c r="AM1159" s="7" t="s">
        <v>0</v>
      </c>
      <c r="AN1159" s="7" t="s">
        <v>0</v>
      </c>
      <c r="AO1159" s="7" t="s">
        <v>0</v>
      </c>
      <c r="AP1159" s="7" t="s">
        <v>0</v>
      </c>
      <c r="AQ1159" s="7" t="s">
        <v>61</v>
      </c>
      <c r="AR1159" s="7" t="s">
        <v>0</v>
      </c>
      <c r="AS1159" s="10" t="str">
        <f>HYPERLINK("https://tessa.gazprom-neft.local/edo/card/68cf4fbd-a6d0-4b07-872f-0f2aab5a7345", "https://tessa.gazprom-neft.local/edo/card/68cf4fbd-a6d0-4b07-872f-0f2aab5a7345")</f>
        <v>https://tessa.gazprom-neft.local/edo/card/68cf4fbd-a6d0-4b07-872f-0f2aab5a7345</v>
      </c>
    </row>
    <row r="1160" spans="1:45" hidden="1" x14ac:dyDescent="0.25">
      <c r="A1160" s="6" t="s">
        <v>44</v>
      </c>
      <c r="B1160" s="7" t="s">
        <v>988</v>
      </c>
      <c r="C1160" s="7" t="s">
        <v>67</v>
      </c>
      <c r="D1160" s="8">
        <v>45033</v>
      </c>
      <c r="E1160" s="8" t="s">
        <v>0</v>
      </c>
      <c r="F1160" s="16" t="s">
        <v>989</v>
      </c>
      <c r="G1160" s="7" t="s">
        <v>990</v>
      </c>
      <c r="H1160" s="7" t="s">
        <v>2826</v>
      </c>
      <c r="I1160" s="7" t="s">
        <v>0</v>
      </c>
      <c r="J1160" s="7" t="s">
        <v>156</v>
      </c>
      <c r="K1160" s="7" t="s">
        <v>47</v>
      </c>
      <c r="L1160" s="7" t="s">
        <v>763</v>
      </c>
      <c r="M1160" s="7" t="s">
        <v>0</v>
      </c>
      <c r="N1160" s="7" t="s">
        <v>3303</v>
      </c>
      <c r="O1160" s="7" t="s">
        <v>0</v>
      </c>
      <c r="P1160" s="7" t="s">
        <v>3304</v>
      </c>
      <c r="Q1160" s="7" t="s">
        <v>3305</v>
      </c>
      <c r="R1160" s="7" t="s">
        <v>505</v>
      </c>
      <c r="S1160" s="7" t="s">
        <v>1179</v>
      </c>
      <c r="T1160" s="7" t="s">
        <v>54</v>
      </c>
      <c r="U1160" s="7" t="s">
        <v>283</v>
      </c>
      <c r="V1160" s="7" t="s">
        <v>308</v>
      </c>
      <c r="W1160" s="7" t="s">
        <v>74</v>
      </c>
      <c r="X1160" s="7" t="s">
        <v>103</v>
      </c>
      <c r="Y1160" s="8">
        <v>45043</v>
      </c>
      <c r="Z1160" s="8">
        <v>45275</v>
      </c>
      <c r="AA1160" s="7" t="s">
        <v>309</v>
      </c>
      <c r="AB1160" s="7" t="s">
        <v>2546</v>
      </c>
      <c r="AC1160" s="7" t="s">
        <v>79</v>
      </c>
      <c r="AD1160" s="7" t="s">
        <v>144</v>
      </c>
      <c r="AE1160" s="7" t="s">
        <v>82</v>
      </c>
      <c r="AF1160" s="7" t="s">
        <v>0</v>
      </c>
      <c r="AG1160" s="7" t="s">
        <v>0</v>
      </c>
      <c r="AH1160" s="9" t="s">
        <v>11610</v>
      </c>
      <c r="AI1160" s="9" t="s">
        <v>11611</v>
      </c>
      <c r="AJ1160" s="9" t="s">
        <v>11612</v>
      </c>
      <c r="AK1160" s="7" t="s">
        <v>61</v>
      </c>
      <c r="AL1160" s="7" t="s">
        <v>61</v>
      </c>
      <c r="AM1160" s="7" t="s">
        <v>0</v>
      </c>
      <c r="AN1160" s="7" t="s">
        <v>0</v>
      </c>
      <c r="AO1160" s="7" t="s">
        <v>0</v>
      </c>
      <c r="AP1160" s="7" t="s">
        <v>0</v>
      </c>
      <c r="AQ1160" s="7" t="s">
        <v>61</v>
      </c>
      <c r="AR1160" s="7" t="s">
        <v>0</v>
      </c>
      <c r="AS1160" s="10" t="str">
        <f>HYPERLINK("https://tessa.gazprom-neft.local/edo/card/560e2bc8-33dd-457f-bed4-fabe6b5c7dfa", "https://tessa.gazprom-neft.local/edo/card/560e2bc8-33dd-457f-bed4-fabe6b5c7dfa")</f>
        <v>https://tessa.gazprom-neft.local/edo/card/560e2bc8-33dd-457f-bed4-fabe6b5c7dfa</v>
      </c>
    </row>
    <row r="1161" spans="1:45" hidden="1" x14ac:dyDescent="0.25">
      <c r="A1161" s="6" t="s">
        <v>44</v>
      </c>
      <c r="B1161" s="7" t="s">
        <v>1240</v>
      </c>
      <c r="C1161" s="7" t="s">
        <v>67</v>
      </c>
      <c r="D1161" s="8">
        <v>45031</v>
      </c>
      <c r="E1161" s="8" t="s">
        <v>0</v>
      </c>
      <c r="F1161" s="16" t="s">
        <v>1241</v>
      </c>
      <c r="G1161" s="7" t="s">
        <v>1242</v>
      </c>
      <c r="H1161" s="7" t="s">
        <v>1237</v>
      </c>
      <c r="I1161" s="7" t="s">
        <v>0</v>
      </c>
      <c r="J1161" s="7" t="s">
        <v>156</v>
      </c>
      <c r="K1161" s="7" t="s">
        <v>47</v>
      </c>
      <c r="L1161" s="7" t="s">
        <v>239</v>
      </c>
      <c r="M1161" s="7" t="s">
        <v>0</v>
      </c>
      <c r="N1161" s="7" t="s">
        <v>3261</v>
      </c>
      <c r="O1161" s="7" t="s">
        <v>0</v>
      </c>
      <c r="P1161" s="7" t="s">
        <v>3262</v>
      </c>
      <c r="Q1161" s="7" t="s">
        <v>3263</v>
      </c>
      <c r="R1161" s="7" t="s">
        <v>393</v>
      </c>
      <c r="S1161" s="7" t="s">
        <v>0</v>
      </c>
      <c r="T1161" s="7" t="s">
        <v>54</v>
      </c>
      <c r="U1161" s="7" t="s">
        <v>222</v>
      </c>
      <c r="V1161" s="7" t="s">
        <v>126</v>
      </c>
      <c r="W1161" s="7" t="s">
        <v>74</v>
      </c>
      <c r="X1161" s="7" t="s">
        <v>58</v>
      </c>
      <c r="Y1161" s="8">
        <v>45031</v>
      </c>
      <c r="Z1161" s="8" t="s">
        <v>0</v>
      </c>
      <c r="AA1161" s="7" t="s">
        <v>224</v>
      </c>
      <c r="AB1161" s="7" t="s">
        <v>1243</v>
      </c>
      <c r="AC1161" s="7" t="s">
        <v>79</v>
      </c>
      <c r="AD1161" s="7" t="s">
        <v>144</v>
      </c>
      <c r="AE1161" s="7" t="s">
        <v>82</v>
      </c>
      <c r="AF1161" s="7" t="s">
        <v>0</v>
      </c>
      <c r="AG1161" s="7" t="s">
        <v>0</v>
      </c>
      <c r="AH1161" s="9" t="s">
        <v>11603</v>
      </c>
      <c r="AI1161" s="9" t="s">
        <v>11604</v>
      </c>
      <c r="AJ1161" s="9" t="s">
        <v>11605</v>
      </c>
      <c r="AK1161" s="7" t="s">
        <v>61</v>
      </c>
      <c r="AL1161" s="7" t="s">
        <v>61</v>
      </c>
      <c r="AM1161" s="7" t="s">
        <v>0</v>
      </c>
      <c r="AN1161" s="7" t="s">
        <v>0</v>
      </c>
      <c r="AO1161" s="7" t="s">
        <v>0</v>
      </c>
      <c r="AP1161" s="7" t="s">
        <v>0</v>
      </c>
      <c r="AQ1161" s="7" t="s">
        <v>61</v>
      </c>
      <c r="AR1161" s="7" t="s">
        <v>0</v>
      </c>
      <c r="AS1161" s="10" t="str">
        <f>HYPERLINK("https://tessa.gazprom-neft.local/edo/card/dd213f40-9367-4935-b5ed-c31e932eb9c2", "https://tessa.gazprom-neft.local/edo/card/dd213f40-9367-4935-b5ed-c31e932eb9c2")</f>
        <v>https://tessa.gazprom-neft.local/edo/card/dd213f40-9367-4935-b5ed-c31e932eb9c2</v>
      </c>
    </row>
    <row r="1162" spans="1:45" hidden="1" x14ac:dyDescent="0.25">
      <c r="A1162" s="6" t="s">
        <v>44</v>
      </c>
      <c r="B1162" s="7" t="s">
        <v>673</v>
      </c>
      <c r="C1162" s="7" t="s">
        <v>67</v>
      </c>
      <c r="D1162" s="8">
        <v>45030</v>
      </c>
      <c r="E1162" s="8" t="s">
        <v>0</v>
      </c>
      <c r="F1162" s="16" t="s">
        <v>674</v>
      </c>
      <c r="G1162" s="7" t="s">
        <v>675</v>
      </c>
      <c r="H1162" s="7" t="s">
        <v>668</v>
      </c>
      <c r="I1162" s="7" t="s">
        <v>0</v>
      </c>
      <c r="J1162" s="7" t="s">
        <v>51</v>
      </c>
      <c r="K1162" s="7" t="s">
        <v>47</v>
      </c>
      <c r="L1162" s="7" t="s">
        <v>239</v>
      </c>
      <c r="M1162" s="7" t="s">
        <v>0</v>
      </c>
      <c r="N1162" s="7" t="s">
        <v>3162</v>
      </c>
      <c r="O1162" s="7" t="s">
        <v>0</v>
      </c>
      <c r="P1162" s="7" t="s">
        <v>3163</v>
      </c>
      <c r="Q1162" s="7" t="s">
        <v>3164</v>
      </c>
      <c r="R1162" s="7" t="s">
        <v>646</v>
      </c>
      <c r="S1162" s="7" t="s">
        <v>671</v>
      </c>
      <c r="T1162" s="7" t="s">
        <v>54</v>
      </c>
      <c r="U1162" s="7" t="s">
        <v>210</v>
      </c>
      <c r="V1162" s="7" t="s">
        <v>126</v>
      </c>
      <c r="W1162" s="7" t="s">
        <v>74</v>
      </c>
      <c r="X1162" s="7" t="s">
        <v>103</v>
      </c>
      <c r="Y1162" s="8">
        <v>45030</v>
      </c>
      <c r="Z1162" s="8">
        <v>45291</v>
      </c>
      <c r="AA1162" s="7" t="s">
        <v>224</v>
      </c>
      <c r="AB1162" s="7" t="s">
        <v>130</v>
      </c>
      <c r="AC1162" s="7" t="s">
        <v>79</v>
      </c>
      <c r="AD1162" s="7" t="s">
        <v>144</v>
      </c>
      <c r="AE1162" s="7" t="s">
        <v>82</v>
      </c>
      <c r="AF1162" s="7" t="s">
        <v>0</v>
      </c>
      <c r="AG1162" s="7" t="s">
        <v>0</v>
      </c>
      <c r="AH1162" s="9" t="s">
        <v>11558</v>
      </c>
      <c r="AI1162" s="9" t="s">
        <v>11559</v>
      </c>
      <c r="AJ1162" s="9" t="s">
        <v>11560</v>
      </c>
      <c r="AK1162" s="7" t="s">
        <v>61</v>
      </c>
      <c r="AL1162" s="7" t="s">
        <v>61</v>
      </c>
      <c r="AM1162" s="7" t="s">
        <v>0</v>
      </c>
      <c r="AN1162" s="7" t="s">
        <v>0</v>
      </c>
      <c r="AO1162" s="7" t="s">
        <v>0</v>
      </c>
      <c r="AP1162" s="7" t="s">
        <v>0</v>
      </c>
      <c r="AQ1162" s="7" t="s">
        <v>61</v>
      </c>
      <c r="AR1162" s="7" t="s">
        <v>0</v>
      </c>
      <c r="AS1162" s="10" t="str">
        <f>HYPERLINK("https://tessa.gazprom-neft.local/edo/card/234ce532-ded9-4a65-bc99-329cdf07914e", "https://tessa.gazprom-neft.local/edo/card/234ce532-ded9-4a65-bc99-329cdf07914e")</f>
        <v>https://tessa.gazprom-neft.local/edo/card/234ce532-ded9-4a65-bc99-329cdf07914e</v>
      </c>
    </row>
    <row r="1163" spans="1:45" x14ac:dyDescent="0.25">
      <c r="A1163" s="6" t="s">
        <v>44</v>
      </c>
      <c r="B1163" s="7" t="s">
        <v>488</v>
      </c>
      <c r="C1163" s="7" t="s">
        <v>67</v>
      </c>
      <c r="D1163" s="8">
        <v>45029</v>
      </c>
      <c r="E1163" s="8" t="s">
        <v>0</v>
      </c>
      <c r="F1163" s="16" t="s">
        <v>489</v>
      </c>
      <c r="G1163" s="7" t="s">
        <v>490</v>
      </c>
      <c r="H1163" s="7" t="s">
        <v>2173</v>
      </c>
      <c r="I1163" s="7" t="s">
        <v>0</v>
      </c>
      <c r="J1163" s="7" t="s">
        <v>955</v>
      </c>
      <c r="K1163" s="7" t="s">
        <v>47</v>
      </c>
      <c r="L1163" s="7" t="s">
        <v>48</v>
      </c>
      <c r="M1163" s="7" t="s">
        <v>0</v>
      </c>
      <c r="N1163" s="7" t="s">
        <v>2880</v>
      </c>
      <c r="O1163" s="7" t="s">
        <v>0</v>
      </c>
      <c r="P1163" s="7" t="s">
        <v>2881</v>
      </c>
      <c r="Q1163" s="7" t="s">
        <v>2882</v>
      </c>
      <c r="R1163" s="7" t="s">
        <v>646</v>
      </c>
      <c r="S1163" s="7" t="s">
        <v>2883</v>
      </c>
      <c r="T1163" s="7" t="s">
        <v>54</v>
      </c>
      <c r="U1163" s="7" t="s">
        <v>55</v>
      </c>
      <c r="V1163" s="7" t="s">
        <v>56</v>
      </c>
      <c r="W1163" s="7" t="s">
        <v>74</v>
      </c>
      <c r="X1163" s="7" t="s">
        <v>58</v>
      </c>
      <c r="Y1163" s="8">
        <v>45029</v>
      </c>
      <c r="Z1163" s="8" t="s">
        <v>0</v>
      </c>
      <c r="AA1163" s="7" t="s">
        <v>59</v>
      </c>
      <c r="AB1163" s="7" t="s">
        <v>874</v>
      </c>
      <c r="AC1163" s="7" t="s">
        <v>79</v>
      </c>
      <c r="AD1163" s="7" t="s">
        <v>144</v>
      </c>
      <c r="AE1163" s="7" t="s">
        <v>82</v>
      </c>
      <c r="AF1163" s="7" t="s">
        <v>0</v>
      </c>
      <c r="AG1163" s="7" t="s">
        <v>0</v>
      </c>
      <c r="AH1163" s="9" t="s">
        <v>11477</v>
      </c>
      <c r="AI1163" s="9" t="s">
        <v>11478</v>
      </c>
      <c r="AJ1163" s="9" t="s">
        <v>11479</v>
      </c>
      <c r="AK1163" s="7" t="s">
        <v>61</v>
      </c>
      <c r="AL1163" s="7" t="s">
        <v>61</v>
      </c>
      <c r="AM1163" s="7" t="s">
        <v>0</v>
      </c>
      <c r="AN1163" s="7" t="s">
        <v>0</v>
      </c>
      <c r="AO1163" s="7" t="s">
        <v>0</v>
      </c>
      <c r="AP1163" s="7" t="s">
        <v>0</v>
      </c>
      <c r="AQ1163" s="7" t="s">
        <v>61</v>
      </c>
      <c r="AR1163" s="7" t="s">
        <v>0</v>
      </c>
      <c r="AS1163" s="10" t="str">
        <f>HYPERLINK("https://tessa.gazprom-neft.local/edo/card/655fbbc7-c8f6-4dbe-8f44-f6918c58bd7b", "https://tessa.gazprom-neft.local/edo/card/655fbbc7-c8f6-4dbe-8f44-f6918c58bd7b")</f>
        <v>https://tessa.gazprom-neft.local/edo/card/655fbbc7-c8f6-4dbe-8f44-f6918c58bd7b</v>
      </c>
    </row>
    <row r="1164" spans="1:45" x14ac:dyDescent="0.25">
      <c r="A1164" s="6" t="s">
        <v>44</v>
      </c>
      <c r="B1164" s="7" t="s">
        <v>927</v>
      </c>
      <c r="C1164" s="7" t="s">
        <v>67</v>
      </c>
      <c r="D1164" s="8">
        <v>45029</v>
      </c>
      <c r="E1164" s="8" t="s">
        <v>0</v>
      </c>
      <c r="F1164" s="16" t="s">
        <v>928</v>
      </c>
      <c r="G1164" s="7" t="s">
        <v>929</v>
      </c>
      <c r="H1164" s="7" t="s">
        <v>3224</v>
      </c>
      <c r="I1164" s="7" t="s">
        <v>0</v>
      </c>
      <c r="J1164" s="7" t="s">
        <v>872</v>
      </c>
      <c r="K1164" s="7" t="s">
        <v>47</v>
      </c>
      <c r="L1164" s="7" t="s">
        <v>48</v>
      </c>
      <c r="M1164" s="7" t="s">
        <v>0</v>
      </c>
      <c r="N1164" s="7" t="s">
        <v>3223</v>
      </c>
      <c r="O1164" s="7" t="s">
        <v>0</v>
      </c>
      <c r="P1164" s="7" t="s">
        <v>3225</v>
      </c>
      <c r="Q1164" s="7" t="s">
        <v>3226</v>
      </c>
      <c r="R1164" s="7" t="s">
        <v>198</v>
      </c>
      <c r="S1164" s="7" t="s">
        <v>198</v>
      </c>
      <c r="T1164" s="7" t="s">
        <v>54</v>
      </c>
      <c r="U1164" s="7" t="s">
        <v>199</v>
      </c>
      <c r="V1164" s="7" t="s">
        <v>126</v>
      </c>
      <c r="W1164" s="7" t="s">
        <v>74</v>
      </c>
      <c r="X1164" s="7" t="s">
        <v>58</v>
      </c>
      <c r="Y1164" s="8">
        <v>45029</v>
      </c>
      <c r="Z1164" s="8" t="s">
        <v>0</v>
      </c>
      <c r="AA1164" s="7" t="s">
        <v>224</v>
      </c>
      <c r="AB1164" s="7" t="s">
        <v>3227</v>
      </c>
      <c r="AC1164" s="7" t="s">
        <v>65</v>
      </c>
      <c r="AD1164" s="7" t="s">
        <v>80</v>
      </c>
      <c r="AE1164" s="7" t="s">
        <v>0</v>
      </c>
      <c r="AF1164" s="7" t="s">
        <v>0</v>
      </c>
      <c r="AG1164" s="7" t="s">
        <v>0</v>
      </c>
      <c r="AH1164" s="9" t="s">
        <v>0</v>
      </c>
      <c r="AI1164" s="9" t="s">
        <v>0</v>
      </c>
      <c r="AJ1164" s="9" t="s">
        <v>0</v>
      </c>
      <c r="AK1164" s="7" t="s">
        <v>61</v>
      </c>
      <c r="AL1164" s="7" t="s">
        <v>61</v>
      </c>
      <c r="AM1164" s="7" t="s">
        <v>0</v>
      </c>
      <c r="AN1164" s="7" t="s">
        <v>0</v>
      </c>
      <c r="AO1164" s="7" t="s">
        <v>0</v>
      </c>
      <c r="AP1164" s="7" t="s">
        <v>0</v>
      </c>
      <c r="AQ1164" s="7" t="s">
        <v>61</v>
      </c>
      <c r="AR1164" s="7" t="s">
        <v>0</v>
      </c>
      <c r="AS1164" s="10" t="str">
        <f>HYPERLINK("https://tessa.gazprom-neft.local/edo/card/1ced81f8-975e-43bf-afb0-869b22f2ab4a", "https://tessa.gazprom-neft.local/edo/card/1ced81f8-975e-43bf-afb0-869b22f2ab4a")</f>
        <v>https://tessa.gazprom-neft.local/edo/card/1ced81f8-975e-43bf-afb0-869b22f2ab4a</v>
      </c>
    </row>
    <row r="1165" spans="1:45" hidden="1" x14ac:dyDescent="0.25">
      <c r="A1165" s="6" t="s">
        <v>44</v>
      </c>
      <c r="B1165" s="7" t="s">
        <v>1216</v>
      </c>
      <c r="C1165" s="7" t="s">
        <v>67</v>
      </c>
      <c r="D1165" s="8">
        <v>45028</v>
      </c>
      <c r="E1165" s="8" t="s">
        <v>0</v>
      </c>
      <c r="F1165" s="16" t="s">
        <v>1217</v>
      </c>
      <c r="G1165" s="7" t="s">
        <v>1218</v>
      </c>
      <c r="H1165" s="7" t="s">
        <v>0</v>
      </c>
      <c r="I1165" s="7" t="s">
        <v>2924</v>
      </c>
      <c r="J1165" s="7" t="s">
        <v>2924</v>
      </c>
      <c r="K1165" s="7" t="s">
        <v>47</v>
      </c>
      <c r="L1165" s="7" t="s">
        <v>86</v>
      </c>
      <c r="M1165" s="7" t="s">
        <v>0</v>
      </c>
      <c r="N1165" s="7" t="s">
        <v>2923</v>
      </c>
      <c r="O1165" s="7" t="s">
        <v>0</v>
      </c>
      <c r="P1165" s="7" t="s">
        <v>2017</v>
      </c>
      <c r="Q1165" s="7" t="s">
        <v>2925</v>
      </c>
      <c r="R1165" s="7" t="s">
        <v>393</v>
      </c>
      <c r="S1165" s="7" t="s">
        <v>0</v>
      </c>
      <c r="T1165" s="7" t="s">
        <v>54</v>
      </c>
      <c r="U1165" s="7" t="s">
        <v>362</v>
      </c>
      <c r="V1165" s="7" t="s">
        <v>91</v>
      </c>
      <c r="W1165" s="7" t="s">
        <v>74</v>
      </c>
      <c r="X1165" s="7" t="s">
        <v>103</v>
      </c>
      <c r="Y1165" s="8">
        <v>45028</v>
      </c>
      <c r="Z1165" s="8">
        <v>46022</v>
      </c>
      <c r="AA1165" s="7" t="s">
        <v>92</v>
      </c>
      <c r="AB1165" s="7" t="s">
        <v>237</v>
      </c>
      <c r="AC1165" s="7" t="s">
        <v>65</v>
      </c>
      <c r="AD1165" s="7" t="s">
        <v>0</v>
      </c>
      <c r="AE1165" s="7" t="s">
        <v>0</v>
      </c>
      <c r="AF1165" s="7" t="s">
        <v>0</v>
      </c>
      <c r="AG1165" s="7" t="s">
        <v>0</v>
      </c>
      <c r="AH1165" s="9" t="s">
        <v>0</v>
      </c>
      <c r="AI1165" s="9" t="s">
        <v>0</v>
      </c>
      <c r="AJ1165" s="9" t="s">
        <v>0</v>
      </c>
      <c r="AK1165" s="7" t="s">
        <v>61</v>
      </c>
      <c r="AL1165" s="7" t="s">
        <v>61</v>
      </c>
      <c r="AM1165" s="7" t="s">
        <v>0</v>
      </c>
      <c r="AN1165" s="7" t="s">
        <v>0</v>
      </c>
      <c r="AO1165" s="7" t="s">
        <v>0</v>
      </c>
      <c r="AP1165" s="7" t="s">
        <v>0</v>
      </c>
      <c r="AQ1165" s="7" t="s">
        <v>61</v>
      </c>
      <c r="AR1165" s="7" t="s">
        <v>0</v>
      </c>
      <c r="AS1165" s="10" t="str">
        <f>HYPERLINK("https://tessa.gazprom-neft.local/edo/card/d31d5c2e-7c09-4d32-be87-89e1f5996710", "https://tessa.gazprom-neft.local/edo/card/d31d5c2e-7c09-4d32-be87-89e1f5996710")</f>
        <v>https://tessa.gazprom-neft.local/edo/card/d31d5c2e-7c09-4d32-be87-89e1f5996710</v>
      </c>
    </row>
    <row r="1166" spans="1:45" hidden="1" x14ac:dyDescent="0.25">
      <c r="A1166" s="6" t="s">
        <v>44</v>
      </c>
      <c r="B1166" s="7" t="s">
        <v>927</v>
      </c>
      <c r="C1166" s="7" t="s">
        <v>67</v>
      </c>
      <c r="D1166" s="8">
        <v>45028</v>
      </c>
      <c r="E1166" s="8" t="s">
        <v>0</v>
      </c>
      <c r="F1166" s="16" t="s">
        <v>928</v>
      </c>
      <c r="G1166" s="7" t="s">
        <v>929</v>
      </c>
      <c r="H1166" s="7" t="s">
        <v>0</v>
      </c>
      <c r="I1166" s="7" t="s">
        <v>2932</v>
      </c>
      <c r="J1166" s="7" t="s">
        <v>2932</v>
      </c>
      <c r="K1166" s="7" t="s">
        <v>47</v>
      </c>
      <c r="L1166" s="7" t="s">
        <v>86</v>
      </c>
      <c r="M1166" s="7" t="s">
        <v>0</v>
      </c>
      <c r="N1166" s="7" t="s">
        <v>2931</v>
      </c>
      <c r="O1166" s="7" t="s">
        <v>0</v>
      </c>
      <c r="P1166" s="7" t="s">
        <v>2017</v>
      </c>
      <c r="Q1166" s="7" t="s">
        <v>2933</v>
      </c>
      <c r="R1166" s="7" t="s">
        <v>393</v>
      </c>
      <c r="S1166" s="7" t="s">
        <v>393</v>
      </c>
      <c r="T1166" s="7" t="s">
        <v>54</v>
      </c>
      <c r="U1166" s="7" t="s">
        <v>362</v>
      </c>
      <c r="V1166" s="7" t="s">
        <v>56</v>
      </c>
      <c r="W1166" s="7" t="s">
        <v>74</v>
      </c>
      <c r="X1166" s="7" t="s">
        <v>103</v>
      </c>
      <c r="Y1166" s="8">
        <v>45028</v>
      </c>
      <c r="Z1166" s="8">
        <v>45747</v>
      </c>
      <c r="AA1166" s="7" t="s">
        <v>0</v>
      </c>
      <c r="AB1166" s="7" t="s">
        <v>237</v>
      </c>
      <c r="AC1166" s="7" t="s">
        <v>65</v>
      </c>
      <c r="AD1166" s="7" t="s">
        <v>0</v>
      </c>
      <c r="AE1166" s="7" t="s">
        <v>0</v>
      </c>
      <c r="AF1166" s="7" t="s">
        <v>0</v>
      </c>
      <c r="AG1166" s="7" t="s">
        <v>0</v>
      </c>
      <c r="AH1166" s="9" t="s">
        <v>0</v>
      </c>
      <c r="AI1166" s="9" t="s">
        <v>0</v>
      </c>
      <c r="AJ1166" s="9" t="s">
        <v>0</v>
      </c>
      <c r="AK1166" s="7" t="s">
        <v>61</v>
      </c>
      <c r="AL1166" s="7" t="s">
        <v>61</v>
      </c>
      <c r="AM1166" s="7" t="s">
        <v>0</v>
      </c>
      <c r="AN1166" s="7" t="s">
        <v>0</v>
      </c>
      <c r="AO1166" s="7" t="s">
        <v>0</v>
      </c>
      <c r="AP1166" s="7" t="s">
        <v>0</v>
      </c>
      <c r="AQ1166" s="7" t="s">
        <v>61</v>
      </c>
      <c r="AR1166" s="7" t="s">
        <v>0</v>
      </c>
      <c r="AS1166" s="10" t="str">
        <f>HYPERLINK("https://tessa.gazprom-neft.local/edo/card/25f2c4a3-2cff-4f9a-8e61-be734e8096b7", "https://tessa.gazprom-neft.local/edo/card/25f2c4a3-2cff-4f9a-8e61-be734e8096b7")</f>
        <v>https://tessa.gazprom-neft.local/edo/card/25f2c4a3-2cff-4f9a-8e61-be734e8096b7</v>
      </c>
    </row>
    <row r="1167" spans="1:45" hidden="1" x14ac:dyDescent="0.25">
      <c r="A1167" s="6" t="s">
        <v>44</v>
      </c>
      <c r="B1167" s="7" t="s">
        <v>1754</v>
      </c>
      <c r="C1167" s="7" t="s">
        <v>67</v>
      </c>
      <c r="D1167" s="8">
        <v>45028</v>
      </c>
      <c r="E1167" s="8" t="s">
        <v>0</v>
      </c>
      <c r="F1167" s="16" t="s">
        <v>1755</v>
      </c>
      <c r="G1167" s="7" t="s">
        <v>1756</v>
      </c>
      <c r="H1167" s="7" t="s">
        <v>0</v>
      </c>
      <c r="I1167" s="7" t="s">
        <v>2940</v>
      </c>
      <c r="J1167" s="7" t="s">
        <v>2940</v>
      </c>
      <c r="K1167" s="7" t="s">
        <v>47</v>
      </c>
      <c r="L1167" s="7" t="s">
        <v>86</v>
      </c>
      <c r="M1167" s="7" t="s">
        <v>0</v>
      </c>
      <c r="N1167" s="7" t="s">
        <v>2939</v>
      </c>
      <c r="O1167" s="7" t="s">
        <v>0</v>
      </c>
      <c r="P1167" s="7" t="s">
        <v>2017</v>
      </c>
      <c r="Q1167" s="7" t="s">
        <v>2941</v>
      </c>
      <c r="R1167" s="7" t="s">
        <v>646</v>
      </c>
      <c r="S1167" s="7" t="s">
        <v>0</v>
      </c>
      <c r="T1167" s="7" t="s">
        <v>54</v>
      </c>
      <c r="U1167" s="7" t="s">
        <v>362</v>
      </c>
      <c r="V1167" s="7" t="s">
        <v>91</v>
      </c>
      <c r="W1167" s="7" t="s">
        <v>74</v>
      </c>
      <c r="X1167" s="7" t="s">
        <v>103</v>
      </c>
      <c r="Y1167" s="8">
        <v>45028</v>
      </c>
      <c r="Z1167" s="8">
        <v>45657</v>
      </c>
      <c r="AA1167" s="7" t="s">
        <v>92</v>
      </c>
      <c r="AB1167" s="7" t="s">
        <v>237</v>
      </c>
      <c r="AC1167" s="7" t="s">
        <v>65</v>
      </c>
      <c r="AD1167" s="7" t="s">
        <v>0</v>
      </c>
      <c r="AE1167" s="7" t="s">
        <v>0</v>
      </c>
      <c r="AF1167" s="7" t="s">
        <v>0</v>
      </c>
      <c r="AG1167" s="7" t="s">
        <v>0</v>
      </c>
      <c r="AH1167" s="9" t="s">
        <v>0</v>
      </c>
      <c r="AI1167" s="9" t="s">
        <v>0</v>
      </c>
      <c r="AJ1167" s="9" t="s">
        <v>0</v>
      </c>
      <c r="AK1167" s="7" t="s">
        <v>61</v>
      </c>
      <c r="AL1167" s="7" t="s">
        <v>61</v>
      </c>
      <c r="AM1167" s="7" t="s">
        <v>0</v>
      </c>
      <c r="AN1167" s="7" t="s">
        <v>0</v>
      </c>
      <c r="AO1167" s="7" t="s">
        <v>0</v>
      </c>
      <c r="AP1167" s="7" t="s">
        <v>0</v>
      </c>
      <c r="AQ1167" s="7" t="s">
        <v>61</v>
      </c>
      <c r="AR1167" s="7" t="s">
        <v>0</v>
      </c>
      <c r="AS1167" s="10" t="str">
        <f>HYPERLINK("https://tessa.gazprom-neft.local/edo/card/bd59a399-b8a7-4e39-a688-0977f85b5d6f", "https://tessa.gazprom-neft.local/edo/card/bd59a399-b8a7-4e39-a688-0977f85b5d6f")</f>
        <v>https://tessa.gazprom-neft.local/edo/card/bd59a399-b8a7-4e39-a688-0977f85b5d6f</v>
      </c>
    </row>
    <row r="1168" spans="1:45" hidden="1" x14ac:dyDescent="0.25">
      <c r="A1168" s="6" t="s">
        <v>44</v>
      </c>
      <c r="B1168" s="7" t="s">
        <v>620</v>
      </c>
      <c r="C1168" s="7" t="s">
        <v>67</v>
      </c>
      <c r="D1168" s="8">
        <v>45028</v>
      </c>
      <c r="E1168" s="8" t="s">
        <v>0</v>
      </c>
      <c r="F1168" s="16" t="s">
        <v>621</v>
      </c>
      <c r="G1168" s="7" t="s">
        <v>622</v>
      </c>
      <c r="H1168" s="7" t="s">
        <v>0</v>
      </c>
      <c r="I1168" s="7" t="s">
        <v>2946</v>
      </c>
      <c r="J1168" s="7" t="s">
        <v>2946</v>
      </c>
      <c r="K1168" s="7" t="s">
        <v>47</v>
      </c>
      <c r="L1168" s="7" t="s">
        <v>86</v>
      </c>
      <c r="M1168" s="7" t="s">
        <v>0</v>
      </c>
      <c r="N1168" s="7" t="s">
        <v>2945</v>
      </c>
      <c r="O1168" s="7" t="s">
        <v>0</v>
      </c>
      <c r="P1168" s="7" t="s">
        <v>2017</v>
      </c>
      <c r="Q1168" s="7" t="s">
        <v>2947</v>
      </c>
      <c r="R1168" s="7" t="s">
        <v>646</v>
      </c>
      <c r="S1168" s="7" t="s">
        <v>393</v>
      </c>
      <c r="T1168" s="7" t="s">
        <v>54</v>
      </c>
      <c r="U1168" s="7" t="s">
        <v>362</v>
      </c>
      <c r="V1168" s="7" t="s">
        <v>91</v>
      </c>
      <c r="W1168" s="7" t="s">
        <v>74</v>
      </c>
      <c r="X1168" s="7" t="s">
        <v>103</v>
      </c>
      <c r="Y1168" s="8">
        <v>45028</v>
      </c>
      <c r="Z1168" s="8">
        <v>45747</v>
      </c>
      <c r="AA1168" s="7" t="s">
        <v>92</v>
      </c>
      <c r="AB1168" s="7" t="s">
        <v>237</v>
      </c>
      <c r="AC1168" s="7" t="s">
        <v>65</v>
      </c>
      <c r="AD1168" s="7" t="s">
        <v>0</v>
      </c>
      <c r="AE1168" s="7" t="s">
        <v>0</v>
      </c>
      <c r="AF1168" s="7" t="s">
        <v>0</v>
      </c>
      <c r="AG1168" s="7" t="s">
        <v>0</v>
      </c>
      <c r="AH1168" s="9" t="s">
        <v>0</v>
      </c>
      <c r="AI1168" s="9" t="s">
        <v>0</v>
      </c>
      <c r="AJ1168" s="9" t="s">
        <v>0</v>
      </c>
      <c r="AK1168" s="7" t="s">
        <v>61</v>
      </c>
      <c r="AL1168" s="7" t="s">
        <v>61</v>
      </c>
      <c r="AM1168" s="7" t="s">
        <v>0</v>
      </c>
      <c r="AN1168" s="7" t="s">
        <v>0</v>
      </c>
      <c r="AO1168" s="7" t="s">
        <v>0</v>
      </c>
      <c r="AP1168" s="7" t="s">
        <v>0</v>
      </c>
      <c r="AQ1168" s="7" t="s">
        <v>61</v>
      </c>
      <c r="AR1168" s="7" t="s">
        <v>0</v>
      </c>
      <c r="AS1168" s="10" t="str">
        <f>HYPERLINK("https://tessa.gazprom-neft.local/edo/card/96ee9adc-52f2-4388-88f2-c2b0a2164f2c", "https://tessa.gazprom-neft.local/edo/card/96ee9adc-52f2-4388-88f2-c2b0a2164f2c")</f>
        <v>https://tessa.gazprom-neft.local/edo/card/96ee9adc-52f2-4388-88f2-c2b0a2164f2c</v>
      </c>
    </row>
    <row r="1169" spans="1:45" hidden="1" x14ac:dyDescent="0.25">
      <c r="A1169" s="6" t="s">
        <v>44</v>
      </c>
      <c r="B1169" s="7" t="s">
        <v>639</v>
      </c>
      <c r="C1169" s="7" t="s">
        <v>67</v>
      </c>
      <c r="D1169" s="8">
        <v>45028</v>
      </c>
      <c r="E1169" s="8" t="s">
        <v>0</v>
      </c>
      <c r="F1169" s="16" t="s">
        <v>640</v>
      </c>
      <c r="G1169" s="7" t="s">
        <v>641</v>
      </c>
      <c r="H1169" s="7" t="s">
        <v>0</v>
      </c>
      <c r="I1169" s="7" t="s">
        <v>2959</v>
      </c>
      <c r="J1169" s="7" t="s">
        <v>2959</v>
      </c>
      <c r="K1169" s="7" t="s">
        <v>47</v>
      </c>
      <c r="L1169" s="7" t="s">
        <v>86</v>
      </c>
      <c r="M1169" s="7" t="s">
        <v>0</v>
      </c>
      <c r="N1169" s="7" t="s">
        <v>2958</v>
      </c>
      <c r="O1169" s="7" t="s">
        <v>0</v>
      </c>
      <c r="P1169" s="7" t="s">
        <v>2017</v>
      </c>
      <c r="Q1169" s="7" t="s">
        <v>2960</v>
      </c>
      <c r="R1169" s="7" t="s">
        <v>646</v>
      </c>
      <c r="S1169" s="7" t="s">
        <v>393</v>
      </c>
      <c r="T1169" s="7" t="s">
        <v>54</v>
      </c>
      <c r="U1169" s="7" t="s">
        <v>362</v>
      </c>
      <c r="V1169" s="7" t="s">
        <v>91</v>
      </c>
      <c r="W1169" s="7" t="s">
        <v>74</v>
      </c>
      <c r="X1169" s="7" t="s">
        <v>103</v>
      </c>
      <c r="Y1169" s="8">
        <v>45028</v>
      </c>
      <c r="Z1169" s="8">
        <v>46022</v>
      </c>
      <c r="AA1169" s="7" t="s">
        <v>92</v>
      </c>
      <c r="AB1169" s="7" t="s">
        <v>237</v>
      </c>
      <c r="AC1169" s="7" t="s">
        <v>65</v>
      </c>
      <c r="AD1169" s="7" t="s">
        <v>0</v>
      </c>
      <c r="AE1169" s="7" t="s">
        <v>0</v>
      </c>
      <c r="AF1169" s="7" t="s">
        <v>0</v>
      </c>
      <c r="AG1169" s="7" t="s">
        <v>0</v>
      </c>
      <c r="AH1169" s="9" t="s">
        <v>0</v>
      </c>
      <c r="AI1169" s="9" t="s">
        <v>0</v>
      </c>
      <c r="AJ1169" s="9" t="s">
        <v>0</v>
      </c>
      <c r="AK1169" s="7" t="s">
        <v>61</v>
      </c>
      <c r="AL1169" s="7" t="s">
        <v>61</v>
      </c>
      <c r="AM1169" s="7" t="s">
        <v>0</v>
      </c>
      <c r="AN1169" s="7" t="s">
        <v>0</v>
      </c>
      <c r="AO1169" s="7" t="s">
        <v>0</v>
      </c>
      <c r="AP1169" s="7" t="s">
        <v>0</v>
      </c>
      <c r="AQ1169" s="7" t="s">
        <v>61</v>
      </c>
      <c r="AR1169" s="7" t="s">
        <v>0</v>
      </c>
      <c r="AS1169" s="10" t="str">
        <f>HYPERLINK("https://tessa.gazprom-neft.local/edo/card/acb2118b-518c-40ef-a1a7-4f11cfedde17", "https://tessa.gazprom-neft.local/edo/card/acb2118b-518c-40ef-a1a7-4f11cfedde17")</f>
        <v>https://tessa.gazprom-neft.local/edo/card/acb2118b-518c-40ef-a1a7-4f11cfedde17</v>
      </c>
    </row>
    <row r="1170" spans="1:45" hidden="1" x14ac:dyDescent="0.25">
      <c r="A1170" s="6" t="s">
        <v>44</v>
      </c>
      <c r="B1170" s="7" t="s">
        <v>1240</v>
      </c>
      <c r="C1170" s="7" t="s">
        <v>67</v>
      </c>
      <c r="D1170" s="8">
        <v>45028</v>
      </c>
      <c r="E1170" s="8" t="s">
        <v>0</v>
      </c>
      <c r="F1170" s="16" t="s">
        <v>1241</v>
      </c>
      <c r="G1170" s="7" t="s">
        <v>1242</v>
      </c>
      <c r="H1170" s="7" t="s">
        <v>3083</v>
      </c>
      <c r="I1170" s="7" t="s">
        <v>0</v>
      </c>
      <c r="J1170" s="7" t="s">
        <v>156</v>
      </c>
      <c r="K1170" s="7" t="s">
        <v>47</v>
      </c>
      <c r="L1170" s="7" t="s">
        <v>389</v>
      </c>
      <c r="M1170" s="7" t="s">
        <v>0</v>
      </c>
      <c r="N1170" s="7" t="s">
        <v>3177</v>
      </c>
      <c r="O1170" s="7" t="s">
        <v>51</v>
      </c>
      <c r="P1170" s="7" t="s">
        <v>3178</v>
      </c>
      <c r="Q1170" s="7" t="s">
        <v>3179</v>
      </c>
      <c r="R1170" s="7" t="s">
        <v>393</v>
      </c>
      <c r="S1170" s="7" t="s">
        <v>0</v>
      </c>
      <c r="T1170" s="7" t="s">
        <v>54</v>
      </c>
      <c r="U1170" s="7" t="s">
        <v>222</v>
      </c>
      <c r="V1170" s="7" t="s">
        <v>126</v>
      </c>
      <c r="W1170" s="7" t="s">
        <v>74</v>
      </c>
      <c r="X1170" s="7" t="s">
        <v>58</v>
      </c>
      <c r="Y1170" s="8">
        <v>45028</v>
      </c>
      <c r="Z1170" s="8" t="s">
        <v>0</v>
      </c>
      <c r="AA1170" s="7" t="s">
        <v>224</v>
      </c>
      <c r="AB1170" s="7" t="s">
        <v>1243</v>
      </c>
      <c r="AC1170" s="7" t="s">
        <v>79</v>
      </c>
      <c r="AD1170" s="7" t="s">
        <v>144</v>
      </c>
      <c r="AE1170" s="7" t="s">
        <v>82</v>
      </c>
      <c r="AF1170" s="7" t="s">
        <v>0</v>
      </c>
      <c r="AG1170" s="7" t="s">
        <v>0</v>
      </c>
      <c r="AH1170" s="9" t="s">
        <v>11567</v>
      </c>
      <c r="AI1170" s="9" t="s">
        <v>11568</v>
      </c>
      <c r="AJ1170" s="9" t="s">
        <v>11569</v>
      </c>
      <c r="AK1170" s="7" t="s">
        <v>61</v>
      </c>
      <c r="AL1170" s="7" t="s">
        <v>61</v>
      </c>
      <c r="AM1170" s="7" t="s">
        <v>0</v>
      </c>
      <c r="AN1170" s="7" t="s">
        <v>0</v>
      </c>
      <c r="AO1170" s="7" t="s">
        <v>0</v>
      </c>
      <c r="AP1170" s="7" t="s">
        <v>0</v>
      </c>
      <c r="AQ1170" s="7" t="s">
        <v>61</v>
      </c>
      <c r="AR1170" s="7" t="s">
        <v>0</v>
      </c>
      <c r="AS1170" s="10" t="str">
        <f>HYPERLINK("https://tessa.gazprom-neft.local/edo/card/1e8c6b30-5f21-4cac-944b-3d19c51e0432", "https://tessa.gazprom-neft.local/edo/card/1e8c6b30-5f21-4cac-944b-3d19c51e0432")</f>
        <v>https://tessa.gazprom-neft.local/edo/card/1e8c6b30-5f21-4cac-944b-3d19c51e0432</v>
      </c>
    </row>
    <row r="1171" spans="1:45" hidden="1" x14ac:dyDescent="0.25">
      <c r="A1171" s="6" t="s">
        <v>44</v>
      </c>
      <c r="B1171" s="7" t="s">
        <v>1240</v>
      </c>
      <c r="C1171" s="7" t="s">
        <v>67</v>
      </c>
      <c r="D1171" s="8">
        <v>45028</v>
      </c>
      <c r="E1171" s="8" t="s">
        <v>0</v>
      </c>
      <c r="F1171" s="16" t="s">
        <v>1241</v>
      </c>
      <c r="G1171" s="7" t="s">
        <v>1242</v>
      </c>
      <c r="H1171" s="7" t="s">
        <v>3083</v>
      </c>
      <c r="I1171" s="7" t="s">
        <v>0</v>
      </c>
      <c r="J1171" s="7" t="s">
        <v>271</v>
      </c>
      <c r="K1171" s="7" t="s">
        <v>47</v>
      </c>
      <c r="L1171" s="7" t="s">
        <v>389</v>
      </c>
      <c r="M1171" s="7" t="s">
        <v>0</v>
      </c>
      <c r="N1171" s="7" t="s">
        <v>3187</v>
      </c>
      <c r="O1171" s="7" t="s">
        <v>156</v>
      </c>
      <c r="P1171" s="7" t="s">
        <v>3188</v>
      </c>
      <c r="Q1171" s="7" t="s">
        <v>3189</v>
      </c>
      <c r="R1171" s="7" t="s">
        <v>393</v>
      </c>
      <c r="S1171" s="7" t="s">
        <v>0</v>
      </c>
      <c r="T1171" s="7" t="s">
        <v>54</v>
      </c>
      <c r="U1171" s="7" t="s">
        <v>222</v>
      </c>
      <c r="V1171" s="7" t="s">
        <v>126</v>
      </c>
      <c r="W1171" s="7" t="s">
        <v>74</v>
      </c>
      <c r="X1171" s="7" t="s">
        <v>58</v>
      </c>
      <c r="Y1171" s="8">
        <v>45028</v>
      </c>
      <c r="Z1171" s="8" t="s">
        <v>0</v>
      </c>
      <c r="AA1171" s="7" t="s">
        <v>224</v>
      </c>
      <c r="AB1171" s="7" t="s">
        <v>1243</v>
      </c>
      <c r="AC1171" s="7" t="s">
        <v>79</v>
      </c>
      <c r="AD1171" s="7" t="s">
        <v>144</v>
      </c>
      <c r="AE1171" s="7" t="s">
        <v>82</v>
      </c>
      <c r="AF1171" s="7" t="s">
        <v>0</v>
      </c>
      <c r="AG1171" s="7" t="s">
        <v>0</v>
      </c>
      <c r="AH1171" s="9" t="s">
        <v>11573</v>
      </c>
      <c r="AI1171" s="9" t="s">
        <v>11574</v>
      </c>
      <c r="AJ1171" s="9" t="s">
        <v>11575</v>
      </c>
      <c r="AK1171" s="7" t="s">
        <v>61</v>
      </c>
      <c r="AL1171" s="7" t="s">
        <v>61</v>
      </c>
      <c r="AM1171" s="7" t="s">
        <v>0</v>
      </c>
      <c r="AN1171" s="7" t="s">
        <v>0</v>
      </c>
      <c r="AO1171" s="7" t="s">
        <v>0</v>
      </c>
      <c r="AP1171" s="7" t="s">
        <v>0</v>
      </c>
      <c r="AQ1171" s="7" t="s">
        <v>61</v>
      </c>
      <c r="AR1171" s="7" t="s">
        <v>0</v>
      </c>
      <c r="AS1171" s="10" t="str">
        <f>HYPERLINK("https://tessa.gazprom-neft.local/edo/card/b45f3d4d-5f57-4862-92d8-5c9617a846ba", "https://tessa.gazprom-neft.local/edo/card/b45f3d4d-5f57-4862-92d8-5c9617a846ba")</f>
        <v>https://tessa.gazprom-neft.local/edo/card/b45f3d4d-5f57-4862-92d8-5c9617a846ba</v>
      </c>
    </row>
    <row r="1172" spans="1:45" hidden="1" x14ac:dyDescent="0.25">
      <c r="A1172" s="6" t="s">
        <v>44</v>
      </c>
      <c r="B1172" s="7" t="s">
        <v>1240</v>
      </c>
      <c r="C1172" s="7" t="s">
        <v>67</v>
      </c>
      <c r="D1172" s="8">
        <v>45028</v>
      </c>
      <c r="E1172" s="8" t="s">
        <v>0</v>
      </c>
      <c r="F1172" s="16" t="s">
        <v>1241</v>
      </c>
      <c r="G1172" s="7" t="s">
        <v>1242</v>
      </c>
      <c r="H1172" s="7" t="s">
        <v>3083</v>
      </c>
      <c r="I1172" s="7" t="s">
        <v>0</v>
      </c>
      <c r="J1172" s="7" t="s">
        <v>51</v>
      </c>
      <c r="K1172" s="7" t="s">
        <v>47</v>
      </c>
      <c r="L1172" s="7" t="s">
        <v>389</v>
      </c>
      <c r="M1172" s="7" t="s">
        <v>0</v>
      </c>
      <c r="N1172" s="7" t="s">
        <v>3202</v>
      </c>
      <c r="O1172" s="7" t="s">
        <v>271</v>
      </c>
      <c r="P1172" s="7" t="s">
        <v>3203</v>
      </c>
      <c r="Q1172" s="7" t="s">
        <v>3204</v>
      </c>
      <c r="R1172" s="7" t="s">
        <v>393</v>
      </c>
      <c r="S1172" s="7" t="s">
        <v>0</v>
      </c>
      <c r="T1172" s="7" t="s">
        <v>54</v>
      </c>
      <c r="U1172" s="7" t="s">
        <v>222</v>
      </c>
      <c r="V1172" s="7" t="s">
        <v>126</v>
      </c>
      <c r="W1172" s="7" t="s">
        <v>74</v>
      </c>
      <c r="X1172" s="7" t="s">
        <v>58</v>
      </c>
      <c r="Y1172" s="8">
        <v>45028</v>
      </c>
      <c r="Z1172" s="8" t="s">
        <v>0</v>
      </c>
      <c r="AA1172" s="7" t="s">
        <v>224</v>
      </c>
      <c r="AB1172" s="7" t="s">
        <v>1243</v>
      </c>
      <c r="AC1172" s="7" t="s">
        <v>79</v>
      </c>
      <c r="AD1172" s="7" t="s">
        <v>144</v>
      </c>
      <c r="AE1172" s="7" t="s">
        <v>82</v>
      </c>
      <c r="AF1172" s="7" t="s">
        <v>0</v>
      </c>
      <c r="AG1172" s="7" t="s">
        <v>0</v>
      </c>
      <c r="AH1172" s="9" t="s">
        <v>11579</v>
      </c>
      <c r="AI1172" s="9" t="s">
        <v>11580</v>
      </c>
      <c r="AJ1172" s="9" t="s">
        <v>11581</v>
      </c>
      <c r="AK1172" s="7" t="s">
        <v>61</v>
      </c>
      <c r="AL1172" s="7" t="s">
        <v>61</v>
      </c>
      <c r="AM1172" s="7" t="s">
        <v>0</v>
      </c>
      <c r="AN1172" s="7" t="s">
        <v>0</v>
      </c>
      <c r="AO1172" s="7" t="s">
        <v>0</v>
      </c>
      <c r="AP1172" s="7" t="s">
        <v>0</v>
      </c>
      <c r="AQ1172" s="7" t="s">
        <v>61</v>
      </c>
      <c r="AR1172" s="7" t="s">
        <v>0</v>
      </c>
      <c r="AS1172" s="10" t="str">
        <f>HYPERLINK("https://tessa.gazprom-neft.local/edo/card/64f58806-2d15-4491-ad2d-6ac961044ac8", "https://tessa.gazprom-neft.local/edo/card/64f58806-2d15-4491-ad2d-6ac961044ac8")</f>
        <v>https://tessa.gazprom-neft.local/edo/card/64f58806-2d15-4491-ad2d-6ac961044ac8</v>
      </c>
    </row>
    <row r="1173" spans="1:45" hidden="1" x14ac:dyDescent="0.25">
      <c r="A1173" s="6" t="s">
        <v>44</v>
      </c>
      <c r="B1173" s="7" t="s">
        <v>661</v>
      </c>
      <c r="C1173" s="7" t="s">
        <v>67</v>
      </c>
      <c r="D1173" s="8">
        <v>45027</v>
      </c>
      <c r="E1173" s="8" t="s">
        <v>0</v>
      </c>
      <c r="F1173" s="16" t="s">
        <v>662</v>
      </c>
      <c r="G1173" s="7" t="s">
        <v>663</v>
      </c>
      <c r="H1173" s="7" t="s">
        <v>3040</v>
      </c>
      <c r="I1173" s="7" t="s">
        <v>0</v>
      </c>
      <c r="J1173" s="7" t="s">
        <v>2073</v>
      </c>
      <c r="K1173" s="7" t="s">
        <v>47</v>
      </c>
      <c r="L1173" s="7" t="s">
        <v>763</v>
      </c>
      <c r="M1173" s="7" t="s">
        <v>0</v>
      </c>
      <c r="N1173" s="7" t="s">
        <v>3039</v>
      </c>
      <c r="O1173" s="7" t="s">
        <v>0</v>
      </c>
      <c r="P1173" s="7" t="s">
        <v>3041</v>
      </c>
      <c r="Q1173" s="7" t="s">
        <v>3042</v>
      </c>
      <c r="R1173" s="7" t="s">
        <v>768</v>
      </c>
      <c r="S1173" s="7" t="s">
        <v>714</v>
      </c>
      <c r="T1173" s="7" t="s">
        <v>54</v>
      </c>
      <c r="U1173" s="7" t="s">
        <v>283</v>
      </c>
      <c r="V1173" s="7" t="s">
        <v>168</v>
      </c>
      <c r="W1173" s="7" t="s">
        <v>74</v>
      </c>
      <c r="X1173" s="7" t="s">
        <v>103</v>
      </c>
      <c r="Y1173" s="8">
        <v>45031</v>
      </c>
      <c r="Z1173" s="8">
        <v>45169</v>
      </c>
      <c r="AA1173" s="7" t="s">
        <v>169</v>
      </c>
      <c r="AB1173" s="7" t="s">
        <v>130</v>
      </c>
      <c r="AC1173" s="7" t="s">
        <v>79</v>
      </c>
      <c r="AD1173" s="7" t="s">
        <v>80</v>
      </c>
      <c r="AE1173" s="7" t="s">
        <v>82</v>
      </c>
      <c r="AF1173" s="7" t="s">
        <v>0</v>
      </c>
      <c r="AG1173" s="7" t="s">
        <v>0</v>
      </c>
      <c r="AH1173" s="9" t="s">
        <v>11528</v>
      </c>
      <c r="AI1173" s="9" t="s">
        <v>11529</v>
      </c>
      <c r="AJ1173" s="9" t="s">
        <v>11530</v>
      </c>
      <c r="AK1173" s="7" t="s">
        <v>61</v>
      </c>
      <c r="AL1173" s="7" t="s">
        <v>61</v>
      </c>
      <c r="AM1173" s="7" t="s">
        <v>0</v>
      </c>
      <c r="AN1173" s="7" t="s">
        <v>0</v>
      </c>
      <c r="AO1173" s="7" t="s">
        <v>0</v>
      </c>
      <c r="AP1173" s="7" t="s">
        <v>0</v>
      </c>
      <c r="AQ1173" s="7" t="s">
        <v>61</v>
      </c>
      <c r="AR1173" s="7" t="s">
        <v>0</v>
      </c>
      <c r="AS1173" s="10" t="str">
        <f>HYPERLINK("https://tessa.gazprom-neft.local/edo/card/8ac10d94-58c4-4756-876c-29a0a7b41753", "https://tessa.gazprom-neft.local/edo/card/8ac10d94-58c4-4756-876c-29a0a7b41753")</f>
        <v>https://tessa.gazprom-neft.local/edo/card/8ac10d94-58c4-4756-876c-29a0a7b41753</v>
      </c>
    </row>
    <row r="1174" spans="1:45" hidden="1" x14ac:dyDescent="0.25">
      <c r="A1174" s="6" t="s">
        <v>44</v>
      </c>
      <c r="B1174" s="7" t="s">
        <v>661</v>
      </c>
      <c r="C1174" s="7" t="s">
        <v>67</v>
      </c>
      <c r="D1174" s="8">
        <v>45027</v>
      </c>
      <c r="E1174" s="8" t="s">
        <v>0</v>
      </c>
      <c r="F1174" s="16" t="s">
        <v>662</v>
      </c>
      <c r="G1174" s="7" t="s">
        <v>663</v>
      </c>
      <c r="H1174" s="7" t="s">
        <v>2557</v>
      </c>
      <c r="I1174" s="7" t="s">
        <v>0</v>
      </c>
      <c r="J1174" s="7" t="s">
        <v>602</v>
      </c>
      <c r="K1174" s="7" t="s">
        <v>47</v>
      </c>
      <c r="L1174" s="7" t="s">
        <v>763</v>
      </c>
      <c r="M1174" s="7" t="s">
        <v>0</v>
      </c>
      <c r="N1174" s="7" t="s">
        <v>3055</v>
      </c>
      <c r="O1174" s="7" t="s">
        <v>0</v>
      </c>
      <c r="P1174" s="7" t="s">
        <v>3056</v>
      </c>
      <c r="Q1174" s="7" t="s">
        <v>3057</v>
      </c>
      <c r="R1174" s="7" t="s">
        <v>768</v>
      </c>
      <c r="S1174" s="7" t="s">
        <v>714</v>
      </c>
      <c r="T1174" s="7" t="s">
        <v>54</v>
      </c>
      <c r="U1174" s="7" t="s">
        <v>283</v>
      </c>
      <c r="V1174" s="7" t="s">
        <v>168</v>
      </c>
      <c r="W1174" s="7" t="s">
        <v>74</v>
      </c>
      <c r="X1174" s="7" t="s">
        <v>103</v>
      </c>
      <c r="Y1174" s="8">
        <v>45031</v>
      </c>
      <c r="Z1174" s="8">
        <v>45199</v>
      </c>
      <c r="AA1174" s="7" t="s">
        <v>169</v>
      </c>
      <c r="AB1174" s="7" t="s">
        <v>130</v>
      </c>
      <c r="AC1174" s="7" t="s">
        <v>79</v>
      </c>
      <c r="AD1174" s="7" t="s">
        <v>80</v>
      </c>
      <c r="AE1174" s="7" t="s">
        <v>82</v>
      </c>
      <c r="AF1174" s="7" t="s">
        <v>0</v>
      </c>
      <c r="AG1174" s="7" t="s">
        <v>0</v>
      </c>
      <c r="AH1174" s="9" t="s">
        <v>11534</v>
      </c>
      <c r="AI1174" s="9" t="s">
        <v>11535</v>
      </c>
      <c r="AJ1174" s="9" t="s">
        <v>11536</v>
      </c>
      <c r="AK1174" s="7" t="s">
        <v>61</v>
      </c>
      <c r="AL1174" s="7" t="s">
        <v>61</v>
      </c>
      <c r="AM1174" s="7" t="s">
        <v>0</v>
      </c>
      <c r="AN1174" s="7" t="s">
        <v>0</v>
      </c>
      <c r="AO1174" s="7" t="s">
        <v>0</v>
      </c>
      <c r="AP1174" s="7" t="s">
        <v>0</v>
      </c>
      <c r="AQ1174" s="7" t="s">
        <v>61</v>
      </c>
      <c r="AR1174" s="7" t="s">
        <v>0</v>
      </c>
      <c r="AS1174" s="10" t="str">
        <f>HYPERLINK("https://tessa.gazprom-neft.local/edo/card/40a2ec24-1f7e-4a22-99a9-fb1d0206d02d", "https://tessa.gazprom-neft.local/edo/card/40a2ec24-1f7e-4a22-99a9-fb1d0206d02d")</f>
        <v>https://tessa.gazprom-neft.local/edo/card/40a2ec24-1f7e-4a22-99a9-fb1d0206d02d</v>
      </c>
    </row>
    <row r="1175" spans="1:45" hidden="1" x14ac:dyDescent="0.25">
      <c r="A1175" s="6" t="s">
        <v>44</v>
      </c>
      <c r="B1175" s="7" t="s">
        <v>1754</v>
      </c>
      <c r="C1175" s="7" t="s">
        <v>67</v>
      </c>
      <c r="D1175" s="8">
        <v>45027</v>
      </c>
      <c r="E1175" s="8" t="s">
        <v>0</v>
      </c>
      <c r="F1175" s="16" t="s">
        <v>1755</v>
      </c>
      <c r="G1175" s="7" t="s">
        <v>1756</v>
      </c>
      <c r="H1175" s="7" t="s">
        <v>3115</v>
      </c>
      <c r="I1175" s="7" t="s">
        <v>0</v>
      </c>
      <c r="J1175" s="7" t="s">
        <v>51</v>
      </c>
      <c r="K1175" s="7" t="s">
        <v>47</v>
      </c>
      <c r="L1175" s="7" t="s">
        <v>239</v>
      </c>
      <c r="M1175" s="7" t="s">
        <v>0</v>
      </c>
      <c r="N1175" s="7" t="s">
        <v>3114</v>
      </c>
      <c r="O1175" s="7" t="s">
        <v>0</v>
      </c>
      <c r="P1175" s="7" t="s">
        <v>3116</v>
      </c>
      <c r="Q1175" s="7" t="s">
        <v>3117</v>
      </c>
      <c r="R1175" s="7" t="s">
        <v>393</v>
      </c>
      <c r="S1175" s="7" t="s">
        <v>209</v>
      </c>
      <c r="T1175" s="7" t="s">
        <v>54</v>
      </c>
      <c r="U1175" s="7" t="s">
        <v>210</v>
      </c>
      <c r="V1175" s="7" t="s">
        <v>126</v>
      </c>
      <c r="W1175" s="7" t="s">
        <v>74</v>
      </c>
      <c r="X1175" s="7" t="s">
        <v>103</v>
      </c>
      <c r="Y1175" s="8">
        <v>45027</v>
      </c>
      <c r="Z1175" s="8">
        <v>45657</v>
      </c>
      <c r="AA1175" s="7" t="s">
        <v>224</v>
      </c>
      <c r="AB1175" s="7" t="s">
        <v>423</v>
      </c>
      <c r="AC1175" s="7" t="s">
        <v>79</v>
      </c>
      <c r="AD1175" s="7" t="s">
        <v>80</v>
      </c>
      <c r="AE1175" s="7" t="s">
        <v>82</v>
      </c>
      <c r="AF1175" s="7" t="s">
        <v>0</v>
      </c>
      <c r="AG1175" s="7" t="s">
        <v>3118</v>
      </c>
      <c r="AH1175" s="9" t="s">
        <v>11546</v>
      </c>
      <c r="AI1175" s="9" t="s">
        <v>11547</v>
      </c>
      <c r="AJ1175" s="9" t="s">
        <v>11548</v>
      </c>
      <c r="AK1175" s="7" t="s">
        <v>81</v>
      </c>
      <c r="AL1175" s="7" t="s">
        <v>61</v>
      </c>
      <c r="AM1175" s="7" t="s">
        <v>0</v>
      </c>
      <c r="AN1175" s="7" t="s">
        <v>0</v>
      </c>
      <c r="AO1175" s="7" t="s">
        <v>0</v>
      </c>
      <c r="AP1175" s="7" t="s">
        <v>0</v>
      </c>
      <c r="AQ1175" s="7" t="s">
        <v>61</v>
      </c>
      <c r="AR1175" s="7" t="s">
        <v>0</v>
      </c>
      <c r="AS1175" s="10" t="str">
        <f>HYPERLINK("https://tessa.gazprom-neft.local/edo/card/38c260b6-21b6-447c-a237-17c292ae5de6", "https://tessa.gazprom-neft.local/edo/card/38c260b6-21b6-447c-a237-17c292ae5de6")</f>
        <v>https://tessa.gazprom-neft.local/edo/card/38c260b6-21b6-447c-a237-17c292ae5de6</v>
      </c>
    </row>
    <row r="1176" spans="1:45" hidden="1" x14ac:dyDescent="0.25">
      <c r="A1176" s="6" t="s">
        <v>44</v>
      </c>
      <c r="B1176" s="7" t="s">
        <v>1712</v>
      </c>
      <c r="C1176" s="7" t="s">
        <v>67</v>
      </c>
      <c r="D1176" s="8">
        <v>45026</v>
      </c>
      <c r="E1176" s="8" t="s">
        <v>0</v>
      </c>
      <c r="F1176" s="16" t="s">
        <v>1713</v>
      </c>
      <c r="G1176" s="7" t="s">
        <v>1714</v>
      </c>
      <c r="H1176" s="7" t="s">
        <v>1707</v>
      </c>
      <c r="I1176" s="7" t="s">
        <v>0</v>
      </c>
      <c r="J1176" s="7" t="s">
        <v>872</v>
      </c>
      <c r="K1176" s="7" t="s">
        <v>47</v>
      </c>
      <c r="L1176" s="7" t="s">
        <v>239</v>
      </c>
      <c r="M1176" s="7" t="s">
        <v>0</v>
      </c>
      <c r="N1176" s="7" t="s">
        <v>2887</v>
      </c>
      <c r="O1176" s="7" t="s">
        <v>0</v>
      </c>
      <c r="P1176" s="7" t="s">
        <v>2888</v>
      </c>
      <c r="Q1176" s="7" t="s">
        <v>1710</v>
      </c>
      <c r="R1176" s="7" t="s">
        <v>1711</v>
      </c>
      <c r="S1176" s="7" t="s">
        <v>1711</v>
      </c>
      <c r="T1176" s="7" t="s">
        <v>54</v>
      </c>
      <c r="U1176" s="7" t="s">
        <v>605</v>
      </c>
      <c r="V1176" s="7" t="s">
        <v>126</v>
      </c>
      <c r="W1176" s="7" t="s">
        <v>74</v>
      </c>
      <c r="X1176" s="7" t="s">
        <v>103</v>
      </c>
      <c r="Y1176" s="8">
        <v>45036</v>
      </c>
      <c r="Z1176" s="8">
        <v>45291</v>
      </c>
      <c r="AA1176" s="7" t="s">
        <v>224</v>
      </c>
      <c r="AB1176" s="7" t="s">
        <v>64</v>
      </c>
      <c r="AC1176" s="7" t="s">
        <v>79</v>
      </c>
      <c r="AD1176" s="7" t="s">
        <v>144</v>
      </c>
      <c r="AE1176" s="7" t="s">
        <v>889</v>
      </c>
      <c r="AF1176" s="7" t="s">
        <v>0</v>
      </c>
      <c r="AG1176" s="7" t="s">
        <v>0</v>
      </c>
      <c r="AH1176" s="9" t="s">
        <v>11480</v>
      </c>
      <c r="AI1176" s="9" t="s">
        <v>11480</v>
      </c>
      <c r="AJ1176" s="9">
        <v>0</v>
      </c>
      <c r="AK1176" s="7" t="s">
        <v>61</v>
      </c>
      <c r="AL1176" s="7" t="s">
        <v>61</v>
      </c>
      <c r="AM1176" s="7" t="s">
        <v>0</v>
      </c>
      <c r="AN1176" s="7" t="s">
        <v>0</v>
      </c>
      <c r="AO1176" s="7" t="s">
        <v>0</v>
      </c>
      <c r="AP1176" s="7" t="s">
        <v>0</v>
      </c>
      <c r="AQ1176" s="7" t="s">
        <v>61</v>
      </c>
      <c r="AR1176" s="7" t="s">
        <v>0</v>
      </c>
      <c r="AS1176" s="10" t="str">
        <f>HYPERLINK("https://tessa.gazprom-neft.local/edo/card/94860042-e1ec-4c45-b55e-561e7791af27", "https://tessa.gazprom-neft.local/edo/card/94860042-e1ec-4c45-b55e-561e7791af27")</f>
        <v>https://tessa.gazprom-neft.local/edo/card/94860042-e1ec-4c45-b55e-561e7791af27</v>
      </c>
    </row>
    <row r="1177" spans="1:45" hidden="1" x14ac:dyDescent="0.25">
      <c r="A1177" s="6" t="s">
        <v>44</v>
      </c>
      <c r="B1177" s="7" t="s">
        <v>2001</v>
      </c>
      <c r="C1177" s="7" t="s">
        <v>67</v>
      </c>
      <c r="D1177" s="8">
        <v>45026</v>
      </c>
      <c r="E1177" s="8" t="s">
        <v>0</v>
      </c>
      <c r="F1177" s="16" t="s">
        <v>2002</v>
      </c>
      <c r="G1177" s="7" t="s">
        <v>2003</v>
      </c>
      <c r="H1177" s="7" t="s">
        <v>1998</v>
      </c>
      <c r="I1177" s="7" t="s">
        <v>0</v>
      </c>
      <c r="J1177" s="7" t="s">
        <v>51</v>
      </c>
      <c r="K1177" s="7" t="s">
        <v>47</v>
      </c>
      <c r="L1177" s="7" t="s">
        <v>389</v>
      </c>
      <c r="M1177" s="7" t="s">
        <v>0</v>
      </c>
      <c r="N1177" s="7" t="s">
        <v>3020</v>
      </c>
      <c r="O1177" s="7" t="s">
        <v>355</v>
      </c>
      <c r="P1177" s="7" t="s">
        <v>3021</v>
      </c>
      <c r="Q1177" s="7" t="s">
        <v>3022</v>
      </c>
      <c r="R1177" s="7" t="s">
        <v>768</v>
      </c>
      <c r="S1177" s="7" t="s">
        <v>1503</v>
      </c>
      <c r="T1177" s="7" t="s">
        <v>54</v>
      </c>
      <c r="U1177" s="7" t="s">
        <v>283</v>
      </c>
      <c r="V1177" s="7" t="s">
        <v>168</v>
      </c>
      <c r="W1177" s="7" t="s">
        <v>74</v>
      </c>
      <c r="X1177" s="7" t="s">
        <v>103</v>
      </c>
      <c r="Y1177" s="8">
        <v>44959</v>
      </c>
      <c r="Z1177" s="8">
        <v>45291</v>
      </c>
      <c r="AA1177" s="7" t="s">
        <v>169</v>
      </c>
      <c r="AB1177" s="7" t="s">
        <v>130</v>
      </c>
      <c r="AC1177" s="7" t="s">
        <v>79</v>
      </c>
      <c r="AD1177" s="7" t="s">
        <v>144</v>
      </c>
      <c r="AE1177" s="7" t="s">
        <v>82</v>
      </c>
      <c r="AF1177" s="7" t="s">
        <v>0</v>
      </c>
      <c r="AG1177" s="7" t="s">
        <v>0</v>
      </c>
      <c r="AH1177" s="9" t="s">
        <v>11525</v>
      </c>
      <c r="AI1177" s="9" t="s">
        <v>11526</v>
      </c>
      <c r="AJ1177" s="9" t="s">
        <v>11527</v>
      </c>
      <c r="AK1177" s="7" t="s">
        <v>61</v>
      </c>
      <c r="AL1177" s="7" t="s">
        <v>61</v>
      </c>
      <c r="AM1177" s="7" t="s">
        <v>0</v>
      </c>
      <c r="AN1177" s="7" t="s">
        <v>0</v>
      </c>
      <c r="AO1177" s="7" t="s">
        <v>0</v>
      </c>
      <c r="AP1177" s="7" t="s">
        <v>0</v>
      </c>
      <c r="AQ1177" s="7" t="s">
        <v>61</v>
      </c>
      <c r="AR1177" s="7" t="s">
        <v>0</v>
      </c>
      <c r="AS1177" s="10" t="str">
        <f>HYPERLINK("https://tessa.gazprom-neft.local/edo/card/f6d3660d-edbd-4468-8fb9-f03703d372f4", "https://tessa.gazprom-neft.local/edo/card/f6d3660d-edbd-4468-8fb9-f03703d372f4")</f>
        <v>https://tessa.gazprom-neft.local/edo/card/f6d3660d-edbd-4468-8fb9-f03703d372f4</v>
      </c>
    </row>
    <row r="1178" spans="1:45" x14ac:dyDescent="0.25">
      <c r="A1178" s="6" t="s">
        <v>44</v>
      </c>
      <c r="B1178" s="7" t="s">
        <v>1386</v>
      </c>
      <c r="C1178" s="7" t="s">
        <v>67</v>
      </c>
      <c r="D1178" s="8">
        <v>45026</v>
      </c>
      <c r="E1178" s="8" t="s">
        <v>0</v>
      </c>
      <c r="F1178" s="16" t="s">
        <v>1387</v>
      </c>
      <c r="G1178" s="7" t="s">
        <v>1388</v>
      </c>
      <c r="H1178" s="7" t="s">
        <v>3881</v>
      </c>
      <c r="I1178" s="7" t="s">
        <v>0</v>
      </c>
      <c r="J1178" s="7" t="s">
        <v>5547</v>
      </c>
      <c r="K1178" s="7" t="s">
        <v>47</v>
      </c>
      <c r="L1178" s="7" t="s">
        <v>48</v>
      </c>
      <c r="M1178" s="7" t="s">
        <v>0</v>
      </c>
      <c r="N1178" s="7" t="s">
        <v>5545</v>
      </c>
      <c r="O1178" s="7" t="s">
        <v>0</v>
      </c>
      <c r="P1178" s="7" t="s">
        <v>5546</v>
      </c>
      <c r="Q1178" s="7" t="s">
        <v>5548</v>
      </c>
      <c r="R1178" s="7" t="s">
        <v>1342</v>
      </c>
      <c r="S1178" s="7" t="s">
        <v>1342</v>
      </c>
      <c r="T1178" s="7" t="s">
        <v>54</v>
      </c>
      <c r="U1178" s="7" t="s">
        <v>274</v>
      </c>
      <c r="V1178" s="7" t="s">
        <v>137</v>
      </c>
      <c r="W1178" s="7" t="s">
        <v>57</v>
      </c>
      <c r="X1178" s="7" t="s">
        <v>103</v>
      </c>
      <c r="Y1178" s="8">
        <v>45017</v>
      </c>
      <c r="Z1178" s="8">
        <v>45767</v>
      </c>
      <c r="AA1178" s="7" t="s">
        <v>0</v>
      </c>
      <c r="AB1178" s="7" t="s">
        <v>64</v>
      </c>
      <c r="AC1178" s="7" t="s">
        <v>65</v>
      </c>
      <c r="AD1178" s="7" t="s">
        <v>0</v>
      </c>
      <c r="AE1178" s="7" t="s">
        <v>0</v>
      </c>
      <c r="AF1178" s="7" t="s">
        <v>0</v>
      </c>
      <c r="AG1178" s="7" t="s">
        <v>0</v>
      </c>
      <c r="AH1178" s="9" t="s">
        <v>0</v>
      </c>
      <c r="AI1178" s="9" t="s">
        <v>0</v>
      </c>
      <c r="AJ1178" s="9" t="s">
        <v>0</v>
      </c>
      <c r="AK1178" s="7" t="s">
        <v>61</v>
      </c>
      <c r="AL1178" s="7" t="s">
        <v>61</v>
      </c>
      <c r="AM1178" s="7" t="s">
        <v>0</v>
      </c>
      <c r="AN1178" s="7" t="s">
        <v>0</v>
      </c>
      <c r="AO1178" s="7" t="s">
        <v>0</v>
      </c>
      <c r="AP1178" s="7" t="s">
        <v>0</v>
      </c>
      <c r="AQ1178" s="7" t="s">
        <v>61</v>
      </c>
      <c r="AR1178" s="7" t="s">
        <v>0</v>
      </c>
      <c r="AS1178" s="10" t="str">
        <f>HYPERLINK("https://tessa.gazprom-neft.local/edo/card/58fe158c-8365-4b20-923f-902772011495", "https://tessa.gazprom-neft.local/edo/card/58fe158c-8365-4b20-923f-902772011495")</f>
        <v>https://tessa.gazprom-neft.local/edo/card/58fe158c-8365-4b20-923f-902772011495</v>
      </c>
    </row>
    <row r="1179" spans="1:45" hidden="1" x14ac:dyDescent="0.25">
      <c r="A1179" s="6" t="s">
        <v>44</v>
      </c>
      <c r="B1179" s="7" t="s">
        <v>1165</v>
      </c>
      <c r="C1179" s="7" t="s">
        <v>67</v>
      </c>
      <c r="D1179" s="8">
        <v>45021</v>
      </c>
      <c r="E1179" s="8" t="s">
        <v>0</v>
      </c>
      <c r="F1179" s="16" t="s">
        <v>1166</v>
      </c>
      <c r="G1179" s="7" t="s">
        <v>1167</v>
      </c>
      <c r="H1179" s="7" t="s">
        <v>2997</v>
      </c>
      <c r="I1179" s="7" t="s">
        <v>0</v>
      </c>
      <c r="J1179" s="7" t="s">
        <v>2999</v>
      </c>
      <c r="K1179" s="7" t="s">
        <v>47</v>
      </c>
      <c r="L1179" s="7" t="s">
        <v>239</v>
      </c>
      <c r="M1179" s="7" t="s">
        <v>0</v>
      </c>
      <c r="N1179" s="7" t="s">
        <v>2996</v>
      </c>
      <c r="O1179" s="7" t="s">
        <v>0</v>
      </c>
      <c r="P1179" s="7" t="s">
        <v>2998</v>
      </c>
      <c r="Q1179" s="7" t="s">
        <v>3000</v>
      </c>
      <c r="R1179" s="7" t="s">
        <v>244</v>
      </c>
      <c r="S1179" s="7" t="s">
        <v>0</v>
      </c>
      <c r="T1179" s="7" t="s">
        <v>54</v>
      </c>
      <c r="U1179" s="7" t="s">
        <v>55</v>
      </c>
      <c r="V1179" s="7" t="s">
        <v>56</v>
      </c>
      <c r="W1179" s="7" t="s">
        <v>57</v>
      </c>
      <c r="X1179" s="7" t="s">
        <v>103</v>
      </c>
      <c r="Y1179" s="8">
        <v>45021</v>
      </c>
      <c r="Z1179" s="8">
        <v>45137</v>
      </c>
      <c r="AA1179" s="7" t="s">
        <v>59</v>
      </c>
      <c r="AB1179" s="7" t="s">
        <v>256</v>
      </c>
      <c r="AC1179" s="7" t="s">
        <v>79</v>
      </c>
      <c r="AD1179" s="7" t="s">
        <v>144</v>
      </c>
      <c r="AE1179" s="7" t="s">
        <v>82</v>
      </c>
      <c r="AF1179" s="7" t="s">
        <v>0</v>
      </c>
      <c r="AG1179" s="7" t="s">
        <v>0</v>
      </c>
      <c r="AH1179" s="9" t="s">
        <v>11513</v>
      </c>
      <c r="AI1179" s="9" t="s">
        <v>11514</v>
      </c>
      <c r="AJ1179" s="9" t="s">
        <v>11515</v>
      </c>
      <c r="AK1179" s="7" t="s">
        <v>61</v>
      </c>
      <c r="AL1179" s="7" t="s">
        <v>61</v>
      </c>
      <c r="AM1179" s="7" t="s">
        <v>0</v>
      </c>
      <c r="AN1179" s="7" t="s">
        <v>0</v>
      </c>
      <c r="AO1179" s="7" t="s">
        <v>0</v>
      </c>
      <c r="AP1179" s="7" t="s">
        <v>0</v>
      </c>
      <c r="AQ1179" s="7" t="s">
        <v>61</v>
      </c>
      <c r="AR1179" s="7" t="s">
        <v>0</v>
      </c>
      <c r="AS1179" s="10" t="str">
        <f>HYPERLINK("https://tessa.gazprom-neft.local/edo/card/fda3a2ff-134d-4065-8851-e88c5c74a729", "https://tessa.gazprom-neft.local/edo/card/fda3a2ff-134d-4065-8851-e88c5c74a729")</f>
        <v>https://tessa.gazprom-neft.local/edo/card/fda3a2ff-134d-4065-8851-e88c5c74a729</v>
      </c>
    </row>
    <row r="1180" spans="1:45" hidden="1" x14ac:dyDescent="0.25">
      <c r="A1180" s="6" t="s">
        <v>44</v>
      </c>
      <c r="B1180" s="7" t="s">
        <v>2872</v>
      </c>
      <c r="C1180" s="7" t="s">
        <v>67</v>
      </c>
      <c r="D1180" s="8">
        <v>45017</v>
      </c>
      <c r="E1180" s="8" t="s">
        <v>0</v>
      </c>
      <c r="F1180" s="16" t="s">
        <v>2873</v>
      </c>
      <c r="G1180" s="7" t="s">
        <v>2874</v>
      </c>
      <c r="H1180" s="7" t="s">
        <v>0</v>
      </c>
      <c r="I1180" s="7" t="s">
        <v>2869</v>
      </c>
      <c r="J1180" s="7" t="s">
        <v>2869</v>
      </c>
      <c r="K1180" s="7" t="s">
        <v>47</v>
      </c>
      <c r="L1180" s="7" t="s">
        <v>96</v>
      </c>
      <c r="M1180" s="7" t="s">
        <v>0</v>
      </c>
      <c r="N1180" s="7" t="s">
        <v>2868</v>
      </c>
      <c r="O1180" s="7" t="s">
        <v>0</v>
      </c>
      <c r="P1180" s="7" t="s">
        <v>2870</v>
      </c>
      <c r="Q1180" s="7" t="s">
        <v>2871</v>
      </c>
      <c r="R1180" s="7" t="s">
        <v>1199</v>
      </c>
      <c r="S1180" s="7" t="s">
        <v>1199</v>
      </c>
      <c r="T1180" s="7" t="s">
        <v>54</v>
      </c>
      <c r="U1180" s="7" t="s">
        <v>605</v>
      </c>
      <c r="V1180" s="7" t="s">
        <v>382</v>
      </c>
      <c r="W1180" s="7" t="s">
        <v>57</v>
      </c>
      <c r="X1180" s="7" t="s">
        <v>103</v>
      </c>
      <c r="Y1180" s="8">
        <v>45017</v>
      </c>
      <c r="Z1180" s="8">
        <v>45323</v>
      </c>
      <c r="AA1180" s="7" t="s">
        <v>383</v>
      </c>
      <c r="AB1180" s="7" t="s">
        <v>1203</v>
      </c>
      <c r="AC1180" s="7" t="s">
        <v>79</v>
      </c>
      <c r="AD1180" s="7" t="s">
        <v>80</v>
      </c>
      <c r="AE1180" s="7" t="s">
        <v>82</v>
      </c>
      <c r="AF1180" s="7" t="s">
        <v>0</v>
      </c>
      <c r="AG1180" s="7" t="s">
        <v>0</v>
      </c>
      <c r="AH1180" s="9" t="s">
        <v>11468</v>
      </c>
      <c r="AI1180" s="9" t="s">
        <v>11469</v>
      </c>
      <c r="AJ1180" s="9" t="s">
        <v>11470</v>
      </c>
      <c r="AK1180" s="7" t="s">
        <v>61</v>
      </c>
      <c r="AL1180" s="7" t="s">
        <v>61</v>
      </c>
      <c r="AM1180" s="7" t="s">
        <v>0</v>
      </c>
      <c r="AN1180" s="7" t="s">
        <v>0</v>
      </c>
      <c r="AO1180" s="7" t="s">
        <v>0</v>
      </c>
      <c r="AP1180" s="7" t="s">
        <v>0</v>
      </c>
      <c r="AQ1180" s="7" t="s">
        <v>61</v>
      </c>
      <c r="AR1180" s="7" t="s">
        <v>0</v>
      </c>
      <c r="AS1180" s="10" t="str">
        <f>HYPERLINK("https://tessa.gazprom-neft.local/edo/card/f350bbb0-a25d-4b37-a01a-4d636d62a26b", "https://tessa.gazprom-neft.local/edo/card/f350bbb0-a25d-4b37-a01a-4d636d62a26b")</f>
        <v>https://tessa.gazprom-neft.local/edo/card/f350bbb0-a25d-4b37-a01a-4d636d62a26b</v>
      </c>
    </row>
    <row r="1181" spans="1:45" hidden="1" x14ac:dyDescent="0.25">
      <c r="A1181" s="6" t="s">
        <v>44</v>
      </c>
      <c r="B1181" s="7" t="s">
        <v>2001</v>
      </c>
      <c r="C1181" s="7" t="s">
        <v>67</v>
      </c>
      <c r="D1181" s="8">
        <v>45017</v>
      </c>
      <c r="E1181" s="8" t="s">
        <v>0</v>
      </c>
      <c r="F1181" s="16" t="s">
        <v>2002</v>
      </c>
      <c r="G1181" s="7" t="s">
        <v>2003</v>
      </c>
      <c r="H1181" s="7" t="s">
        <v>1998</v>
      </c>
      <c r="I1181" s="7" t="s">
        <v>0</v>
      </c>
      <c r="J1181" s="7" t="s">
        <v>872</v>
      </c>
      <c r="K1181" s="7" t="s">
        <v>47</v>
      </c>
      <c r="L1181" s="7" t="s">
        <v>239</v>
      </c>
      <c r="M1181" s="7" t="s">
        <v>0</v>
      </c>
      <c r="N1181" s="7" t="s">
        <v>3062</v>
      </c>
      <c r="O1181" s="7" t="s">
        <v>0</v>
      </c>
      <c r="P1181" s="7" t="s">
        <v>3063</v>
      </c>
      <c r="Q1181" s="7" t="s">
        <v>3064</v>
      </c>
      <c r="R1181" s="7" t="s">
        <v>768</v>
      </c>
      <c r="S1181" s="7" t="s">
        <v>1503</v>
      </c>
      <c r="T1181" s="7" t="s">
        <v>54</v>
      </c>
      <c r="U1181" s="7" t="s">
        <v>283</v>
      </c>
      <c r="V1181" s="7" t="s">
        <v>168</v>
      </c>
      <c r="W1181" s="7" t="s">
        <v>57</v>
      </c>
      <c r="X1181" s="7" t="s">
        <v>103</v>
      </c>
      <c r="Y1181" s="8">
        <v>45017</v>
      </c>
      <c r="Z1181" s="8">
        <v>45291</v>
      </c>
      <c r="AA1181" s="7" t="s">
        <v>169</v>
      </c>
      <c r="AB1181" s="7" t="s">
        <v>130</v>
      </c>
      <c r="AC1181" s="7" t="s">
        <v>79</v>
      </c>
      <c r="AD1181" s="7" t="s">
        <v>80</v>
      </c>
      <c r="AE1181" s="7" t="s">
        <v>82</v>
      </c>
      <c r="AF1181" s="7" t="s">
        <v>0</v>
      </c>
      <c r="AG1181" s="7" t="s">
        <v>0</v>
      </c>
      <c r="AH1181" s="9" t="s">
        <v>11537</v>
      </c>
      <c r="AI1181" s="9" t="s">
        <v>11538</v>
      </c>
      <c r="AJ1181" s="9" t="s">
        <v>11539</v>
      </c>
      <c r="AK1181" s="7" t="s">
        <v>61</v>
      </c>
      <c r="AL1181" s="7" t="s">
        <v>61</v>
      </c>
      <c r="AM1181" s="7" t="s">
        <v>0</v>
      </c>
      <c r="AN1181" s="7" t="s">
        <v>0</v>
      </c>
      <c r="AO1181" s="7" t="s">
        <v>0</v>
      </c>
      <c r="AP1181" s="7" t="s">
        <v>0</v>
      </c>
      <c r="AQ1181" s="7" t="s">
        <v>61</v>
      </c>
      <c r="AR1181" s="7" t="s">
        <v>0</v>
      </c>
      <c r="AS1181" s="10" t="str">
        <f>HYPERLINK("https://tessa.gazprom-neft.local/edo/card/c3fd5aad-6468-4cd9-ae58-b4658b13c33f", "https://tessa.gazprom-neft.local/edo/card/c3fd5aad-6468-4cd9-ae58-b4658b13c33f")</f>
        <v>https://tessa.gazprom-neft.local/edo/card/c3fd5aad-6468-4cd9-ae58-b4658b13c33f</v>
      </c>
    </row>
    <row r="1182" spans="1:45" hidden="1" x14ac:dyDescent="0.25">
      <c r="A1182" s="6" t="s">
        <v>44</v>
      </c>
      <c r="B1182" s="7" t="s">
        <v>2001</v>
      </c>
      <c r="C1182" s="7" t="s">
        <v>67</v>
      </c>
      <c r="D1182" s="8">
        <v>45017</v>
      </c>
      <c r="E1182" s="8" t="s">
        <v>0</v>
      </c>
      <c r="F1182" s="16" t="s">
        <v>2002</v>
      </c>
      <c r="G1182" s="7" t="s">
        <v>2003</v>
      </c>
      <c r="H1182" s="7" t="s">
        <v>1998</v>
      </c>
      <c r="I1182" s="7" t="s">
        <v>0</v>
      </c>
      <c r="J1182" s="7" t="s">
        <v>70</v>
      </c>
      <c r="K1182" s="7" t="s">
        <v>47</v>
      </c>
      <c r="L1182" s="7" t="s">
        <v>239</v>
      </c>
      <c r="M1182" s="7" t="s">
        <v>0</v>
      </c>
      <c r="N1182" s="7" t="s">
        <v>3079</v>
      </c>
      <c r="O1182" s="7" t="s">
        <v>0</v>
      </c>
      <c r="P1182" s="7" t="s">
        <v>3080</v>
      </c>
      <c r="Q1182" s="7" t="s">
        <v>3081</v>
      </c>
      <c r="R1182" s="7" t="s">
        <v>768</v>
      </c>
      <c r="S1182" s="7" t="s">
        <v>1503</v>
      </c>
      <c r="T1182" s="7" t="s">
        <v>54</v>
      </c>
      <c r="U1182" s="7" t="s">
        <v>283</v>
      </c>
      <c r="V1182" s="7" t="s">
        <v>308</v>
      </c>
      <c r="W1182" s="7" t="s">
        <v>57</v>
      </c>
      <c r="X1182" s="7" t="s">
        <v>103</v>
      </c>
      <c r="Y1182" s="8">
        <v>45017</v>
      </c>
      <c r="Z1182" s="8">
        <v>45291</v>
      </c>
      <c r="AA1182" s="7" t="s">
        <v>309</v>
      </c>
      <c r="AB1182" s="7" t="s">
        <v>130</v>
      </c>
      <c r="AC1182" s="7" t="s">
        <v>79</v>
      </c>
      <c r="AD1182" s="7" t="s">
        <v>80</v>
      </c>
      <c r="AE1182" s="7" t="s">
        <v>82</v>
      </c>
      <c r="AF1182" s="7" t="s">
        <v>0</v>
      </c>
      <c r="AG1182" s="7" t="s">
        <v>0</v>
      </c>
      <c r="AH1182" s="9" t="s">
        <v>11537</v>
      </c>
      <c r="AI1182" s="9" t="s">
        <v>11538</v>
      </c>
      <c r="AJ1182" s="9" t="s">
        <v>11539</v>
      </c>
      <c r="AK1182" s="7" t="s">
        <v>61</v>
      </c>
      <c r="AL1182" s="7" t="s">
        <v>61</v>
      </c>
      <c r="AM1182" s="7" t="s">
        <v>0</v>
      </c>
      <c r="AN1182" s="7" t="s">
        <v>0</v>
      </c>
      <c r="AO1182" s="7" t="s">
        <v>0</v>
      </c>
      <c r="AP1182" s="7" t="s">
        <v>0</v>
      </c>
      <c r="AQ1182" s="7" t="s">
        <v>61</v>
      </c>
      <c r="AR1182" s="7" t="s">
        <v>0</v>
      </c>
      <c r="AS1182" s="10" t="str">
        <f>HYPERLINK("https://tessa.gazprom-neft.local/edo/card/17e8bd7a-de9e-44a8-920e-1910c042e38b", "https://tessa.gazprom-neft.local/edo/card/17e8bd7a-de9e-44a8-920e-1910c042e38b")</f>
        <v>https://tessa.gazprom-neft.local/edo/card/17e8bd7a-de9e-44a8-920e-1910c042e38b</v>
      </c>
    </row>
    <row r="1183" spans="1:45" hidden="1" x14ac:dyDescent="0.25">
      <c r="A1183" s="6" t="s">
        <v>44</v>
      </c>
      <c r="B1183" s="7" t="s">
        <v>673</v>
      </c>
      <c r="C1183" s="7" t="s">
        <v>67</v>
      </c>
      <c r="D1183" s="8">
        <v>45016</v>
      </c>
      <c r="E1183" s="8" t="s">
        <v>0</v>
      </c>
      <c r="F1183" s="16" t="s">
        <v>674</v>
      </c>
      <c r="G1183" s="7" t="s">
        <v>675</v>
      </c>
      <c r="H1183" s="7" t="s">
        <v>0</v>
      </c>
      <c r="I1183" s="7" t="s">
        <v>668</v>
      </c>
      <c r="J1183" s="7" t="s">
        <v>668</v>
      </c>
      <c r="K1183" s="7" t="s">
        <v>47</v>
      </c>
      <c r="L1183" s="7" t="s">
        <v>96</v>
      </c>
      <c r="M1183" s="7" t="s">
        <v>0</v>
      </c>
      <c r="N1183" s="7" t="s">
        <v>2581</v>
      </c>
      <c r="O1183" s="7" t="s">
        <v>0</v>
      </c>
      <c r="P1183" s="7" t="s">
        <v>2582</v>
      </c>
      <c r="Q1183" s="7" t="s">
        <v>2583</v>
      </c>
      <c r="R1183" s="7" t="s">
        <v>338</v>
      </c>
      <c r="S1183" s="7" t="s">
        <v>209</v>
      </c>
      <c r="T1183" s="7" t="s">
        <v>54</v>
      </c>
      <c r="U1183" s="7" t="s">
        <v>210</v>
      </c>
      <c r="V1183" s="7" t="s">
        <v>126</v>
      </c>
      <c r="W1183" s="7" t="s">
        <v>74</v>
      </c>
      <c r="X1183" s="7" t="s">
        <v>58</v>
      </c>
      <c r="Y1183" s="8">
        <v>45016</v>
      </c>
      <c r="Z1183" s="8" t="s">
        <v>0</v>
      </c>
      <c r="AA1183" s="7" t="s">
        <v>224</v>
      </c>
      <c r="AB1183" s="7" t="s">
        <v>130</v>
      </c>
      <c r="AC1183" s="7" t="s">
        <v>79</v>
      </c>
      <c r="AD1183" s="7" t="s">
        <v>144</v>
      </c>
      <c r="AE1183" s="7" t="s">
        <v>82</v>
      </c>
      <c r="AF1183" s="7" t="s">
        <v>0</v>
      </c>
      <c r="AG1183" s="7" t="s">
        <v>2584</v>
      </c>
      <c r="AH1183" s="9" t="s">
        <v>11393</v>
      </c>
      <c r="AI1183" s="9" t="s">
        <v>11394</v>
      </c>
      <c r="AJ1183" s="9" t="s">
        <v>11395</v>
      </c>
      <c r="AK1183" s="7" t="s">
        <v>81</v>
      </c>
      <c r="AL1183" s="7" t="s">
        <v>61</v>
      </c>
      <c r="AM1183" s="7" t="s">
        <v>0</v>
      </c>
      <c r="AN1183" s="7" t="s">
        <v>0</v>
      </c>
      <c r="AO1183" s="7" t="s">
        <v>0</v>
      </c>
      <c r="AP1183" s="7" t="s">
        <v>0</v>
      </c>
      <c r="AQ1183" s="7" t="s">
        <v>61</v>
      </c>
      <c r="AR1183" s="7" t="s">
        <v>0</v>
      </c>
      <c r="AS1183" s="10" t="str">
        <f>HYPERLINK("https://tessa.gazprom-neft.local/edo/card/7e8be4d8-dc06-4d26-a8d7-e7f9155af39a", "https://tessa.gazprom-neft.local/edo/card/7e8be4d8-dc06-4d26-a8d7-e7f9155af39a")</f>
        <v>https://tessa.gazprom-neft.local/edo/card/7e8be4d8-dc06-4d26-a8d7-e7f9155af39a</v>
      </c>
    </row>
    <row r="1184" spans="1:45" x14ac:dyDescent="0.25">
      <c r="A1184" s="6" t="s">
        <v>44</v>
      </c>
      <c r="B1184" s="7" t="s">
        <v>114</v>
      </c>
      <c r="C1184" s="7" t="s">
        <v>67</v>
      </c>
      <c r="D1184" s="8">
        <v>45016</v>
      </c>
      <c r="E1184" s="8" t="s">
        <v>0</v>
      </c>
      <c r="F1184" s="16" t="s">
        <v>115</v>
      </c>
      <c r="G1184" s="7" t="s">
        <v>116</v>
      </c>
      <c r="H1184" s="7" t="s">
        <v>2817</v>
      </c>
      <c r="I1184" s="7" t="s">
        <v>0</v>
      </c>
      <c r="J1184" s="7" t="s">
        <v>51</v>
      </c>
      <c r="K1184" s="7" t="s">
        <v>47</v>
      </c>
      <c r="L1184" s="7" t="s">
        <v>48</v>
      </c>
      <c r="M1184" s="7" t="s">
        <v>0</v>
      </c>
      <c r="N1184" s="7" t="s">
        <v>2907</v>
      </c>
      <c r="O1184" s="7" t="s">
        <v>0</v>
      </c>
      <c r="P1184" s="7" t="s">
        <v>2908</v>
      </c>
      <c r="Q1184" s="7" t="s">
        <v>2909</v>
      </c>
      <c r="R1184" s="7" t="s">
        <v>110</v>
      </c>
      <c r="S1184" s="7" t="s">
        <v>110</v>
      </c>
      <c r="T1184" s="7" t="s">
        <v>54</v>
      </c>
      <c r="U1184" s="7" t="s">
        <v>111</v>
      </c>
      <c r="V1184" s="7" t="s">
        <v>112</v>
      </c>
      <c r="W1184" s="7" t="s">
        <v>57</v>
      </c>
      <c r="X1184" s="7" t="s">
        <v>103</v>
      </c>
      <c r="Y1184" s="8">
        <v>45017</v>
      </c>
      <c r="Z1184" s="8">
        <v>45382</v>
      </c>
      <c r="AA1184" s="7" t="s">
        <v>113</v>
      </c>
      <c r="AB1184" s="7" t="s">
        <v>117</v>
      </c>
      <c r="AC1184" s="7" t="s">
        <v>79</v>
      </c>
      <c r="AD1184" s="7" t="s">
        <v>144</v>
      </c>
      <c r="AE1184" s="7" t="s">
        <v>118</v>
      </c>
      <c r="AF1184" s="7" t="s">
        <v>0</v>
      </c>
      <c r="AG1184" s="7" t="s">
        <v>0</v>
      </c>
      <c r="AH1184" s="9" t="s">
        <v>11485</v>
      </c>
      <c r="AI1184" s="9" t="s">
        <v>11485</v>
      </c>
      <c r="AJ1184" s="9">
        <v>0</v>
      </c>
      <c r="AK1184" s="7" t="s">
        <v>61</v>
      </c>
      <c r="AL1184" s="7" t="s">
        <v>61</v>
      </c>
      <c r="AM1184" s="7" t="s">
        <v>0</v>
      </c>
      <c r="AN1184" s="7" t="s">
        <v>0</v>
      </c>
      <c r="AO1184" s="7" t="s">
        <v>0</v>
      </c>
      <c r="AP1184" s="7" t="s">
        <v>0</v>
      </c>
      <c r="AQ1184" s="7" t="s">
        <v>61</v>
      </c>
      <c r="AR1184" s="7" t="s">
        <v>0</v>
      </c>
      <c r="AS1184" s="10" t="str">
        <f>HYPERLINK("https://tessa.gazprom-neft.local/edo/card/f9ac9ce7-d6e1-4727-ad8c-66a660b43aaa", "https://tessa.gazprom-neft.local/edo/card/f9ac9ce7-d6e1-4727-ad8c-66a660b43aaa")</f>
        <v>https://tessa.gazprom-neft.local/edo/card/f9ac9ce7-d6e1-4727-ad8c-66a660b43aaa</v>
      </c>
    </row>
    <row r="1185" spans="1:45" hidden="1" x14ac:dyDescent="0.25">
      <c r="A1185" s="6" t="s">
        <v>44</v>
      </c>
      <c r="B1185" s="7" t="s">
        <v>639</v>
      </c>
      <c r="C1185" s="7" t="s">
        <v>67</v>
      </c>
      <c r="D1185" s="8">
        <v>45015</v>
      </c>
      <c r="E1185" s="8" t="s">
        <v>0</v>
      </c>
      <c r="F1185" s="16" t="s">
        <v>640</v>
      </c>
      <c r="G1185" s="7" t="s">
        <v>641</v>
      </c>
      <c r="H1185" s="7" t="s">
        <v>0</v>
      </c>
      <c r="I1185" s="7" t="s">
        <v>0</v>
      </c>
      <c r="J1185" s="7" t="s">
        <v>51</v>
      </c>
      <c r="K1185" s="7" t="s">
        <v>47</v>
      </c>
      <c r="L1185" s="7" t="s">
        <v>239</v>
      </c>
      <c r="M1185" s="7" t="s">
        <v>0</v>
      </c>
      <c r="N1185" s="7" t="s">
        <v>2202</v>
      </c>
      <c r="O1185" s="7" t="s">
        <v>0</v>
      </c>
      <c r="P1185" s="7" t="s">
        <v>2203</v>
      </c>
      <c r="Q1185" s="7" t="s">
        <v>2204</v>
      </c>
      <c r="R1185" s="7" t="s">
        <v>393</v>
      </c>
      <c r="S1185" s="7" t="s">
        <v>1815</v>
      </c>
      <c r="T1185" s="7" t="s">
        <v>54</v>
      </c>
      <c r="U1185" s="7" t="s">
        <v>55</v>
      </c>
      <c r="V1185" s="7" t="s">
        <v>56</v>
      </c>
      <c r="W1185" s="7" t="s">
        <v>74</v>
      </c>
      <c r="X1185" s="7" t="s">
        <v>103</v>
      </c>
      <c r="Y1185" s="8">
        <v>45015</v>
      </c>
      <c r="Z1185" s="8">
        <v>46022</v>
      </c>
      <c r="AA1185" s="7" t="s">
        <v>212</v>
      </c>
      <c r="AB1185" s="7" t="s">
        <v>130</v>
      </c>
      <c r="AC1185" s="7" t="s">
        <v>79</v>
      </c>
      <c r="AD1185" s="7" t="s">
        <v>80</v>
      </c>
      <c r="AE1185" s="7" t="s">
        <v>82</v>
      </c>
      <c r="AF1185" s="7" t="s">
        <v>0</v>
      </c>
      <c r="AG1185" s="7" t="s">
        <v>2205</v>
      </c>
      <c r="AH1185" s="9" t="s">
        <v>11277</v>
      </c>
      <c r="AI1185" s="9" t="s">
        <v>11278</v>
      </c>
      <c r="AJ1185" s="9" t="s">
        <v>11279</v>
      </c>
      <c r="AK1185" s="7" t="s">
        <v>81</v>
      </c>
      <c r="AL1185" s="7" t="s">
        <v>61</v>
      </c>
      <c r="AM1185" s="7" t="s">
        <v>0</v>
      </c>
      <c r="AN1185" s="7" t="s">
        <v>0</v>
      </c>
      <c r="AO1185" s="7" t="s">
        <v>0</v>
      </c>
      <c r="AP1185" s="7" t="s">
        <v>0</v>
      </c>
      <c r="AQ1185" s="7" t="s">
        <v>61</v>
      </c>
      <c r="AR1185" s="7" t="s">
        <v>0</v>
      </c>
      <c r="AS1185" s="10" t="str">
        <f>HYPERLINK("https://tessa.gazprom-neft.local/edo/card/05b439b7-0fb4-4385-a25f-44be1b92afea", "https://tessa.gazprom-neft.local/edo/card/05b439b7-0fb4-4385-a25f-44be1b92afea")</f>
        <v>https://tessa.gazprom-neft.local/edo/card/05b439b7-0fb4-4385-a25f-44be1b92afea</v>
      </c>
    </row>
    <row r="1186" spans="1:45" x14ac:dyDescent="0.25">
      <c r="A1186" s="6" t="s">
        <v>44</v>
      </c>
      <c r="B1186" s="7" t="s">
        <v>189</v>
      </c>
      <c r="C1186" s="7" t="s">
        <v>67</v>
      </c>
      <c r="D1186" s="8">
        <v>45015</v>
      </c>
      <c r="E1186" s="8" t="s">
        <v>0</v>
      </c>
      <c r="F1186" s="16" t="s">
        <v>190</v>
      </c>
      <c r="G1186" s="7" t="s">
        <v>191</v>
      </c>
      <c r="H1186" s="7" t="s">
        <v>185</v>
      </c>
      <c r="I1186" s="7" t="s">
        <v>0</v>
      </c>
      <c r="J1186" s="7" t="s">
        <v>51</v>
      </c>
      <c r="K1186" s="7" t="s">
        <v>47</v>
      </c>
      <c r="L1186" s="7" t="s">
        <v>48</v>
      </c>
      <c r="M1186" s="7" t="s">
        <v>0</v>
      </c>
      <c r="N1186" s="7" t="s">
        <v>2813</v>
      </c>
      <c r="O1186" s="7" t="s">
        <v>0</v>
      </c>
      <c r="P1186" s="7" t="s">
        <v>2814</v>
      </c>
      <c r="Q1186" s="7" t="s">
        <v>2815</v>
      </c>
      <c r="R1186" s="7" t="s">
        <v>828</v>
      </c>
      <c r="S1186" s="7" t="s">
        <v>0</v>
      </c>
      <c r="T1186" s="7" t="s">
        <v>54</v>
      </c>
      <c r="U1186" s="7" t="s">
        <v>188</v>
      </c>
      <c r="V1186" s="7" t="s">
        <v>137</v>
      </c>
      <c r="W1186" s="7" t="s">
        <v>57</v>
      </c>
      <c r="X1186" s="7" t="s">
        <v>103</v>
      </c>
      <c r="Y1186" s="8">
        <v>45017</v>
      </c>
      <c r="Z1186" s="8">
        <v>45199</v>
      </c>
      <c r="AA1186" s="7" t="s">
        <v>0</v>
      </c>
      <c r="AB1186" s="7" t="s">
        <v>192</v>
      </c>
      <c r="AC1186" s="7" t="s">
        <v>79</v>
      </c>
      <c r="AD1186" s="7" t="s">
        <v>80</v>
      </c>
      <c r="AE1186" s="7" t="s">
        <v>193</v>
      </c>
      <c r="AF1186" s="7" t="s">
        <v>0</v>
      </c>
      <c r="AG1186" s="7" t="s">
        <v>0</v>
      </c>
      <c r="AH1186" s="9" t="s">
        <v>11455</v>
      </c>
      <c r="AI1186" s="9" t="s">
        <v>11456</v>
      </c>
      <c r="AJ1186" s="9" t="s">
        <v>11457</v>
      </c>
      <c r="AK1186" s="7" t="s">
        <v>61</v>
      </c>
      <c r="AL1186" s="7" t="s">
        <v>61</v>
      </c>
      <c r="AM1186" s="7" t="s">
        <v>0</v>
      </c>
      <c r="AN1186" s="7" t="s">
        <v>0</v>
      </c>
      <c r="AO1186" s="7" t="s">
        <v>0</v>
      </c>
      <c r="AP1186" s="7" t="s">
        <v>0</v>
      </c>
      <c r="AQ1186" s="7" t="s">
        <v>61</v>
      </c>
      <c r="AR1186" s="7" t="s">
        <v>0</v>
      </c>
      <c r="AS1186" s="10" t="str">
        <f>HYPERLINK("https://tessa.gazprom-neft.local/edo/card/373f7b69-7a5d-40d4-b5b3-2178bb07528a", "https://tessa.gazprom-neft.local/edo/card/373f7b69-7a5d-40d4-b5b3-2178bb07528a")</f>
        <v>https://tessa.gazprom-neft.local/edo/card/373f7b69-7a5d-40d4-b5b3-2178bb07528a</v>
      </c>
    </row>
    <row r="1187" spans="1:45" hidden="1" x14ac:dyDescent="0.25">
      <c r="A1187" s="6" t="s">
        <v>44</v>
      </c>
      <c r="B1187" s="7" t="s">
        <v>2495</v>
      </c>
      <c r="C1187" s="7" t="s">
        <v>67</v>
      </c>
      <c r="D1187" s="8">
        <v>45014</v>
      </c>
      <c r="E1187" s="8" t="s">
        <v>0</v>
      </c>
      <c r="F1187" s="16" t="s">
        <v>2496</v>
      </c>
      <c r="G1187" s="7" t="s">
        <v>2497</v>
      </c>
      <c r="H1187" s="7" t="s">
        <v>0</v>
      </c>
      <c r="I1187" s="7" t="s">
        <v>2493</v>
      </c>
      <c r="J1187" s="7" t="s">
        <v>2493</v>
      </c>
      <c r="K1187" s="7" t="s">
        <v>85</v>
      </c>
      <c r="L1187" s="7" t="s">
        <v>96</v>
      </c>
      <c r="M1187" s="7" t="s">
        <v>398</v>
      </c>
      <c r="N1187" s="7" t="s">
        <v>2492</v>
      </c>
      <c r="O1187" s="7" t="s">
        <v>0</v>
      </c>
      <c r="P1187" s="7" t="s">
        <v>2494</v>
      </c>
      <c r="Q1187" s="7" t="s">
        <v>402</v>
      </c>
      <c r="R1187" s="7" t="s">
        <v>361</v>
      </c>
      <c r="S1187" s="7" t="s">
        <v>361</v>
      </c>
      <c r="T1187" s="7" t="s">
        <v>54</v>
      </c>
      <c r="U1187" s="7" t="s">
        <v>362</v>
      </c>
      <c r="V1187" s="7" t="s">
        <v>295</v>
      </c>
      <c r="W1187" s="7" t="s">
        <v>57</v>
      </c>
      <c r="X1187" s="7" t="s">
        <v>103</v>
      </c>
      <c r="Y1187" s="8">
        <v>45017</v>
      </c>
      <c r="Z1187" s="8">
        <v>45291</v>
      </c>
      <c r="AA1187" s="7" t="s">
        <v>296</v>
      </c>
      <c r="AB1187" s="7" t="s">
        <v>366</v>
      </c>
      <c r="AC1187" s="7" t="s">
        <v>278</v>
      </c>
      <c r="AD1187" s="7" t="s">
        <v>367</v>
      </c>
      <c r="AE1187" s="7" t="s">
        <v>82</v>
      </c>
      <c r="AF1187" s="7" t="s">
        <v>0</v>
      </c>
      <c r="AG1187" s="7" t="s">
        <v>0</v>
      </c>
      <c r="AH1187" s="9" t="s">
        <v>11355</v>
      </c>
      <c r="AI1187" s="9" t="s">
        <v>11356</v>
      </c>
      <c r="AJ1187" s="9" t="s">
        <v>11357</v>
      </c>
      <c r="AK1187" s="7" t="s">
        <v>61</v>
      </c>
      <c r="AL1187" s="7" t="s">
        <v>61</v>
      </c>
      <c r="AM1187" s="7" t="s">
        <v>0</v>
      </c>
      <c r="AN1187" s="7" t="s">
        <v>0</v>
      </c>
      <c r="AO1187" s="7" t="s">
        <v>0</v>
      </c>
      <c r="AP1187" s="7" t="s">
        <v>0</v>
      </c>
      <c r="AQ1187" s="7" t="s">
        <v>61</v>
      </c>
      <c r="AR1187" s="7" t="s">
        <v>0</v>
      </c>
      <c r="AS1187" s="10" t="str">
        <f>HYPERLINK("https://tessa.gazprom-neft.local/edo/card/a7372ee3-d8f8-41ff-8d17-6c024a9dc558", "https://tessa.gazprom-neft.local/edo/card/a7372ee3-d8f8-41ff-8d17-6c024a9dc558")</f>
        <v>https://tessa.gazprom-neft.local/edo/card/a7372ee3-d8f8-41ff-8d17-6c024a9dc558</v>
      </c>
    </row>
    <row r="1188" spans="1:45" x14ac:dyDescent="0.25">
      <c r="A1188" s="6" t="s">
        <v>44</v>
      </c>
      <c r="B1188" s="7" t="s">
        <v>727</v>
      </c>
      <c r="C1188" s="7" t="s">
        <v>67</v>
      </c>
      <c r="D1188" s="8">
        <v>45014</v>
      </c>
      <c r="E1188" s="8" t="s">
        <v>0</v>
      </c>
      <c r="F1188" s="16" t="s">
        <v>728</v>
      </c>
      <c r="G1188" s="7" t="s">
        <v>729</v>
      </c>
      <c r="H1188" s="7" t="s">
        <v>725</v>
      </c>
      <c r="I1188" s="7" t="s">
        <v>0</v>
      </c>
      <c r="J1188" s="7" t="s">
        <v>271</v>
      </c>
      <c r="K1188" s="7" t="s">
        <v>85</v>
      </c>
      <c r="L1188" s="7" t="s">
        <v>48</v>
      </c>
      <c r="M1188" s="7" t="s">
        <v>2128</v>
      </c>
      <c r="N1188" s="7" t="s">
        <v>2765</v>
      </c>
      <c r="O1188" s="7" t="s">
        <v>0</v>
      </c>
      <c r="P1188" s="7" t="s">
        <v>2766</v>
      </c>
      <c r="Q1188" s="7" t="s">
        <v>2163</v>
      </c>
      <c r="R1188" s="7" t="s">
        <v>646</v>
      </c>
      <c r="S1188" s="7" t="s">
        <v>0</v>
      </c>
      <c r="T1188" s="7" t="s">
        <v>54</v>
      </c>
      <c r="U1188" s="7" t="s">
        <v>55</v>
      </c>
      <c r="V1188" s="7" t="s">
        <v>56</v>
      </c>
      <c r="W1188" s="7" t="s">
        <v>74</v>
      </c>
      <c r="X1188" s="7" t="s">
        <v>58</v>
      </c>
      <c r="Y1188" s="8">
        <v>45014</v>
      </c>
      <c r="Z1188" s="8" t="s">
        <v>0</v>
      </c>
      <c r="AA1188" s="7" t="s">
        <v>59</v>
      </c>
      <c r="AB1188" s="7" t="s">
        <v>130</v>
      </c>
      <c r="AC1188" s="7" t="s">
        <v>65</v>
      </c>
      <c r="AD1188" s="7" t="s">
        <v>144</v>
      </c>
      <c r="AE1188" s="7" t="s">
        <v>0</v>
      </c>
      <c r="AF1188" s="7" t="s">
        <v>0</v>
      </c>
      <c r="AG1188" s="7" t="s">
        <v>0</v>
      </c>
      <c r="AH1188" s="9" t="s">
        <v>0</v>
      </c>
      <c r="AI1188" s="9" t="s">
        <v>0</v>
      </c>
      <c r="AJ1188" s="9" t="s">
        <v>0</v>
      </c>
      <c r="AK1188" s="7" t="s">
        <v>61</v>
      </c>
      <c r="AL1188" s="7" t="s">
        <v>61</v>
      </c>
      <c r="AM1188" s="7" t="s">
        <v>0</v>
      </c>
      <c r="AN1188" s="7" t="s">
        <v>0</v>
      </c>
      <c r="AO1188" s="7" t="s">
        <v>0</v>
      </c>
      <c r="AP1188" s="7" t="s">
        <v>0</v>
      </c>
      <c r="AQ1188" s="7" t="s">
        <v>61</v>
      </c>
      <c r="AR1188" s="7" t="s">
        <v>0</v>
      </c>
      <c r="AS1188" s="10" t="str">
        <f>HYPERLINK("https://tessa.gazprom-neft.local/edo/card/422188e5-e1d8-42d8-aba8-64b21981b399", "https://tessa.gazprom-neft.local/edo/card/422188e5-e1d8-42d8-aba8-64b21981b399")</f>
        <v>https://tessa.gazprom-neft.local/edo/card/422188e5-e1d8-42d8-aba8-64b21981b399</v>
      </c>
    </row>
    <row r="1189" spans="1:45" x14ac:dyDescent="0.25">
      <c r="A1189" s="6" t="s">
        <v>44</v>
      </c>
      <c r="B1189" s="7" t="s">
        <v>2898</v>
      </c>
      <c r="C1189" s="7" t="s">
        <v>67</v>
      </c>
      <c r="D1189" s="8">
        <v>45014</v>
      </c>
      <c r="E1189" s="8" t="s">
        <v>0</v>
      </c>
      <c r="F1189" s="16" t="s">
        <v>2899</v>
      </c>
      <c r="G1189" s="7" t="s">
        <v>2900</v>
      </c>
      <c r="H1189" s="7" t="s">
        <v>0</v>
      </c>
      <c r="I1189" s="7" t="s">
        <v>0</v>
      </c>
      <c r="J1189" s="7" t="s">
        <v>355</v>
      </c>
      <c r="K1189" s="7" t="s">
        <v>47</v>
      </c>
      <c r="L1189" s="7" t="s">
        <v>48</v>
      </c>
      <c r="M1189" s="7" t="s">
        <v>0</v>
      </c>
      <c r="N1189" s="7" t="s">
        <v>2896</v>
      </c>
      <c r="O1189" s="7" t="s">
        <v>0</v>
      </c>
      <c r="P1189" s="7" t="s">
        <v>48</v>
      </c>
      <c r="Q1189" s="7" t="s">
        <v>2897</v>
      </c>
      <c r="R1189" s="7" t="s">
        <v>590</v>
      </c>
      <c r="S1189" s="7" t="s">
        <v>394</v>
      </c>
      <c r="T1189" s="7" t="s">
        <v>54</v>
      </c>
      <c r="U1189" s="7" t="s">
        <v>591</v>
      </c>
      <c r="V1189" s="7" t="s">
        <v>126</v>
      </c>
      <c r="W1189" s="7" t="s">
        <v>57</v>
      </c>
      <c r="X1189" s="7" t="s">
        <v>103</v>
      </c>
      <c r="Y1189" s="8">
        <v>45016</v>
      </c>
      <c r="Z1189" s="8">
        <v>45107</v>
      </c>
      <c r="AA1189" s="7" t="s">
        <v>224</v>
      </c>
      <c r="AB1189" s="7" t="s">
        <v>387</v>
      </c>
      <c r="AC1189" s="7" t="s">
        <v>65</v>
      </c>
      <c r="AD1189" s="7" t="s">
        <v>0</v>
      </c>
      <c r="AE1189" s="7" t="s">
        <v>0</v>
      </c>
      <c r="AF1189" s="7" t="s">
        <v>0</v>
      </c>
      <c r="AG1189" s="7" t="s">
        <v>0</v>
      </c>
      <c r="AH1189" s="9" t="s">
        <v>0</v>
      </c>
      <c r="AI1189" s="9" t="s">
        <v>0</v>
      </c>
      <c r="AJ1189" s="9" t="s">
        <v>0</v>
      </c>
      <c r="AK1189" s="7" t="s">
        <v>61</v>
      </c>
      <c r="AL1189" s="7" t="s">
        <v>61</v>
      </c>
      <c r="AM1189" s="7" t="s">
        <v>0</v>
      </c>
      <c r="AN1189" s="7" t="s">
        <v>0</v>
      </c>
      <c r="AO1189" s="7" t="s">
        <v>0</v>
      </c>
      <c r="AP1189" s="7" t="s">
        <v>0</v>
      </c>
      <c r="AQ1189" s="7" t="s">
        <v>61</v>
      </c>
      <c r="AR1189" s="7" t="s">
        <v>0</v>
      </c>
      <c r="AS1189" s="10" t="str">
        <f>HYPERLINK("https://tessa.gazprom-neft.local/edo/card/d028d8f6-1ef0-4d37-b4f3-3c69471a17b6", "https://tessa.gazprom-neft.local/edo/card/d028d8f6-1ef0-4d37-b4f3-3c69471a17b6")</f>
        <v>https://tessa.gazprom-neft.local/edo/card/d028d8f6-1ef0-4d37-b4f3-3c69471a17b6</v>
      </c>
    </row>
    <row r="1190" spans="1:45" hidden="1" x14ac:dyDescent="0.25">
      <c r="A1190" s="6" t="s">
        <v>44</v>
      </c>
      <c r="B1190" s="7" t="s">
        <v>542</v>
      </c>
      <c r="C1190" s="7" t="s">
        <v>67</v>
      </c>
      <c r="D1190" s="8">
        <v>45013</v>
      </c>
      <c r="E1190" s="8" t="s">
        <v>0</v>
      </c>
      <c r="F1190" s="16" t="s">
        <v>543</v>
      </c>
      <c r="G1190" s="7" t="s">
        <v>544</v>
      </c>
      <c r="H1190" s="7" t="s">
        <v>0</v>
      </c>
      <c r="I1190" s="7" t="s">
        <v>2738</v>
      </c>
      <c r="J1190" s="7" t="s">
        <v>2738</v>
      </c>
      <c r="K1190" s="7" t="s">
        <v>85</v>
      </c>
      <c r="L1190" s="7" t="s">
        <v>86</v>
      </c>
      <c r="M1190" s="7" t="s">
        <v>2736</v>
      </c>
      <c r="N1190" s="7" t="s">
        <v>2737</v>
      </c>
      <c r="O1190" s="7" t="s">
        <v>0</v>
      </c>
      <c r="P1190" s="7" t="s">
        <v>2736</v>
      </c>
      <c r="Q1190" s="7" t="s">
        <v>2739</v>
      </c>
      <c r="R1190" s="7" t="s">
        <v>540</v>
      </c>
      <c r="S1190" s="7" t="s">
        <v>0</v>
      </c>
      <c r="T1190" s="7" t="s">
        <v>54</v>
      </c>
      <c r="U1190" s="7" t="s">
        <v>541</v>
      </c>
      <c r="V1190" s="7" t="s">
        <v>56</v>
      </c>
      <c r="W1190" s="7" t="s">
        <v>74</v>
      </c>
      <c r="X1190" s="7" t="s">
        <v>223</v>
      </c>
      <c r="Y1190" s="8">
        <v>45013</v>
      </c>
      <c r="Z1190" s="8" t="s">
        <v>0</v>
      </c>
      <c r="AA1190" s="7" t="s">
        <v>59</v>
      </c>
      <c r="AB1190" s="7" t="s">
        <v>300</v>
      </c>
      <c r="AC1190" s="7" t="s">
        <v>65</v>
      </c>
      <c r="AD1190" s="7" t="s">
        <v>0</v>
      </c>
      <c r="AE1190" s="7" t="s">
        <v>0</v>
      </c>
      <c r="AF1190" s="7" t="s">
        <v>0</v>
      </c>
      <c r="AG1190" s="7" t="s">
        <v>0</v>
      </c>
      <c r="AH1190" s="9" t="s">
        <v>0</v>
      </c>
      <c r="AI1190" s="9" t="s">
        <v>0</v>
      </c>
      <c r="AJ1190" s="9" t="s">
        <v>0</v>
      </c>
      <c r="AK1190" s="7" t="s">
        <v>61</v>
      </c>
      <c r="AL1190" s="7" t="s">
        <v>61</v>
      </c>
      <c r="AM1190" s="7" t="s">
        <v>0</v>
      </c>
      <c r="AN1190" s="7" t="s">
        <v>0</v>
      </c>
      <c r="AO1190" s="7" t="s">
        <v>0</v>
      </c>
      <c r="AP1190" s="7" t="s">
        <v>0</v>
      </c>
      <c r="AQ1190" s="7" t="s">
        <v>61</v>
      </c>
      <c r="AR1190" s="7" t="s">
        <v>0</v>
      </c>
      <c r="AS1190" s="10" t="str">
        <f>HYPERLINK("https://tessa.gazprom-neft.local/edo/card/fa415e82-3087-4304-8df9-de2bed642738", "https://tessa.gazprom-neft.local/edo/card/fa415e82-3087-4304-8df9-de2bed642738")</f>
        <v>https://tessa.gazprom-neft.local/edo/card/fa415e82-3087-4304-8df9-de2bed642738</v>
      </c>
    </row>
    <row r="1191" spans="1:45" hidden="1" x14ac:dyDescent="0.25">
      <c r="A1191" s="6" t="s">
        <v>44</v>
      </c>
      <c r="B1191" s="7" t="s">
        <v>673</v>
      </c>
      <c r="C1191" s="7" t="s">
        <v>67</v>
      </c>
      <c r="D1191" s="8">
        <v>45013</v>
      </c>
      <c r="E1191" s="8" t="s">
        <v>0</v>
      </c>
      <c r="F1191" s="16" t="s">
        <v>674</v>
      </c>
      <c r="G1191" s="7" t="s">
        <v>675</v>
      </c>
      <c r="H1191" s="7" t="s">
        <v>0</v>
      </c>
      <c r="I1191" s="7" t="s">
        <v>1943</v>
      </c>
      <c r="J1191" s="7" t="s">
        <v>1943</v>
      </c>
      <c r="K1191" s="7" t="s">
        <v>85</v>
      </c>
      <c r="L1191" s="7" t="s">
        <v>86</v>
      </c>
      <c r="M1191" s="7" t="s">
        <v>216</v>
      </c>
      <c r="N1191" s="7" t="s">
        <v>2789</v>
      </c>
      <c r="O1191" s="7" t="s">
        <v>0</v>
      </c>
      <c r="P1191" s="7" t="s">
        <v>216</v>
      </c>
      <c r="Q1191" s="7" t="s">
        <v>2790</v>
      </c>
      <c r="R1191" s="7" t="s">
        <v>646</v>
      </c>
      <c r="S1191" s="7" t="s">
        <v>0</v>
      </c>
      <c r="T1191" s="7" t="s">
        <v>54</v>
      </c>
      <c r="U1191" s="7" t="s">
        <v>283</v>
      </c>
      <c r="V1191" s="7" t="s">
        <v>308</v>
      </c>
      <c r="W1191" s="7" t="s">
        <v>74</v>
      </c>
      <c r="X1191" s="7" t="s">
        <v>58</v>
      </c>
      <c r="Y1191" s="8">
        <v>45016</v>
      </c>
      <c r="Z1191" s="8" t="s">
        <v>0</v>
      </c>
      <c r="AA1191" s="7" t="s">
        <v>309</v>
      </c>
      <c r="AB1191" s="7" t="s">
        <v>228</v>
      </c>
      <c r="AC1191" s="7" t="s">
        <v>65</v>
      </c>
      <c r="AD1191" s="7" t="s">
        <v>0</v>
      </c>
      <c r="AE1191" s="7" t="s">
        <v>0</v>
      </c>
      <c r="AF1191" s="7" t="s">
        <v>0</v>
      </c>
      <c r="AG1191" s="7" t="s">
        <v>0</v>
      </c>
      <c r="AH1191" s="9" t="s">
        <v>0</v>
      </c>
      <c r="AI1191" s="9" t="s">
        <v>0</v>
      </c>
      <c r="AJ1191" s="9" t="s">
        <v>0</v>
      </c>
      <c r="AK1191" s="7" t="s">
        <v>61</v>
      </c>
      <c r="AL1191" s="7" t="s">
        <v>61</v>
      </c>
      <c r="AM1191" s="7" t="s">
        <v>0</v>
      </c>
      <c r="AN1191" s="7" t="s">
        <v>0</v>
      </c>
      <c r="AO1191" s="7" t="s">
        <v>0</v>
      </c>
      <c r="AP1191" s="7" t="s">
        <v>0</v>
      </c>
      <c r="AQ1191" s="7" t="s">
        <v>61</v>
      </c>
      <c r="AR1191" s="7" t="s">
        <v>0</v>
      </c>
      <c r="AS1191" s="10" t="str">
        <f>HYPERLINK("https://tessa.gazprom-neft.local/edo/card/f08fc601-44e2-4dad-9e04-94f13bb1d98b", "https://tessa.gazprom-neft.local/edo/card/f08fc601-44e2-4dad-9e04-94f13bb1d98b")</f>
        <v>https://tessa.gazprom-neft.local/edo/card/f08fc601-44e2-4dad-9e04-94f13bb1d98b</v>
      </c>
    </row>
    <row r="1192" spans="1:45" hidden="1" x14ac:dyDescent="0.25">
      <c r="A1192" s="6" t="s">
        <v>44</v>
      </c>
      <c r="B1192" s="7" t="s">
        <v>673</v>
      </c>
      <c r="C1192" s="7" t="s">
        <v>67</v>
      </c>
      <c r="D1192" s="8">
        <v>45013</v>
      </c>
      <c r="E1192" s="8" t="s">
        <v>0</v>
      </c>
      <c r="F1192" s="16" t="s">
        <v>674</v>
      </c>
      <c r="G1192" s="7" t="s">
        <v>675</v>
      </c>
      <c r="H1192" s="7" t="s">
        <v>0</v>
      </c>
      <c r="I1192" s="7" t="s">
        <v>2804</v>
      </c>
      <c r="J1192" s="7" t="s">
        <v>2804</v>
      </c>
      <c r="K1192" s="7" t="s">
        <v>85</v>
      </c>
      <c r="L1192" s="7" t="s">
        <v>86</v>
      </c>
      <c r="M1192" s="7" t="s">
        <v>289</v>
      </c>
      <c r="N1192" s="7" t="s">
        <v>2803</v>
      </c>
      <c r="O1192" s="7" t="s">
        <v>0</v>
      </c>
      <c r="P1192" s="7" t="s">
        <v>289</v>
      </c>
      <c r="Q1192" s="7" t="s">
        <v>426</v>
      </c>
      <c r="R1192" s="7" t="s">
        <v>646</v>
      </c>
      <c r="S1192" s="7" t="s">
        <v>338</v>
      </c>
      <c r="T1192" s="7" t="s">
        <v>54</v>
      </c>
      <c r="U1192" s="7" t="s">
        <v>362</v>
      </c>
      <c r="V1192" s="7" t="s">
        <v>56</v>
      </c>
      <c r="W1192" s="7" t="s">
        <v>74</v>
      </c>
      <c r="X1192" s="7" t="s">
        <v>58</v>
      </c>
      <c r="Y1192" s="8">
        <v>45016</v>
      </c>
      <c r="Z1192" s="8" t="s">
        <v>0</v>
      </c>
      <c r="AA1192" s="7" t="s">
        <v>0</v>
      </c>
      <c r="AB1192" s="7" t="s">
        <v>300</v>
      </c>
      <c r="AC1192" s="7" t="s">
        <v>65</v>
      </c>
      <c r="AD1192" s="7" t="s">
        <v>0</v>
      </c>
      <c r="AE1192" s="7" t="s">
        <v>0</v>
      </c>
      <c r="AF1192" s="7" t="s">
        <v>0</v>
      </c>
      <c r="AG1192" s="7" t="s">
        <v>0</v>
      </c>
      <c r="AH1192" s="9" t="s">
        <v>0</v>
      </c>
      <c r="AI1192" s="9" t="s">
        <v>0</v>
      </c>
      <c r="AJ1192" s="9" t="s">
        <v>0</v>
      </c>
      <c r="AK1192" s="7" t="s">
        <v>61</v>
      </c>
      <c r="AL1192" s="7" t="s">
        <v>61</v>
      </c>
      <c r="AM1192" s="7" t="s">
        <v>0</v>
      </c>
      <c r="AN1192" s="7" t="s">
        <v>0</v>
      </c>
      <c r="AO1192" s="7" t="s">
        <v>0</v>
      </c>
      <c r="AP1192" s="7" t="s">
        <v>0</v>
      </c>
      <c r="AQ1192" s="7" t="s">
        <v>61</v>
      </c>
      <c r="AR1192" s="7" t="s">
        <v>0</v>
      </c>
      <c r="AS1192" s="10" t="str">
        <f>HYPERLINK("https://tessa.gazprom-neft.local/edo/card/ab51164d-9075-4b23-9f44-25c9bb916c55", "https://tessa.gazprom-neft.local/edo/card/ab51164d-9075-4b23-9f44-25c9bb916c55")</f>
        <v>https://tessa.gazprom-neft.local/edo/card/ab51164d-9075-4b23-9f44-25c9bb916c55</v>
      </c>
    </row>
    <row r="1193" spans="1:45" x14ac:dyDescent="0.25">
      <c r="A1193" s="6" t="s">
        <v>44</v>
      </c>
      <c r="B1193" s="7" t="s">
        <v>403</v>
      </c>
      <c r="C1193" s="7" t="s">
        <v>67</v>
      </c>
      <c r="D1193" s="8">
        <v>45008</v>
      </c>
      <c r="E1193" s="8" t="s">
        <v>0</v>
      </c>
      <c r="F1193" s="16" t="s">
        <v>404</v>
      </c>
      <c r="G1193" s="7" t="s">
        <v>405</v>
      </c>
      <c r="H1193" s="7" t="s">
        <v>2325</v>
      </c>
      <c r="I1193" s="7" t="s">
        <v>0</v>
      </c>
      <c r="J1193" s="7" t="s">
        <v>936</v>
      </c>
      <c r="K1193" s="7" t="s">
        <v>47</v>
      </c>
      <c r="L1193" s="7" t="s">
        <v>48</v>
      </c>
      <c r="M1193" s="7" t="s">
        <v>0</v>
      </c>
      <c r="N1193" s="7" t="s">
        <v>2324</v>
      </c>
      <c r="O1193" s="7" t="s">
        <v>0</v>
      </c>
      <c r="P1193" s="7" t="s">
        <v>2326</v>
      </c>
      <c r="Q1193" s="7" t="s">
        <v>2327</v>
      </c>
      <c r="R1193" s="7" t="s">
        <v>646</v>
      </c>
      <c r="S1193" s="7" t="s">
        <v>1924</v>
      </c>
      <c r="T1193" s="7" t="s">
        <v>54</v>
      </c>
      <c r="U1193" s="7" t="s">
        <v>55</v>
      </c>
      <c r="V1193" s="7" t="s">
        <v>56</v>
      </c>
      <c r="W1193" s="7" t="s">
        <v>74</v>
      </c>
      <c r="X1193" s="7" t="s">
        <v>103</v>
      </c>
      <c r="Y1193" s="8">
        <v>45008</v>
      </c>
      <c r="Z1193" s="8">
        <v>45657</v>
      </c>
      <c r="AA1193" s="7" t="s">
        <v>59</v>
      </c>
      <c r="AB1193" s="7" t="s">
        <v>130</v>
      </c>
      <c r="AC1193" s="7" t="s">
        <v>79</v>
      </c>
      <c r="AD1193" s="7" t="s">
        <v>80</v>
      </c>
      <c r="AE1193" s="7" t="s">
        <v>82</v>
      </c>
      <c r="AF1193" s="7" t="s">
        <v>0</v>
      </c>
      <c r="AG1193" s="7" t="s">
        <v>0</v>
      </c>
      <c r="AH1193" s="9" t="s">
        <v>11321</v>
      </c>
      <c r="AI1193" s="9" t="s">
        <v>11322</v>
      </c>
      <c r="AJ1193" s="9" t="s">
        <v>11323</v>
      </c>
      <c r="AK1193" s="7" t="s">
        <v>61</v>
      </c>
      <c r="AL1193" s="7" t="s">
        <v>61</v>
      </c>
      <c r="AM1193" s="7" t="s">
        <v>0</v>
      </c>
      <c r="AN1193" s="7" t="s">
        <v>0</v>
      </c>
      <c r="AO1193" s="7" t="s">
        <v>0</v>
      </c>
      <c r="AP1193" s="7" t="s">
        <v>0</v>
      </c>
      <c r="AQ1193" s="7" t="s">
        <v>61</v>
      </c>
      <c r="AR1193" s="7" t="s">
        <v>0</v>
      </c>
      <c r="AS1193" s="10" t="str">
        <f>HYPERLINK("https://tessa.gazprom-neft.local/edo/card/421671ab-38cd-4ef2-88c9-178f364061ef", "https://tessa.gazprom-neft.local/edo/card/421671ab-38cd-4ef2-88c9-178f364061ef")</f>
        <v>https://tessa.gazprom-neft.local/edo/card/421671ab-38cd-4ef2-88c9-178f364061ef</v>
      </c>
    </row>
    <row r="1194" spans="1:45" hidden="1" x14ac:dyDescent="0.25">
      <c r="A1194" s="6" t="s">
        <v>44</v>
      </c>
      <c r="B1194" s="7" t="s">
        <v>661</v>
      </c>
      <c r="C1194" s="7" t="s">
        <v>67</v>
      </c>
      <c r="D1194" s="8">
        <v>45008</v>
      </c>
      <c r="E1194" s="8" t="s">
        <v>0</v>
      </c>
      <c r="F1194" s="16" t="s">
        <v>662</v>
      </c>
      <c r="G1194" s="7" t="s">
        <v>663</v>
      </c>
      <c r="H1194" s="7" t="s">
        <v>764</v>
      </c>
      <c r="I1194" s="7" t="s">
        <v>0</v>
      </c>
      <c r="J1194" s="7" t="s">
        <v>2519</v>
      </c>
      <c r="K1194" s="7" t="s">
        <v>47</v>
      </c>
      <c r="L1194" s="7" t="s">
        <v>763</v>
      </c>
      <c r="M1194" s="7" t="s">
        <v>0</v>
      </c>
      <c r="N1194" s="7" t="s">
        <v>2517</v>
      </c>
      <c r="O1194" s="7" t="s">
        <v>0</v>
      </c>
      <c r="P1194" s="7" t="s">
        <v>2518</v>
      </c>
      <c r="Q1194" s="7" t="s">
        <v>2520</v>
      </c>
      <c r="R1194" s="7" t="s">
        <v>768</v>
      </c>
      <c r="S1194" s="7" t="s">
        <v>714</v>
      </c>
      <c r="T1194" s="7" t="s">
        <v>54</v>
      </c>
      <c r="U1194" s="7" t="s">
        <v>283</v>
      </c>
      <c r="V1194" s="7" t="s">
        <v>168</v>
      </c>
      <c r="W1194" s="7" t="s">
        <v>74</v>
      </c>
      <c r="X1194" s="7" t="s">
        <v>103</v>
      </c>
      <c r="Y1194" s="8">
        <v>45017</v>
      </c>
      <c r="Z1194" s="8">
        <v>45046</v>
      </c>
      <c r="AA1194" s="7" t="s">
        <v>169</v>
      </c>
      <c r="AB1194" s="7" t="s">
        <v>130</v>
      </c>
      <c r="AC1194" s="7" t="s">
        <v>79</v>
      </c>
      <c r="AD1194" s="7" t="s">
        <v>80</v>
      </c>
      <c r="AE1194" s="7" t="s">
        <v>82</v>
      </c>
      <c r="AF1194" s="7" t="s">
        <v>0</v>
      </c>
      <c r="AG1194" s="7" t="s">
        <v>0</v>
      </c>
      <c r="AH1194" s="9" t="s">
        <v>11373</v>
      </c>
      <c r="AI1194" s="9" t="s">
        <v>11374</v>
      </c>
      <c r="AJ1194" s="9" t="s">
        <v>11375</v>
      </c>
      <c r="AK1194" s="7" t="s">
        <v>61</v>
      </c>
      <c r="AL1194" s="7" t="s">
        <v>61</v>
      </c>
      <c r="AM1194" s="7" t="s">
        <v>0</v>
      </c>
      <c r="AN1194" s="7" t="s">
        <v>0</v>
      </c>
      <c r="AO1194" s="7" t="s">
        <v>0</v>
      </c>
      <c r="AP1194" s="7" t="s">
        <v>0</v>
      </c>
      <c r="AQ1194" s="7" t="s">
        <v>61</v>
      </c>
      <c r="AR1194" s="7" t="s">
        <v>0</v>
      </c>
      <c r="AS1194" s="10" t="str">
        <f>HYPERLINK("https://tessa.gazprom-neft.local/edo/card/d0ad2fab-b732-4f64-b00e-9d2added9ae9", "https://tessa.gazprom-neft.local/edo/card/d0ad2fab-b732-4f64-b00e-9d2added9ae9")</f>
        <v>https://tessa.gazprom-neft.local/edo/card/d0ad2fab-b732-4f64-b00e-9d2added9ae9</v>
      </c>
    </row>
    <row r="1195" spans="1:45" hidden="1" x14ac:dyDescent="0.25">
      <c r="A1195" s="6" t="s">
        <v>44</v>
      </c>
      <c r="B1195" s="7" t="s">
        <v>885</v>
      </c>
      <c r="C1195" s="7" t="s">
        <v>67</v>
      </c>
      <c r="D1195" s="8">
        <v>45008</v>
      </c>
      <c r="E1195" s="8" t="s">
        <v>0</v>
      </c>
      <c r="F1195" s="16" t="s">
        <v>886</v>
      </c>
      <c r="G1195" s="7" t="s">
        <v>887</v>
      </c>
      <c r="H1195" s="7" t="s">
        <v>934</v>
      </c>
      <c r="I1195" s="7" t="s">
        <v>0</v>
      </c>
      <c r="J1195" s="7" t="s">
        <v>122</v>
      </c>
      <c r="K1195" s="7" t="s">
        <v>47</v>
      </c>
      <c r="L1195" s="7" t="s">
        <v>239</v>
      </c>
      <c r="M1195" s="7" t="s">
        <v>0</v>
      </c>
      <c r="N1195" s="7" t="s">
        <v>2552</v>
      </c>
      <c r="O1195" s="7" t="s">
        <v>0</v>
      </c>
      <c r="P1195" s="7" t="s">
        <v>2553</v>
      </c>
      <c r="Q1195" s="7" t="s">
        <v>2554</v>
      </c>
      <c r="R1195" s="7" t="s">
        <v>938</v>
      </c>
      <c r="S1195" s="7" t="s">
        <v>0</v>
      </c>
      <c r="T1195" s="7" t="s">
        <v>54</v>
      </c>
      <c r="U1195" s="7" t="s">
        <v>605</v>
      </c>
      <c r="V1195" s="7" t="s">
        <v>126</v>
      </c>
      <c r="W1195" s="7" t="s">
        <v>74</v>
      </c>
      <c r="X1195" s="7" t="s">
        <v>103</v>
      </c>
      <c r="Y1195" s="8">
        <v>45006</v>
      </c>
      <c r="Z1195" s="8">
        <v>45350</v>
      </c>
      <c r="AA1195" s="7" t="s">
        <v>224</v>
      </c>
      <c r="AB1195" s="7" t="s">
        <v>130</v>
      </c>
      <c r="AC1195" s="7" t="s">
        <v>79</v>
      </c>
      <c r="AD1195" s="7" t="s">
        <v>144</v>
      </c>
      <c r="AE1195" s="7" t="s">
        <v>889</v>
      </c>
      <c r="AF1195" s="7" t="s">
        <v>0</v>
      </c>
      <c r="AG1195" s="7" t="s">
        <v>0</v>
      </c>
      <c r="AH1195" s="9" t="s">
        <v>11385</v>
      </c>
      <c r="AI1195" s="9" t="s">
        <v>11385</v>
      </c>
      <c r="AJ1195" s="9">
        <v>0</v>
      </c>
      <c r="AK1195" s="7" t="s">
        <v>61</v>
      </c>
      <c r="AL1195" s="7" t="s">
        <v>61</v>
      </c>
      <c r="AM1195" s="7" t="s">
        <v>0</v>
      </c>
      <c r="AN1195" s="7" t="s">
        <v>0</v>
      </c>
      <c r="AO1195" s="7" t="s">
        <v>0</v>
      </c>
      <c r="AP1195" s="7" t="s">
        <v>0</v>
      </c>
      <c r="AQ1195" s="7" t="s">
        <v>61</v>
      </c>
      <c r="AR1195" s="7" t="s">
        <v>0</v>
      </c>
      <c r="AS1195" s="10" t="str">
        <f>HYPERLINK("https://tessa.gazprom-neft.local/edo/card/838c4404-fd05-4e59-a509-c5380d0434ac", "https://tessa.gazprom-neft.local/edo/card/838c4404-fd05-4e59-a509-c5380d0434ac")</f>
        <v>https://tessa.gazprom-neft.local/edo/card/838c4404-fd05-4e59-a509-c5380d0434ac</v>
      </c>
    </row>
    <row r="1196" spans="1:45" x14ac:dyDescent="0.25">
      <c r="A1196" s="6" t="s">
        <v>44</v>
      </c>
      <c r="B1196" s="7" t="s">
        <v>2434</v>
      </c>
      <c r="C1196" s="7" t="s">
        <v>67</v>
      </c>
      <c r="D1196" s="8">
        <v>45006</v>
      </c>
      <c r="E1196" s="8" t="s">
        <v>0</v>
      </c>
      <c r="F1196" s="16" t="s">
        <v>2435</v>
      </c>
      <c r="G1196" s="7" t="s">
        <v>2436</v>
      </c>
      <c r="H1196" s="7" t="s">
        <v>2431</v>
      </c>
      <c r="I1196" s="7" t="s">
        <v>0</v>
      </c>
      <c r="J1196" s="7" t="s">
        <v>51</v>
      </c>
      <c r="K1196" s="7" t="s">
        <v>47</v>
      </c>
      <c r="L1196" s="7" t="s">
        <v>48</v>
      </c>
      <c r="M1196" s="7" t="s">
        <v>0</v>
      </c>
      <c r="N1196" s="7" t="s">
        <v>2430</v>
      </c>
      <c r="O1196" s="7" t="s">
        <v>0</v>
      </c>
      <c r="P1196" s="7" t="s">
        <v>2432</v>
      </c>
      <c r="Q1196" s="7" t="s">
        <v>2433</v>
      </c>
      <c r="R1196" s="7" t="s">
        <v>604</v>
      </c>
      <c r="S1196" s="7" t="s">
        <v>604</v>
      </c>
      <c r="T1196" s="7" t="s">
        <v>54</v>
      </c>
      <c r="U1196" s="7" t="s">
        <v>605</v>
      </c>
      <c r="V1196" s="7" t="s">
        <v>126</v>
      </c>
      <c r="W1196" s="7" t="s">
        <v>57</v>
      </c>
      <c r="X1196" s="7" t="s">
        <v>58</v>
      </c>
      <c r="Y1196" s="8">
        <v>45006</v>
      </c>
      <c r="Z1196" s="8" t="s">
        <v>0</v>
      </c>
      <c r="AA1196" s="7" t="s">
        <v>224</v>
      </c>
      <c r="AB1196" s="7" t="s">
        <v>2437</v>
      </c>
      <c r="AC1196" s="7" t="s">
        <v>65</v>
      </c>
      <c r="AD1196" s="7" t="s">
        <v>80</v>
      </c>
      <c r="AE1196" s="7" t="s">
        <v>0</v>
      </c>
      <c r="AF1196" s="7" t="s">
        <v>0</v>
      </c>
      <c r="AG1196" s="7" t="s">
        <v>0</v>
      </c>
      <c r="AH1196" s="9" t="s">
        <v>0</v>
      </c>
      <c r="AI1196" s="9" t="s">
        <v>0</v>
      </c>
      <c r="AJ1196" s="9" t="s">
        <v>0</v>
      </c>
      <c r="AK1196" s="7" t="s">
        <v>61</v>
      </c>
      <c r="AL1196" s="7" t="s">
        <v>61</v>
      </c>
      <c r="AM1196" s="7" t="s">
        <v>0</v>
      </c>
      <c r="AN1196" s="7" t="s">
        <v>0</v>
      </c>
      <c r="AO1196" s="7" t="s">
        <v>0</v>
      </c>
      <c r="AP1196" s="7" t="s">
        <v>0</v>
      </c>
      <c r="AQ1196" s="7" t="s">
        <v>61</v>
      </c>
      <c r="AR1196" s="7" t="s">
        <v>0</v>
      </c>
      <c r="AS1196" s="10" t="str">
        <f>HYPERLINK("https://tessa.gazprom-neft.local/edo/card/d0d3e503-c643-45f3-b234-1cfb6eef7d99", "https://tessa.gazprom-neft.local/edo/card/d0d3e503-c643-45f3-b234-1cfb6eef7d99")</f>
        <v>https://tessa.gazprom-neft.local/edo/card/d0d3e503-c643-45f3-b234-1cfb6eef7d99</v>
      </c>
    </row>
    <row r="1197" spans="1:45" hidden="1" x14ac:dyDescent="0.25">
      <c r="A1197" s="6" t="s">
        <v>44</v>
      </c>
      <c r="B1197" s="7" t="s">
        <v>988</v>
      </c>
      <c r="C1197" s="7" t="s">
        <v>67</v>
      </c>
      <c r="D1197" s="8">
        <v>45006</v>
      </c>
      <c r="E1197" s="8" t="s">
        <v>0</v>
      </c>
      <c r="F1197" s="16" t="s">
        <v>989</v>
      </c>
      <c r="G1197" s="7" t="s">
        <v>990</v>
      </c>
      <c r="H1197" s="7" t="s">
        <v>2826</v>
      </c>
      <c r="I1197" s="7" t="s">
        <v>0</v>
      </c>
      <c r="J1197" s="7" t="s">
        <v>271</v>
      </c>
      <c r="K1197" s="7" t="s">
        <v>47</v>
      </c>
      <c r="L1197" s="7" t="s">
        <v>763</v>
      </c>
      <c r="M1197" s="7" t="s">
        <v>0</v>
      </c>
      <c r="N1197" s="7" t="s">
        <v>2825</v>
      </c>
      <c r="O1197" s="7" t="s">
        <v>0</v>
      </c>
      <c r="P1197" s="7" t="s">
        <v>2827</v>
      </c>
      <c r="Q1197" s="7" t="s">
        <v>2828</v>
      </c>
      <c r="R1197" s="7" t="s">
        <v>505</v>
      </c>
      <c r="S1197" s="7" t="s">
        <v>1503</v>
      </c>
      <c r="T1197" s="7" t="s">
        <v>54</v>
      </c>
      <c r="U1197" s="7" t="s">
        <v>283</v>
      </c>
      <c r="V1197" s="7" t="s">
        <v>308</v>
      </c>
      <c r="W1197" s="7" t="s">
        <v>74</v>
      </c>
      <c r="X1197" s="7" t="s">
        <v>103</v>
      </c>
      <c r="Y1197" s="8">
        <v>45020</v>
      </c>
      <c r="Z1197" s="8">
        <v>45077</v>
      </c>
      <c r="AA1197" s="7" t="s">
        <v>309</v>
      </c>
      <c r="AB1197" s="7" t="s">
        <v>2546</v>
      </c>
      <c r="AC1197" s="7" t="s">
        <v>79</v>
      </c>
      <c r="AD1197" s="7" t="s">
        <v>144</v>
      </c>
      <c r="AE1197" s="7" t="s">
        <v>82</v>
      </c>
      <c r="AF1197" s="7" t="s">
        <v>0</v>
      </c>
      <c r="AG1197" s="7" t="s">
        <v>0</v>
      </c>
      <c r="AH1197" s="9" t="s">
        <v>11459</v>
      </c>
      <c r="AI1197" s="9" t="s">
        <v>11460</v>
      </c>
      <c r="AJ1197" s="9" t="s">
        <v>11461</v>
      </c>
      <c r="AK1197" s="7" t="s">
        <v>61</v>
      </c>
      <c r="AL1197" s="7" t="s">
        <v>61</v>
      </c>
      <c r="AM1197" s="7" t="s">
        <v>0</v>
      </c>
      <c r="AN1197" s="7" t="s">
        <v>0</v>
      </c>
      <c r="AO1197" s="7" t="s">
        <v>0</v>
      </c>
      <c r="AP1197" s="7" t="s">
        <v>0</v>
      </c>
      <c r="AQ1197" s="7" t="s">
        <v>61</v>
      </c>
      <c r="AR1197" s="7" t="s">
        <v>0</v>
      </c>
      <c r="AS1197" s="10" t="str">
        <f>HYPERLINK("https://tessa.gazprom-neft.local/edo/card/c63eae31-dd2c-4919-9867-626150972514", "https://tessa.gazprom-neft.local/edo/card/c63eae31-dd2c-4919-9867-626150972514")</f>
        <v>https://tessa.gazprom-neft.local/edo/card/c63eae31-dd2c-4919-9867-626150972514</v>
      </c>
    </row>
    <row r="1198" spans="1:45" hidden="1" x14ac:dyDescent="0.25">
      <c r="A1198" s="6" t="s">
        <v>44</v>
      </c>
      <c r="B1198" s="7" t="s">
        <v>0</v>
      </c>
      <c r="C1198" s="7" t="s">
        <v>67</v>
      </c>
      <c r="D1198" s="8">
        <v>45005</v>
      </c>
      <c r="E1198" s="8" t="s">
        <v>0</v>
      </c>
      <c r="F1198" s="16" t="s">
        <v>1630</v>
      </c>
      <c r="G1198" s="7" t="s">
        <v>0</v>
      </c>
      <c r="H1198" s="7" t="s">
        <v>0</v>
      </c>
      <c r="I1198" s="7" t="s">
        <v>1627</v>
      </c>
      <c r="J1198" s="7" t="s">
        <v>1627</v>
      </c>
      <c r="K1198" s="7" t="s">
        <v>47</v>
      </c>
      <c r="L1198" s="7" t="s">
        <v>86</v>
      </c>
      <c r="M1198" s="7" t="s">
        <v>0</v>
      </c>
      <c r="N1198" s="7" t="s">
        <v>1626</v>
      </c>
      <c r="O1198" s="7" t="s">
        <v>0</v>
      </c>
      <c r="P1198" s="7" t="s">
        <v>1628</v>
      </c>
      <c r="Q1198" s="7" t="s">
        <v>1629</v>
      </c>
      <c r="R1198" s="7" t="s">
        <v>1172</v>
      </c>
      <c r="S1198" s="7" t="s">
        <v>1172</v>
      </c>
      <c r="T1198" s="7" t="s">
        <v>54</v>
      </c>
      <c r="U1198" s="7" t="s">
        <v>307</v>
      </c>
      <c r="V1198" s="7" t="s">
        <v>126</v>
      </c>
      <c r="W1198" s="7" t="s">
        <v>57</v>
      </c>
      <c r="X1198" s="7" t="s">
        <v>103</v>
      </c>
      <c r="Y1198" s="8">
        <v>45005</v>
      </c>
      <c r="Z1198" s="8">
        <v>45077</v>
      </c>
      <c r="AA1198" s="7" t="s">
        <v>224</v>
      </c>
      <c r="AB1198" s="7" t="s">
        <v>1419</v>
      </c>
      <c r="AC1198" s="7" t="s">
        <v>65</v>
      </c>
      <c r="AD1198" s="7" t="s">
        <v>0</v>
      </c>
      <c r="AE1198" s="7" t="s">
        <v>0</v>
      </c>
      <c r="AF1198" s="7" t="s">
        <v>0</v>
      </c>
      <c r="AG1198" s="7" t="s">
        <v>0</v>
      </c>
      <c r="AH1198" s="9" t="s">
        <v>0</v>
      </c>
      <c r="AI1198" s="9" t="s">
        <v>0</v>
      </c>
      <c r="AJ1198" s="9" t="s">
        <v>0</v>
      </c>
      <c r="AK1198" s="7" t="s">
        <v>61</v>
      </c>
      <c r="AL1198" s="7" t="s">
        <v>61</v>
      </c>
      <c r="AM1198" s="7" t="s">
        <v>0</v>
      </c>
      <c r="AN1198" s="7" t="s">
        <v>0</v>
      </c>
      <c r="AO1198" s="7" t="s">
        <v>0</v>
      </c>
      <c r="AP1198" s="7" t="s">
        <v>0</v>
      </c>
      <c r="AQ1198" s="7" t="s">
        <v>61</v>
      </c>
      <c r="AR1198" s="7" t="s">
        <v>0</v>
      </c>
      <c r="AS1198" s="10" t="str">
        <f>HYPERLINK("https://tessa.gazprom-neft.local/edo/card/ef86749b-45dc-4648-a2fe-58089860dd18", "https://tessa.gazprom-neft.local/edo/card/ef86749b-45dc-4648-a2fe-58089860dd18")</f>
        <v>https://tessa.gazprom-neft.local/edo/card/ef86749b-45dc-4648-a2fe-58089860dd18</v>
      </c>
    </row>
    <row r="1199" spans="1:45" x14ac:dyDescent="0.25">
      <c r="A1199" s="6" t="s">
        <v>44</v>
      </c>
      <c r="B1199" s="7" t="s">
        <v>2274</v>
      </c>
      <c r="C1199" s="7" t="s">
        <v>67</v>
      </c>
      <c r="D1199" s="8">
        <v>45005</v>
      </c>
      <c r="E1199" s="8" t="s">
        <v>0</v>
      </c>
      <c r="F1199" s="16" t="s">
        <v>2275</v>
      </c>
      <c r="G1199" s="7" t="s">
        <v>2276</v>
      </c>
      <c r="H1199" s="7" t="s">
        <v>2271</v>
      </c>
      <c r="I1199" s="7" t="s">
        <v>0</v>
      </c>
      <c r="J1199" s="7" t="s">
        <v>156</v>
      </c>
      <c r="K1199" s="7" t="s">
        <v>47</v>
      </c>
      <c r="L1199" s="7" t="s">
        <v>48</v>
      </c>
      <c r="M1199" s="7" t="s">
        <v>0</v>
      </c>
      <c r="N1199" s="7" t="s">
        <v>2270</v>
      </c>
      <c r="O1199" s="7" t="s">
        <v>0</v>
      </c>
      <c r="P1199" s="7" t="s">
        <v>2272</v>
      </c>
      <c r="Q1199" s="7" t="s">
        <v>2273</v>
      </c>
      <c r="R1199" s="7" t="s">
        <v>135</v>
      </c>
      <c r="S1199" s="7" t="s">
        <v>0</v>
      </c>
      <c r="T1199" s="7" t="s">
        <v>54</v>
      </c>
      <c r="U1199" s="7" t="s">
        <v>136</v>
      </c>
      <c r="V1199" s="7" t="s">
        <v>308</v>
      </c>
      <c r="W1199" s="7" t="s">
        <v>57</v>
      </c>
      <c r="X1199" s="7" t="s">
        <v>103</v>
      </c>
      <c r="Y1199" s="8">
        <v>45005</v>
      </c>
      <c r="Z1199" s="8">
        <v>45291</v>
      </c>
      <c r="AA1199" s="7" t="s">
        <v>309</v>
      </c>
      <c r="AB1199" s="7" t="s">
        <v>64</v>
      </c>
      <c r="AC1199" s="7" t="s">
        <v>79</v>
      </c>
      <c r="AD1199" s="7" t="s">
        <v>80</v>
      </c>
      <c r="AE1199" s="7" t="s">
        <v>82</v>
      </c>
      <c r="AF1199" s="7" t="s">
        <v>0</v>
      </c>
      <c r="AG1199" s="7" t="s">
        <v>0</v>
      </c>
      <c r="AH1199" s="9" t="s">
        <v>11302</v>
      </c>
      <c r="AI1199" s="9" t="s">
        <v>11303</v>
      </c>
      <c r="AJ1199" s="9" t="s">
        <v>11304</v>
      </c>
      <c r="AK1199" s="7" t="s">
        <v>61</v>
      </c>
      <c r="AL1199" s="7" t="s">
        <v>61</v>
      </c>
      <c r="AM1199" s="7" t="s">
        <v>0</v>
      </c>
      <c r="AN1199" s="7" t="s">
        <v>0</v>
      </c>
      <c r="AO1199" s="7" t="s">
        <v>0</v>
      </c>
      <c r="AP1199" s="7" t="s">
        <v>0</v>
      </c>
      <c r="AQ1199" s="7" t="s">
        <v>61</v>
      </c>
      <c r="AR1199" s="7" t="s">
        <v>0</v>
      </c>
      <c r="AS1199" s="10" t="str">
        <f>HYPERLINK("https://tessa.gazprom-neft.local/edo/card/da8fe276-384d-44ad-b48a-8af6d4b89d3a", "https://tessa.gazprom-neft.local/edo/card/da8fe276-384d-44ad-b48a-8af6d4b89d3a")</f>
        <v>https://tessa.gazprom-neft.local/edo/card/da8fe276-384d-44ad-b48a-8af6d4b89d3a</v>
      </c>
    </row>
    <row r="1200" spans="1:45" x14ac:dyDescent="0.25">
      <c r="A1200" s="6" t="s">
        <v>44</v>
      </c>
      <c r="B1200" s="7" t="s">
        <v>114</v>
      </c>
      <c r="C1200" s="7" t="s">
        <v>67</v>
      </c>
      <c r="D1200" s="8">
        <v>45002</v>
      </c>
      <c r="E1200" s="8" t="s">
        <v>0</v>
      </c>
      <c r="F1200" s="16" t="s">
        <v>115</v>
      </c>
      <c r="G1200" s="7" t="s">
        <v>116</v>
      </c>
      <c r="H1200" s="7" t="s">
        <v>2310</v>
      </c>
      <c r="I1200" s="7" t="s">
        <v>0</v>
      </c>
      <c r="J1200" s="7" t="s">
        <v>355</v>
      </c>
      <c r="K1200" s="7" t="s">
        <v>47</v>
      </c>
      <c r="L1200" s="7" t="s">
        <v>48</v>
      </c>
      <c r="M1200" s="7" t="s">
        <v>0</v>
      </c>
      <c r="N1200" s="7" t="s">
        <v>2309</v>
      </c>
      <c r="O1200" s="7" t="s">
        <v>0</v>
      </c>
      <c r="P1200" s="7" t="s">
        <v>2311</v>
      </c>
      <c r="Q1200" s="7" t="s">
        <v>2312</v>
      </c>
      <c r="R1200" s="7" t="s">
        <v>1042</v>
      </c>
      <c r="S1200" s="7" t="s">
        <v>1042</v>
      </c>
      <c r="T1200" s="7" t="s">
        <v>54</v>
      </c>
      <c r="U1200" s="7" t="s">
        <v>1043</v>
      </c>
      <c r="V1200" s="7" t="s">
        <v>723</v>
      </c>
      <c r="W1200" s="7" t="s">
        <v>57</v>
      </c>
      <c r="X1200" s="7" t="s">
        <v>103</v>
      </c>
      <c r="Y1200" s="8">
        <v>44621</v>
      </c>
      <c r="Z1200" s="8">
        <v>45046</v>
      </c>
      <c r="AA1200" s="7" t="s">
        <v>0</v>
      </c>
      <c r="AB1200" s="7" t="s">
        <v>117</v>
      </c>
      <c r="AC1200" s="7" t="s">
        <v>79</v>
      </c>
      <c r="AD1200" s="7" t="s">
        <v>80</v>
      </c>
      <c r="AE1200" s="7" t="s">
        <v>118</v>
      </c>
      <c r="AF1200" s="7" t="s">
        <v>0</v>
      </c>
      <c r="AG1200" s="7" t="s">
        <v>0</v>
      </c>
      <c r="AH1200" s="9" t="s">
        <v>11317</v>
      </c>
      <c r="AI1200" s="9" t="s">
        <v>11317</v>
      </c>
      <c r="AJ1200" s="9">
        <v>0</v>
      </c>
      <c r="AK1200" s="7" t="s">
        <v>61</v>
      </c>
      <c r="AL1200" s="7" t="s">
        <v>61</v>
      </c>
      <c r="AM1200" s="7" t="s">
        <v>0</v>
      </c>
      <c r="AN1200" s="7" t="s">
        <v>0</v>
      </c>
      <c r="AO1200" s="7" t="s">
        <v>0</v>
      </c>
      <c r="AP1200" s="7" t="s">
        <v>0</v>
      </c>
      <c r="AQ1200" s="7" t="s">
        <v>61</v>
      </c>
      <c r="AR1200" s="7" t="s">
        <v>0</v>
      </c>
      <c r="AS1200" s="10" t="str">
        <f>HYPERLINK("https://tessa.gazprom-neft.local/edo/card/6e30a987-8bd5-4a3d-bdea-439c9d7c7150", "https://tessa.gazprom-neft.local/edo/card/6e30a987-8bd5-4a3d-bdea-439c9d7c7150")</f>
        <v>https://tessa.gazprom-neft.local/edo/card/6e30a987-8bd5-4a3d-bdea-439c9d7c7150</v>
      </c>
    </row>
    <row r="1201" spans="1:45" x14ac:dyDescent="0.25">
      <c r="A1201" s="6" t="s">
        <v>44</v>
      </c>
      <c r="B1201" s="7" t="s">
        <v>350</v>
      </c>
      <c r="C1201" s="7" t="s">
        <v>67</v>
      </c>
      <c r="D1201" s="8">
        <v>45002</v>
      </c>
      <c r="E1201" s="8" t="s">
        <v>0</v>
      </c>
      <c r="F1201" s="16" t="s">
        <v>1027</v>
      </c>
      <c r="G1201" s="7" t="s">
        <v>352</v>
      </c>
      <c r="H1201" s="7" t="s">
        <v>1024</v>
      </c>
      <c r="I1201" s="7" t="s">
        <v>0</v>
      </c>
      <c r="J1201" s="7" t="s">
        <v>955</v>
      </c>
      <c r="K1201" s="7" t="s">
        <v>47</v>
      </c>
      <c r="L1201" s="7" t="s">
        <v>48</v>
      </c>
      <c r="M1201" s="7" t="s">
        <v>0</v>
      </c>
      <c r="N1201" s="7" t="s">
        <v>2392</v>
      </c>
      <c r="O1201" s="7" t="s">
        <v>0</v>
      </c>
      <c r="P1201" s="7" t="s">
        <v>2393</v>
      </c>
      <c r="Q1201" s="7" t="s">
        <v>2394</v>
      </c>
      <c r="R1201" s="7" t="s">
        <v>768</v>
      </c>
      <c r="S1201" s="7" t="s">
        <v>0</v>
      </c>
      <c r="T1201" s="7" t="s">
        <v>54</v>
      </c>
      <c r="U1201" s="7" t="s">
        <v>283</v>
      </c>
      <c r="V1201" s="7" t="s">
        <v>168</v>
      </c>
      <c r="W1201" s="7" t="s">
        <v>57</v>
      </c>
      <c r="X1201" s="7" t="s">
        <v>103</v>
      </c>
      <c r="Y1201" s="8">
        <v>45002</v>
      </c>
      <c r="Z1201" s="8">
        <v>45291</v>
      </c>
      <c r="AA1201" s="7" t="s">
        <v>169</v>
      </c>
      <c r="AB1201" s="7" t="s">
        <v>64</v>
      </c>
      <c r="AC1201" s="7" t="s">
        <v>79</v>
      </c>
      <c r="AD1201" s="7" t="s">
        <v>80</v>
      </c>
      <c r="AE1201" s="7" t="s">
        <v>82</v>
      </c>
      <c r="AF1201" s="7" t="s">
        <v>0</v>
      </c>
      <c r="AG1201" s="7" t="s">
        <v>0</v>
      </c>
      <c r="AH1201" s="9" t="s">
        <v>11335</v>
      </c>
      <c r="AI1201" s="9" t="s">
        <v>11336</v>
      </c>
      <c r="AJ1201" s="9" t="s">
        <v>11337</v>
      </c>
      <c r="AK1201" s="7" t="s">
        <v>61</v>
      </c>
      <c r="AL1201" s="7" t="s">
        <v>61</v>
      </c>
      <c r="AM1201" s="7" t="s">
        <v>0</v>
      </c>
      <c r="AN1201" s="7" t="s">
        <v>0</v>
      </c>
      <c r="AO1201" s="7" t="s">
        <v>0</v>
      </c>
      <c r="AP1201" s="7" t="s">
        <v>0</v>
      </c>
      <c r="AQ1201" s="7" t="s">
        <v>61</v>
      </c>
      <c r="AR1201" s="7" t="s">
        <v>0</v>
      </c>
      <c r="AS1201" s="10" t="str">
        <f>HYPERLINK("https://tessa.gazprom-neft.local/edo/card/f4a5d6bc-1d32-4395-a08e-ad3ed6629b07", "https://tessa.gazprom-neft.local/edo/card/f4a5d6bc-1d32-4395-a08e-ad3ed6629b07")</f>
        <v>https://tessa.gazprom-neft.local/edo/card/f4a5d6bc-1d32-4395-a08e-ad3ed6629b07</v>
      </c>
    </row>
    <row r="1202" spans="1:45" hidden="1" x14ac:dyDescent="0.25">
      <c r="A1202" s="6" t="s">
        <v>44</v>
      </c>
      <c r="B1202" s="7" t="s">
        <v>592</v>
      </c>
      <c r="C1202" s="7" t="s">
        <v>67</v>
      </c>
      <c r="D1202" s="8">
        <v>45002</v>
      </c>
      <c r="E1202" s="8" t="s">
        <v>0</v>
      </c>
      <c r="F1202" s="16" t="s">
        <v>593</v>
      </c>
      <c r="G1202" s="7" t="s">
        <v>594</v>
      </c>
      <c r="H1202" s="7" t="s">
        <v>2688</v>
      </c>
      <c r="I1202" s="7" t="s">
        <v>0</v>
      </c>
      <c r="J1202" s="7" t="s">
        <v>271</v>
      </c>
      <c r="K1202" s="7" t="s">
        <v>85</v>
      </c>
      <c r="L1202" s="7" t="s">
        <v>239</v>
      </c>
      <c r="M1202" s="7" t="s">
        <v>1252</v>
      </c>
      <c r="N1202" s="7" t="s">
        <v>2687</v>
      </c>
      <c r="O1202" s="7" t="s">
        <v>0</v>
      </c>
      <c r="P1202" s="7" t="s">
        <v>1252</v>
      </c>
      <c r="Q1202" s="7" t="s">
        <v>2689</v>
      </c>
      <c r="R1202" s="7" t="s">
        <v>590</v>
      </c>
      <c r="S1202" s="7" t="s">
        <v>394</v>
      </c>
      <c r="T1202" s="7" t="s">
        <v>54</v>
      </c>
      <c r="U1202" s="7" t="s">
        <v>591</v>
      </c>
      <c r="V1202" s="7" t="s">
        <v>126</v>
      </c>
      <c r="W1202" s="7" t="s">
        <v>74</v>
      </c>
      <c r="X1202" s="7" t="s">
        <v>58</v>
      </c>
      <c r="Y1202" s="8">
        <v>45002</v>
      </c>
      <c r="Z1202" s="8" t="s">
        <v>0</v>
      </c>
      <c r="AA1202" s="7" t="s">
        <v>224</v>
      </c>
      <c r="AB1202" s="7" t="s">
        <v>387</v>
      </c>
      <c r="AC1202" s="7" t="s">
        <v>79</v>
      </c>
      <c r="AD1202" s="7" t="s">
        <v>144</v>
      </c>
      <c r="AE1202" s="7" t="s">
        <v>82</v>
      </c>
      <c r="AF1202" s="7" t="s">
        <v>0</v>
      </c>
      <c r="AG1202" s="7" t="s">
        <v>0</v>
      </c>
      <c r="AH1202" s="9" t="s">
        <v>11428</v>
      </c>
      <c r="AI1202" s="9" t="s">
        <v>11429</v>
      </c>
      <c r="AJ1202" s="9" t="s">
        <v>11430</v>
      </c>
      <c r="AK1202" s="7" t="s">
        <v>61</v>
      </c>
      <c r="AL1202" s="7" t="s">
        <v>61</v>
      </c>
      <c r="AM1202" s="7" t="s">
        <v>0</v>
      </c>
      <c r="AN1202" s="7" t="s">
        <v>0</v>
      </c>
      <c r="AO1202" s="7" t="s">
        <v>0</v>
      </c>
      <c r="AP1202" s="7" t="s">
        <v>0</v>
      </c>
      <c r="AQ1202" s="7" t="s">
        <v>61</v>
      </c>
      <c r="AR1202" s="7" t="s">
        <v>0</v>
      </c>
      <c r="AS1202" s="10" t="str">
        <f>HYPERLINK("https://tessa.gazprom-neft.local/edo/card/fcbe2706-99f8-49df-b55a-82c4b11c6b80", "https://tessa.gazprom-neft.local/edo/card/fcbe2706-99f8-49df-b55a-82c4b11c6b80")</f>
        <v>https://tessa.gazprom-neft.local/edo/card/fcbe2706-99f8-49df-b55a-82c4b11c6b80</v>
      </c>
    </row>
    <row r="1203" spans="1:45" hidden="1" x14ac:dyDescent="0.25">
      <c r="A1203" s="6" t="s">
        <v>44</v>
      </c>
      <c r="B1203" s="7" t="s">
        <v>2235</v>
      </c>
      <c r="C1203" s="7" t="s">
        <v>67</v>
      </c>
      <c r="D1203" s="8">
        <v>45001</v>
      </c>
      <c r="E1203" s="8" t="s">
        <v>0</v>
      </c>
      <c r="F1203" s="16" t="s">
        <v>2236</v>
      </c>
      <c r="G1203" s="7" t="s">
        <v>2237</v>
      </c>
      <c r="H1203" s="7" t="s">
        <v>0</v>
      </c>
      <c r="I1203" s="7" t="s">
        <v>2233</v>
      </c>
      <c r="J1203" s="7" t="s">
        <v>2233</v>
      </c>
      <c r="K1203" s="7" t="s">
        <v>47</v>
      </c>
      <c r="L1203" s="7" t="s">
        <v>86</v>
      </c>
      <c r="M1203" s="7" t="s">
        <v>0</v>
      </c>
      <c r="N1203" s="7" t="s">
        <v>2232</v>
      </c>
      <c r="O1203" s="7" t="s">
        <v>0</v>
      </c>
      <c r="P1203" s="7" t="s">
        <v>1414</v>
      </c>
      <c r="Q1203" s="7" t="s">
        <v>2234</v>
      </c>
      <c r="R1203" s="7" t="s">
        <v>282</v>
      </c>
      <c r="S1203" s="7" t="s">
        <v>0</v>
      </c>
      <c r="T1203" s="7" t="s">
        <v>54</v>
      </c>
      <c r="U1203" s="7" t="s">
        <v>55</v>
      </c>
      <c r="V1203" s="7" t="s">
        <v>56</v>
      </c>
      <c r="W1203" s="7" t="s">
        <v>57</v>
      </c>
      <c r="X1203" s="7" t="s">
        <v>103</v>
      </c>
      <c r="Y1203" s="8">
        <v>45000</v>
      </c>
      <c r="Z1203" s="8">
        <v>46387</v>
      </c>
      <c r="AA1203" s="7" t="s">
        <v>0</v>
      </c>
      <c r="AB1203" s="7" t="s">
        <v>1419</v>
      </c>
      <c r="AC1203" s="7" t="s">
        <v>65</v>
      </c>
      <c r="AD1203" s="7" t="s">
        <v>0</v>
      </c>
      <c r="AE1203" s="7" t="s">
        <v>0</v>
      </c>
      <c r="AF1203" s="7" t="s">
        <v>0</v>
      </c>
      <c r="AG1203" s="7" t="s">
        <v>0</v>
      </c>
      <c r="AH1203" s="9" t="s">
        <v>0</v>
      </c>
      <c r="AI1203" s="9" t="s">
        <v>0</v>
      </c>
      <c r="AJ1203" s="9" t="s">
        <v>0</v>
      </c>
      <c r="AK1203" s="7" t="s">
        <v>61</v>
      </c>
      <c r="AL1203" s="7" t="s">
        <v>61</v>
      </c>
      <c r="AM1203" s="7" t="s">
        <v>0</v>
      </c>
      <c r="AN1203" s="7" t="s">
        <v>0</v>
      </c>
      <c r="AO1203" s="7" t="s">
        <v>0</v>
      </c>
      <c r="AP1203" s="7" t="s">
        <v>0</v>
      </c>
      <c r="AQ1203" s="7" t="s">
        <v>61</v>
      </c>
      <c r="AR1203" s="7" t="s">
        <v>0</v>
      </c>
      <c r="AS1203" s="10" t="str">
        <f>HYPERLINK("https://tessa.gazprom-neft.local/edo/card/9dc30643-4c21-4a3b-b24f-ca066449bd60", "https://tessa.gazprom-neft.local/edo/card/9dc30643-4c21-4a3b-b24f-ca066449bd60")</f>
        <v>https://tessa.gazprom-neft.local/edo/card/9dc30643-4c21-4a3b-b24f-ca066449bd60</v>
      </c>
    </row>
    <row r="1204" spans="1:45" x14ac:dyDescent="0.25">
      <c r="A1204" s="6" t="s">
        <v>44</v>
      </c>
      <c r="B1204" s="7" t="s">
        <v>2448</v>
      </c>
      <c r="C1204" s="7" t="s">
        <v>67</v>
      </c>
      <c r="D1204" s="8">
        <v>45001</v>
      </c>
      <c r="E1204" s="8" t="s">
        <v>0</v>
      </c>
      <c r="F1204" s="16" t="s">
        <v>2449</v>
      </c>
      <c r="G1204" s="7" t="s">
        <v>2450</v>
      </c>
      <c r="H1204" s="7" t="s">
        <v>2445</v>
      </c>
      <c r="I1204" s="7" t="s">
        <v>0</v>
      </c>
      <c r="J1204" s="7" t="s">
        <v>51</v>
      </c>
      <c r="K1204" s="7" t="s">
        <v>47</v>
      </c>
      <c r="L1204" s="7" t="s">
        <v>48</v>
      </c>
      <c r="M1204" s="7" t="s">
        <v>0</v>
      </c>
      <c r="N1204" s="7" t="s">
        <v>2444</v>
      </c>
      <c r="O1204" s="7" t="s">
        <v>0</v>
      </c>
      <c r="P1204" s="7" t="s">
        <v>2446</v>
      </c>
      <c r="Q1204" s="7" t="s">
        <v>2447</v>
      </c>
      <c r="R1204" s="7" t="s">
        <v>110</v>
      </c>
      <c r="S1204" s="7" t="s">
        <v>110</v>
      </c>
      <c r="T1204" s="7" t="s">
        <v>54</v>
      </c>
      <c r="U1204" s="7" t="s">
        <v>111</v>
      </c>
      <c r="V1204" s="7" t="s">
        <v>112</v>
      </c>
      <c r="W1204" s="7" t="s">
        <v>57</v>
      </c>
      <c r="X1204" s="7" t="s">
        <v>58</v>
      </c>
      <c r="Y1204" s="8">
        <v>45001</v>
      </c>
      <c r="Z1204" s="8" t="s">
        <v>0</v>
      </c>
      <c r="AA1204" s="7" t="s">
        <v>113</v>
      </c>
      <c r="AB1204" s="7" t="s">
        <v>64</v>
      </c>
      <c r="AC1204" s="7" t="s">
        <v>79</v>
      </c>
      <c r="AD1204" s="7" t="s">
        <v>80</v>
      </c>
      <c r="AE1204" s="7" t="s">
        <v>82</v>
      </c>
      <c r="AF1204" s="7" t="s">
        <v>0</v>
      </c>
      <c r="AG1204" s="7" t="s">
        <v>0</v>
      </c>
      <c r="AH1204" s="9" t="s">
        <v>11348</v>
      </c>
      <c r="AI1204" s="9" t="s">
        <v>11349</v>
      </c>
      <c r="AJ1204" s="9" t="s">
        <v>11350</v>
      </c>
      <c r="AK1204" s="7" t="s">
        <v>61</v>
      </c>
      <c r="AL1204" s="7" t="s">
        <v>61</v>
      </c>
      <c r="AM1204" s="7" t="s">
        <v>0</v>
      </c>
      <c r="AN1204" s="7" t="s">
        <v>0</v>
      </c>
      <c r="AO1204" s="7" t="s">
        <v>0</v>
      </c>
      <c r="AP1204" s="7" t="s">
        <v>0</v>
      </c>
      <c r="AQ1204" s="7" t="s">
        <v>61</v>
      </c>
      <c r="AR1204" s="7" t="s">
        <v>0</v>
      </c>
      <c r="AS1204" s="10" t="str">
        <f>HYPERLINK("https://tessa.gazprom-neft.local/edo/card/dcc33511-3664-4ce2-8dfa-a771d13d8fb0", "https://tessa.gazprom-neft.local/edo/card/dcc33511-3664-4ce2-8dfa-a771d13d8fb0")</f>
        <v>https://tessa.gazprom-neft.local/edo/card/dcc33511-3664-4ce2-8dfa-a771d13d8fb0</v>
      </c>
    </row>
    <row r="1205" spans="1:45" x14ac:dyDescent="0.25">
      <c r="A1205" s="6" t="s">
        <v>44</v>
      </c>
      <c r="B1205" s="7" t="s">
        <v>2350</v>
      </c>
      <c r="C1205" s="7" t="s">
        <v>67</v>
      </c>
      <c r="D1205" s="8">
        <v>45000</v>
      </c>
      <c r="E1205" s="8" t="s">
        <v>0</v>
      </c>
      <c r="F1205" s="16" t="s">
        <v>2351</v>
      </c>
      <c r="G1205" s="7" t="s">
        <v>2352</v>
      </c>
      <c r="H1205" s="7" t="s">
        <v>2347</v>
      </c>
      <c r="I1205" s="7" t="s">
        <v>0</v>
      </c>
      <c r="J1205" s="7" t="s">
        <v>271</v>
      </c>
      <c r="K1205" s="7" t="s">
        <v>47</v>
      </c>
      <c r="L1205" s="7" t="s">
        <v>48</v>
      </c>
      <c r="M1205" s="7" t="s">
        <v>0</v>
      </c>
      <c r="N1205" s="7" t="s">
        <v>2346</v>
      </c>
      <c r="O1205" s="7" t="s">
        <v>0</v>
      </c>
      <c r="P1205" s="7" t="s">
        <v>312</v>
      </c>
      <c r="Q1205" s="7" t="s">
        <v>2348</v>
      </c>
      <c r="R1205" s="7" t="s">
        <v>2349</v>
      </c>
      <c r="S1205" s="7" t="s">
        <v>2349</v>
      </c>
      <c r="T1205" s="7" t="s">
        <v>54</v>
      </c>
      <c r="U1205" s="7" t="s">
        <v>362</v>
      </c>
      <c r="V1205" s="7" t="s">
        <v>295</v>
      </c>
      <c r="W1205" s="7" t="s">
        <v>74</v>
      </c>
      <c r="X1205" s="7" t="s">
        <v>58</v>
      </c>
      <c r="Y1205" s="8">
        <v>45000</v>
      </c>
      <c r="Z1205" s="8" t="s">
        <v>0</v>
      </c>
      <c r="AA1205" s="7" t="s">
        <v>296</v>
      </c>
      <c r="AB1205" s="7" t="s">
        <v>1748</v>
      </c>
      <c r="AC1205" s="7" t="s">
        <v>79</v>
      </c>
      <c r="AD1205" s="7" t="s">
        <v>80</v>
      </c>
      <c r="AE1205" s="7" t="s">
        <v>82</v>
      </c>
      <c r="AF1205" s="7" t="s">
        <v>0</v>
      </c>
      <c r="AG1205" s="7" t="s">
        <v>2353</v>
      </c>
      <c r="AH1205" s="9" t="s">
        <v>11324</v>
      </c>
      <c r="AI1205" s="9" t="s">
        <v>11325</v>
      </c>
      <c r="AJ1205" s="9" t="s">
        <v>11326</v>
      </c>
      <c r="AK1205" s="7" t="s">
        <v>81</v>
      </c>
      <c r="AL1205" s="7" t="s">
        <v>61</v>
      </c>
      <c r="AM1205" s="7" t="s">
        <v>0</v>
      </c>
      <c r="AN1205" s="7" t="s">
        <v>0</v>
      </c>
      <c r="AO1205" s="7" t="s">
        <v>0</v>
      </c>
      <c r="AP1205" s="7" t="s">
        <v>0</v>
      </c>
      <c r="AQ1205" s="7" t="s">
        <v>61</v>
      </c>
      <c r="AR1205" s="7" t="s">
        <v>0</v>
      </c>
      <c r="AS1205" s="10" t="str">
        <f>HYPERLINK("https://tessa.gazprom-neft.local/edo/card/3afd2437-c2f7-4cca-a8d4-1ac116f58a81", "https://tessa.gazprom-neft.local/edo/card/3afd2437-c2f7-4cca-a8d4-1ac116f58a81")</f>
        <v>https://tessa.gazprom-neft.local/edo/card/3afd2437-c2f7-4cca-a8d4-1ac116f58a81</v>
      </c>
    </row>
    <row r="1206" spans="1:45" x14ac:dyDescent="0.25">
      <c r="A1206" s="6" t="s">
        <v>44</v>
      </c>
      <c r="B1206" s="7" t="s">
        <v>2350</v>
      </c>
      <c r="C1206" s="7" t="s">
        <v>67</v>
      </c>
      <c r="D1206" s="8">
        <v>45000</v>
      </c>
      <c r="E1206" s="8" t="s">
        <v>0</v>
      </c>
      <c r="F1206" s="16" t="s">
        <v>2351</v>
      </c>
      <c r="G1206" s="7" t="s">
        <v>2352</v>
      </c>
      <c r="H1206" s="7" t="s">
        <v>2370</v>
      </c>
      <c r="I1206" s="7" t="s">
        <v>0</v>
      </c>
      <c r="J1206" s="7" t="s">
        <v>872</v>
      </c>
      <c r="K1206" s="7" t="s">
        <v>47</v>
      </c>
      <c r="L1206" s="7" t="s">
        <v>48</v>
      </c>
      <c r="M1206" s="7" t="s">
        <v>0</v>
      </c>
      <c r="N1206" s="7" t="s">
        <v>2369</v>
      </c>
      <c r="O1206" s="7" t="s">
        <v>0</v>
      </c>
      <c r="P1206" s="7" t="s">
        <v>2371</v>
      </c>
      <c r="Q1206" s="7" t="s">
        <v>2372</v>
      </c>
      <c r="R1206" s="7" t="s">
        <v>2349</v>
      </c>
      <c r="S1206" s="7" t="s">
        <v>2349</v>
      </c>
      <c r="T1206" s="7" t="s">
        <v>54</v>
      </c>
      <c r="U1206" s="7" t="s">
        <v>362</v>
      </c>
      <c r="V1206" s="7" t="s">
        <v>295</v>
      </c>
      <c r="W1206" s="7" t="s">
        <v>74</v>
      </c>
      <c r="X1206" s="7" t="s">
        <v>58</v>
      </c>
      <c r="Y1206" s="8">
        <v>45000</v>
      </c>
      <c r="Z1206" s="8" t="s">
        <v>0</v>
      </c>
      <c r="AA1206" s="7" t="s">
        <v>296</v>
      </c>
      <c r="AB1206" s="7" t="s">
        <v>1748</v>
      </c>
      <c r="AC1206" s="7" t="s">
        <v>65</v>
      </c>
      <c r="AD1206" s="7" t="s">
        <v>144</v>
      </c>
      <c r="AE1206" s="7" t="s">
        <v>0</v>
      </c>
      <c r="AF1206" s="7" t="s">
        <v>0</v>
      </c>
      <c r="AG1206" s="7" t="s">
        <v>0</v>
      </c>
      <c r="AH1206" s="9" t="s">
        <v>0</v>
      </c>
      <c r="AI1206" s="9" t="s">
        <v>0</v>
      </c>
      <c r="AJ1206" s="9" t="s">
        <v>0</v>
      </c>
      <c r="AK1206" s="7" t="s">
        <v>61</v>
      </c>
      <c r="AL1206" s="7" t="s">
        <v>61</v>
      </c>
      <c r="AM1206" s="7" t="s">
        <v>0</v>
      </c>
      <c r="AN1206" s="7" t="s">
        <v>0</v>
      </c>
      <c r="AO1206" s="7" t="s">
        <v>0</v>
      </c>
      <c r="AP1206" s="7" t="s">
        <v>0</v>
      </c>
      <c r="AQ1206" s="7" t="s">
        <v>61</v>
      </c>
      <c r="AR1206" s="7" t="s">
        <v>0</v>
      </c>
      <c r="AS1206" s="10" t="str">
        <f>HYPERLINK("https://tessa.gazprom-neft.local/edo/card/80ea0735-667d-4227-a000-105fe02a758d", "https://tessa.gazprom-neft.local/edo/card/80ea0735-667d-4227-a000-105fe02a758d")</f>
        <v>https://tessa.gazprom-neft.local/edo/card/80ea0735-667d-4227-a000-105fe02a758d</v>
      </c>
    </row>
    <row r="1207" spans="1:45" x14ac:dyDescent="0.25">
      <c r="A1207" s="6" t="s">
        <v>44</v>
      </c>
      <c r="B1207" s="7" t="s">
        <v>2350</v>
      </c>
      <c r="C1207" s="7" t="s">
        <v>67</v>
      </c>
      <c r="D1207" s="8">
        <v>45000</v>
      </c>
      <c r="E1207" s="8" t="s">
        <v>0</v>
      </c>
      <c r="F1207" s="16" t="s">
        <v>2351</v>
      </c>
      <c r="G1207" s="7" t="s">
        <v>2352</v>
      </c>
      <c r="H1207" s="7" t="s">
        <v>2387</v>
      </c>
      <c r="I1207" s="7" t="s">
        <v>0</v>
      </c>
      <c r="J1207" s="7" t="s">
        <v>355</v>
      </c>
      <c r="K1207" s="7" t="s">
        <v>47</v>
      </c>
      <c r="L1207" s="7" t="s">
        <v>48</v>
      </c>
      <c r="M1207" s="7" t="s">
        <v>0</v>
      </c>
      <c r="N1207" s="7" t="s">
        <v>2386</v>
      </c>
      <c r="O1207" s="7" t="s">
        <v>0</v>
      </c>
      <c r="P1207" s="7" t="s">
        <v>1092</v>
      </c>
      <c r="Q1207" s="7" t="s">
        <v>2388</v>
      </c>
      <c r="R1207" s="7" t="s">
        <v>2349</v>
      </c>
      <c r="S1207" s="7" t="s">
        <v>2349</v>
      </c>
      <c r="T1207" s="7" t="s">
        <v>54</v>
      </c>
      <c r="U1207" s="7" t="s">
        <v>362</v>
      </c>
      <c r="V1207" s="7" t="s">
        <v>295</v>
      </c>
      <c r="W1207" s="7" t="s">
        <v>74</v>
      </c>
      <c r="X1207" s="7" t="s">
        <v>58</v>
      </c>
      <c r="Y1207" s="8">
        <v>45000</v>
      </c>
      <c r="Z1207" s="8" t="s">
        <v>0</v>
      </c>
      <c r="AA1207" s="7" t="s">
        <v>296</v>
      </c>
      <c r="AB1207" s="7" t="s">
        <v>64</v>
      </c>
      <c r="AC1207" s="7" t="s">
        <v>65</v>
      </c>
      <c r="AD1207" s="7" t="s">
        <v>80</v>
      </c>
      <c r="AE1207" s="7" t="s">
        <v>0</v>
      </c>
      <c r="AF1207" s="7" t="s">
        <v>0</v>
      </c>
      <c r="AG1207" s="7" t="s">
        <v>0</v>
      </c>
      <c r="AH1207" s="9" t="s">
        <v>0</v>
      </c>
      <c r="AI1207" s="9" t="s">
        <v>0</v>
      </c>
      <c r="AJ1207" s="9" t="s">
        <v>0</v>
      </c>
      <c r="AK1207" s="7" t="s">
        <v>61</v>
      </c>
      <c r="AL1207" s="7" t="s">
        <v>61</v>
      </c>
      <c r="AM1207" s="7" t="s">
        <v>0</v>
      </c>
      <c r="AN1207" s="7" t="s">
        <v>0</v>
      </c>
      <c r="AO1207" s="7" t="s">
        <v>0</v>
      </c>
      <c r="AP1207" s="7" t="s">
        <v>0</v>
      </c>
      <c r="AQ1207" s="7" t="s">
        <v>61</v>
      </c>
      <c r="AR1207" s="7" t="s">
        <v>0</v>
      </c>
      <c r="AS1207" s="10" t="str">
        <f>HYPERLINK("https://tessa.gazprom-neft.local/edo/card/3efddfaa-abc7-4b77-a7e1-600faa2772b2", "https://tessa.gazprom-neft.local/edo/card/3efddfaa-abc7-4b77-a7e1-600faa2772b2")</f>
        <v>https://tessa.gazprom-neft.local/edo/card/3efddfaa-abc7-4b77-a7e1-600faa2772b2</v>
      </c>
    </row>
    <row r="1208" spans="1:45" x14ac:dyDescent="0.25">
      <c r="A1208" s="6" t="s">
        <v>44</v>
      </c>
      <c r="B1208" s="7" t="s">
        <v>2461</v>
      </c>
      <c r="C1208" s="7" t="s">
        <v>67</v>
      </c>
      <c r="D1208" s="8">
        <v>45000</v>
      </c>
      <c r="E1208" s="8" t="s">
        <v>0</v>
      </c>
      <c r="F1208" s="16" t="s">
        <v>2462</v>
      </c>
      <c r="G1208" s="7" t="s">
        <v>739</v>
      </c>
      <c r="H1208" s="7" t="s">
        <v>2459</v>
      </c>
      <c r="I1208" s="7" t="s">
        <v>0</v>
      </c>
      <c r="J1208" s="7" t="s">
        <v>355</v>
      </c>
      <c r="K1208" s="7" t="s">
        <v>85</v>
      </c>
      <c r="L1208" s="7" t="s">
        <v>48</v>
      </c>
      <c r="M1208" s="7" t="s">
        <v>2128</v>
      </c>
      <c r="N1208" s="7" t="s">
        <v>2458</v>
      </c>
      <c r="O1208" s="7" t="s">
        <v>0</v>
      </c>
      <c r="P1208" s="7" t="s">
        <v>2128</v>
      </c>
      <c r="Q1208" s="7" t="s">
        <v>2460</v>
      </c>
      <c r="R1208" s="7" t="s">
        <v>198</v>
      </c>
      <c r="S1208" s="7" t="s">
        <v>198</v>
      </c>
      <c r="T1208" s="7" t="s">
        <v>54</v>
      </c>
      <c r="U1208" s="7" t="s">
        <v>199</v>
      </c>
      <c r="V1208" s="7" t="s">
        <v>126</v>
      </c>
      <c r="W1208" s="7" t="s">
        <v>57</v>
      </c>
      <c r="X1208" s="7" t="s">
        <v>58</v>
      </c>
      <c r="Y1208" s="8">
        <v>45000</v>
      </c>
      <c r="Z1208" s="8" t="s">
        <v>0</v>
      </c>
      <c r="AA1208" s="7" t="s">
        <v>224</v>
      </c>
      <c r="AB1208" s="7" t="s">
        <v>690</v>
      </c>
      <c r="AC1208" s="7" t="s">
        <v>65</v>
      </c>
      <c r="AD1208" s="7" t="s">
        <v>80</v>
      </c>
      <c r="AE1208" s="7" t="s">
        <v>0</v>
      </c>
      <c r="AF1208" s="7" t="s">
        <v>0</v>
      </c>
      <c r="AG1208" s="7" t="s">
        <v>0</v>
      </c>
      <c r="AH1208" s="9" t="s">
        <v>0</v>
      </c>
      <c r="AI1208" s="9" t="s">
        <v>0</v>
      </c>
      <c r="AJ1208" s="9" t="s">
        <v>0</v>
      </c>
      <c r="AK1208" s="7" t="s">
        <v>61</v>
      </c>
      <c r="AL1208" s="7" t="s">
        <v>61</v>
      </c>
      <c r="AM1208" s="7" t="s">
        <v>0</v>
      </c>
      <c r="AN1208" s="7" t="s">
        <v>0</v>
      </c>
      <c r="AO1208" s="7" t="s">
        <v>0</v>
      </c>
      <c r="AP1208" s="7" t="s">
        <v>0</v>
      </c>
      <c r="AQ1208" s="7" t="s">
        <v>61</v>
      </c>
      <c r="AR1208" s="7" t="s">
        <v>0</v>
      </c>
      <c r="AS1208" s="10" t="str">
        <f>HYPERLINK("https://tessa.gazprom-neft.local/edo/card/db884c32-930e-4c4c-8802-d873d9875209", "https://tessa.gazprom-neft.local/edo/card/db884c32-930e-4c4c-8802-d873d9875209")</f>
        <v>https://tessa.gazprom-neft.local/edo/card/db884c32-930e-4c4c-8802-d873d9875209</v>
      </c>
    </row>
    <row r="1209" spans="1:45" x14ac:dyDescent="0.25">
      <c r="A1209" s="6" t="s">
        <v>44</v>
      </c>
      <c r="B1209" s="7" t="s">
        <v>1981</v>
      </c>
      <c r="C1209" s="7" t="s">
        <v>67</v>
      </c>
      <c r="D1209" s="8">
        <v>45000</v>
      </c>
      <c r="E1209" s="8" t="s">
        <v>0</v>
      </c>
      <c r="F1209" s="16" t="s">
        <v>1982</v>
      </c>
      <c r="G1209" s="7" t="s">
        <v>1983</v>
      </c>
      <c r="H1209" s="7" t="s">
        <v>1979</v>
      </c>
      <c r="I1209" s="7" t="s">
        <v>0</v>
      </c>
      <c r="J1209" s="7" t="s">
        <v>355</v>
      </c>
      <c r="K1209" s="7" t="s">
        <v>47</v>
      </c>
      <c r="L1209" s="7" t="s">
        <v>48</v>
      </c>
      <c r="M1209" s="7" t="s">
        <v>0</v>
      </c>
      <c r="N1209" s="7" t="s">
        <v>2570</v>
      </c>
      <c r="O1209" s="7" t="s">
        <v>0</v>
      </c>
      <c r="P1209" s="7" t="s">
        <v>2571</v>
      </c>
      <c r="Q1209" s="7" t="s">
        <v>2572</v>
      </c>
      <c r="R1209" s="7" t="s">
        <v>198</v>
      </c>
      <c r="S1209" s="7" t="s">
        <v>198</v>
      </c>
      <c r="T1209" s="7" t="s">
        <v>54</v>
      </c>
      <c r="U1209" s="7" t="s">
        <v>199</v>
      </c>
      <c r="V1209" s="7" t="s">
        <v>126</v>
      </c>
      <c r="W1209" s="7" t="s">
        <v>74</v>
      </c>
      <c r="X1209" s="7" t="s">
        <v>58</v>
      </c>
      <c r="Y1209" s="8">
        <v>45000</v>
      </c>
      <c r="Z1209" s="8" t="s">
        <v>0</v>
      </c>
      <c r="AA1209" s="7" t="s">
        <v>224</v>
      </c>
      <c r="AB1209" s="7" t="s">
        <v>1984</v>
      </c>
      <c r="AC1209" s="7" t="s">
        <v>65</v>
      </c>
      <c r="AD1209" s="7" t="s">
        <v>80</v>
      </c>
      <c r="AE1209" s="7" t="s">
        <v>0</v>
      </c>
      <c r="AF1209" s="7" t="s">
        <v>0</v>
      </c>
      <c r="AG1209" s="7" t="s">
        <v>0</v>
      </c>
      <c r="AH1209" s="9" t="s">
        <v>0</v>
      </c>
      <c r="AI1209" s="9" t="s">
        <v>0</v>
      </c>
      <c r="AJ1209" s="9" t="s">
        <v>0</v>
      </c>
      <c r="AK1209" s="7" t="s">
        <v>61</v>
      </c>
      <c r="AL1209" s="7" t="s">
        <v>61</v>
      </c>
      <c r="AM1209" s="7" t="s">
        <v>0</v>
      </c>
      <c r="AN1209" s="7" t="s">
        <v>0</v>
      </c>
      <c r="AO1209" s="7" t="s">
        <v>0</v>
      </c>
      <c r="AP1209" s="7" t="s">
        <v>0</v>
      </c>
      <c r="AQ1209" s="7" t="s">
        <v>61</v>
      </c>
      <c r="AR1209" s="7" t="s">
        <v>0</v>
      </c>
      <c r="AS1209" s="10" t="str">
        <f>HYPERLINK("https://tessa.gazprom-neft.local/edo/card/f16732ca-5ef4-49b9-bbda-9eda368b9643", "https://tessa.gazprom-neft.local/edo/card/f16732ca-5ef4-49b9-bbda-9eda368b9643")</f>
        <v>https://tessa.gazprom-neft.local/edo/card/f16732ca-5ef4-49b9-bbda-9eda368b9643</v>
      </c>
    </row>
    <row r="1210" spans="1:45" x14ac:dyDescent="0.25">
      <c r="A1210" s="6" t="s">
        <v>44</v>
      </c>
      <c r="B1210" s="7" t="s">
        <v>2595</v>
      </c>
      <c r="C1210" s="7" t="s">
        <v>67</v>
      </c>
      <c r="D1210" s="8">
        <v>45000</v>
      </c>
      <c r="E1210" s="8" t="s">
        <v>0</v>
      </c>
      <c r="F1210" s="16" t="s">
        <v>2596</v>
      </c>
      <c r="G1210" s="7" t="s">
        <v>2597</v>
      </c>
      <c r="H1210" s="7" t="s">
        <v>2548</v>
      </c>
      <c r="I1210" s="7" t="s">
        <v>0</v>
      </c>
      <c r="J1210" s="7" t="s">
        <v>355</v>
      </c>
      <c r="K1210" s="7" t="s">
        <v>47</v>
      </c>
      <c r="L1210" s="7" t="s">
        <v>48</v>
      </c>
      <c r="M1210" s="7" t="s">
        <v>0</v>
      </c>
      <c r="N1210" s="7" t="s">
        <v>2591</v>
      </c>
      <c r="O1210" s="7" t="s">
        <v>0</v>
      </c>
      <c r="P1210" s="7" t="s">
        <v>2592</v>
      </c>
      <c r="Q1210" s="7" t="s">
        <v>2593</v>
      </c>
      <c r="R1210" s="7" t="s">
        <v>198</v>
      </c>
      <c r="S1210" s="7" t="s">
        <v>2594</v>
      </c>
      <c r="T1210" s="7" t="s">
        <v>54</v>
      </c>
      <c r="U1210" s="7" t="s">
        <v>199</v>
      </c>
      <c r="V1210" s="7" t="s">
        <v>126</v>
      </c>
      <c r="W1210" s="7" t="s">
        <v>74</v>
      </c>
      <c r="X1210" s="7" t="s">
        <v>58</v>
      </c>
      <c r="Y1210" s="8">
        <v>45000</v>
      </c>
      <c r="Z1210" s="8" t="s">
        <v>0</v>
      </c>
      <c r="AA1210" s="7" t="s">
        <v>224</v>
      </c>
      <c r="AB1210" s="7" t="s">
        <v>130</v>
      </c>
      <c r="AC1210" s="7" t="s">
        <v>65</v>
      </c>
      <c r="AD1210" s="7" t="s">
        <v>80</v>
      </c>
      <c r="AE1210" s="7" t="s">
        <v>0</v>
      </c>
      <c r="AF1210" s="7" t="s">
        <v>0</v>
      </c>
      <c r="AG1210" s="7" t="s">
        <v>0</v>
      </c>
      <c r="AH1210" s="9" t="s">
        <v>0</v>
      </c>
      <c r="AI1210" s="9" t="s">
        <v>0</v>
      </c>
      <c r="AJ1210" s="9" t="s">
        <v>0</v>
      </c>
      <c r="AK1210" s="7" t="s">
        <v>61</v>
      </c>
      <c r="AL1210" s="7" t="s">
        <v>61</v>
      </c>
      <c r="AM1210" s="7" t="s">
        <v>0</v>
      </c>
      <c r="AN1210" s="7" t="s">
        <v>0</v>
      </c>
      <c r="AO1210" s="7" t="s">
        <v>0</v>
      </c>
      <c r="AP1210" s="7" t="s">
        <v>0</v>
      </c>
      <c r="AQ1210" s="7" t="s">
        <v>61</v>
      </c>
      <c r="AR1210" s="7" t="s">
        <v>0</v>
      </c>
      <c r="AS1210" s="10" t="str">
        <f>HYPERLINK("https://tessa.gazprom-neft.local/edo/card/a429623c-7bfb-4e38-b02a-2cd3e2e29524", "https://tessa.gazprom-neft.local/edo/card/a429623c-7bfb-4e38-b02a-2cd3e2e29524")</f>
        <v>https://tessa.gazprom-neft.local/edo/card/a429623c-7bfb-4e38-b02a-2cd3e2e29524</v>
      </c>
    </row>
    <row r="1211" spans="1:45" x14ac:dyDescent="0.25">
      <c r="A1211" s="6" t="s">
        <v>44</v>
      </c>
      <c r="B1211" s="7" t="s">
        <v>737</v>
      </c>
      <c r="C1211" s="7" t="s">
        <v>67</v>
      </c>
      <c r="D1211" s="8">
        <v>45000</v>
      </c>
      <c r="E1211" s="8" t="s">
        <v>0</v>
      </c>
      <c r="F1211" s="16" t="s">
        <v>738</v>
      </c>
      <c r="G1211" s="7" t="s">
        <v>739</v>
      </c>
      <c r="H1211" s="7" t="s">
        <v>2169</v>
      </c>
      <c r="I1211" s="7" t="s">
        <v>0</v>
      </c>
      <c r="J1211" s="7" t="s">
        <v>355</v>
      </c>
      <c r="K1211" s="7" t="s">
        <v>47</v>
      </c>
      <c r="L1211" s="7" t="s">
        <v>48</v>
      </c>
      <c r="M1211" s="7" t="s">
        <v>0</v>
      </c>
      <c r="N1211" s="7" t="s">
        <v>2653</v>
      </c>
      <c r="O1211" s="7" t="s">
        <v>0</v>
      </c>
      <c r="P1211" s="7" t="s">
        <v>2654</v>
      </c>
      <c r="Q1211" s="7" t="s">
        <v>1291</v>
      </c>
      <c r="R1211" s="7" t="s">
        <v>505</v>
      </c>
      <c r="S1211" s="7" t="s">
        <v>1753</v>
      </c>
      <c r="T1211" s="7" t="s">
        <v>54</v>
      </c>
      <c r="U1211" s="7" t="s">
        <v>210</v>
      </c>
      <c r="V1211" s="7" t="s">
        <v>126</v>
      </c>
      <c r="W1211" s="7" t="s">
        <v>57</v>
      </c>
      <c r="X1211" s="7" t="s">
        <v>103</v>
      </c>
      <c r="Y1211" s="8">
        <v>45000</v>
      </c>
      <c r="Z1211" s="8">
        <v>45107</v>
      </c>
      <c r="AA1211" s="7" t="s">
        <v>224</v>
      </c>
      <c r="AB1211" s="7" t="s">
        <v>130</v>
      </c>
      <c r="AC1211" s="7" t="s">
        <v>65</v>
      </c>
      <c r="AD1211" s="7" t="s">
        <v>80</v>
      </c>
      <c r="AE1211" s="7" t="s">
        <v>0</v>
      </c>
      <c r="AF1211" s="7" t="s">
        <v>0</v>
      </c>
      <c r="AG1211" s="7" t="s">
        <v>0</v>
      </c>
      <c r="AH1211" s="9" t="s">
        <v>0</v>
      </c>
      <c r="AI1211" s="9" t="s">
        <v>0</v>
      </c>
      <c r="AJ1211" s="9" t="s">
        <v>0</v>
      </c>
      <c r="AK1211" s="7" t="s">
        <v>61</v>
      </c>
      <c r="AL1211" s="7" t="s">
        <v>61</v>
      </c>
      <c r="AM1211" s="7" t="s">
        <v>0</v>
      </c>
      <c r="AN1211" s="7" t="s">
        <v>0</v>
      </c>
      <c r="AO1211" s="7" t="s">
        <v>0</v>
      </c>
      <c r="AP1211" s="7" t="s">
        <v>0</v>
      </c>
      <c r="AQ1211" s="7" t="s">
        <v>61</v>
      </c>
      <c r="AR1211" s="7" t="s">
        <v>0</v>
      </c>
      <c r="AS1211" s="10" t="str">
        <f>HYPERLINK("https://tessa.gazprom-neft.local/edo/card/cad77df4-57fe-45c7-ab7c-c275110936ca", "https://tessa.gazprom-neft.local/edo/card/cad77df4-57fe-45c7-ab7c-c275110936ca")</f>
        <v>https://tessa.gazprom-neft.local/edo/card/cad77df4-57fe-45c7-ab7c-c275110936ca</v>
      </c>
    </row>
    <row r="1212" spans="1:45" x14ac:dyDescent="0.25">
      <c r="A1212" s="6" t="s">
        <v>44</v>
      </c>
      <c r="B1212" s="7" t="s">
        <v>2108</v>
      </c>
      <c r="C1212" s="7" t="s">
        <v>67</v>
      </c>
      <c r="D1212" s="8">
        <v>45000</v>
      </c>
      <c r="E1212" s="8" t="s">
        <v>0</v>
      </c>
      <c r="F1212" s="16" t="s">
        <v>2109</v>
      </c>
      <c r="G1212" s="7" t="s">
        <v>2110</v>
      </c>
      <c r="H1212" s="7" t="s">
        <v>2107</v>
      </c>
      <c r="I1212" s="7" t="s">
        <v>0</v>
      </c>
      <c r="J1212" s="7" t="s">
        <v>355</v>
      </c>
      <c r="K1212" s="7" t="s">
        <v>47</v>
      </c>
      <c r="L1212" s="7" t="s">
        <v>48</v>
      </c>
      <c r="M1212" s="7" t="s">
        <v>0</v>
      </c>
      <c r="N1212" s="7" t="s">
        <v>2682</v>
      </c>
      <c r="O1212" s="7" t="s">
        <v>0</v>
      </c>
      <c r="P1212" s="7" t="s">
        <v>2683</v>
      </c>
      <c r="Q1212" s="7" t="s">
        <v>1717</v>
      </c>
      <c r="R1212" s="7" t="s">
        <v>505</v>
      </c>
      <c r="S1212" s="7" t="s">
        <v>1753</v>
      </c>
      <c r="T1212" s="7" t="s">
        <v>54</v>
      </c>
      <c r="U1212" s="7" t="s">
        <v>210</v>
      </c>
      <c r="V1212" s="7" t="s">
        <v>126</v>
      </c>
      <c r="W1212" s="7" t="s">
        <v>74</v>
      </c>
      <c r="X1212" s="7" t="s">
        <v>103</v>
      </c>
      <c r="Y1212" s="8">
        <v>45000</v>
      </c>
      <c r="Z1212" s="8">
        <v>45107</v>
      </c>
      <c r="AA1212" s="7" t="s">
        <v>224</v>
      </c>
      <c r="AB1212" s="7" t="s">
        <v>130</v>
      </c>
      <c r="AC1212" s="7" t="s">
        <v>65</v>
      </c>
      <c r="AD1212" s="7" t="s">
        <v>80</v>
      </c>
      <c r="AE1212" s="7" t="s">
        <v>0</v>
      </c>
      <c r="AF1212" s="7" t="s">
        <v>0</v>
      </c>
      <c r="AG1212" s="7" t="s">
        <v>0</v>
      </c>
      <c r="AH1212" s="9" t="s">
        <v>0</v>
      </c>
      <c r="AI1212" s="9" t="s">
        <v>0</v>
      </c>
      <c r="AJ1212" s="9" t="s">
        <v>0</v>
      </c>
      <c r="AK1212" s="7" t="s">
        <v>61</v>
      </c>
      <c r="AL1212" s="7" t="s">
        <v>61</v>
      </c>
      <c r="AM1212" s="7" t="s">
        <v>0</v>
      </c>
      <c r="AN1212" s="7" t="s">
        <v>0</v>
      </c>
      <c r="AO1212" s="7" t="s">
        <v>0</v>
      </c>
      <c r="AP1212" s="7" t="s">
        <v>0</v>
      </c>
      <c r="AQ1212" s="7" t="s">
        <v>61</v>
      </c>
      <c r="AR1212" s="7" t="s">
        <v>0</v>
      </c>
      <c r="AS1212" s="10" t="str">
        <f>HYPERLINK("https://tessa.gazprom-neft.local/edo/card/ef6e8ebf-1d45-420c-8954-b56b8eb7e926", "https://tessa.gazprom-neft.local/edo/card/ef6e8ebf-1d45-420c-8954-b56b8eb7e926")</f>
        <v>https://tessa.gazprom-neft.local/edo/card/ef6e8ebf-1d45-420c-8954-b56b8eb7e926</v>
      </c>
    </row>
    <row r="1213" spans="1:45" x14ac:dyDescent="0.25">
      <c r="A1213" s="6" t="s">
        <v>44</v>
      </c>
      <c r="B1213" s="7" t="s">
        <v>2706</v>
      </c>
      <c r="C1213" s="7" t="s">
        <v>67</v>
      </c>
      <c r="D1213" s="8">
        <v>45000</v>
      </c>
      <c r="E1213" s="8" t="s">
        <v>0</v>
      </c>
      <c r="F1213" s="16" t="s">
        <v>2707</v>
      </c>
      <c r="G1213" s="7" t="s">
        <v>2708</v>
      </c>
      <c r="H1213" s="7" t="s">
        <v>2704</v>
      </c>
      <c r="I1213" s="7" t="s">
        <v>0</v>
      </c>
      <c r="J1213" s="7" t="s">
        <v>872</v>
      </c>
      <c r="K1213" s="7" t="s">
        <v>47</v>
      </c>
      <c r="L1213" s="7" t="s">
        <v>48</v>
      </c>
      <c r="M1213" s="7" t="s">
        <v>0</v>
      </c>
      <c r="N1213" s="7" t="s">
        <v>2703</v>
      </c>
      <c r="O1213" s="7" t="s">
        <v>0</v>
      </c>
      <c r="P1213" s="7" t="s">
        <v>2705</v>
      </c>
      <c r="Q1213" s="7" t="s">
        <v>2593</v>
      </c>
      <c r="R1213" s="7" t="s">
        <v>198</v>
      </c>
      <c r="S1213" s="7" t="s">
        <v>2594</v>
      </c>
      <c r="T1213" s="7" t="s">
        <v>54</v>
      </c>
      <c r="U1213" s="7" t="s">
        <v>199</v>
      </c>
      <c r="V1213" s="7" t="s">
        <v>126</v>
      </c>
      <c r="W1213" s="7" t="s">
        <v>74</v>
      </c>
      <c r="X1213" s="7" t="s">
        <v>58</v>
      </c>
      <c r="Y1213" s="8">
        <v>45000</v>
      </c>
      <c r="Z1213" s="8" t="s">
        <v>0</v>
      </c>
      <c r="AA1213" s="7" t="s">
        <v>224</v>
      </c>
      <c r="AB1213" s="7" t="s">
        <v>64</v>
      </c>
      <c r="AC1213" s="7" t="s">
        <v>65</v>
      </c>
      <c r="AD1213" s="7" t="s">
        <v>80</v>
      </c>
      <c r="AE1213" s="7" t="s">
        <v>0</v>
      </c>
      <c r="AF1213" s="7" t="s">
        <v>0</v>
      </c>
      <c r="AG1213" s="7" t="s">
        <v>0</v>
      </c>
      <c r="AH1213" s="9" t="s">
        <v>0</v>
      </c>
      <c r="AI1213" s="9" t="s">
        <v>0</v>
      </c>
      <c r="AJ1213" s="9" t="s">
        <v>0</v>
      </c>
      <c r="AK1213" s="7" t="s">
        <v>61</v>
      </c>
      <c r="AL1213" s="7" t="s">
        <v>61</v>
      </c>
      <c r="AM1213" s="7" t="s">
        <v>0</v>
      </c>
      <c r="AN1213" s="7" t="s">
        <v>0</v>
      </c>
      <c r="AO1213" s="7" t="s">
        <v>0</v>
      </c>
      <c r="AP1213" s="7" t="s">
        <v>0</v>
      </c>
      <c r="AQ1213" s="7" t="s">
        <v>61</v>
      </c>
      <c r="AR1213" s="7" t="s">
        <v>0</v>
      </c>
      <c r="AS1213" s="10" t="str">
        <f>HYPERLINK("https://tessa.gazprom-neft.local/edo/card/6bb1686b-15e1-423e-bcc4-01d1752d162c", "https://tessa.gazprom-neft.local/edo/card/6bb1686b-15e1-423e-bcc4-01d1752d162c")</f>
        <v>https://tessa.gazprom-neft.local/edo/card/6bb1686b-15e1-423e-bcc4-01d1752d162c</v>
      </c>
    </row>
    <row r="1214" spans="1:45" x14ac:dyDescent="0.25">
      <c r="A1214" s="6" t="s">
        <v>44</v>
      </c>
      <c r="B1214" s="7" t="s">
        <v>2291</v>
      </c>
      <c r="C1214" s="7" t="s">
        <v>67</v>
      </c>
      <c r="D1214" s="8">
        <v>44999</v>
      </c>
      <c r="E1214" s="8" t="s">
        <v>0</v>
      </c>
      <c r="F1214" s="16" t="s">
        <v>2292</v>
      </c>
      <c r="G1214" s="7" t="s">
        <v>2293</v>
      </c>
      <c r="H1214" s="7" t="s">
        <v>2288</v>
      </c>
      <c r="I1214" s="7" t="s">
        <v>0</v>
      </c>
      <c r="J1214" s="7" t="s">
        <v>70</v>
      </c>
      <c r="K1214" s="7" t="s">
        <v>47</v>
      </c>
      <c r="L1214" s="7" t="s">
        <v>48</v>
      </c>
      <c r="M1214" s="7" t="s">
        <v>0</v>
      </c>
      <c r="N1214" s="7" t="s">
        <v>2287</v>
      </c>
      <c r="O1214" s="7" t="s">
        <v>0</v>
      </c>
      <c r="P1214" s="7" t="s">
        <v>2289</v>
      </c>
      <c r="Q1214" s="7" t="s">
        <v>2290</v>
      </c>
      <c r="R1214" s="7" t="s">
        <v>1829</v>
      </c>
      <c r="S1214" s="7" t="s">
        <v>1829</v>
      </c>
      <c r="T1214" s="7" t="s">
        <v>54</v>
      </c>
      <c r="U1214" s="7" t="s">
        <v>307</v>
      </c>
      <c r="V1214" s="7" t="s">
        <v>126</v>
      </c>
      <c r="W1214" s="7" t="s">
        <v>74</v>
      </c>
      <c r="X1214" s="7" t="s">
        <v>103</v>
      </c>
      <c r="Y1214" s="8">
        <v>44999</v>
      </c>
      <c r="Z1214" s="8">
        <v>45291</v>
      </c>
      <c r="AA1214" s="7" t="s">
        <v>224</v>
      </c>
      <c r="AB1214" s="7" t="s">
        <v>130</v>
      </c>
      <c r="AC1214" s="7" t="s">
        <v>79</v>
      </c>
      <c r="AD1214" s="7" t="s">
        <v>144</v>
      </c>
      <c r="AE1214" s="7" t="s">
        <v>82</v>
      </c>
      <c r="AF1214" s="7" t="s">
        <v>0</v>
      </c>
      <c r="AG1214" s="7" t="s">
        <v>0</v>
      </c>
      <c r="AH1214" s="9" t="s">
        <v>11308</v>
      </c>
      <c r="AI1214" s="9" t="s">
        <v>11309</v>
      </c>
      <c r="AJ1214" s="9" t="s">
        <v>11310</v>
      </c>
      <c r="AK1214" s="7" t="s">
        <v>61</v>
      </c>
      <c r="AL1214" s="7" t="s">
        <v>61</v>
      </c>
      <c r="AM1214" s="7" t="s">
        <v>0</v>
      </c>
      <c r="AN1214" s="7" t="s">
        <v>0</v>
      </c>
      <c r="AO1214" s="7" t="s">
        <v>0</v>
      </c>
      <c r="AP1214" s="7" t="s">
        <v>0</v>
      </c>
      <c r="AQ1214" s="7" t="s">
        <v>61</v>
      </c>
      <c r="AR1214" s="7" t="s">
        <v>0</v>
      </c>
      <c r="AS1214" s="10" t="str">
        <f>HYPERLINK("https://tessa.gazprom-neft.local/edo/card/0149cced-2b41-435e-a402-736ed7bfdbe0", "https://tessa.gazprom-neft.local/edo/card/0149cced-2b41-435e-a402-736ed7bfdbe0")</f>
        <v>https://tessa.gazprom-neft.local/edo/card/0149cced-2b41-435e-a402-736ed7bfdbe0</v>
      </c>
    </row>
    <row r="1215" spans="1:45" hidden="1" x14ac:dyDescent="0.25">
      <c r="A1215" s="6" t="s">
        <v>44</v>
      </c>
      <c r="B1215" s="7" t="s">
        <v>0</v>
      </c>
      <c r="C1215" s="7" t="s">
        <v>67</v>
      </c>
      <c r="D1215" s="8">
        <v>44999</v>
      </c>
      <c r="E1215" s="8" t="s">
        <v>0</v>
      </c>
      <c r="F1215" s="16" t="s">
        <v>138</v>
      </c>
      <c r="G1215" s="7" t="s">
        <v>0</v>
      </c>
      <c r="H1215" s="7" t="s">
        <v>0</v>
      </c>
      <c r="I1215" s="7" t="s">
        <v>2665</v>
      </c>
      <c r="J1215" s="7" t="s">
        <v>2665</v>
      </c>
      <c r="K1215" s="7" t="s">
        <v>47</v>
      </c>
      <c r="L1215" s="7" t="s">
        <v>86</v>
      </c>
      <c r="M1215" s="7" t="s">
        <v>0</v>
      </c>
      <c r="N1215" s="7" t="s">
        <v>2664</v>
      </c>
      <c r="O1215" s="7" t="s">
        <v>0</v>
      </c>
      <c r="P1215" s="7" t="s">
        <v>133</v>
      </c>
      <c r="Q1215" s="7" t="s">
        <v>134</v>
      </c>
      <c r="R1215" s="7" t="s">
        <v>135</v>
      </c>
      <c r="S1215" s="7" t="s">
        <v>0</v>
      </c>
      <c r="T1215" s="7" t="s">
        <v>54</v>
      </c>
      <c r="U1215" s="7" t="s">
        <v>136</v>
      </c>
      <c r="V1215" s="7" t="s">
        <v>137</v>
      </c>
      <c r="W1215" s="7" t="s">
        <v>57</v>
      </c>
      <c r="X1215" s="7" t="s">
        <v>103</v>
      </c>
      <c r="Y1215" s="8">
        <v>45014</v>
      </c>
      <c r="Z1215" s="8">
        <v>45291</v>
      </c>
      <c r="AA1215" s="7" t="s">
        <v>0</v>
      </c>
      <c r="AB1215" s="7" t="s">
        <v>139</v>
      </c>
      <c r="AC1215" s="7" t="s">
        <v>65</v>
      </c>
      <c r="AD1215" s="7" t="s">
        <v>0</v>
      </c>
      <c r="AE1215" s="7" t="s">
        <v>0</v>
      </c>
      <c r="AF1215" s="7" t="s">
        <v>0</v>
      </c>
      <c r="AG1215" s="7" t="s">
        <v>0</v>
      </c>
      <c r="AH1215" s="9" t="s">
        <v>0</v>
      </c>
      <c r="AI1215" s="9" t="s">
        <v>0</v>
      </c>
      <c r="AJ1215" s="9" t="s">
        <v>0</v>
      </c>
      <c r="AK1215" s="7" t="s">
        <v>61</v>
      </c>
      <c r="AL1215" s="7" t="s">
        <v>61</v>
      </c>
      <c r="AM1215" s="7" t="s">
        <v>0</v>
      </c>
      <c r="AN1215" s="7" t="s">
        <v>0</v>
      </c>
      <c r="AO1215" s="7" t="s">
        <v>0</v>
      </c>
      <c r="AP1215" s="7" t="s">
        <v>0</v>
      </c>
      <c r="AQ1215" s="7" t="s">
        <v>61</v>
      </c>
      <c r="AR1215" s="7" t="s">
        <v>0</v>
      </c>
      <c r="AS1215" s="10" t="str">
        <f>HYPERLINK("https://tessa.gazprom-neft.local/edo/card/8b5829c8-7234-4164-ad4a-635d04a43a58", "https://tessa.gazprom-neft.local/edo/card/8b5829c8-7234-4164-ad4a-635d04a43a58")</f>
        <v>https://tessa.gazprom-neft.local/edo/card/8b5829c8-7234-4164-ad4a-635d04a43a58</v>
      </c>
    </row>
    <row r="1216" spans="1:45" x14ac:dyDescent="0.25">
      <c r="A1216" s="6" t="s">
        <v>44</v>
      </c>
      <c r="B1216" s="7" t="s">
        <v>1754</v>
      </c>
      <c r="C1216" s="7" t="s">
        <v>67</v>
      </c>
      <c r="D1216" s="8">
        <v>44999</v>
      </c>
      <c r="E1216" s="8" t="s">
        <v>0</v>
      </c>
      <c r="F1216" s="16" t="s">
        <v>1755</v>
      </c>
      <c r="G1216" s="7" t="s">
        <v>1756</v>
      </c>
      <c r="H1216" s="7" t="s">
        <v>2843</v>
      </c>
      <c r="I1216" s="7" t="s">
        <v>0</v>
      </c>
      <c r="J1216" s="7" t="s">
        <v>51</v>
      </c>
      <c r="K1216" s="7" t="s">
        <v>47</v>
      </c>
      <c r="L1216" s="7" t="s">
        <v>48</v>
      </c>
      <c r="M1216" s="7" t="s">
        <v>0</v>
      </c>
      <c r="N1216" s="7" t="s">
        <v>2842</v>
      </c>
      <c r="O1216" s="7" t="s">
        <v>0</v>
      </c>
      <c r="P1216" s="7" t="s">
        <v>2844</v>
      </c>
      <c r="Q1216" s="7" t="s">
        <v>1291</v>
      </c>
      <c r="R1216" s="7" t="s">
        <v>361</v>
      </c>
      <c r="S1216" s="7" t="s">
        <v>361</v>
      </c>
      <c r="T1216" s="7" t="s">
        <v>54</v>
      </c>
      <c r="U1216" s="7" t="s">
        <v>362</v>
      </c>
      <c r="V1216" s="7" t="s">
        <v>295</v>
      </c>
      <c r="W1216" s="7" t="s">
        <v>74</v>
      </c>
      <c r="X1216" s="7" t="s">
        <v>103</v>
      </c>
      <c r="Y1216" s="8">
        <v>44999</v>
      </c>
      <c r="Z1216" s="8">
        <v>45366</v>
      </c>
      <c r="AA1216" s="7" t="s">
        <v>296</v>
      </c>
      <c r="AB1216" s="7" t="s">
        <v>366</v>
      </c>
      <c r="AC1216" s="7" t="s">
        <v>65</v>
      </c>
      <c r="AD1216" s="7" t="s">
        <v>367</v>
      </c>
      <c r="AE1216" s="7" t="s">
        <v>0</v>
      </c>
      <c r="AF1216" s="7" t="s">
        <v>0</v>
      </c>
      <c r="AG1216" s="7" t="s">
        <v>0</v>
      </c>
      <c r="AH1216" s="9" t="s">
        <v>0</v>
      </c>
      <c r="AI1216" s="9" t="s">
        <v>0</v>
      </c>
      <c r="AJ1216" s="9" t="s">
        <v>0</v>
      </c>
      <c r="AK1216" s="7" t="s">
        <v>61</v>
      </c>
      <c r="AL1216" s="7" t="s">
        <v>61</v>
      </c>
      <c r="AM1216" s="7" t="s">
        <v>0</v>
      </c>
      <c r="AN1216" s="7" t="s">
        <v>0</v>
      </c>
      <c r="AO1216" s="7" t="s">
        <v>0</v>
      </c>
      <c r="AP1216" s="7" t="s">
        <v>0</v>
      </c>
      <c r="AQ1216" s="7" t="s">
        <v>61</v>
      </c>
      <c r="AR1216" s="7" t="s">
        <v>0</v>
      </c>
      <c r="AS1216" s="10" t="str">
        <f>HYPERLINK("https://tessa.gazprom-neft.local/edo/card/009ea642-2ae1-466c-9b22-79cb459884c1", "https://tessa.gazprom-neft.local/edo/card/009ea642-2ae1-466c-9b22-79cb459884c1")</f>
        <v>https://tessa.gazprom-neft.local/edo/card/009ea642-2ae1-466c-9b22-79cb459884c1</v>
      </c>
    </row>
    <row r="1217" spans="1:45" x14ac:dyDescent="0.25">
      <c r="A1217" s="6" t="s">
        <v>44</v>
      </c>
      <c r="B1217" s="7" t="s">
        <v>2132</v>
      </c>
      <c r="C1217" s="7" t="s">
        <v>67</v>
      </c>
      <c r="D1217" s="8">
        <v>44998</v>
      </c>
      <c r="E1217" s="8" t="s">
        <v>0</v>
      </c>
      <c r="F1217" s="16" t="s">
        <v>2133</v>
      </c>
      <c r="G1217" s="7" t="s">
        <v>739</v>
      </c>
      <c r="H1217" s="7" t="s">
        <v>2249</v>
      </c>
      <c r="I1217" s="7" t="s">
        <v>0</v>
      </c>
      <c r="J1217" s="7" t="s">
        <v>271</v>
      </c>
      <c r="K1217" s="7" t="s">
        <v>85</v>
      </c>
      <c r="L1217" s="7" t="s">
        <v>48</v>
      </c>
      <c r="M1217" s="7" t="s">
        <v>2128</v>
      </c>
      <c r="N1217" s="7" t="s">
        <v>2248</v>
      </c>
      <c r="O1217" s="7" t="s">
        <v>0</v>
      </c>
      <c r="P1217" s="7" t="s">
        <v>2250</v>
      </c>
      <c r="Q1217" s="7" t="s">
        <v>2163</v>
      </c>
      <c r="R1217" s="7" t="s">
        <v>646</v>
      </c>
      <c r="S1217" s="7" t="s">
        <v>505</v>
      </c>
      <c r="T1217" s="7" t="s">
        <v>54</v>
      </c>
      <c r="U1217" s="7" t="s">
        <v>362</v>
      </c>
      <c r="V1217" s="7" t="s">
        <v>126</v>
      </c>
      <c r="W1217" s="7" t="s">
        <v>57</v>
      </c>
      <c r="X1217" s="7" t="s">
        <v>58</v>
      </c>
      <c r="Y1217" s="8">
        <v>45000</v>
      </c>
      <c r="Z1217" s="8" t="s">
        <v>0</v>
      </c>
      <c r="AA1217" s="7" t="s">
        <v>224</v>
      </c>
      <c r="AB1217" s="7" t="s">
        <v>2251</v>
      </c>
      <c r="AC1217" s="7" t="s">
        <v>65</v>
      </c>
      <c r="AD1217" s="7" t="s">
        <v>80</v>
      </c>
      <c r="AE1217" s="7" t="s">
        <v>0</v>
      </c>
      <c r="AF1217" s="7" t="s">
        <v>0</v>
      </c>
      <c r="AG1217" s="7" t="s">
        <v>0</v>
      </c>
      <c r="AH1217" s="9" t="s">
        <v>0</v>
      </c>
      <c r="AI1217" s="9" t="s">
        <v>0</v>
      </c>
      <c r="AJ1217" s="9" t="s">
        <v>0</v>
      </c>
      <c r="AK1217" s="7" t="s">
        <v>61</v>
      </c>
      <c r="AL1217" s="7" t="s">
        <v>61</v>
      </c>
      <c r="AM1217" s="7" t="s">
        <v>0</v>
      </c>
      <c r="AN1217" s="7" t="s">
        <v>0</v>
      </c>
      <c r="AO1217" s="7" t="s">
        <v>0</v>
      </c>
      <c r="AP1217" s="7" t="s">
        <v>0</v>
      </c>
      <c r="AQ1217" s="7" t="s">
        <v>61</v>
      </c>
      <c r="AR1217" s="7" t="s">
        <v>0</v>
      </c>
      <c r="AS1217" s="10" t="str">
        <f>HYPERLINK("https://tessa.gazprom-neft.local/edo/card/b8dd80ac-3bbe-4f51-a8e6-5635b87153e1", "https://tessa.gazprom-neft.local/edo/card/b8dd80ac-3bbe-4f51-a8e6-5635b87153e1")</f>
        <v>https://tessa.gazprom-neft.local/edo/card/b8dd80ac-3bbe-4f51-a8e6-5635b87153e1</v>
      </c>
    </row>
    <row r="1218" spans="1:45" hidden="1" x14ac:dyDescent="0.25">
      <c r="A1218" s="6" t="s">
        <v>44</v>
      </c>
      <c r="B1218" s="7" t="s">
        <v>1843</v>
      </c>
      <c r="C1218" s="7" t="s">
        <v>67</v>
      </c>
      <c r="D1218" s="8">
        <v>44998</v>
      </c>
      <c r="E1218" s="8" t="s">
        <v>0</v>
      </c>
      <c r="F1218" s="16" t="s">
        <v>1844</v>
      </c>
      <c r="G1218" s="7" t="s">
        <v>1845</v>
      </c>
      <c r="H1218" s="7" t="s">
        <v>1841</v>
      </c>
      <c r="I1218" s="7" t="s">
        <v>0</v>
      </c>
      <c r="J1218" s="7" t="s">
        <v>51</v>
      </c>
      <c r="K1218" s="7" t="s">
        <v>47</v>
      </c>
      <c r="L1218" s="7" t="s">
        <v>239</v>
      </c>
      <c r="M1218" s="7" t="s">
        <v>0</v>
      </c>
      <c r="N1218" s="7" t="s">
        <v>2255</v>
      </c>
      <c r="O1218" s="7" t="s">
        <v>0</v>
      </c>
      <c r="P1218" s="7" t="s">
        <v>2256</v>
      </c>
      <c r="Q1218" s="7" t="s">
        <v>2257</v>
      </c>
      <c r="R1218" s="7" t="s">
        <v>1066</v>
      </c>
      <c r="S1218" s="7" t="s">
        <v>0</v>
      </c>
      <c r="T1218" s="7" t="s">
        <v>54</v>
      </c>
      <c r="U1218" s="7" t="s">
        <v>136</v>
      </c>
      <c r="V1218" s="7" t="s">
        <v>308</v>
      </c>
      <c r="W1218" s="7" t="s">
        <v>74</v>
      </c>
      <c r="X1218" s="7" t="s">
        <v>103</v>
      </c>
      <c r="Y1218" s="8">
        <v>44998</v>
      </c>
      <c r="Z1218" s="8">
        <v>45046</v>
      </c>
      <c r="AA1218" s="7" t="s">
        <v>309</v>
      </c>
      <c r="AB1218" s="7" t="s">
        <v>1143</v>
      </c>
      <c r="AC1218" s="7" t="s">
        <v>79</v>
      </c>
      <c r="AD1218" s="7" t="s">
        <v>80</v>
      </c>
      <c r="AE1218" s="7" t="s">
        <v>82</v>
      </c>
      <c r="AF1218" s="7" t="s">
        <v>0</v>
      </c>
      <c r="AG1218" s="7" t="s">
        <v>0</v>
      </c>
      <c r="AH1218" s="9" t="s">
        <v>11299</v>
      </c>
      <c r="AI1218" s="9" t="s">
        <v>11300</v>
      </c>
      <c r="AJ1218" s="9" t="s">
        <v>11301</v>
      </c>
      <c r="AK1218" s="7" t="s">
        <v>61</v>
      </c>
      <c r="AL1218" s="7" t="s">
        <v>61</v>
      </c>
      <c r="AM1218" s="7" t="s">
        <v>0</v>
      </c>
      <c r="AN1218" s="7" t="s">
        <v>0</v>
      </c>
      <c r="AO1218" s="7" t="s">
        <v>0</v>
      </c>
      <c r="AP1218" s="7" t="s">
        <v>0</v>
      </c>
      <c r="AQ1218" s="7" t="s">
        <v>61</v>
      </c>
      <c r="AR1218" s="7" t="s">
        <v>0</v>
      </c>
      <c r="AS1218" s="10" t="str">
        <f>HYPERLINK("https://tessa.gazprom-neft.local/edo/card/d9e2823d-af6b-4145-85af-773125e7a4d7", "https://tessa.gazprom-neft.local/edo/card/d9e2823d-af6b-4145-85af-773125e7a4d7")</f>
        <v>https://tessa.gazprom-neft.local/edo/card/d9e2823d-af6b-4145-85af-773125e7a4d7</v>
      </c>
    </row>
    <row r="1219" spans="1:45" hidden="1" x14ac:dyDescent="0.25">
      <c r="A1219" s="6" t="s">
        <v>44</v>
      </c>
      <c r="B1219" s="7" t="s">
        <v>1165</v>
      </c>
      <c r="C1219" s="7" t="s">
        <v>67</v>
      </c>
      <c r="D1219" s="8">
        <v>44998</v>
      </c>
      <c r="E1219" s="8" t="s">
        <v>0</v>
      </c>
      <c r="F1219" s="16" t="s">
        <v>1166</v>
      </c>
      <c r="G1219" s="7" t="s">
        <v>1167</v>
      </c>
      <c r="H1219" s="7" t="s">
        <v>2412</v>
      </c>
      <c r="I1219" s="7" t="s">
        <v>0</v>
      </c>
      <c r="J1219" s="7" t="s">
        <v>2414</v>
      </c>
      <c r="K1219" s="7" t="s">
        <v>47</v>
      </c>
      <c r="L1219" s="7" t="s">
        <v>239</v>
      </c>
      <c r="M1219" s="7" t="s">
        <v>0</v>
      </c>
      <c r="N1219" s="7" t="s">
        <v>2411</v>
      </c>
      <c r="O1219" s="7" t="s">
        <v>0</v>
      </c>
      <c r="P1219" s="7" t="s">
        <v>2413</v>
      </c>
      <c r="Q1219" s="7" t="s">
        <v>2415</v>
      </c>
      <c r="R1219" s="7" t="s">
        <v>244</v>
      </c>
      <c r="S1219" s="7" t="s">
        <v>244</v>
      </c>
      <c r="T1219" s="7" t="s">
        <v>54</v>
      </c>
      <c r="U1219" s="7" t="s">
        <v>55</v>
      </c>
      <c r="V1219" s="7" t="s">
        <v>56</v>
      </c>
      <c r="W1219" s="7" t="s">
        <v>57</v>
      </c>
      <c r="X1219" s="7" t="s">
        <v>103</v>
      </c>
      <c r="Y1219" s="8">
        <v>44998</v>
      </c>
      <c r="Z1219" s="8">
        <v>45041</v>
      </c>
      <c r="AA1219" s="7" t="s">
        <v>59</v>
      </c>
      <c r="AB1219" s="7" t="s">
        <v>256</v>
      </c>
      <c r="AC1219" s="7" t="s">
        <v>79</v>
      </c>
      <c r="AD1219" s="7" t="s">
        <v>144</v>
      </c>
      <c r="AE1219" s="7" t="s">
        <v>82</v>
      </c>
      <c r="AF1219" s="7" t="s">
        <v>0</v>
      </c>
      <c r="AG1219" s="7" t="s">
        <v>0</v>
      </c>
      <c r="AH1219" s="9" t="s">
        <v>11342</v>
      </c>
      <c r="AI1219" s="9" t="s">
        <v>11343</v>
      </c>
      <c r="AJ1219" s="9" t="s">
        <v>11344</v>
      </c>
      <c r="AK1219" s="7" t="s">
        <v>61</v>
      </c>
      <c r="AL1219" s="7" t="s">
        <v>61</v>
      </c>
      <c r="AM1219" s="7" t="s">
        <v>0</v>
      </c>
      <c r="AN1219" s="7" t="s">
        <v>0</v>
      </c>
      <c r="AO1219" s="7" t="s">
        <v>0</v>
      </c>
      <c r="AP1219" s="7" t="s">
        <v>0</v>
      </c>
      <c r="AQ1219" s="7" t="s">
        <v>61</v>
      </c>
      <c r="AR1219" s="7" t="s">
        <v>0</v>
      </c>
      <c r="AS1219" s="10" t="str">
        <f>HYPERLINK("https://tessa.gazprom-neft.local/edo/card/097ec8d9-d860-4908-925d-81594dc3b270", "https://tessa.gazprom-neft.local/edo/card/097ec8d9-d860-4908-925d-81594dc3b270")</f>
        <v>https://tessa.gazprom-neft.local/edo/card/097ec8d9-d860-4908-925d-81594dc3b270</v>
      </c>
    </row>
    <row r="1220" spans="1:45" hidden="1" x14ac:dyDescent="0.25">
      <c r="A1220" s="6" t="s">
        <v>44</v>
      </c>
      <c r="B1220" s="7" t="s">
        <v>0</v>
      </c>
      <c r="C1220" s="7" t="s">
        <v>67</v>
      </c>
      <c r="D1220" s="8">
        <v>44995</v>
      </c>
      <c r="E1220" s="8" t="s">
        <v>0</v>
      </c>
      <c r="F1220" s="16" t="s">
        <v>842</v>
      </c>
      <c r="G1220" s="7" t="s">
        <v>0</v>
      </c>
      <c r="H1220" s="7" t="s">
        <v>0</v>
      </c>
      <c r="I1220" s="7" t="s">
        <v>841</v>
      </c>
      <c r="J1220" s="7" t="s">
        <v>841</v>
      </c>
      <c r="K1220" s="7" t="s">
        <v>47</v>
      </c>
      <c r="L1220" s="7" t="s">
        <v>86</v>
      </c>
      <c r="M1220" s="7" t="s">
        <v>0</v>
      </c>
      <c r="N1220" s="7" t="s">
        <v>840</v>
      </c>
      <c r="O1220" s="7" t="s">
        <v>0</v>
      </c>
      <c r="P1220" s="7" t="s">
        <v>94</v>
      </c>
      <c r="Q1220" s="7" t="s">
        <v>94</v>
      </c>
      <c r="R1220" s="7" t="s">
        <v>233</v>
      </c>
      <c r="S1220" s="7" t="s">
        <v>233</v>
      </c>
      <c r="T1220" s="7" t="s">
        <v>54</v>
      </c>
      <c r="U1220" s="7" t="s">
        <v>55</v>
      </c>
      <c r="V1220" s="7" t="s">
        <v>56</v>
      </c>
      <c r="W1220" s="7" t="s">
        <v>57</v>
      </c>
      <c r="X1220" s="7" t="s">
        <v>103</v>
      </c>
      <c r="Y1220" s="8">
        <v>44995</v>
      </c>
      <c r="Z1220" s="8">
        <v>46091</v>
      </c>
      <c r="AA1220" s="7" t="s">
        <v>59</v>
      </c>
      <c r="AB1220" s="7" t="s">
        <v>94</v>
      </c>
      <c r="AC1220" s="7" t="s">
        <v>65</v>
      </c>
      <c r="AD1220" s="7" t="s">
        <v>0</v>
      </c>
      <c r="AE1220" s="7" t="s">
        <v>0</v>
      </c>
      <c r="AF1220" s="7" t="s">
        <v>0</v>
      </c>
      <c r="AG1220" s="7" t="s">
        <v>0</v>
      </c>
      <c r="AH1220" s="9" t="s">
        <v>0</v>
      </c>
      <c r="AI1220" s="9" t="s">
        <v>0</v>
      </c>
      <c r="AJ1220" s="9" t="s">
        <v>0</v>
      </c>
      <c r="AK1220" s="7" t="s">
        <v>61</v>
      </c>
      <c r="AL1220" s="7" t="s">
        <v>61</v>
      </c>
      <c r="AM1220" s="7" t="s">
        <v>0</v>
      </c>
      <c r="AN1220" s="7" t="s">
        <v>0</v>
      </c>
      <c r="AO1220" s="7" t="s">
        <v>0</v>
      </c>
      <c r="AP1220" s="7" t="s">
        <v>0</v>
      </c>
      <c r="AQ1220" s="7" t="s">
        <v>61</v>
      </c>
      <c r="AR1220" s="7" t="s">
        <v>0</v>
      </c>
      <c r="AS1220" s="10" t="str">
        <f>HYPERLINK("https://tessa.gazprom-neft.local/edo/card/788be507-1931-47d2-a8f5-56dfd219361b", "https://tessa.gazprom-neft.local/edo/card/788be507-1931-47d2-a8f5-56dfd219361b")</f>
        <v>https://tessa.gazprom-neft.local/edo/card/788be507-1931-47d2-a8f5-56dfd219361b</v>
      </c>
    </row>
    <row r="1221" spans="1:45" x14ac:dyDescent="0.25">
      <c r="A1221" s="6" t="s">
        <v>44</v>
      </c>
      <c r="B1221" s="7" t="s">
        <v>1279</v>
      </c>
      <c r="C1221" s="7" t="s">
        <v>67</v>
      </c>
      <c r="D1221" s="8">
        <v>44995</v>
      </c>
      <c r="E1221" s="8" t="s">
        <v>0</v>
      </c>
      <c r="F1221" s="16" t="s">
        <v>1280</v>
      </c>
      <c r="G1221" s="7" t="s">
        <v>1281</v>
      </c>
      <c r="H1221" s="7" t="s">
        <v>1275</v>
      </c>
      <c r="I1221" s="7" t="s">
        <v>0</v>
      </c>
      <c r="J1221" s="7" t="s">
        <v>156</v>
      </c>
      <c r="K1221" s="7" t="s">
        <v>47</v>
      </c>
      <c r="L1221" s="7" t="s">
        <v>48</v>
      </c>
      <c r="M1221" s="7" t="s">
        <v>0</v>
      </c>
      <c r="N1221" s="7" t="s">
        <v>1274</v>
      </c>
      <c r="O1221" s="7" t="s">
        <v>0</v>
      </c>
      <c r="P1221" s="7" t="s">
        <v>1276</v>
      </c>
      <c r="Q1221" s="7" t="s">
        <v>1277</v>
      </c>
      <c r="R1221" s="7" t="s">
        <v>891</v>
      </c>
      <c r="S1221" s="7" t="s">
        <v>891</v>
      </c>
      <c r="T1221" s="7" t="s">
        <v>54</v>
      </c>
      <c r="U1221" s="7" t="s">
        <v>892</v>
      </c>
      <c r="V1221" s="7" t="s">
        <v>917</v>
      </c>
      <c r="W1221" s="7" t="s">
        <v>74</v>
      </c>
      <c r="X1221" s="7" t="s">
        <v>103</v>
      </c>
      <c r="Y1221" s="8">
        <v>44967</v>
      </c>
      <c r="Z1221" s="8">
        <v>45657</v>
      </c>
      <c r="AA1221" s="7" t="s">
        <v>1278</v>
      </c>
      <c r="AB1221" s="7" t="s">
        <v>256</v>
      </c>
      <c r="AC1221" s="7" t="s">
        <v>79</v>
      </c>
      <c r="AD1221" s="7" t="s">
        <v>144</v>
      </c>
      <c r="AE1221" s="7" t="s">
        <v>82</v>
      </c>
      <c r="AF1221" s="7" t="s">
        <v>0</v>
      </c>
      <c r="AG1221" s="7" t="s">
        <v>0</v>
      </c>
      <c r="AH1221" s="9" t="s">
        <v>10980</v>
      </c>
      <c r="AI1221" s="9" t="s">
        <v>10981</v>
      </c>
      <c r="AJ1221" s="9" t="s">
        <v>10982</v>
      </c>
      <c r="AK1221" s="7" t="s">
        <v>61</v>
      </c>
      <c r="AL1221" s="7" t="s">
        <v>61</v>
      </c>
      <c r="AM1221" s="7" t="s">
        <v>0</v>
      </c>
      <c r="AN1221" s="7" t="s">
        <v>0</v>
      </c>
      <c r="AO1221" s="7" t="s">
        <v>0</v>
      </c>
      <c r="AP1221" s="7" t="s">
        <v>0</v>
      </c>
      <c r="AQ1221" s="7" t="s">
        <v>61</v>
      </c>
      <c r="AR1221" s="7" t="s">
        <v>0</v>
      </c>
      <c r="AS1221" s="10" t="str">
        <f>HYPERLINK("https://tessa.gazprom-neft.local/edo/card/19e4d275-ac11-45fd-8e0f-1a82ede6189a", "https://tessa.gazprom-neft.local/edo/card/19e4d275-ac11-45fd-8e0f-1a82ede6189a")</f>
        <v>https://tessa.gazprom-neft.local/edo/card/19e4d275-ac11-45fd-8e0f-1a82ede6189a</v>
      </c>
    </row>
    <row r="1222" spans="1:45" hidden="1" x14ac:dyDescent="0.25">
      <c r="A1222" s="6" t="s">
        <v>44</v>
      </c>
      <c r="B1222" s="7" t="s">
        <v>639</v>
      </c>
      <c r="C1222" s="7" t="s">
        <v>67</v>
      </c>
      <c r="D1222" s="8">
        <v>44995</v>
      </c>
      <c r="E1222" s="8" t="s">
        <v>0</v>
      </c>
      <c r="F1222" s="16" t="s">
        <v>640</v>
      </c>
      <c r="G1222" s="7" t="s">
        <v>641</v>
      </c>
      <c r="H1222" s="7" t="s">
        <v>0</v>
      </c>
      <c r="I1222" s="7" t="s">
        <v>1813</v>
      </c>
      <c r="J1222" s="7" t="s">
        <v>1813</v>
      </c>
      <c r="K1222" s="7" t="s">
        <v>85</v>
      </c>
      <c r="L1222" s="7" t="s">
        <v>96</v>
      </c>
      <c r="M1222" s="7" t="s">
        <v>635</v>
      </c>
      <c r="N1222" s="7" t="s">
        <v>1812</v>
      </c>
      <c r="O1222" s="7" t="s">
        <v>0</v>
      </c>
      <c r="P1222" s="7" t="s">
        <v>635</v>
      </c>
      <c r="Q1222" s="7" t="s">
        <v>1814</v>
      </c>
      <c r="R1222" s="7" t="s">
        <v>393</v>
      </c>
      <c r="S1222" s="7" t="s">
        <v>1815</v>
      </c>
      <c r="T1222" s="7" t="s">
        <v>54</v>
      </c>
      <c r="U1222" s="7" t="s">
        <v>55</v>
      </c>
      <c r="V1222" s="7" t="s">
        <v>56</v>
      </c>
      <c r="W1222" s="7" t="s">
        <v>74</v>
      </c>
      <c r="X1222" s="7" t="s">
        <v>103</v>
      </c>
      <c r="Y1222" s="8">
        <v>44995</v>
      </c>
      <c r="Z1222" s="8">
        <v>46022</v>
      </c>
      <c r="AA1222" s="7" t="s">
        <v>59</v>
      </c>
      <c r="AB1222" s="7" t="s">
        <v>130</v>
      </c>
      <c r="AC1222" s="7" t="s">
        <v>79</v>
      </c>
      <c r="AD1222" s="7" t="s">
        <v>80</v>
      </c>
      <c r="AE1222" s="7" t="s">
        <v>82</v>
      </c>
      <c r="AF1222" s="7" t="s">
        <v>0</v>
      </c>
      <c r="AG1222" s="7" t="s">
        <v>1816</v>
      </c>
      <c r="AH1222" s="9" t="s">
        <v>11137</v>
      </c>
      <c r="AI1222" s="9" t="s">
        <v>11138</v>
      </c>
      <c r="AJ1222" s="9" t="s">
        <v>11139</v>
      </c>
      <c r="AK1222" s="7" t="s">
        <v>81</v>
      </c>
      <c r="AL1222" s="7" t="s">
        <v>61</v>
      </c>
      <c r="AM1222" s="7" t="s">
        <v>0</v>
      </c>
      <c r="AN1222" s="7" t="s">
        <v>0</v>
      </c>
      <c r="AO1222" s="7" t="s">
        <v>0</v>
      </c>
      <c r="AP1222" s="7" t="s">
        <v>0</v>
      </c>
      <c r="AQ1222" s="7" t="s">
        <v>61</v>
      </c>
      <c r="AR1222" s="7" t="s">
        <v>0</v>
      </c>
      <c r="AS1222" s="10" t="str">
        <f>HYPERLINK("https://tessa.gazprom-neft.local/edo/card/3943d887-994d-4dde-86ea-57be1c0b04d1", "https://tessa.gazprom-neft.local/edo/card/3943d887-994d-4dde-86ea-57be1c0b04d1")</f>
        <v>https://tessa.gazprom-neft.local/edo/card/3943d887-994d-4dde-86ea-57be1c0b04d1</v>
      </c>
    </row>
    <row r="1223" spans="1:45" x14ac:dyDescent="0.25">
      <c r="A1223" s="6" t="s">
        <v>44</v>
      </c>
      <c r="B1223" s="7" t="s">
        <v>639</v>
      </c>
      <c r="C1223" s="7" t="s">
        <v>67</v>
      </c>
      <c r="D1223" s="8">
        <v>44995</v>
      </c>
      <c r="E1223" s="8" t="s">
        <v>0</v>
      </c>
      <c r="F1223" s="16" t="s">
        <v>640</v>
      </c>
      <c r="G1223" s="7" t="s">
        <v>641</v>
      </c>
      <c r="H1223" s="7" t="s">
        <v>0</v>
      </c>
      <c r="I1223" s="7" t="s">
        <v>0</v>
      </c>
      <c r="J1223" s="7" t="s">
        <v>51</v>
      </c>
      <c r="K1223" s="7" t="s">
        <v>47</v>
      </c>
      <c r="L1223" s="7" t="s">
        <v>48</v>
      </c>
      <c r="M1223" s="7" t="s">
        <v>0</v>
      </c>
      <c r="N1223" s="7" t="s">
        <v>1912</v>
      </c>
      <c r="O1223" s="7" t="s">
        <v>0</v>
      </c>
      <c r="P1223" s="7" t="s">
        <v>1913</v>
      </c>
      <c r="Q1223" s="7" t="s">
        <v>1914</v>
      </c>
      <c r="R1223" s="7" t="s">
        <v>393</v>
      </c>
      <c r="S1223" s="7" t="s">
        <v>1815</v>
      </c>
      <c r="T1223" s="7" t="s">
        <v>54</v>
      </c>
      <c r="U1223" s="7" t="s">
        <v>55</v>
      </c>
      <c r="V1223" s="7" t="s">
        <v>56</v>
      </c>
      <c r="W1223" s="7" t="s">
        <v>74</v>
      </c>
      <c r="X1223" s="7" t="s">
        <v>58</v>
      </c>
      <c r="Y1223" s="8">
        <v>44995</v>
      </c>
      <c r="Z1223" s="8" t="s">
        <v>0</v>
      </c>
      <c r="AA1223" s="7" t="s">
        <v>0</v>
      </c>
      <c r="AB1223" s="7" t="s">
        <v>130</v>
      </c>
      <c r="AC1223" s="7" t="s">
        <v>65</v>
      </c>
      <c r="AD1223" s="7" t="s">
        <v>80</v>
      </c>
      <c r="AE1223" s="7" t="s">
        <v>0</v>
      </c>
      <c r="AF1223" s="7" t="s">
        <v>0</v>
      </c>
      <c r="AG1223" s="7" t="s">
        <v>0</v>
      </c>
      <c r="AH1223" s="9" t="s">
        <v>0</v>
      </c>
      <c r="AI1223" s="9" t="s">
        <v>0</v>
      </c>
      <c r="AJ1223" s="9" t="s">
        <v>0</v>
      </c>
      <c r="AK1223" s="7" t="s">
        <v>61</v>
      </c>
      <c r="AL1223" s="7" t="s">
        <v>61</v>
      </c>
      <c r="AM1223" s="7" t="s">
        <v>0</v>
      </c>
      <c r="AN1223" s="7" t="s">
        <v>0</v>
      </c>
      <c r="AO1223" s="7" t="s">
        <v>0</v>
      </c>
      <c r="AP1223" s="7" t="s">
        <v>0</v>
      </c>
      <c r="AQ1223" s="7" t="s">
        <v>61</v>
      </c>
      <c r="AR1223" s="7" t="s">
        <v>0</v>
      </c>
      <c r="AS1223" s="10" t="str">
        <f>HYPERLINK("https://tessa.gazprom-neft.local/edo/card/cb9c1b19-bed6-42eb-aaf0-b7c5a40e3722", "https://tessa.gazprom-neft.local/edo/card/cb9c1b19-bed6-42eb-aaf0-b7c5a40e3722")</f>
        <v>https://tessa.gazprom-neft.local/edo/card/cb9c1b19-bed6-42eb-aaf0-b7c5a40e3722</v>
      </c>
    </row>
    <row r="1224" spans="1:45" hidden="1" x14ac:dyDescent="0.25">
      <c r="A1224" s="6" t="s">
        <v>44</v>
      </c>
      <c r="B1224" s="7" t="s">
        <v>639</v>
      </c>
      <c r="C1224" s="7" t="s">
        <v>46</v>
      </c>
      <c r="D1224" s="8">
        <v>44995</v>
      </c>
      <c r="E1224" s="8" t="s">
        <v>0</v>
      </c>
      <c r="F1224" s="16" t="s">
        <v>640</v>
      </c>
      <c r="G1224" s="7" t="s">
        <v>641</v>
      </c>
      <c r="H1224" s="7" t="s">
        <v>0</v>
      </c>
      <c r="I1224" s="7" t="s">
        <v>1939</v>
      </c>
      <c r="J1224" s="7" t="s">
        <v>1939</v>
      </c>
      <c r="K1224" s="7" t="s">
        <v>85</v>
      </c>
      <c r="L1224" s="7" t="s">
        <v>86</v>
      </c>
      <c r="M1224" s="7" t="s">
        <v>289</v>
      </c>
      <c r="N1224" s="7" t="s">
        <v>1938</v>
      </c>
      <c r="O1224" s="7" t="s">
        <v>0</v>
      </c>
      <c r="P1224" s="7" t="s">
        <v>1940</v>
      </c>
      <c r="Q1224" s="7" t="s">
        <v>1941</v>
      </c>
      <c r="R1224" s="7" t="s">
        <v>393</v>
      </c>
      <c r="S1224" s="7" t="s">
        <v>1815</v>
      </c>
      <c r="T1224" s="7" t="s">
        <v>54</v>
      </c>
      <c r="U1224" s="7" t="s">
        <v>55</v>
      </c>
      <c r="V1224" s="7" t="s">
        <v>56</v>
      </c>
      <c r="W1224" s="7" t="s">
        <v>74</v>
      </c>
      <c r="X1224" s="7" t="s">
        <v>58</v>
      </c>
      <c r="Y1224" s="8">
        <v>44995</v>
      </c>
      <c r="Z1224" s="8" t="s">
        <v>0</v>
      </c>
      <c r="AA1224" s="7" t="s">
        <v>0</v>
      </c>
      <c r="AB1224" s="7" t="s">
        <v>300</v>
      </c>
      <c r="AC1224" s="7" t="s">
        <v>65</v>
      </c>
      <c r="AD1224" s="7" t="s">
        <v>0</v>
      </c>
      <c r="AE1224" s="7" t="s">
        <v>0</v>
      </c>
      <c r="AF1224" s="7" t="s">
        <v>0</v>
      </c>
      <c r="AG1224" s="7" t="s">
        <v>0</v>
      </c>
      <c r="AH1224" s="9" t="s">
        <v>0</v>
      </c>
      <c r="AI1224" s="9" t="s">
        <v>0</v>
      </c>
      <c r="AJ1224" s="9" t="s">
        <v>0</v>
      </c>
      <c r="AK1224" s="7" t="s">
        <v>61</v>
      </c>
      <c r="AL1224" s="7" t="s">
        <v>61</v>
      </c>
      <c r="AM1224" s="7" t="s">
        <v>0</v>
      </c>
      <c r="AN1224" s="7" t="s">
        <v>0</v>
      </c>
      <c r="AO1224" s="7" t="s">
        <v>0</v>
      </c>
      <c r="AP1224" s="7" t="s">
        <v>0</v>
      </c>
      <c r="AQ1224" s="7" t="s">
        <v>61</v>
      </c>
      <c r="AR1224" s="7" t="s">
        <v>0</v>
      </c>
      <c r="AS1224" s="10" t="str">
        <f>HYPERLINK("https://tessa.gazprom-neft.local/edo/card/fa9b5736-c0d3-419d-b9c5-51551a44aea1", "https://tessa.gazprom-neft.local/edo/card/fa9b5736-c0d3-419d-b9c5-51551a44aea1")</f>
        <v>https://tessa.gazprom-neft.local/edo/card/fa9b5736-c0d3-419d-b9c5-51551a44aea1</v>
      </c>
    </row>
    <row r="1225" spans="1:45" hidden="1" x14ac:dyDescent="0.25">
      <c r="A1225" s="6" t="s">
        <v>44</v>
      </c>
      <c r="B1225" s="7" t="s">
        <v>2115</v>
      </c>
      <c r="C1225" s="7" t="s">
        <v>67</v>
      </c>
      <c r="D1225" s="8">
        <v>44995</v>
      </c>
      <c r="E1225" s="8" t="s">
        <v>0</v>
      </c>
      <c r="F1225" s="16" t="s">
        <v>2116</v>
      </c>
      <c r="G1225" s="7" t="s">
        <v>2117</v>
      </c>
      <c r="H1225" s="7" t="s">
        <v>0</v>
      </c>
      <c r="I1225" s="7" t="s">
        <v>2112</v>
      </c>
      <c r="J1225" s="7" t="s">
        <v>2112</v>
      </c>
      <c r="K1225" s="7" t="s">
        <v>47</v>
      </c>
      <c r="L1225" s="7" t="s">
        <v>96</v>
      </c>
      <c r="M1225" s="7" t="s">
        <v>0</v>
      </c>
      <c r="N1225" s="7" t="s">
        <v>2111</v>
      </c>
      <c r="O1225" s="7" t="s">
        <v>0</v>
      </c>
      <c r="P1225" s="7" t="s">
        <v>2113</v>
      </c>
      <c r="Q1225" s="7" t="s">
        <v>2114</v>
      </c>
      <c r="R1225" s="7" t="s">
        <v>293</v>
      </c>
      <c r="S1225" s="7" t="s">
        <v>293</v>
      </c>
      <c r="T1225" s="7" t="s">
        <v>54</v>
      </c>
      <c r="U1225" s="7" t="s">
        <v>294</v>
      </c>
      <c r="V1225" s="7" t="s">
        <v>295</v>
      </c>
      <c r="W1225" s="7" t="s">
        <v>57</v>
      </c>
      <c r="X1225" s="7" t="s">
        <v>58</v>
      </c>
      <c r="Y1225" s="8">
        <v>44995</v>
      </c>
      <c r="Z1225" s="8" t="s">
        <v>0</v>
      </c>
      <c r="AA1225" s="7" t="s">
        <v>296</v>
      </c>
      <c r="AB1225" s="7" t="s">
        <v>500</v>
      </c>
      <c r="AC1225" s="7" t="s">
        <v>79</v>
      </c>
      <c r="AD1225" s="7" t="s">
        <v>80</v>
      </c>
      <c r="AE1225" s="7" t="s">
        <v>118</v>
      </c>
      <c r="AF1225" s="7" t="s">
        <v>0</v>
      </c>
      <c r="AG1225" s="7" t="s">
        <v>0</v>
      </c>
      <c r="AH1225" s="9" t="s">
        <v>11247</v>
      </c>
      <c r="AI1225" s="9" t="s">
        <v>11247</v>
      </c>
      <c r="AJ1225" s="9">
        <v>0</v>
      </c>
      <c r="AK1225" s="7" t="s">
        <v>61</v>
      </c>
      <c r="AL1225" s="7" t="s">
        <v>61</v>
      </c>
      <c r="AM1225" s="7" t="s">
        <v>0</v>
      </c>
      <c r="AN1225" s="7" t="s">
        <v>0</v>
      </c>
      <c r="AO1225" s="7" t="s">
        <v>0</v>
      </c>
      <c r="AP1225" s="7" t="s">
        <v>0</v>
      </c>
      <c r="AQ1225" s="7" t="s">
        <v>61</v>
      </c>
      <c r="AR1225" s="7" t="s">
        <v>0</v>
      </c>
      <c r="AS1225" s="10" t="str">
        <f>HYPERLINK("https://tessa.gazprom-neft.local/edo/card/cbd672dc-cd6a-493d-bb5a-10987ff0caae", "https://tessa.gazprom-neft.local/edo/card/cbd672dc-cd6a-493d-bb5a-10987ff0caae")</f>
        <v>https://tessa.gazprom-neft.local/edo/card/cbd672dc-cd6a-493d-bb5a-10987ff0caae</v>
      </c>
    </row>
    <row r="1226" spans="1:45" x14ac:dyDescent="0.25">
      <c r="A1226" s="6" t="s">
        <v>44</v>
      </c>
      <c r="B1226" s="7" t="s">
        <v>2132</v>
      </c>
      <c r="C1226" s="7" t="s">
        <v>67</v>
      </c>
      <c r="D1226" s="8">
        <v>44994</v>
      </c>
      <c r="E1226" s="8" t="s">
        <v>0</v>
      </c>
      <c r="F1226" s="16" t="s">
        <v>2133</v>
      </c>
      <c r="G1226" s="7" t="s">
        <v>739</v>
      </c>
      <c r="H1226" s="7" t="s">
        <v>2169</v>
      </c>
      <c r="I1226" s="7" t="s">
        <v>0</v>
      </c>
      <c r="J1226" s="7" t="s">
        <v>156</v>
      </c>
      <c r="K1226" s="7" t="s">
        <v>85</v>
      </c>
      <c r="L1226" s="7" t="s">
        <v>48</v>
      </c>
      <c r="M1226" s="7" t="s">
        <v>2128</v>
      </c>
      <c r="N1226" s="7" t="s">
        <v>2220</v>
      </c>
      <c r="O1226" s="7" t="s">
        <v>0</v>
      </c>
      <c r="P1226" s="7" t="s">
        <v>2221</v>
      </c>
      <c r="Q1226" s="7" t="s">
        <v>2163</v>
      </c>
      <c r="R1226" s="7" t="s">
        <v>646</v>
      </c>
      <c r="S1226" s="7" t="s">
        <v>505</v>
      </c>
      <c r="T1226" s="7" t="s">
        <v>54</v>
      </c>
      <c r="U1226" s="7" t="s">
        <v>362</v>
      </c>
      <c r="V1226" s="7" t="s">
        <v>126</v>
      </c>
      <c r="W1226" s="7" t="s">
        <v>57</v>
      </c>
      <c r="X1226" s="7" t="s">
        <v>58</v>
      </c>
      <c r="Y1226" s="8">
        <v>45000</v>
      </c>
      <c r="Z1226" s="8" t="s">
        <v>0</v>
      </c>
      <c r="AA1226" s="7" t="s">
        <v>224</v>
      </c>
      <c r="AB1226" s="7" t="s">
        <v>130</v>
      </c>
      <c r="AC1226" s="7" t="s">
        <v>65</v>
      </c>
      <c r="AD1226" s="7" t="s">
        <v>80</v>
      </c>
      <c r="AE1226" s="7" t="s">
        <v>0</v>
      </c>
      <c r="AF1226" s="7" t="s">
        <v>0</v>
      </c>
      <c r="AG1226" s="7" t="s">
        <v>0</v>
      </c>
      <c r="AH1226" s="9" t="s">
        <v>0</v>
      </c>
      <c r="AI1226" s="9" t="s">
        <v>0</v>
      </c>
      <c r="AJ1226" s="9" t="s">
        <v>0</v>
      </c>
      <c r="AK1226" s="7" t="s">
        <v>61</v>
      </c>
      <c r="AL1226" s="7" t="s">
        <v>61</v>
      </c>
      <c r="AM1226" s="7" t="s">
        <v>0</v>
      </c>
      <c r="AN1226" s="7" t="s">
        <v>0</v>
      </c>
      <c r="AO1226" s="7" t="s">
        <v>0</v>
      </c>
      <c r="AP1226" s="7" t="s">
        <v>0</v>
      </c>
      <c r="AQ1226" s="7" t="s">
        <v>61</v>
      </c>
      <c r="AR1226" s="7" t="s">
        <v>0</v>
      </c>
      <c r="AS1226" s="10" t="str">
        <f>HYPERLINK("https://tessa.gazprom-neft.local/edo/card/209ff1c9-a839-4ebc-8545-eda0ac65b78b", "https://tessa.gazprom-neft.local/edo/card/209ff1c9-a839-4ebc-8545-eda0ac65b78b")</f>
        <v>https://tessa.gazprom-neft.local/edo/card/209ff1c9-a839-4ebc-8545-eda0ac65b78b</v>
      </c>
    </row>
    <row r="1227" spans="1:45" x14ac:dyDescent="0.25">
      <c r="A1227" s="6" t="s">
        <v>44</v>
      </c>
      <c r="B1227" s="7" t="s">
        <v>2132</v>
      </c>
      <c r="C1227" s="7" t="s">
        <v>67</v>
      </c>
      <c r="D1227" s="8">
        <v>44992</v>
      </c>
      <c r="E1227" s="8" t="s">
        <v>0</v>
      </c>
      <c r="F1227" s="16" t="s">
        <v>2133</v>
      </c>
      <c r="G1227" s="7" t="s">
        <v>739</v>
      </c>
      <c r="H1227" s="7" t="s">
        <v>2130</v>
      </c>
      <c r="I1227" s="7" t="s">
        <v>0</v>
      </c>
      <c r="J1227" s="7" t="s">
        <v>156</v>
      </c>
      <c r="K1227" s="7" t="s">
        <v>85</v>
      </c>
      <c r="L1227" s="7" t="s">
        <v>48</v>
      </c>
      <c r="M1227" s="7" t="s">
        <v>2128</v>
      </c>
      <c r="N1227" s="7" t="s">
        <v>2129</v>
      </c>
      <c r="O1227" s="7" t="s">
        <v>0</v>
      </c>
      <c r="P1227" s="7" t="s">
        <v>2128</v>
      </c>
      <c r="Q1227" s="7" t="s">
        <v>2131</v>
      </c>
      <c r="R1227" s="7" t="s">
        <v>1774</v>
      </c>
      <c r="S1227" s="7" t="s">
        <v>1774</v>
      </c>
      <c r="T1227" s="7" t="s">
        <v>54</v>
      </c>
      <c r="U1227" s="7" t="s">
        <v>307</v>
      </c>
      <c r="V1227" s="7" t="s">
        <v>126</v>
      </c>
      <c r="W1227" s="7" t="s">
        <v>57</v>
      </c>
      <c r="X1227" s="7" t="s">
        <v>103</v>
      </c>
      <c r="Y1227" s="8">
        <v>45000</v>
      </c>
      <c r="Z1227" s="8">
        <v>45291</v>
      </c>
      <c r="AA1227" s="7" t="s">
        <v>224</v>
      </c>
      <c r="AB1227" s="7" t="s">
        <v>130</v>
      </c>
      <c r="AC1227" s="7" t="s">
        <v>65</v>
      </c>
      <c r="AD1227" s="7" t="s">
        <v>80</v>
      </c>
      <c r="AE1227" s="7" t="s">
        <v>0</v>
      </c>
      <c r="AF1227" s="7" t="s">
        <v>0</v>
      </c>
      <c r="AG1227" s="7" t="s">
        <v>0</v>
      </c>
      <c r="AH1227" s="9" t="s">
        <v>0</v>
      </c>
      <c r="AI1227" s="9" t="s">
        <v>0</v>
      </c>
      <c r="AJ1227" s="9" t="s">
        <v>0</v>
      </c>
      <c r="AK1227" s="7" t="s">
        <v>61</v>
      </c>
      <c r="AL1227" s="7" t="s">
        <v>61</v>
      </c>
      <c r="AM1227" s="7" t="s">
        <v>0</v>
      </c>
      <c r="AN1227" s="7" t="s">
        <v>0</v>
      </c>
      <c r="AO1227" s="7" t="s">
        <v>0</v>
      </c>
      <c r="AP1227" s="7" t="s">
        <v>0</v>
      </c>
      <c r="AQ1227" s="7" t="s">
        <v>61</v>
      </c>
      <c r="AR1227" s="7" t="s">
        <v>0</v>
      </c>
      <c r="AS1227" s="10" t="str">
        <f>HYPERLINK("https://tessa.gazprom-neft.local/edo/card/10bb3887-4c18-4875-8704-c59f4f3f2f2d", "https://tessa.gazprom-neft.local/edo/card/10bb3887-4c18-4875-8704-c59f4f3f2f2d")</f>
        <v>https://tessa.gazprom-neft.local/edo/card/10bb3887-4c18-4875-8704-c59f4f3f2f2d</v>
      </c>
    </row>
    <row r="1228" spans="1:45" x14ac:dyDescent="0.25">
      <c r="A1228" s="6" t="s">
        <v>44</v>
      </c>
      <c r="B1228" s="7" t="s">
        <v>488</v>
      </c>
      <c r="C1228" s="7" t="s">
        <v>67</v>
      </c>
      <c r="D1228" s="8">
        <v>44992</v>
      </c>
      <c r="E1228" s="8" t="s">
        <v>0</v>
      </c>
      <c r="F1228" s="16" t="s">
        <v>489</v>
      </c>
      <c r="G1228" s="7" t="s">
        <v>490</v>
      </c>
      <c r="H1228" s="7" t="s">
        <v>870</v>
      </c>
      <c r="I1228" s="7" t="s">
        <v>0</v>
      </c>
      <c r="J1228" s="7" t="s">
        <v>70</v>
      </c>
      <c r="K1228" s="7" t="s">
        <v>85</v>
      </c>
      <c r="L1228" s="7" t="s">
        <v>48</v>
      </c>
      <c r="M1228" s="7" t="s">
        <v>2128</v>
      </c>
      <c r="N1228" s="7" t="s">
        <v>2161</v>
      </c>
      <c r="O1228" s="7" t="s">
        <v>0</v>
      </c>
      <c r="P1228" s="7" t="s">
        <v>2162</v>
      </c>
      <c r="Q1228" s="7" t="s">
        <v>2163</v>
      </c>
      <c r="R1228" s="7" t="s">
        <v>646</v>
      </c>
      <c r="S1228" s="7" t="s">
        <v>282</v>
      </c>
      <c r="T1228" s="7" t="s">
        <v>54</v>
      </c>
      <c r="U1228" s="7" t="s">
        <v>362</v>
      </c>
      <c r="V1228" s="7" t="s">
        <v>56</v>
      </c>
      <c r="W1228" s="7" t="s">
        <v>74</v>
      </c>
      <c r="X1228" s="7" t="s">
        <v>58</v>
      </c>
      <c r="Y1228" s="8">
        <v>45000</v>
      </c>
      <c r="Z1228" s="8" t="s">
        <v>0</v>
      </c>
      <c r="AA1228" s="7" t="s">
        <v>59</v>
      </c>
      <c r="AB1228" s="7" t="s">
        <v>130</v>
      </c>
      <c r="AC1228" s="7" t="s">
        <v>65</v>
      </c>
      <c r="AD1228" s="7" t="s">
        <v>144</v>
      </c>
      <c r="AE1228" s="7" t="s">
        <v>0</v>
      </c>
      <c r="AF1228" s="7" t="s">
        <v>0</v>
      </c>
      <c r="AG1228" s="7" t="s">
        <v>0</v>
      </c>
      <c r="AH1228" s="9" t="s">
        <v>0</v>
      </c>
      <c r="AI1228" s="9" t="s">
        <v>0</v>
      </c>
      <c r="AJ1228" s="9" t="s">
        <v>0</v>
      </c>
      <c r="AK1228" s="7" t="s">
        <v>61</v>
      </c>
      <c r="AL1228" s="7" t="s">
        <v>61</v>
      </c>
      <c r="AM1228" s="7" t="s">
        <v>0</v>
      </c>
      <c r="AN1228" s="7" t="s">
        <v>0</v>
      </c>
      <c r="AO1228" s="7" t="s">
        <v>0</v>
      </c>
      <c r="AP1228" s="7" t="s">
        <v>0</v>
      </c>
      <c r="AQ1228" s="7" t="s">
        <v>61</v>
      </c>
      <c r="AR1228" s="7" t="s">
        <v>0</v>
      </c>
      <c r="AS1228" s="10" t="str">
        <f>HYPERLINK("https://tessa.gazprom-neft.local/edo/card/c7db6e6b-c1c1-4efb-a4d7-e8e1daf2c582", "https://tessa.gazprom-neft.local/edo/card/c7db6e6b-c1c1-4efb-a4d7-e8e1daf2c582")</f>
        <v>https://tessa.gazprom-neft.local/edo/card/c7db6e6b-c1c1-4efb-a4d7-e8e1daf2c582</v>
      </c>
    </row>
    <row r="1229" spans="1:45" x14ac:dyDescent="0.25">
      <c r="A1229" s="6" t="s">
        <v>44</v>
      </c>
      <c r="B1229" s="7" t="s">
        <v>488</v>
      </c>
      <c r="C1229" s="7" t="s">
        <v>67</v>
      </c>
      <c r="D1229" s="8">
        <v>44992</v>
      </c>
      <c r="E1229" s="8" t="s">
        <v>0</v>
      </c>
      <c r="F1229" s="16" t="s">
        <v>489</v>
      </c>
      <c r="G1229" s="7" t="s">
        <v>490</v>
      </c>
      <c r="H1229" s="7" t="s">
        <v>2173</v>
      </c>
      <c r="I1229" s="7" t="s">
        <v>0</v>
      </c>
      <c r="J1229" s="7" t="s">
        <v>70</v>
      </c>
      <c r="K1229" s="7" t="s">
        <v>85</v>
      </c>
      <c r="L1229" s="7" t="s">
        <v>48</v>
      </c>
      <c r="M1229" s="7" t="s">
        <v>2128</v>
      </c>
      <c r="N1229" s="7" t="s">
        <v>2172</v>
      </c>
      <c r="O1229" s="7" t="s">
        <v>0</v>
      </c>
      <c r="P1229" s="7" t="s">
        <v>2174</v>
      </c>
      <c r="Q1229" s="7" t="s">
        <v>2163</v>
      </c>
      <c r="R1229" s="7" t="s">
        <v>646</v>
      </c>
      <c r="S1229" s="7" t="s">
        <v>282</v>
      </c>
      <c r="T1229" s="7" t="s">
        <v>54</v>
      </c>
      <c r="U1229" s="7" t="s">
        <v>362</v>
      </c>
      <c r="V1229" s="7" t="s">
        <v>56</v>
      </c>
      <c r="W1229" s="7" t="s">
        <v>74</v>
      </c>
      <c r="X1229" s="7" t="s">
        <v>58</v>
      </c>
      <c r="Y1229" s="8">
        <v>45000</v>
      </c>
      <c r="Z1229" s="8" t="s">
        <v>0</v>
      </c>
      <c r="AA1229" s="7" t="s">
        <v>59</v>
      </c>
      <c r="AB1229" s="7" t="s">
        <v>874</v>
      </c>
      <c r="AC1229" s="7" t="s">
        <v>65</v>
      </c>
      <c r="AD1229" s="7" t="s">
        <v>144</v>
      </c>
      <c r="AE1229" s="7" t="s">
        <v>0</v>
      </c>
      <c r="AF1229" s="7" t="s">
        <v>0</v>
      </c>
      <c r="AG1229" s="7" t="s">
        <v>0</v>
      </c>
      <c r="AH1229" s="9" t="s">
        <v>0</v>
      </c>
      <c r="AI1229" s="9" t="s">
        <v>0</v>
      </c>
      <c r="AJ1229" s="9" t="s">
        <v>0</v>
      </c>
      <c r="AK1229" s="7" t="s">
        <v>61</v>
      </c>
      <c r="AL1229" s="7" t="s">
        <v>61</v>
      </c>
      <c r="AM1229" s="7" t="s">
        <v>0</v>
      </c>
      <c r="AN1229" s="7" t="s">
        <v>0</v>
      </c>
      <c r="AO1229" s="7" t="s">
        <v>0</v>
      </c>
      <c r="AP1229" s="7" t="s">
        <v>0</v>
      </c>
      <c r="AQ1229" s="7" t="s">
        <v>61</v>
      </c>
      <c r="AR1229" s="7" t="s">
        <v>0</v>
      </c>
      <c r="AS1229" s="10" t="str">
        <f>HYPERLINK("https://tessa.gazprom-neft.local/edo/card/4e14314a-368b-4a1d-b294-6cb2a318c3a4", "https://tessa.gazprom-neft.local/edo/card/4e14314a-368b-4a1d-b294-6cb2a318c3a4")</f>
        <v>https://tessa.gazprom-neft.local/edo/card/4e14314a-368b-4a1d-b294-6cb2a318c3a4</v>
      </c>
    </row>
    <row r="1230" spans="1:45" hidden="1" x14ac:dyDescent="0.25">
      <c r="A1230" s="6" t="s">
        <v>44</v>
      </c>
      <c r="B1230" s="7" t="s">
        <v>363</v>
      </c>
      <c r="C1230" s="7" t="s">
        <v>67</v>
      </c>
      <c r="D1230" s="8">
        <v>44991</v>
      </c>
      <c r="E1230" s="8" t="s">
        <v>0</v>
      </c>
      <c r="F1230" s="16" t="s">
        <v>364</v>
      </c>
      <c r="G1230" s="7" t="s">
        <v>365</v>
      </c>
      <c r="H1230" s="7" t="s">
        <v>0</v>
      </c>
      <c r="I1230" s="7" t="s">
        <v>2016</v>
      </c>
      <c r="J1230" s="7" t="s">
        <v>2016</v>
      </c>
      <c r="K1230" s="7" t="s">
        <v>47</v>
      </c>
      <c r="L1230" s="7" t="s">
        <v>86</v>
      </c>
      <c r="M1230" s="7" t="s">
        <v>0</v>
      </c>
      <c r="N1230" s="7" t="s">
        <v>2015</v>
      </c>
      <c r="O1230" s="7" t="s">
        <v>0</v>
      </c>
      <c r="P1230" s="7" t="s">
        <v>2017</v>
      </c>
      <c r="Q1230" s="7" t="s">
        <v>2018</v>
      </c>
      <c r="R1230" s="7" t="s">
        <v>646</v>
      </c>
      <c r="S1230" s="7" t="s">
        <v>0</v>
      </c>
      <c r="T1230" s="7" t="s">
        <v>54</v>
      </c>
      <c r="U1230" s="7" t="s">
        <v>362</v>
      </c>
      <c r="V1230" s="7" t="s">
        <v>91</v>
      </c>
      <c r="W1230" s="7" t="s">
        <v>74</v>
      </c>
      <c r="X1230" s="7" t="s">
        <v>103</v>
      </c>
      <c r="Y1230" s="8">
        <v>44991</v>
      </c>
      <c r="Z1230" s="8">
        <v>46022</v>
      </c>
      <c r="AA1230" s="7" t="s">
        <v>92</v>
      </c>
      <c r="AB1230" s="7" t="s">
        <v>237</v>
      </c>
      <c r="AC1230" s="7" t="s">
        <v>65</v>
      </c>
      <c r="AD1230" s="7" t="s">
        <v>0</v>
      </c>
      <c r="AE1230" s="7" t="s">
        <v>0</v>
      </c>
      <c r="AF1230" s="7" t="s">
        <v>0</v>
      </c>
      <c r="AG1230" s="7" t="s">
        <v>0</v>
      </c>
      <c r="AH1230" s="9" t="s">
        <v>0</v>
      </c>
      <c r="AI1230" s="9" t="s">
        <v>0</v>
      </c>
      <c r="AJ1230" s="9" t="s">
        <v>0</v>
      </c>
      <c r="AK1230" s="7" t="s">
        <v>61</v>
      </c>
      <c r="AL1230" s="7" t="s">
        <v>61</v>
      </c>
      <c r="AM1230" s="7" t="s">
        <v>0</v>
      </c>
      <c r="AN1230" s="7" t="s">
        <v>0</v>
      </c>
      <c r="AO1230" s="7" t="s">
        <v>0</v>
      </c>
      <c r="AP1230" s="7" t="s">
        <v>0</v>
      </c>
      <c r="AQ1230" s="7" t="s">
        <v>61</v>
      </c>
      <c r="AR1230" s="7" t="s">
        <v>0</v>
      </c>
      <c r="AS1230" s="10" t="str">
        <f>HYPERLINK("https://tessa.gazprom-neft.local/edo/card/a57af26d-3e43-42cd-8fec-1dffe051573a", "https://tessa.gazprom-neft.local/edo/card/a57af26d-3e43-42cd-8fec-1dffe051573a")</f>
        <v>https://tessa.gazprom-neft.local/edo/card/a57af26d-3e43-42cd-8fec-1dffe051573a</v>
      </c>
    </row>
    <row r="1231" spans="1:45" hidden="1" x14ac:dyDescent="0.25">
      <c r="A1231" s="6" t="s">
        <v>44</v>
      </c>
      <c r="B1231" s="7" t="s">
        <v>582</v>
      </c>
      <c r="C1231" s="7" t="s">
        <v>67</v>
      </c>
      <c r="D1231" s="8">
        <v>44991</v>
      </c>
      <c r="E1231" s="8" t="s">
        <v>0</v>
      </c>
      <c r="F1231" s="16" t="s">
        <v>583</v>
      </c>
      <c r="G1231" s="7" t="s">
        <v>584</v>
      </c>
      <c r="H1231" s="7" t="s">
        <v>0</v>
      </c>
      <c r="I1231" s="7" t="s">
        <v>2027</v>
      </c>
      <c r="J1231" s="7" t="s">
        <v>2027</v>
      </c>
      <c r="K1231" s="7" t="s">
        <v>47</v>
      </c>
      <c r="L1231" s="7" t="s">
        <v>86</v>
      </c>
      <c r="M1231" s="7" t="s">
        <v>0</v>
      </c>
      <c r="N1231" s="7" t="s">
        <v>2026</v>
      </c>
      <c r="O1231" s="7" t="s">
        <v>0</v>
      </c>
      <c r="P1231" s="7" t="s">
        <v>2017</v>
      </c>
      <c r="Q1231" s="7" t="s">
        <v>2028</v>
      </c>
      <c r="R1231" s="7" t="s">
        <v>646</v>
      </c>
      <c r="S1231" s="7" t="s">
        <v>0</v>
      </c>
      <c r="T1231" s="7" t="s">
        <v>54</v>
      </c>
      <c r="U1231" s="7" t="s">
        <v>362</v>
      </c>
      <c r="V1231" s="7" t="s">
        <v>91</v>
      </c>
      <c r="W1231" s="7" t="s">
        <v>74</v>
      </c>
      <c r="X1231" s="7" t="s">
        <v>103</v>
      </c>
      <c r="Y1231" s="8">
        <v>44991</v>
      </c>
      <c r="Z1231" s="8">
        <v>46022</v>
      </c>
      <c r="AA1231" s="7" t="s">
        <v>92</v>
      </c>
      <c r="AB1231" s="7" t="s">
        <v>237</v>
      </c>
      <c r="AC1231" s="7" t="s">
        <v>65</v>
      </c>
      <c r="AD1231" s="7" t="s">
        <v>0</v>
      </c>
      <c r="AE1231" s="7" t="s">
        <v>0</v>
      </c>
      <c r="AF1231" s="7" t="s">
        <v>0</v>
      </c>
      <c r="AG1231" s="7" t="s">
        <v>0</v>
      </c>
      <c r="AH1231" s="9" t="s">
        <v>0</v>
      </c>
      <c r="AI1231" s="9" t="s">
        <v>0</v>
      </c>
      <c r="AJ1231" s="9" t="s">
        <v>0</v>
      </c>
      <c r="AK1231" s="7" t="s">
        <v>61</v>
      </c>
      <c r="AL1231" s="7" t="s">
        <v>61</v>
      </c>
      <c r="AM1231" s="7" t="s">
        <v>0</v>
      </c>
      <c r="AN1231" s="7" t="s">
        <v>0</v>
      </c>
      <c r="AO1231" s="7" t="s">
        <v>0</v>
      </c>
      <c r="AP1231" s="7" t="s">
        <v>0</v>
      </c>
      <c r="AQ1231" s="7" t="s">
        <v>61</v>
      </c>
      <c r="AR1231" s="7" t="s">
        <v>0</v>
      </c>
      <c r="AS1231" s="10" t="str">
        <f>HYPERLINK("https://tessa.gazprom-neft.local/edo/card/698d106e-55e4-4170-aaba-c21084297b0c", "https://tessa.gazprom-neft.local/edo/card/698d106e-55e4-4170-aaba-c21084297b0c")</f>
        <v>https://tessa.gazprom-neft.local/edo/card/698d106e-55e4-4170-aaba-c21084297b0c</v>
      </c>
    </row>
    <row r="1232" spans="1:45" hidden="1" x14ac:dyDescent="0.25">
      <c r="A1232" s="6" t="s">
        <v>44</v>
      </c>
      <c r="B1232" s="7" t="s">
        <v>2115</v>
      </c>
      <c r="C1232" s="7" t="s">
        <v>1701</v>
      </c>
      <c r="D1232" s="8">
        <v>44988</v>
      </c>
      <c r="E1232" s="8" t="s">
        <v>0</v>
      </c>
      <c r="F1232" s="16" t="s">
        <v>2116</v>
      </c>
      <c r="G1232" s="7" t="s">
        <v>2117</v>
      </c>
      <c r="H1232" s="7" t="s">
        <v>0</v>
      </c>
      <c r="I1232" s="7" t="s">
        <v>2145</v>
      </c>
      <c r="J1232" s="7" t="s">
        <v>2145</v>
      </c>
      <c r="K1232" s="7" t="s">
        <v>85</v>
      </c>
      <c r="L1232" s="7" t="s">
        <v>86</v>
      </c>
      <c r="M1232" s="7" t="s">
        <v>289</v>
      </c>
      <c r="N1232" s="7" t="s">
        <v>2144</v>
      </c>
      <c r="O1232" s="7" t="s">
        <v>0</v>
      </c>
      <c r="P1232" s="7" t="s">
        <v>289</v>
      </c>
      <c r="Q1232" s="7" t="s">
        <v>2146</v>
      </c>
      <c r="R1232" s="7" t="s">
        <v>293</v>
      </c>
      <c r="S1232" s="7" t="s">
        <v>293</v>
      </c>
      <c r="T1232" s="7" t="s">
        <v>54</v>
      </c>
      <c r="U1232" s="7" t="s">
        <v>294</v>
      </c>
      <c r="V1232" s="7" t="s">
        <v>340</v>
      </c>
      <c r="W1232" s="7" t="s">
        <v>57</v>
      </c>
      <c r="X1232" s="7" t="s">
        <v>223</v>
      </c>
      <c r="Y1232" s="8">
        <v>44988</v>
      </c>
      <c r="Z1232" s="8" t="s">
        <v>0</v>
      </c>
      <c r="AA1232" s="7" t="s">
        <v>341</v>
      </c>
      <c r="AB1232" s="7" t="s">
        <v>300</v>
      </c>
      <c r="AC1232" s="7" t="s">
        <v>65</v>
      </c>
      <c r="AD1232" s="7" t="s">
        <v>0</v>
      </c>
      <c r="AE1232" s="7" t="s">
        <v>0</v>
      </c>
      <c r="AF1232" s="7" t="s">
        <v>0</v>
      </c>
      <c r="AG1232" s="7" t="s">
        <v>0</v>
      </c>
      <c r="AH1232" s="9" t="s">
        <v>0</v>
      </c>
      <c r="AI1232" s="9" t="s">
        <v>0</v>
      </c>
      <c r="AJ1232" s="9" t="s">
        <v>0</v>
      </c>
      <c r="AK1232" s="7" t="s">
        <v>61</v>
      </c>
      <c r="AL1232" s="7" t="s">
        <v>61</v>
      </c>
      <c r="AM1232" s="7" t="s">
        <v>0</v>
      </c>
      <c r="AN1232" s="7" t="s">
        <v>0</v>
      </c>
      <c r="AO1232" s="7" t="s">
        <v>0</v>
      </c>
      <c r="AP1232" s="7" t="s">
        <v>0</v>
      </c>
      <c r="AQ1232" s="7" t="s">
        <v>61</v>
      </c>
      <c r="AR1232" s="7" t="s">
        <v>0</v>
      </c>
      <c r="AS1232" s="10" t="str">
        <f>HYPERLINK("https://tessa.gazprom-neft.local/edo/card/7d442c3f-255b-4aa5-a3cf-6feb2128358f", "https://tessa.gazprom-neft.local/edo/card/7d442c3f-255b-4aa5-a3cf-6feb2128358f")</f>
        <v>https://tessa.gazprom-neft.local/edo/card/7d442c3f-255b-4aa5-a3cf-6feb2128358f</v>
      </c>
    </row>
    <row r="1233" spans="1:45" hidden="1" x14ac:dyDescent="0.25">
      <c r="A1233" s="6" t="s">
        <v>44</v>
      </c>
      <c r="B1233" s="7" t="s">
        <v>127</v>
      </c>
      <c r="C1233" s="7" t="s">
        <v>67</v>
      </c>
      <c r="D1233" s="8">
        <v>44987</v>
      </c>
      <c r="E1233" s="8" t="s">
        <v>0</v>
      </c>
      <c r="F1233" s="16" t="s">
        <v>128</v>
      </c>
      <c r="G1233" s="7" t="s">
        <v>129</v>
      </c>
      <c r="H1233" s="7" t="s">
        <v>0</v>
      </c>
      <c r="I1233" s="7" t="s">
        <v>1968</v>
      </c>
      <c r="J1233" s="7" t="s">
        <v>1968</v>
      </c>
      <c r="K1233" s="7" t="s">
        <v>47</v>
      </c>
      <c r="L1233" s="7" t="s">
        <v>86</v>
      </c>
      <c r="M1233" s="7" t="s">
        <v>0</v>
      </c>
      <c r="N1233" s="7" t="s">
        <v>1967</v>
      </c>
      <c r="O1233" s="7" t="s">
        <v>0</v>
      </c>
      <c r="P1233" s="7" t="s">
        <v>1969</v>
      </c>
      <c r="Q1233" s="7" t="s">
        <v>1970</v>
      </c>
      <c r="R1233" s="7" t="s">
        <v>393</v>
      </c>
      <c r="S1233" s="7" t="s">
        <v>1094</v>
      </c>
      <c r="T1233" s="7" t="s">
        <v>54</v>
      </c>
      <c r="U1233" s="7" t="s">
        <v>210</v>
      </c>
      <c r="V1233" s="7" t="s">
        <v>126</v>
      </c>
      <c r="W1233" s="7" t="s">
        <v>74</v>
      </c>
      <c r="X1233" s="7" t="s">
        <v>223</v>
      </c>
      <c r="Y1233" s="8">
        <v>44987</v>
      </c>
      <c r="Z1233" s="8" t="s">
        <v>0</v>
      </c>
      <c r="AA1233" s="7" t="s">
        <v>224</v>
      </c>
      <c r="AB1233" s="7" t="s">
        <v>1971</v>
      </c>
      <c r="AC1233" s="7" t="s">
        <v>65</v>
      </c>
      <c r="AD1233" s="7" t="s">
        <v>0</v>
      </c>
      <c r="AE1233" s="7" t="s">
        <v>0</v>
      </c>
      <c r="AF1233" s="7" t="s">
        <v>0</v>
      </c>
      <c r="AG1233" s="7" t="s">
        <v>0</v>
      </c>
      <c r="AH1233" s="9" t="s">
        <v>0</v>
      </c>
      <c r="AI1233" s="9" t="s">
        <v>0</v>
      </c>
      <c r="AJ1233" s="9" t="s">
        <v>0</v>
      </c>
      <c r="AK1233" s="7" t="s">
        <v>61</v>
      </c>
      <c r="AL1233" s="7" t="s">
        <v>61</v>
      </c>
      <c r="AM1233" s="7" t="s">
        <v>0</v>
      </c>
      <c r="AN1233" s="7" t="s">
        <v>0</v>
      </c>
      <c r="AO1233" s="7" t="s">
        <v>0</v>
      </c>
      <c r="AP1233" s="7" t="s">
        <v>0</v>
      </c>
      <c r="AQ1233" s="7" t="s">
        <v>61</v>
      </c>
      <c r="AR1233" s="7" t="s">
        <v>0</v>
      </c>
      <c r="AS1233" s="10" t="str">
        <f>HYPERLINK("https://tessa.gazprom-neft.local/edo/card/1ecc1bd4-2637-4367-a359-6ebab559d8fb", "https://tessa.gazprom-neft.local/edo/card/1ecc1bd4-2637-4367-a359-6ebab559d8fb")</f>
        <v>https://tessa.gazprom-neft.local/edo/card/1ecc1bd4-2637-4367-a359-6ebab559d8fb</v>
      </c>
    </row>
    <row r="1234" spans="1:45" hidden="1" x14ac:dyDescent="0.25">
      <c r="A1234" s="6" t="s">
        <v>44</v>
      </c>
      <c r="B1234" s="7" t="s">
        <v>1396</v>
      </c>
      <c r="C1234" s="7" t="s">
        <v>67</v>
      </c>
      <c r="D1234" s="8">
        <v>44987</v>
      </c>
      <c r="E1234" s="8" t="s">
        <v>0</v>
      </c>
      <c r="F1234" s="16" t="s">
        <v>1397</v>
      </c>
      <c r="G1234" s="7" t="s">
        <v>1398</v>
      </c>
      <c r="H1234" s="7" t="s">
        <v>1735</v>
      </c>
      <c r="I1234" s="7" t="s">
        <v>0</v>
      </c>
      <c r="J1234" s="7" t="s">
        <v>2198</v>
      </c>
      <c r="K1234" s="7" t="s">
        <v>47</v>
      </c>
      <c r="L1234" s="7" t="s">
        <v>239</v>
      </c>
      <c r="M1234" s="7" t="s">
        <v>0</v>
      </c>
      <c r="N1234" s="7" t="s">
        <v>2196</v>
      </c>
      <c r="O1234" s="7" t="s">
        <v>0</v>
      </c>
      <c r="P1234" s="7" t="s">
        <v>2197</v>
      </c>
      <c r="Q1234" s="7" t="s">
        <v>2199</v>
      </c>
      <c r="R1234" s="7" t="s">
        <v>135</v>
      </c>
      <c r="S1234" s="7" t="s">
        <v>0</v>
      </c>
      <c r="T1234" s="7" t="s">
        <v>54</v>
      </c>
      <c r="U1234" s="7" t="s">
        <v>136</v>
      </c>
      <c r="V1234" s="7" t="s">
        <v>308</v>
      </c>
      <c r="W1234" s="7" t="s">
        <v>74</v>
      </c>
      <c r="X1234" s="7" t="s">
        <v>103</v>
      </c>
      <c r="Y1234" s="8">
        <v>44987</v>
      </c>
      <c r="Z1234" s="8">
        <v>45657</v>
      </c>
      <c r="AA1234" s="7" t="s">
        <v>309</v>
      </c>
      <c r="AB1234" s="7" t="s">
        <v>64</v>
      </c>
      <c r="AC1234" s="7" t="s">
        <v>79</v>
      </c>
      <c r="AD1234" s="7" t="s">
        <v>144</v>
      </c>
      <c r="AE1234" s="7" t="s">
        <v>118</v>
      </c>
      <c r="AF1234" s="7" t="s">
        <v>0</v>
      </c>
      <c r="AG1234" s="7" t="s">
        <v>0</v>
      </c>
      <c r="AH1234" s="9" t="s">
        <v>11276</v>
      </c>
      <c r="AI1234" s="9" t="s">
        <v>11276</v>
      </c>
      <c r="AJ1234" s="9">
        <v>0</v>
      </c>
      <c r="AK1234" s="7" t="s">
        <v>61</v>
      </c>
      <c r="AL1234" s="7" t="s">
        <v>61</v>
      </c>
      <c r="AM1234" s="7" t="s">
        <v>0</v>
      </c>
      <c r="AN1234" s="7" t="s">
        <v>0</v>
      </c>
      <c r="AO1234" s="7" t="s">
        <v>0</v>
      </c>
      <c r="AP1234" s="7" t="s">
        <v>0</v>
      </c>
      <c r="AQ1234" s="7" t="s">
        <v>61</v>
      </c>
      <c r="AR1234" s="7" t="s">
        <v>0</v>
      </c>
      <c r="AS1234" s="10" t="str">
        <f>HYPERLINK("https://tessa.gazprom-neft.local/edo/card/4853d070-e70a-4270-a3e8-ca74054b06ce", "https://tessa.gazprom-neft.local/edo/card/4853d070-e70a-4270-a3e8-ca74054b06ce")</f>
        <v>https://tessa.gazprom-neft.local/edo/card/4853d070-e70a-4270-a3e8-ca74054b06ce</v>
      </c>
    </row>
    <row r="1235" spans="1:45" x14ac:dyDescent="0.25">
      <c r="A1235" s="6" t="s">
        <v>44</v>
      </c>
      <c r="B1235" s="7" t="s">
        <v>127</v>
      </c>
      <c r="C1235" s="7" t="s">
        <v>67</v>
      </c>
      <c r="D1235" s="8">
        <v>44986</v>
      </c>
      <c r="E1235" s="8" t="s">
        <v>0</v>
      </c>
      <c r="F1235" s="16" t="s">
        <v>128</v>
      </c>
      <c r="G1235" s="7" t="s">
        <v>129</v>
      </c>
      <c r="H1235" s="7" t="s">
        <v>1661</v>
      </c>
      <c r="I1235" s="7" t="s">
        <v>0</v>
      </c>
      <c r="J1235" s="7" t="s">
        <v>316</v>
      </c>
      <c r="K1235" s="7" t="s">
        <v>47</v>
      </c>
      <c r="L1235" s="7" t="s">
        <v>48</v>
      </c>
      <c r="M1235" s="7" t="s">
        <v>0</v>
      </c>
      <c r="N1235" s="7" t="s">
        <v>1835</v>
      </c>
      <c r="O1235" s="7" t="s">
        <v>0</v>
      </c>
      <c r="P1235" s="7" t="s">
        <v>1836</v>
      </c>
      <c r="Q1235" s="7" t="s">
        <v>1837</v>
      </c>
      <c r="R1235" s="7" t="s">
        <v>393</v>
      </c>
      <c r="S1235" s="7" t="s">
        <v>0</v>
      </c>
      <c r="T1235" s="7" t="s">
        <v>54</v>
      </c>
      <c r="U1235" s="7" t="s">
        <v>210</v>
      </c>
      <c r="V1235" s="7" t="s">
        <v>126</v>
      </c>
      <c r="W1235" s="7" t="s">
        <v>74</v>
      </c>
      <c r="X1235" s="7" t="s">
        <v>58</v>
      </c>
      <c r="Y1235" s="8">
        <v>44986</v>
      </c>
      <c r="Z1235" s="8" t="s">
        <v>0</v>
      </c>
      <c r="AA1235" s="7" t="s">
        <v>224</v>
      </c>
      <c r="AB1235" s="7" t="s">
        <v>1698</v>
      </c>
      <c r="AC1235" s="7" t="s">
        <v>65</v>
      </c>
      <c r="AD1235" s="7" t="s">
        <v>514</v>
      </c>
      <c r="AE1235" s="7" t="s">
        <v>0</v>
      </c>
      <c r="AF1235" s="7" t="s">
        <v>0</v>
      </c>
      <c r="AG1235" s="7" t="s">
        <v>0</v>
      </c>
      <c r="AH1235" s="9" t="s">
        <v>0</v>
      </c>
      <c r="AI1235" s="9" t="s">
        <v>0</v>
      </c>
      <c r="AJ1235" s="9" t="s">
        <v>0</v>
      </c>
      <c r="AK1235" s="7" t="s">
        <v>61</v>
      </c>
      <c r="AL1235" s="7" t="s">
        <v>61</v>
      </c>
      <c r="AM1235" s="7" t="s">
        <v>0</v>
      </c>
      <c r="AN1235" s="7" t="s">
        <v>0</v>
      </c>
      <c r="AO1235" s="7" t="s">
        <v>0</v>
      </c>
      <c r="AP1235" s="7" t="s">
        <v>0</v>
      </c>
      <c r="AQ1235" s="7" t="s">
        <v>61</v>
      </c>
      <c r="AR1235" s="7" t="s">
        <v>0</v>
      </c>
      <c r="AS1235" s="10" t="str">
        <f>HYPERLINK("https://tessa.gazprom-neft.local/edo/card/d93fb7a2-b338-4e4e-a07a-9ff39c6c1024", "https://tessa.gazprom-neft.local/edo/card/d93fb7a2-b338-4e4e-a07a-9ff39c6c1024")</f>
        <v>https://tessa.gazprom-neft.local/edo/card/d93fb7a2-b338-4e4e-a07a-9ff39c6c1024</v>
      </c>
    </row>
    <row r="1236" spans="1:45" x14ac:dyDescent="0.25">
      <c r="A1236" s="6" t="s">
        <v>44</v>
      </c>
      <c r="B1236" s="7" t="s">
        <v>1843</v>
      </c>
      <c r="C1236" s="7" t="s">
        <v>67</v>
      </c>
      <c r="D1236" s="8">
        <v>44986</v>
      </c>
      <c r="E1236" s="8" t="s">
        <v>0</v>
      </c>
      <c r="F1236" s="16" t="s">
        <v>1844</v>
      </c>
      <c r="G1236" s="7" t="s">
        <v>1845</v>
      </c>
      <c r="H1236" s="7" t="s">
        <v>1841</v>
      </c>
      <c r="I1236" s="7" t="s">
        <v>0</v>
      </c>
      <c r="J1236" s="7" t="s">
        <v>51</v>
      </c>
      <c r="K1236" s="7" t="s">
        <v>47</v>
      </c>
      <c r="L1236" s="7" t="s">
        <v>48</v>
      </c>
      <c r="M1236" s="7" t="s">
        <v>0</v>
      </c>
      <c r="N1236" s="7" t="s">
        <v>1840</v>
      </c>
      <c r="O1236" s="7" t="s">
        <v>0</v>
      </c>
      <c r="P1236" s="7" t="s">
        <v>50</v>
      </c>
      <c r="Q1236" s="7" t="s">
        <v>1842</v>
      </c>
      <c r="R1236" s="7" t="s">
        <v>1066</v>
      </c>
      <c r="S1236" s="7" t="s">
        <v>0</v>
      </c>
      <c r="T1236" s="7" t="s">
        <v>54</v>
      </c>
      <c r="U1236" s="7" t="s">
        <v>136</v>
      </c>
      <c r="V1236" s="7" t="s">
        <v>308</v>
      </c>
      <c r="W1236" s="7" t="s">
        <v>74</v>
      </c>
      <c r="X1236" s="7" t="s">
        <v>103</v>
      </c>
      <c r="Y1236" s="8">
        <v>44986</v>
      </c>
      <c r="Z1236" s="8">
        <v>46112</v>
      </c>
      <c r="AA1236" s="7" t="s">
        <v>309</v>
      </c>
      <c r="AB1236" s="7" t="s">
        <v>1143</v>
      </c>
      <c r="AC1236" s="7" t="s">
        <v>79</v>
      </c>
      <c r="AD1236" s="7" t="s">
        <v>80</v>
      </c>
      <c r="AE1236" s="7" t="s">
        <v>82</v>
      </c>
      <c r="AF1236" s="7" t="s">
        <v>0</v>
      </c>
      <c r="AG1236" s="7" t="s">
        <v>0</v>
      </c>
      <c r="AH1236" s="9" t="s">
        <v>11146</v>
      </c>
      <c r="AI1236" s="9" t="s">
        <v>11147</v>
      </c>
      <c r="AJ1236" s="9" t="s">
        <v>11148</v>
      </c>
      <c r="AK1236" s="7" t="s">
        <v>61</v>
      </c>
      <c r="AL1236" s="7" t="s">
        <v>61</v>
      </c>
      <c r="AM1236" s="7" t="s">
        <v>0</v>
      </c>
      <c r="AN1236" s="7" t="s">
        <v>0</v>
      </c>
      <c r="AO1236" s="7" t="s">
        <v>0</v>
      </c>
      <c r="AP1236" s="7" t="s">
        <v>0</v>
      </c>
      <c r="AQ1236" s="7" t="s">
        <v>61</v>
      </c>
      <c r="AR1236" s="7" t="s">
        <v>0</v>
      </c>
      <c r="AS1236" s="10" t="str">
        <f>HYPERLINK("https://tessa.gazprom-neft.local/edo/card/35f18922-d446-4424-bea6-f8a66e5573d3", "https://tessa.gazprom-neft.local/edo/card/35f18922-d446-4424-bea6-f8a66e5573d3")</f>
        <v>https://tessa.gazprom-neft.local/edo/card/35f18922-d446-4424-bea6-f8a66e5573d3</v>
      </c>
    </row>
    <row r="1237" spans="1:45" hidden="1" x14ac:dyDescent="0.25">
      <c r="A1237" s="6" t="s">
        <v>44</v>
      </c>
      <c r="B1237" s="7" t="s">
        <v>620</v>
      </c>
      <c r="C1237" s="7" t="s">
        <v>67</v>
      </c>
      <c r="D1237" s="8">
        <v>44986</v>
      </c>
      <c r="E1237" s="8" t="s">
        <v>0</v>
      </c>
      <c r="F1237" s="16" t="s">
        <v>621</v>
      </c>
      <c r="G1237" s="7" t="s">
        <v>622</v>
      </c>
      <c r="H1237" s="7" t="s">
        <v>0</v>
      </c>
      <c r="I1237" s="7" t="s">
        <v>1870</v>
      </c>
      <c r="J1237" s="7" t="s">
        <v>1870</v>
      </c>
      <c r="K1237" s="7" t="s">
        <v>85</v>
      </c>
      <c r="L1237" s="7" t="s">
        <v>96</v>
      </c>
      <c r="M1237" s="7" t="s">
        <v>398</v>
      </c>
      <c r="N1237" s="7" t="s">
        <v>1869</v>
      </c>
      <c r="O1237" s="7" t="s">
        <v>0</v>
      </c>
      <c r="P1237" s="7" t="s">
        <v>1871</v>
      </c>
      <c r="Q1237" s="7" t="s">
        <v>402</v>
      </c>
      <c r="R1237" s="7" t="s">
        <v>361</v>
      </c>
      <c r="S1237" s="7" t="s">
        <v>361</v>
      </c>
      <c r="T1237" s="7" t="s">
        <v>54</v>
      </c>
      <c r="U1237" s="7" t="s">
        <v>362</v>
      </c>
      <c r="V1237" s="7" t="s">
        <v>295</v>
      </c>
      <c r="W1237" s="7" t="s">
        <v>74</v>
      </c>
      <c r="X1237" s="7" t="s">
        <v>103</v>
      </c>
      <c r="Y1237" s="8">
        <v>44986</v>
      </c>
      <c r="Z1237" s="8">
        <v>45351</v>
      </c>
      <c r="AA1237" s="7" t="s">
        <v>296</v>
      </c>
      <c r="AB1237" s="7" t="s">
        <v>366</v>
      </c>
      <c r="AC1237" s="7" t="s">
        <v>278</v>
      </c>
      <c r="AD1237" s="7" t="s">
        <v>367</v>
      </c>
      <c r="AE1237" s="7" t="s">
        <v>82</v>
      </c>
      <c r="AF1237" s="7" t="s">
        <v>0</v>
      </c>
      <c r="AG1237" s="7" t="s">
        <v>0</v>
      </c>
      <c r="AH1237" s="9" t="s">
        <v>11158</v>
      </c>
      <c r="AI1237" s="9" t="s">
        <v>11159</v>
      </c>
      <c r="AJ1237" s="9" t="s">
        <v>11160</v>
      </c>
      <c r="AK1237" s="7" t="s">
        <v>61</v>
      </c>
      <c r="AL1237" s="7" t="s">
        <v>61</v>
      </c>
      <c r="AM1237" s="7" t="s">
        <v>0</v>
      </c>
      <c r="AN1237" s="7" t="s">
        <v>0</v>
      </c>
      <c r="AO1237" s="7" t="s">
        <v>0</v>
      </c>
      <c r="AP1237" s="7" t="s">
        <v>0</v>
      </c>
      <c r="AQ1237" s="7" t="s">
        <v>61</v>
      </c>
      <c r="AR1237" s="7" t="s">
        <v>0</v>
      </c>
      <c r="AS1237" s="10" t="str">
        <f>HYPERLINK("https://tessa.gazprom-neft.local/edo/card/99321d75-b7fc-4a5f-b83b-03e3426867df", "https://tessa.gazprom-neft.local/edo/card/99321d75-b7fc-4a5f-b83b-03e3426867df")</f>
        <v>https://tessa.gazprom-neft.local/edo/card/99321d75-b7fc-4a5f-b83b-03e3426867df</v>
      </c>
    </row>
    <row r="1238" spans="1:45" hidden="1" x14ac:dyDescent="0.25">
      <c r="A1238" s="6" t="s">
        <v>44</v>
      </c>
      <c r="B1238" s="7" t="s">
        <v>927</v>
      </c>
      <c r="C1238" s="7" t="s">
        <v>67</v>
      </c>
      <c r="D1238" s="8">
        <v>44986</v>
      </c>
      <c r="E1238" s="8" t="s">
        <v>0</v>
      </c>
      <c r="F1238" s="16" t="s">
        <v>928</v>
      </c>
      <c r="G1238" s="7" t="s">
        <v>929</v>
      </c>
      <c r="H1238" s="7" t="s">
        <v>0</v>
      </c>
      <c r="I1238" s="7" t="s">
        <v>1929</v>
      </c>
      <c r="J1238" s="7" t="s">
        <v>1929</v>
      </c>
      <c r="K1238" s="7" t="s">
        <v>85</v>
      </c>
      <c r="L1238" s="7" t="s">
        <v>96</v>
      </c>
      <c r="M1238" s="7" t="s">
        <v>398</v>
      </c>
      <c r="N1238" s="7" t="s">
        <v>1928</v>
      </c>
      <c r="O1238" s="7" t="s">
        <v>0</v>
      </c>
      <c r="P1238" s="7" t="s">
        <v>1930</v>
      </c>
      <c r="Q1238" s="7" t="s">
        <v>402</v>
      </c>
      <c r="R1238" s="7" t="s">
        <v>361</v>
      </c>
      <c r="S1238" s="7" t="s">
        <v>361</v>
      </c>
      <c r="T1238" s="7" t="s">
        <v>54</v>
      </c>
      <c r="U1238" s="7" t="s">
        <v>362</v>
      </c>
      <c r="V1238" s="7" t="s">
        <v>295</v>
      </c>
      <c r="W1238" s="7" t="s">
        <v>74</v>
      </c>
      <c r="X1238" s="7" t="s">
        <v>103</v>
      </c>
      <c r="Y1238" s="8">
        <v>44986</v>
      </c>
      <c r="Z1238" s="8">
        <v>45351</v>
      </c>
      <c r="AA1238" s="7" t="s">
        <v>296</v>
      </c>
      <c r="AB1238" s="7" t="s">
        <v>366</v>
      </c>
      <c r="AC1238" s="7" t="s">
        <v>278</v>
      </c>
      <c r="AD1238" s="7" t="s">
        <v>367</v>
      </c>
      <c r="AE1238" s="7" t="s">
        <v>82</v>
      </c>
      <c r="AF1238" s="7" t="s">
        <v>0</v>
      </c>
      <c r="AG1238" s="7" t="s">
        <v>0</v>
      </c>
      <c r="AH1238" s="9" t="s">
        <v>11182</v>
      </c>
      <c r="AI1238" s="9" t="s">
        <v>11183</v>
      </c>
      <c r="AJ1238" s="9" t="s">
        <v>11184</v>
      </c>
      <c r="AK1238" s="7" t="s">
        <v>61</v>
      </c>
      <c r="AL1238" s="7" t="s">
        <v>61</v>
      </c>
      <c r="AM1238" s="7" t="s">
        <v>0</v>
      </c>
      <c r="AN1238" s="7" t="s">
        <v>0</v>
      </c>
      <c r="AO1238" s="7" t="s">
        <v>0</v>
      </c>
      <c r="AP1238" s="7" t="s">
        <v>0</v>
      </c>
      <c r="AQ1238" s="7" t="s">
        <v>61</v>
      </c>
      <c r="AR1238" s="7" t="s">
        <v>0</v>
      </c>
      <c r="AS1238" s="10" t="str">
        <f>HYPERLINK("https://tessa.gazprom-neft.local/edo/card/43585862-71e8-4581-b5d7-96c7ba7ba933", "https://tessa.gazprom-neft.local/edo/card/43585862-71e8-4581-b5d7-96c7ba7ba933")</f>
        <v>https://tessa.gazprom-neft.local/edo/card/43585862-71e8-4581-b5d7-96c7ba7ba933</v>
      </c>
    </row>
    <row r="1239" spans="1:45" x14ac:dyDescent="0.25">
      <c r="A1239" s="6" t="s">
        <v>44</v>
      </c>
      <c r="B1239" s="7" t="s">
        <v>1396</v>
      </c>
      <c r="C1239" s="7" t="s">
        <v>67</v>
      </c>
      <c r="D1239" s="8">
        <v>44986</v>
      </c>
      <c r="E1239" s="8" t="s">
        <v>0</v>
      </c>
      <c r="F1239" s="16" t="s">
        <v>1397</v>
      </c>
      <c r="G1239" s="7" t="s">
        <v>1398</v>
      </c>
      <c r="H1239" s="7" t="s">
        <v>1735</v>
      </c>
      <c r="I1239" s="7" t="s">
        <v>0</v>
      </c>
      <c r="J1239" s="7" t="s">
        <v>70</v>
      </c>
      <c r="K1239" s="7" t="s">
        <v>47</v>
      </c>
      <c r="L1239" s="7" t="s">
        <v>48</v>
      </c>
      <c r="M1239" s="7" t="s">
        <v>0</v>
      </c>
      <c r="N1239" s="7" t="s">
        <v>2038</v>
      </c>
      <c r="O1239" s="7" t="s">
        <v>0</v>
      </c>
      <c r="P1239" s="7" t="s">
        <v>2039</v>
      </c>
      <c r="Q1239" s="7" t="s">
        <v>2040</v>
      </c>
      <c r="R1239" s="7" t="s">
        <v>135</v>
      </c>
      <c r="S1239" s="7" t="s">
        <v>135</v>
      </c>
      <c r="T1239" s="7" t="s">
        <v>54</v>
      </c>
      <c r="U1239" s="7" t="s">
        <v>136</v>
      </c>
      <c r="V1239" s="7" t="s">
        <v>308</v>
      </c>
      <c r="W1239" s="7" t="s">
        <v>74</v>
      </c>
      <c r="X1239" s="7" t="s">
        <v>103</v>
      </c>
      <c r="Y1239" s="8">
        <v>44986</v>
      </c>
      <c r="Z1239" s="8">
        <v>45657</v>
      </c>
      <c r="AA1239" s="7" t="s">
        <v>309</v>
      </c>
      <c r="AB1239" s="7" t="s">
        <v>64</v>
      </c>
      <c r="AC1239" s="7" t="s">
        <v>79</v>
      </c>
      <c r="AD1239" s="7" t="s">
        <v>80</v>
      </c>
      <c r="AE1239" s="7" t="s">
        <v>118</v>
      </c>
      <c r="AF1239" s="7" t="s">
        <v>0</v>
      </c>
      <c r="AG1239" s="7" t="s">
        <v>0</v>
      </c>
      <c r="AH1239" s="9" t="s">
        <v>11222</v>
      </c>
      <c r="AI1239" s="9" t="s">
        <v>11222</v>
      </c>
      <c r="AJ1239" s="9">
        <v>0</v>
      </c>
      <c r="AK1239" s="7" t="s">
        <v>61</v>
      </c>
      <c r="AL1239" s="7" t="s">
        <v>61</v>
      </c>
      <c r="AM1239" s="7" t="s">
        <v>0</v>
      </c>
      <c r="AN1239" s="7" t="s">
        <v>0</v>
      </c>
      <c r="AO1239" s="7" t="s">
        <v>0</v>
      </c>
      <c r="AP1239" s="7" t="s">
        <v>0</v>
      </c>
      <c r="AQ1239" s="7" t="s">
        <v>61</v>
      </c>
      <c r="AR1239" s="7" t="s">
        <v>0</v>
      </c>
      <c r="AS1239" s="10" t="str">
        <f>HYPERLINK("https://tessa.gazprom-neft.local/edo/card/0b79e45a-0997-4db7-a237-eaa36bb1532d", "https://tessa.gazprom-neft.local/edo/card/0b79e45a-0997-4db7-a237-eaa36bb1532d")</f>
        <v>https://tessa.gazprom-neft.local/edo/card/0b79e45a-0997-4db7-a237-eaa36bb1532d</v>
      </c>
    </row>
    <row r="1240" spans="1:45" x14ac:dyDescent="0.25">
      <c r="A1240" s="6" t="s">
        <v>44</v>
      </c>
      <c r="B1240" s="7" t="s">
        <v>403</v>
      </c>
      <c r="C1240" s="7" t="s">
        <v>67</v>
      </c>
      <c r="D1240" s="8">
        <v>44986</v>
      </c>
      <c r="E1240" s="8" t="s">
        <v>0</v>
      </c>
      <c r="F1240" s="16" t="s">
        <v>404</v>
      </c>
      <c r="G1240" s="7" t="s">
        <v>405</v>
      </c>
      <c r="H1240" s="7" t="s">
        <v>1805</v>
      </c>
      <c r="I1240" s="7" t="s">
        <v>0</v>
      </c>
      <c r="J1240" s="7" t="s">
        <v>271</v>
      </c>
      <c r="K1240" s="7" t="s">
        <v>47</v>
      </c>
      <c r="L1240" s="7" t="s">
        <v>48</v>
      </c>
      <c r="M1240" s="7" t="s">
        <v>0</v>
      </c>
      <c r="N1240" s="7" t="s">
        <v>2058</v>
      </c>
      <c r="O1240" s="7" t="s">
        <v>0</v>
      </c>
      <c r="P1240" s="7" t="s">
        <v>2059</v>
      </c>
      <c r="Q1240" s="7" t="s">
        <v>2060</v>
      </c>
      <c r="R1240" s="7" t="s">
        <v>282</v>
      </c>
      <c r="S1240" s="7" t="s">
        <v>0</v>
      </c>
      <c r="T1240" s="7" t="s">
        <v>54</v>
      </c>
      <c r="U1240" s="7" t="s">
        <v>55</v>
      </c>
      <c r="V1240" s="7" t="s">
        <v>56</v>
      </c>
      <c r="W1240" s="7" t="s">
        <v>74</v>
      </c>
      <c r="X1240" s="7" t="s">
        <v>103</v>
      </c>
      <c r="Y1240" s="8">
        <v>44986</v>
      </c>
      <c r="Z1240" s="8">
        <v>46387</v>
      </c>
      <c r="AA1240" s="7" t="s">
        <v>0</v>
      </c>
      <c r="AB1240" s="7" t="s">
        <v>130</v>
      </c>
      <c r="AC1240" s="7" t="s">
        <v>65</v>
      </c>
      <c r="AD1240" s="7" t="s">
        <v>144</v>
      </c>
      <c r="AE1240" s="7" t="s">
        <v>0</v>
      </c>
      <c r="AF1240" s="7" t="s">
        <v>0</v>
      </c>
      <c r="AG1240" s="7" t="s">
        <v>0</v>
      </c>
      <c r="AH1240" s="9" t="s">
        <v>0</v>
      </c>
      <c r="AI1240" s="9" t="s">
        <v>0</v>
      </c>
      <c r="AJ1240" s="9" t="s">
        <v>0</v>
      </c>
      <c r="AK1240" s="7" t="s">
        <v>61</v>
      </c>
      <c r="AL1240" s="7" t="s">
        <v>61</v>
      </c>
      <c r="AM1240" s="7" t="s">
        <v>0</v>
      </c>
      <c r="AN1240" s="7" t="s">
        <v>0</v>
      </c>
      <c r="AO1240" s="7" t="s">
        <v>0</v>
      </c>
      <c r="AP1240" s="7" t="s">
        <v>0</v>
      </c>
      <c r="AQ1240" s="7" t="s">
        <v>61</v>
      </c>
      <c r="AR1240" s="7" t="s">
        <v>0</v>
      </c>
      <c r="AS1240" s="10" t="str">
        <f>HYPERLINK("https://tessa.gazprom-neft.local/edo/card/da49cb50-99be-46d6-8c4a-a30f67184972", "https://tessa.gazprom-neft.local/edo/card/da49cb50-99be-46d6-8c4a-a30f67184972")</f>
        <v>https://tessa.gazprom-neft.local/edo/card/da49cb50-99be-46d6-8c4a-a30f67184972</v>
      </c>
    </row>
    <row r="1241" spans="1:45" x14ac:dyDescent="0.25">
      <c r="A1241" s="6" t="s">
        <v>44</v>
      </c>
      <c r="B1241" s="7" t="s">
        <v>727</v>
      </c>
      <c r="C1241" s="7" t="s">
        <v>67</v>
      </c>
      <c r="D1241" s="8">
        <v>44985</v>
      </c>
      <c r="E1241" s="8" t="s">
        <v>0</v>
      </c>
      <c r="F1241" s="16" t="s">
        <v>728</v>
      </c>
      <c r="G1241" s="7" t="s">
        <v>729</v>
      </c>
      <c r="H1241" s="7" t="s">
        <v>1618</v>
      </c>
      <c r="I1241" s="7" t="s">
        <v>0</v>
      </c>
      <c r="J1241" s="7" t="s">
        <v>936</v>
      </c>
      <c r="K1241" s="7" t="s">
        <v>47</v>
      </c>
      <c r="L1241" s="7" t="s">
        <v>48</v>
      </c>
      <c r="M1241" s="7" t="s">
        <v>0</v>
      </c>
      <c r="N1241" s="7" t="s">
        <v>1617</v>
      </c>
      <c r="O1241" s="7" t="s">
        <v>0</v>
      </c>
      <c r="P1241" s="7" t="s">
        <v>1619</v>
      </c>
      <c r="Q1241" s="7" t="s">
        <v>1599</v>
      </c>
      <c r="R1241" s="7" t="s">
        <v>646</v>
      </c>
      <c r="S1241" s="7" t="s">
        <v>0</v>
      </c>
      <c r="T1241" s="7" t="s">
        <v>54</v>
      </c>
      <c r="U1241" s="7" t="s">
        <v>362</v>
      </c>
      <c r="V1241" s="7" t="s">
        <v>56</v>
      </c>
      <c r="W1241" s="7" t="s">
        <v>74</v>
      </c>
      <c r="X1241" s="7" t="s">
        <v>58</v>
      </c>
      <c r="Y1241" s="8">
        <v>44985</v>
      </c>
      <c r="Z1241" s="8" t="s">
        <v>0</v>
      </c>
      <c r="AA1241" s="7" t="s">
        <v>59</v>
      </c>
      <c r="AB1241" s="7" t="s">
        <v>130</v>
      </c>
      <c r="AC1241" s="7" t="s">
        <v>65</v>
      </c>
      <c r="AD1241" s="7" t="s">
        <v>0</v>
      </c>
      <c r="AE1241" s="7" t="s">
        <v>0</v>
      </c>
      <c r="AF1241" s="7" t="s">
        <v>0</v>
      </c>
      <c r="AG1241" s="7" t="s">
        <v>0</v>
      </c>
      <c r="AH1241" s="9" t="s">
        <v>0</v>
      </c>
      <c r="AI1241" s="9" t="s">
        <v>0</v>
      </c>
      <c r="AJ1241" s="9" t="s">
        <v>0</v>
      </c>
      <c r="AK1241" s="7" t="s">
        <v>61</v>
      </c>
      <c r="AL1241" s="7" t="s">
        <v>61</v>
      </c>
      <c r="AM1241" s="7" t="s">
        <v>0</v>
      </c>
      <c r="AN1241" s="7" t="s">
        <v>0</v>
      </c>
      <c r="AO1241" s="7" t="s">
        <v>0</v>
      </c>
      <c r="AP1241" s="7" t="s">
        <v>0</v>
      </c>
      <c r="AQ1241" s="7" t="s">
        <v>61</v>
      </c>
      <c r="AR1241" s="7" t="s">
        <v>0</v>
      </c>
      <c r="AS1241" s="10" t="str">
        <f>HYPERLINK("https://tessa.gazprom-neft.local/edo/card/bc32aeed-3c95-4c0a-b73f-0dcb3b7117a3", "https://tessa.gazprom-neft.local/edo/card/bc32aeed-3c95-4c0a-b73f-0dcb3b7117a3")</f>
        <v>https://tessa.gazprom-neft.local/edo/card/bc32aeed-3c95-4c0a-b73f-0dcb3b7117a3</v>
      </c>
    </row>
    <row r="1242" spans="1:45" x14ac:dyDescent="0.25">
      <c r="A1242" s="6" t="s">
        <v>44</v>
      </c>
      <c r="B1242" s="7" t="s">
        <v>127</v>
      </c>
      <c r="C1242" s="7" t="s">
        <v>67</v>
      </c>
      <c r="D1242" s="8">
        <v>44985</v>
      </c>
      <c r="E1242" s="8" t="s">
        <v>0</v>
      </c>
      <c r="F1242" s="16" t="s">
        <v>128</v>
      </c>
      <c r="G1242" s="7" t="s">
        <v>129</v>
      </c>
      <c r="H1242" s="7" t="s">
        <v>1661</v>
      </c>
      <c r="I1242" s="7" t="s">
        <v>0</v>
      </c>
      <c r="J1242" s="7" t="s">
        <v>712</v>
      </c>
      <c r="K1242" s="7" t="s">
        <v>47</v>
      </c>
      <c r="L1242" s="7" t="s">
        <v>48</v>
      </c>
      <c r="M1242" s="7" t="s">
        <v>0</v>
      </c>
      <c r="N1242" s="7" t="s">
        <v>1695</v>
      </c>
      <c r="O1242" s="7" t="s">
        <v>0</v>
      </c>
      <c r="P1242" s="7" t="s">
        <v>1696</v>
      </c>
      <c r="Q1242" s="7" t="s">
        <v>1697</v>
      </c>
      <c r="R1242" s="7" t="s">
        <v>393</v>
      </c>
      <c r="S1242" s="7" t="s">
        <v>1094</v>
      </c>
      <c r="T1242" s="7" t="s">
        <v>54</v>
      </c>
      <c r="U1242" s="7" t="s">
        <v>210</v>
      </c>
      <c r="V1242" s="7" t="s">
        <v>126</v>
      </c>
      <c r="W1242" s="7" t="s">
        <v>74</v>
      </c>
      <c r="X1242" s="7" t="s">
        <v>58</v>
      </c>
      <c r="Y1242" s="8">
        <v>44985</v>
      </c>
      <c r="Z1242" s="8" t="s">
        <v>0</v>
      </c>
      <c r="AA1242" s="7" t="s">
        <v>224</v>
      </c>
      <c r="AB1242" s="7" t="s">
        <v>1698</v>
      </c>
      <c r="AC1242" s="7" t="s">
        <v>79</v>
      </c>
      <c r="AD1242" s="7" t="s">
        <v>514</v>
      </c>
      <c r="AE1242" s="7" t="s">
        <v>82</v>
      </c>
      <c r="AF1242" s="7" t="s">
        <v>0</v>
      </c>
      <c r="AG1242" s="7" t="s">
        <v>1699</v>
      </c>
      <c r="AH1242" s="9" t="s">
        <v>11094</v>
      </c>
      <c r="AI1242" s="9" t="s">
        <v>11095</v>
      </c>
      <c r="AJ1242" s="9" t="s">
        <v>11096</v>
      </c>
      <c r="AK1242" s="7" t="s">
        <v>81</v>
      </c>
      <c r="AL1242" s="7" t="s">
        <v>61</v>
      </c>
      <c r="AM1242" s="7" t="s">
        <v>0</v>
      </c>
      <c r="AN1242" s="7" t="s">
        <v>0</v>
      </c>
      <c r="AO1242" s="7" t="s">
        <v>0</v>
      </c>
      <c r="AP1242" s="7" t="s">
        <v>0</v>
      </c>
      <c r="AQ1242" s="7" t="s">
        <v>61</v>
      </c>
      <c r="AR1242" s="7" t="s">
        <v>0</v>
      </c>
      <c r="AS1242" s="10" t="str">
        <f>HYPERLINK("https://tessa.gazprom-neft.local/edo/card/13715257-5904-40fd-8167-e88a4624e7e5", "https://tessa.gazprom-neft.local/edo/card/13715257-5904-40fd-8167-e88a4624e7e5")</f>
        <v>https://tessa.gazprom-neft.local/edo/card/13715257-5904-40fd-8167-e88a4624e7e5</v>
      </c>
    </row>
    <row r="1243" spans="1:45" x14ac:dyDescent="0.25">
      <c r="A1243" s="6" t="s">
        <v>44</v>
      </c>
      <c r="B1243" s="7" t="s">
        <v>1328</v>
      </c>
      <c r="C1243" s="7" t="s">
        <v>67</v>
      </c>
      <c r="D1243" s="8">
        <v>44985</v>
      </c>
      <c r="E1243" s="8" t="s">
        <v>0</v>
      </c>
      <c r="F1243" s="16" t="s">
        <v>1329</v>
      </c>
      <c r="G1243" s="7" t="s">
        <v>1330</v>
      </c>
      <c r="H1243" s="7" t="s">
        <v>1899</v>
      </c>
      <c r="I1243" s="7" t="s">
        <v>0</v>
      </c>
      <c r="J1243" s="7" t="s">
        <v>896</v>
      </c>
      <c r="K1243" s="7" t="s">
        <v>47</v>
      </c>
      <c r="L1243" s="7" t="s">
        <v>48</v>
      </c>
      <c r="M1243" s="7" t="s">
        <v>0</v>
      </c>
      <c r="N1243" s="7" t="s">
        <v>1898</v>
      </c>
      <c r="O1243" s="7" t="s">
        <v>0</v>
      </c>
      <c r="P1243" s="7" t="s">
        <v>1900</v>
      </c>
      <c r="Q1243" s="7" t="s">
        <v>1901</v>
      </c>
      <c r="R1243" s="7" t="s">
        <v>166</v>
      </c>
      <c r="S1243" s="7" t="s">
        <v>0</v>
      </c>
      <c r="T1243" s="7" t="s">
        <v>54</v>
      </c>
      <c r="U1243" s="7" t="s">
        <v>167</v>
      </c>
      <c r="V1243" s="7" t="s">
        <v>308</v>
      </c>
      <c r="W1243" s="7" t="s">
        <v>57</v>
      </c>
      <c r="X1243" s="7" t="s">
        <v>103</v>
      </c>
      <c r="Y1243" s="8">
        <v>44985</v>
      </c>
      <c r="Z1243" s="8">
        <v>45077</v>
      </c>
      <c r="AA1243" s="7" t="s">
        <v>309</v>
      </c>
      <c r="AB1243" s="7" t="s">
        <v>130</v>
      </c>
      <c r="AC1243" s="7" t="s">
        <v>79</v>
      </c>
      <c r="AD1243" s="7" t="s">
        <v>144</v>
      </c>
      <c r="AE1243" s="7" t="s">
        <v>82</v>
      </c>
      <c r="AF1243" s="7" t="s">
        <v>0</v>
      </c>
      <c r="AG1243" s="7" t="s">
        <v>0</v>
      </c>
      <c r="AH1243" s="9" t="s">
        <v>11170</v>
      </c>
      <c r="AI1243" s="9" t="s">
        <v>11171</v>
      </c>
      <c r="AJ1243" s="9" t="s">
        <v>11172</v>
      </c>
      <c r="AK1243" s="7" t="s">
        <v>61</v>
      </c>
      <c r="AL1243" s="7" t="s">
        <v>61</v>
      </c>
      <c r="AM1243" s="7" t="s">
        <v>0</v>
      </c>
      <c r="AN1243" s="7" t="s">
        <v>0</v>
      </c>
      <c r="AO1243" s="7" t="s">
        <v>0</v>
      </c>
      <c r="AP1243" s="7" t="s">
        <v>0</v>
      </c>
      <c r="AQ1243" s="7" t="s">
        <v>61</v>
      </c>
      <c r="AR1243" s="7" t="s">
        <v>0</v>
      </c>
      <c r="AS1243" s="10" t="str">
        <f>HYPERLINK("https://tessa.gazprom-neft.local/edo/card/4ecb8d1b-e61c-437d-9352-417c7e4080dd", "https://tessa.gazprom-neft.local/edo/card/4ecb8d1b-e61c-437d-9352-417c7e4080dd")</f>
        <v>https://tessa.gazprom-neft.local/edo/card/4ecb8d1b-e61c-437d-9352-417c7e4080dd</v>
      </c>
    </row>
    <row r="1244" spans="1:45" hidden="1" x14ac:dyDescent="0.25">
      <c r="A1244" s="6" t="s">
        <v>44</v>
      </c>
      <c r="B1244" s="7" t="s">
        <v>606</v>
      </c>
      <c r="C1244" s="7" t="s">
        <v>67</v>
      </c>
      <c r="D1244" s="8">
        <v>44985</v>
      </c>
      <c r="E1244" s="8" t="s">
        <v>0</v>
      </c>
      <c r="F1244" s="16" t="s">
        <v>607</v>
      </c>
      <c r="G1244" s="7" t="s">
        <v>608</v>
      </c>
      <c r="H1244" s="7" t="s">
        <v>600</v>
      </c>
      <c r="I1244" s="7" t="s">
        <v>0</v>
      </c>
      <c r="J1244" s="7" t="s">
        <v>2073</v>
      </c>
      <c r="K1244" s="7" t="s">
        <v>47</v>
      </c>
      <c r="L1244" s="7" t="s">
        <v>239</v>
      </c>
      <c r="M1244" s="7" t="s">
        <v>0</v>
      </c>
      <c r="N1244" s="7" t="s">
        <v>2071</v>
      </c>
      <c r="O1244" s="7" t="s">
        <v>0</v>
      </c>
      <c r="P1244" s="7" t="s">
        <v>2072</v>
      </c>
      <c r="Q1244" s="7" t="s">
        <v>2074</v>
      </c>
      <c r="R1244" s="7" t="s">
        <v>938</v>
      </c>
      <c r="S1244" s="7" t="s">
        <v>938</v>
      </c>
      <c r="T1244" s="7" t="s">
        <v>54</v>
      </c>
      <c r="U1244" s="7" t="s">
        <v>605</v>
      </c>
      <c r="V1244" s="7" t="s">
        <v>126</v>
      </c>
      <c r="W1244" s="7" t="s">
        <v>74</v>
      </c>
      <c r="X1244" s="7" t="s">
        <v>103</v>
      </c>
      <c r="Y1244" s="8">
        <v>44985</v>
      </c>
      <c r="Z1244" s="8">
        <v>45382</v>
      </c>
      <c r="AA1244" s="7" t="s">
        <v>224</v>
      </c>
      <c r="AB1244" s="7" t="s">
        <v>130</v>
      </c>
      <c r="AC1244" s="7" t="s">
        <v>79</v>
      </c>
      <c r="AD1244" s="7" t="s">
        <v>144</v>
      </c>
      <c r="AE1244" s="7" t="s">
        <v>82</v>
      </c>
      <c r="AF1244" s="7" t="s">
        <v>0</v>
      </c>
      <c r="AG1244" s="7" t="s">
        <v>0</v>
      </c>
      <c r="AH1244" s="9" t="s">
        <v>11232</v>
      </c>
      <c r="AI1244" s="9" t="s">
        <v>11233</v>
      </c>
      <c r="AJ1244" s="9" t="s">
        <v>11234</v>
      </c>
      <c r="AK1244" s="7" t="s">
        <v>61</v>
      </c>
      <c r="AL1244" s="7" t="s">
        <v>61</v>
      </c>
      <c r="AM1244" s="7" t="s">
        <v>0</v>
      </c>
      <c r="AN1244" s="7" t="s">
        <v>0</v>
      </c>
      <c r="AO1244" s="7" t="s">
        <v>0</v>
      </c>
      <c r="AP1244" s="7" t="s">
        <v>0</v>
      </c>
      <c r="AQ1244" s="7" t="s">
        <v>61</v>
      </c>
      <c r="AR1244" s="7" t="s">
        <v>0</v>
      </c>
      <c r="AS1244" s="10" t="str">
        <f>HYPERLINK("https://tessa.gazprom-neft.local/edo/card/da30e6d0-8c89-41fd-821b-3b940c572c8a", "https://tessa.gazprom-neft.local/edo/card/da30e6d0-8c89-41fd-821b-3b940c572c8a")</f>
        <v>https://tessa.gazprom-neft.local/edo/card/da30e6d0-8c89-41fd-821b-3b940c572c8a</v>
      </c>
    </row>
    <row r="1245" spans="1:45" hidden="1" x14ac:dyDescent="0.25">
      <c r="A1245" s="6" t="s">
        <v>44</v>
      </c>
      <c r="B1245" s="7" t="s">
        <v>170</v>
      </c>
      <c r="C1245" s="7" t="s">
        <v>67</v>
      </c>
      <c r="D1245" s="8">
        <v>44985</v>
      </c>
      <c r="E1245" s="8" t="s">
        <v>0</v>
      </c>
      <c r="F1245" s="16" t="s">
        <v>171</v>
      </c>
      <c r="G1245" s="7" t="s">
        <v>172</v>
      </c>
      <c r="H1245" s="7" t="s">
        <v>1109</v>
      </c>
      <c r="I1245" s="7" t="s">
        <v>0</v>
      </c>
      <c r="J1245" s="7" t="s">
        <v>156</v>
      </c>
      <c r="K1245" s="7" t="s">
        <v>47</v>
      </c>
      <c r="L1245" s="7" t="s">
        <v>239</v>
      </c>
      <c r="M1245" s="7" t="s">
        <v>0</v>
      </c>
      <c r="N1245" s="7" t="s">
        <v>2503</v>
      </c>
      <c r="O1245" s="7" t="s">
        <v>0</v>
      </c>
      <c r="P1245" s="7" t="s">
        <v>2504</v>
      </c>
      <c r="Q1245" s="7" t="s">
        <v>2505</v>
      </c>
      <c r="R1245" s="7" t="s">
        <v>768</v>
      </c>
      <c r="S1245" s="7" t="s">
        <v>166</v>
      </c>
      <c r="T1245" s="7" t="s">
        <v>54</v>
      </c>
      <c r="U1245" s="7" t="s">
        <v>283</v>
      </c>
      <c r="V1245" s="7" t="s">
        <v>308</v>
      </c>
      <c r="W1245" s="7" t="s">
        <v>57</v>
      </c>
      <c r="X1245" s="7" t="s">
        <v>103</v>
      </c>
      <c r="Y1245" s="8">
        <v>44958</v>
      </c>
      <c r="Z1245" s="8">
        <v>45016</v>
      </c>
      <c r="AA1245" s="7" t="s">
        <v>309</v>
      </c>
      <c r="AB1245" s="7" t="s">
        <v>64</v>
      </c>
      <c r="AC1245" s="7" t="s">
        <v>79</v>
      </c>
      <c r="AD1245" s="7" t="s">
        <v>80</v>
      </c>
      <c r="AE1245" s="7" t="s">
        <v>82</v>
      </c>
      <c r="AF1245" s="7" t="s">
        <v>0</v>
      </c>
      <c r="AG1245" s="7" t="s">
        <v>0</v>
      </c>
      <c r="AH1245" s="9" t="s">
        <v>11361</v>
      </c>
      <c r="AI1245" s="9" t="s">
        <v>11362</v>
      </c>
      <c r="AJ1245" s="9" t="s">
        <v>11363</v>
      </c>
      <c r="AK1245" s="7" t="s">
        <v>61</v>
      </c>
      <c r="AL1245" s="7" t="s">
        <v>61</v>
      </c>
      <c r="AM1245" s="7" t="s">
        <v>0</v>
      </c>
      <c r="AN1245" s="7" t="s">
        <v>0</v>
      </c>
      <c r="AO1245" s="7" t="s">
        <v>0</v>
      </c>
      <c r="AP1245" s="7" t="s">
        <v>0</v>
      </c>
      <c r="AQ1245" s="7" t="s">
        <v>61</v>
      </c>
      <c r="AR1245" s="7" t="s">
        <v>0</v>
      </c>
      <c r="AS1245" s="10" t="str">
        <f>HYPERLINK("https://tessa.gazprom-neft.local/edo/card/8ac22c38-d1d5-49ac-b977-edb7f9bdb23e", "https://tessa.gazprom-neft.local/edo/card/8ac22c38-d1d5-49ac-b977-edb7f9bdb23e")</f>
        <v>https://tessa.gazprom-neft.local/edo/card/8ac22c38-d1d5-49ac-b977-edb7f9bdb23e</v>
      </c>
    </row>
    <row r="1246" spans="1:45" hidden="1" x14ac:dyDescent="0.25">
      <c r="A1246" s="6" t="s">
        <v>44</v>
      </c>
      <c r="B1246" s="7" t="s">
        <v>1950</v>
      </c>
      <c r="C1246" s="7" t="s">
        <v>67</v>
      </c>
      <c r="D1246" s="8">
        <v>44984</v>
      </c>
      <c r="E1246" s="8" t="s">
        <v>0</v>
      </c>
      <c r="F1246" s="16" t="s">
        <v>1951</v>
      </c>
      <c r="G1246" s="7" t="s">
        <v>1952</v>
      </c>
      <c r="H1246" s="7" t="s">
        <v>1947</v>
      </c>
      <c r="I1246" s="7" t="s">
        <v>0</v>
      </c>
      <c r="J1246" s="7" t="s">
        <v>51</v>
      </c>
      <c r="K1246" s="7" t="s">
        <v>47</v>
      </c>
      <c r="L1246" s="7" t="s">
        <v>389</v>
      </c>
      <c r="M1246" s="7" t="s">
        <v>0</v>
      </c>
      <c r="N1246" s="7" t="s">
        <v>1946</v>
      </c>
      <c r="O1246" s="7" t="s">
        <v>872</v>
      </c>
      <c r="P1246" s="7" t="s">
        <v>1948</v>
      </c>
      <c r="Q1246" s="7" t="s">
        <v>1949</v>
      </c>
      <c r="R1246" s="7" t="s">
        <v>1711</v>
      </c>
      <c r="S1246" s="7" t="s">
        <v>0</v>
      </c>
      <c r="T1246" s="7" t="s">
        <v>54</v>
      </c>
      <c r="U1246" s="7" t="s">
        <v>605</v>
      </c>
      <c r="V1246" s="7" t="s">
        <v>126</v>
      </c>
      <c r="W1246" s="7" t="s">
        <v>74</v>
      </c>
      <c r="X1246" s="7" t="s">
        <v>103</v>
      </c>
      <c r="Y1246" s="8">
        <v>44713</v>
      </c>
      <c r="Z1246" s="8">
        <v>44985</v>
      </c>
      <c r="AA1246" s="7" t="s">
        <v>224</v>
      </c>
      <c r="AB1246" s="7" t="s">
        <v>1893</v>
      </c>
      <c r="AC1246" s="7" t="s">
        <v>79</v>
      </c>
      <c r="AD1246" s="7" t="s">
        <v>144</v>
      </c>
      <c r="AE1246" s="7" t="s">
        <v>889</v>
      </c>
      <c r="AF1246" s="7" t="s">
        <v>0</v>
      </c>
      <c r="AG1246" s="7" t="s">
        <v>0</v>
      </c>
      <c r="AH1246" s="9" t="s">
        <v>11188</v>
      </c>
      <c r="AI1246" s="9" t="s">
        <v>11188</v>
      </c>
      <c r="AJ1246" s="9">
        <v>0</v>
      </c>
      <c r="AK1246" s="7" t="s">
        <v>61</v>
      </c>
      <c r="AL1246" s="7" t="s">
        <v>61</v>
      </c>
      <c r="AM1246" s="7" t="s">
        <v>0</v>
      </c>
      <c r="AN1246" s="7" t="s">
        <v>0</v>
      </c>
      <c r="AO1246" s="7" t="s">
        <v>0</v>
      </c>
      <c r="AP1246" s="7" t="s">
        <v>0</v>
      </c>
      <c r="AQ1246" s="7" t="s">
        <v>61</v>
      </c>
      <c r="AR1246" s="7" t="s">
        <v>0</v>
      </c>
      <c r="AS1246" s="10" t="str">
        <f>HYPERLINK("https://tessa.gazprom-neft.local/edo/card/7ff13677-3e07-4933-969b-dffc667daed4", "https://tessa.gazprom-neft.local/edo/card/7ff13677-3e07-4933-969b-dffc667daed4")</f>
        <v>https://tessa.gazprom-neft.local/edo/card/7ff13677-3e07-4933-969b-dffc667daed4</v>
      </c>
    </row>
    <row r="1247" spans="1:45" hidden="1" x14ac:dyDescent="0.25">
      <c r="A1247" s="6" t="s">
        <v>44</v>
      </c>
      <c r="B1247" s="7" t="s">
        <v>1560</v>
      </c>
      <c r="C1247" s="7" t="s">
        <v>67</v>
      </c>
      <c r="D1247" s="8">
        <v>44979</v>
      </c>
      <c r="E1247" s="8" t="s">
        <v>0</v>
      </c>
      <c r="F1247" s="16" t="s">
        <v>1561</v>
      </c>
      <c r="G1247" s="7" t="s">
        <v>1562</v>
      </c>
      <c r="H1247" s="7" t="s">
        <v>0</v>
      </c>
      <c r="I1247" s="7" t="s">
        <v>1557</v>
      </c>
      <c r="J1247" s="7" t="s">
        <v>1557</v>
      </c>
      <c r="K1247" s="7" t="s">
        <v>47</v>
      </c>
      <c r="L1247" s="7" t="s">
        <v>96</v>
      </c>
      <c r="M1247" s="7" t="s">
        <v>0</v>
      </c>
      <c r="N1247" s="7" t="s">
        <v>1556</v>
      </c>
      <c r="O1247" s="7" t="s">
        <v>0</v>
      </c>
      <c r="P1247" s="7" t="s">
        <v>1558</v>
      </c>
      <c r="Q1247" s="7" t="s">
        <v>1559</v>
      </c>
      <c r="R1247" s="7" t="s">
        <v>828</v>
      </c>
      <c r="S1247" s="7" t="s">
        <v>0</v>
      </c>
      <c r="T1247" s="7" t="s">
        <v>54</v>
      </c>
      <c r="U1247" s="7" t="s">
        <v>188</v>
      </c>
      <c r="V1247" s="7" t="s">
        <v>187</v>
      </c>
      <c r="W1247" s="7" t="s">
        <v>74</v>
      </c>
      <c r="X1247" s="7" t="s">
        <v>103</v>
      </c>
      <c r="Y1247" s="8">
        <v>44979</v>
      </c>
      <c r="Z1247" s="8">
        <v>46022</v>
      </c>
      <c r="AA1247" s="7" t="s">
        <v>922</v>
      </c>
      <c r="AB1247" s="7" t="s">
        <v>64</v>
      </c>
      <c r="AC1247" s="7" t="s">
        <v>79</v>
      </c>
      <c r="AD1247" s="7" t="s">
        <v>80</v>
      </c>
      <c r="AE1247" s="7" t="s">
        <v>118</v>
      </c>
      <c r="AF1247" s="7" t="s">
        <v>0</v>
      </c>
      <c r="AG1247" s="7" t="s">
        <v>0</v>
      </c>
      <c r="AH1247" s="9" t="s">
        <v>11063</v>
      </c>
      <c r="AI1247" s="9" t="s">
        <v>11063</v>
      </c>
      <c r="AJ1247" s="9">
        <v>0</v>
      </c>
      <c r="AK1247" s="7" t="s">
        <v>61</v>
      </c>
      <c r="AL1247" s="7" t="s">
        <v>61</v>
      </c>
      <c r="AM1247" s="7" t="s">
        <v>0</v>
      </c>
      <c r="AN1247" s="7" t="s">
        <v>0</v>
      </c>
      <c r="AO1247" s="7" t="s">
        <v>0</v>
      </c>
      <c r="AP1247" s="7" t="s">
        <v>0</v>
      </c>
      <c r="AQ1247" s="7" t="s">
        <v>61</v>
      </c>
      <c r="AR1247" s="7" t="s">
        <v>0</v>
      </c>
      <c r="AS1247" s="10" t="str">
        <f>HYPERLINK("https://tessa.gazprom-neft.local/edo/card/453ee7e7-ee6d-4011-8cf2-a0601c5542d8", "https://tessa.gazprom-neft.local/edo/card/453ee7e7-ee6d-4011-8cf2-a0601c5542d8")</f>
        <v>https://tessa.gazprom-neft.local/edo/card/453ee7e7-ee6d-4011-8cf2-a0601c5542d8</v>
      </c>
    </row>
    <row r="1248" spans="1:45" x14ac:dyDescent="0.25">
      <c r="A1248" s="6" t="s">
        <v>44</v>
      </c>
      <c r="B1248" s="7" t="s">
        <v>350</v>
      </c>
      <c r="C1248" s="7" t="s">
        <v>67</v>
      </c>
      <c r="D1248" s="8">
        <v>44979</v>
      </c>
      <c r="E1248" s="8" t="s">
        <v>0</v>
      </c>
      <c r="F1248" s="16" t="s">
        <v>1027</v>
      </c>
      <c r="G1248" s="7" t="s">
        <v>352</v>
      </c>
      <c r="H1248" s="7" t="s">
        <v>1854</v>
      </c>
      <c r="I1248" s="7" t="s">
        <v>0</v>
      </c>
      <c r="J1248" s="7" t="s">
        <v>355</v>
      </c>
      <c r="K1248" s="7" t="s">
        <v>47</v>
      </c>
      <c r="L1248" s="7" t="s">
        <v>48</v>
      </c>
      <c r="M1248" s="7" t="s">
        <v>0</v>
      </c>
      <c r="N1248" s="7" t="s">
        <v>1853</v>
      </c>
      <c r="O1248" s="7" t="s">
        <v>0</v>
      </c>
      <c r="P1248" s="7" t="s">
        <v>1855</v>
      </c>
      <c r="Q1248" s="7" t="s">
        <v>1856</v>
      </c>
      <c r="R1248" s="7" t="s">
        <v>349</v>
      </c>
      <c r="S1248" s="7" t="s">
        <v>349</v>
      </c>
      <c r="T1248" s="7" t="s">
        <v>54</v>
      </c>
      <c r="U1248" s="7" t="s">
        <v>101</v>
      </c>
      <c r="V1248" s="7" t="s">
        <v>308</v>
      </c>
      <c r="W1248" s="7" t="s">
        <v>57</v>
      </c>
      <c r="X1248" s="7" t="s">
        <v>103</v>
      </c>
      <c r="Y1248" s="8">
        <v>44979</v>
      </c>
      <c r="Z1248" s="8">
        <v>45657</v>
      </c>
      <c r="AA1248" s="7" t="s">
        <v>309</v>
      </c>
      <c r="AB1248" s="7" t="s">
        <v>64</v>
      </c>
      <c r="AC1248" s="7" t="s">
        <v>79</v>
      </c>
      <c r="AD1248" s="7" t="s">
        <v>80</v>
      </c>
      <c r="AE1248" s="7" t="s">
        <v>118</v>
      </c>
      <c r="AF1248" s="7" t="s">
        <v>0</v>
      </c>
      <c r="AG1248" s="7" t="s">
        <v>0</v>
      </c>
      <c r="AH1248" s="9" t="s">
        <v>10983</v>
      </c>
      <c r="AI1248" s="9" t="s">
        <v>10983</v>
      </c>
      <c r="AJ1248" s="9">
        <v>0</v>
      </c>
      <c r="AK1248" s="7" t="s">
        <v>61</v>
      </c>
      <c r="AL1248" s="7" t="s">
        <v>61</v>
      </c>
      <c r="AM1248" s="7" t="s">
        <v>0</v>
      </c>
      <c r="AN1248" s="7" t="s">
        <v>0</v>
      </c>
      <c r="AO1248" s="7" t="s">
        <v>0</v>
      </c>
      <c r="AP1248" s="7" t="s">
        <v>0</v>
      </c>
      <c r="AQ1248" s="7" t="s">
        <v>61</v>
      </c>
      <c r="AR1248" s="7" t="s">
        <v>0</v>
      </c>
      <c r="AS1248" s="10" t="str">
        <f>HYPERLINK("https://tessa.gazprom-neft.local/edo/card/8e0d331f-49b9-443a-b45b-89c8995b69cb", "https://tessa.gazprom-neft.local/edo/card/8e0d331f-49b9-443a-b45b-89c8995b69cb")</f>
        <v>https://tessa.gazprom-neft.local/edo/card/8e0d331f-49b9-443a-b45b-89c8995b69cb</v>
      </c>
    </row>
    <row r="1249" spans="1:45" x14ac:dyDescent="0.25">
      <c r="A1249" s="6" t="s">
        <v>44</v>
      </c>
      <c r="B1249" s="7" t="s">
        <v>284</v>
      </c>
      <c r="C1249" s="7" t="s">
        <v>67</v>
      </c>
      <c r="D1249" s="8">
        <v>44979</v>
      </c>
      <c r="E1249" s="8" t="s">
        <v>0</v>
      </c>
      <c r="F1249" s="16" t="s">
        <v>285</v>
      </c>
      <c r="G1249" s="7" t="s">
        <v>286</v>
      </c>
      <c r="H1249" s="7" t="s">
        <v>770</v>
      </c>
      <c r="I1249" s="7" t="s">
        <v>0</v>
      </c>
      <c r="J1249" s="7" t="s">
        <v>872</v>
      </c>
      <c r="K1249" s="7" t="s">
        <v>47</v>
      </c>
      <c r="L1249" s="7" t="s">
        <v>48</v>
      </c>
      <c r="M1249" s="7" t="s">
        <v>0</v>
      </c>
      <c r="N1249" s="7" t="s">
        <v>1964</v>
      </c>
      <c r="O1249" s="7" t="s">
        <v>0</v>
      </c>
      <c r="P1249" s="7" t="s">
        <v>1965</v>
      </c>
      <c r="Q1249" s="7" t="s">
        <v>1966</v>
      </c>
      <c r="R1249" s="7" t="s">
        <v>198</v>
      </c>
      <c r="S1249" s="7" t="s">
        <v>198</v>
      </c>
      <c r="T1249" s="7" t="s">
        <v>54</v>
      </c>
      <c r="U1249" s="7" t="s">
        <v>199</v>
      </c>
      <c r="V1249" s="7" t="s">
        <v>126</v>
      </c>
      <c r="W1249" s="7" t="s">
        <v>57</v>
      </c>
      <c r="X1249" s="7" t="s">
        <v>58</v>
      </c>
      <c r="Y1249" s="8">
        <v>44979</v>
      </c>
      <c r="Z1249" s="8" t="s">
        <v>0</v>
      </c>
      <c r="AA1249" s="7" t="s">
        <v>224</v>
      </c>
      <c r="AB1249" s="7" t="s">
        <v>423</v>
      </c>
      <c r="AC1249" s="7" t="s">
        <v>79</v>
      </c>
      <c r="AD1249" s="7" t="s">
        <v>144</v>
      </c>
      <c r="AE1249" s="7" t="s">
        <v>82</v>
      </c>
      <c r="AF1249" s="7" t="s">
        <v>0</v>
      </c>
      <c r="AG1249" s="7" t="s">
        <v>0</v>
      </c>
      <c r="AH1249" s="9" t="s">
        <v>11195</v>
      </c>
      <c r="AI1249" s="9" t="s">
        <v>11196</v>
      </c>
      <c r="AJ1249" s="9" t="s">
        <v>11197</v>
      </c>
      <c r="AK1249" s="7" t="s">
        <v>61</v>
      </c>
      <c r="AL1249" s="7" t="s">
        <v>61</v>
      </c>
      <c r="AM1249" s="7" t="s">
        <v>0</v>
      </c>
      <c r="AN1249" s="7" t="s">
        <v>0</v>
      </c>
      <c r="AO1249" s="7" t="s">
        <v>0</v>
      </c>
      <c r="AP1249" s="7" t="s">
        <v>0</v>
      </c>
      <c r="AQ1249" s="7" t="s">
        <v>61</v>
      </c>
      <c r="AR1249" s="7" t="s">
        <v>0</v>
      </c>
      <c r="AS1249" s="10" t="str">
        <f>HYPERLINK("https://tessa.gazprom-neft.local/edo/card/1256d5fe-4cd1-419f-8778-59f95de71a22", "https://tessa.gazprom-neft.local/edo/card/1256d5fe-4cd1-419f-8778-59f95de71a22")</f>
        <v>https://tessa.gazprom-neft.local/edo/card/1256d5fe-4cd1-419f-8778-59f95de71a22</v>
      </c>
    </row>
    <row r="1250" spans="1:45" hidden="1" x14ac:dyDescent="0.25">
      <c r="A1250" s="6" t="s">
        <v>44</v>
      </c>
      <c r="B1250" s="7" t="s">
        <v>927</v>
      </c>
      <c r="C1250" s="7" t="s">
        <v>67</v>
      </c>
      <c r="D1250" s="8">
        <v>44978</v>
      </c>
      <c r="E1250" s="8" t="s">
        <v>0</v>
      </c>
      <c r="F1250" s="16" t="s">
        <v>928</v>
      </c>
      <c r="G1250" s="7" t="s">
        <v>929</v>
      </c>
      <c r="H1250" s="7" t="s">
        <v>0</v>
      </c>
      <c r="I1250" s="7" t="s">
        <v>1665</v>
      </c>
      <c r="J1250" s="7" t="s">
        <v>1665</v>
      </c>
      <c r="K1250" s="7" t="s">
        <v>85</v>
      </c>
      <c r="L1250" s="7" t="s">
        <v>86</v>
      </c>
      <c r="M1250" s="7" t="s">
        <v>289</v>
      </c>
      <c r="N1250" s="7" t="s">
        <v>1664</v>
      </c>
      <c r="O1250" s="7" t="s">
        <v>0</v>
      </c>
      <c r="P1250" s="7" t="s">
        <v>1666</v>
      </c>
      <c r="Q1250" s="7" t="s">
        <v>1667</v>
      </c>
      <c r="R1250" s="7" t="s">
        <v>393</v>
      </c>
      <c r="S1250" s="7" t="s">
        <v>209</v>
      </c>
      <c r="T1250" s="7" t="s">
        <v>54</v>
      </c>
      <c r="U1250" s="7" t="s">
        <v>210</v>
      </c>
      <c r="V1250" s="7" t="s">
        <v>340</v>
      </c>
      <c r="W1250" s="7" t="s">
        <v>74</v>
      </c>
      <c r="X1250" s="7" t="s">
        <v>58</v>
      </c>
      <c r="Y1250" s="8">
        <v>44990</v>
      </c>
      <c r="Z1250" s="8" t="s">
        <v>0</v>
      </c>
      <c r="AA1250" s="7" t="s">
        <v>341</v>
      </c>
      <c r="AB1250" s="7" t="s">
        <v>300</v>
      </c>
      <c r="AC1250" s="7" t="s">
        <v>65</v>
      </c>
      <c r="AD1250" s="7" t="s">
        <v>0</v>
      </c>
      <c r="AE1250" s="7" t="s">
        <v>0</v>
      </c>
      <c r="AF1250" s="7" t="s">
        <v>0</v>
      </c>
      <c r="AG1250" s="7" t="s">
        <v>0</v>
      </c>
      <c r="AH1250" s="9" t="s">
        <v>0</v>
      </c>
      <c r="AI1250" s="9" t="s">
        <v>0</v>
      </c>
      <c r="AJ1250" s="9" t="s">
        <v>0</v>
      </c>
      <c r="AK1250" s="7" t="s">
        <v>61</v>
      </c>
      <c r="AL1250" s="7" t="s">
        <v>61</v>
      </c>
      <c r="AM1250" s="7" t="s">
        <v>0</v>
      </c>
      <c r="AN1250" s="7" t="s">
        <v>0</v>
      </c>
      <c r="AO1250" s="7" t="s">
        <v>0</v>
      </c>
      <c r="AP1250" s="7" t="s">
        <v>0</v>
      </c>
      <c r="AQ1250" s="7" t="s">
        <v>61</v>
      </c>
      <c r="AR1250" s="7" t="s">
        <v>0</v>
      </c>
      <c r="AS1250" s="10" t="str">
        <f>HYPERLINK("https://tessa.gazprom-neft.local/edo/card/8ea1cf07-9190-47df-b0a0-d25490f0416a", "https://tessa.gazprom-neft.local/edo/card/8ea1cf07-9190-47df-b0a0-d25490f0416a")</f>
        <v>https://tessa.gazprom-neft.local/edo/card/8ea1cf07-9190-47df-b0a0-d25490f0416a</v>
      </c>
    </row>
    <row r="1251" spans="1:45" x14ac:dyDescent="0.25">
      <c r="A1251" s="6" t="s">
        <v>44</v>
      </c>
      <c r="B1251" s="7" t="s">
        <v>1657</v>
      </c>
      <c r="C1251" s="7" t="s">
        <v>67</v>
      </c>
      <c r="D1251" s="8">
        <v>44978</v>
      </c>
      <c r="E1251" s="8" t="s">
        <v>0</v>
      </c>
      <c r="F1251" s="16" t="s">
        <v>1658</v>
      </c>
      <c r="G1251" s="7" t="s">
        <v>1659</v>
      </c>
      <c r="H1251" s="7" t="s">
        <v>1826</v>
      </c>
      <c r="I1251" s="7" t="s">
        <v>0</v>
      </c>
      <c r="J1251" s="7" t="s">
        <v>156</v>
      </c>
      <c r="K1251" s="7" t="s">
        <v>47</v>
      </c>
      <c r="L1251" s="7" t="s">
        <v>48</v>
      </c>
      <c r="M1251" s="7" t="s">
        <v>0</v>
      </c>
      <c r="N1251" s="7" t="s">
        <v>1825</v>
      </c>
      <c r="O1251" s="7" t="s">
        <v>0</v>
      </c>
      <c r="P1251" s="7" t="s">
        <v>1827</v>
      </c>
      <c r="Q1251" s="7" t="s">
        <v>1828</v>
      </c>
      <c r="R1251" s="7" t="s">
        <v>1829</v>
      </c>
      <c r="S1251" s="7" t="s">
        <v>1655</v>
      </c>
      <c r="T1251" s="7" t="s">
        <v>54</v>
      </c>
      <c r="U1251" s="7" t="s">
        <v>307</v>
      </c>
      <c r="V1251" s="7" t="s">
        <v>126</v>
      </c>
      <c r="W1251" s="7" t="s">
        <v>74</v>
      </c>
      <c r="X1251" s="7" t="s">
        <v>103</v>
      </c>
      <c r="Y1251" s="8">
        <v>44978</v>
      </c>
      <c r="Z1251" s="8">
        <v>45291</v>
      </c>
      <c r="AA1251" s="7" t="s">
        <v>224</v>
      </c>
      <c r="AB1251" s="7" t="s">
        <v>130</v>
      </c>
      <c r="AC1251" s="7" t="s">
        <v>79</v>
      </c>
      <c r="AD1251" s="7" t="s">
        <v>80</v>
      </c>
      <c r="AE1251" s="7" t="s">
        <v>82</v>
      </c>
      <c r="AF1251" s="7" t="s">
        <v>0</v>
      </c>
      <c r="AG1251" s="7" t="s">
        <v>1830</v>
      </c>
      <c r="AH1251" s="9" t="s">
        <v>11143</v>
      </c>
      <c r="AI1251" s="9" t="s">
        <v>11144</v>
      </c>
      <c r="AJ1251" s="9" t="s">
        <v>11145</v>
      </c>
      <c r="AK1251" s="7" t="s">
        <v>81</v>
      </c>
      <c r="AL1251" s="7" t="s">
        <v>61</v>
      </c>
      <c r="AM1251" s="7" t="s">
        <v>0</v>
      </c>
      <c r="AN1251" s="7" t="s">
        <v>0</v>
      </c>
      <c r="AO1251" s="7" t="s">
        <v>0</v>
      </c>
      <c r="AP1251" s="7" t="s">
        <v>0</v>
      </c>
      <c r="AQ1251" s="7" t="s">
        <v>61</v>
      </c>
      <c r="AR1251" s="7" t="s">
        <v>0</v>
      </c>
      <c r="AS1251" s="10" t="str">
        <f>HYPERLINK("https://tessa.gazprom-neft.local/edo/card/0b42b6af-6c59-4045-b221-0f8b4ecd8976", "https://tessa.gazprom-neft.local/edo/card/0b42b6af-6c59-4045-b221-0f8b4ecd8976")</f>
        <v>https://tessa.gazprom-neft.local/edo/card/0b42b6af-6c59-4045-b221-0f8b4ecd8976</v>
      </c>
    </row>
    <row r="1252" spans="1:45" hidden="1" x14ac:dyDescent="0.25">
      <c r="A1252" s="6" t="s">
        <v>44</v>
      </c>
      <c r="B1252" s="7" t="s">
        <v>885</v>
      </c>
      <c r="C1252" s="7" t="s">
        <v>67</v>
      </c>
      <c r="D1252" s="8">
        <v>44977</v>
      </c>
      <c r="E1252" s="8" t="s">
        <v>0</v>
      </c>
      <c r="F1252" s="16" t="s">
        <v>886</v>
      </c>
      <c r="G1252" s="7" t="s">
        <v>887</v>
      </c>
      <c r="H1252" s="7" t="s">
        <v>934</v>
      </c>
      <c r="I1252" s="7" t="s">
        <v>0</v>
      </c>
      <c r="J1252" s="7" t="s">
        <v>263</v>
      </c>
      <c r="K1252" s="7" t="s">
        <v>47</v>
      </c>
      <c r="L1252" s="7" t="s">
        <v>239</v>
      </c>
      <c r="M1252" s="7" t="s">
        <v>0</v>
      </c>
      <c r="N1252" s="7" t="s">
        <v>1579</v>
      </c>
      <c r="O1252" s="7" t="s">
        <v>0</v>
      </c>
      <c r="P1252" s="7" t="s">
        <v>1580</v>
      </c>
      <c r="Q1252" s="7" t="s">
        <v>1581</v>
      </c>
      <c r="R1252" s="7" t="s">
        <v>604</v>
      </c>
      <c r="S1252" s="7" t="s">
        <v>604</v>
      </c>
      <c r="T1252" s="7" t="s">
        <v>54</v>
      </c>
      <c r="U1252" s="7" t="s">
        <v>605</v>
      </c>
      <c r="V1252" s="7" t="s">
        <v>126</v>
      </c>
      <c r="W1252" s="7" t="s">
        <v>74</v>
      </c>
      <c r="X1252" s="7" t="s">
        <v>103</v>
      </c>
      <c r="Y1252" s="8">
        <v>44977</v>
      </c>
      <c r="Z1252" s="8">
        <v>45291</v>
      </c>
      <c r="AA1252" s="7" t="s">
        <v>224</v>
      </c>
      <c r="AB1252" s="7" t="s">
        <v>130</v>
      </c>
      <c r="AC1252" s="7" t="s">
        <v>79</v>
      </c>
      <c r="AD1252" s="7" t="s">
        <v>144</v>
      </c>
      <c r="AE1252" s="7" t="s">
        <v>889</v>
      </c>
      <c r="AF1252" s="7" t="s">
        <v>0</v>
      </c>
      <c r="AG1252" s="7" t="s">
        <v>0</v>
      </c>
      <c r="AH1252" s="9" t="s">
        <v>11067</v>
      </c>
      <c r="AI1252" s="9" t="s">
        <v>11067</v>
      </c>
      <c r="AJ1252" s="9">
        <v>0</v>
      </c>
      <c r="AK1252" s="7" t="s">
        <v>61</v>
      </c>
      <c r="AL1252" s="7" t="s">
        <v>61</v>
      </c>
      <c r="AM1252" s="7" t="s">
        <v>0</v>
      </c>
      <c r="AN1252" s="7" t="s">
        <v>0</v>
      </c>
      <c r="AO1252" s="7" t="s">
        <v>0</v>
      </c>
      <c r="AP1252" s="7" t="s">
        <v>0</v>
      </c>
      <c r="AQ1252" s="7" t="s">
        <v>61</v>
      </c>
      <c r="AR1252" s="7" t="s">
        <v>0</v>
      </c>
      <c r="AS1252" s="10" t="str">
        <f>HYPERLINK("https://tessa.gazprom-neft.local/edo/card/9fa37626-2359-44cf-ba27-0bb47a496f4a", "https://tessa.gazprom-neft.local/edo/card/9fa37626-2359-44cf-ba27-0bb47a496f4a")</f>
        <v>https://tessa.gazprom-neft.local/edo/card/9fa37626-2359-44cf-ba27-0bb47a496f4a</v>
      </c>
    </row>
    <row r="1253" spans="1:45" hidden="1" x14ac:dyDescent="0.25">
      <c r="A1253" s="6" t="s">
        <v>44</v>
      </c>
      <c r="B1253" s="7" t="s">
        <v>1731</v>
      </c>
      <c r="C1253" s="7" t="s">
        <v>67</v>
      </c>
      <c r="D1253" s="8">
        <v>44977</v>
      </c>
      <c r="E1253" s="8" t="s">
        <v>0</v>
      </c>
      <c r="F1253" s="16" t="s">
        <v>1732</v>
      </c>
      <c r="G1253" s="7" t="s">
        <v>1733</v>
      </c>
      <c r="H1253" s="7" t="s">
        <v>0</v>
      </c>
      <c r="I1253" s="7" t="s">
        <v>1728</v>
      </c>
      <c r="J1253" s="7" t="s">
        <v>1728</v>
      </c>
      <c r="K1253" s="7" t="s">
        <v>47</v>
      </c>
      <c r="L1253" s="7" t="s">
        <v>96</v>
      </c>
      <c r="M1253" s="7" t="s">
        <v>0</v>
      </c>
      <c r="N1253" s="7" t="s">
        <v>1727</v>
      </c>
      <c r="O1253" s="7" t="s">
        <v>0</v>
      </c>
      <c r="P1253" s="7" t="s">
        <v>1729</v>
      </c>
      <c r="Q1253" s="7" t="s">
        <v>1730</v>
      </c>
      <c r="R1253" s="7" t="s">
        <v>53</v>
      </c>
      <c r="S1253" s="7" t="s">
        <v>53</v>
      </c>
      <c r="T1253" s="7" t="s">
        <v>54</v>
      </c>
      <c r="U1253" s="7" t="s">
        <v>55</v>
      </c>
      <c r="V1253" s="7" t="s">
        <v>56</v>
      </c>
      <c r="W1253" s="7" t="s">
        <v>57</v>
      </c>
      <c r="X1253" s="7" t="s">
        <v>58</v>
      </c>
      <c r="Y1253" s="8">
        <v>44977</v>
      </c>
      <c r="Z1253" s="8" t="s">
        <v>0</v>
      </c>
      <c r="AA1253" s="7" t="s">
        <v>59</v>
      </c>
      <c r="AB1253" s="7" t="s">
        <v>500</v>
      </c>
      <c r="AC1253" s="7" t="s">
        <v>79</v>
      </c>
      <c r="AD1253" s="7" t="s">
        <v>80</v>
      </c>
      <c r="AE1253" s="7" t="s">
        <v>472</v>
      </c>
      <c r="AF1253" s="7" t="s">
        <v>0</v>
      </c>
      <c r="AG1253" s="7" t="s">
        <v>0</v>
      </c>
      <c r="AH1253" s="9" t="s">
        <v>11105</v>
      </c>
      <c r="AI1253" s="9" t="s">
        <v>11106</v>
      </c>
      <c r="AJ1253" s="9" t="s">
        <v>11107</v>
      </c>
      <c r="AK1253" s="7" t="s">
        <v>61</v>
      </c>
      <c r="AL1253" s="7" t="s">
        <v>61</v>
      </c>
      <c r="AM1253" s="7" t="s">
        <v>0</v>
      </c>
      <c r="AN1253" s="7" t="s">
        <v>0</v>
      </c>
      <c r="AO1253" s="7" t="s">
        <v>0</v>
      </c>
      <c r="AP1253" s="7" t="s">
        <v>0</v>
      </c>
      <c r="AQ1253" s="7" t="s">
        <v>61</v>
      </c>
      <c r="AR1253" s="7" t="s">
        <v>0</v>
      </c>
      <c r="AS1253" s="10" t="str">
        <f>HYPERLINK("https://tessa.gazprom-neft.local/edo/card/6e20f398-21c7-4bc2-bb5f-598522d2f594", "https://tessa.gazprom-neft.local/edo/card/6e20f398-21c7-4bc2-bb5f-598522d2f594")</f>
        <v>https://tessa.gazprom-neft.local/edo/card/6e20f398-21c7-4bc2-bb5f-598522d2f594</v>
      </c>
    </row>
    <row r="1254" spans="1:45" x14ac:dyDescent="0.25">
      <c r="A1254" s="6" t="s">
        <v>44</v>
      </c>
      <c r="B1254" s="7" t="s">
        <v>1775</v>
      </c>
      <c r="C1254" s="7" t="s">
        <v>67</v>
      </c>
      <c r="D1254" s="8">
        <v>44977</v>
      </c>
      <c r="E1254" s="8" t="s">
        <v>0</v>
      </c>
      <c r="F1254" s="16" t="s">
        <v>1776</v>
      </c>
      <c r="G1254" s="7" t="s">
        <v>1777</v>
      </c>
      <c r="H1254" s="7" t="s">
        <v>1771</v>
      </c>
      <c r="I1254" s="7" t="s">
        <v>0</v>
      </c>
      <c r="J1254" s="7" t="s">
        <v>872</v>
      </c>
      <c r="K1254" s="7" t="s">
        <v>47</v>
      </c>
      <c r="L1254" s="7" t="s">
        <v>48</v>
      </c>
      <c r="M1254" s="7" t="s">
        <v>0</v>
      </c>
      <c r="N1254" s="7" t="s">
        <v>1770</v>
      </c>
      <c r="O1254" s="7" t="s">
        <v>0</v>
      </c>
      <c r="P1254" s="7" t="s">
        <v>1772</v>
      </c>
      <c r="Q1254" s="7" t="s">
        <v>1773</v>
      </c>
      <c r="R1254" s="7" t="s">
        <v>1774</v>
      </c>
      <c r="S1254" s="7" t="s">
        <v>0</v>
      </c>
      <c r="T1254" s="7" t="s">
        <v>54</v>
      </c>
      <c r="U1254" s="7" t="s">
        <v>307</v>
      </c>
      <c r="V1254" s="7" t="s">
        <v>126</v>
      </c>
      <c r="W1254" s="7" t="s">
        <v>74</v>
      </c>
      <c r="X1254" s="7" t="s">
        <v>103</v>
      </c>
      <c r="Y1254" s="8">
        <v>44977</v>
      </c>
      <c r="Z1254" s="8">
        <v>45291</v>
      </c>
      <c r="AA1254" s="7" t="s">
        <v>224</v>
      </c>
      <c r="AB1254" s="7" t="s">
        <v>130</v>
      </c>
      <c r="AC1254" s="7" t="s">
        <v>79</v>
      </c>
      <c r="AD1254" s="7" t="s">
        <v>514</v>
      </c>
      <c r="AE1254" s="7" t="s">
        <v>82</v>
      </c>
      <c r="AF1254" s="7" t="s">
        <v>0</v>
      </c>
      <c r="AG1254" s="7" t="s">
        <v>0</v>
      </c>
      <c r="AH1254" s="9" t="s">
        <v>11119</v>
      </c>
      <c r="AI1254" s="9" t="s">
        <v>11120</v>
      </c>
      <c r="AJ1254" s="9" t="s">
        <v>11121</v>
      </c>
      <c r="AK1254" s="7" t="s">
        <v>61</v>
      </c>
      <c r="AL1254" s="7" t="s">
        <v>61</v>
      </c>
      <c r="AM1254" s="7" t="s">
        <v>0</v>
      </c>
      <c r="AN1254" s="7" t="s">
        <v>0</v>
      </c>
      <c r="AO1254" s="7" t="s">
        <v>0</v>
      </c>
      <c r="AP1254" s="7" t="s">
        <v>0</v>
      </c>
      <c r="AQ1254" s="7" t="s">
        <v>61</v>
      </c>
      <c r="AR1254" s="7" t="s">
        <v>0</v>
      </c>
      <c r="AS1254" s="10" t="str">
        <f>HYPERLINK("https://tessa.gazprom-neft.local/edo/card/96227a0d-a2f3-4a9e-add9-701dedcbf439", "https://tessa.gazprom-neft.local/edo/card/96227a0d-a2f3-4a9e-add9-701dedcbf439")</f>
        <v>https://tessa.gazprom-neft.local/edo/card/96227a0d-a2f3-4a9e-add9-701dedcbf439</v>
      </c>
    </row>
    <row r="1255" spans="1:45" hidden="1" x14ac:dyDescent="0.25">
      <c r="A1255" s="6" t="s">
        <v>44</v>
      </c>
      <c r="B1255" s="7" t="s">
        <v>661</v>
      </c>
      <c r="C1255" s="7" t="s">
        <v>67</v>
      </c>
      <c r="D1255" s="8">
        <v>44977</v>
      </c>
      <c r="E1255" s="8" t="s">
        <v>0</v>
      </c>
      <c r="F1255" s="16" t="s">
        <v>662</v>
      </c>
      <c r="G1255" s="7" t="s">
        <v>663</v>
      </c>
      <c r="H1255" s="7" t="s">
        <v>764</v>
      </c>
      <c r="I1255" s="7" t="s">
        <v>0</v>
      </c>
      <c r="J1255" s="7" t="s">
        <v>1795</v>
      </c>
      <c r="K1255" s="7" t="s">
        <v>47</v>
      </c>
      <c r="L1255" s="7" t="s">
        <v>763</v>
      </c>
      <c r="M1255" s="7" t="s">
        <v>0</v>
      </c>
      <c r="N1255" s="7" t="s">
        <v>1793</v>
      </c>
      <c r="O1255" s="7" t="s">
        <v>0</v>
      </c>
      <c r="P1255" s="7" t="s">
        <v>1794</v>
      </c>
      <c r="Q1255" s="7" t="s">
        <v>1796</v>
      </c>
      <c r="R1255" s="7" t="s">
        <v>768</v>
      </c>
      <c r="S1255" s="7" t="s">
        <v>714</v>
      </c>
      <c r="T1255" s="7" t="s">
        <v>54</v>
      </c>
      <c r="U1255" s="7" t="s">
        <v>283</v>
      </c>
      <c r="V1255" s="7" t="s">
        <v>308</v>
      </c>
      <c r="W1255" s="7" t="s">
        <v>57</v>
      </c>
      <c r="X1255" s="7" t="s">
        <v>103</v>
      </c>
      <c r="Y1255" s="8">
        <v>44978</v>
      </c>
      <c r="Z1255" s="8">
        <v>45046</v>
      </c>
      <c r="AA1255" s="7" t="s">
        <v>309</v>
      </c>
      <c r="AB1255" s="7" t="s">
        <v>130</v>
      </c>
      <c r="AC1255" s="7" t="s">
        <v>79</v>
      </c>
      <c r="AD1255" s="7" t="s">
        <v>80</v>
      </c>
      <c r="AE1255" s="7" t="s">
        <v>82</v>
      </c>
      <c r="AF1255" s="7" t="s">
        <v>0</v>
      </c>
      <c r="AG1255" s="7" t="s">
        <v>0</v>
      </c>
      <c r="AH1255" s="9" t="s">
        <v>11125</v>
      </c>
      <c r="AI1255" s="9" t="s">
        <v>11126</v>
      </c>
      <c r="AJ1255" s="9" t="s">
        <v>11127</v>
      </c>
      <c r="AK1255" s="7" t="s">
        <v>61</v>
      </c>
      <c r="AL1255" s="7" t="s">
        <v>61</v>
      </c>
      <c r="AM1255" s="7" t="s">
        <v>0</v>
      </c>
      <c r="AN1255" s="7" t="s">
        <v>0</v>
      </c>
      <c r="AO1255" s="7" t="s">
        <v>0</v>
      </c>
      <c r="AP1255" s="7" t="s">
        <v>0</v>
      </c>
      <c r="AQ1255" s="7" t="s">
        <v>61</v>
      </c>
      <c r="AR1255" s="7" t="s">
        <v>0</v>
      </c>
      <c r="AS1255" s="10" t="str">
        <f>HYPERLINK("https://tessa.gazprom-neft.local/edo/card/cea6fe01-9ba6-42cd-af85-66b49d955250", "https://tessa.gazprom-neft.local/edo/card/cea6fe01-9ba6-42cd-af85-66b49d955250")</f>
        <v>https://tessa.gazprom-neft.local/edo/card/cea6fe01-9ba6-42cd-af85-66b49d955250</v>
      </c>
    </row>
    <row r="1256" spans="1:45" x14ac:dyDescent="0.25">
      <c r="A1256" s="6" t="s">
        <v>44</v>
      </c>
      <c r="B1256" s="7" t="s">
        <v>737</v>
      </c>
      <c r="C1256" s="7" t="s">
        <v>67</v>
      </c>
      <c r="D1256" s="8">
        <v>44977</v>
      </c>
      <c r="E1256" s="8" t="s">
        <v>0</v>
      </c>
      <c r="F1256" s="16" t="s">
        <v>738</v>
      </c>
      <c r="G1256" s="7" t="s">
        <v>739</v>
      </c>
      <c r="H1256" s="7" t="s">
        <v>1758</v>
      </c>
      <c r="I1256" s="7" t="s">
        <v>0</v>
      </c>
      <c r="J1256" s="7" t="s">
        <v>51</v>
      </c>
      <c r="K1256" s="7" t="s">
        <v>47</v>
      </c>
      <c r="L1256" s="7" t="s">
        <v>48</v>
      </c>
      <c r="M1256" s="7" t="s">
        <v>0</v>
      </c>
      <c r="N1256" s="7" t="s">
        <v>1803</v>
      </c>
      <c r="O1256" s="7" t="s">
        <v>0</v>
      </c>
      <c r="P1256" s="7" t="s">
        <v>1290</v>
      </c>
      <c r="Q1256" s="7" t="s">
        <v>1291</v>
      </c>
      <c r="R1256" s="7" t="s">
        <v>540</v>
      </c>
      <c r="S1256" s="7" t="s">
        <v>0</v>
      </c>
      <c r="T1256" s="7" t="s">
        <v>54</v>
      </c>
      <c r="U1256" s="7" t="s">
        <v>541</v>
      </c>
      <c r="V1256" s="7" t="s">
        <v>56</v>
      </c>
      <c r="W1256" s="7" t="s">
        <v>57</v>
      </c>
      <c r="X1256" s="7" t="s">
        <v>223</v>
      </c>
      <c r="Y1256" s="8">
        <v>44977</v>
      </c>
      <c r="Z1256" s="8" t="s">
        <v>0</v>
      </c>
      <c r="AA1256" s="7" t="s">
        <v>59</v>
      </c>
      <c r="AB1256" s="7" t="s">
        <v>256</v>
      </c>
      <c r="AC1256" s="7" t="s">
        <v>65</v>
      </c>
      <c r="AD1256" s="7" t="s">
        <v>0</v>
      </c>
      <c r="AE1256" s="7" t="s">
        <v>0</v>
      </c>
      <c r="AF1256" s="7" t="s">
        <v>0</v>
      </c>
      <c r="AG1256" s="7" t="s">
        <v>0</v>
      </c>
      <c r="AH1256" s="9" t="s">
        <v>0</v>
      </c>
      <c r="AI1256" s="9" t="s">
        <v>0</v>
      </c>
      <c r="AJ1256" s="9" t="s">
        <v>0</v>
      </c>
      <c r="AK1256" s="7" t="s">
        <v>61</v>
      </c>
      <c r="AL1256" s="7" t="s">
        <v>61</v>
      </c>
      <c r="AM1256" s="7" t="s">
        <v>0</v>
      </c>
      <c r="AN1256" s="7" t="s">
        <v>0</v>
      </c>
      <c r="AO1256" s="7" t="s">
        <v>0</v>
      </c>
      <c r="AP1256" s="7" t="s">
        <v>0</v>
      </c>
      <c r="AQ1256" s="7" t="s">
        <v>61</v>
      </c>
      <c r="AR1256" s="7" t="s">
        <v>0</v>
      </c>
      <c r="AS1256" s="10" t="str">
        <f>HYPERLINK("https://tessa.gazprom-neft.local/edo/card/f1a7103b-1646-4cf7-aacb-f1c880af639e", "https://tessa.gazprom-neft.local/edo/card/f1a7103b-1646-4cf7-aacb-f1c880af639e")</f>
        <v>https://tessa.gazprom-neft.local/edo/card/f1a7103b-1646-4cf7-aacb-f1c880af639e</v>
      </c>
    </row>
    <row r="1257" spans="1:45" hidden="1" x14ac:dyDescent="0.25">
      <c r="A1257" s="6" t="s">
        <v>44</v>
      </c>
      <c r="B1257" s="7" t="s">
        <v>1317</v>
      </c>
      <c r="C1257" s="7" t="s">
        <v>67</v>
      </c>
      <c r="D1257" s="8">
        <v>44974</v>
      </c>
      <c r="E1257" s="8" t="s">
        <v>0</v>
      </c>
      <c r="F1257" s="16" t="s">
        <v>1318</v>
      </c>
      <c r="G1257" s="7" t="s">
        <v>1319</v>
      </c>
      <c r="H1257" s="7" t="s">
        <v>0</v>
      </c>
      <c r="I1257" s="7" t="s">
        <v>1313</v>
      </c>
      <c r="J1257" s="7" t="s">
        <v>1313</v>
      </c>
      <c r="K1257" s="7" t="s">
        <v>47</v>
      </c>
      <c r="L1257" s="7" t="s">
        <v>96</v>
      </c>
      <c r="M1257" s="7" t="s">
        <v>0</v>
      </c>
      <c r="N1257" s="7" t="s">
        <v>1312</v>
      </c>
      <c r="O1257" s="7" t="s">
        <v>0</v>
      </c>
      <c r="P1257" s="7" t="s">
        <v>1314</v>
      </c>
      <c r="Q1257" s="7" t="s">
        <v>1315</v>
      </c>
      <c r="R1257" s="7" t="s">
        <v>1042</v>
      </c>
      <c r="S1257" s="7" t="s">
        <v>1316</v>
      </c>
      <c r="T1257" s="7" t="s">
        <v>54</v>
      </c>
      <c r="U1257" s="7" t="s">
        <v>1043</v>
      </c>
      <c r="V1257" s="7" t="s">
        <v>723</v>
      </c>
      <c r="W1257" s="7" t="s">
        <v>57</v>
      </c>
      <c r="X1257" s="7" t="s">
        <v>103</v>
      </c>
      <c r="Y1257" s="8">
        <v>44974</v>
      </c>
      <c r="Z1257" s="8">
        <v>45291</v>
      </c>
      <c r="AA1257" s="7" t="s">
        <v>1031</v>
      </c>
      <c r="AB1257" s="7" t="s">
        <v>64</v>
      </c>
      <c r="AC1257" s="7" t="s">
        <v>79</v>
      </c>
      <c r="AD1257" s="7" t="s">
        <v>80</v>
      </c>
      <c r="AE1257" s="7" t="s">
        <v>82</v>
      </c>
      <c r="AF1257" s="7" t="s">
        <v>0</v>
      </c>
      <c r="AG1257" s="7" t="s">
        <v>0</v>
      </c>
      <c r="AH1257" s="9" t="s">
        <v>10985</v>
      </c>
      <c r="AI1257" s="9" t="s">
        <v>10986</v>
      </c>
      <c r="AJ1257" s="9" t="s">
        <v>10987</v>
      </c>
      <c r="AK1257" s="7" t="s">
        <v>61</v>
      </c>
      <c r="AL1257" s="7" t="s">
        <v>61</v>
      </c>
      <c r="AM1257" s="7" t="s">
        <v>0</v>
      </c>
      <c r="AN1257" s="7" t="s">
        <v>0</v>
      </c>
      <c r="AO1257" s="7" t="s">
        <v>0</v>
      </c>
      <c r="AP1257" s="7" t="s">
        <v>0</v>
      </c>
      <c r="AQ1257" s="7" t="s">
        <v>61</v>
      </c>
      <c r="AR1257" s="7" t="s">
        <v>0</v>
      </c>
      <c r="AS1257" s="10" t="str">
        <f>HYPERLINK("https://tessa.gazprom-neft.local/edo/card/836c7f44-4b25-4592-aeae-a90e7330f902", "https://tessa.gazprom-neft.local/edo/card/836c7f44-4b25-4592-aeae-a90e7330f902")</f>
        <v>https://tessa.gazprom-neft.local/edo/card/836c7f44-4b25-4592-aeae-a90e7330f902</v>
      </c>
    </row>
    <row r="1258" spans="1:45" x14ac:dyDescent="0.25">
      <c r="A1258" s="6" t="s">
        <v>44</v>
      </c>
      <c r="B1258" s="7" t="s">
        <v>1495</v>
      </c>
      <c r="C1258" s="7" t="s">
        <v>67</v>
      </c>
      <c r="D1258" s="8">
        <v>44974</v>
      </c>
      <c r="E1258" s="8" t="s">
        <v>0</v>
      </c>
      <c r="F1258" s="16" t="s">
        <v>1496</v>
      </c>
      <c r="G1258" s="7" t="s">
        <v>1497</v>
      </c>
      <c r="H1258" s="7" t="s">
        <v>1492</v>
      </c>
      <c r="I1258" s="7" t="s">
        <v>0</v>
      </c>
      <c r="J1258" s="7" t="s">
        <v>156</v>
      </c>
      <c r="K1258" s="7" t="s">
        <v>47</v>
      </c>
      <c r="L1258" s="7" t="s">
        <v>48</v>
      </c>
      <c r="M1258" s="7" t="s">
        <v>0</v>
      </c>
      <c r="N1258" s="7" t="s">
        <v>1491</v>
      </c>
      <c r="O1258" s="7" t="s">
        <v>0</v>
      </c>
      <c r="P1258" s="7" t="s">
        <v>1493</v>
      </c>
      <c r="Q1258" s="7" t="s">
        <v>1494</v>
      </c>
      <c r="R1258" s="7" t="s">
        <v>646</v>
      </c>
      <c r="S1258" s="7" t="s">
        <v>505</v>
      </c>
      <c r="T1258" s="7" t="s">
        <v>54</v>
      </c>
      <c r="U1258" s="7" t="s">
        <v>362</v>
      </c>
      <c r="V1258" s="7" t="s">
        <v>126</v>
      </c>
      <c r="W1258" s="7" t="s">
        <v>74</v>
      </c>
      <c r="X1258" s="7" t="s">
        <v>58</v>
      </c>
      <c r="Y1258" s="8">
        <v>44974</v>
      </c>
      <c r="Z1258" s="8" t="s">
        <v>0</v>
      </c>
      <c r="AA1258" s="7" t="s">
        <v>224</v>
      </c>
      <c r="AB1258" s="7" t="s">
        <v>1498</v>
      </c>
      <c r="AC1258" s="7" t="s">
        <v>65</v>
      </c>
      <c r="AD1258" s="7" t="s">
        <v>80</v>
      </c>
      <c r="AE1258" s="7" t="s">
        <v>0</v>
      </c>
      <c r="AF1258" s="7" t="s">
        <v>0</v>
      </c>
      <c r="AG1258" s="7" t="s">
        <v>0</v>
      </c>
      <c r="AH1258" s="9" t="s">
        <v>0</v>
      </c>
      <c r="AI1258" s="9" t="s">
        <v>0</v>
      </c>
      <c r="AJ1258" s="9" t="s">
        <v>0</v>
      </c>
      <c r="AK1258" s="7" t="s">
        <v>61</v>
      </c>
      <c r="AL1258" s="7" t="s">
        <v>61</v>
      </c>
      <c r="AM1258" s="7" t="s">
        <v>0</v>
      </c>
      <c r="AN1258" s="7" t="s">
        <v>0</v>
      </c>
      <c r="AO1258" s="7" t="s">
        <v>0</v>
      </c>
      <c r="AP1258" s="7" t="s">
        <v>0</v>
      </c>
      <c r="AQ1258" s="7" t="s">
        <v>61</v>
      </c>
      <c r="AR1258" s="7" t="s">
        <v>0</v>
      </c>
      <c r="AS1258" s="10" t="str">
        <f>HYPERLINK("https://tessa.gazprom-neft.local/edo/card/ce7609e3-6fef-4045-8702-da20de99f7d3", "https://tessa.gazprom-neft.local/edo/card/ce7609e3-6fef-4045-8702-da20de99f7d3")</f>
        <v>https://tessa.gazprom-neft.local/edo/card/ce7609e3-6fef-4045-8702-da20de99f7d3</v>
      </c>
    </row>
    <row r="1259" spans="1:45" x14ac:dyDescent="0.25">
      <c r="A1259" s="6" t="s">
        <v>44</v>
      </c>
      <c r="B1259" s="7" t="s">
        <v>705</v>
      </c>
      <c r="C1259" s="7" t="s">
        <v>67</v>
      </c>
      <c r="D1259" s="8">
        <v>44974</v>
      </c>
      <c r="E1259" s="8" t="s">
        <v>0</v>
      </c>
      <c r="F1259" s="16" t="s">
        <v>706</v>
      </c>
      <c r="G1259" s="7" t="s">
        <v>707</v>
      </c>
      <c r="H1259" s="7" t="s">
        <v>1597</v>
      </c>
      <c r="I1259" s="7" t="s">
        <v>0</v>
      </c>
      <c r="J1259" s="7" t="s">
        <v>156</v>
      </c>
      <c r="K1259" s="7" t="s">
        <v>47</v>
      </c>
      <c r="L1259" s="7" t="s">
        <v>48</v>
      </c>
      <c r="M1259" s="7" t="s">
        <v>0</v>
      </c>
      <c r="N1259" s="7" t="s">
        <v>1596</v>
      </c>
      <c r="O1259" s="7" t="s">
        <v>0</v>
      </c>
      <c r="P1259" s="7" t="s">
        <v>1598</v>
      </c>
      <c r="Q1259" s="7" t="s">
        <v>1599</v>
      </c>
      <c r="R1259" s="7" t="s">
        <v>646</v>
      </c>
      <c r="S1259" s="7" t="s">
        <v>0</v>
      </c>
      <c r="T1259" s="7" t="s">
        <v>54</v>
      </c>
      <c r="U1259" s="7" t="s">
        <v>362</v>
      </c>
      <c r="V1259" s="7" t="s">
        <v>917</v>
      </c>
      <c r="W1259" s="7" t="s">
        <v>74</v>
      </c>
      <c r="X1259" s="7" t="s">
        <v>58</v>
      </c>
      <c r="Y1259" s="8">
        <v>44974</v>
      </c>
      <c r="Z1259" s="8" t="s">
        <v>0</v>
      </c>
      <c r="AA1259" s="7" t="s">
        <v>1278</v>
      </c>
      <c r="AB1259" s="7" t="s">
        <v>130</v>
      </c>
      <c r="AC1259" s="7" t="s">
        <v>65</v>
      </c>
      <c r="AD1259" s="7" t="s">
        <v>80</v>
      </c>
      <c r="AE1259" s="7" t="s">
        <v>0</v>
      </c>
      <c r="AF1259" s="7" t="s">
        <v>0</v>
      </c>
      <c r="AG1259" s="7" t="s">
        <v>0</v>
      </c>
      <c r="AH1259" s="9" t="s">
        <v>0</v>
      </c>
      <c r="AI1259" s="9" t="s">
        <v>0</v>
      </c>
      <c r="AJ1259" s="9" t="s">
        <v>0</v>
      </c>
      <c r="AK1259" s="7" t="s">
        <v>61</v>
      </c>
      <c r="AL1259" s="7" t="s">
        <v>61</v>
      </c>
      <c r="AM1259" s="7" t="s">
        <v>0</v>
      </c>
      <c r="AN1259" s="7" t="s">
        <v>0</v>
      </c>
      <c r="AO1259" s="7" t="s">
        <v>0</v>
      </c>
      <c r="AP1259" s="7" t="s">
        <v>0</v>
      </c>
      <c r="AQ1259" s="7" t="s">
        <v>61</v>
      </c>
      <c r="AR1259" s="7" t="s">
        <v>0</v>
      </c>
      <c r="AS1259" s="10" t="str">
        <f>HYPERLINK("https://tessa.gazprom-neft.local/edo/card/9314ecb4-a7fb-418f-9af5-90ffe2a15b89", "https://tessa.gazprom-neft.local/edo/card/9314ecb4-a7fb-418f-9af5-90ffe2a15b89")</f>
        <v>https://tessa.gazprom-neft.local/edo/card/9314ecb4-a7fb-418f-9af5-90ffe2a15b89</v>
      </c>
    </row>
    <row r="1260" spans="1:45" hidden="1" x14ac:dyDescent="0.25">
      <c r="A1260" s="6" t="s">
        <v>44</v>
      </c>
      <c r="B1260" s="7" t="s">
        <v>927</v>
      </c>
      <c r="C1260" s="7" t="s">
        <v>67</v>
      </c>
      <c r="D1260" s="8">
        <v>44974</v>
      </c>
      <c r="E1260" s="8" t="s">
        <v>0</v>
      </c>
      <c r="F1260" s="16" t="s">
        <v>928</v>
      </c>
      <c r="G1260" s="7" t="s">
        <v>929</v>
      </c>
      <c r="H1260" s="7" t="s">
        <v>0</v>
      </c>
      <c r="I1260" s="7" t="s">
        <v>1644</v>
      </c>
      <c r="J1260" s="7" t="s">
        <v>1644</v>
      </c>
      <c r="K1260" s="7" t="s">
        <v>85</v>
      </c>
      <c r="L1260" s="7" t="s">
        <v>86</v>
      </c>
      <c r="M1260" s="7" t="s">
        <v>216</v>
      </c>
      <c r="N1260" s="7" t="s">
        <v>1643</v>
      </c>
      <c r="O1260" s="7" t="s">
        <v>0</v>
      </c>
      <c r="P1260" s="7" t="s">
        <v>1645</v>
      </c>
      <c r="Q1260" s="7" t="s">
        <v>1646</v>
      </c>
      <c r="R1260" s="7" t="s">
        <v>393</v>
      </c>
      <c r="S1260" s="7" t="s">
        <v>859</v>
      </c>
      <c r="T1260" s="7" t="s">
        <v>54</v>
      </c>
      <c r="U1260" s="7" t="s">
        <v>777</v>
      </c>
      <c r="V1260" s="7" t="s">
        <v>308</v>
      </c>
      <c r="W1260" s="7" t="s">
        <v>74</v>
      </c>
      <c r="X1260" s="7" t="s">
        <v>58</v>
      </c>
      <c r="Y1260" s="8">
        <v>44974</v>
      </c>
      <c r="Z1260" s="8" t="s">
        <v>0</v>
      </c>
      <c r="AA1260" s="7" t="s">
        <v>309</v>
      </c>
      <c r="AB1260" s="7" t="s">
        <v>228</v>
      </c>
      <c r="AC1260" s="7" t="s">
        <v>65</v>
      </c>
      <c r="AD1260" s="7" t="s">
        <v>0</v>
      </c>
      <c r="AE1260" s="7" t="s">
        <v>0</v>
      </c>
      <c r="AF1260" s="7" t="s">
        <v>0</v>
      </c>
      <c r="AG1260" s="7" t="s">
        <v>0</v>
      </c>
      <c r="AH1260" s="9" t="s">
        <v>0</v>
      </c>
      <c r="AI1260" s="9" t="s">
        <v>0</v>
      </c>
      <c r="AJ1260" s="9" t="s">
        <v>0</v>
      </c>
      <c r="AK1260" s="7" t="s">
        <v>61</v>
      </c>
      <c r="AL1260" s="7" t="s">
        <v>61</v>
      </c>
      <c r="AM1260" s="7" t="s">
        <v>0</v>
      </c>
      <c r="AN1260" s="7" t="s">
        <v>0</v>
      </c>
      <c r="AO1260" s="7" t="s">
        <v>0</v>
      </c>
      <c r="AP1260" s="7" t="s">
        <v>0</v>
      </c>
      <c r="AQ1260" s="7" t="s">
        <v>61</v>
      </c>
      <c r="AR1260" s="7" t="s">
        <v>0</v>
      </c>
      <c r="AS1260" s="10" t="str">
        <f>HYPERLINK("https://tessa.gazprom-neft.local/edo/card/c7868af7-d5dd-41fc-914e-6838639be7b4", "https://tessa.gazprom-neft.local/edo/card/c7868af7-d5dd-41fc-914e-6838639be7b4")</f>
        <v>https://tessa.gazprom-neft.local/edo/card/c7868af7-d5dd-41fc-914e-6838639be7b4</v>
      </c>
    </row>
    <row r="1261" spans="1:45" hidden="1" x14ac:dyDescent="0.25">
      <c r="A1261" s="6" t="s">
        <v>44</v>
      </c>
      <c r="B1261" s="7" t="s">
        <v>737</v>
      </c>
      <c r="C1261" s="7" t="s">
        <v>67</v>
      </c>
      <c r="D1261" s="8">
        <v>44974</v>
      </c>
      <c r="E1261" s="8" t="s">
        <v>0</v>
      </c>
      <c r="F1261" s="16" t="s">
        <v>738</v>
      </c>
      <c r="G1261" s="7" t="s">
        <v>739</v>
      </c>
      <c r="H1261" s="7" t="s">
        <v>1758</v>
      </c>
      <c r="I1261" s="7" t="s">
        <v>0</v>
      </c>
      <c r="J1261" s="7" t="s">
        <v>122</v>
      </c>
      <c r="K1261" s="7" t="s">
        <v>47</v>
      </c>
      <c r="L1261" s="7" t="s">
        <v>239</v>
      </c>
      <c r="M1261" s="7" t="s">
        <v>0</v>
      </c>
      <c r="N1261" s="7" t="s">
        <v>1757</v>
      </c>
      <c r="O1261" s="7" t="s">
        <v>0</v>
      </c>
      <c r="P1261" s="7" t="s">
        <v>1759</v>
      </c>
      <c r="Q1261" s="7" t="s">
        <v>1760</v>
      </c>
      <c r="R1261" s="7" t="s">
        <v>540</v>
      </c>
      <c r="S1261" s="7" t="s">
        <v>0</v>
      </c>
      <c r="T1261" s="7" t="s">
        <v>54</v>
      </c>
      <c r="U1261" s="7" t="s">
        <v>541</v>
      </c>
      <c r="V1261" s="7" t="s">
        <v>56</v>
      </c>
      <c r="W1261" s="7" t="s">
        <v>57</v>
      </c>
      <c r="X1261" s="7" t="s">
        <v>103</v>
      </c>
      <c r="Y1261" s="8">
        <v>44974</v>
      </c>
      <c r="Z1261" s="8">
        <v>45285</v>
      </c>
      <c r="AA1261" s="7" t="s">
        <v>59</v>
      </c>
      <c r="AB1261" s="7" t="s">
        <v>545</v>
      </c>
      <c r="AC1261" s="7" t="s">
        <v>79</v>
      </c>
      <c r="AD1261" s="7" t="s">
        <v>144</v>
      </c>
      <c r="AE1261" s="7" t="s">
        <v>82</v>
      </c>
      <c r="AF1261" s="7" t="s">
        <v>0</v>
      </c>
      <c r="AG1261" s="7" t="s">
        <v>0</v>
      </c>
      <c r="AH1261" s="9" t="s">
        <v>11112</v>
      </c>
      <c r="AI1261" s="9" t="s">
        <v>11113</v>
      </c>
      <c r="AJ1261" s="9" t="s">
        <v>11114</v>
      </c>
      <c r="AK1261" s="7" t="s">
        <v>61</v>
      </c>
      <c r="AL1261" s="7" t="s">
        <v>61</v>
      </c>
      <c r="AM1261" s="7" t="s">
        <v>0</v>
      </c>
      <c r="AN1261" s="7" t="s">
        <v>0</v>
      </c>
      <c r="AO1261" s="7" t="s">
        <v>0</v>
      </c>
      <c r="AP1261" s="7" t="s">
        <v>0</v>
      </c>
      <c r="AQ1261" s="7" t="s">
        <v>61</v>
      </c>
      <c r="AR1261" s="7" t="s">
        <v>0</v>
      </c>
      <c r="AS1261" s="10" t="str">
        <f>HYPERLINK("https://tessa.gazprom-neft.local/edo/card/3f225be9-f533-4aa9-839b-faa6c4bf7b7e", "https://tessa.gazprom-neft.local/edo/card/3f225be9-f533-4aa9-839b-faa6c4bf7b7e")</f>
        <v>https://tessa.gazprom-neft.local/edo/card/3f225be9-f533-4aa9-839b-faa6c4bf7b7e</v>
      </c>
    </row>
    <row r="1262" spans="1:45" x14ac:dyDescent="0.25">
      <c r="A1262" s="6" t="s">
        <v>44</v>
      </c>
      <c r="B1262" s="7" t="s">
        <v>8603</v>
      </c>
      <c r="C1262" s="7" t="s">
        <v>67</v>
      </c>
      <c r="D1262" s="8">
        <v>44974</v>
      </c>
      <c r="E1262" s="8" t="s">
        <v>0</v>
      </c>
      <c r="F1262" s="16" t="s">
        <v>8604</v>
      </c>
      <c r="G1262" s="7" t="s">
        <v>832</v>
      </c>
      <c r="H1262" s="7" t="s">
        <v>825</v>
      </c>
      <c r="I1262" s="7" t="s">
        <v>0</v>
      </c>
      <c r="J1262" s="7" t="s">
        <v>51</v>
      </c>
      <c r="K1262" s="7" t="s">
        <v>47</v>
      </c>
      <c r="L1262" s="7" t="s">
        <v>48</v>
      </c>
      <c r="M1262" s="7" t="s">
        <v>0</v>
      </c>
      <c r="N1262" s="7" t="s">
        <v>8600</v>
      </c>
      <c r="O1262" s="7" t="s">
        <v>0</v>
      </c>
      <c r="P1262" s="7" t="s">
        <v>8601</v>
      </c>
      <c r="Q1262" s="7" t="s">
        <v>8602</v>
      </c>
      <c r="R1262" s="7" t="s">
        <v>1125</v>
      </c>
      <c r="S1262" s="7" t="s">
        <v>1125</v>
      </c>
      <c r="T1262" s="7" t="s">
        <v>54</v>
      </c>
      <c r="U1262" s="7" t="s">
        <v>188</v>
      </c>
      <c r="V1262" s="7" t="s">
        <v>187</v>
      </c>
      <c r="W1262" s="7" t="s">
        <v>57</v>
      </c>
      <c r="X1262" s="7" t="s">
        <v>103</v>
      </c>
      <c r="Y1262" s="8">
        <v>44974</v>
      </c>
      <c r="Z1262" s="8">
        <v>45291</v>
      </c>
      <c r="AA1262" s="7" t="s">
        <v>922</v>
      </c>
      <c r="AB1262" s="7" t="s">
        <v>64</v>
      </c>
      <c r="AC1262" s="7" t="s">
        <v>65</v>
      </c>
      <c r="AD1262" s="7" t="s">
        <v>80</v>
      </c>
      <c r="AE1262" s="7" t="s">
        <v>0</v>
      </c>
      <c r="AF1262" s="7" t="s">
        <v>0</v>
      </c>
      <c r="AG1262" s="7" t="s">
        <v>0</v>
      </c>
      <c r="AH1262" s="9" t="s">
        <v>0</v>
      </c>
      <c r="AI1262" s="9" t="s">
        <v>0</v>
      </c>
      <c r="AJ1262" s="9" t="s">
        <v>0</v>
      </c>
      <c r="AK1262" s="7" t="s">
        <v>61</v>
      </c>
      <c r="AL1262" s="7" t="s">
        <v>61</v>
      </c>
      <c r="AM1262" s="7" t="s">
        <v>0</v>
      </c>
      <c r="AN1262" s="7" t="s">
        <v>0</v>
      </c>
      <c r="AO1262" s="7" t="s">
        <v>0</v>
      </c>
      <c r="AP1262" s="7" t="s">
        <v>0</v>
      </c>
      <c r="AQ1262" s="7" t="s">
        <v>61</v>
      </c>
      <c r="AR1262" s="7" t="s">
        <v>0</v>
      </c>
      <c r="AS1262" s="10" t="str">
        <f>HYPERLINK("https://tessa.gazprom-neft.local/edo/card/468f36cb-f6be-4956-9991-f06a855c4a10", "https://tessa.gazprom-neft.local/edo/card/468f36cb-f6be-4956-9991-f06a855c4a10")</f>
        <v>https://tessa.gazprom-neft.local/edo/card/468f36cb-f6be-4956-9991-f06a855c4a10</v>
      </c>
    </row>
    <row r="1263" spans="1:45" hidden="1" x14ac:dyDescent="0.25">
      <c r="A1263" s="6" t="s">
        <v>44</v>
      </c>
      <c r="B1263" s="7" t="s">
        <v>170</v>
      </c>
      <c r="C1263" s="7" t="s">
        <v>67</v>
      </c>
      <c r="D1263" s="8">
        <v>44973</v>
      </c>
      <c r="E1263" s="8" t="s">
        <v>0</v>
      </c>
      <c r="F1263" s="16" t="s">
        <v>171</v>
      </c>
      <c r="G1263" s="7" t="s">
        <v>172</v>
      </c>
      <c r="H1263" s="7" t="s">
        <v>0</v>
      </c>
      <c r="I1263" s="7" t="s">
        <v>1371</v>
      </c>
      <c r="J1263" s="7" t="s">
        <v>1371</v>
      </c>
      <c r="K1263" s="7" t="s">
        <v>47</v>
      </c>
      <c r="L1263" s="7" t="s">
        <v>86</v>
      </c>
      <c r="M1263" s="7" t="s">
        <v>0</v>
      </c>
      <c r="N1263" s="7" t="s">
        <v>1370</v>
      </c>
      <c r="O1263" s="7" t="s">
        <v>0</v>
      </c>
      <c r="P1263" s="7" t="s">
        <v>237</v>
      </c>
      <c r="Q1263" s="7" t="s">
        <v>1372</v>
      </c>
      <c r="R1263" s="7" t="s">
        <v>768</v>
      </c>
      <c r="S1263" s="7" t="s">
        <v>768</v>
      </c>
      <c r="T1263" s="7" t="s">
        <v>54</v>
      </c>
      <c r="U1263" s="7" t="s">
        <v>283</v>
      </c>
      <c r="V1263" s="7" t="s">
        <v>91</v>
      </c>
      <c r="W1263" s="7" t="s">
        <v>74</v>
      </c>
      <c r="X1263" s="7" t="s">
        <v>103</v>
      </c>
      <c r="Y1263" s="8">
        <v>44973</v>
      </c>
      <c r="Z1263" s="8">
        <v>46387</v>
      </c>
      <c r="AA1263" s="7" t="s">
        <v>92</v>
      </c>
      <c r="AB1263" s="7" t="s">
        <v>237</v>
      </c>
      <c r="AC1263" s="7" t="s">
        <v>65</v>
      </c>
      <c r="AD1263" s="7" t="s">
        <v>0</v>
      </c>
      <c r="AE1263" s="7" t="s">
        <v>0</v>
      </c>
      <c r="AF1263" s="7" t="s">
        <v>0</v>
      </c>
      <c r="AG1263" s="7" t="s">
        <v>0</v>
      </c>
      <c r="AH1263" s="9" t="s">
        <v>0</v>
      </c>
      <c r="AI1263" s="9" t="s">
        <v>0</v>
      </c>
      <c r="AJ1263" s="9" t="s">
        <v>0</v>
      </c>
      <c r="AK1263" s="7" t="s">
        <v>61</v>
      </c>
      <c r="AL1263" s="7" t="s">
        <v>61</v>
      </c>
      <c r="AM1263" s="7" t="s">
        <v>0</v>
      </c>
      <c r="AN1263" s="7" t="s">
        <v>0</v>
      </c>
      <c r="AO1263" s="7" t="s">
        <v>0</v>
      </c>
      <c r="AP1263" s="7" t="s">
        <v>0</v>
      </c>
      <c r="AQ1263" s="7" t="s">
        <v>61</v>
      </c>
      <c r="AR1263" s="7" t="s">
        <v>0</v>
      </c>
      <c r="AS1263" s="10" t="str">
        <f>HYPERLINK("https://tessa.gazprom-neft.local/edo/card/5bb30575-e393-40b2-9e97-6cbf65a0de63", "https://tessa.gazprom-neft.local/edo/card/5bb30575-e393-40b2-9e97-6cbf65a0de63")</f>
        <v>https://tessa.gazprom-neft.local/edo/card/5bb30575-e393-40b2-9e97-6cbf65a0de63</v>
      </c>
    </row>
    <row r="1264" spans="1:45" hidden="1" x14ac:dyDescent="0.25">
      <c r="A1264" s="6" t="s">
        <v>44</v>
      </c>
      <c r="B1264" s="7" t="s">
        <v>1075</v>
      </c>
      <c r="C1264" s="7" t="s">
        <v>67</v>
      </c>
      <c r="D1264" s="8">
        <v>44972</v>
      </c>
      <c r="E1264" s="8" t="s">
        <v>0</v>
      </c>
      <c r="F1264" s="16" t="s">
        <v>1076</v>
      </c>
      <c r="G1264" s="7" t="s">
        <v>1077</v>
      </c>
      <c r="H1264" s="7" t="s">
        <v>0</v>
      </c>
      <c r="I1264" s="7" t="s">
        <v>1469</v>
      </c>
      <c r="J1264" s="7" t="s">
        <v>1469</v>
      </c>
      <c r="K1264" s="7" t="s">
        <v>85</v>
      </c>
      <c r="L1264" s="7" t="s">
        <v>96</v>
      </c>
      <c r="M1264" s="7" t="s">
        <v>183</v>
      </c>
      <c r="N1264" s="7" t="s">
        <v>1468</v>
      </c>
      <c r="O1264" s="7" t="s">
        <v>0</v>
      </c>
      <c r="P1264" s="7" t="s">
        <v>183</v>
      </c>
      <c r="Q1264" s="7" t="s">
        <v>1072</v>
      </c>
      <c r="R1264" s="7" t="s">
        <v>1073</v>
      </c>
      <c r="S1264" s="7" t="s">
        <v>0</v>
      </c>
      <c r="T1264" s="7" t="s">
        <v>54</v>
      </c>
      <c r="U1264" s="7" t="s">
        <v>1074</v>
      </c>
      <c r="V1264" s="7" t="s">
        <v>137</v>
      </c>
      <c r="W1264" s="7" t="s">
        <v>57</v>
      </c>
      <c r="X1264" s="7" t="s">
        <v>103</v>
      </c>
      <c r="Y1264" s="8">
        <v>44972</v>
      </c>
      <c r="Z1264" s="8">
        <v>45291</v>
      </c>
      <c r="AA1264" s="7" t="s">
        <v>0</v>
      </c>
      <c r="AB1264" s="7" t="s">
        <v>192</v>
      </c>
      <c r="AC1264" s="7" t="s">
        <v>79</v>
      </c>
      <c r="AD1264" s="7" t="s">
        <v>80</v>
      </c>
      <c r="AE1264" s="7" t="s">
        <v>193</v>
      </c>
      <c r="AF1264" s="7" t="s">
        <v>0</v>
      </c>
      <c r="AG1264" s="7" t="s">
        <v>0</v>
      </c>
      <c r="AH1264" s="9" t="s">
        <v>11035</v>
      </c>
      <c r="AI1264" s="9" t="s">
        <v>11036</v>
      </c>
      <c r="AJ1264" s="9" t="s">
        <v>11037</v>
      </c>
      <c r="AK1264" s="7" t="s">
        <v>61</v>
      </c>
      <c r="AL1264" s="7" t="s">
        <v>61</v>
      </c>
      <c r="AM1264" s="7" t="s">
        <v>0</v>
      </c>
      <c r="AN1264" s="7" t="s">
        <v>0</v>
      </c>
      <c r="AO1264" s="7" t="s">
        <v>0</v>
      </c>
      <c r="AP1264" s="7" t="s">
        <v>0</v>
      </c>
      <c r="AQ1264" s="7" t="s">
        <v>61</v>
      </c>
      <c r="AR1264" s="7" t="s">
        <v>0</v>
      </c>
      <c r="AS1264" s="10" t="str">
        <f>HYPERLINK("https://tessa.gazprom-neft.local/edo/card/d15961eb-84cc-4acb-be2a-aca0e539dbb3", "https://tessa.gazprom-neft.local/edo/card/d15961eb-84cc-4acb-be2a-aca0e539dbb3")</f>
        <v>https://tessa.gazprom-neft.local/edo/card/d15961eb-84cc-4acb-be2a-aca0e539dbb3</v>
      </c>
    </row>
    <row r="1265" spans="1:45" hidden="1" x14ac:dyDescent="0.25">
      <c r="A1265" s="6" t="s">
        <v>44</v>
      </c>
      <c r="B1265" s="7" t="s">
        <v>1140</v>
      </c>
      <c r="C1265" s="7" t="s">
        <v>67</v>
      </c>
      <c r="D1265" s="8">
        <v>44972</v>
      </c>
      <c r="E1265" s="8" t="s">
        <v>0</v>
      </c>
      <c r="F1265" s="16" t="s">
        <v>1141</v>
      </c>
      <c r="G1265" s="7" t="s">
        <v>1142</v>
      </c>
      <c r="H1265" s="7" t="s">
        <v>1136</v>
      </c>
      <c r="I1265" s="7" t="s">
        <v>0</v>
      </c>
      <c r="J1265" s="7" t="s">
        <v>1986</v>
      </c>
      <c r="K1265" s="7" t="s">
        <v>47</v>
      </c>
      <c r="L1265" s="7" t="s">
        <v>239</v>
      </c>
      <c r="M1265" s="7" t="s">
        <v>0</v>
      </c>
      <c r="N1265" s="7" t="s">
        <v>1985</v>
      </c>
      <c r="O1265" s="7" t="s">
        <v>0</v>
      </c>
      <c r="P1265" s="7" t="s">
        <v>239</v>
      </c>
      <c r="Q1265" s="7" t="s">
        <v>1987</v>
      </c>
      <c r="R1265" s="7" t="s">
        <v>768</v>
      </c>
      <c r="S1265" s="7" t="s">
        <v>1066</v>
      </c>
      <c r="T1265" s="7" t="s">
        <v>54</v>
      </c>
      <c r="U1265" s="7" t="s">
        <v>283</v>
      </c>
      <c r="V1265" s="7" t="s">
        <v>308</v>
      </c>
      <c r="W1265" s="7" t="s">
        <v>57</v>
      </c>
      <c r="X1265" s="7" t="s">
        <v>103</v>
      </c>
      <c r="Y1265" s="8">
        <v>44897</v>
      </c>
      <c r="Z1265" s="8">
        <v>45083</v>
      </c>
      <c r="AA1265" s="7" t="s">
        <v>309</v>
      </c>
      <c r="AB1265" s="7" t="s">
        <v>1143</v>
      </c>
      <c r="AC1265" s="7" t="s">
        <v>79</v>
      </c>
      <c r="AD1265" s="7" t="s">
        <v>80</v>
      </c>
      <c r="AE1265" s="7" t="s">
        <v>82</v>
      </c>
      <c r="AF1265" s="7" t="s">
        <v>0</v>
      </c>
      <c r="AG1265" s="7" t="s">
        <v>0</v>
      </c>
      <c r="AH1265" s="9" t="s">
        <v>11204</v>
      </c>
      <c r="AI1265" s="9" t="s">
        <v>11205</v>
      </c>
      <c r="AJ1265" s="9" t="s">
        <v>11206</v>
      </c>
      <c r="AK1265" s="7" t="s">
        <v>61</v>
      </c>
      <c r="AL1265" s="7" t="s">
        <v>61</v>
      </c>
      <c r="AM1265" s="7" t="s">
        <v>0</v>
      </c>
      <c r="AN1265" s="7" t="s">
        <v>0</v>
      </c>
      <c r="AO1265" s="7" t="s">
        <v>0</v>
      </c>
      <c r="AP1265" s="7" t="s">
        <v>0</v>
      </c>
      <c r="AQ1265" s="7" t="s">
        <v>61</v>
      </c>
      <c r="AR1265" s="7" t="s">
        <v>0</v>
      </c>
      <c r="AS1265" s="10" t="str">
        <f>HYPERLINK("https://tessa.gazprom-neft.local/edo/card/797e65cd-2fc4-412a-9f35-bbdca008bd9d", "https://tessa.gazprom-neft.local/edo/card/797e65cd-2fc4-412a-9f35-bbdca008bd9d")</f>
        <v>https://tessa.gazprom-neft.local/edo/card/797e65cd-2fc4-412a-9f35-bbdca008bd9d</v>
      </c>
    </row>
    <row r="1266" spans="1:45" hidden="1" x14ac:dyDescent="0.25">
      <c r="A1266" s="6" t="s">
        <v>44</v>
      </c>
      <c r="B1266" s="7" t="s">
        <v>170</v>
      </c>
      <c r="C1266" s="7" t="s">
        <v>67</v>
      </c>
      <c r="D1266" s="8">
        <v>44972</v>
      </c>
      <c r="E1266" s="8" t="s">
        <v>0</v>
      </c>
      <c r="F1266" s="16" t="s">
        <v>171</v>
      </c>
      <c r="G1266" s="7" t="s">
        <v>172</v>
      </c>
      <c r="H1266" s="7" t="s">
        <v>1109</v>
      </c>
      <c r="I1266" s="7" t="s">
        <v>0</v>
      </c>
      <c r="J1266" s="7" t="s">
        <v>271</v>
      </c>
      <c r="K1266" s="7" t="s">
        <v>47</v>
      </c>
      <c r="L1266" s="7" t="s">
        <v>239</v>
      </c>
      <c r="M1266" s="7" t="s">
        <v>0</v>
      </c>
      <c r="N1266" s="7" t="s">
        <v>2187</v>
      </c>
      <c r="O1266" s="7" t="s">
        <v>0</v>
      </c>
      <c r="P1266" s="7" t="s">
        <v>2188</v>
      </c>
      <c r="Q1266" s="7" t="s">
        <v>2189</v>
      </c>
      <c r="R1266" s="7" t="s">
        <v>768</v>
      </c>
      <c r="S1266" s="7" t="s">
        <v>166</v>
      </c>
      <c r="T1266" s="7" t="s">
        <v>54</v>
      </c>
      <c r="U1266" s="7" t="s">
        <v>283</v>
      </c>
      <c r="V1266" s="7" t="s">
        <v>308</v>
      </c>
      <c r="W1266" s="7" t="s">
        <v>57</v>
      </c>
      <c r="X1266" s="7" t="s">
        <v>103</v>
      </c>
      <c r="Y1266" s="8">
        <v>44973</v>
      </c>
      <c r="Z1266" s="8">
        <v>45199</v>
      </c>
      <c r="AA1266" s="7" t="s">
        <v>309</v>
      </c>
      <c r="AB1266" s="7" t="s">
        <v>64</v>
      </c>
      <c r="AC1266" s="7" t="s">
        <v>79</v>
      </c>
      <c r="AD1266" s="7" t="s">
        <v>80</v>
      </c>
      <c r="AE1266" s="7" t="s">
        <v>82</v>
      </c>
      <c r="AF1266" s="7" t="s">
        <v>0</v>
      </c>
      <c r="AG1266" s="7" t="s">
        <v>0</v>
      </c>
      <c r="AH1266" s="9" t="s">
        <v>11273</v>
      </c>
      <c r="AI1266" s="9" t="s">
        <v>11274</v>
      </c>
      <c r="AJ1266" s="9" t="s">
        <v>11275</v>
      </c>
      <c r="AK1266" s="7" t="s">
        <v>61</v>
      </c>
      <c r="AL1266" s="7" t="s">
        <v>61</v>
      </c>
      <c r="AM1266" s="7" t="s">
        <v>0</v>
      </c>
      <c r="AN1266" s="7" t="s">
        <v>0</v>
      </c>
      <c r="AO1266" s="7" t="s">
        <v>0</v>
      </c>
      <c r="AP1266" s="7" t="s">
        <v>0</v>
      </c>
      <c r="AQ1266" s="7" t="s">
        <v>61</v>
      </c>
      <c r="AR1266" s="7" t="s">
        <v>0</v>
      </c>
      <c r="AS1266" s="10" t="str">
        <f>HYPERLINK("https://tessa.gazprom-neft.local/edo/card/ba95ef60-9cb2-457a-b576-d037a46f412a", "https://tessa.gazprom-neft.local/edo/card/ba95ef60-9cb2-457a-b576-d037a46f412a")</f>
        <v>https://tessa.gazprom-neft.local/edo/card/ba95ef60-9cb2-457a-b576-d037a46f412a</v>
      </c>
    </row>
    <row r="1267" spans="1:45" hidden="1" x14ac:dyDescent="0.25">
      <c r="A1267" s="6" t="s">
        <v>44</v>
      </c>
      <c r="B1267" s="7" t="s">
        <v>1435</v>
      </c>
      <c r="C1267" s="7" t="s">
        <v>67</v>
      </c>
      <c r="D1267" s="8">
        <v>44970</v>
      </c>
      <c r="E1267" s="8" t="s">
        <v>0</v>
      </c>
      <c r="F1267" s="16" t="s">
        <v>1436</v>
      </c>
      <c r="G1267" s="7" t="s">
        <v>1437</v>
      </c>
      <c r="H1267" s="7" t="s">
        <v>0</v>
      </c>
      <c r="I1267" s="7" t="s">
        <v>1432</v>
      </c>
      <c r="J1267" s="7" t="s">
        <v>1432</v>
      </c>
      <c r="K1267" s="7" t="s">
        <v>85</v>
      </c>
      <c r="L1267" s="7" t="s">
        <v>96</v>
      </c>
      <c r="M1267" s="7" t="s">
        <v>1430</v>
      </c>
      <c r="N1267" s="7" t="s">
        <v>1431</v>
      </c>
      <c r="O1267" s="7" t="s">
        <v>0</v>
      </c>
      <c r="P1267" s="7" t="s">
        <v>1430</v>
      </c>
      <c r="Q1267" s="7" t="s">
        <v>1433</v>
      </c>
      <c r="R1267" s="7" t="s">
        <v>646</v>
      </c>
      <c r="S1267" s="7" t="s">
        <v>1434</v>
      </c>
      <c r="T1267" s="7" t="s">
        <v>54</v>
      </c>
      <c r="U1267" s="7" t="s">
        <v>362</v>
      </c>
      <c r="V1267" s="7" t="s">
        <v>187</v>
      </c>
      <c r="W1267" s="7" t="s">
        <v>74</v>
      </c>
      <c r="X1267" s="7" t="s">
        <v>103</v>
      </c>
      <c r="Y1267" s="8">
        <v>44970</v>
      </c>
      <c r="Z1267" s="8">
        <v>46081</v>
      </c>
      <c r="AA1267" s="7" t="s">
        <v>922</v>
      </c>
      <c r="AB1267" s="7" t="s">
        <v>64</v>
      </c>
      <c r="AC1267" s="7" t="s">
        <v>79</v>
      </c>
      <c r="AD1267" s="7" t="s">
        <v>80</v>
      </c>
      <c r="AE1267" s="7" t="s">
        <v>82</v>
      </c>
      <c r="AF1267" s="7" t="s">
        <v>0</v>
      </c>
      <c r="AG1267" s="7" t="s">
        <v>0</v>
      </c>
      <c r="AH1267" s="9" t="s">
        <v>11023</v>
      </c>
      <c r="AI1267" s="9" t="s">
        <v>11024</v>
      </c>
      <c r="AJ1267" s="9" t="s">
        <v>11025</v>
      </c>
      <c r="AK1267" s="7" t="s">
        <v>61</v>
      </c>
      <c r="AL1267" s="7" t="s">
        <v>61</v>
      </c>
      <c r="AM1267" s="7" t="s">
        <v>0</v>
      </c>
      <c r="AN1267" s="7" t="s">
        <v>0</v>
      </c>
      <c r="AO1267" s="7" t="s">
        <v>0</v>
      </c>
      <c r="AP1267" s="7" t="s">
        <v>0</v>
      </c>
      <c r="AQ1267" s="7" t="s">
        <v>61</v>
      </c>
      <c r="AR1267" s="7" t="s">
        <v>0</v>
      </c>
      <c r="AS1267" s="10" t="str">
        <f>HYPERLINK("https://tessa.gazprom-neft.local/edo/card/fbea2a4a-3f43-40ea-93db-8c08f58e4e48", "https://tessa.gazprom-neft.local/edo/card/fbea2a4a-3f43-40ea-93db-8c08f58e4e48")</f>
        <v>https://tessa.gazprom-neft.local/edo/card/fbea2a4a-3f43-40ea-93db-8c08f58e4e48</v>
      </c>
    </row>
    <row r="1268" spans="1:45" hidden="1" x14ac:dyDescent="0.25">
      <c r="A1268" s="6" t="s">
        <v>44</v>
      </c>
      <c r="B1268" s="7" t="s">
        <v>1435</v>
      </c>
      <c r="C1268" s="7" t="s">
        <v>67</v>
      </c>
      <c r="D1268" s="8">
        <v>44970</v>
      </c>
      <c r="E1268" s="8" t="s">
        <v>0</v>
      </c>
      <c r="F1268" s="16" t="s">
        <v>1436</v>
      </c>
      <c r="G1268" s="7" t="s">
        <v>1437</v>
      </c>
      <c r="H1268" s="7" t="s">
        <v>0</v>
      </c>
      <c r="I1268" s="7" t="s">
        <v>1521</v>
      </c>
      <c r="J1268" s="7" t="s">
        <v>1521</v>
      </c>
      <c r="K1268" s="7" t="s">
        <v>85</v>
      </c>
      <c r="L1268" s="7" t="s">
        <v>86</v>
      </c>
      <c r="M1268" s="7" t="s">
        <v>83</v>
      </c>
      <c r="N1268" s="7" t="s">
        <v>1520</v>
      </c>
      <c r="O1268" s="7" t="s">
        <v>0</v>
      </c>
      <c r="P1268" s="7" t="s">
        <v>83</v>
      </c>
      <c r="Q1268" s="7" t="s">
        <v>1522</v>
      </c>
      <c r="R1268" s="7" t="s">
        <v>1523</v>
      </c>
      <c r="S1268" s="7" t="s">
        <v>1523</v>
      </c>
      <c r="T1268" s="7" t="s">
        <v>54</v>
      </c>
      <c r="U1268" s="7" t="s">
        <v>188</v>
      </c>
      <c r="V1268" s="7" t="s">
        <v>91</v>
      </c>
      <c r="W1268" s="7" t="s">
        <v>74</v>
      </c>
      <c r="X1268" s="7" t="s">
        <v>103</v>
      </c>
      <c r="Y1268" s="8">
        <v>44970</v>
      </c>
      <c r="Z1268" s="8">
        <v>46081</v>
      </c>
      <c r="AA1268" s="7" t="s">
        <v>92</v>
      </c>
      <c r="AB1268" s="7" t="s">
        <v>94</v>
      </c>
      <c r="AC1268" s="7" t="s">
        <v>65</v>
      </c>
      <c r="AD1268" s="7" t="s">
        <v>0</v>
      </c>
      <c r="AE1268" s="7" t="s">
        <v>0</v>
      </c>
      <c r="AF1268" s="7" t="s">
        <v>0</v>
      </c>
      <c r="AG1268" s="7" t="s">
        <v>0</v>
      </c>
      <c r="AH1268" s="9" t="s">
        <v>0</v>
      </c>
      <c r="AI1268" s="9" t="s">
        <v>0</v>
      </c>
      <c r="AJ1268" s="9" t="s">
        <v>0</v>
      </c>
      <c r="AK1268" s="7" t="s">
        <v>61</v>
      </c>
      <c r="AL1268" s="7" t="s">
        <v>61</v>
      </c>
      <c r="AM1268" s="7" t="s">
        <v>0</v>
      </c>
      <c r="AN1268" s="7" t="s">
        <v>0</v>
      </c>
      <c r="AO1268" s="7" t="s">
        <v>0</v>
      </c>
      <c r="AP1268" s="7" t="s">
        <v>0</v>
      </c>
      <c r="AQ1268" s="7" t="s">
        <v>61</v>
      </c>
      <c r="AR1268" s="7" t="s">
        <v>0</v>
      </c>
      <c r="AS1268" s="10" t="str">
        <f>HYPERLINK("https://tessa.gazprom-neft.local/edo/card/4c5df76c-6c5e-47da-817b-cafb149a40fa", "https://tessa.gazprom-neft.local/edo/card/4c5df76c-6c5e-47da-817b-cafb149a40fa")</f>
        <v>https://tessa.gazprom-neft.local/edo/card/4c5df76c-6c5e-47da-817b-cafb149a40fa</v>
      </c>
    </row>
    <row r="1269" spans="1:45" hidden="1" x14ac:dyDescent="0.25">
      <c r="A1269" s="6" t="s">
        <v>44</v>
      </c>
      <c r="B1269" s="7" t="s">
        <v>1435</v>
      </c>
      <c r="C1269" s="7" t="s">
        <v>67</v>
      </c>
      <c r="D1269" s="8">
        <v>44970</v>
      </c>
      <c r="E1269" s="8" t="s">
        <v>0</v>
      </c>
      <c r="F1269" s="16" t="s">
        <v>1436</v>
      </c>
      <c r="G1269" s="7" t="s">
        <v>1437</v>
      </c>
      <c r="H1269" s="7" t="s">
        <v>0</v>
      </c>
      <c r="I1269" s="7" t="s">
        <v>1536</v>
      </c>
      <c r="J1269" s="7" t="s">
        <v>1536</v>
      </c>
      <c r="K1269" s="7" t="s">
        <v>47</v>
      </c>
      <c r="L1269" s="7" t="s">
        <v>96</v>
      </c>
      <c r="M1269" s="7" t="s">
        <v>0</v>
      </c>
      <c r="N1269" s="7" t="s">
        <v>1535</v>
      </c>
      <c r="O1269" s="7" t="s">
        <v>0</v>
      </c>
      <c r="P1269" s="7" t="s">
        <v>434</v>
      </c>
      <c r="Q1269" s="7" t="s">
        <v>1537</v>
      </c>
      <c r="R1269" s="7" t="s">
        <v>1523</v>
      </c>
      <c r="S1269" s="7" t="s">
        <v>1523</v>
      </c>
      <c r="T1269" s="7" t="s">
        <v>54</v>
      </c>
      <c r="U1269" s="7" t="s">
        <v>188</v>
      </c>
      <c r="V1269" s="7" t="s">
        <v>91</v>
      </c>
      <c r="W1269" s="7" t="s">
        <v>74</v>
      </c>
      <c r="X1269" s="7" t="s">
        <v>103</v>
      </c>
      <c r="Y1269" s="8">
        <v>44970</v>
      </c>
      <c r="Z1269" s="8">
        <v>46752</v>
      </c>
      <c r="AA1269" s="7" t="s">
        <v>92</v>
      </c>
      <c r="AB1269" s="7" t="s">
        <v>434</v>
      </c>
      <c r="AC1269" s="7" t="s">
        <v>65</v>
      </c>
      <c r="AD1269" s="7" t="s">
        <v>0</v>
      </c>
      <c r="AE1269" s="7" t="s">
        <v>0</v>
      </c>
      <c r="AF1269" s="7" t="s">
        <v>0</v>
      </c>
      <c r="AG1269" s="7" t="s">
        <v>0</v>
      </c>
      <c r="AH1269" s="9" t="s">
        <v>0</v>
      </c>
      <c r="AI1269" s="9" t="s">
        <v>0</v>
      </c>
      <c r="AJ1269" s="9" t="s">
        <v>0</v>
      </c>
      <c r="AK1269" s="7" t="s">
        <v>61</v>
      </c>
      <c r="AL1269" s="7" t="s">
        <v>61</v>
      </c>
      <c r="AM1269" s="7" t="s">
        <v>0</v>
      </c>
      <c r="AN1269" s="7" t="s">
        <v>0</v>
      </c>
      <c r="AO1269" s="7" t="s">
        <v>0</v>
      </c>
      <c r="AP1269" s="7" t="s">
        <v>0</v>
      </c>
      <c r="AQ1269" s="7" t="s">
        <v>61</v>
      </c>
      <c r="AR1269" s="7" t="s">
        <v>0</v>
      </c>
      <c r="AS1269" s="10" t="str">
        <f>HYPERLINK("https://tessa.gazprom-neft.local/edo/card/d10d5b73-f389-47e6-b4bc-d2eb3b0b1968", "https://tessa.gazprom-neft.local/edo/card/d10d5b73-f389-47e6-b4bc-d2eb3b0b1968")</f>
        <v>https://tessa.gazprom-neft.local/edo/card/d10d5b73-f389-47e6-b4bc-d2eb3b0b1968</v>
      </c>
    </row>
    <row r="1270" spans="1:45" hidden="1" x14ac:dyDescent="0.25">
      <c r="A1270" s="6" t="s">
        <v>44</v>
      </c>
      <c r="B1270" s="7" t="s">
        <v>927</v>
      </c>
      <c r="C1270" s="7" t="s">
        <v>67</v>
      </c>
      <c r="D1270" s="8">
        <v>44967</v>
      </c>
      <c r="E1270" s="8" t="s">
        <v>0</v>
      </c>
      <c r="F1270" s="16" t="s">
        <v>928</v>
      </c>
      <c r="G1270" s="7" t="s">
        <v>929</v>
      </c>
      <c r="H1270" s="7" t="s">
        <v>0</v>
      </c>
      <c r="I1270" s="7" t="s">
        <v>1052</v>
      </c>
      <c r="J1270" s="7" t="s">
        <v>1052</v>
      </c>
      <c r="K1270" s="7" t="s">
        <v>85</v>
      </c>
      <c r="L1270" s="7" t="s">
        <v>96</v>
      </c>
      <c r="M1270" s="7" t="s">
        <v>1050</v>
      </c>
      <c r="N1270" s="7" t="s">
        <v>1051</v>
      </c>
      <c r="O1270" s="7" t="s">
        <v>0</v>
      </c>
      <c r="P1270" s="7" t="s">
        <v>1050</v>
      </c>
      <c r="Q1270" s="7" t="s">
        <v>1053</v>
      </c>
      <c r="R1270" s="7" t="s">
        <v>393</v>
      </c>
      <c r="S1270" s="7" t="s">
        <v>209</v>
      </c>
      <c r="T1270" s="7" t="s">
        <v>54</v>
      </c>
      <c r="U1270" s="7" t="s">
        <v>210</v>
      </c>
      <c r="V1270" s="7" t="s">
        <v>126</v>
      </c>
      <c r="W1270" s="7" t="s">
        <v>57</v>
      </c>
      <c r="X1270" s="7" t="s">
        <v>103</v>
      </c>
      <c r="Y1270" s="8">
        <v>44967</v>
      </c>
      <c r="Z1270" s="8">
        <v>45747</v>
      </c>
      <c r="AA1270" s="7" t="s">
        <v>224</v>
      </c>
      <c r="AB1270" s="7" t="s">
        <v>130</v>
      </c>
      <c r="AC1270" s="7" t="s">
        <v>79</v>
      </c>
      <c r="AD1270" s="7" t="s">
        <v>80</v>
      </c>
      <c r="AE1270" s="7" t="s">
        <v>82</v>
      </c>
      <c r="AF1270" s="7" t="s">
        <v>0</v>
      </c>
      <c r="AG1270" s="7" t="s">
        <v>1054</v>
      </c>
      <c r="AH1270" s="9" t="s">
        <v>10910</v>
      </c>
      <c r="AI1270" s="9" t="s">
        <v>10911</v>
      </c>
      <c r="AJ1270" s="9" t="s">
        <v>10912</v>
      </c>
      <c r="AK1270" s="7" t="s">
        <v>81</v>
      </c>
      <c r="AL1270" s="7" t="s">
        <v>61</v>
      </c>
      <c r="AM1270" s="7" t="s">
        <v>0</v>
      </c>
      <c r="AN1270" s="7" t="s">
        <v>0</v>
      </c>
      <c r="AO1270" s="7" t="s">
        <v>0</v>
      </c>
      <c r="AP1270" s="7" t="s">
        <v>0</v>
      </c>
      <c r="AQ1270" s="7" t="s">
        <v>61</v>
      </c>
      <c r="AR1270" s="7" t="s">
        <v>0</v>
      </c>
      <c r="AS1270" s="10" t="str">
        <f>HYPERLINK("https://tessa.gazprom-neft.local/edo/card/23d426fc-01e7-4227-9fe3-ce34c4fb12cb", "https://tessa.gazprom-neft.local/edo/card/23d426fc-01e7-4227-9fe3-ce34c4fb12cb")</f>
        <v>https://tessa.gazprom-neft.local/edo/card/23d426fc-01e7-4227-9fe3-ce34c4fb12cb</v>
      </c>
    </row>
    <row r="1271" spans="1:45" hidden="1" x14ac:dyDescent="0.25">
      <c r="A1271" s="6" t="s">
        <v>44</v>
      </c>
      <c r="B1271" s="7" t="s">
        <v>927</v>
      </c>
      <c r="C1271" s="7" t="s">
        <v>67</v>
      </c>
      <c r="D1271" s="8">
        <v>44967</v>
      </c>
      <c r="E1271" s="8" t="s">
        <v>0</v>
      </c>
      <c r="F1271" s="16" t="s">
        <v>928</v>
      </c>
      <c r="G1271" s="7" t="s">
        <v>929</v>
      </c>
      <c r="H1271" s="7" t="s">
        <v>2475</v>
      </c>
      <c r="I1271" s="7" t="s">
        <v>0</v>
      </c>
      <c r="J1271" s="7" t="s">
        <v>2477</v>
      </c>
      <c r="K1271" s="7" t="s">
        <v>47</v>
      </c>
      <c r="L1271" s="7" t="s">
        <v>2474</v>
      </c>
      <c r="M1271" s="7" t="s">
        <v>0</v>
      </c>
      <c r="N1271" s="7" t="s">
        <v>2473</v>
      </c>
      <c r="O1271" s="7" t="s">
        <v>0</v>
      </c>
      <c r="P1271" s="7" t="s">
        <v>2476</v>
      </c>
      <c r="Q1271" s="7" t="s">
        <v>2478</v>
      </c>
      <c r="R1271" s="7" t="s">
        <v>393</v>
      </c>
      <c r="S1271" s="7" t="s">
        <v>209</v>
      </c>
      <c r="T1271" s="7" t="s">
        <v>54</v>
      </c>
      <c r="U1271" s="7" t="s">
        <v>210</v>
      </c>
      <c r="V1271" s="7" t="s">
        <v>126</v>
      </c>
      <c r="W1271" s="7" t="s">
        <v>57</v>
      </c>
      <c r="X1271" s="7" t="s">
        <v>103</v>
      </c>
      <c r="Y1271" s="8">
        <v>44967</v>
      </c>
      <c r="Z1271" s="8">
        <v>45747</v>
      </c>
      <c r="AA1271" s="7" t="s">
        <v>224</v>
      </c>
      <c r="AB1271" s="7" t="s">
        <v>130</v>
      </c>
      <c r="AC1271" s="7" t="s">
        <v>65</v>
      </c>
      <c r="AD1271" s="7" t="s">
        <v>80</v>
      </c>
      <c r="AE1271" s="7" t="s">
        <v>0</v>
      </c>
      <c r="AF1271" s="7" t="s">
        <v>0</v>
      </c>
      <c r="AG1271" s="7" t="s">
        <v>0</v>
      </c>
      <c r="AH1271" s="9" t="s">
        <v>0</v>
      </c>
      <c r="AI1271" s="9" t="s">
        <v>0</v>
      </c>
      <c r="AJ1271" s="9" t="s">
        <v>0</v>
      </c>
      <c r="AK1271" s="7" t="s">
        <v>61</v>
      </c>
      <c r="AL1271" s="7" t="s">
        <v>61</v>
      </c>
      <c r="AM1271" s="7" t="s">
        <v>0</v>
      </c>
      <c r="AN1271" s="7" t="s">
        <v>0</v>
      </c>
      <c r="AO1271" s="7" t="s">
        <v>0</v>
      </c>
      <c r="AP1271" s="7" t="s">
        <v>0</v>
      </c>
      <c r="AQ1271" s="7" t="s">
        <v>61</v>
      </c>
      <c r="AR1271" s="7" t="s">
        <v>0</v>
      </c>
      <c r="AS1271" s="10" t="str">
        <f>HYPERLINK("https://tessa.gazprom-neft.local/edo/card/d22f5aba-00bb-4857-986d-b5142fc1ab06", "https://tessa.gazprom-neft.local/edo/card/d22f5aba-00bb-4857-986d-b5142fc1ab06")</f>
        <v>https://tessa.gazprom-neft.local/edo/card/d22f5aba-00bb-4857-986d-b5142fc1ab06</v>
      </c>
    </row>
    <row r="1272" spans="1:45" x14ac:dyDescent="0.25">
      <c r="A1272" s="6" t="s">
        <v>44</v>
      </c>
      <c r="B1272" s="7" t="s">
        <v>582</v>
      </c>
      <c r="C1272" s="7" t="s">
        <v>67</v>
      </c>
      <c r="D1272" s="8">
        <v>44966</v>
      </c>
      <c r="E1272" s="8" t="s">
        <v>0</v>
      </c>
      <c r="F1272" s="16" t="s">
        <v>583</v>
      </c>
      <c r="G1272" s="7" t="s">
        <v>584</v>
      </c>
      <c r="H1272" s="7" t="s">
        <v>580</v>
      </c>
      <c r="I1272" s="7" t="s">
        <v>0</v>
      </c>
      <c r="J1272" s="7" t="s">
        <v>51</v>
      </c>
      <c r="K1272" s="7" t="s">
        <v>47</v>
      </c>
      <c r="L1272" s="7" t="s">
        <v>48</v>
      </c>
      <c r="M1272" s="7" t="s">
        <v>0</v>
      </c>
      <c r="N1272" s="7" t="s">
        <v>1344</v>
      </c>
      <c r="O1272" s="7" t="s">
        <v>0</v>
      </c>
      <c r="P1272" s="7" t="s">
        <v>1345</v>
      </c>
      <c r="Q1272" s="7" t="s">
        <v>1346</v>
      </c>
      <c r="R1272" s="7" t="s">
        <v>282</v>
      </c>
      <c r="S1272" s="7" t="s">
        <v>0</v>
      </c>
      <c r="T1272" s="7" t="s">
        <v>54</v>
      </c>
      <c r="U1272" s="7" t="s">
        <v>55</v>
      </c>
      <c r="V1272" s="7" t="s">
        <v>56</v>
      </c>
      <c r="W1272" s="7" t="s">
        <v>74</v>
      </c>
      <c r="X1272" s="7" t="s">
        <v>103</v>
      </c>
      <c r="Y1272" s="8">
        <v>44966</v>
      </c>
      <c r="Z1272" s="8">
        <v>46022</v>
      </c>
      <c r="AA1272" s="7" t="s">
        <v>0</v>
      </c>
      <c r="AB1272" s="7" t="s">
        <v>585</v>
      </c>
      <c r="AC1272" s="7" t="s">
        <v>65</v>
      </c>
      <c r="AD1272" s="7" t="s">
        <v>144</v>
      </c>
      <c r="AE1272" s="7" t="s">
        <v>0</v>
      </c>
      <c r="AF1272" s="7" t="s">
        <v>0</v>
      </c>
      <c r="AG1272" s="7" t="s">
        <v>0</v>
      </c>
      <c r="AH1272" s="9" t="s">
        <v>0</v>
      </c>
      <c r="AI1272" s="9" t="s">
        <v>0</v>
      </c>
      <c r="AJ1272" s="9" t="s">
        <v>0</v>
      </c>
      <c r="AK1272" s="7" t="s">
        <v>61</v>
      </c>
      <c r="AL1272" s="7" t="s">
        <v>61</v>
      </c>
      <c r="AM1272" s="7" t="s">
        <v>0</v>
      </c>
      <c r="AN1272" s="7" t="s">
        <v>0</v>
      </c>
      <c r="AO1272" s="7" t="s">
        <v>0</v>
      </c>
      <c r="AP1272" s="7" t="s">
        <v>0</v>
      </c>
      <c r="AQ1272" s="7" t="s">
        <v>61</v>
      </c>
      <c r="AR1272" s="7" t="s">
        <v>0</v>
      </c>
      <c r="AS1272" s="10" t="str">
        <f>HYPERLINK("https://tessa.gazprom-neft.local/edo/card/0591cfa9-9674-4b4d-9fee-7011098504ef", "https://tessa.gazprom-neft.local/edo/card/0591cfa9-9674-4b4d-9fee-7011098504ef")</f>
        <v>https://tessa.gazprom-neft.local/edo/card/0591cfa9-9674-4b4d-9fee-7011098504ef</v>
      </c>
    </row>
    <row r="1273" spans="1:45" hidden="1" x14ac:dyDescent="0.25">
      <c r="A1273" s="6" t="s">
        <v>44</v>
      </c>
      <c r="B1273" s="7" t="s">
        <v>1192</v>
      </c>
      <c r="C1273" s="7" t="s">
        <v>67</v>
      </c>
      <c r="D1273" s="8">
        <v>44964</v>
      </c>
      <c r="E1273" s="8" t="s">
        <v>0</v>
      </c>
      <c r="F1273" s="16" t="s">
        <v>1193</v>
      </c>
      <c r="G1273" s="7" t="s">
        <v>1194</v>
      </c>
      <c r="H1273" s="7" t="s">
        <v>0</v>
      </c>
      <c r="I1273" s="7" t="s">
        <v>1189</v>
      </c>
      <c r="J1273" s="7" t="s">
        <v>1189</v>
      </c>
      <c r="K1273" s="7" t="s">
        <v>85</v>
      </c>
      <c r="L1273" s="7" t="s">
        <v>86</v>
      </c>
      <c r="M1273" s="7" t="s">
        <v>289</v>
      </c>
      <c r="N1273" s="7" t="s">
        <v>1188</v>
      </c>
      <c r="O1273" s="7" t="s">
        <v>0</v>
      </c>
      <c r="P1273" s="7" t="s">
        <v>1190</v>
      </c>
      <c r="Q1273" s="7" t="s">
        <v>1191</v>
      </c>
      <c r="R1273" s="7" t="s">
        <v>393</v>
      </c>
      <c r="S1273" s="7" t="s">
        <v>679</v>
      </c>
      <c r="T1273" s="7" t="s">
        <v>54</v>
      </c>
      <c r="U1273" s="7" t="s">
        <v>362</v>
      </c>
      <c r="V1273" s="7" t="s">
        <v>340</v>
      </c>
      <c r="W1273" s="7" t="s">
        <v>74</v>
      </c>
      <c r="X1273" s="7" t="s">
        <v>58</v>
      </c>
      <c r="Y1273" s="8">
        <v>44964</v>
      </c>
      <c r="Z1273" s="8" t="s">
        <v>0</v>
      </c>
      <c r="AA1273" s="7" t="s">
        <v>341</v>
      </c>
      <c r="AB1273" s="7" t="s">
        <v>300</v>
      </c>
      <c r="AC1273" s="7" t="s">
        <v>65</v>
      </c>
      <c r="AD1273" s="7" t="s">
        <v>0</v>
      </c>
      <c r="AE1273" s="7" t="s">
        <v>0</v>
      </c>
      <c r="AF1273" s="7" t="s">
        <v>0</v>
      </c>
      <c r="AG1273" s="7" t="s">
        <v>0</v>
      </c>
      <c r="AH1273" s="9" t="s">
        <v>0</v>
      </c>
      <c r="AI1273" s="9" t="s">
        <v>0</v>
      </c>
      <c r="AJ1273" s="9" t="s">
        <v>0</v>
      </c>
      <c r="AK1273" s="7" t="s">
        <v>61</v>
      </c>
      <c r="AL1273" s="7" t="s">
        <v>61</v>
      </c>
      <c r="AM1273" s="7" t="s">
        <v>0</v>
      </c>
      <c r="AN1273" s="7" t="s">
        <v>0</v>
      </c>
      <c r="AO1273" s="7" t="s">
        <v>0</v>
      </c>
      <c r="AP1273" s="7" t="s">
        <v>0</v>
      </c>
      <c r="AQ1273" s="7" t="s">
        <v>61</v>
      </c>
      <c r="AR1273" s="7" t="s">
        <v>0</v>
      </c>
      <c r="AS1273" s="10" t="str">
        <f>HYPERLINK("https://tessa.gazprom-neft.local/edo/card/db871de9-52ca-4b42-9231-ab06111595f4", "https://tessa.gazprom-neft.local/edo/card/db871de9-52ca-4b42-9231-ab06111595f4")</f>
        <v>https://tessa.gazprom-neft.local/edo/card/db871de9-52ca-4b42-9231-ab06111595f4</v>
      </c>
    </row>
    <row r="1274" spans="1:45" hidden="1" x14ac:dyDescent="0.25">
      <c r="A1274" s="6" t="s">
        <v>44</v>
      </c>
      <c r="B1274" s="7" t="s">
        <v>1216</v>
      </c>
      <c r="C1274" s="7" t="s">
        <v>67</v>
      </c>
      <c r="D1274" s="8">
        <v>44964</v>
      </c>
      <c r="E1274" s="8" t="s">
        <v>0</v>
      </c>
      <c r="F1274" s="16" t="s">
        <v>1217</v>
      </c>
      <c r="G1274" s="7" t="s">
        <v>1218</v>
      </c>
      <c r="H1274" s="7" t="s">
        <v>0</v>
      </c>
      <c r="I1274" s="7" t="s">
        <v>1213</v>
      </c>
      <c r="J1274" s="7" t="s">
        <v>1213</v>
      </c>
      <c r="K1274" s="7" t="s">
        <v>85</v>
      </c>
      <c r="L1274" s="7" t="s">
        <v>86</v>
      </c>
      <c r="M1274" s="7" t="s">
        <v>289</v>
      </c>
      <c r="N1274" s="7" t="s">
        <v>1212</v>
      </c>
      <c r="O1274" s="7" t="s">
        <v>0</v>
      </c>
      <c r="P1274" s="7" t="s">
        <v>1214</v>
      </c>
      <c r="Q1274" s="7" t="s">
        <v>1215</v>
      </c>
      <c r="R1274" s="7" t="s">
        <v>393</v>
      </c>
      <c r="S1274" s="7" t="s">
        <v>209</v>
      </c>
      <c r="T1274" s="7" t="s">
        <v>54</v>
      </c>
      <c r="U1274" s="7" t="s">
        <v>210</v>
      </c>
      <c r="V1274" s="7" t="s">
        <v>340</v>
      </c>
      <c r="W1274" s="7" t="s">
        <v>74</v>
      </c>
      <c r="X1274" s="7" t="s">
        <v>58</v>
      </c>
      <c r="Y1274" s="8">
        <v>44964</v>
      </c>
      <c r="Z1274" s="8" t="s">
        <v>0</v>
      </c>
      <c r="AA1274" s="7" t="s">
        <v>341</v>
      </c>
      <c r="AB1274" s="7" t="s">
        <v>300</v>
      </c>
      <c r="AC1274" s="7" t="s">
        <v>65</v>
      </c>
      <c r="AD1274" s="7" t="s">
        <v>0</v>
      </c>
      <c r="AE1274" s="7" t="s">
        <v>0</v>
      </c>
      <c r="AF1274" s="7" t="s">
        <v>0</v>
      </c>
      <c r="AG1274" s="7" t="s">
        <v>0</v>
      </c>
      <c r="AH1274" s="9" t="s">
        <v>0</v>
      </c>
      <c r="AI1274" s="9" t="s">
        <v>0</v>
      </c>
      <c r="AJ1274" s="9" t="s">
        <v>0</v>
      </c>
      <c r="AK1274" s="7" t="s">
        <v>61</v>
      </c>
      <c r="AL1274" s="7" t="s">
        <v>61</v>
      </c>
      <c r="AM1274" s="7" t="s">
        <v>0</v>
      </c>
      <c r="AN1274" s="7" t="s">
        <v>0</v>
      </c>
      <c r="AO1274" s="7" t="s">
        <v>0</v>
      </c>
      <c r="AP1274" s="7" t="s">
        <v>0</v>
      </c>
      <c r="AQ1274" s="7" t="s">
        <v>61</v>
      </c>
      <c r="AR1274" s="7" t="s">
        <v>0</v>
      </c>
      <c r="AS1274" s="10" t="str">
        <f>HYPERLINK("https://tessa.gazprom-neft.local/edo/card/2fc7660f-4453-4a5f-a04c-872a689fd9f6", "https://tessa.gazprom-neft.local/edo/card/2fc7660f-4453-4a5f-a04c-872a689fd9f6")</f>
        <v>https://tessa.gazprom-neft.local/edo/card/2fc7660f-4453-4a5f-a04c-872a689fd9f6</v>
      </c>
    </row>
    <row r="1275" spans="1:45" hidden="1" x14ac:dyDescent="0.25">
      <c r="A1275" s="6" t="s">
        <v>44</v>
      </c>
      <c r="B1275" s="7" t="s">
        <v>620</v>
      </c>
      <c r="C1275" s="7" t="s">
        <v>67</v>
      </c>
      <c r="D1275" s="8">
        <v>44964</v>
      </c>
      <c r="E1275" s="8" t="s">
        <v>0</v>
      </c>
      <c r="F1275" s="16" t="s">
        <v>621</v>
      </c>
      <c r="G1275" s="7" t="s">
        <v>622</v>
      </c>
      <c r="H1275" s="7" t="s">
        <v>0</v>
      </c>
      <c r="I1275" s="7" t="s">
        <v>1226</v>
      </c>
      <c r="J1275" s="7" t="s">
        <v>1226</v>
      </c>
      <c r="K1275" s="7" t="s">
        <v>85</v>
      </c>
      <c r="L1275" s="7" t="s">
        <v>86</v>
      </c>
      <c r="M1275" s="7" t="s">
        <v>289</v>
      </c>
      <c r="N1275" s="7" t="s">
        <v>1225</v>
      </c>
      <c r="O1275" s="7" t="s">
        <v>0</v>
      </c>
      <c r="P1275" s="7" t="s">
        <v>1227</v>
      </c>
      <c r="Q1275" s="7" t="s">
        <v>1228</v>
      </c>
      <c r="R1275" s="7" t="s">
        <v>393</v>
      </c>
      <c r="S1275" s="7" t="s">
        <v>209</v>
      </c>
      <c r="T1275" s="7" t="s">
        <v>54</v>
      </c>
      <c r="U1275" s="7" t="s">
        <v>210</v>
      </c>
      <c r="V1275" s="7" t="s">
        <v>340</v>
      </c>
      <c r="W1275" s="7" t="s">
        <v>74</v>
      </c>
      <c r="X1275" s="7" t="s">
        <v>58</v>
      </c>
      <c r="Y1275" s="8">
        <v>44964</v>
      </c>
      <c r="Z1275" s="8" t="s">
        <v>0</v>
      </c>
      <c r="AA1275" s="7" t="s">
        <v>341</v>
      </c>
      <c r="AB1275" s="7" t="s">
        <v>300</v>
      </c>
      <c r="AC1275" s="7" t="s">
        <v>65</v>
      </c>
      <c r="AD1275" s="7" t="s">
        <v>0</v>
      </c>
      <c r="AE1275" s="7" t="s">
        <v>0</v>
      </c>
      <c r="AF1275" s="7" t="s">
        <v>0</v>
      </c>
      <c r="AG1275" s="7" t="s">
        <v>0</v>
      </c>
      <c r="AH1275" s="9" t="s">
        <v>0</v>
      </c>
      <c r="AI1275" s="9" t="s">
        <v>0</v>
      </c>
      <c r="AJ1275" s="9" t="s">
        <v>0</v>
      </c>
      <c r="AK1275" s="7" t="s">
        <v>61</v>
      </c>
      <c r="AL1275" s="7" t="s">
        <v>61</v>
      </c>
      <c r="AM1275" s="7" t="s">
        <v>0</v>
      </c>
      <c r="AN1275" s="7" t="s">
        <v>0</v>
      </c>
      <c r="AO1275" s="7" t="s">
        <v>0</v>
      </c>
      <c r="AP1275" s="7" t="s">
        <v>0</v>
      </c>
      <c r="AQ1275" s="7" t="s">
        <v>61</v>
      </c>
      <c r="AR1275" s="7" t="s">
        <v>0</v>
      </c>
      <c r="AS1275" s="10" t="str">
        <f>HYPERLINK("https://tessa.gazprom-neft.local/edo/card/88a54d1e-1fbb-48d0-b707-95a9e12493cd", "https://tessa.gazprom-neft.local/edo/card/88a54d1e-1fbb-48d0-b707-95a9e12493cd")</f>
        <v>https://tessa.gazprom-neft.local/edo/card/88a54d1e-1fbb-48d0-b707-95a9e12493cd</v>
      </c>
    </row>
    <row r="1276" spans="1:45" hidden="1" x14ac:dyDescent="0.25">
      <c r="A1276" s="6" t="s">
        <v>44</v>
      </c>
      <c r="B1276" s="7" t="s">
        <v>4911</v>
      </c>
      <c r="C1276" s="7" t="s">
        <v>67</v>
      </c>
      <c r="D1276" s="8">
        <v>44964</v>
      </c>
      <c r="E1276" s="8" t="s">
        <v>0</v>
      </c>
      <c r="F1276" s="16" t="s">
        <v>4912</v>
      </c>
      <c r="G1276" s="7" t="s">
        <v>4913</v>
      </c>
      <c r="H1276" s="7" t="s">
        <v>0</v>
      </c>
      <c r="I1276" s="7" t="s">
        <v>9615</v>
      </c>
      <c r="J1276" s="7" t="s">
        <v>9615</v>
      </c>
      <c r="K1276" s="7" t="s">
        <v>47</v>
      </c>
      <c r="L1276" s="7" t="s">
        <v>86</v>
      </c>
      <c r="M1276" s="7" t="s">
        <v>0</v>
      </c>
      <c r="N1276" s="7" t="s">
        <v>9614</v>
      </c>
      <c r="O1276" s="7" t="s">
        <v>0</v>
      </c>
      <c r="P1276" s="7" t="s">
        <v>4907</v>
      </c>
      <c r="Q1276" s="7" t="s">
        <v>4908</v>
      </c>
      <c r="R1276" s="7" t="s">
        <v>604</v>
      </c>
      <c r="S1276" s="7" t="s">
        <v>604</v>
      </c>
      <c r="T1276" s="7" t="s">
        <v>54</v>
      </c>
      <c r="U1276" s="7" t="s">
        <v>605</v>
      </c>
      <c r="V1276" s="7" t="s">
        <v>340</v>
      </c>
      <c r="W1276" s="7" t="s">
        <v>57</v>
      </c>
      <c r="X1276" s="7" t="s">
        <v>58</v>
      </c>
      <c r="Y1276" s="8">
        <v>44958</v>
      </c>
      <c r="Z1276" s="8" t="s">
        <v>0</v>
      </c>
      <c r="AA1276" s="7" t="s">
        <v>341</v>
      </c>
      <c r="AB1276" s="7" t="s">
        <v>1694</v>
      </c>
      <c r="AC1276" s="7" t="s">
        <v>79</v>
      </c>
      <c r="AD1276" s="7" t="s">
        <v>80</v>
      </c>
      <c r="AE1276" s="7" t="s">
        <v>118</v>
      </c>
      <c r="AF1276" s="7" t="s">
        <v>0</v>
      </c>
      <c r="AG1276" s="7" t="s">
        <v>0</v>
      </c>
      <c r="AH1276" s="9" t="s">
        <v>14011</v>
      </c>
      <c r="AI1276" s="9" t="s">
        <v>14011</v>
      </c>
      <c r="AJ1276" s="9">
        <v>0</v>
      </c>
      <c r="AK1276" s="7" t="s">
        <v>61</v>
      </c>
      <c r="AL1276" s="7" t="s">
        <v>61</v>
      </c>
      <c r="AM1276" s="7" t="s">
        <v>0</v>
      </c>
      <c r="AN1276" s="7" t="s">
        <v>0</v>
      </c>
      <c r="AO1276" s="7" t="s">
        <v>0</v>
      </c>
      <c r="AP1276" s="7" t="s">
        <v>0</v>
      </c>
      <c r="AQ1276" s="7" t="s">
        <v>61</v>
      </c>
      <c r="AR1276" s="7" t="s">
        <v>0</v>
      </c>
      <c r="AS1276" s="10" t="str">
        <f>HYPERLINK("https://tessa.gazprom-neft.local/edo/card/5d25469f-1697-4caa-b47f-3cda0ff679d2", "https://tessa.gazprom-neft.local/edo/card/5d25469f-1697-4caa-b47f-3cda0ff679d2")</f>
        <v>https://tessa.gazprom-neft.local/edo/card/5d25469f-1697-4caa-b47f-3cda0ff679d2</v>
      </c>
    </row>
    <row r="1277" spans="1:45" hidden="1" x14ac:dyDescent="0.25">
      <c r="A1277" s="6" t="s">
        <v>44</v>
      </c>
      <c r="B1277" s="7" t="s">
        <v>927</v>
      </c>
      <c r="C1277" s="7" t="s">
        <v>67</v>
      </c>
      <c r="D1277" s="8">
        <v>44963</v>
      </c>
      <c r="E1277" s="8" t="s">
        <v>0</v>
      </c>
      <c r="F1277" s="16" t="s">
        <v>928</v>
      </c>
      <c r="G1277" s="7" t="s">
        <v>929</v>
      </c>
      <c r="H1277" s="7" t="s">
        <v>0</v>
      </c>
      <c r="I1277" s="7" t="s">
        <v>924</v>
      </c>
      <c r="J1277" s="7" t="s">
        <v>924</v>
      </c>
      <c r="K1277" s="7" t="s">
        <v>85</v>
      </c>
      <c r="L1277" s="7" t="s">
        <v>96</v>
      </c>
      <c r="M1277" s="7" t="s">
        <v>616</v>
      </c>
      <c r="N1277" s="7" t="s">
        <v>923</v>
      </c>
      <c r="O1277" s="7" t="s">
        <v>0</v>
      </c>
      <c r="P1277" s="7" t="s">
        <v>925</v>
      </c>
      <c r="Q1277" s="7" t="s">
        <v>926</v>
      </c>
      <c r="R1277" s="7" t="s">
        <v>393</v>
      </c>
      <c r="S1277" s="7" t="s">
        <v>209</v>
      </c>
      <c r="T1277" s="7" t="s">
        <v>54</v>
      </c>
      <c r="U1277" s="7" t="s">
        <v>210</v>
      </c>
      <c r="V1277" s="7" t="s">
        <v>126</v>
      </c>
      <c r="W1277" s="7" t="s">
        <v>57</v>
      </c>
      <c r="X1277" s="7" t="s">
        <v>103</v>
      </c>
      <c r="Y1277" s="8">
        <v>44963</v>
      </c>
      <c r="Z1277" s="8">
        <v>45747</v>
      </c>
      <c r="AA1277" s="7" t="s">
        <v>224</v>
      </c>
      <c r="AB1277" s="7" t="s">
        <v>130</v>
      </c>
      <c r="AC1277" s="7" t="s">
        <v>79</v>
      </c>
      <c r="AD1277" s="7" t="s">
        <v>80</v>
      </c>
      <c r="AE1277" s="7" t="s">
        <v>82</v>
      </c>
      <c r="AF1277" s="7" t="s">
        <v>0</v>
      </c>
      <c r="AG1277" s="7" t="s">
        <v>930</v>
      </c>
      <c r="AH1277" s="9" t="s">
        <v>10861</v>
      </c>
      <c r="AI1277" s="9" t="s">
        <v>10862</v>
      </c>
      <c r="AJ1277" s="9" t="s">
        <v>10863</v>
      </c>
      <c r="AK1277" s="7" t="s">
        <v>81</v>
      </c>
      <c r="AL1277" s="7" t="s">
        <v>61</v>
      </c>
      <c r="AM1277" s="7" t="s">
        <v>0</v>
      </c>
      <c r="AN1277" s="7" t="s">
        <v>0</v>
      </c>
      <c r="AO1277" s="7" t="s">
        <v>0</v>
      </c>
      <c r="AP1277" s="7" t="s">
        <v>0</v>
      </c>
      <c r="AQ1277" s="7" t="s">
        <v>61</v>
      </c>
      <c r="AR1277" s="7" t="s">
        <v>0</v>
      </c>
      <c r="AS1277" s="10" t="str">
        <f>HYPERLINK("https://tessa.gazprom-neft.local/edo/card/77fc692e-7534-4d5e-9de9-a1158f190282", "https://tessa.gazprom-neft.local/edo/card/77fc692e-7534-4d5e-9de9-a1158f190282")</f>
        <v>https://tessa.gazprom-neft.local/edo/card/77fc692e-7534-4d5e-9de9-a1158f190282</v>
      </c>
    </row>
    <row r="1278" spans="1:45" hidden="1" x14ac:dyDescent="0.25">
      <c r="A1278" s="6" t="s">
        <v>44</v>
      </c>
      <c r="B1278" s="7" t="s">
        <v>1067</v>
      </c>
      <c r="C1278" s="7" t="s">
        <v>67</v>
      </c>
      <c r="D1278" s="8">
        <v>44963</v>
      </c>
      <c r="E1278" s="8" t="s">
        <v>0</v>
      </c>
      <c r="F1278" s="16" t="s">
        <v>1068</v>
      </c>
      <c r="G1278" s="7" t="s">
        <v>1069</v>
      </c>
      <c r="H1278" s="7" t="s">
        <v>0</v>
      </c>
      <c r="I1278" s="7" t="s">
        <v>1064</v>
      </c>
      <c r="J1278" s="7" t="s">
        <v>1064</v>
      </c>
      <c r="K1278" s="7" t="s">
        <v>47</v>
      </c>
      <c r="L1278" s="7" t="s">
        <v>86</v>
      </c>
      <c r="M1278" s="7" t="s">
        <v>0</v>
      </c>
      <c r="N1278" s="7" t="s">
        <v>1063</v>
      </c>
      <c r="O1278" s="7" t="s">
        <v>0</v>
      </c>
      <c r="P1278" s="7" t="s">
        <v>1065</v>
      </c>
      <c r="Q1278" s="7" t="s">
        <v>1065</v>
      </c>
      <c r="R1278" s="7" t="s">
        <v>1066</v>
      </c>
      <c r="S1278" s="7" t="s">
        <v>0</v>
      </c>
      <c r="T1278" s="7" t="s">
        <v>54</v>
      </c>
      <c r="U1278" s="7" t="s">
        <v>136</v>
      </c>
      <c r="V1278" s="7" t="s">
        <v>308</v>
      </c>
      <c r="W1278" s="7" t="s">
        <v>74</v>
      </c>
      <c r="X1278" s="7" t="s">
        <v>103</v>
      </c>
      <c r="Y1278" s="8">
        <v>44963</v>
      </c>
      <c r="Z1278" s="8">
        <v>46752</v>
      </c>
      <c r="AA1278" s="7" t="s">
        <v>309</v>
      </c>
      <c r="AB1278" s="7" t="s">
        <v>228</v>
      </c>
      <c r="AC1278" s="7" t="s">
        <v>65</v>
      </c>
      <c r="AD1278" s="7" t="s">
        <v>0</v>
      </c>
      <c r="AE1278" s="7" t="s">
        <v>0</v>
      </c>
      <c r="AF1278" s="7" t="s">
        <v>0</v>
      </c>
      <c r="AG1278" s="7" t="s">
        <v>0</v>
      </c>
      <c r="AH1278" s="9" t="s">
        <v>0</v>
      </c>
      <c r="AI1278" s="9" t="s">
        <v>0</v>
      </c>
      <c r="AJ1278" s="9" t="s">
        <v>0</v>
      </c>
      <c r="AK1278" s="7" t="s">
        <v>61</v>
      </c>
      <c r="AL1278" s="7" t="s">
        <v>61</v>
      </c>
      <c r="AM1278" s="7" t="s">
        <v>0</v>
      </c>
      <c r="AN1278" s="7" t="s">
        <v>0</v>
      </c>
      <c r="AO1278" s="7" t="s">
        <v>0</v>
      </c>
      <c r="AP1278" s="7" t="s">
        <v>0</v>
      </c>
      <c r="AQ1278" s="7" t="s">
        <v>61</v>
      </c>
      <c r="AR1278" s="7" t="s">
        <v>0</v>
      </c>
      <c r="AS1278" s="10" t="str">
        <f>HYPERLINK("https://tessa.gazprom-neft.local/edo/card/21004748-b151-45fc-b34a-ef27a8c023fd", "https://tessa.gazprom-neft.local/edo/card/21004748-b151-45fc-b34a-ef27a8c023fd")</f>
        <v>https://tessa.gazprom-neft.local/edo/card/21004748-b151-45fc-b34a-ef27a8c023fd</v>
      </c>
    </row>
    <row r="1279" spans="1:45" x14ac:dyDescent="0.25">
      <c r="A1279" s="6" t="s">
        <v>44</v>
      </c>
      <c r="B1279" s="7" t="s">
        <v>1147</v>
      </c>
      <c r="C1279" s="7" t="s">
        <v>67</v>
      </c>
      <c r="D1279" s="8">
        <v>44963</v>
      </c>
      <c r="E1279" s="8" t="s">
        <v>0</v>
      </c>
      <c r="F1279" s="16" t="s">
        <v>1148</v>
      </c>
      <c r="G1279" s="7" t="s">
        <v>1149</v>
      </c>
      <c r="H1279" s="7" t="s">
        <v>1145</v>
      </c>
      <c r="I1279" s="7" t="s">
        <v>0</v>
      </c>
      <c r="J1279" s="7" t="s">
        <v>51</v>
      </c>
      <c r="K1279" s="7" t="s">
        <v>47</v>
      </c>
      <c r="L1279" s="7" t="s">
        <v>48</v>
      </c>
      <c r="M1279" s="7" t="s">
        <v>0</v>
      </c>
      <c r="N1279" s="7" t="s">
        <v>1144</v>
      </c>
      <c r="O1279" s="7" t="s">
        <v>0</v>
      </c>
      <c r="P1279" s="7" t="s">
        <v>50</v>
      </c>
      <c r="Q1279" s="7" t="s">
        <v>1146</v>
      </c>
      <c r="R1279" s="7" t="s">
        <v>898</v>
      </c>
      <c r="S1279" s="7" t="s">
        <v>898</v>
      </c>
      <c r="T1279" s="7" t="s">
        <v>54</v>
      </c>
      <c r="U1279" s="7" t="s">
        <v>899</v>
      </c>
      <c r="V1279" s="7" t="s">
        <v>126</v>
      </c>
      <c r="W1279" s="7" t="s">
        <v>74</v>
      </c>
      <c r="X1279" s="7" t="s">
        <v>58</v>
      </c>
      <c r="Y1279" s="8">
        <v>44963</v>
      </c>
      <c r="Z1279" s="8" t="s">
        <v>0</v>
      </c>
      <c r="AA1279" s="7" t="s">
        <v>224</v>
      </c>
      <c r="AB1279" s="7" t="s">
        <v>130</v>
      </c>
      <c r="AC1279" s="7" t="s">
        <v>65</v>
      </c>
      <c r="AD1279" s="7" t="s">
        <v>80</v>
      </c>
      <c r="AE1279" s="7" t="s">
        <v>0</v>
      </c>
      <c r="AF1279" s="7" t="s">
        <v>0</v>
      </c>
      <c r="AG1279" s="7" t="s">
        <v>0</v>
      </c>
      <c r="AH1279" s="9" t="s">
        <v>0</v>
      </c>
      <c r="AI1279" s="9" t="s">
        <v>0</v>
      </c>
      <c r="AJ1279" s="9" t="s">
        <v>0</v>
      </c>
      <c r="AK1279" s="7" t="s">
        <v>61</v>
      </c>
      <c r="AL1279" s="7" t="s">
        <v>61</v>
      </c>
      <c r="AM1279" s="7" t="s">
        <v>0</v>
      </c>
      <c r="AN1279" s="7" t="s">
        <v>0</v>
      </c>
      <c r="AO1279" s="7" t="s">
        <v>0</v>
      </c>
      <c r="AP1279" s="7" t="s">
        <v>0</v>
      </c>
      <c r="AQ1279" s="7" t="s">
        <v>61</v>
      </c>
      <c r="AR1279" s="7" t="s">
        <v>0</v>
      </c>
      <c r="AS1279" s="10" t="str">
        <f>HYPERLINK("https://tessa.gazprom-neft.local/edo/card/1620bc2c-136b-47b8-97e4-6722e0515b5c", "https://tessa.gazprom-neft.local/edo/card/1620bc2c-136b-47b8-97e4-6722e0515b5c")</f>
        <v>https://tessa.gazprom-neft.local/edo/card/1620bc2c-136b-47b8-97e4-6722e0515b5c</v>
      </c>
    </row>
    <row r="1280" spans="1:45" hidden="1" x14ac:dyDescent="0.25">
      <c r="A1280" s="6" t="s">
        <v>44</v>
      </c>
      <c r="B1280" s="7" t="s">
        <v>582</v>
      </c>
      <c r="C1280" s="7" t="s">
        <v>67</v>
      </c>
      <c r="D1280" s="8">
        <v>44963</v>
      </c>
      <c r="E1280" s="8" t="s">
        <v>0</v>
      </c>
      <c r="F1280" s="16" t="s">
        <v>583</v>
      </c>
      <c r="G1280" s="7" t="s">
        <v>584</v>
      </c>
      <c r="H1280" s="7" t="s">
        <v>580</v>
      </c>
      <c r="I1280" s="7" t="s">
        <v>0</v>
      </c>
      <c r="J1280" s="7" t="s">
        <v>51</v>
      </c>
      <c r="K1280" s="7" t="s">
        <v>47</v>
      </c>
      <c r="L1280" s="7" t="s">
        <v>709</v>
      </c>
      <c r="M1280" s="7" t="s">
        <v>0</v>
      </c>
      <c r="N1280" s="7" t="s">
        <v>1361</v>
      </c>
      <c r="O1280" s="7" t="s">
        <v>0</v>
      </c>
      <c r="P1280" s="7" t="s">
        <v>1362</v>
      </c>
      <c r="Q1280" s="7" t="s">
        <v>1363</v>
      </c>
      <c r="R1280" s="7" t="s">
        <v>282</v>
      </c>
      <c r="S1280" s="7" t="s">
        <v>0</v>
      </c>
      <c r="T1280" s="7" t="s">
        <v>54</v>
      </c>
      <c r="U1280" s="7" t="s">
        <v>55</v>
      </c>
      <c r="V1280" s="7" t="s">
        <v>846</v>
      </c>
      <c r="W1280" s="7" t="s">
        <v>74</v>
      </c>
      <c r="X1280" s="7" t="s">
        <v>103</v>
      </c>
      <c r="Y1280" s="8">
        <v>44963</v>
      </c>
      <c r="Z1280" s="8">
        <v>45291</v>
      </c>
      <c r="AA1280" s="7" t="s">
        <v>847</v>
      </c>
      <c r="AB1280" s="7" t="s">
        <v>585</v>
      </c>
      <c r="AC1280" s="7" t="s">
        <v>79</v>
      </c>
      <c r="AD1280" s="7" t="s">
        <v>144</v>
      </c>
      <c r="AE1280" s="7" t="s">
        <v>82</v>
      </c>
      <c r="AF1280" s="7" t="s">
        <v>0</v>
      </c>
      <c r="AG1280" s="7" t="s">
        <v>0</v>
      </c>
      <c r="AH1280" s="9" t="s">
        <v>11006</v>
      </c>
      <c r="AI1280" s="9" t="s">
        <v>11007</v>
      </c>
      <c r="AJ1280" s="9" t="s">
        <v>11008</v>
      </c>
      <c r="AK1280" s="7" t="s">
        <v>61</v>
      </c>
      <c r="AL1280" s="7" t="s">
        <v>61</v>
      </c>
      <c r="AM1280" s="7" t="s">
        <v>0</v>
      </c>
      <c r="AN1280" s="7" t="s">
        <v>0</v>
      </c>
      <c r="AO1280" s="7" t="s">
        <v>0</v>
      </c>
      <c r="AP1280" s="7" t="s">
        <v>0</v>
      </c>
      <c r="AQ1280" s="7" t="s">
        <v>61</v>
      </c>
      <c r="AR1280" s="7" t="s">
        <v>0</v>
      </c>
      <c r="AS1280" s="10" t="str">
        <f>HYPERLINK("https://tessa.gazprom-neft.local/edo/card/5b4566c1-7f78-40ed-9cc6-554f1050491e", "https://tessa.gazprom-neft.local/edo/card/5b4566c1-7f78-40ed-9cc6-554f1050491e")</f>
        <v>https://tessa.gazprom-neft.local/edo/card/5b4566c1-7f78-40ed-9cc6-554f1050491e</v>
      </c>
    </row>
    <row r="1281" spans="1:45" x14ac:dyDescent="0.25">
      <c r="A1281" s="6" t="s">
        <v>44</v>
      </c>
      <c r="B1281" s="7" t="s">
        <v>661</v>
      </c>
      <c r="C1281" s="7" t="s">
        <v>67</v>
      </c>
      <c r="D1281" s="8">
        <v>44963</v>
      </c>
      <c r="E1281" s="8" t="s">
        <v>0</v>
      </c>
      <c r="F1281" s="16" t="s">
        <v>662</v>
      </c>
      <c r="G1281" s="7" t="s">
        <v>663</v>
      </c>
      <c r="H1281" s="7" t="s">
        <v>1478</v>
      </c>
      <c r="I1281" s="7" t="s">
        <v>0</v>
      </c>
      <c r="J1281" s="7" t="s">
        <v>51</v>
      </c>
      <c r="K1281" s="7" t="s">
        <v>47</v>
      </c>
      <c r="L1281" s="7" t="s">
        <v>48</v>
      </c>
      <c r="M1281" s="7" t="s">
        <v>0</v>
      </c>
      <c r="N1281" s="7" t="s">
        <v>1477</v>
      </c>
      <c r="O1281" s="7" t="s">
        <v>0</v>
      </c>
      <c r="P1281" s="7" t="s">
        <v>1479</v>
      </c>
      <c r="Q1281" s="7" t="s">
        <v>1480</v>
      </c>
      <c r="R1281" s="7" t="s">
        <v>1481</v>
      </c>
      <c r="S1281" s="7" t="s">
        <v>1481</v>
      </c>
      <c r="T1281" s="7" t="s">
        <v>54</v>
      </c>
      <c r="U1281" s="7" t="s">
        <v>777</v>
      </c>
      <c r="V1281" s="7" t="s">
        <v>308</v>
      </c>
      <c r="W1281" s="7" t="s">
        <v>74</v>
      </c>
      <c r="X1281" s="7" t="s">
        <v>103</v>
      </c>
      <c r="Y1281" s="8">
        <v>44963</v>
      </c>
      <c r="Z1281" s="8">
        <v>45291</v>
      </c>
      <c r="AA1281" s="7" t="s">
        <v>309</v>
      </c>
      <c r="AB1281" s="7" t="s">
        <v>64</v>
      </c>
      <c r="AC1281" s="7" t="s">
        <v>79</v>
      </c>
      <c r="AD1281" s="7" t="s">
        <v>80</v>
      </c>
      <c r="AE1281" s="7" t="s">
        <v>82</v>
      </c>
      <c r="AF1281" s="7" t="s">
        <v>0</v>
      </c>
      <c r="AG1281" s="7" t="s">
        <v>0</v>
      </c>
      <c r="AH1281" s="9" t="s">
        <v>11038</v>
      </c>
      <c r="AI1281" s="9" t="s">
        <v>11039</v>
      </c>
      <c r="AJ1281" s="9" t="s">
        <v>11040</v>
      </c>
      <c r="AK1281" s="7" t="s">
        <v>61</v>
      </c>
      <c r="AL1281" s="7" t="s">
        <v>61</v>
      </c>
      <c r="AM1281" s="7" t="s">
        <v>0</v>
      </c>
      <c r="AN1281" s="7" t="s">
        <v>0</v>
      </c>
      <c r="AO1281" s="7" t="s">
        <v>0</v>
      </c>
      <c r="AP1281" s="7" t="s">
        <v>0</v>
      </c>
      <c r="AQ1281" s="7" t="s">
        <v>61</v>
      </c>
      <c r="AR1281" s="7" t="s">
        <v>0</v>
      </c>
      <c r="AS1281" s="10" t="str">
        <f>HYPERLINK("https://tessa.gazprom-neft.local/edo/card/a315b886-91e2-41fb-95de-481e3f578fb3", "https://tessa.gazprom-neft.local/edo/card/a315b886-91e2-41fb-95de-481e3f578fb3")</f>
        <v>https://tessa.gazprom-neft.local/edo/card/a315b886-91e2-41fb-95de-481e3f578fb3</v>
      </c>
    </row>
    <row r="1282" spans="1:45" hidden="1" x14ac:dyDescent="0.25">
      <c r="A1282" s="6" t="s">
        <v>44</v>
      </c>
      <c r="B1282" s="7" t="s">
        <v>927</v>
      </c>
      <c r="C1282" s="7" t="s">
        <v>67</v>
      </c>
      <c r="D1282" s="8">
        <v>44963</v>
      </c>
      <c r="E1282" s="8" t="s">
        <v>0</v>
      </c>
      <c r="F1282" s="16" t="s">
        <v>928</v>
      </c>
      <c r="G1282" s="7" t="s">
        <v>929</v>
      </c>
      <c r="H1282" s="7" t="s">
        <v>2533</v>
      </c>
      <c r="I1282" s="7" t="s">
        <v>0</v>
      </c>
      <c r="J1282" s="7" t="s">
        <v>2535</v>
      </c>
      <c r="K1282" s="7" t="s">
        <v>47</v>
      </c>
      <c r="L1282" s="7" t="s">
        <v>2474</v>
      </c>
      <c r="M1282" s="7" t="s">
        <v>0</v>
      </c>
      <c r="N1282" s="7" t="s">
        <v>2532</v>
      </c>
      <c r="O1282" s="7" t="s">
        <v>0</v>
      </c>
      <c r="P1282" s="7" t="s">
        <v>2534</v>
      </c>
      <c r="Q1282" s="7" t="s">
        <v>2536</v>
      </c>
      <c r="R1282" s="7" t="s">
        <v>393</v>
      </c>
      <c r="S1282" s="7" t="s">
        <v>0</v>
      </c>
      <c r="T1282" s="7" t="s">
        <v>54</v>
      </c>
      <c r="U1282" s="7" t="s">
        <v>210</v>
      </c>
      <c r="V1282" s="7" t="s">
        <v>126</v>
      </c>
      <c r="W1282" s="7" t="s">
        <v>57</v>
      </c>
      <c r="X1282" s="7" t="s">
        <v>103</v>
      </c>
      <c r="Y1282" s="8">
        <v>44963</v>
      </c>
      <c r="Z1282" s="8">
        <v>45747</v>
      </c>
      <c r="AA1282" s="7" t="s">
        <v>224</v>
      </c>
      <c r="AB1282" s="7" t="s">
        <v>130</v>
      </c>
      <c r="AC1282" s="7" t="s">
        <v>65</v>
      </c>
      <c r="AD1282" s="7" t="s">
        <v>80</v>
      </c>
      <c r="AE1282" s="7" t="s">
        <v>0</v>
      </c>
      <c r="AF1282" s="7" t="s">
        <v>0</v>
      </c>
      <c r="AG1282" s="7" t="s">
        <v>0</v>
      </c>
      <c r="AH1282" s="9" t="s">
        <v>0</v>
      </c>
      <c r="AI1282" s="9" t="s">
        <v>0</v>
      </c>
      <c r="AJ1282" s="9" t="s">
        <v>0</v>
      </c>
      <c r="AK1282" s="7" t="s">
        <v>61</v>
      </c>
      <c r="AL1282" s="7" t="s">
        <v>61</v>
      </c>
      <c r="AM1282" s="7" t="s">
        <v>0</v>
      </c>
      <c r="AN1282" s="7" t="s">
        <v>0</v>
      </c>
      <c r="AO1282" s="7" t="s">
        <v>0</v>
      </c>
      <c r="AP1282" s="7" t="s">
        <v>0</v>
      </c>
      <c r="AQ1282" s="7" t="s">
        <v>61</v>
      </c>
      <c r="AR1282" s="7" t="s">
        <v>0</v>
      </c>
      <c r="AS1282" s="10" t="str">
        <f>HYPERLINK("https://tessa.gazprom-neft.local/edo/card/4d024dab-1c8e-4789-9b79-a659fcc99ea5", "https://tessa.gazprom-neft.local/edo/card/4d024dab-1c8e-4789-9b79-a659fcc99ea5")</f>
        <v>https://tessa.gazprom-neft.local/edo/card/4d024dab-1c8e-4789-9b79-a659fcc99ea5</v>
      </c>
    </row>
    <row r="1283" spans="1:45" x14ac:dyDescent="0.25">
      <c r="A1283" s="6" t="s">
        <v>44</v>
      </c>
      <c r="B1283" s="7" t="s">
        <v>542</v>
      </c>
      <c r="C1283" s="7" t="s">
        <v>67</v>
      </c>
      <c r="D1283" s="8">
        <v>44959</v>
      </c>
      <c r="E1283" s="8" t="s">
        <v>0</v>
      </c>
      <c r="F1283" s="16" t="s">
        <v>543</v>
      </c>
      <c r="G1283" s="7" t="s">
        <v>544</v>
      </c>
      <c r="H1283" s="7" t="s">
        <v>1289</v>
      </c>
      <c r="I1283" s="7" t="s">
        <v>0</v>
      </c>
      <c r="J1283" s="7" t="s">
        <v>51</v>
      </c>
      <c r="K1283" s="7" t="s">
        <v>47</v>
      </c>
      <c r="L1283" s="7" t="s">
        <v>48</v>
      </c>
      <c r="M1283" s="7" t="s">
        <v>0</v>
      </c>
      <c r="N1283" s="7" t="s">
        <v>1288</v>
      </c>
      <c r="O1283" s="7" t="s">
        <v>0</v>
      </c>
      <c r="P1283" s="7" t="s">
        <v>1290</v>
      </c>
      <c r="Q1283" s="7" t="s">
        <v>1291</v>
      </c>
      <c r="R1283" s="7" t="s">
        <v>540</v>
      </c>
      <c r="S1283" s="7" t="s">
        <v>0</v>
      </c>
      <c r="T1283" s="7" t="s">
        <v>54</v>
      </c>
      <c r="U1283" s="7" t="s">
        <v>541</v>
      </c>
      <c r="V1283" s="7" t="s">
        <v>56</v>
      </c>
      <c r="W1283" s="7" t="s">
        <v>57</v>
      </c>
      <c r="X1283" s="7" t="s">
        <v>223</v>
      </c>
      <c r="Y1283" s="8">
        <v>44959</v>
      </c>
      <c r="Z1283" s="8" t="s">
        <v>0</v>
      </c>
      <c r="AA1283" s="7" t="s">
        <v>59</v>
      </c>
      <c r="AB1283" s="7" t="s">
        <v>256</v>
      </c>
      <c r="AC1283" s="7" t="s">
        <v>65</v>
      </c>
      <c r="AD1283" s="7" t="s">
        <v>0</v>
      </c>
      <c r="AE1283" s="7" t="s">
        <v>0</v>
      </c>
      <c r="AF1283" s="7" t="s">
        <v>0</v>
      </c>
      <c r="AG1283" s="7" t="s">
        <v>0</v>
      </c>
      <c r="AH1283" s="9" t="s">
        <v>0</v>
      </c>
      <c r="AI1283" s="9" t="s">
        <v>0</v>
      </c>
      <c r="AJ1283" s="9" t="s">
        <v>0</v>
      </c>
      <c r="AK1283" s="7" t="s">
        <v>61</v>
      </c>
      <c r="AL1283" s="7" t="s">
        <v>61</v>
      </c>
      <c r="AM1283" s="7" t="s">
        <v>0</v>
      </c>
      <c r="AN1283" s="7" t="s">
        <v>0</v>
      </c>
      <c r="AO1283" s="7" t="s">
        <v>0</v>
      </c>
      <c r="AP1283" s="7" t="s">
        <v>0</v>
      </c>
      <c r="AQ1283" s="7" t="s">
        <v>61</v>
      </c>
      <c r="AR1283" s="7" t="s">
        <v>0</v>
      </c>
      <c r="AS1283" s="10" t="str">
        <f>HYPERLINK("https://tessa.gazprom-neft.local/edo/card/446e19f9-2a78-43f1-97f0-59a0c406ab7d", "https://tessa.gazprom-neft.local/edo/card/446e19f9-2a78-43f1-97f0-59a0c406ab7d")</f>
        <v>https://tessa.gazprom-neft.local/edo/card/446e19f9-2a78-43f1-97f0-59a0c406ab7d</v>
      </c>
    </row>
    <row r="1284" spans="1:45" x14ac:dyDescent="0.25">
      <c r="A1284" s="6" t="s">
        <v>44</v>
      </c>
      <c r="B1284" s="7" t="s">
        <v>647</v>
      </c>
      <c r="C1284" s="7" t="s">
        <v>67</v>
      </c>
      <c r="D1284" s="8">
        <v>44958</v>
      </c>
      <c r="E1284" s="8" t="s">
        <v>0</v>
      </c>
      <c r="F1284" s="16" t="s">
        <v>648</v>
      </c>
      <c r="G1284" s="7" t="s">
        <v>649</v>
      </c>
      <c r="H1284" s="7" t="s">
        <v>643</v>
      </c>
      <c r="I1284" s="7" t="s">
        <v>0</v>
      </c>
      <c r="J1284" s="7" t="s">
        <v>51</v>
      </c>
      <c r="K1284" s="7" t="s">
        <v>47</v>
      </c>
      <c r="L1284" s="7" t="s">
        <v>48</v>
      </c>
      <c r="M1284" s="7" t="s">
        <v>0</v>
      </c>
      <c r="N1284" s="7" t="s">
        <v>642</v>
      </c>
      <c r="O1284" s="7" t="s">
        <v>0</v>
      </c>
      <c r="P1284" s="7" t="s">
        <v>644</v>
      </c>
      <c r="Q1284" s="7" t="s">
        <v>645</v>
      </c>
      <c r="R1284" s="7" t="s">
        <v>646</v>
      </c>
      <c r="S1284" s="7" t="s">
        <v>0</v>
      </c>
      <c r="T1284" s="7" t="s">
        <v>54</v>
      </c>
      <c r="U1284" s="7" t="s">
        <v>362</v>
      </c>
      <c r="V1284" s="7" t="s">
        <v>56</v>
      </c>
      <c r="W1284" s="7" t="s">
        <v>74</v>
      </c>
      <c r="X1284" s="7" t="s">
        <v>103</v>
      </c>
      <c r="Y1284" s="8">
        <v>44958</v>
      </c>
      <c r="Z1284" s="8">
        <v>46387</v>
      </c>
      <c r="AA1284" s="7" t="s">
        <v>59</v>
      </c>
      <c r="AB1284" s="7" t="s">
        <v>130</v>
      </c>
      <c r="AC1284" s="7" t="s">
        <v>65</v>
      </c>
      <c r="AD1284" s="7" t="s">
        <v>144</v>
      </c>
      <c r="AE1284" s="7" t="s">
        <v>0</v>
      </c>
      <c r="AF1284" s="7" t="s">
        <v>0</v>
      </c>
      <c r="AG1284" s="7" t="s">
        <v>0</v>
      </c>
      <c r="AH1284" s="9" t="s">
        <v>0</v>
      </c>
      <c r="AI1284" s="9" t="s">
        <v>0</v>
      </c>
      <c r="AJ1284" s="9" t="s">
        <v>0</v>
      </c>
      <c r="AK1284" s="7" t="s">
        <v>61</v>
      </c>
      <c r="AL1284" s="7" t="s">
        <v>61</v>
      </c>
      <c r="AM1284" s="7" t="s">
        <v>0</v>
      </c>
      <c r="AN1284" s="7" t="s">
        <v>0</v>
      </c>
      <c r="AO1284" s="7" t="s">
        <v>0</v>
      </c>
      <c r="AP1284" s="7" t="s">
        <v>0</v>
      </c>
      <c r="AQ1284" s="7" t="s">
        <v>61</v>
      </c>
      <c r="AR1284" s="7" t="s">
        <v>0</v>
      </c>
      <c r="AS1284" s="10" t="str">
        <f>HYPERLINK("https://tessa.gazprom-neft.local/edo/card/eb3fbaca-59ab-44e9-b203-349be3f734aa", "https://tessa.gazprom-neft.local/edo/card/eb3fbaca-59ab-44e9-b203-349be3f734aa")</f>
        <v>https://tessa.gazprom-neft.local/edo/card/eb3fbaca-59ab-44e9-b203-349be3f734aa</v>
      </c>
    </row>
    <row r="1285" spans="1:45" x14ac:dyDescent="0.25">
      <c r="A1285" s="6" t="s">
        <v>44</v>
      </c>
      <c r="B1285" s="7" t="s">
        <v>705</v>
      </c>
      <c r="C1285" s="7" t="s">
        <v>67</v>
      </c>
      <c r="D1285" s="8">
        <v>44958</v>
      </c>
      <c r="E1285" s="8" t="s">
        <v>0</v>
      </c>
      <c r="F1285" s="16" t="s">
        <v>706</v>
      </c>
      <c r="G1285" s="7" t="s">
        <v>707</v>
      </c>
      <c r="H1285" s="7" t="s">
        <v>703</v>
      </c>
      <c r="I1285" s="7" t="s">
        <v>0</v>
      </c>
      <c r="J1285" s="7" t="s">
        <v>51</v>
      </c>
      <c r="K1285" s="7" t="s">
        <v>47</v>
      </c>
      <c r="L1285" s="7" t="s">
        <v>48</v>
      </c>
      <c r="M1285" s="7" t="s">
        <v>0</v>
      </c>
      <c r="N1285" s="7" t="s">
        <v>702</v>
      </c>
      <c r="O1285" s="7" t="s">
        <v>0</v>
      </c>
      <c r="P1285" s="7" t="s">
        <v>704</v>
      </c>
      <c r="Q1285" s="7" t="s">
        <v>645</v>
      </c>
      <c r="R1285" s="7" t="s">
        <v>646</v>
      </c>
      <c r="S1285" s="7" t="s">
        <v>0</v>
      </c>
      <c r="T1285" s="7" t="s">
        <v>54</v>
      </c>
      <c r="U1285" s="7" t="s">
        <v>362</v>
      </c>
      <c r="V1285" s="7" t="s">
        <v>56</v>
      </c>
      <c r="W1285" s="7" t="s">
        <v>74</v>
      </c>
      <c r="X1285" s="7" t="s">
        <v>103</v>
      </c>
      <c r="Y1285" s="8">
        <v>44958</v>
      </c>
      <c r="Z1285" s="8">
        <v>46387</v>
      </c>
      <c r="AA1285" s="7" t="s">
        <v>59</v>
      </c>
      <c r="AB1285" s="7" t="s">
        <v>130</v>
      </c>
      <c r="AC1285" s="7" t="s">
        <v>65</v>
      </c>
      <c r="AD1285" s="7" t="s">
        <v>144</v>
      </c>
      <c r="AE1285" s="7" t="s">
        <v>0</v>
      </c>
      <c r="AF1285" s="7" t="s">
        <v>0</v>
      </c>
      <c r="AG1285" s="7" t="s">
        <v>0</v>
      </c>
      <c r="AH1285" s="9" t="s">
        <v>0</v>
      </c>
      <c r="AI1285" s="9" t="s">
        <v>0</v>
      </c>
      <c r="AJ1285" s="9" t="s">
        <v>0</v>
      </c>
      <c r="AK1285" s="7" t="s">
        <v>61</v>
      </c>
      <c r="AL1285" s="7" t="s">
        <v>61</v>
      </c>
      <c r="AM1285" s="7" t="s">
        <v>0</v>
      </c>
      <c r="AN1285" s="7" t="s">
        <v>0</v>
      </c>
      <c r="AO1285" s="7" t="s">
        <v>0</v>
      </c>
      <c r="AP1285" s="7" t="s">
        <v>0</v>
      </c>
      <c r="AQ1285" s="7" t="s">
        <v>61</v>
      </c>
      <c r="AR1285" s="7" t="s">
        <v>0</v>
      </c>
      <c r="AS1285" s="10" t="str">
        <f>HYPERLINK("https://tessa.gazprom-neft.local/edo/card/a679bfb7-e1d8-4ffc-8d3f-bdb3de86d430", "https://tessa.gazprom-neft.local/edo/card/a679bfb7-e1d8-4ffc-8d3f-bdb3de86d430")</f>
        <v>https://tessa.gazprom-neft.local/edo/card/a679bfb7-e1d8-4ffc-8d3f-bdb3de86d430</v>
      </c>
    </row>
    <row r="1286" spans="1:45" x14ac:dyDescent="0.25">
      <c r="A1286" s="6" t="s">
        <v>44</v>
      </c>
      <c r="B1286" s="7" t="s">
        <v>727</v>
      </c>
      <c r="C1286" s="7" t="s">
        <v>67</v>
      </c>
      <c r="D1286" s="8">
        <v>44958</v>
      </c>
      <c r="E1286" s="8" t="s">
        <v>0</v>
      </c>
      <c r="F1286" s="16" t="s">
        <v>728</v>
      </c>
      <c r="G1286" s="7" t="s">
        <v>729</v>
      </c>
      <c r="H1286" s="7" t="s">
        <v>725</v>
      </c>
      <c r="I1286" s="7" t="s">
        <v>0</v>
      </c>
      <c r="J1286" s="7" t="s">
        <v>51</v>
      </c>
      <c r="K1286" s="7" t="s">
        <v>47</v>
      </c>
      <c r="L1286" s="7" t="s">
        <v>48</v>
      </c>
      <c r="M1286" s="7" t="s">
        <v>0</v>
      </c>
      <c r="N1286" s="7" t="s">
        <v>724</v>
      </c>
      <c r="O1286" s="7" t="s">
        <v>0</v>
      </c>
      <c r="P1286" s="7" t="s">
        <v>726</v>
      </c>
      <c r="Q1286" s="7" t="s">
        <v>645</v>
      </c>
      <c r="R1286" s="7" t="s">
        <v>646</v>
      </c>
      <c r="S1286" s="7" t="s">
        <v>0</v>
      </c>
      <c r="T1286" s="7" t="s">
        <v>54</v>
      </c>
      <c r="U1286" s="7" t="s">
        <v>362</v>
      </c>
      <c r="V1286" s="7" t="s">
        <v>56</v>
      </c>
      <c r="W1286" s="7" t="s">
        <v>74</v>
      </c>
      <c r="X1286" s="7" t="s">
        <v>103</v>
      </c>
      <c r="Y1286" s="8">
        <v>44958</v>
      </c>
      <c r="Z1286" s="8">
        <v>46387</v>
      </c>
      <c r="AA1286" s="7" t="s">
        <v>59</v>
      </c>
      <c r="AB1286" s="7" t="s">
        <v>130</v>
      </c>
      <c r="AC1286" s="7" t="s">
        <v>65</v>
      </c>
      <c r="AD1286" s="7" t="s">
        <v>144</v>
      </c>
      <c r="AE1286" s="7" t="s">
        <v>0</v>
      </c>
      <c r="AF1286" s="7" t="s">
        <v>0</v>
      </c>
      <c r="AG1286" s="7" t="s">
        <v>0</v>
      </c>
      <c r="AH1286" s="9" t="s">
        <v>0</v>
      </c>
      <c r="AI1286" s="9" t="s">
        <v>0</v>
      </c>
      <c r="AJ1286" s="9" t="s">
        <v>0</v>
      </c>
      <c r="AK1286" s="7" t="s">
        <v>61</v>
      </c>
      <c r="AL1286" s="7" t="s">
        <v>61</v>
      </c>
      <c r="AM1286" s="7" t="s">
        <v>0</v>
      </c>
      <c r="AN1286" s="7" t="s">
        <v>0</v>
      </c>
      <c r="AO1286" s="7" t="s">
        <v>0</v>
      </c>
      <c r="AP1286" s="7" t="s">
        <v>0</v>
      </c>
      <c r="AQ1286" s="7" t="s">
        <v>61</v>
      </c>
      <c r="AR1286" s="7" t="s">
        <v>0</v>
      </c>
      <c r="AS1286" s="10" t="str">
        <f>HYPERLINK("https://tessa.gazprom-neft.local/edo/card/164df661-af6d-4b70-9b3b-dfb7acc93317", "https://tessa.gazprom-neft.local/edo/card/164df661-af6d-4b70-9b3b-dfb7acc93317")</f>
        <v>https://tessa.gazprom-neft.local/edo/card/164df661-af6d-4b70-9b3b-dfb7acc93317</v>
      </c>
    </row>
    <row r="1287" spans="1:45" hidden="1" x14ac:dyDescent="0.25">
      <c r="A1287" s="6" t="s">
        <v>44</v>
      </c>
      <c r="B1287" s="7" t="s">
        <v>1180</v>
      </c>
      <c r="C1287" s="7" t="s">
        <v>67</v>
      </c>
      <c r="D1287" s="8">
        <v>44958</v>
      </c>
      <c r="E1287" s="8" t="s">
        <v>0</v>
      </c>
      <c r="F1287" s="16" t="s">
        <v>1181</v>
      </c>
      <c r="G1287" s="7" t="s">
        <v>1182</v>
      </c>
      <c r="H1287" s="7" t="s">
        <v>0</v>
      </c>
      <c r="I1287" s="7" t="s">
        <v>1177</v>
      </c>
      <c r="J1287" s="7" t="s">
        <v>1177</v>
      </c>
      <c r="K1287" s="7" t="s">
        <v>85</v>
      </c>
      <c r="L1287" s="7" t="s">
        <v>96</v>
      </c>
      <c r="M1287" s="7" t="s">
        <v>183</v>
      </c>
      <c r="N1287" s="7" t="s">
        <v>1176</v>
      </c>
      <c r="O1287" s="7" t="s">
        <v>0</v>
      </c>
      <c r="P1287" s="7" t="s">
        <v>183</v>
      </c>
      <c r="Q1287" s="7" t="s">
        <v>1178</v>
      </c>
      <c r="R1287" s="7" t="s">
        <v>1179</v>
      </c>
      <c r="S1287" s="7" t="s">
        <v>166</v>
      </c>
      <c r="T1287" s="7" t="s">
        <v>54</v>
      </c>
      <c r="U1287" s="7" t="s">
        <v>167</v>
      </c>
      <c r="V1287" s="7" t="s">
        <v>308</v>
      </c>
      <c r="W1287" s="7" t="s">
        <v>57</v>
      </c>
      <c r="X1287" s="7" t="s">
        <v>103</v>
      </c>
      <c r="Y1287" s="8">
        <v>44958</v>
      </c>
      <c r="Z1287" s="8">
        <v>45291</v>
      </c>
      <c r="AA1287" s="7" t="s">
        <v>309</v>
      </c>
      <c r="AB1287" s="7" t="s">
        <v>192</v>
      </c>
      <c r="AC1287" s="7" t="s">
        <v>79</v>
      </c>
      <c r="AD1287" s="7" t="s">
        <v>80</v>
      </c>
      <c r="AE1287" s="7" t="s">
        <v>193</v>
      </c>
      <c r="AF1287" s="7" t="s">
        <v>0</v>
      </c>
      <c r="AG1287" s="7" t="s">
        <v>0</v>
      </c>
      <c r="AH1287" s="9" t="s">
        <v>10943</v>
      </c>
      <c r="AI1287" s="9" t="s">
        <v>10944</v>
      </c>
      <c r="AJ1287" s="9" t="s">
        <v>10945</v>
      </c>
      <c r="AK1287" s="7" t="s">
        <v>61</v>
      </c>
      <c r="AL1287" s="7" t="s">
        <v>61</v>
      </c>
      <c r="AM1287" s="7" t="s">
        <v>0</v>
      </c>
      <c r="AN1287" s="7" t="s">
        <v>0</v>
      </c>
      <c r="AO1287" s="7" t="s">
        <v>0</v>
      </c>
      <c r="AP1287" s="7" t="s">
        <v>0</v>
      </c>
      <c r="AQ1287" s="7" t="s">
        <v>61</v>
      </c>
      <c r="AR1287" s="7" t="s">
        <v>0</v>
      </c>
      <c r="AS1287" s="10" t="str">
        <f>HYPERLINK("https://tessa.gazprom-neft.local/edo/card/987b1104-af47-48fd-b26f-8d1f6f089b7b", "https://tessa.gazprom-neft.local/edo/card/987b1104-af47-48fd-b26f-8d1f6f089b7b")</f>
        <v>https://tessa.gazprom-neft.local/edo/card/987b1104-af47-48fd-b26f-8d1f6f089b7b</v>
      </c>
    </row>
    <row r="1288" spans="1:45" hidden="1" x14ac:dyDescent="0.25">
      <c r="A1288" s="6" t="s">
        <v>44</v>
      </c>
      <c r="B1288" s="7" t="s">
        <v>0</v>
      </c>
      <c r="C1288" s="7" t="s">
        <v>67</v>
      </c>
      <c r="D1288" s="8">
        <v>44957</v>
      </c>
      <c r="E1288" s="8" t="s">
        <v>0</v>
      </c>
      <c r="F1288" s="16" t="s">
        <v>446</v>
      </c>
      <c r="G1288" s="7" t="s">
        <v>0</v>
      </c>
      <c r="H1288" s="7" t="s">
        <v>0</v>
      </c>
      <c r="I1288" s="7" t="s">
        <v>442</v>
      </c>
      <c r="J1288" s="7" t="s">
        <v>442</v>
      </c>
      <c r="K1288" s="7" t="s">
        <v>85</v>
      </c>
      <c r="L1288" s="7" t="s">
        <v>86</v>
      </c>
      <c r="M1288" s="7" t="s">
        <v>440</v>
      </c>
      <c r="N1288" s="7" t="s">
        <v>441</v>
      </c>
      <c r="O1288" s="7" t="s">
        <v>0</v>
      </c>
      <c r="P1288" s="7" t="s">
        <v>440</v>
      </c>
      <c r="Q1288" s="7" t="s">
        <v>443</v>
      </c>
      <c r="R1288" s="7" t="s">
        <v>444</v>
      </c>
      <c r="S1288" s="7" t="s">
        <v>444</v>
      </c>
      <c r="T1288" s="7" t="s">
        <v>54</v>
      </c>
      <c r="U1288" s="7" t="s">
        <v>445</v>
      </c>
      <c r="V1288" s="7" t="s">
        <v>137</v>
      </c>
      <c r="W1288" s="7" t="s">
        <v>57</v>
      </c>
      <c r="X1288" s="7" t="s">
        <v>58</v>
      </c>
      <c r="Y1288" s="8">
        <v>44944</v>
      </c>
      <c r="Z1288" s="8" t="s">
        <v>0</v>
      </c>
      <c r="AA1288" s="7" t="s">
        <v>0</v>
      </c>
      <c r="AB1288" s="7" t="s">
        <v>94</v>
      </c>
      <c r="AC1288" s="7" t="s">
        <v>65</v>
      </c>
      <c r="AD1288" s="7" t="s">
        <v>144</v>
      </c>
      <c r="AE1288" s="7" t="s">
        <v>0</v>
      </c>
      <c r="AF1288" s="7" t="s">
        <v>0</v>
      </c>
      <c r="AG1288" s="7" t="s">
        <v>0</v>
      </c>
      <c r="AH1288" s="9" t="s">
        <v>0</v>
      </c>
      <c r="AI1288" s="9" t="s">
        <v>0</v>
      </c>
      <c r="AJ1288" s="9" t="s">
        <v>0</v>
      </c>
      <c r="AK1288" s="7" t="s">
        <v>61</v>
      </c>
      <c r="AL1288" s="7" t="s">
        <v>61</v>
      </c>
      <c r="AM1288" s="7" t="s">
        <v>0</v>
      </c>
      <c r="AN1288" s="7" t="s">
        <v>0</v>
      </c>
      <c r="AO1288" s="7" t="s">
        <v>0</v>
      </c>
      <c r="AP1288" s="7" t="s">
        <v>0</v>
      </c>
      <c r="AQ1288" s="7" t="s">
        <v>61</v>
      </c>
      <c r="AR1288" s="7" t="s">
        <v>0</v>
      </c>
      <c r="AS1288" s="10" t="str">
        <f>HYPERLINK("https://tessa.gazprom-neft.local/edo/card/c0e602f6-de17-4652-a06b-260e21ab13e1", "https://tessa.gazprom-neft.local/edo/card/c0e602f6-de17-4652-a06b-260e21ab13e1")</f>
        <v>https://tessa.gazprom-neft.local/edo/card/c0e602f6-de17-4652-a06b-260e21ab13e1</v>
      </c>
    </row>
    <row r="1289" spans="1:45" hidden="1" x14ac:dyDescent="0.25">
      <c r="A1289" s="6" t="s">
        <v>44</v>
      </c>
      <c r="B1289" s="7" t="s">
        <v>170</v>
      </c>
      <c r="C1289" s="7" t="s">
        <v>67</v>
      </c>
      <c r="D1289" s="8">
        <v>44957</v>
      </c>
      <c r="E1289" s="8" t="s">
        <v>0</v>
      </c>
      <c r="F1289" s="16" t="s">
        <v>171</v>
      </c>
      <c r="G1289" s="7" t="s">
        <v>172</v>
      </c>
      <c r="H1289" s="7" t="s">
        <v>0</v>
      </c>
      <c r="I1289" s="7" t="s">
        <v>1109</v>
      </c>
      <c r="J1289" s="7" t="s">
        <v>1109</v>
      </c>
      <c r="K1289" s="7" t="s">
        <v>47</v>
      </c>
      <c r="L1289" s="7" t="s">
        <v>96</v>
      </c>
      <c r="M1289" s="7" t="s">
        <v>0</v>
      </c>
      <c r="N1289" s="7" t="s">
        <v>1108</v>
      </c>
      <c r="O1289" s="7" t="s">
        <v>0</v>
      </c>
      <c r="P1289" s="7" t="s">
        <v>1110</v>
      </c>
      <c r="Q1289" s="7" t="s">
        <v>1111</v>
      </c>
      <c r="R1289" s="7" t="s">
        <v>768</v>
      </c>
      <c r="S1289" s="7" t="s">
        <v>166</v>
      </c>
      <c r="T1289" s="7" t="s">
        <v>54</v>
      </c>
      <c r="U1289" s="7" t="s">
        <v>283</v>
      </c>
      <c r="V1289" s="7" t="s">
        <v>168</v>
      </c>
      <c r="W1289" s="7" t="s">
        <v>57</v>
      </c>
      <c r="X1289" s="7" t="s">
        <v>103</v>
      </c>
      <c r="Y1289" s="8">
        <v>44957</v>
      </c>
      <c r="Z1289" s="8">
        <v>46022</v>
      </c>
      <c r="AA1289" s="7" t="s">
        <v>169</v>
      </c>
      <c r="AB1289" s="7" t="s">
        <v>64</v>
      </c>
      <c r="AC1289" s="7" t="s">
        <v>79</v>
      </c>
      <c r="AD1289" s="7" t="s">
        <v>80</v>
      </c>
      <c r="AE1289" s="7" t="s">
        <v>82</v>
      </c>
      <c r="AF1289" s="7" t="s">
        <v>0</v>
      </c>
      <c r="AG1289" s="7" t="s">
        <v>0</v>
      </c>
      <c r="AH1289" s="9" t="s">
        <v>10926</v>
      </c>
      <c r="AI1289" s="9" t="s">
        <v>10927</v>
      </c>
      <c r="AJ1289" s="9" t="s">
        <v>10928</v>
      </c>
      <c r="AK1289" s="7" t="s">
        <v>61</v>
      </c>
      <c r="AL1289" s="7" t="s">
        <v>61</v>
      </c>
      <c r="AM1289" s="7" t="s">
        <v>0</v>
      </c>
      <c r="AN1289" s="7" t="s">
        <v>0</v>
      </c>
      <c r="AO1289" s="7" t="s">
        <v>0</v>
      </c>
      <c r="AP1289" s="7" t="s">
        <v>0</v>
      </c>
      <c r="AQ1289" s="7" t="s">
        <v>61</v>
      </c>
      <c r="AR1289" s="7" t="s">
        <v>0</v>
      </c>
      <c r="AS1289" s="10" t="str">
        <f>HYPERLINK("https://tessa.gazprom-neft.local/edo/card/2b849a22-1966-444b-9eab-27fe99513343", "https://tessa.gazprom-neft.local/edo/card/2b849a22-1966-444b-9eab-27fe99513343")</f>
        <v>https://tessa.gazprom-neft.local/edo/card/2b849a22-1966-444b-9eab-27fe99513343</v>
      </c>
    </row>
    <row r="1290" spans="1:45" hidden="1" x14ac:dyDescent="0.25">
      <c r="A1290" s="6" t="s">
        <v>44</v>
      </c>
      <c r="B1290" s="7" t="s">
        <v>1165</v>
      </c>
      <c r="C1290" s="7" t="s">
        <v>67</v>
      </c>
      <c r="D1290" s="8">
        <v>44957</v>
      </c>
      <c r="E1290" s="8" t="s">
        <v>0</v>
      </c>
      <c r="F1290" s="16" t="s">
        <v>1166</v>
      </c>
      <c r="G1290" s="7" t="s">
        <v>1167</v>
      </c>
      <c r="H1290" s="7" t="s">
        <v>1161</v>
      </c>
      <c r="I1290" s="7" t="s">
        <v>0</v>
      </c>
      <c r="J1290" s="7" t="s">
        <v>1163</v>
      </c>
      <c r="K1290" s="7" t="s">
        <v>47</v>
      </c>
      <c r="L1290" s="7" t="s">
        <v>239</v>
      </c>
      <c r="M1290" s="7" t="s">
        <v>0</v>
      </c>
      <c r="N1290" s="7" t="s">
        <v>1160</v>
      </c>
      <c r="O1290" s="7" t="s">
        <v>0</v>
      </c>
      <c r="P1290" s="7" t="s">
        <v>1162</v>
      </c>
      <c r="Q1290" s="7" t="s">
        <v>1164</v>
      </c>
      <c r="R1290" s="7" t="s">
        <v>244</v>
      </c>
      <c r="S1290" s="7" t="s">
        <v>0</v>
      </c>
      <c r="T1290" s="7" t="s">
        <v>54</v>
      </c>
      <c r="U1290" s="7" t="s">
        <v>55</v>
      </c>
      <c r="V1290" s="7" t="s">
        <v>56</v>
      </c>
      <c r="W1290" s="7" t="s">
        <v>57</v>
      </c>
      <c r="X1290" s="7" t="s">
        <v>103</v>
      </c>
      <c r="Y1290" s="8">
        <v>44957</v>
      </c>
      <c r="Z1290" s="8">
        <v>44982</v>
      </c>
      <c r="AA1290" s="7" t="s">
        <v>59</v>
      </c>
      <c r="AB1290" s="7" t="s">
        <v>256</v>
      </c>
      <c r="AC1290" s="7" t="s">
        <v>79</v>
      </c>
      <c r="AD1290" s="7" t="s">
        <v>144</v>
      </c>
      <c r="AE1290" s="7" t="s">
        <v>82</v>
      </c>
      <c r="AF1290" s="7" t="s">
        <v>0</v>
      </c>
      <c r="AG1290" s="7" t="s">
        <v>0</v>
      </c>
      <c r="AH1290" s="9" t="s">
        <v>10939</v>
      </c>
      <c r="AI1290" s="9" t="s">
        <v>10940</v>
      </c>
      <c r="AJ1290" s="9" t="s">
        <v>10941</v>
      </c>
      <c r="AK1290" s="7" t="s">
        <v>61</v>
      </c>
      <c r="AL1290" s="7" t="s">
        <v>61</v>
      </c>
      <c r="AM1290" s="7" t="s">
        <v>0</v>
      </c>
      <c r="AN1290" s="7" t="s">
        <v>0</v>
      </c>
      <c r="AO1290" s="7" t="s">
        <v>0</v>
      </c>
      <c r="AP1290" s="7" t="s">
        <v>0</v>
      </c>
      <c r="AQ1290" s="7" t="s">
        <v>61</v>
      </c>
      <c r="AR1290" s="7" t="s">
        <v>0</v>
      </c>
      <c r="AS1290" s="10" t="str">
        <f>HYPERLINK("https://tessa.gazprom-neft.local/edo/card/ae657ff2-e056-48f4-8686-f78b331253cd", "https://tessa.gazprom-neft.local/edo/card/ae657ff2-e056-48f4-8686-f78b331253cd")</f>
        <v>https://tessa.gazprom-neft.local/edo/card/ae657ff2-e056-48f4-8686-f78b331253cd</v>
      </c>
    </row>
    <row r="1291" spans="1:45" hidden="1" x14ac:dyDescent="0.25">
      <c r="A1291" s="6" t="s">
        <v>44</v>
      </c>
      <c r="B1291" s="7" t="s">
        <v>170</v>
      </c>
      <c r="C1291" s="7" t="s">
        <v>67</v>
      </c>
      <c r="D1291" s="8">
        <v>44957</v>
      </c>
      <c r="E1291" s="8" t="s">
        <v>0</v>
      </c>
      <c r="F1291" s="16" t="s">
        <v>171</v>
      </c>
      <c r="G1291" s="7" t="s">
        <v>172</v>
      </c>
      <c r="H1291" s="7" t="s">
        <v>1109</v>
      </c>
      <c r="I1291" s="7" t="s">
        <v>0</v>
      </c>
      <c r="J1291" s="7" t="s">
        <v>51</v>
      </c>
      <c r="K1291" s="7" t="s">
        <v>47</v>
      </c>
      <c r="L1291" s="7" t="s">
        <v>239</v>
      </c>
      <c r="M1291" s="7" t="s">
        <v>0</v>
      </c>
      <c r="N1291" s="7" t="s">
        <v>1719</v>
      </c>
      <c r="O1291" s="7" t="s">
        <v>0</v>
      </c>
      <c r="P1291" s="7" t="s">
        <v>1720</v>
      </c>
      <c r="Q1291" s="7" t="s">
        <v>1721</v>
      </c>
      <c r="R1291" s="7" t="s">
        <v>768</v>
      </c>
      <c r="S1291" s="7" t="s">
        <v>768</v>
      </c>
      <c r="T1291" s="7" t="s">
        <v>54</v>
      </c>
      <c r="U1291" s="7" t="s">
        <v>283</v>
      </c>
      <c r="V1291" s="7" t="s">
        <v>168</v>
      </c>
      <c r="W1291" s="7" t="s">
        <v>57</v>
      </c>
      <c r="X1291" s="7" t="s">
        <v>103</v>
      </c>
      <c r="Y1291" s="8">
        <v>44958</v>
      </c>
      <c r="Z1291" s="8">
        <v>44985</v>
      </c>
      <c r="AA1291" s="7" t="s">
        <v>169</v>
      </c>
      <c r="AB1291" s="7" t="s">
        <v>64</v>
      </c>
      <c r="AC1291" s="7" t="s">
        <v>79</v>
      </c>
      <c r="AD1291" s="7" t="s">
        <v>80</v>
      </c>
      <c r="AE1291" s="7" t="s">
        <v>82</v>
      </c>
      <c r="AF1291" s="7" t="s">
        <v>0</v>
      </c>
      <c r="AG1291" s="7" t="s">
        <v>0</v>
      </c>
      <c r="AH1291" s="9" t="s">
        <v>11098</v>
      </c>
      <c r="AI1291" s="9" t="s">
        <v>11099</v>
      </c>
      <c r="AJ1291" s="9" t="s">
        <v>11100</v>
      </c>
      <c r="AK1291" s="7" t="s">
        <v>61</v>
      </c>
      <c r="AL1291" s="7" t="s">
        <v>61</v>
      </c>
      <c r="AM1291" s="7" t="s">
        <v>0</v>
      </c>
      <c r="AN1291" s="7" t="s">
        <v>0</v>
      </c>
      <c r="AO1291" s="7" t="s">
        <v>0</v>
      </c>
      <c r="AP1291" s="7" t="s">
        <v>0</v>
      </c>
      <c r="AQ1291" s="7" t="s">
        <v>61</v>
      </c>
      <c r="AR1291" s="7" t="s">
        <v>0</v>
      </c>
      <c r="AS1291" s="10" t="str">
        <f>HYPERLINK("https://tessa.gazprom-neft.local/edo/card/f7c5c1c0-72ef-4f70-9b90-ad7662549200", "https://tessa.gazprom-neft.local/edo/card/f7c5c1c0-72ef-4f70-9b90-ad7662549200")</f>
        <v>https://tessa.gazprom-neft.local/edo/card/f7c5c1c0-72ef-4f70-9b90-ad7662549200</v>
      </c>
    </row>
    <row r="1292" spans="1:45" hidden="1" x14ac:dyDescent="0.25">
      <c r="A1292" s="6" t="s">
        <v>44</v>
      </c>
      <c r="B1292" s="7" t="s">
        <v>2001</v>
      </c>
      <c r="C1292" s="7" t="s">
        <v>67</v>
      </c>
      <c r="D1292" s="8">
        <v>44957</v>
      </c>
      <c r="E1292" s="8" t="s">
        <v>0</v>
      </c>
      <c r="F1292" s="16" t="s">
        <v>2002</v>
      </c>
      <c r="G1292" s="7" t="s">
        <v>2003</v>
      </c>
      <c r="H1292" s="7" t="s">
        <v>1998</v>
      </c>
      <c r="I1292" s="7" t="s">
        <v>0</v>
      </c>
      <c r="J1292" s="7" t="s">
        <v>355</v>
      </c>
      <c r="K1292" s="7" t="s">
        <v>47</v>
      </c>
      <c r="L1292" s="7" t="s">
        <v>239</v>
      </c>
      <c r="M1292" s="7" t="s">
        <v>0</v>
      </c>
      <c r="N1292" s="7" t="s">
        <v>1997</v>
      </c>
      <c r="O1292" s="7" t="s">
        <v>0</v>
      </c>
      <c r="P1292" s="7" t="s">
        <v>1999</v>
      </c>
      <c r="Q1292" s="7" t="s">
        <v>2000</v>
      </c>
      <c r="R1292" s="7" t="s">
        <v>768</v>
      </c>
      <c r="S1292" s="7" t="s">
        <v>1503</v>
      </c>
      <c r="T1292" s="7" t="s">
        <v>54</v>
      </c>
      <c r="U1292" s="7" t="s">
        <v>283</v>
      </c>
      <c r="V1292" s="7" t="s">
        <v>308</v>
      </c>
      <c r="W1292" s="7" t="s">
        <v>57</v>
      </c>
      <c r="X1292" s="7" t="s">
        <v>103</v>
      </c>
      <c r="Y1292" s="8">
        <v>44958</v>
      </c>
      <c r="Z1292" s="8">
        <v>45291</v>
      </c>
      <c r="AA1292" s="7" t="s">
        <v>309</v>
      </c>
      <c r="AB1292" s="7" t="s">
        <v>130</v>
      </c>
      <c r="AC1292" s="7" t="s">
        <v>79</v>
      </c>
      <c r="AD1292" s="7" t="s">
        <v>144</v>
      </c>
      <c r="AE1292" s="7" t="s">
        <v>82</v>
      </c>
      <c r="AF1292" s="7" t="s">
        <v>0</v>
      </c>
      <c r="AG1292" s="7" t="s">
        <v>0</v>
      </c>
      <c r="AH1292" s="9" t="s">
        <v>11207</v>
      </c>
      <c r="AI1292" s="9" t="s">
        <v>11208</v>
      </c>
      <c r="AJ1292" s="9" t="s">
        <v>11209</v>
      </c>
      <c r="AK1292" s="7" t="s">
        <v>61</v>
      </c>
      <c r="AL1292" s="7" t="s">
        <v>61</v>
      </c>
      <c r="AM1292" s="7" t="s">
        <v>0</v>
      </c>
      <c r="AN1292" s="7" t="s">
        <v>0</v>
      </c>
      <c r="AO1292" s="7" t="s">
        <v>0</v>
      </c>
      <c r="AP1292" s="7" t="s">
        <v>0</v>
      </c>
      <c r="AQ1292" s="7" t="s">
        <v>61</v>
      </c>
      <c r="AR1292" s="7" t="s">
        <v>0</v>
      </c>
      <c r="AS1292" s="10" t="str">
        <f>HYPERLINK("https://tessa.gazprom-neft.local/edo/card/b145c36c-bab8-4f5f-ab6a-073faaaef54e", "https://tessa.gazprom-neft.local/edo/card/b145c36c-bab8-4f5f-ab6a-073faaaef54e")</f>
        <v>https://tessa.gazprom-neft.local/edo/card/b145c36c-bab8-4f5f-ab6a-073faaaef54e</v>
      </c>
    </row>
    <row r="1293" spans="1:45" hidden="1" x14ac:dyDescent="0.25">
      <c r="A1293" s="6" t="s">
        <v>44</v>
      </c>
      <c r="B1293" s="7" t="s">
        <v>620</v>
      </c>
      <c r="C1293" s="7" t="s">
        <v>67</v>
      </c>
      <c r="D1293" s="8">
        <v>44956</v>
      </c>
      <c r="E1293" s="8" t="s">
        <v>0</v>
      </c>
      <c r="F1293" s="16" t="s">
        <v>621</v>
      </c>
      <c r="G1293" s="7" t="s">
        <v>622</v>
      </c>
      <c r="H1293" s="7" t="s">
        <v>0</v>
      </c>
      <c r="I1293" s="7" t="s">
        <v>618</v>
      </c>
      <c r="J1293" s="7" t="s">
        <v>618</v>
      </c>
      <c r="K1293" s="7" t="s">
        <v>85</v>
      </c>
      <c r="L1293" s="7" t="s">
        <v>96</v>
      </c>
      <c r="M1293" s="7" t="s">
        <v>616</v>
      </c>
      <c r="N1293" s="7" t="s">
        <v>617</v>
      </c>
      <c r="O1293" s="7" t="s">
        <v>0</v>
      </c>
      <c r="P1293" s="7" t="s">
        <v>616</v>
      </c>
      <c r="Q1293" s="7" t="s">
        <v>619</v>
      </c>
      <c r="R1293" s="7" t="s">
        <v>393</v>
      </c>
      <c r="S1293" s="7" t="s">
        <v>209</v>
      </c>
      <c r="T1293" s="7" t="s">
        <v>54</v>
      </c>
      <c r="U1293" s="7" t="s">
        <v>210</v>
      </c>
      <c r="V1293" s="7" t="s">
        <v>126</v>
      </c>
      <c r="W1293" s="7" t="s">
        <v>57</v>
      </c>
      <c r="X1293" s="7" t="s">
        <v>103</v>
      </c>
      <c r="Y1293" s="8">
        <v>44956</v>
      </c>
      <c r="Z1293" s="8">
        <v>45747</v>
      </c>
      <c r="AA1293" s="7" t="s">
        <v>224</v>
      </c>
      <c r="AB1293" s="7" t="s">
        <v>130</v>
      </c>
      <c r="AC1293" s="7" t="s">
        <v>79</v>
      </c>
      <c r="AD1293" s="7" t="s">
        <v>80</v>
      </c>
      <c r="AE1293" s="7" t="s">
        <v>82</v>
      </c>
      <c r="AF1293" s="7" t="s">
        <v>0</v>
      </c>
      <c r="AG1293" s="7" t="s">
        <v>623</v>
      </c>
      <c r="AH1293" s="9" t="s">
        <v>10783</v>
      </c>
      <c r="AI1293" s="9" t="s">
        <v>10784</v>
      </c>
      <c r="AJ1293" s="9" t="s">
        <v>10785</v>
      </c>
      <c r="AK1293" s="7" t="s">
        <v>81</v>
      </c>
      <c r="AL1293" s="7" t="s">
        <v>61</v>
      </c>
      <c r="AM1293" s="7" t="s">
        <v>0</v>
      </c>
      <c r="AN1293" s="7" t="s">
        <v>0</v>
      </c>
      <c r="AO1293" s="7" t="s">
        <v>0</v>
      </c>
      <c r="AP1293" s="7" t="s">
        <v>0</v>
      </c>
      <c r="AQ1293" s="7" t="s">
        <v>61</v>
      </c>
      <c r="AR1293" s="7" t="s">
        <v>0</v>
      </c>
      <c r="AS1293" s="10" t="str">
        <f>HYPERLINK("https://tessa.gazprom-neft.local/edo/card/f5f838fb-b5f3-4227-b126-a7eceaf8bc66", "https://tessa.gazprom-neft.local/edo/card/f5f838fb-b5f3-4227-b126-a7eceaf8bc66")</f>
        <v>https://tessa.gazprom-neft.local/edo/card/f5f838fb-b5f3-4227-b126-a7eceaf8bc66</v>
      </c>
    </row>
    <row r="1294" spans="1:45" hidden="1" x14ac:dyDescent="0.25">
      <c r="A1294" s="6" t="s">
        <v>44</v>
      </c>
      <c r="B1294" s="7" t="s">
        <v>620</v>
      </c>
      <c r="C1294" s="7" t="s">
        <v>67</v>
      </c>
      <c r="D1294" s="8">
        <v>44956</v>
      </c>
      <c r="E1294" s="8" t="s">
        <v>0</v>
      </c>
      <c r="F1294" s="16" t="s">
        <v>621</v>
      </c>
      <c r="G1294" s="7" t="s">
        <v>622</v>
      </c>
      <c r="H1294" s="7" t="s">
        <v>0</v>
      </c>
      <c r="I1294" s="7" t="s">
        <v>856</v>
      </c>
      <c r="J1294" s="7" t="s">
        <v>856</v>
      </c>
      <c r="K1294" s="7" t="s">
        <v>85</v>
      </c>
      <c r="L1294" s="7" t="s">
        <v>86</v>
      </c>
      <c r="M1294" s="7" t="s">
        <v>216</v>
      </c>
      <c r="N1294" s="7" t="s">
        <v>855</v>
      </c>
      <c r="O1294" s="7" t="s">
        <v>0</v>
      </c>
      <c r="P1294" s="7" t="s">
        <v>857</v>
      </c>
      <c r="Q1294" s="7" t="s">
        <v>858</v>
      </c>
      <c r="R1294" s="7" t="s">
        <v>393</v>
      </c>
      <c r="S1294" s="7" t="s">
        <v>859</v>
      </c>
      <c r="T1294" s="7" t="s">
        <v>54</v>
      </c>
      <c r="U1294" s="7" t="s">
        <v>777</v>
      </c>
      <c r="V1294" s="7" t="s">
        <v>308</v>
      </c>
      <c r="W1294" s="7" t="s">
        <v>74</v>
      </c>
      <c r="X1294" s="7" t="s">
        <v>58</v>
      </c>
      <c r="Y1294" s="8">
        <v>44956</v>
      </c>
      <c r="Z1294" s="8" t="s">
        <v>0</v>
      </c>
      <c r="AA1294" s="7" t="s">
        <v>309</v>
      </c>
      <c r="AB1294" s="7" t="s">
        <v>228</v>
      </c>
      <c r="AC1294" s="7" t="s">
        <v>65</v>
      </c>
      <c r="AD1294" s="7" t="s">
        <v>0</v>
      </c>
      <c r="AE1294" s="7" t="s">
        <v>0</v>
      </c>
      <c r="AF1294" s="7" t="s">
        <v>0</v>
      </c>
      <c r="AG1294" s="7" t="s">
        <v>0</v>
      </c>
      <c r="AH1294" s="9" t="s">
        <v>0</v>
      </c>
      <c r="AI1294" s="9" t="s">
        <v>0</v>
      </c>
      <c r="AJ1294" s="9" t="s">
        <v>0</v>
      </c>
      <c r="AK1294" s="7" t="s">
        <v>61</v>
      </c>
      <c r="AL1294" s="7" t="s">
        <v>61</v>
      </c>
      <c r="AM1294" s="7" t="s">
        <v>0</v>
      </c>
      <c r="AN1294" s="7" t="s">
        <v>0</v>
      </c>
      <c r="AO1294" s="7" t="s">
        <v>0</v>
      </c>
      <c r="AP1294" s="7" t="s">
        <v>0</v>
      </c>
      <c r="AQ1294" s="7" t="s">
        <v>61</v>
      </c>
      <c r="AR1294" s="7" t="s">
        <v>0</v>
      </c>
      <c r="AS1294" s="10" t="str">
        <f>HYPERLINK("https://tessa.gazprom-neft.local/edo/card/0e8fdc7c-4c89-4ed5-b622-831ada0fbe83", "https://tessa.gazprom-neft.local/edo/card/0e8fdc7c-4c89-4ed5-b622-831ada0fbe83")</f>
        <v>https://tessa.gazprom-neft.local/edo/card/0e8fdc7c-4c89-4ed5-b622-831ada0fbe83</v>
      </c>
    </row>
    <row r="1295" spans="1:45" x14ac:dyDescent="0.25">
      <c r="A1295" s="6" t="s">
        <v>44</v>
      </c>
      <c r="B1295" s="7" t="s">
        <v>284</v>
      </c>
      <c r="C1295" s="7" t="s">
        <v>67</v>
      </c>
      <c r="D1295" s="8">
        <v>44956</v>
      </c>
      <c r="E1295" s="8" t="s">
        <v>0</v>
      </c>
      <c r="F1295" s="16" t="s">
        <v>285</v>
      </c>
      <c r="G1295" s="7" t="s">
        <v>286</v>
      </c>
      <c r="H1295" s="7" t="s">
        <v>770</v>
      </c>
      <c r="I1295" s="7" t="s">
        <v>0</v>
      </c>
      <c r="J1295" s="7" t="s">
        <v>355</v>
      </c>
      <c r="K1295" s="7" t="s">
        <v>47</v>
      </c>
      <c r="L1295" s="7" t="s">
        <v>48</v>
      </c>
      <c r="M1295" s="7" t="s">
        <v>0</v>
      </c>
      <c r="N1295" s="7" t="s">
        <v>1091</v>
      </c>
      <c r="O1295" s="7" t="s">
        <v>0</v>
      </c>
      <c r="P1295" s="7" t="s">
        <v>1092</v>
      </c>
      <c r="Q1295" s="7" t="s">
        <v>1093</v>
      </c>
      <c r="R1295" s="7" t="s">
        <v>338</v>
      </c>
      <c r="S1295" s="7" t="s">
        <v>1094</v>
      </c>
      <c r="T1295" s="7" t="s">
        <v>54</v>
      </c>
      <c r="U1295" s="7" t="s">
        <v>210</v>
      </c>
      <c r="V1295" s="7" t="s">
        <v>126</v>
      </c>
      <c r="W1295" s="7" t="s">
        <v>57</v>
      </c>
      <c r="X1295" s="7" t="s">
        <v>58</v>
      </c>
      <c r="Y1295" s="8">
        <v>44956</v>
      </c>
      <c r="Z1295" s="8" t="s">
        <v>0</v>
      </c>
      <c r="AA1295" s="7" t="s">
        <v>224</v>
      </c>
      <c r="AB1295" s="7" t="s">
        <v>423</v>
      </c>
      <c r="AC1295" s="7" t="s">
        <v>65</v>
      </c>
      <c r="AD1295" s="7" t="s">
        <v>144</v>
      </c>
      <c r="AE1295" s="7" t="s">
        <v>0</v>
      </c>
      <c r="AF1295" s="7" t="s">
        <v>0</v>
      </c>
      <c r="AG1295" s="7" t="s">
        <v>0</v>
      </c>
      <c r="AH1295" s="9" t="s">
        <v>0</v>
      </c>
      <c r="AI1295" s="9" t="s">
        <v>0</v>
      </c>
      <c r="AJ1295" s="9" t="s">
        <v>0</v>
      </c>
      <c r="AK1295" s="7" t="s">
        <v>61</v>
      </c>
      <c r="AL1295" s="7" t="s">
        <v>61</v>
      </c>
      <c r="AM1295" s="7" t="s">
        <v>0</v>
      </c>
      <c r="AN1295" s="7" t="s">
        <v>0</v>
      </c>
      <c r="AO1295" s="7" t="s">
        <v>0</v>
      </c>
      <c r="AP1295" s="7" t="s">
        <v>0</v>
      </c>
      <c r="AQ1295" s="7" t="s">
        <v>61</v>
      </c>
      <c r="AR1295" s="7" t="s">
        <v>0</v>
      </c>
      <c r="AS1295" s="10" t="str">
        <f>HYPERLINK("https://tessa.gazprom-neft.local/edo/card/b8a3baef-699d-4d3a-8767-81496d68c68e", "https://tessa.gazprom-neft.local/edo/card/b8a3baef-699d-4d3a-8767-81496d68c68e")</f>
        <v>https://tessa.gazprom-neft.local/edo/card/b8a3baef-699d-4d3a-8767-81496d68c68e</v>
      </c>
    </row>
    <row r="1296" spans="1:45" hidden="1" x14ac:dyDescent="0.25">
      <c r="A1296" s="6" t="s">
        <v>44</v>
      </c>
      <c r="B1296" s="7" t="s">
        <v>395</v>
      </c>
      <c r="C1296" s="7" t="s">
        <v>67</v>
      </c>
      <c r="D1296" s="8">
        <v>44956</v>
      </c>
      <c r="E1296" s="8" t="s">
        <v>0</v>
      </c>
      <c r="F1296" s="16" t="s">
        <v>396</v>
      </c>
      <c r="G1296" s="7" t="s">
        <v>397</v>
      </c>
      <c r="H1296" s="7" t="s">
        <v>0</v>
      </c>
      <c r="I1296" s="7" t="s">
        <v>1117</v>
      </c>
      <c r="J1296" s="7" t="s">
        <v>1117</v>
      </c>
      <c r="K1296" s="7" t="s">
        <v>47</v>
      </c>
      <c r="L1296" s="7" t="s">
        <v>96</v>
      </c>
      <c r="M1296" s="7" t="s">
        <v>0</v>
      </c>
      <c r="N1296" s="7" t="s">
        <v>1116</v>
      </c>
      <c r="O1296" s="7" t="s">
        <v>0</v>
      </c>
      <c r="P1296" s="7" t="s">
        <v>1118</v>
      </c>
      <c r="Q1296" s="7" t="s">
        <v>1119</v>
      </c>
      <c r="R1296" s="7" t="s">
        <v>1120</v>
      </c>
      <c r="S1296" s="7" t="s">
        <v>1120</v>
      </c>
      <c r="T1296" s="7" t="s">
        <v>54</v>
      </c>
      <c r="U1296" s="7" t="s">
        <v>294</v>
      </c>
      <c r="V1296" s="7" t="s">
        <v>295</v>
      </c>
      <c r="W1296" s="7" t="s">
        <v>74</v>
      </c>
      <c r="X1296" s="7" t="s">
        <v>103</v>
      </c>
      <c r="Y1296" s="8">
        <v>44956</v>
      </c>
      <c r="Z1296" s="8">
        <v>45291</v>
      </c>
      <c r="AA1296" s="7" t="s">
        <v>296</v>
      </c>
      <c r="AB1296" s="7" t="s">
        <v>500</v>
      </c>
      <c r="AC1296" s="7" t="s">
        <v>278</v>
      </c>
      <c r="AD1296" s="7" t="s">
        <v>80</v>
      </c>
      <c r="AE1296" s="7" t="s">
        <v>82</v>
      </c>
      <c r="AF1296" s="7" t="s">
        <v>0</v>
      </c>
      <c r="AG1296" s="7" t="s">
        <v>0</v>
      </c>
      <c r="AH1296" s="9" t="s">
        <v>10929</v>
      </c>
      <c r="AI1296" s="9" t="s">
        <v>10930</v>
      </c>
      <c r="AJ1296" s="9" t="s">
        <v>10931</v>
      </c>
      <c r="AK1296" s="7" t="s">
        <v>61</v>
      </c>
      <c r="AL1296" s="7" t="s">
        <v>61</v>
      </c>
      <c r="AM1296" s="7" t="s">
        <v>0</v>
      </c>
      <c r="AN1296" s="7" t="s">
        <v>0</v>
      </c>
      <c r="AO1296" s="7" t="s">
        <v>0</v>
      </c>
      <c r="AP1296" s="7" t="s">
        <v>0</v>
      </c>
      <c r="AQ1296" s="7" t="s">
        <v>61</v>
      </c>
      <c r="AR1296" s="7" t="s">
        <v>0</v>
      </c>
      <c r="AS1296" s="10" t="str">
        <f>HYPERLINK("https://tessa.gazprom-neft.local/edo/card/6d4afb89-e2e0-40b7-97f0-82d14ac461d9", "https://tessa.gazprom-neft.local/edo/card/6d4afb89-e2e0-40b7-97f0-82d14ac461d9")</f>
        <v>https://tessa.gazprom-neft.local/edo/card/6d4afb89-e2e0-40b7-97f0-82d14ac461d9</v>
      </c>
    </row>
    <row r="1297" spans="1:45" hidden="1" x14ac:dyDescent="0.25">
      <c r="A1297" s="6" t="s">
        <v>44</v>
      </c>
      <c r="B1297" s="7" t="s">
        <v>1165</v>
      </c>
      <c r="C1297" s="7" t="s">
        <v>67</v>
      </c>
      <c r="D1297" s="8">
        <v>44956</v>
      </c>
      <c r="E1297" s="8" t="s">
        <v>0</v>
      </c>
      <c r="F1297" s="16" t="s">
        <v>1166</v>
      </c>
      <c r="G1297" s="7" t="s">
        <v>1167</v>
      </c>
      <c r="H1297" s="7" t="s">
        <v>1161</v>
      </c>
      <c r="I1297" s="7" t="s">
        <v>0</v>
      </c>
      <c r="J1297" s="7" t="s">
        <v>1391</v>
      </c>
      <c r="K1297" s="7" t="s">
        <v>47</v>
      </c>
      <c r="L1297" s="7" t="s">
        <v>239</v>
      </c>
      <c r="M1297" s="7" t="s">
        <v>0</v>
      </c>
      <c r="N1297" s="7" t="s">
        <v>1389</v>
      </c>
      <c r="O1297" s="7" t="s">
        <v>0</v>
      </c>
      <c r="P1297" s="7" t="s">
        <v>1390</v>
      </c>
      <c r="Q1297" s="7" t="s">
        <v>1392</v>
      </c>
      <c r="R1297" s="7" t="s">
        <v>244</v>
      </c>
      <c r="S1297" s="7" t="s">
        <v>0</v>
      </c>
      <c r="T1297" s="7" t="s">
        <v>54</v>
      </c>
      <c r="U1297" s="7" t="s">
        <v>55</v>
      </c>
      <c r="V1297" s="7" t="s">
        <v>56</v>
      </c>
      <c r="W1297" s="7" t="s">
        <v>57</v>
      </c>
      <c r="X1297" s="7" t="s">
        <v>103</v>
      </c>
      <c r="Y1297" s="8">
        <v>44957</v>
      </c>
      <c r="Z1297" s="8">
        <v>45291</v>
      </c>
      <c r="AA1297" s="7" t="s">
        <v>59</v>
      </c>
      <c r="AB1297" s="7" t="s">
        <v>256</v>
      </c>
      <c r="AC1297" s="7" t="s">
        <v>79</v>
      </c>
      <c r="AD1297" s="7" t="s">
        <v>144</v>
      </c>
      <c r="AE1297" s="7" t="s">
        <v>82</v>
      </c>
      <c r="AF1297" s="7" t="s">
        <v>0</v>
      </c>
      <c r="AG1297" s="7" t="s">
        <v>0</v>
      </c>
      <c r="AH1297" s="9" t="s">
        <v>11016</v>
      </c>
      <c r="AI1297" s="9" t="s">
        <v>11017</v>
      </c>
      <c r="AJ1297" s="9" t="s">
        <v>11018</v>
      </c>
      <c r="AK1297" s="7" t="s">
        <v>61</v>
      </c>
      <c r="AL1297" s="7" t="s">
        <v>61</v>
      </c>
      <c r="AM1297" s="7" t="s">
        <v>0</v>
      </c>
      <c r="AN1297" s="7" t="s">
        <v>0</v>
      </c>
      <c r="AO1297" s="7" t="s">
        <v>0</v>
      </c>
      <c r="AP1297" s="7" t="s">
        <v>0</v>
      </c>
      <c r="AQ1297" s="7" t="s">
        <v>61</v>
      </c>
      <c r="AR1297" s="7" t="s">
        <v>0</v>
      </c>
      <c r="AS1297" s="10" t="str">
        <f>HYPERLINK("https://tessa.gazprom-neft.local/edo/card/18f31cfc-8755-43e2-8375-39962af9b9ff", "https://tessa.gazprom-neft.local/edo/card/18f31cfc-8755-43e2-8375-39962af9b9ff")</f>
        <v>https://tessa.gazprom-neft.local/edo/card/18f31cfc-8755-43e2-8375-39962af9b9ff</v>
      </c>
    </row>
    <row r="1298" spans="1:45" x14ac:dyDescent="0.25">
      <c r="A1298" s="6" t="s">
        <v>44</v>
      </c>
      <c r="B1298" s="7" t="s">
        <v>900</v>
      </c>
      <c r="C1298" s="7" t="s">
        <v>67</v>
      </c>
      <c r="D1298" s="8">
        <v>44953</v>
      </c>
      <c r="E1298" s="8" t="s">
        <v>0</v>
      </c>
      <c r="F1298" s="16" t="s">
        <v>901</v>
      </c>
      <c r="G1298" s="7" t="s">
        <v>902</v>
      </c>
      <c r="H1298" s="7" t="s">
        <v>894</v>
      </c>
      <c r="I1298" s="7" t="s">
        <v>0</v>
      </c>
      <c r="J1298" s="7" t="s">
        <v>872</v>
      </c>
      <c r="K1298" s="7" t="s">
        <v>47</v>
      </c>
      <c r="L1298" s="7" t="s">
        <v>48</v>
      </c>
      <c r="M1298" s="7" t="s">
        <v>0</v>
      </c>
      <c r="N1298" s="7" t="s">
        <v>1020</v>
      </c>
      <c r="O1298" s="7" t="s">
        <v>0</v>
      </c>
      <c r="P1298" s="7" t="s">
        <v>1021</v>
      </c>
      <c r="Q1298" s="7" t="s">
        <v>1022</v>
      </c>
      <c r="R1298" s="7" t="s">
        <v>898</v>
      </c>
      <c r="S1298" s="7" t="s">
        <v>898</v>
      </c>
      <c r="T1298" s="7" t="s">
        <v>54</v>
      </c>
      <c r="U1298" s="7" t="s">
        <v>899</v>
      </c>
      <c r="V1298" s="7" t="s">
        <v>126</v>
      </c>
      <c r="W1298" s="7" t="s">
        <v>74</v>
      </c>
      <c r="X1298" s="7" t="s">
        <v>58</v>
      </c>
      <c r="Y1298" s="8">
        <v>44958</v>
      </c>
      <c r="Z1298" s="8" t="s">
        <v>0</v>
      </c>
      <c r="AA1298" s="7" t="s">
        <v>224</v>
      </c>
      <c r="AB1298" s="7" t="s">
        <v>130</v>
      </c>
      <c r="AC1298" s="7" t="s">
        <v>65</v>
      </c>
      <c r="AD1298" s="7" t="s">
        <v>80</v>
      </c>
      <c r="AE1298" s="7" t="s">
        <v>0</v>
      </c>
      <c r="AF1298" s="7" t="s">
        <v>0</v>
      </c>
      <c r="AG1298" s="7" t="s">
        <v>0</v>
      </c>
      <c r="AH1298" s="9" t="s">
        <v>0</v>
      </c>
      <c r="AI1298" s="9" t="s">
        <v>0</v>
      </c>
      <c r="AJ1298" s="9" t="s">
        <v>0</v>
      </c>
      <c r="AK1298" s="7" t="s">
        <v>61</v>
      </c>
      <c r="AL1298" s="7" t="s">
        <v>61</v>
      </c>
      <c r="AM1298" s="7" t="s">
        <v>0</v>
      </c>
      <c r="AN1298" s="7" t="s">
        <v>0</v>
      </c>
      <c r="AO1298" s="7" t="s">
        <v>0</v>
      </c>
      <c r="AP1298" s="7" t="s">
        <v>0</v>
      </c>
      <c r="AQ1298" s="7" t="s">
        <v>61</v>
      </c>
      <c r="AR1298" s="7" t="s">
        <v>0</v>
      </c>
      <c r="AS1298" s="10" t="str">
        <f>HYPERLINK("https://tessa.gazprom-neft.local/edo/card/24853923-930d-4d97-bf12-ffdb1ebd1176", "https://tessa.gazprom-neft.local/edo/card/24853923-930d-4d97-bf12-ffdb1ebd1176")</f>
        <v>https://tessa.gazprom-neft.local/edo/card/24853923-930d-4d97-bf12-ffdb1ebd1176</v>
      </c>
    </row>
    <row r="1299" spans="1:45" x14ac:dyDescent="0.25">
      <c r="A1299" s="6" t="s">
        <v>44</v>
      </c>
      <c r="B1299" s="7" t="s">
        <v>900</v>
      </c>
      <c r="C1299" s="7" t="s">
        <v>67</v>
      </c>
      <c r="D1299" s="8">
        <v>44952</v>
      </c>
      <c r="E1299" s="8" t="s">
        <v>0</v>
      </c>
      <c r="F1299" s="16" t="s">
        <v>901</v>
      </c>
      <c r="G1299" s="7" t="s">
        <v>902</v>
      </c>
      <c r="H1299" s="7" t="s">
        <v>894</v>
      </c>
      <c r="I1299" s="7" t="s">
        <v>0</v>
      </c>
      <c r="J1299" s="7" t="s">
        <v>896</v>
      </c>
      <c r="K1299" s="7" t="s">
        <v>47</v>
      </c>
      <c r="L1299" s="7" t="s">
        <v>48</v>
      </c>
      <c r="M1299" s="7" t="s">
        <v>0</v>
      </c>
      <c r="N1299" s="7" t="s">
        <v>893</v>
      </c>
      <c r="O1299" s="7" t="s">
        <v>0</v>
      </c>
      <c r="P1299" s="7" t="s">
        <v>895</v>
      </c>
      <c r="Q1299" s="7" t="s">
        <v>897</v>
      </c>
      <c r="R1299" s="7" t="s">
        <v>898</v>
      </c>
      <c r="S1299" s="7" t="s">
        <v>898</v>
      </c>
      <c r="T1299" s="7" t="s">
        <v>54</v>
      </c>
      <c r="U1299" s="7" t="s">
        <v>899</v>
      </c>
      <c r="V1299" s="7" t="s">
        <v>126</v>
      </c>
      <c r="W1299" s="7" t="s">
        <v>74</v>
      </c>
      <c r="X1299" s="7" t="s">
        <v>58</v>
      </c>
      <c r="Y1299" s="8">
        <v>44952</v>
      </c>
      <c r="Z1299" s="8" t="s">
        <v>0</v>
      </c>
      <c r="AA1299" s="7" t="s">
        <v>224</v>
      </c>
      <c r="AB1299" s="7" t="s">
        <v>130</v>
      </c>
      <c r="AC1299" s="7" t="s">
        <v>65</v>
      </c>
      <c r="AD1299" s="7" t="s">
        <v>80</v>
      </c>
      <c r="AE1299" s="7" t="s">
        <v>0</v>
      </c>
      <c r="AF1299" s="7" t="s">
        <v>0</v>
      </c>
      <c r="AG1299" s="7" t="s">
        <v>0</v>
      </c>
      <c r="AH1299" s="9" t="s">
        <v>0</v>
      </c>
      <c r="AI1299" s="9" t="s">
        <v>0</v>
      </c>
      <c r="AJ1299" s="9" t="s">
        <v>0</v>
      </c>
      <c r="AK1299" s="7" t="s">
        <v>61</v>
      </c>
      <c r="AL1299" s="7" t="s">
        <v>61</v>
      </c>
      <c r="AM1299" s="7" t="s">
        <v>0</v>
      </c>
      <c r="AN1299" s="7" t="s">
        <v>0</v>
      </c>
      <c r="AO1299" s="7" t="s">
        <v>0</v>
      </c>
      <c r="AP1299" s="7" t="s">
        <v>0</v>
      </c>
      <c r="AQ1299" s="7" t="s">
        <v>61</v>
      </c>
      <c r="AR1299" s="7" t="s">
        <v>0</v>
      </c>
      <c r="AS1299" s="10" t="str">
        <f>HYPERLINK("https://tessa.gazprom-neft.local/edo/card/3e1dddb9-e8a0-44c6-9649-67b0aae37507", "https://tessa.gazprom-neft.local/edo/card/3e1dddb9-e8a0-44c6-9649-67b0aae37507")</f>
        <v>https://tessa.gazprom-neft.local/edo/card/3e1dddb9-e8a0-44c6-9649-67b0aae37507</v>
      </c>
    </row>
    <row r="1300" spans="1:45" x14ac:dyDescent="0.25">
      <c r="A1300" s="6" t="s">
        <v>44</v>
      </c>
      <c r="B1300" s="7" t="s">
        <v>971</v>
      </c>
      <c r="C1300" s="7" t="s">
        <v>67</v>
      </c>
      <c r="D1300" s="8">
        <v>44952</v>
      </c>
      <c r="E1300" s="8" t="s">
        <v>0</v>
      </c>
      <c r="F1300" s="16" t="s">
        <v>972</v>
      </c>
      <c r="G1300" s="7" t="s">
        <v>973</v>
      </c>
      <c r="H1300" s="7" t="s">
        <v>968</v>
      </c>
      <c r="I1300" s="7" t="s">
        <v>0</v>
      </c>
      <c r="J1300" s="7" t="s">
        <v>271</v>
      </c>
      <c r="K1300" s="7" t="s">
        <v>47</v>
      </c>
      <c r="L1300" s="7" t="s">
        <v>48</v>
      </c>
      <c r="M1300" s="7" t="s">
        <v>0</v>
      </c>
      <c r="N1300" s="7" t="s">
        <v>967</v>
      </c>
      <c r="O1300" s="7" t="s">
        <v>0</v>
      </c>
      <c r="P1300" s="7" t="s">
        <v>969</v>
      </c>
      <c r="Q1300" s="7" t="s">
        <v>970</v>
      </c>
      <c r="R1300" s="7" t="s">
        <v>549</v>
      </c>
      <c r="S1300" s="7" t="s">
        <v>549</v>
      </c>
      <c r="T1300" s="7" t="s">
        <v>54</v>
      </c>
      <c r="U1300" s="7" t="s">
        <v>303</v>
      </c>
      <c r="V1300" s="7" t="s">
        <v>91</v>
      </c>
      <c r="W1300" s="7" t="s">
        <v>74</v>
      </c>
      <c r="X1300" s="7" t="s">
        <v>103</v>
      </c>
      <c r="Y1300" s="8">
        <v>44952</v>
      </c>
      <c r="Z1300" s="8">
        <v>45716</v>
      </c>
      <c r="AA1300" s="7" t="s">
        <v>92</v>
      </c>
      <c r="AB1300" s="7" t="s">
        <v>64</v>
      </c>
      <c r="AC1300" s="7" t="s">
        <v>65</v>
      </c>
      <c r="AD1300" s="7" t="s">
        <v>80</v>
      </c>
      <c r="AE1300" s="7" t="s">
        <v>0</v>
      </c>
      <c r="AF1300" s="7" t="s">
        <v>0</v>
      </c>
      <c r="AG1300" s="7" t="s">
        <v>0</v>
      </c>
      <c r="AH1300" s="9" t="s">
        <v>0</v>
      </c>
      <c r="AI1300" s="9" t="s">
        <v>0</v>
      </c>
      <c r="AJ1300" s="9" t="s">
        <v>0</v>
      </c>
      <c r="AK1300" s="7" t="s">
        <v>61</v>
      </c>
      <c r="AL1300" s="7" t="s">
        <v>61</v>
      </c>
      <c r="AM1300" s="7" t="s">
        <v>0</v>
      </c>
      <c r="AN1300" s="7" t="s">
        <v>0</v>
      </c>
      <c r="AO1300" s="7" t="s">
        <v>0</v>
      </c>
      <c r="AP1300" s="7" t="s">
        <v>0</v>
      </c>
      <c r="AQ1300" s="7" t="s">
        <v>61</v>
      </c>
      <c r="AR1300" s="7" t="s">
        <v>0</v>
      </c>
      <c r="AS1300" s="10" t="str">
        <f>HYPERLINK("https://tessa.gazprom-neft.local/edo/card/1eeee728-06ac-4e79-bd97-f16a233bed00", "https://tessa.gazprom-neft.local/edo/card/1eeee728-06ac-4e79-bd97-f16a233bed00")</f>
        <v>https://tessa.gazprom-neft.local/edo/card/1eeee728-06ac-4e79-bd97-f16a233bed00</v>
      </c>
    </row>
    <row r="1301" spans="1:45" hidden="1" x14ac:dyDescent="0.25">
      <c r="A1301" s="6" t="s">
        <v>44</v>
      </c>
      <c r="B1301" s="7" t="s">
        <v>988</v>
      </c>
      <c r="C1301" s="7" t="s">
        <v>67</v>
      </c>
      <c r="D1301" s="8">
        <v>44952</v>
      </c>
      <c r="E1301" s="8" t="s">
        <v>0</v>
      </c>
      <c r="F1301" s="16" t="s">
        <v>989</v>
      </c>
      <c r="G1301" s="7" t="s">
        <v>990</v>
      </c>
      <c r="H1301" s="7" t="s">
        <v>985</v>
      </c>
      <c r="I1301" s="7" t="s">
        <v>0</v>
      </c>
      <c r="J1301" s="7" t="s">
        <v>51</v>
      </c>
      <c r="K1301" s="7" t="s">
        <v>47</v>
      </c>
      <c r="L1301" s="7" t="s">
        <v>389</v>
      </c>
      <c r="M1301" s="7" t="s">
        <v>0</v>
      </c>
      <c r="N1301" s="7" t="s">
        <v>984</v>
      </c>
      <c r="O1301" s="7" t="s">
        <v>51</v>
      </c>
      <c r="P1301" s="7" t="s">
        <v>986</v>
      </c>
      <c r="Q1301" s="7" t="s">
        <v>987</v>
      </c>
      <c r="R1301" s="7" t="s">
        <v>505</v>
      </c>
      <c r="S1301" s="7" t="s">
        <v>505</v>
      </c>
      <c r="T1301" s="7" t="s">
        <v>54</v>
      </c>
      <c r="U1301" s="7" t="s">
        <v>283</v>
      </c>
      <c r="V1301" s="7" t="s">
        <v>168</v>
      </c>
      <c r="W1301" s="7" t="s">
        <v>74</v>
      </c>
      <c r="X1301" s="7" t="s">
        <v>103</v>
      </c>
      <c r="Y1301" s="8">
        <v>44847</v>
      </c>
      <c r="Z1301" s="8">
        <v>45019</v>
      </c>
      <c r="AA1301" s="7" t="s">
        <v>169</v>
      </c>
      <c r="AB1301" s="7" t="s">
        <v>130</v>
      </c>
      <c r="AC1301" s="7" t="s">
        <v>79</v>
      </c>
      <c r="AD1301" s="7" t="s">
        <v>80</v>
      </c>
      <c r="AE1301" s="7" t="s">
        <v>82</v>
      </c>
      <c r="AF1301" s="7" t="s">
        <v>0</v>
      </c>
      <c r="AG1301" s="7" t="s">
        <v>0</v>
      </c>
      <c r="AH1301" s="9" t="s">
        <v>10880</v>
      </c>
      <c r="AI1301" s="9" t="s">
        <v>10881</v>
      </c>
      <c r="AJ1301" s="9" t="s">
        <v>10882</v>
      </c>
      <c r="AK1301" s="7" t="s">
        <v>61</v>
      </c>
      <c r="AL1301" s="7" t="s">
        <v>61</v>
      </c>
      <c r="AM1301" s="7" t="s">
        <v>0</v>
      </c>
      <c r="AN1301" s="7" t="s">
        <v>0</v>
      </c>
      <c r="AO1301" s="7" t="s">
        <v>0</v>
      </c>
      <c r="AP1301" s="7" t="s">
        <v>0</v>
      </c>
      <c r="AQ1301" s="7" t="s">
        <v>61</v>
      </c>
      <c r="AR1301" s="7" t="s">
        <v>0</v>
      </c>
      <c r="AS1301" s="10" t="str">
        <f>HYPERLINK("https://tessa.gazprom-neft.local/edo/card/7d9fd0f0-b9e1-4f5f-98af-248347d438c0", "https://tessa.gazprom-neft.local/edo/card/7d9fd0f0-b9e1-4f5f-98af-248347d438c0")</f>
        <v>https://tessa.gazprom-neft.local/edo/card/7d9fd0f0-b9e1-4f5f-98af-248347d438c0</v>
      </c>
    </row>
    <row r="1302" spans="1:45" x14ac:dyDescent="0.25">
      <c r="A1302" s="6" t="s">
        <v>44</v>
      </c>
      <c r="B1302" s="7" t="s">
        <v>971</v>
      </c>
      <c r="C1302" s="7" t="s">
        <v>67</v>
      </c>
      <c r="D1302" s="8">
        <v>44952</v>
      </c>
      <c r="E1302" s="8" t="s">
        <v>0</v>
      </c>
      <c r="F1302" s="16" t="s">
        <v>972</v>
      </c>
      <c r="G1302" s="7" t="s">
        <v>973</v>
      </c>
      <c r="H1302" s="7" t="s">
        <v>998</v>
      </c>
      <c r="I1302" s="7" t="s">
        <v>0</v>
      </c>
      <c r="J1302" s="7" t="s">
        <v>872</v>
      </c>
      <c r="K1302" s="7" t="s">
        <v>47</v>
      </c>
      <c r="L1302" s="7" t="s">
        <v>48</v>
      </c>
      <c r="M1302" s="7" t="s">
        <v>0</v>
      </c>
      <c r="N1302" s="7" t="s">
        <v>997</v>
      </c>
      <c r="O1302" s="7" t="s">
        <v>0</v>
      </c>
      <c r="P1302" s="7" t="s">
        <v>999</v>
      </c>
      <c r="Q1302" s="7" t="s">
        <v>970</v>
      </c>
      <c r="R1302" s="7" t="s">
        <v>549</v>
      </c>
      <c r="S1302" s="7" t="s">
        <v>549</v>
      </c>
      <c r="T1302" s="7" t="s">
        <v>54</v>
      </c>
      <c r="U1302" s="7" t="s">
        <v>303</v>
      </c>
      <c r="V1302" s="7" t="s">
        <v>91</v>
      </c>
      <c r="W1302" s="7" t="s">
        <v>74</v>
      </c>
      <c r="X1302" s="7" t="s">
        <v>103</v>
      </c>
      <c r="Y1302" s="8">
        <v>44952</v>
      </c>
      <c r="Z1302" s="8">
        <v>45351</v>
      </c>
      <c r="AA1302" s="7" t="s">
        <v>92</v>
      </c>
      <c r="AB1302" s="7" t="s">
        <v>64</v>
      </c>
      <c r="AC1302" s="7" t="s">
        <v>65</v>
      </c>
      <c r="AD1302" s="7" t="s">
        <v>144</v>
      </c>
      <c r="AE1302" s="7" t="s">
        <v>0</v>
      </c>
      <c r="AF1302" s="7" t="s">
        <v>0</v>
      </c>
      <c r="AG1302" s="7" t="s">
        <v>0</v>
      </c>
      <c r="AH1302" s="9" t="s">
        <v>0</v>
      </c>
      <c r="AI1302" s="9" t="s">
        <v>0</v>
      </c>
      <c r="AJ1302" s="9" t="s">
        <v>0</v>
      </c>
      <c r="AK1302" s="7" t="s">
        <v>61</v>
      </c>
      <c r="AL1302" s="7" t="s">
        <v>61</v>
      </c>
      <c r="AM1302" s="7" t="s">
        <v>0</v>
      </c>
      <c r="AN1302" s="7" t="s">
        <v>0</v>
      </c>
      <c r="AO1302" s="7" t="s">
        <v>0</v>
      </c>
      <c r="AP1302" s="7" t="s">
        <v>0</v>
      </c>
      <c r="AQ1302" s="7" t="s">
        <v>61</v>
      </c>
      <c r="AR1302" s="7" t="s">
        <v>0</v>
      </c>
      <c r="AS1302" s="10" t="str">
        <f>HYPERLINK("https://tessa.gazprom-neft.local/edo/card/5224226f-84db-49e8-b23c-dd622ec3fb7b", "https://tessa.gazprom-neft.local/edo/card/5224226f-84db-49e8-b23c-dd622ec3fb7b")</f>
        <v>https://tessa.gazprom-neft.local/edo/card/5224226f-84db-49e8-b23c-dd622ec3fb7b</v>
      </c>
    </row>
    <row r="1303" spans="1:45" x14ac:dyDescent="0.25">
      <c r="A1303" s="6" t="s">
        <v>44</v>
      </c>
      <c r="B1303" s="7" t="s">
        <v>971</v>
      </c>
      <c r="C1303" s="7" t="s">
        <v>67</v>
      </c>
      <c r="D1303" s="8">
        <v>44952</v>
      </c>
      <c r="E1303" s="8" t="s">
        <v>0</v>
      </c>
      <c r="F1303" s="16" t="s">
        <v>972</v>
      </c>
      <c r="G1303" s="7" t="s">
        <v>973</v>
      </c>
      <c r="H1303" s="7" t="s">
        <v>1006</v>
      </c>
      <c r="I1303" s="7" t="s">
        <v>0</v>
      </c>
      <c r="J1303" s="7" t="s">
        <v>51</v>
      </c>
      <c r="K1303" s="7" t="s">
        <v>47</v>
      </c>
      <c r="L1303" s="7" t="s">
        <v>48</v>
      </c>
      <c r="M1303" s="7" t="s">
        <v>0</v>
      </c>
      <c r="N1303" s="7" t="s">
        <v>1005</v>
      </c>
      <c r="O1303" s="7" t="s">
        <v>0</v>
      </c>
      <c r="P1303" s="7" t="s">
        <v>1007</v>
      </c>
      <c r="Q1303" s="7" t="s">
        <v>970</v>
      </c>
      <c r="R1303" s="7" t="s">
        <v>549</v>
      </c>
      <c r="S1303" s="7" t="s">
        <v>549</v>
      </c>
      <c r="T1303" s="7" t="s">
        <v>54</v>
      </c>
      <c r="U1303" s="7" t="s">
        <v>303</v>
      </c>
      <c r="V1303" s="7" t="s">
        <v>91</v>
      </c>
      <c r="W1303" s="7" t="s">
        <v>74</v>
      </c>
      <c r="X1303" s="7" t="s">
        <v>103</v>
      </c>
      <c r="Y1303" s="8">
        <v>44952</v>
      </c>
      <c r="Z1303" s="8">
        <v>45199</v>
      </c>
      <c r="AA1303" s="7" t="s">
        <v>92</v>
      </c>
      <c r="AB1303" s="7" t="s">
        <v>64</v>
      </c>
      <c r="AC1303" s="7" t="s">
        <v>65</v>
      </c>
      <c r="AD1303" s="7" t="s">
        <v>80</v>
      </c>
      <c r="AE1303" s="7" t="s">
        <v>0</v>
      </c>
      <c r="AF1303" s="7" t="s">
        <v>0</v>
      </c>
      <c r="AG1303" s="7" t="s">
        <v>0</v>
      </c>
      <c r="AH1303" s="9" t="s">
        <v>0</v>
      </c>
      <c r="AI1303" s="9" t="s">
        <v>0</v>
      </c>
      <c r="AJ1303" s="9" t="s">
        <v>0</v>
      </c>
      <c r="AK1303" s="7" t="s">
        <v>61</v>
      </c>
      <c r="AL1303" s="7" t="s">
        <v>61</v>
      </c>
      <c r="AM1303" s="7" t="s">
        <v>0</v>
      </c>
      <c r="AN1303" s="7" t="s">
        <v>0</v>
      </c>
      <c r="AO1303" s="7" t="s">
        <v>0</v>
      </c>
      <c r="AP1303" s="7" t="s">
        <v>0</v>
      </c>
      <c r="AQ1303" s="7" t="s">
        <v>61</v>
      </c>
      <c r="AR1303" s="7" t="s">
        <v>0</v>
      </c>
      <c r="AS1303" s="10" t="str">
        <f>HYPERLINK("https://tessa.gazprom-neft.local/edo/card/6222f480-08ec-47d4-bc71-6d135262c486", "https://tessa.gazprom-neft.local/edo/card/6222f480-08ec-47d4-bc71-6d135262c486")</f>
        <v>https://tessa.gazprom-neft.local/edo/card/6222f480-08ec-47d4-bc71-6d135262c486</v>
      </c>
    </row>
    <row r="1304" spans="1:45" hidden="1" x14ac:dyDescent="0.25">
      <c r="A1304" s="6" t="s">
        <v>44</v>
      </c>
      <c r="B1304" s="7" t="s">
        <v>542</v>
      </c>
      <c r="C1304" s="7" t="s">
        <v>67</v>
      </c>
      <c r="D1304" s="8">
        <v>44952</v>
      </c>
      <c r="E1304" s="8" t="s">
        <v>0</v>
      </c>
      <c r="F1304" s="16" t="s">
        <v>543</v>
      </c>
      <c r="G1304" s="7" t="s">
        <v>544</v>
      </c>
      <c r="H1304" s="7" t="s">
        <v>1130</v>
      </c>
      <c r="I1304" s="7" t="s">
        <v>0</v>
      </c>
      <c r="J1304" s="7" t="s">
        <v>1132</v>
      </c>
      <c r="K1304" s="7" t="s">
        <v>47</v>
      </c>
      <c r="L1304" s="7" t="s">
        <v>239</v>
      </c>
      <c r="M1304" s="7" t="s">
        <v>0</v>
      </c>
      <c r="N1304" s="7" t="s">
        <v>1129</v>
      </c>
      <c r="O1304" s="7" t="s">
        <v>0</v>
      </c>
      <c r="P1304" s="7" t="s">
        <v>1131</v>
      </c>
      <c r="Q1304" s="7" t="s">
        <v>1133</v>
      </c>
      <c r="R1304" s="7" t="s">
        <v>244</v>
      </c>
      <c r="S1304" s="7" t="s">
        <v>0</v>
      </c>
      <c r="T1304" s="7" t="s">
        <v>54</v>
      </c>
      <c r="U1304" s="7" t="s">
        <v>55</v>
      </c>
      <c r="V1304" s="7" t="s">
        <v>56</v>
      </c>
      <c r="W1304" s="7" t="s">
        <v>57</v>
      </c>
      <c r="X1304" s="7" t="s">
        <v>103</v>
      </c>
      <c r="Y1304" s="8">
        <v>44952</v>
      </c>
      <c r="Z1304" s="8">
        <v>45107</v>
      </c>
      <c r="AA1304" s="7" t="s">
        <v>59</v>
      </c>
      <c r="AB1304" s="7" t="s">
        <v>256</v>
      </c>
      <c r="AC1304" s="7" t="s">
        <v>79</v>
      </c>
      <c r="AD1304" s="7" t="s">
        <v>144</v>
      </c>
      <c r="AE1304" s="7" t="s">
        <v>82</v>
      </c>
      <c r="AF1304" s="7" t="s">
        <v>0</v>
      </c>
      <c r="AG1304" s="7" t="s">
        <v>0</v>
      </c>
      <c r="AH1304" s="9" t="s">
        <v>10933</v>
      </c>
      <c r="AI1304" s="9" t="s">
        <v>10934</v>
      </c>
      <c r="AJ1304" s="9" t="s">
        <v>10935</v>
      </c>
      <c r="AK1304" s="7" t="s">
        <v>61</v>
      </c>
      <c r="AL1304" s="7" t="s">
        <v>61</v>
      </c>
      <c r="AM1304" s="7" t="s">
        <v>0</v>
      </c>
      <c r="AN1304" s="7" t="s">
        <v>0</v>
      </c>
      <c r="AO1304" s="7" t="s">
        <v>0</v>
      </c>
      <c r="AP1304" s="7" t="s">
        <v>0</v>
      </c>
      <c r="AQ1304" s="7" t="s">
        <v>61</v>
      </c>
      <c r="AR1304" s="7" t="s">
        <v>0</v>
      </c>
      <c r="AS1304" s="10" t="str">
        <f>HYPERLINK("https://tessa.gazprom-neft.local/edo/card/9470abab-58c9-418a-a5f7-7f5e46563e13", "https://tessa.gazprom-neft.local/edo/card/9470abab-58c9-418a-a5f7-7f5e46563e13")</f>
        <v>https://tessa.gazprom-neft.local/edo/card/9470abab-58c9-418a-a5f7-7f5e46563e13</v>
      </c>
    </row>
    <row r="1305" spans="1:45" x14ac:dyDescent="0.25">
      <c r="A1305" s="6" t="s">
        <v>44</v>
      </c>
      <c r="B1305" s="7" t="s">
        <v>488</v>
      </c>
      <c r="C1305" s="7" t="s">
        <v>67</v>
      </c>
      <c r="D1305" s="8">
        <v>44951</v>
      </c>
      <c r="E1305" s="8" t="s">
        <v>0</v>
      </c>
      <c r="F1305" s="16" t="s">
        <v>489</v>
      </c>
      <c r="G1305" s="7" t="s">
        <v>490</v>
      </c>
      <c r="H1305" s="7" t="s">
        <v>870</v>
      </c>
      <c r="I1305" s="7" t="s">
        <v>0</v>
      </c>
      <c r="J1305" s="7" t="s">
        <v>872</v>
      </c>
      <c r="K1305" s="7" t="s">
        <v>47</v>
      </c>
      <c r="L1305" s="7" t="s">
        <v>48</v>
      </c>
      <c r="M1305" s="7" t="s">
        <v>0</v>
      </c>
      <c r="N1305" s="7" t="s">
        <v>869</v>
      </c>
      <c r="O1305" s="7" t="s">
        <v>0</v>
      </c>
      <c r="P1305" s="7" t="s">
        <v>871</v>
      </c>
      <c r="Q1305" s="7" t="s">
        <v>873</v>
      </c>
      <c r="R1305" s="7" t="s">
        <v>282</v>
      </c>
      <c r="S1305" s="7" t="s">
        <v>0</v>
      </c>
      <c r="T1305" s="7" t="s">
        <v>54</v>
      </c>
      <c r="U1305" s="7" t="s">
        <v>55</v>
      </c>
      <c r="V1305" s="7" t="s">
        <v>56</v>
      </c>
      <c r="W1305" s="7" t="s">
        <v>74</v>
      </c>
      <c r="X1305" s="7" t="s">
        <v>103</v>
      </c>
      <c r="Y1305" s="8">
        <v>44951</v>
      </c>
      <c r="Z1305" s="8">
        <v>45657</v>
      </c>
      <c r="AA1305" s="7" t="s">
        <v>0</v>
      </c>
      <c r="AB1305" s="7" t="s">
        <v>130</v>
      </c>
      <c r="AC1305" s="7" t="s">
        <v>79</v>
      </c>
      <c r="AD1305" s="7" t="s">
        <v>144</v>
      </c>
      <c r="AE1305" s="7" t="s">
        <v>82</v>
      </c>
      <c r="AF1305" s="7" t="s">
        <v>0</v>
      </c>
      <c r="AG1305" s="7" t="s">
        <v>0</v>
      </c>
      <c r="AH1305" s="9" t="s">
        <v>10848</v>
      </c>
      <c r="AI1305" s="9" t="s">
        <v>10849</v>
      </c>
      <c r="AJ1305" s="9" t="s">
        <v>10850</v>
      </c>
      <c r="AK1305" s="7" t="s">
        <v>61</v>
      </c>
      <c r="AL1305" s="7" t="s">
        <v>61</v>
      </c>
      <c r="AM1305" s="7" t="s">
        <v>0</v>
      </c>
      <c r="AN1305" s="7" t="s">
        <v>0</v>
      </c>
      <c r="AO1305" s="7" t="s">
        <v>0</v>
      </c>
      <c r="AP1305" s="7" t="s">
        <v>0</v>
      </c>
      <c r="AQ1305" s="7" t="s">
        <v>61</v>
      </c>
      <c r="AR1305" s="7" t="s">
        <v>0</v>
      </c>
      <c r="AS1305" s="10" t="str">
        <f>HYPERLINK("https://tessa.gazprom-neft.local/edo/card/764ae4b0-fa5d-4c44-8a81-b37145777804", "https://tessa.gazprom-neft.local/edo/card/764ae4b0-fa5d-4c44-8a81-b37145777804")</f>
        <v>https://tessa.gazprom-neft.local/edo/card/764ae4b0-fa5d-4c44-8a81-b37145777804</v>
      </c>
    </row>
    <row r="1306" spans="1:45" hidden="1" x14ac:dyDescent="0.25">
      <c r="A1306" s="6" t="s">
        <v>44</v>
      </c>
      <c r="B1306" s="7" t="s">
        <v>1240</v>
      </c>
      <c r="C1306" s="7" t="s">
        <v>67</v>
      </c>
      <c r="D1306" s="8">
        <v>44951</v>
      </c>
      <c r="E1306" s="8" t="s">
        <v>0</v>
      </c>
      <c r="F1306" s="16" t="s">
        <v>1241</v>
      </c>
      <c r="G1306" s="7" t="s">
        <v>1242</v>
      </c>
      <c r="H1306" s="7" t="s">
        <v>1237</v>
      </c>
      <c r="I1306" s="7" t="s">
        <v>0</v>
      </c>
      <c r="J1306" s="7" t="s">
        <v>51</v>
      </c>
      <c r="K1306" s="7" t="s">
        <v>47</v>
      </c>
      <c r="L1306" s="7" t="s">
        <v>389</v>
      </c>
      <c r="M1306" s="7" t="s">
        <v>0</v>
      </c>
      <c r="N1306" s="7" t="s">
        <v>1236</v>
      </c>
      <c r="O1306" s="7" t="s">
        <v>271</v>
      </c>
      <c r="P1306" s="7" t="s">
        <v>1238</v>
      </c>
      <c r="Q1306" s="7" t="s">
        <v>1239</v>
      </c>
      <c r="R1306" s="7" t="s">
        <v>393</v>
      </c>
      <c r="S1306" s="7" t="s">
        <v>0</v>
      </c>
      <c r="T1306" s="7" t="s">
        <v>54</v>
      </c>
      <c r="U1306" s="7" t="s">
        <v>222</v>
      </c>
      <c r="V1306" s="7" t="s">
        <v>126</v>
      </c>
      <c r="W1306" s="7" t="s">
        <v>74</v>
      </c>
      <c r="X1306" s="7" t="s">
        <v>58</v>
      </c>
      <c r="Y1306" s="8">
        <v>44974</v>
      </c>
      <c r="Z1306" s="8" t="s">
        <v>0</v>
      </c>
      <c r="AA1306" s="7" t="s">
        <v>224</v>
      </c>
      <c r="AB1306" s="7" t="s">
        <v>1243</v>
      </c>
      <c r="AC1306" s="7" t="s">
        <v>79</v>
      </c>
      <c r="AD1306" s="7" t="s">
        <v>144</v>
      </c>
      <c r="AE1306" s="7" t="s">
        <v>82</v>
      </c>
      <c r="AF1306" s="7" t="s">
        <v>0</v>
      </c>
      <c r="AG1306" s="7" t="s">
        <v>0</v>
      </c>
      <c r="AH1306" s="9" t="s">
        <v>10964</v>
      </c>
      <c r="AI1306" s="9" t="s">
        <v>10965</v>
      </c>
      <c r="AJ1306" s="9" t="s">
        <v>10966</v>
      </c>
      <c r="AK1306" s="7" t="s">
        <v>61</v>
      </c>
      <c r="AL1306" s="7" t="s">
        <v>61</v>
      </c>
      <c r="AM1306" s="7" t="s">
        <v>0</v>
      </c>
      <c r="AN1306" s="7" t="s">
        <v>0</v>
      </c>
      <c r="AO1306" s="7" t="s">
        <v>0</v>
      </c>
      <c r="AP1306" s="7" t="s">
        <v>0</v>
      </c>
      <c r="AQ1306" s="7" t="s">
        <v>61</v>
      </c>
      <c r="AR1306" s="7" t="s">
        <v>0</v>
      </c>
      <c r="AS1306" s="10" t="str">
        <f>HYPERLINK("https://tessa.gazprom-neft.local/edo/card/323cb33b-55de-4312-93f4-7358f512a471", "https://tessa.gazprom-neft.local/edo/card/323cb33b-55de-4312-93f4-7358f512a471")</f>
        <v>https://tessa.gazprom-neft.local/edo/card/323cb33b-55de-4312-93f4-7358f512a471</v>
      </c>
    </row>
    <row r="1307" spans="1:45" hidden="1" x14ac:dyDescent="0.25">
      <c r="A1307" s="6" t="s">
        <v>44</v>
      </c>
      <c r="B1307" s="7" t="s">
        <v>1240</v>
      </c>
      <c r="C1307" s="7" t="s">
        <v>67</v>
      </c>
      <c r="D1307" s="8">
        <v>44951</v>
      </c>
      <c r="E1307" s="8" t="s">
        <v>0</v>
      </c>
      <c r="F1307" s="16" t="s">
        <v>1241</v>
      </c>
      <c r="G1307" s="7" t="s">
        <v>1242</v>
      </c>
      <c r="H1307" s="7" t="s">
        <v>1237</v>
      </c>
      <c r="I1307" s="7" t="s">
        <v>0</v>
      </c>
      <c r="J1307" s="7" t="s">
        <v>51</v>
      </c>
      <c r="K1307" s="7" t="s">
        <v>47</v>
      </c>
      <c r="L1307" s="7" t="s">
        <v>389</v>
      </c>
      <c r="M1307" s="7" t="s">
        <v>0</v>
      </c>
      <c r="N1307" s="7" t="s">
        <v>1258</v>
      </c>
      <c r="O1307" s="7" t="s">
        <v>51</v>
      </c>
      <c r="P1307" s="7" t="s">
        <v>1259</v>
      </c>
      <c r="Q1307" s="7" t="s">
        <v>1260</v>
      </c>
      <c r="R1307" s="7" t="s">
        <v>393</v>
      </c>
      <c r="S1307" s="7" t="s">
        <v>1261</v>
      </c>
      <c r="T1307" s="7" t="s">
        <v>54</v>
      </c>
      <c r="U1307" s="7" t="s">
        <v>222</v>
      </c>
      <c r="V1307" s="7" t="s">
        <v>126</v>
      </c>
      <c r="W1307" s="7" t="s">
        <v>74</v>
      </c>
      <c r="X1307" s="7" t="s">
        <v>58</v>
      </c>
      <c r="Y1307" s="8">
        <v>45002</v>
      </c>
      <c r="Z1307" s="8" t="s">
        <v>0</v>
      </c>
      <c r="AA1307" s="7" t="s">
        <v>224</v>
      </c>
      <c r="AB1307" s="7" t="s">
        <v>1243</v>
      </c>
      <c r="AC1307" s="7" t="s">
        <v>79</v>
      </c>
      <c r="AD1307" s="7" t="s">
        <v>144</v>
      </c>
      <c r="AE1307" s="7" t="s">
        <v>82</v>
      </c>
      <c r="AF1307" s="7" t="s">
        <v>0</v>
      </c>
      <c r="AG1307" s="7" t="s">
        <v>0</v>
      </c>
      <c r="AH1307" s="9" t="s">
        <v>10973</v>
      </c>
      <c r="AI1307" s="9" t="s">
        <v>10974</v>
      </c>
      <c r="AJ1307" s="9" t="s">
        <v>10975</v>
      </c>
      <c r="AK1307" s="7" t="s">
        <v>61</v>
      </c>
      <c r="AL1307" s="7" t="s">
        <v>61</v>
      </c>
      <c r="AM1307" s="7" t="s">
        <v>0</v>
      </c>
      <c r="AN1307" s="7" t="s">
        <v>0</v>
      </c>
      <c r="AO1307" s="7" t="s">
        <v>0</v>
      </c>
      <c r="AP1307" s="7" t="s">
        <v>0</v>
      </c>
      <c r="AQ1307" s="7" t="s">
        <v>61</v>
      </c>
      <c r="AR1307" s="7" t="s">
        <v>0</v>
      </c>
      <c r="AS1307" s="10" t="str">
        <f>HYPERLINK("https://tessa.gazprom-neft.local/edo/card/59117ac3-db29-4917-889d-c731068c1e78", "https://tessa.gazprom-neft.local/edo/card/59117ac3-db29-4917-889d-c731068c1e78")</f>
        <v>https://tessa.gazprom-neft.local/edo/card/59117ac3-db29-4917-889d-c731068c1e78</v>
      </c>
    </row>
    <row r="1308" spans="1:45" hidden="1" x14ac:dyDescent="0.25">
      <c r="A1308" s="6" t="s">
        <v>44</v>
      </c>
      <c r="B1308" s="7" t="s">
        <v>582</v>
      </c>
      <c r="C1308" s="7" t="s">
        <v>67</v>
      </c>
      <c r="D1308" s="8">
        <v>44950</v>
      </c>
      <c r="E1308" s="8" t="s">
        <v>0</v>
      </c>
      <c r="F1308" s="16" t="s">
        <v>583</v>
      </c>
      <c r="G1308" s="7" t="s">
        <v>584</v>
      </c>
      <c r="H1308" s="7" t="s">
        <v>0</v>
      </c>
      <c r="I1308" s="7" t="s">
        <v>822</v>
      </c>
      <c r="J1308" s="7" t="s">
        <v>822</v>
      </c>
      <c r="K1308" s="7" t="s">
        <v>85</v>
      </c>
      <c r="L1308" s="7" t="s">
        <v>96</v>
      </c>
      <c r="M1308" s="7" t="s">
        <v>398</v>
      </c>
      <c r="N1308" s="7" t="s">
        <v>821</v>
      </c>
      <c r="O1308" s="7" t="s">
        <v>0</v>
      </c>
      <c r="P1308" s="7" t="s">
        <v>823</v>
      </c>
      <c r="Q1308" s="7" t="s">
        <v>402</v>
      </c>
      <c r="R1308" s="7" t="s">
        <v>361</v>
      </c>
      <c r="S1308" s="7" t="s">
        <v>361</v>
      </c>
      <c r="T1308" s="7" t="s">
        <v>54</v>
      </c>
      <c r="U1308" s="7" t="s">
        <v>362</v>
      </c>
      <c r="V1308" s="7" t="s">
        <v>295</v>
      </c>
      <c r="W1308" s="7" t="s">
        <v>74</v>
      </c>
      <c r="X1308" s="7" t="s">
        <v>103</v>
      </c>
      <c r="Y1308" s="8">
        <v>44958</v>
      </c>
      <c r="Z1308" s="8">
        <v>45291</v>
      </c>
      <c r="AA1308" s="7" t="s">
        <v>296</v>
      </c>
      <c r="AB1308" s="7" t="s">
        <v>366</v>
      </c>
      <c r="AC1308" s="7" t="s">
        <v>278</v>
      </c>
      <c r="AD1308" s="7" t="s">
        <v>367</v>
      </c>
      <c r="AE1308" s="7" t="s">
        <v>82</v>
      </c>
      <c r="AF1308" s="7" t="s">
        <v>0</v>
      </c>
      <c r="AG1308" s="7" t="s">
        <v>0</v>
      </c>
      <c r="AH1308" s="9" t="s">
        <v>10838</v>
      </c>
      <c r="AI1308" s="9" t="s">
        <v>10839</v>
      </c>
      <c r="AJ1308" s="9" t="s">
        <v>10840</v>
      </c>
      <c r="AK1308" s="7" t="s">
        <v>61</v>
      </c>
      <c r="AL1308" s="7" t="s">
        <v>61</v>
      </c>
      <c r="AM1308" s="7" t="s">
        <v>0</v>
      </c>
      <c r="AN1308" s="7" t="s">
        <v>0</v>
      </c>
      <c r="AO1308" s="7" t="s">
        <v>0</v>
      </c>
      <c r="AP1308" s="7" t="s">
        <v>0</v>
      </c>
      <c r="AQ1308" s="7" t="s">
        <v>61</v>
      </c>
      <c r="AR1308" s="7" t="s">
        <v>0</v>
      </c>
      <c r="AS1308" s="10" t="str">
        <f>HYPERLINK("https://tessa.gazprom-neft.local/edo/card/b8ef4e4f-097d-413d-a641-aa7c4a5dee39", "https://tessa.gazprom-neft.local/edo/card/b8ef4e4f-097d-413d-a641-aa7c4a5dee39")</f>
        <v>https://tessa.gazprom-neft.local/edo/card/b8ef4e4f-097d-413d-a641-aa7c4a5dee39</v>
      </c>
    </row>
    <row r="1309" spans="1:45" hidden="1" x14ac:dyDescent="0.25">
      <c r="A1309" s="6" t="s">
        <v>44</v>
      </c>
      <c r="B1309" s="7" t="s">
        <v>395</v>
      </c>
      <c r="C1309" s="7" t="s">
        <v>67</v>
      </c>
      <c r="D1309" s="8">
        <v>44949</v>
      </c>
      <c r="E1309" s="8" t="s">
        <v>0</v>
      </c>
      <c r="F1309" s="16" t="s">
        <v>396</v>
      </c>
      <c r="G1309" s="7" t="s">
        <v>397</v>
      </c>
      <c r="H1309" s="7" t="s">
        <v>390</v>
      </c>
      <c r="I1309" s="7" t="s">
        <v>0</v>
      </c>
      <c r="J1309" s="7" t="s">
        <v>51</v>
      </c>
      <c r="K1309" s="7" t="s">
        <v>47</v>
      </c>
      <c r="L1309" s="7" t="s">
        <v>389</v>
      </c>
      <c r="M1309" s="7" t="s">
        <v>0</v>
      </c>
      <c r="N1309" s="7" t="s">
        <v>388</v>
      </c>
      <c r="O1309" s="7" t="s">
        <v>51</v>
      </c>
      <c r="P1309" s="7" t="s">
        <v>391</v>
      </c>
      <c r="Q1309" s="7" t="s">
        <v>392</v>
      </c>
      <c r="R1309" s="7" t="s">
        <v>393</v>
      </c>
      <c r="S1309" s="7" t="s">
        <v>394</v>
      </c>
      <c r="T1309" s="7" t="s">
        <v>54</v>
      </c>
      <c r="U1309" s="7" t="s">
        <v>222</v>
      </c>
      <c r="V1309" s="7" t="s">
        <v>126</v>
      </c>
      <c r="W1309" s="7" t="s">
        <v>74</v>
      </c>
      <c r="X1309" s="7" t="s">
        <v>103</v>
      </c>
      <c r="Y1309" s="8">
        <v>44949</v>
      </c>
      <c r="Z1309" s="8">
        <v>45260</v>
      </c>
      <c r="AA1309" s="7" t="s">
        <v>224</v>
      </c>
      <c r="AB1309" s="7" t="s">
        <v>387</v>
      </c>
      <c r="AC1309" s="7" t="s">
        <v>79</v>
      </c>
      <c r="AD1309" s="7" t="s">
        <v>80</v>
      </c>
      <c r="AE1309" s="7" t="s">
        <v>82</v>
      </c>
      <c r="AF1309" s="7" t="s">
        <v>0</v>
      </c>
      <c r="AG1309" s="7" t="s">
        <v>0</v>
      </c>
      <c r="AH1309" s="9" t="s">
        <v>10731</v>
      </c>
      <c r="AI1309" s="9" t="s">
        <v>10732</v>
      </c>
      <c r="AJ1309" s="9" t="s">
        <v>10733</v>
      </c>
      <c r="AK1309" s="7" t="s">
        <v>61</v>
      </c>
      <c r="AL1309" s="7" t="s">
        <v>61</v>
      </c>
      <c r="AM1309" s="7" t="s">
        <v>0</v>
      </c>
      <c r="AN1309" s="7" t="s">
        <v>0</v>
      </c>
      <c r="AO1309" s="7" t="s">
        <v>0</v>
      </c>
      <c r="AP1309" s="7" t="s">
        <v>0</v>
      </c>
      <c r="AQ1309" s="7" t="s">
        <v>61</v>
      </c>
      <c r="AR1309" s="7" t="s">
        <v>0</v>
      </c>
      <c r="AS1309" s="10" t="str">
        <f>HYPERLINK("https://tessa.gazprom-neft.local/edo/card/62f3f5ae-696d-4d7e-97c7-ed36c7434d88", "https://tessa.gazprom-neft.local/edo/card/62f3f5ae-696d-4d7e-97c7-ed36c7434d88")</f>
        <v>https://tessa.gazprom-neft.local/edo/card/62f3f5ae-696d-4d7e-97c7-ed36c7434d88</v>
      </c>
    </row>
    <row r="1310" spans="1:45" hidden="1" x14ac:dyDescent="0.25">
      <c r="A1310" s="6" t="s">
        <v>44</v>
      </c>
      <c r="B1310" s="7" t="s">
        <v>606</v>
      </c>
      <c r="C1310" s="7" t="s">
        <v>67</v>
      </c>
      <c r="D1310" s="8">
        <v>44946</v>
      </c>
      <c r="E1310" s="8" t="s">
        <v>0</v>
      </c>
      <c r="F1310" s="16" t="s">
        <v>607</v>
      </c>
      <c r="G1310" s="7" t="s">
        <v>608</v>
      </c>
      <c r="H1310" s="7" t="s">
        <v>600</v>
      </c>
      <c r="I1310" s="7" t="s">
        <v>0</v>
      </c>
      <c r="J1310" s="7" t="s">
        <v>602</v>
      </c>
      <c r="K1310" s="7" t="s">
        <v>47</v>
      </c>
      <c r="L1310" s="7" t="s">
        <v>239</v>
      </c>
      <c r="M1310" s="7" t="s">
        <v>0</v>
      </c>
      <c r="N1310" s="7" t="s">
        <v>599</v>
      </c>
      <c r="O1310" s="7" t="s">
        <v>0</v>
      </c>
      <c r="P1310" s="7" t="s">
        <v>601</v>
      </c>
      <c r="Q1310" s="7" t="s">
        <v>603</v>
      </c>
      <c r="R1310" s="7" t="s">
        <v>604</v>
      </c>
      <c r="S1310" s="7" t="s">
        <v>604</v>
      </c>
      <c r="T1310" s="7" t="s">
        <v>54</v>
      </c>
      <c r="U1310" s="7" t="s">
        <v>605</v>
      </c>
      <c r="V1310" s="7" t="s">
        <v>126</v>
      </c>
      <c r="W1310" s="7" t="s">
        <v>74</v>
      </c>
      <c r="X1310" s="7" t="s">
        <v>103</v>
      </c>
      <c r="Y1310" s="8">
        <v>44946</v>
      </c>
      <c r="Z1310" s="8">
        <v>45352</v>
      </c>
      <c r="AA1310" s="7" t="s">
        <v>224</v>
      </c>
      <c r="AB1310" s="7" t="s">
        <v>130</v>
      </c>
      <c r="AC1310" s="7" t="s">
        <v>79</v>
      </c>
      <c r="AD1310" s="7" t="s">
        <v>144</v>
      </c>
      <c r="AE1310" s="7" t="s">
        <v>82</v>
      </c>
      <c r="AF1310" s="7" t="s">
        <v>0</v>
      </c>
      <c r="AG1310" s="7" t="s">
        <v>0</v>
      </c>
      <c r="AH1310" s="9" t="s">
        <v>10777</v>
      </c>
      <c r="AI1310" s="9" t="s">
        <v>10778</v>
      </c>
      <c r="AJ1310" s="9" t="s">
        <v>10779</v>
      </c>
      <c r="AK1310" s="7" t="s">
        <v>61</v>
      </c>
      <c r="AL1310" s="7" t="s">
        <v>61</v>
      </c>
      <c r="AM1310" s="7" t="s">
        <v>0</v>
      </c>
      <c r="AN1310" s="7" t="s">
        <v>0</v>
      </c>
      <c r="AO1310" s="7" t="s">
        <v>0</v>
      </c>
      <c r="AP1310" s="7" t="s">
        <v>0</v>
      </c>
      <c r="AQ1310" s="7" t="s">
        <v>61</v>
      </c>
      <c r="AR1310" s="7" t="s">
        <v>0</v>
      </c>
      <c r="AS1310" s="10" t="str">
        <f>HYPERLINK("https://tessa.gazprom-neft.local/edo/card/e48dd09e-b360-4260-869d-8e92345874b8", "https://tessa.gazprom-neft.local/edo/card/e48dd09e-b360-4260-869d-8e92345874b8")</f>
        <v>https://tessa.gazprom-neft.local/edo/card/e48dd09e-b360-4260-869d-8e92345874b8</v>
      </c>
    </row>
    <row r="1311" spans="1:45" x14ac:dyDescent="0.25">
      <c r="A1311" s="6" t="s">
        <v>44</v>
      </c>
      <c r="B1311" s="7" t="s">
        <v>213</v>
      </c>
      <c r="C1311" s="7" t="s">
        <v>67</v>
      </c>
      <c r="D1311" s="8">
        <v>44944</v>
      </c>
      <c r="E1311" s="8" t="s">
        <v>0</v>
      </c>
      <c r="F1311" s="16" t="s">
        <v>214</v>
      </c>
      <c r="G1311" s="7" t="s">
        <v>215</v>
      </c>
      <c r="H1311" s="7" t="s">
        <v>207</v>
      </c>
      <c r="I1311" s="7" t="s">
        <v>0</v>
      </c>
      <c r="J1311" s="7" t="s">
        <v>355</v>
      </c>
      <c r="K1311" s="7" t="s">
        <v>47</v>
      </c>
      <c r="L1311" s="7" t="s">
        <v>48</v>
      </c>
      <c r="M1311" s="7" t="s">
        <v>0</v>
      </c>
      <c r="N1311" s="7" t="s">
        <v>353</v>
      </c>
      <c r="O1311" s="7" t="s">
        <v>0</v>
      </c>
      <c r="P1311" s="7" t="s">
        <v>354</v>
      </c>
      <c r="Q1311" s="7" t="s">
        <v>356</v>
      </c>
      <c r="R1311" s="7" t="s">
        <v>198</v>
      </c>
      <c r="S1311" s="7" t="s">
        <v>198</v>
      </c>
      <c r="T1311" s="7" t="s">
        <v>54</v>
      </c>
      <c r="U1311" s="7" t="s">
        <v>199</v>
      </c>
      <c r="V1311" s="7" t="s">
        <v>126</v>
      </c>
      <c r="W1311" s="7" t="s">
        <v>57</v>
      </c>
      <c r="X1311" s="7" t="s">
        <v>58</v>
      </c>
      <c r="Y1311" s="8">
        <v>44944</v>
      </c>
      <c r="Z1311" s="8" t="s">
        <v>0</v>
      </c>
      <c r="AA1311" s="7" t="s">
        <v>224</v>
      </c>
      <c r="AB1311" s="7" t="s">
        <v>64</v>
      </c>
      <c r="AC1311" s="7" t="s">
        <v>65</v>
      </c>
      <c r="AD1311" s="7" t="s">
        <v>80</v>
      </c>
      <c r="AE1311" s="7" t="s">
        <v>0</v>
      </c>
      <c r="AF1311" s="7" t="s">
        <v>0</v>
      </c>
      <c r="AG1311" s="7" t="s">
        <v>0</v>
      </c>
      <c r="AH1311" s="9" t="s">
        <v>0</v>
      </c>
      <c r="AI1311" s="9" t="s">
        <v>0</v>
      </c>
      <c r="AJ1311" s="9" t="s">
        <v>0</v>
      </c>
      <c r="AK1311" s="7" t="s">
        <v>61</v>
      </c>
      <c r="AL1311" s="7" t="s">
        <v>61</v>
      </c>
      <c r="AM1311" s="7" t="s">
        <v>0</v>
      </c>
      <c r="AN1311" s="7" t="s">
        <v>0</v>
      </c>
      <c r="AO1311" s="7" t="s">
        <v>0</v>
      </c>
      <c r="AP1311" s="7" t="s">
        <v>0</v>
      </c>
      <c r="AQ1311" s="7" t="s">
        <v>61</v>
      </c>
      <c r="AR1311" s="7" t="s">
        <v>0</v>
      </c>
      <c r="AS1311" s="10" t="str">
        <f>HYPERLINK("https://tessa.gazprom-neft.local/edo/card/bf675020-5b82-45be-92b4-ea0cdfaa9b4c", "https://tessa.gazprom-neft.local/edo/card/bf675020-5b82-45be-92b4-ea0cdfaa9b4c")</f>
        <v>https://tessa.gazprom-neft.local/edo/card/bf675020-5b82-45be-92b4-ea0cdfaa9b4c</v>
      </c>
    </row>
    <row r="1312" spans="1:45" x14ac:dyDescent="0.25">
      <c r="A1312" s="6" t="s">
        <v>44</v>
      </c>
      <c r="B1312" s="7" t="s">
        <v>687</v>
      </c>
      <c r="C1312" s="7" t="s">
        <v>67</v>
      </c>
      <c r="D1312" s="8">
        <v>44944</v>
      </c>
      <c r="E1312" s="8" t="s">
        <v>0</v>
      </c>
      <c r="F1312" s="16" t="s">
        <v>688</v>
      </c>
      <c r="G1312" s="7" t="s">
        <v>689</v>
      </c>
      <c r="H1312" s="7" t="s">
        <v>684</v>
      </c>
      <c r="I1312" s="7" t="s">
        <v>0</v>
      </c>
      <c r="J1312" s="7" t="s">
        <v>355</v>
      </c>
      <c r="K1312" s="7" t="s">
        <v>47</v>
      </c>
      <c r="L1312" s="7" t="s">
        <v>48</v>
      </c>
      <c r="M1312" s="7" t="s">
        <v>0</v>
      </c>
      <c r="N1312" s="7" t="s">
        <v>683</v>
      </c>
      <c r="O1312" s="7" t="s">
        <v>0</v>
      </c>
      <c r="P1312" s="7" t="s">
        <v>685</v>
      </c>
      <c r="Q1312" s="7" t="s">
        <v>686</v>
      </c>
      <c r="R1312" s="7" t="s">
        <v>198</v>
      </c>
      <c r="S1312" s="7" t="s">
        <v>198</v>
      </c>
      <c r="T1312" s="7" t="s">
        <v>54</v>
      </c>
      <c r="U1312" s="7" t="s">
        <v>199</v>
      </c>
      <c r="V1312" s="7" t="s">
        <v>126</v>
      </c>
      <c r="W1312" s="7" t="s">
        <v>74</v>
      </c>
      <c r="X1312" s="7" t="s">
        <v>58</v>
      </c>
      <c r="Y1312" s="8">
        <v>44944</v>
      </c>
      <c r="Z1312" s="8" t="s">
        <v>0</v>
      </c>
      <c r="AA1312" s="7" t="s">
        <v>224</v>
      </c>
      <c r="AB1312" s="7" t="s">
        <v>690</v>
      </c>
      <c r="AC1312" s="7" t="s">
        <v>65</v>
      </c>
      <c r="AD1312" s="7" t="s">
        <v>80</v>
      </c>
      <c r="AE1312" s="7" t="s">
        <v>0</v>
      </c>
      <c r="AF1312" s="7" t="s">
        <v>0</v>
      </c>
      <c r="AG1312" s="7" t="s">
        <v>0</v>
      </c>
      <c r="AH1312" s="9" t="s">
        <v>0</v>
      </c>
      <c r="AI1312" s="9" t="s">
        <v>0</v>
      </c>
      <c r="AJ1312" s="9" t="s">
        <v>0</v>
      </c>
      <c r="AK1312" s="7" t="s">
        <v>61</v>
      </c>
      <c r="AL1312" s="7" t="s">
        <v>61</v>
      </c>
      <c r="AM1312" s="7" t="s">
        <v>0</v>
      </c>
      <c r="AN1312" s="7" t="s">
        <v>0</v>
      </c>
      <c r="AO1312" s="7" t="s">
        <v>0</v>
      </c>
      <c r="AP1312" s="7" t="s">
        <v>0</v>
      </c>
      <c r="AQ1312" s="7" t="s">
        <v>61</v>
      </c>
      <c r="AR1312" s="7" t="s">
        <v>0</v>
      </c>
      <c r="AS1312" s="10" t="str">
        <f>HYPERLINK("https://tessa.gazprom-neft.local/edo/card/de136a52-6597-4a6d-9df9-626cccf94b6d", "https://tessa.gazprom-neft.local/edo/card/de136a52-6597-4a6d-9df9-626cccf94b6d")</f>
        <v>https://tessa.gazprom-neft.local/edo/card/de136a52-6597-4a6d-9df9-626cccf94b6d</v>
      </c>
    </row>
    <row r="1313" spans="1:45" hidden="1" x14ac:dyDescent="0.25">
      <c r="A1313" s="6" t="s">
        <v>44</v>
      </c>
      <c r="B1313" s="7" t="s">
        <v>697</v>
      </c>
      <c r="C1313" s="7" t="s">
        <v>67</v>
      </c>
      <c r="D1313" s="8">
        <v>44944</v>
      </c>
      <c r="E1313" s="8" t="s">
        <v>0</v>
      </c>
      <c r="F1313" s="16" t="s">
        <v>698</v>
      </c>
      <c r="G1313" s="7" t="s">
        <v>699</v>
      </c>
      <c r="H1313" s="7" t="s">
        <v>0</v>
      </c>
      <c r="I1313" s="7" t="s">
        <v>695</v>
      </c>
      <c r="J1313" s="7" t="s">
        <v>695</v>
      </c>
      <c r="K1313" s="7" t="s">
        <v>85</v>
      </c>
      <c r="L1313" s="7" t="s">
        <v>86</v>
      </c>
      <c r="M1313" s="7" t="s">
        <v>440</v>
      </c>
      <c r="N1313" s="7" t="s">
        <v>694</v>
      </c>
      <c r="O1313" s="7" t="s">
        <v>0</v>
      </c>
      <c r="P1313" s="7" t="s">
        <v>440</v>
      </c>
      <c r="Q1313" s="7" t="s">
        <v>696</v>
      </c>
      <c r="R1313" s="7" t="s">
        <v>444</v>
      </c>
      <c r="S1313" s="7" t="s">
        <v>444</v>
      </c>
      <c r="T1313" s="7" t="s">
        <v>54</v>
      </c>
      <c r="U1313" s="7" t="s">
        <v>445</v>
      </c>
      <c r="V1313" s="7" t="s">
        <v>137</v>
      </c>
      <c r="W1313" s="7" t="s">
        <v>57</v>
      </c>
      <c r="X1313" s="7" t="s">
        <v>58</v>
      </c>
      <c r="Y1313" s="8">
        <v>44944</v>
      </c>
      <c r="Z1313" s="8" t="s">
        <v>0</v>
      </c>
      <c r="AA1313" s="7" t="s">
        <v>0</v>
      </c>
      <c r="AB1313" s="7" t="s">
        <v>94</v>
      </c>
      <c r="AC1313" s="7" t="s">
        <v>65</v>
      </c>
      <c r="AD1313" s="7" t="s">
        <v>0</v>
      </c>
      <c r="AE1313" s="7" t="s">
        <v>0</v>
      </c>
      <c r="AF1313" s="7" t="s">
        <v>0</v>
      </c>
      <c r="AG1313" s="7" t="s">
        <v>0</v>
      </c>
      <c r="AH1313" s="9" t="s">
        <v>0</v>
      </c>
      <c r="AI1313" s="9" t="s">
        <v>0</v>
      </c>
      <c r="AJ1313" s="9" t="s">
        <v>0</v>
      </c>
      <c r="AK1313" s="7" t="s">
        <v>61</v>
      </c>
      <c r="AL1313" s="7" t="s">
        <v>61</v>
      </c>
      <c r="AM1313" s="7" t="s">
        <v>0</v>
      </c>
      <c r="AN1313" s="7" t="s">
        <v>0</v>
      </c>
      <c r="AO1313" s="7" t="s">
        <v>0</v>
      </c>
      <c r="AP1313" s="7" t="s">
        <v>0</v>
      </c>
      <c r="AQ1313" s="7" t="s">
        <v>61</v>
      </c>
      <c r="AR1313" s="7" t="s">
        <v>0</v>
      </c>
      <c r="AS1313" s="10" t="str">
        <f>HYPERLINK("https://tessa.gazprom-neft.local/edo/card/92014d73-8590-4123-bcb9-173549f2fca7", "https://tessa.gazprom-neft.local/edo/card/92014d73-8590-4123-bcb9-173549f2fca7")</f>
        <v>https://tessa.gazprom-neft.local/edo/card/92014d73-8590-4123-bcb9-173549f2fca7</v>
      </c>
    </row>
    <row r="1314" spans="1:45" x14ac:dyDescent="0.25">
      <c r="A1314" s="6" t="s">
        <v>44</v>
      </c>
      <c r="B1314" s="7" t="s">
        <v>201</v>
      </c>
      <c r="C1314" s="7" t="s">
        <v>67</v>
      </c>
      <c r="D1314" s="8">
        <v>44943</v>
      </c>
      <c r="E1314" s="8" t="s">
        <v>0</v>
      </c>
      <c r="F1314" s="16" t="s">
        <v>202</v>
      </c>
      <c r="G1314" s="7" t="s">
        <v>203</v>
      </c>
      <c r="H1314" s="7" t="s">
        <v>195</v>
      </c>
      <c r="I1314" s="7" t="s">
        <v>0</v>
      </c>
      <c r="J1314" s="7" t="s">
        <v>355</v>
      </c>
      <c r="K1314" s="7" t="s">
        <v>47</v>
      </c>
      <c r="L1314" s="7" t="s">
        <v>48</v>
      </c>
      <c r="M1314" s="7" t="s">
        <v>0</v>
      </c>
      <c r="N1314" s="7" t="s">
        <v>664</v>
      </c>
      <c r="O1314" s="7" t="s">
        <v>0</v>
      </c>
      <c r="P1314" s="7" t="s">
        <v>665</v>
      </c>
      <c r="Q1314" s="7" t="s">
        <v>666</v>
      </c>
      <c r="R1314" s="7" t="s">
        <v>198</v>
      </c>
      <c r="S1314" s="7" t="s">
        <v>0</v>
      </c>
      <c r="T1314" s="7" t="s">
        <v>54</v>
      </c>
      <c r="U1314" s="7" t="s">
        <v>199</v>
      </c>
      <c r="V1314" s="7" t="s">
        <v>126</v>
      </c>
      <c r="W1314" s="7" t="s">
        <v>74</v>
      </c>
      <c r="X1314" s="7" t="s">
        <v>58</v>
      </c>
      <c r="Y1314" s="8">
        <v>44943</v>
      </c>
      <c r="Z1314" s="8" t="s">
        <v>0</v>
      </c>
      <c r="AA1314" s="7" t="s">
        <v>224</v>
      </c>
      <c r="AB1314" s="7" t="s">
        <v>204</v>
      </c>
      <c r="AC1314" s="7" t="s">
        <v>65</v>
      </c>
      <c r="AD1314" s="7" t="s">
        <v>80</v>
      </c>
      <c r="AE1314" s="7" t="s">
        <v>0</v>
      </c>
      <c r="AF1314" s="7" t="s">
        <v>0</v>
      </c>
      <c r="AG1314" s="7" t="s">
        <v>0</v>
      </c>
      <c r="AH1314" s="9" t="s">
        <v>0</v>
      </c>
      <c r="AI1314" s="9" t="s">
        <v>0</v>
      </c>
      <c r="AJ1314" s="9" t="s">
        <v>0</v>
      </c>
      <c r="AK1314" s="7" t="s">
        <v>61</v>
      </c>
      <c r="AL1314" s="7" t="s">
        <v>61</v>
      </c>
      <c r="AM1314" s="7" t="s">
        <v>0</v>
      </c>
      <c r="AN1314" s="7" t="s">
        <v>0</v>
      </c>
      <c r="AO1314" s="7" t="s">
        <v>0</v>
      </c>
      <c r="AP1314" s="7" t="s">
        <v>0</v>
      </c>
      <c r="AQ1314" s="7" t="s">
        <v>61</v>
      </c>
      <c r="AR1314" s="7" t="s">
        <v>0</v>
      </c>
      <c r="AS1314" s="10" t="str">
        <f>HYPERLINK("https://tessa.gazprom-neft.local/edo/card/e1933a80-9101-45d5-ab10-2e1ee1713924", "https://tessa.gazprom-neft.local/edo/card/e1933a80-9101-45d5-ab10-2e1ee1713924")</f>
        <v>https://tessa.gazprom-neft.local/edo/card/e1933a80-9101-45d5-ab10-2e1ee1713924</v>
      </c>
    </row>
    <row r="1315" spans="1:45" hidden="1" x14ac:dyDescent="0.25">
      <c r="A1315" s="6" t="s">
        <v>44</v>
      </c>
      <c r="B1315" s="7" t="s">
        <v>234</v>
      </c>
      <c r="C1315" s="7" t="s">
        <v>67</v>
      </c>
      <c r="D1315" s="8">
        <v>44942</v>
      </c>
      <c r="E1315" s="8" t="s">
        <v>0</v>
      </c>
      <c r="F1315" s="16" t="s">
        <v>235</v>
      </c>
      <c r="G1315" s="7" t="s">
        <v>236</v>
      </c>
      <c r="H1315" s="7" t="s">
        <v>0</v>
      </c>
      <c r="I1315" s="7" t="s">
        <v>258</v>
      </c>
      <c r="J1315" s="7" t="s">
        <v>258</v>
      </c>
      <c r="K1315" s="7" t="s">
        <v>85</v>
      </c>
      <c r="L1315" s="7" t="s">
        <v>86</v>
      </c>
      <c r="M1315" s="7" t="s">
        <v>216</v>
      </c>
      <c r="N1315" s="7" t="s">
        <v>257</v>
      </c>
      <c r="O1315" s="7" t="s">
        <v>0</v>
      </c>
      <c r="P1315" s="7" t="s">
        <v>216</v>
      </c>
      <c r="Q1315" s="7" t="s">
        <v>259</v>
      </c>
      <c r="R1315" s="7" t="s">
        <v>233</v>
      </c>
      <c r="S1315" s="7" t="s">
        <v>233</v>
      </c>
      <c r="T1315" s="7" t="s">
        <v>54</v>
      </c>
      <c r="U1315" s="7" t="s">
        <v>55</v>
      </c>
      <c r="V1315" s="7" t="s">
        <v>56</v>
      </c>
      <c r="W1315" s="7" t="s">
        <v>57</v>
      </c>
      <c r="X1315" s="7" t="s">
        <v>103</v>
      </c>
      <c r="Y1315" s="8">
        <v>44942</v>
      </c>
      <c r="Z1315" s="8">
        <v>45135</v>
      </c>
      <c r="AA1315" s="7" t="s">
        <v>59</v>
      </c>
      <c r="AB1315" s="7" t="s">
        <v>228</v>
      </c>
      <c r="AC1315" s="7" t="s">
        <v>65</v>
      </c>
      <c r="AD1315" s="7" t="s">
        <v>0</v>
      </c>
      <c r="AE1315" s="7" t="s">
        <v>0</v>
      </c>
      <c r="AF1315" s="7" t="s">
        <v>0</v>
      </c>
      <c r="AG1315" s="7" t="s">
        <v>0</v>
      </c>
      <c r="AH1315" s="9" t="s">
        <v>0</v>
      </c>
      <c r="AI1315" s="9" t="s">
        <v>0</v>
      </c>
      <c r="AJ1315" s="9" t="s">
        <v>0</v>
      </c>
      <c r="AK1315" s="7" t="s">
        <v>61</v>
      </c>
      <c r="AL1315" s="7" t="s">
        <v>61</v>
      </c>
      <c r="AM1315" s="7" t="s">
        <v>0</v>
      </c>
      <c r="AN1315" s="7" t="s">
        <v>0</v>
      </c>
      <c r="AO1315" s="7" t="s">
        <v>0</v>
      </c>
      <c r="AP1315" s="7" t="s">
        <v>0</v>
      </c>
      <c r="AQ1315" s="7" t="s">
        <v>61</v>
      </c>
      <c r="AR1315" s="7" t="s">
        <v>0</v>
      </c>
      <c r="AS1315" s="10" t="str">
        <f>HYPERLINK("https://tessa.gazprom-neft.local/edo/card/75ddbfb8-46d4-4b13-9956-aced0ef93c59", "https://tessa.gazprom-neft.local/edo/card/75ddbfb8-46d4-4b13-9956-aced0ef93c59")</f>
        <v>https://tessa.gazprom-neft.local/edo/card/75ddbfb8-46d4-4b13-9956-aced0ef93c59</v>
      </c>
    </row>
    <row r="1316" spans="1:45" hidden="1" x14ac:dyDescent="0.25">
      <c r="A1316" s="6" t="s">
        <v>44</v>
      </c>
      <c r="B1316" s="7" t="s">
        <v>550</v>
      </c>
      <c r="C1316" s="7" t="s">
        <v>67</v>
      </c>
      <c r="D1316" s="8">
        <v>44942</v>
      </c>
      <c r="E1316" s="8" t="s">
        <v>0</v>
      </c>
      <c r="F1316" s="16" t="s">
        <v>551</v>
      </c>
      <c r="G1316" s="7" t="s">
        <v>552</v>
      </c>
      <c r="H1316" s="7" t="s">
        <v>0</v>
      </c>
      <c r="I1316" s="7" t="s">
        <v>547</v>
      </c>
      <c r="J1316" s="7" t="s">
        <v>547</v>
      </c>
      <c r="K1316" s="7" t="s">
        <v>85</v>
      </c>
      <c r="L1316" s="7" t="s">
        <v>86</v>
      </c>
      <c r="M1316" s="7" t="s">
        <v>83</v>
      </c>
      <c r="N1316" s="7" t="s">
        <v>546</v>
      </c>
      <c r="O1316" s="7" t="s">
        <v>0</v>
      </c>
      <c r="P1316" s="7" t="s">
        <v>83</v>
      </c>
      <c r="Q1316" s="7" t="s">
        <v>548</v>
      </c>
      <c r="R1316" s="7" t="s">
        <v>549</v>
      </c>
      <c r="S1316" s="7" t="s">
        <v>549</v>
      </c>
      <c r="T1316" s="7" t="s">
        <v>54</v>
      </c>
      <c r="U1316" s="7" t="s">
        <v>303</v>
      </c>
      <c r="V1316" s="7" t="s">
        <v>91</v>
      </c>
      <c r="W1316" s="7" t="s">
        <v>74</v>
      </c>
      <c r="X1316" s="7" t="s">
        <v>103</v>
      </c>
      <c r="Y1316" s="8">
        <v>44942</v>
      </c>
      <c r="Z1316" s="8">
        <v>46022</v>
      </c>
      <c r="AA1316" s="7" t="s">
        <v>92</v>
      </c>
      <c r="AB1316" s="7" t="s">
        <v>94</v>
      </c>
      <c r="AC1316" s="7" t="s">
        <v>65</v>
      </c>
      <c r="AD1316" s="7" t="s">
        <v>0</v>
      </c>
      <c r="AE1316" s="7" t="s">
        <v>0</v>
      </c>
      <c r="AF1316" s="7" t="s">
        <v>0</v>
      </c>
      <c r="AG1316" s="7" t="s">
        <v>0</v>
      </c>
      <c r="AH1316" s="9" t="s">
        <v>0</v>
      </c>
      <c r="AI1316" s="9" t="s">
        <v>0</v>
      </c>
      <c r="AJ1316" s="9" t="s">
        <v>0</v>
      </c>
      <c r="AK1316" s="7" t="s">
        <v>61</v>
      </c>
      <c r="AL1316" s="7" t="s">
        <v>61</v>
      </c>
      <c r="AM1316" s="7" t="s">
        <v>0</v>
      </c>
      <c r="AN1316" s="7" t="s">
        <v>0</v>
      </c>
      <c r="AO1316" s="7" t="s">
        <v>0</v>
      </c>
      <c r="AP1316" s="7" t="s">
        <v>0</v>
      </c>
      <c r="AQ1316" s="7" t="s">
        <v>61</v>
      </c>
      <c r="AR1316" s="7" t="s">
        <v>0</v>
      </c>
      <c r="AS1316" s="10" t="str">
        <f>HYPERLINK("https://tessa.gazprom-neft.local/edo/card/8f1cf4bb-e578-4efa-b5ff-894660e5935c", "https://tessa.gazprom-neft.local/edo/card/8f1cf4bb-e578-4efa-b5ff-894660e5935c")</f>
        <v>https://tessa.gazprom-neft.local/edo/card/8f1cf4bb-e578-4efa-b5ff-894660e5935c</v>
      </c>
    </row>
    <row r="1317" spans="1:45" hidden="1" x14ac:dyDescent="0.25">
      <c r="A1317" s="6" t="s">
        <v>44</v>
      </c>
      <c r="B1317" s="7" t="s">
        <v>234</v>
      </c>
      <c r="C1317" s="7" t="s">
        <v>67</v>
      </c>
      <c r="D1317" s="8">
        <v>44939</v>
      </c>
      <c r="E1317" s="8" t="s">
        <v>0</v>
      </c>
      <c r="F1317" s="16" t="s">
        <v>235</v>
      </c>
      <c r="G1317" s="7" t="s">
        <v>236</v>
      </c>
      <c r="H1317" s="7" t="s">
        <v>0</v>
      </c>
      <c r="I1317" s="7" t="s">
        <v>415</v>
      </c>
      <c r="J1317" s="7" t="s">
        <v>415</v>
      </c>
      <c r="K1317" s="7" t="s">
        <v>85</v>
      </c>
      <c r="L1317" s="7" t="s">
        <v>96</v>
      </c>
      <c r="M1317" s="7" t="s">
        <v>413</v>
      </c>
      <c r="N1317" s="7" t="s">
        <v>414</v>
      </c>
      <c r="O1317" s="7" t="s">
        <v>0</v>
      </c>
      <c r="P1317" s="7" t="s">
        <v>416</v>
      </c>
      <c r="Q1317" s="7" t="s">
        <v>417</v>
      </c>
      <c r="R1317" s="7" t="s">
        <v>233</v>
      </c>
      <c r="S1317" s="7" t="s">
        <v>0</v>
      </c>
      <c r="T1317" s="7" t="s">
        <v>54</v>
      </c>
      <c r="U1317" s="7" t="s">
        <v>55</v>
      </c>
      <c r="V1317" s="7" t="s">
        <v>56</v>
      </c>
      <c r="W1317" s="7" t="s">
        <v>57</v>
      </c>
      <c r="X1317" s="7" t="s">
        <v>103</v>
      </c>
      <c r="Y1317" s="8">
        <v>44939</v>
      </c>
      <c r="Z1317" s="8">
        <v>45107</v>
      </c>
      <c r="AA1317" s="7" t="s">
        <v>59</v>
      </c>
      <c r="AB1317" s="7" t="s">
        <v>130</v>
      </c>
      <c r="AC1317" s="7" t="s">
        <v>79</v>
      </c>
      <c r="AD1317" s="7" t="s">
        <v>80</v>
      </c>
      <c r="AE1317" s="7" t="s">
        <v>82</v>
      </c>
      <c r="AF1317" s="7" t="s">
        <v>0</v>
      </c>
      <c r="AG1317" s="7" t="s">
        <v>0</v>
      </c>
      <c r="AH1317" s="9" t="s">
        <v>10740</v>
      </c>
      <c r="AI1317" s="9" t="s">
        <v>10741</v>
      </c>
      <c r="AJ1317" s="9" t="s">
        <v>10742</v>
      </c>
      <c r="AK1317" s="7" t="s">
        <v>61</v>
      </c>
      <c r="AL1317" s="7" t="s">
        <v>61</v>
      </c>
      <c r="AM1317" s="7" t="s">
        <v>0</v>
      </c>
      <c r="AN1317" s="7" t="s">
        <v>0</v>
      </c>
      <c r="AO1317" s="7" t="s">
        <v>0</v>
      </c>
      <c r="AP1317" s="7" t="s">
        <v>0</v>
      </c>
      <c r="AQ1317" s="7" t="s">
        <v>61</v>
      </c>
      <c r="AR1317" s="7" t="s">
        <v>0</v>
      </c>
      <c r="AS1317" s="10" t="str">
        <f>HYPERLINK("https://tessa.gazprom-neft.local/edo/card/89c2b931-a2fb-42ef-9060-b01cbf91893b", "https://tessa.gazprom-neft.local/edo/card/89c2b931-a2fb-42ef-9060-b01cbf91893b")</f>
        <v>https://tessa.gazprom-neft.local/edo/card/89c2b931-a2fb-42ef-9060-b01cbf91893b</v>
      </c>
    </row>
    <row r="1318" spans="1:45" x14ac:dyDescent="0.25">
      <c r="A1318" s="6" t="s">
        <v>44</v>
      </c>
      <c r="B1318" s="7" t="s">
        <v>565</v>
      </c>
      <c r="C1318" s="7" t="s">
        <v>67</v>
      </c>
      <c r="D1318" s="8">
        <v>44939</v>
      </c>
      <c r="E1318" s="8" t="s">
        <v>0</v>
      </c>
      <c r="F1318" s="16" t="s">
        <v>566</v>
      </c>
      <c r="G1318" s="7" t="s">
        <v>567</v>
      </c>
      <c r="H1318" s="7" t="s">
        <v>562</v>
      </c>
      <c r="I1318" s="7" t="s">
        <v>0</v>
      </c>
      <c r="J1318" s="7" t="s">
        <v>355</v>
      </c>
      <c r="K1318" s="7" t="s">
        <v>47</v>
      </c>
      <c r="L1318" s="7" t="s">
        <v>48</v>
      </c>
      <c r="M1318" s="7" t="s">
        <v>0</v>
      </c>
      <c r="N1318" s="7" t="s">
        <v>561</v>
      </c>
      <c r="O1318" s="7" t="s">
        <v>0</v>
      </c>
      <c r="P1318" s="7" t="s">
        <v>563</v>
      </c>
      <c r="Q1318" s="7" t="s">
        <v>564</v>
      </c>
      <c r="R1318" s="7" t="s">
        <v>505</v>
      </c>
      <c r="S1318" s="7" t="s">
        <v>505</v>
      </c>
      <c r="T1318" s="7" t="s">
        <v>54</v>
      </c>
      <c r="U1318" s="7" t="s">
        <v>55</v>
      </c>
      <c r="V1318" s="7" t="s">
        <v>56</v>
      </c>
      <c r="W1318" s="7" t="s">
        <v>74</v>
      </c>
      <c r="X1318" s="7" t="s">
        <v>103</v>
      </c>
      <c r="Y1318" s="8">
        <v>44939</v>
      </c>
      <c r="Z1318" s="8">
        <v>45291</v>
      </c>
      <c r="AA1318" s="7" t="s">
        <v>0</v>
      </c>
      <c r="AB1318" s="7" t="s">
        <v>130</v>
      </c>
      <c r="AC1318" s="7" t="s">
        <v>65</v>
      </c>
      <c r="AD1318" s="7" t="s">
        <v>0</v>
      </c>
      <c r="AE1318" s="7" t="s">
        <v>0</v>
      </c>
      <c r="AF1318" s="7" t="s">
        <v>0</v>
      </c>
      <c r="AG1318" s="7" t="s">
        <v>0</v>
      </c>
      <c r="AH1318" s="9" t="s">
        <v>0</v>
      </c>
      <c r="AI1318" s="9" t="s">
        <v>0</v>
      </c>
      <c r="AJ1318" s="9" t="s">
        <v>0</v>
      </c>
      <c r="AK1318" s="7" t="s">
        <v>61</v>
      </c>
      <c r="AL1318" s="7" t="s">
        <v>61</v>
      </c>
      <c r="AM1318" s="7" t="s">
        <v>0</v>
      </c>
      <c r="AN1318" s="7" t="s">
        <v>0</v>
      </c>
      <c r="AO1318" s="7" t="s">
        <v>0</v>
      </c>
      <c r="AP1318" s="7" t="s">
        <v>0</v>
      </c>
      <c r="AQ1318" s="7" t="s">
        <v>61</v>
      </c>
      <c r="AR1318" s="7" t="s">
        <v>0</v>
      </c>
      <c r="AS1318" s="10" t="str">
        <f>HYPERLINK("https://tessa.gazprom-neft.local/edo/card/6c5c2bee-d302-4f96-a15c-1b2944239bb1", "https://tessa.gazprom-neft.local/edo/card/6c5c2bee-d302-4f96-a15c-1b2944239bb1")</f>
        <v>https://tessa.gazprom-neft.local/edo/card/6c5c2bee-d302-4f96-a15c-1b2944239bb1</v>
      </c>
    </row>
    <row r="1319" spans="1:45" x14ac:dyDescent="0.25">
      <c r="A1319" s="6" t="s">
        <v>44</v>
      </c>
      <c r="B1319" s="7" t="s">
        <v>565</v>
      </c>
      <c r="C1319" s="7" t="s">
        <v>67</v>
      </c>
      <c r="D1319" s="8">
        <v>44939</v>
      </c>
      <c r="E1319" s="8" t="s">
        <v>0</v>
      </c>
      <c r="F1319" s="16" t="s">
        <v>566</v>
      </c>
      <c r="G1319" s="7" t="s">
        <v>567</v>
      </c>
      <c r="H1319" s="7" t="s">
        <v>741</v>
      </c>
      <c r="I1319" s="7" t="s">
        <v>0</v>
      </c>
      <c r="J1319" s="7" t="s">
        <v>271</v>
      </c>
      <c r="K1319" s="7" t="s">
        <v>47</v>
      </c>
      <c r="L1319" s="7" t="s">
        <v>48</v>
      </c>
      <c r="M1319" s="7" t="s">
        <v>0</v>
      </c>
      <c r="N1319" s="7" t="s">
        <v>740</v>
      </c>
      <c r="O1319" s="7" t="s">
        <v>0</v>
      </c>
      <c r="P1319" s="7" t="s">
        <v>742</v>
      </c>
      <c r="Q1319" s="7" t="s">
        <v>743</v>
      </c>
      <c r="R1319" s="7" t="s">
        <v>646</v>
      </c>
      <c r="S1319" s="7" t="s">
        <v>0</v>
      </c>
      <c r="T1319" s="7" t="s">
        <v>54</v>
      </c>
      <c r="U1319" s="7" t="s">
        <v>362</v>
      </c>
      <c r="V1319" s="7" t="s">
        <v>56</v>
      </c>
      <c r="W1319" s="7" t="s">
        <v>74</v>
      </c>
      <c r="X1319" s="7" t="s">
        <v>103</v>
      </c>
      <c r="Y1319" s="8">
        <v>44939</v>
      </c>
      <c r="Z1319" s="8">
        <v>45291</v>
      </c>
      <c r="AA1319" s="7" t="s">
        <v>59</v>
      </c>
      <c r="AB1319" s="7" t="s">
        <v>130</v>
      </c>
      <c r="AC1319" s="7" t="s">
        <v>65</v>
      </c>
      <c r="AD1319" s="7" t="s">
        <v>0</v>
      </c>
      <c r="AE1319" s="7" t="s">
        <v>0</v>
      </c>
      <c r="AF1319" s="7" t="s">
        <v>0</v>
      </c>
      <c r="AG1319" s="7" t="s">
        <v>0</v>
      </c>
      <c r="AH1319" s="9" t="s">
        <v>0</v>
      </c>
      <c r="AI1319" s="9" t="s">
        <v>0</v>
      </c>
      <c r="AJ1319" s="9" t="s">
        <v>0</v>
      </c>
      <c r="AK1319" s="7" t="s">
        <v>61</v>
      </c>
      <c r="AL1319" s="7" t="s">
        <v>61</v>
      </c>
      <c r="AM1319" s="7" t="s">
        <v>0</v>
      </c>
      <c r="AN1319" s="7" t="s">
        <v>0</v>
      </c>
      <c r="AO1319" s="7" t="s">
        <v>0</v>
      </c>
      <c r="AP1319" s="7" t="s">
        <v>0</v>
      </c>
      <c r="AQ1319" s="7" t="s">
        <v>61</v>
      </c>
      <c r="AR1319" s="7" t="s">
        <v>0</v>
      </c>
      <c r="AS1319" s="10" t="str">
        <f>HYPERLINK("https://tessa.gazprom-neft.local/edo/card/5e9c9eeb-8e15-43d6-9c6a-e7dc29cea118", "https://tessa.gazprom-neft.local/edo/card/5e9c9eeb-8e15-43d6-9c6a-e7dc29cea118")</f>
        <v>https://tessa.gazprom-neft.local/edo/card/5e9c9eeb-8e15-43d6-9c6a-e7dc29cea118</v>
      </c>
    </row>
    <row r="1320" spans="1:45" hidden="1" x14ac:dyDescent="0.25">
      <c r="A1320" s="6" t="s">
        <v>44</v>
      </c>
      <c r="B1320" s="7" t="s">
        <v>189</v>
      </c>
      <c r="C1320" s="7" t="s">
        <v>67</v>
      </c>
      <c r="D1320" s="8">
        <v>44936</v>
      </c>
      <c r="E1320" s="8" t="s">
        <v>0</v>
      </c>
      <c r="F1320" s="16" t="s">
        <v>190</v>
      </c>
      <c r="G1320" s="7" t="s">
        <v>191</v>
      </c>
      <c r="H1320" s="7" t="s">
        <v>0</v>
      </c>
      <c r="I1320" s="7" t="s">
        <v>185</v>
      </c>
      <c r="J1320" s="7" t="s">
        <v>185</v>
      </c>
      <c r="K1320" s="7" t="s">
        <v>85</v>
      </c>
      <c r="L1320" s="7" t="s">
        <v>96</v>
      </c>
      <c r="M1320" s="7" t="s">
        <v>183</v>
      </c>
      <c r="N1320" s="7" t="s">
        <v>184</v>
      </c>
      <c r="O1320" s="7" t="s">
        <v>0</v>
      </c>
      <c r="P1320" s="7" t="s">
        <v>183</v>
      </c>
      <c r="Q1320" s="7" t="s">
        <v>186</v>
      </c>
      <c r="R1320" s="7" t="s">
        <v>187</v>
      </c>
      <c r="S1320" s="7" t="s">
        <v>187</v>
      </c>
      <c r="T1320" s="7" t="s">
        <v>54</v>
      </c>
      <c r="U1320" s="7" t="s">
        <v>188</v>
      </c>
      <c r="V1320" s="7" t="s">
        <v>137</v>
      </c>
      <c r="W1320" s="7" t="s">
        <v>57</v>
      </c>
      <c r="X1320" s="7" t="s">
        <v>103</v>
      </c>
      <c r="Y1320" s="8">
        <v>44936</v>
      </c>
      <c r="Z1320" s="8">
        <v>45016</v>
      </c>
      <c r="AA1320" s="7" t="s">
        <v>0</v>
      </c>
      <c r="AB1320" s="7" t="s">
        <v>192</v>
      </c>
      <c r="AC1320" s="7" t="s">
        <v>79</v>
      </c>
      <c r="AD1320" s="7" t="s">
        <v>80</v>
      </c>
      <c r="AE1320" s="7" t="s">
        <v>193</v>
      </c>
      <c r="AF1320" s="7" t="s">
        <v>0</v>
      </c>
      <c r="AG1320" s="7" t="s">
        <v>0</v>
      </c>
      <c r="AH1320" s="9" t="s">
        <v>10708</v>
      </c>
      <c r="AI1320" s="9" t="s">
        <v>10709</v>
      </c>
      <c r="AJ1320" s="9" t="s">
        <v>10710</v>
      </c>
      <c r="AK1320" s="7" t="s">
        <v>61</v>
      </c>
      <c r="AL1320" s="7" t="s">
        <v>61</v>
      </c>
      <c r="AM1320" s="7" t="s">
        <v>0</v>
      </c>
      <c r="AN1320" s="7" t="s">
        <v>0</v>
      </c>
      <c r="AO1320" s="7" t="s">
        <v>0</v>
      </c>
      <c r="AP1320" s="7" t="s">
        <v>0</v>
      </c>
      <c r="AQ1320" s="7" t="s">
        <v>61</v>
      </c>
      <c r="AR1320" s="7" t="s">
        <v>0</v>
      </c>
      <c r="AS1320" s="10" t="str">
        <f>HYPERLINK("https://tessa.gazprom-neft.local/edo/card/96a45af1-c13c-495d-bbc4-c4534508c40e", "https://tessa.gazprom-neft.local/edo/card/96a45af1-c13c-495d-bbc4-c4534508c40e")</f>
        <v>https://tessa.gazprom-neft.local/edo/card/96a45af1-c13c-495d-bbc4-c4534508c40e</v>
      </c>
    </row>
    <row r="1321" spans="1:45" hidden="1" x14ac:dyDescent="0.25">
      <c r="A1321" s="6" t="s">
        <v>44</v>
      </c>
      <c r="B1321" s="7" t="s">
        <v>284</v>
      </c>
      <c r="C1321" s="7" t="s">
        <v>67</v>
      </c>
      <c r="D1321" s="8">
        <v>44936</v>
      </c>
      <c r="E1321" s="8" t="s">
        <v>0</v>
      </c>
      <c r="F1321" s="16" t="s">
        <v>285</v>
      </c>
      <c r="G1321" s="7" t="s">
        <v>286</v>
      </c>
      <c r="H1321" s="7" t="s">
        <v>0</v>
      </c>
      <c r="I1321" s="7" t="s">
        <v>280</v>
      </c>
      <c r="J1321" s="7" t="s">
        <v>280</v>
      </c>
      <c r="K1321" s="7" t="s">
        <v>85</v>
      </c>
      <c r="L1321" s="7" t="s">
        <v>86</v>
      </c>
      <c r="M1321" s="7" t="s">
        <v>216</v>
      </c>
      <c r="N1321" s="7" t="s">
        <v>279</v>
      </c>
      <c r="O1321" s="7" t="s">
        <v>0</v>
      </c>
      <c r="P1321" s="7" t="s">
        <v>216</v>
      </c>
      <c r="Q1321" s="7" t="s">
        <v>281</v>
      </c>
      <c r="R1321" s="7" t="s">
        <v>282</v>
      </c>
      <c r="S1321" s="7" t="s">
        <v>0</v>
      </c>
      <c r="T1321" s="7" t="s">
        <v>54</v>
      </c>
      <c r="U1321" s="7" t="s">
        <v>283</v>
      </c>
      <c r="V1321" s="7" t="s">
        <v>56</v>
      </c>
      <c r="W1321" s="7" t="s">
        <v>57</v>
      </c>
      <c r="X1321" s="7" t="s">
        <v>103</v>
      </c>
      <c r="Y1321" s="8">
        <v>44936</v>
      </c>
      <c r="Z1321" s="8">
        <v>46752</v>
      </c>
      <c r="AA1321" s="7" t="s">
        <v>59</v>
      </c>
      <c r="AB1321" s="7" t="s">
        <v>228</v>
      </c>
      <c r="AC1321" s="7" t="s">
        <v>65</v>
      </c>
      <c r="AD1321" s="7" t="s">
        <v>0</v>
      </c>
      <c r="AE1321" s="7" t="s">
        <v>0</v>
      </c>
      <c r="AF1321" s="7" t="s">
        <v>0</v>
      </c>
      <c r="AG1321" s="7" t="s">
        <v>0</v>
      </c>
      <c r="AH1321" s="9" t="s">
        <v>0</v>
      </c>
      <c r="AI1321" s="9" t="s">
        <v>0</v>
      </c>
      <c r="AJ1321" s="9" t="s">
        <v>0</v>
      </c>
      <c r="AK1321" s="7" t="s">
        <v>61</v>
      </c>
      <c r="AL1321" s="7" t="s">
        <v>61</v>
      </c>
      <c r="AM1321" s="7" t="s">
        <v>0</v>
      </c>
      <c r="AN1321" s="7" t="s">
        <v>0</v>
      </c>
      <c r="AO1321" s="7" t="s">
        <v>0</v>
      </c>
      <c r="AP1321" s="7" t="s">
        <v>0</v>
      </c>
      <c r="AQ1321" s="7" t="s">
        <v>61</v>
      </c>
      <c r="AR1321" s="7" t="s">
        <v>0</v>
      </c>
      <c r="AS1321" s="10" t="str">
        <f>HYPERLINK("https://tessa.gazprom-neft.local/edo/card/ffa6c1e8-679e-4006-ae34-a676a47bc8d0", "https://tessa.gazprom-neft.local/edo/card/ffa6c1e8-679e-4006-ae34-a676a47bc8d0")</f>
        <v>https://tessa.gazprom-neft.local/edo/card/ffa6c1e8-679e-4006-ae34-a676a47bc8d0</v>
      </c>
    </row>
    <row r="1322" spans="1:45" hidden="1" x14ac:dyDescent="0.25">
      <c r="A1322" s="6" t="s">
        <v>44</v>
      </c>
      <c r="B1322" s="7" t="s">
        <v>284</v>
      </c>
      <c r="C1322" s="7" t="s">
        <v>67</v>
      </c>
      <c r="D1322" s="8">
        <v>44936</v>
      </c>
      <c r="E1322" s="8" t="s">
        <v>0</v>
      </c>
      <c r="F1322" s="16" t="s">
        <v>285</v>
      </c>
      <c r="G1322" s="7" t="s">
        <v>286</v>
      </c>
      <c r="H1322" s="7" t="s">
        <v>0</v>
      </c>
      <c r="I1322" s="7" t="s">
        <v>302</v>
      </c>
      <c r="J1322" s="7" t="s">
        <v>302</v>
      </c>
      <c r="K1322" s="7" t="s">
        <v>85</v>
      </c>
      <c r="L1322" s="7" t="s">
        <v>86</v>
      </c>
      <c r="M1322" s="7" t="s">
        <v>83</v>
      </c>
      <c r="N1322" s="7" t="s">
        <v>301</v>
      </c>
      <c r="O1322" s="7" t="s">
        <v>0</v>
      </c>
      <c r="P1322" s="7" t="s">
        <v>83</v>
      </c>
      <c r="Q1322" s="7" t="s">
        <v>281</v>
      </c>
      <c r="R1322" s="7" t="s">
        <v>282</v>
      </c>
      <c r="S1322" s="7" t="s">
        <v>0</v>
      </c>
      <c r="T1322" s="7" t="s">
        <v>54</v>
      </c>
      <c r="U1322" s="7" t="s">
        <v>303</v>
      </c>
      <c r="V1322" s="7" t="s">
        <v>91</v>
      </c>
      <c r="W1322" s="7" t="s">
        <v>57</v>
      </c>
      <c r="X1322" s="7" t="s">
        <v>103</v>
      </c>
      <c r="Y1322" s="8">
        <v>44935</v>
      </c>
      <c r="Z1322" s="8">
        <v>46752</v>
      </c>
      <c r="AA1322" s="7" t="s">
        <v>92</v>
      </c>
      <c r="AB1322" s="7" t="s">
        <v>94</v>
      </c>
      <c r="AC1322" s="7" t="s">
        <v>65</v>
      </c>
      <c r="AD1322" s="7" t="s">
        <v>0</v>
      </c>
      <c r="AE1322" s="7" t="s">
        <v>0</v>
      </c>
      <c r="AF1322" s="7" t="s">
        <v>0</v>
      </c>
      <c r="AG1322" s="7" t="s">
        <v>0</v>
      </c>
      <c r="AH1322" s="9" t="s">
        <v>0</v>
      </c>
      <c r="AI1322" s="9" t="s">
        <v>0</v>
      </c>
      <c r="AJ1322" s="9" t="s">
        <v>0</v>
      </c>
      <c r="AK1322" s="7" t="s">
        <v>61</v>
      </c>
      <c r="AL1322" s="7" t="s">
        <v>61</v>
      </c>
      <c r="AM1322" s="7" t="s">
        <v>0</v>
      </c>
      <c r="AN1322" s="7" t="s">
        <v>0</v>
      </c>
      <c r="AO1322" s="7" t="s">
        <v>0</v>
      </c>
      <c r="AP1322" s="7" t="s">
        <v>0</v>
      </c>
      <c r="AQ1322" s="7" t="s">
        <v>61</v>
      </c>
      <c r="AR1322" s="7" t="s">
        <v>0</v>
      </c>
      <c r="AS1322" s="10" t="str">
        <f>HYPERLINK("https://tessa.gazprom-neft.local/edo/card/34051fa2-744e-4056-900b-9b61d83dc12c", "https://tessa.gazprom-neft.local/edo/card/34051fa2-744e-4056-900b-9b61d83dc12c")</f>
        <v>https://tessa.gazprom-neft.local/edo/card/34051fa2-744e-4056-900b-9b61d83dc12c</v>
      </c>
    </row>
    <row r="1323" spans="1:45" hidden="1" x14ac:dyDescent="0.25">
      <c r="A1323" s="6" t="s">
        <v>44</v>
      </c>
      <c r="B1323" s="7" t="s">
        <v>189</v>
      </c>
      <c r="C1323" s="7" t="s">
        <v>67</v>
      </c>
      <c r="D1323" s="8">
        <v>44936</v>
      </c>
      <c r="E1323" s="8" t="s">
        <v>0</v>
      </c>
      <c r="F1323" s="16" t="s">
        <v>190</v>
      </c>
      <c r="G1323" s="7" t="s">
        <v>191</v>
      </c>
      <c r="H1323" s="7" t="s">
        <v>0</v>
      </c>
      <c r="I1323" s="7" t="s">
        <v>525</v>
      </c>
      <c r="J1323" s="7" t="s">
        <v>525</v>
      </c>
      <c r="K1323" s="7" t="s">
        <v>85</v>
      </c>
      <c r="L1323" s="7" t="s">
        <v>86</v>
      </c>
      <c r="M1323" s="7" t="s">
        <v>523</v>
      </c>
      <c r="N1323" s="7" t="s">
        <v>524</v>
      </c>
      <c r="O1323" s="7" t="s">
        <v>0</v>
      </c>
      <c r="P1323" s="7" t="s">
        <v>523</v>
      </c>
      <c r="Q1323" s="7" t="s">
        <v>526</v>
      </c>
      <c r="R1323" s="7" t="s">
        <v>187</v>
      </c>
      <c r="S1323" s="7" t="s">
        <v>187</v>
      </c>
      <c r="T1323" s="7" t="s">
        <v>54</v>
      </c>
      <c r="U1323" s="7" t="s">
        <v>188</v>
      </c>
      <c r="V1323" s="7" t="s">
        <v>91</v>
      </c>
      <c r="W1323" s="7" t="s">
        <v>57</v>
      </c>
      <c r="X1323" s="7" t="s">
        <v>103</v>
      </c>
      <c r="Y1323" s="8">
        <v>44936</v>
      </c>
      <c r="Z1323" s="8">
        <v>45016</v>
      </c>
      <c r="AA1323" s="7" t="s">
        <v>92</v>
      </c>
      <c r="AB1323" s="7" t="s">
        <v>94</v>
      </c>
      <c r="AC1323" s="7" t="s">
        <v>65</v>
      </c>
      <c r="AD1323" s="7" t="s">
        <v>0</v>
      </c>
      <c r="AE1323" s="7" t="s">
        <v>0</v>
      </c>
      <c r="AF1323" s="7" t="s">
        <v>0</v>
      </c>
      <c r="AG1323" s="7" t="s">
        <v>0</v>
      </c>
      <c r="AH1323" s="9" t="s">
        <v>0</v>
      </c>
      <c r="AI1323" s="9" t="s">
        <v>0</v>
      </c>
      <c r="AJ1323" s="9" t="s">
        <v>0</v>
      </c>
      <c r="AK1323" s="7" t="s">
        <v>61</v>
      </c>
      <c r="AL1323" s="7" t="s">
        <v>61</v>
      </c>
      <c r="AM1323" s="7" t="s">
        <v>0</v>
      </c>
      <c r="AN1323" s="7" t="s">
        <v>0</v>
      </c>
      <c r="AO1323" s="7" t="s">
        <v>0</v>
      </c>
      <c r="AP1323" s="7" t="s">
        <v>0</v>
      </c>
      <c r="AQ1323" s="7" t="s">
        <v>61</v>
      </c>
      <c r="AR1323" s="7" t="s">
        <v>0</v>
      </c>
      <c r="AS1323" s="10" t="str">
        <f>HYPERLINK("https://tessa.gazprom-neft.local/edo/card/369a1cb8-b2ad-4744-99e2-d5568418315d", "https://tessa.gazprom-neft.local/edo/card/369a1cb8-b2ad-4744-99e2-d5568418315d")</f>
        <v>https://tessa.gazprom-neft.local/edo/card/369a1cb8-b2ad-4744-99e2-d5568418315d</v>
      </c>
    </row>
    <row r="1324" spans="1:45" hidden="1" x14ac:dyDescent="0.25">
      <c r="A1324" s="6" t="s">
        <v>44</v>
      </c>
      <c r="B1324" s="7" t="s">
        <v>582</v>
      </c>
      <c r="C1324" s="7" t="s">
        <v>67</v>
      </c>
      <c r="D1324" s="8">
        <v>44936</v>
      </c>
      <c r="E1324" s="8" t="s">
        <v>0</v>
      </c>
      <c r="F1324" s="16" t="s">
        <v>583</v>
      </c>
      <c r="G1324" s="7" t="s">
        <v>584</v>
      </c>
      <c r="H1324" s="7" t="s">
        <v>0</v>
      </c>
      <c r="I1324" s="7" t="s">
        <v>580</v>
      </c>
      <c r="J1324" s="7" t="s">
        <v>580</v>
      </c>
      <c r="K1324" s="7" t="s">
        <v>85</v>
      </c>
      <c r="L1324" s="7" t="s">
        <v>96</v>
      </c>
      <c r="M1324" s="7" t="s">
        <v>578</v>
      </c>
      <c r="N1324" s="7" t="s">
        <v>579</v>
      </c>
      <c r="O1324" s="7" t="s">
        <v>0</v>
      </c>
      <c r="P1324" s="7" t="s">
        <v>578</v>
      </c>
      <c r="Q1324" s="7" t="s">
        <v>581</v>
      </c>
      <c r="R1324" s="7" t="s">
        <v>282</v>
      </c>
      <c r="S1324" s="7" t="s">
        <v>0</v>
      </c>
      <c r="T1324" s="7" t="s">
        <v>54</v>
      </c>
      <c r="U1324" s="7" t="s">
        <v>55</v>
      </c>
      <c r="V1324" s="7" t="s">
        <v>56</v>
      </c>
      <c r="W1324" s="7" t="s">
        <v>74</v>
      </c>
      <c r="X1324" s="7" t="s">
        <v>103</v>
      </c>
      <c r="Y1324" s="8">
        <v>44936</v>
      </c>
      <c r="Z1324" s="8">
        <v>46022</v>
      </c>
      <c r="AA1324" s="7" t="s">
        <v>0</v>
      </c>
      <c r="AB1324" s="7" t="s">
        <v>585</v>
      </c>
      <c r="AC1324" s="7" t="s">
        <v>79</v>
      </c>
      <c r="AD1324" s="7" t="s">
        <v>144</v>
      </c>
      <c r="AE1324" s="7" t="s">
        <v>82</v>
      </c>
      <c r="AF1324" s="7" t="s">
        <v>0</v>
      </c>
      <c r="AG1324" s="7" t="s">
        <v>0</v>
      </c>
      <c r="AH1324" s="9" t="s">
        <v>10768</v>
      </c>
      <c r="AI1324" s="9" t="s">
        <v>10769</v>
      </c>
      <c r="AJ1324" s="9" t="s">
        <v>10770</v>
      </c>
      <c r="AK1324" s="7" t="s">
        <v>61</v>
      </c>
      <c r="AL1324" s="7" t="s">
        <v>61</v>
      </c>
      <c r="AM1324" s="7" t="s">
        <v>0</v>
      </c>
      <c r="AN1324" s="7" t="s">
        <v>0</v>
      </c>
      <c r="AO1324" s="7" t="s">
        <v>0</v>
      </c>
      <c r="AP1324" s="7" t="s">
        <v>0</v>
      </c>
      <c r="AQ1324" s="7" t="s">
        <v>61</v>
      </c>
      <c r="AR1324" s="7" t="s">
        <v>0</v>
      </c>
      <c r="AS1324" s="10" t="str">
        <f>HYPERLINK("https://tessa.gazprom-neft.local/edo/card/0a3eb17d-2fe8-44fa-a9c6-0ee50b9f2e1e", "https://tessa.gazprom-neft.local/edo/card/0a3eb17d-2fe8-44fa-a9c6-0ee50b9f2e1e")</f>
        <v>https://tessa.gazprom-neft.local/edo/card/0a3eb17d-2fe8-44fa-a9c6-0ee50b9f2e1e</v>
      </c>
    </row>
    <row r="1325" spans="1:45" hidden="1" x14ac:dyDescent="0.25">
      <c r="A1325" s="6" t="s">
        <v>44</v>
      </c>
      <c r="B1325" s="7" t="s">
        <v>582</v>
      </c>
      <c r="C1325" s="7" t="s">
        <v>67</v>
      </c>
      <c r="D1325" s="8">
        <v>44936</v>
      </c>
      <c r="E1325" s="8" t="s">
        <v>0</v>
      </c>
      <c r="F1325" s="16" t="s">
        <v>583</v>
      </c>
      <c r="G1325" s="7" t="s">
        <v>584</v>
      </c>
      <c r="H1325" s="7" t="s">
        <v>0</v>
      </c>
      <c r="I1325" s="7" t="s">
        <v>782</v>
      </c>
      <c r="J1325" s="7" t="s">
        <v>782</v>
      </c>
      <c r="K1325" s="7" t="s">
        <v>85</v>
      </c>
      <c r="L1325" s="7" t="s">
        <v>86</v>
      </c>
      <c r="M1325" s="7" t="s">
        <v>83</v>
      </c>
      <c r="N1325" s="7" t="s">
        <v>781</v>
      </c>
      <c r="O1325" s="7" t="s">
        <v>0</v>
      </c>
      <c r="P1325" s="7" t="s">
        <v>83</v>
      </c>
      <c r="Q1325" s="7" t="s">
        <v>783</v>
      </c>
      <c r="R1325" s="7" t="s">
        <v>282</v>
      </c>
      <c r="S1325" s="7" t="s">
        <v>282</v>
      </c>
      <c r="T1325" s="7" t="s">
        <v>54</v>
      </c>
      <c r="U1325" s="7" t="s">
        <v>55</v>
      </c>
      <c r="V1325" s="7" t="s">
        <v>91</v>
      </c>
      <c r="W1325" s="7" t="s">
        <v>74</v>
      </c>
      <c r="X1325" s="7" t="s">
        <v>103</v>
      </c>
      <c r="Y1325" s="8">
        <v>44936</v>
      </c>
      <c r="Z1325" s="8">
        <v>46022</v>
      </c>
      <c r="AA1325" s="7" t="s">
        <v>92</v>
      </c>
      <c r="AB1325" s="7" t="s">
        <v>94</v>
      </c>
      <c r="AC1325" s="7" t="s">
        <v>65</v>
      </c>
      <c r="AD1325" s="7" t="s">
        <v>0</v>
      </c>
      <c r="AE1325" s="7" t="s">
        <v>0</v>
      </c>
      <c r="AF1325" s="7" t="s">
        <v>0</v>
      </c>
      <c r="AG1325" s="7" t="s">
        <v>0</v>
      </c>
      <c r="AH1325" s="9" t="s">
        <v>0</v>
      </c>
      <c r="AI1325" s="9" t="s">
        <v>0</v>
      </c>
      <c r="AJ1325" s="9" t="s">
        <v>0</v>
      </c>
      <c r="AK1325" s="7" t="s">
        <v>61</v>
      </c>
      <c r="AL1325" s="7" t="s">
        <v>61</v>
      </c>
      <c r="AM1325" s="7" t="s">
        <v>0</v>
      </c>
      <c r="AN1325" s="7" t="s">
        <v>0</v>
      </c>
      <c r="AO1325" s="7" t="s">
        <v>0</v>
      </c>
      <c r="AP1325" s="7" t="s">
        <v>0</v>
      </c>
      <c r="AQ1325" s="7" t="s">
        <v>61</v>
      </c>
      <c r="AR1325" s="7" t="s">
        <v>0</v>
      </c>
      <c r="AS1325" s="10" t="str">
        <f>HYPERLINK("https://tessa.gazprom-neft.local/edo/card/f98a95fc-78fe-4fac-ad82-8f42777aee06", "https://tessa.gazprom-neft.local/edo/card/f98a95fc-78fe-4fac-ad82-8f42777aee06")</f>
        <v>https://tessa.gazprom-neft.local/edo/card/f98a95fc-78fe-4fac-ad82-8f42777aee06</v>
      </c>
    </row>
    <row r="1326" spans="1:45" hidden="1" x14ac:dyDescent="0.25">
      <c r="A1326" s="6" t="s">
        <v>44</v>
      </c>
      <c r="B1326" s="7" t="s">
        <v>582</v>
      </c>
      <c r="C1326" s="7" t="s">
        <v>46</v>
      </c>
      <c r="D1326" s="8">
        <v>44936</v>
      </c>
      <c r="E1326" s="8" t="s">
        <v>0</v>
      </c>
      <c r="F1326" s="16" t="s">
        <v>583</v>
      </c>
      <c r="G1326" s="7" t="s">
        <v>584</v>
      </c>
      <c r="H1326" s="7" t="s">
        <v>0</v>
      </c>
      <c r="I1326" s="7" t="s">
        <v>806</v>
      </c>
      <c r="J1326" s="7" t="s">
        <v>806</v>
      </c>
      <c r="K1326" s="7" t="s">
        <v>85</v>
      </c>
      <c r="L1326" s="7" t="s">
        <v>86</v>
      </c>
      <c r="M1326" s="7" t="s">
        <v>289</v>
      </c>
      <c r="N1326" s="7" t="s">
        <v>805</v>
      </c>
      <c r="O1326" s="7" t="s">
        <v>0</v>
      </c>
      <c r="P1326" s="7" t="s">
        <v>289</v>
      </c>
      <c r="Q1326" s="7" t="s">
        <v>807</v>
      </c>
      <c r="R1326" s="7" t="s">
        <v>282</v>
      </c>
      <c r="S1326" s="7" t="s">
        <v>282</v>
      </c>
      <c r="T1326" s="7" t="s">
        <v>54</v>
      </c>
      <c r="U1326" s="7" t="s">
        <v>55</v>
      </c>
      <c r="V1326" s="7" t="s">
        <v>56</v>
      </c>
      <c r="W1326" s="7" t="s">
        <v>74</v>
      </c>
      <c r="X1326" s="7" t="s">
        <v>103</v>
      </c>
      <c r="Y1326" s="8">
        <v>44936</v>
      </c>
      <c r="Z1326" s="8">
        <v>46022</v>
      </c>
      <c r="AA1326" s="7" t="s">
        <v>0</v>
      </c>
      <c r="AB1326" s="7" t="s">
        <v>300</v>
      </c>
      <c r="AC1326" s="7" t="s">
        <v>65</v>
      </c>
      <c r="AD1326" s="7" t="s">
        <v>0</v>
      </c>
      <c r="AE1326" s="7" t="s">
        <v>0</v>
      </c>
      <c r="AF1326" s="7" t="s">
        <v>0</v>
      </c>
      <c r="AG1326" s="7" t="s">
        <v>0</v>
      </c>
      <c r="AH1326" s="9" t="s">
        <v>0</v>
      </c>
      <c r="AI1326" s="9" t="s">
        <v>0</v>
      </c>
      <c r="AJ1326" s="9" t="s">
        <v>0</v>
      </c>
      <c r="AK1326" s="7" t="s">
        <v>61</v>
      </c>
      <c r="AL1326" s="7" t="s">
        <v>61</v>
      </c>
      <c r="AM1326" s="7" t="s">
        <v>0</v>
      </c>
      <c r="AN1326" s="7" t="s">
        <v>0</v>
      </c>
      <c r="AO1326" s="7" t="s">
        <v>0</v>
      </c>
      <c r="AP1326" s="7" t="s">
        <v>0</v>
      </c>
      <c r="AQ1326" s="7" t="s">
        <v>61</v>
      </c>
      <c r="AR1326" s="7" t="s">
        <v>0</v>
      </c>
      <c r="AS1326" s="10" t="str">
        <f>HYPERLINK("https://tessa.gazprom-neft.local/edo/card/6241cb71-eeeb-4147-9f37-7bf781929e75", "https://tessa.gazprom-neft.local/edo/card/6241cb71-eeeb-4147-9f37-7bf781929e75")</f>
        <v>https://tessa.gazprom-neft.local/edo/card/6241cb71-eeeb-4147-9f37-7bf781929e75</v>
      </c>
    </row>
    <row r="1327" spans="1:45" hidden="1" x14ac:dyDescent="0.25">
      <c r="A1327" s="6" t="s">
        <v>44</v>
      </c>
      <c r="B1327" s="7" t="s">
        <v>582</v>
      </c>
      <c r="C1327" s="7" t="s">
        <v>67</v>
      </c>
      <c r="D1327" s="8">
        <v>44936</v>
      </c>
      <c r="E1327" s="8" t="s">
        <v>0</v>
      </c>
      <c r="F1327" s="16" t="s">
        <v>583</v>
      </c>
      <c r="G1327" s="7" t="s">
        <v>584</v>
      </c>
      <c r="H1327" s="7" t="s">
        <v>0</v>
      </c>
      <c r="I1327" s="7" t="s">
        <v>1033</v>
      </c>
      <c r="J1327" s="7" t="s">
        <v>1033</v>
      </c>
      <c r="K1327" s="7" t="s">
        <v>85</v>
      </c>
      <c r="L1327" s="7" t="s">
        <v>86</v>
      </c>
      <c r="M1327" s="7" t="s">
        <v>216</v>
      </c>
      <c r="N1327" s="7" t="s">
        <v>1032</v>
      </c>
      <c r="O1327" s="7" t="s">
        <v>0</v>
      </c>
      <c r="P1327" s="7" t="s">
        <v>216</v>
      </c>
      <c r="Q1327" s="7" t="s">
        <v>1034</v>
      </c>
      <c r="R1327" s="7" t="s">
        <v>282</v>
      </c>
      <c r="S1327" s="7" t="s">
        <v>0</v>
      </c>
      <c r="T1327" s="7" t="s">
        <v>54</v>
      </c>
      <c r="U1327" s="7" t="s">
        <v>55</v>
      </c>
      <c r="V1327" s="7" t="s">
        <v>308</v>
      </c>
      <c r="W1327" s="7" t="s">
        <v>74</v>
      </c>
      <c r="X1327" s="7" t="s">
        <v>103</v>
      </c>
      <c r="Y1327" s="8">
        <v>44936</v>
      </c>
      <c r="Z1327" s="8">
        <v>46022</v>
      </c>
      <c r="AA1327" s="7" t="s">
        <v>309</v>
      </c>
      <c r="AB1327" s="7" t="s">
        <v>228</v>
      </c>
      <c r="AC1327" s="7" t="s">
        <v>65</v>
      </c>
      <c r="AD1327" s="7" t="s">
        <v>0</v>
      </c>
      <c r="AE1327" s="7" t="s">
        <v>0</v>
      </c>
      <c r="AF1327" s="7" t="s">
        <v>0</v>
      </c>
      <c r="AG1327" s="7" t="s">
        <v>0</v>
      </c>
      <c r="AH1327" s="9" t="s">
        <v>0</v>
      </c>
      <c r="AI1327" s="9" t="s">
        <v>0</v>
      </c>
      <c r="AJ1327" s="9" t="s">
        <v>0</v>
      </c>
      <c r="AK1327" s="7" t="s">
        <v>61</v>
      </c>
      <c r="AL1327" s="7" t="s">
        <v>61</v>
      </c>
      <c r="AM1327" s="7" t="s">
        <v>0</v>
      </c>
      <c r="AN1327" s="7" t="s">
        <v>0</v>
      </c>
      <c r="AO1327" s="7" t="s">
        <v>0</v>
      </c>
      <c r="AP1327" s="7" t="s">
        <v>0</v>
      </c>
      <c r="AQ1327" s="7" t="s">
        <v>61</v>
      </c>
      <c r="AR1327" s="7" t="s">
        <v>0</v>
      </c>
      <c r="AS1327" s="10" t="str">
        <f>HYPERLINK("https://tessa.gazprom-neft.local/edo/card/ae914515-6649-4bf1-af6a-120a006a2277", "https://tessa.gazprom-neft.local/edo/card/ae914515-6649-4bf1-af6a-120a006a2277")</f>
        <v>https://tessa.gazprom-neft.local/edo/card/ae914515-6649-4bf1-af6a-120a006a2277</v>
      </c>
    </row>
    <row r="1328" spans="1:45" hidden="1" x14ac:dyDescent="0.25">
      <c r="A1328" s="6" t="s">
        <v>44</v>
      </c>
      <c r="B1328" s="7" t="s">
        <v>0</v>
      </c>
      <c r="C1328" s="7" t="s">
        <v>67</v>
      </c>
      <c r="D1328" s="8">
        <v>44936</v>
      </c>
      <c r="E1328" s="8" t="s">
        <v>0</v>
      </c>
      <c r="F1328" s="16" t="s">
        <v>2623</v>
      </c>
      <c r="G1328" s="7" t="s">
        <v>0</v>
      </c>
      <c r="H1328" s="7" t="s">
        <v>2620</v>
      </c>
      <c r="I1328" s="7" t="s">
        <v>0</v>
      </c>
      <c r="J1328" s="7" t="s">
        <v>2535</v>
      </c>
      <c r="K1328" s="7" t="s">
        <v>47</v>
      </c>
      <c r="L1328" s="7" t="s">
        <v>2474</v>
      </c>
      <c r="M1328" s="7" t="s">
        <v>0</v>
      </c>
      <c r="N1328" s="7" t="s">
        <v>2619</v>
      </c>
      <c r="O1328" s="7" t="s">
        <v>0</v>
      </c>
      <c r="P1328" s="7" t="s">
        <v>2621</v>
      </c>
      <c r="Q1328" s="7" t="s">
        <v>2622</v>
      </c>
      <c r="R1328" s="7" t="s">
        <v>282</v>
      </c>
      <c r="S1328" s="7" t="s">
        <v>0</v>
      </c>
      <c r="T1328" s="7" t="s">
        <v>54</v>
      </c>
      <c r="U1328" s="7" t="s">
        <v>55</v>
      </c>
      <c r="V1328" s="7" t="s">
        <v>56</v>
      </c>
      <c r="W1328" s="7" t="s">
        <v>57</v>
      </c>
      <c r="X1328" s="7" t="s">
        <v>103</v>
      </c>
      <c r="Y1328" s="8">
        <v>44936</v>
      </c>
      <c r="Z1328" s="8">
        <v>46752</v>
      </c>
      <c r="AA1328" s="7" t="s">
        <v>0</v>
      </c>
      <c r="AB1328" s="7" t="s">
        <v>423</v>
      </c>
      <c r="AC1328" s="7" t="s">
        <v>65</v>
      </c>
      <c r="AD1328" s="7" t="s">
        <v>144</v>
      </c>
      <c r="AE1328" s="7" t="s">
        <v>0</v>
      </c>
      <c r="AF1328" s="7" t="s">
        <v>0</v>
      </c>
      <c r="AG1328" s="7" t="s">
        <v>0</v>
      </c>
      <c r="AH1328" s="9" t="s">
        <v>0</v>
      </c>
      <c r="AI1328" s="9" t="s">
        <v>0</v>
      </c>
      <c r="AJ1328" s="9" t="s">
        <v>0</v>
      </c>
      <c r="AK1328" s="7" t="s">
        <v>61</v>
      </c>
      <c r="AL1328" s="7" t="s">
        <v>61</v>
      </c>
      <c r="AM1328" s="7" t="s">
        <v>0</v>
      </c>
      <c r="AN1328" s="7" t="s">
        <v>0</v>
      </c>
      <c r="AO1328" s="7" t="s">
        <v>0</v>
      </c>
      <c r="AP1328" s="7" t="s">
        <v>0</v>
      </c>
      <c r="AQ1328" s="7" t="s">
        <v>61</v>
      </c>
      <c r="AR1328" s="7" t="s">
        <v>0</v>
      </c>
      <c r="AS1328" s="10" t="str">
        <f>HYPERLINK("https://tessa.gazprom-neft.local/edo/card/60ddeda7-ed9d-46a1-bda5-da98aae6042d", "https://tessa.gazprom-neft.local/edo/card/60ddeda7-ed9d-46a1-bda5-da98aae6042d")</f>
        <v>https://tessa.gazprom-neft.local/edo/card/60ddeda7-ed9d-46a1-bda5-da98aae6042d</v>
      </c>
    </row>
    <row r="1329" spans="1:45" hidden="1" x14ac:dyDescent="0.25">
      <c r="A1329" s="6" t="s">
        <v>44</v>
      </c>
      <c r="B1329" s="7" t="s">
        <v>0</v>
      </c>
      <c r="C1329" s="7" t="s">
        <v>67</v>
      </c>
      <c r="D1329" s="8">
        <v>44936</v>
      </c>
      <c r="E1329" s="8" t="s">
        <v>0</v>
      </c>
      <c r="F1329" s="16" t="s">
        <v>2623</v>
      </c>
      <c r="G1329" s="7" t="s">
        <v>0</v>
      </c>
      <c r="H1329" s="7" t="s">
        <v>280</v>
      </c>
      <c r="I1329" s="7" t="s">
        <v>0</v>
      </c>
      <c r="J1329" s="7" t="s">
        <v>51</v>
      </c>
      <c r="K1329" s="7" t="s">
        <v>47</v>
      </c>
      <c r="L1329" s="7" t="s">
        <v>2474</v>
      </c>
      <c r="M1329" s="7" t="s">
        <v>0</v>
      </c>
      <c r="N1329" s="7" t="s">
        <v>2640</v>
      </c>
      <c r="O1329" s="7" t="s">
        <v>0</v>
      </c>
      <c r="P1329" s="7" t="s">
        <v>2641</v>
      </c>
      <c r="Q1329" s="7" t="s">
        <v>2642</v>
      </c>
      <c r="R1329" s="7" t="s">
        <v>282</v>
      </c>
      <c r="S1329" s="7" t="s">
        <v>0</v>
      </c>
      <c r="T1329" s="7" t="s">
        <v>54</v>
      </c>
      <c r="U1329" s="7" t="s">
        <v>283</v>
      </c>
      <c r="V1329" s="7" t="s">
        <v>308</v>
      </c>
      <c r="W1329" s="7" t="s">
        <v>57</v>
      </c>
      <c r="X1329" s="7" t="s">
        <v>223</v>
      </c>
      <c r="Y1329" s="8">
        <v>44936</v>
      </c>
      <c r="Z1329" s="8" t="s">
        <v>0</v>
      </c>
      <c r="AA1329" s="7" t="s">
        <v>309</v>
      </c>
      <c r="AB1329" s="7" t="s">
        <v>228</v>
      </c>
      <c r="AC1329" s="7" t="s">
        <v>65</v>
      </c>
      <c r="AD1329" s="7" t="s">
        <v>0</v>
      </c>
      <c r="AE1329" s="7" t="s">
        <v>0</v>
      </c>
      <c r="AF1329" s="7" t="s">
        <v>0</v>
      </c>
      <c r="AG1329" s="7" t="s">
        <v>0</v>
      </c>
      <c r="AH1329" s="9" t="s">
        <v>0</v>
      </c>
      <c r="AI1329" s="9" t="s">
        <v>0</v>
      </c>
      <c r="AJ1329" s="9" t="s">
        <v>0</v>
      </c>
      <c r="AK1329" s="7" t="s">
        <v>61</v>
      </c>
      <c r="AL1329" s="7" t="s">
        <v>61</v>
      </c>
      <c r="AM1329" s="7" t="s">
        <v>0</v>
      </c>
      <c r="AN1329" s="7" t="s">
        <v>0</v>
      </c>
      <c r="AO1329" s="7" t="s">
        <v>0</v>
      </c>
      <c r="AP1329" s="7" t="s">
        <v>0</v>
      </c>
      <c r="AQ1329" s="7" t="s">
        <v>61</v>
      </c>
      <c r="AR1329" s="7" t="s">
        <v>0</v>
      </c>
      <c r="AS1329" s="10" t="str">
        <f>HYPERLINK("https://tessa.gazprom-neft.local/edo/card/8d21859b-2b0a-4929-b4fc-709856b85e88", "https://tessa.gazprom-neft.local/edo/card/8d21859b-2b0a-4929-b4fc-709856b85e88")</f>
        <v>https://tessa.gazprom-neft.local/edo/card/8d21859b-2b0a-4929-b4fc-709856b85e88</v>
      </c>
    </row>
    <row r="1330" spans="1:45" hidden="1" x14ac:dyDescent="0.25">
      <c r="A1330" s="6" t="s">
        <v>44</v>
      </c>
      <c r="B1330" s="7" t="s">
        <v>75</v>
      </c>
      <c r="C1330" s="7" t="s">
        <v>67</v>
      </c>
      <c r="D1330" s="8">
        <v>44935</v>
      </c>
      <c r="E1330" s="8" t="s">
        <v>0</v>
      </c>
      <c r="F1330" s="16" t="s">
        <v>76</v>
      </c>
      <c r="G1330" s="7" t="s">
        <v>77</v>
      </c>
      <c r="H1330" s="7" t="s">
        <v>68</v>
      </c>
      <c r="I1330" s="7" t="s">
        <v>0</v>
      </c>
      <c r="J1330" s="7" t="s">
        <v>70</v>
      </c>
      <c r="K1330" s="7" t="s">
        <v>47</v>
      </c>
      <c r="L1330" s="7" t="s">
        <v>239</v>
      </c>
      <c r="M1330" s="7" t="s">
        <v>0</v>
      </c>
      <c r="N1330" s="7" t="s">
        <v>632</v>
      </c>
      <c r="O1330" s="7" t="s">
        <v>0</v>
      </c>
      <c r="P1330" s="7" t="s">
        <v>633</v>
      </c>
      <c r="Q1330" s="7" t="s">
        <v>634</v>
      </c>
      <c r="R1330" s="7" t="s">
        <v>72</v>
      </c>
      <c r="S1330" s="7" t="s">
        <v>0</v>
      </c>
      <c r="T1330" s="7" t="s">
        <v>54</v>
      </c>
      <c r="U1330" s="7" t="s">
        <v>73</v>
      </c>
      <c r="V1330" s="7" t="s">
        <v>56</v>
      </c>
      <c r="W1330" s="7" t="s">
        <v>74</v>
      </c>
      <c r="X1330" s="7" t="s">
        <v>58</v>
      </c>
      <c r="Y1330" s="8">
        <v>44935</v>
      </c>
      <c r="Z1330" s="8" t="s">
        <v>0</v>
      </c>
      <c r="AA1330" s="7" t="s">
        <v>59</v>
      </c>
      <c r="AB1330" s="7" t="s">
        <v>78</v>
      </c>
      <c r="AC1330" s="7" t="s">
        <v>79</v>
      </c>
      <c r="AD1330" s="7" t="s">
        <v>80</v>
      </c>
      <c r="AE1330" s="7" t="s">
        <v>82</v>
      </c>
      <c r="AF1330" s="7" t="s">
        <v>0</v>
      </c>
      <c r="AG1330" s="7" t="s">
        <v>0</v>
      </c>
      <c r="AH1330" s="9" t="s">
        <v>10792</v>
      </c>
      <c r="AI1330" s="9" t="s">
        <v>10793</v>
      </c>
      <c r="AJ1330" s="9" t="s">
        <v>10794</v>
      </c>
      <c r="AK1330" s="7" t="s">
        <v>61</v>
      </c>
      <c r="AL1330" s="7" t="s">
        <v>61</v>
      </c>
      <c r="AM1330" s="7" t="s">
        <v>0</v>
      </c>
      <c r="AN1330" s="7" t="s">
        <v>0</v>
      </c>
      <c r="AO1330" s="7" t="s">
        <v>0</v>
      </c>
      <c r="AP1330" s="7" t="s">
        <v>0</v>
      </c>
      <c r="AQ1330" s="7" t="s">
        <v>61</v>
      </c>
      <c r="AR1330" s="7" t="s">
        <v>0</v>
      </c>
      <c r="AS1330" s="10" t="str">
        <f>HYPERLINK("https://tessa.gazprom-neft.local/edo/card/58db3db7-10e9-4b10-bbda-c62c764679c8", "https://tessa.gazprom-neft.local/edo/card/58db3db7-10e9-4b10-bbda-c62c764679c8")</f>
        <v>https://tessa.gazprom-neft.local/edo/card/58db3db7-10e9-4b10-bbda-c62c764679c8</v>
      </c>
    </row>
    <row r="1331" spans="1:45" x14ac:dyDescent="0.25">
      <c r="A1331" s="6" t="s">
        <v>44</v>
      </c>
      <c r="B1331" s="7" t="s">
        <v>75</v>
      </c>
      <c r="C1331" s="7" t="s">
        <v>67</v>
      </c>
      <c r="D1331" s="8">
        <v>44927</v>
      </c>
      <c r="E1331" s="8" t="s">
        <v>0</v>
      </c>
      <c r="F1331" s="16" t="s">
        <v>76</v>
      </c>
      <c r="G1331" s="7" t="s">
        <v>77</v>
      </c>
      <c r="H1331" s="7" t="s">
        <v>68</v>
      </c>
      <c r="I1331" s="7" t="s">
        <v>0</v>
      </c>
      <c r="J1331" s="7" t="s">
        <v>70</v>
      </c>
      <c r="K1331" s="7" t="s">
        <v>47</v>
      </c>
      <c r="L1331" s="7" t="s">
        <v>48</v>
      </c>
      <c r="M1331" s="7" t="s">
        <v>0</v>
      </c>
      <c r="N1331" s="7" t="s">
        <v>66</v>
      </c>
      <c r="O1331" s="7" t="s">
        <v>0</v>
      </c>
      <c r="P1331" s="7" t="s">
        <v>69</v>
      </c>
      <c r="Q1331" s="7" t="s">
        <v>71</v>
      </c>
      <c r="R1331" s="7" t="s">
        <v>72</v>
      </c>
      <c r="S1331" s="7" t="s">
        <v>0</v>
      </c>
      <c r="T1331" s="7" t="s">
        <v>54</v>
      </c>
      <c r="U1331" s="7" t="s">
        <v>73</v>
      </c>
      <c r="V1331" s="7" t="s">
        <v>56</v>
      </c>
      <c r="W1331" s="7" t="s">
        <v>74</v>
      </c>
      <c r="X1331" s="7" t="s">
        <v>58</v>
      </c>
      <c r="Y1331" s="8">
        <v>44927</v>
      </c>
      <c r="Z1331" s="8" t="s">
        <v>0</v>
      </c>
      <c r="AA1331" s="7" t="s">
        <v>59</v>
      </c>
      <c r="AB1331" s="7" t="s">
        <v>78</v>
      </c>
      <c r="AC1331" s="7" t="s">
        <v>79</v>
      </c>
      <c r="AD1331" s="7" t="s">
        <v>80</v>
      </c>
      <c r="AE1331" s="7" t="s">
        <v>82</v>
      </c>
      <c r="AF1331" s="7" t="s">
        <v>0</v>
      </c>
      <c r="AG1331" s="7" t="s">
        <v>0</v>
      </c>
      <c r="AH1331" s="9">
        <v>155119736.40000001</v>
      </c>
      <c r="AI1331" s="9" t="s">
        <v>10692</v>
      </c>
      <c r="AJ1331" s="9" t="s">
        <v>10693</v>
      </c>
      <c r="AK1331" s="7" t="s">
        <v>61</v>
      </c>
      <c r="AL1331" s="7" t="s">
        <v>61</v>
      </c>
      <c r="AM1331" s="7" t="s">
        <v>0</v>
      </c>
      <c r="AN1331" s="7" t="s">
        <v>0</v>
      </c>
      <c r="AO1331" s="7" t="s">
        <v>0</v>
      </c>
      <c r="AP1331" s="7" t="s">
        <v>0</v>
      </c>
      <c r="AQ1331" s="7" t="s">
        <v>61</v>
      </c>
      <c r="AR1331" s="7" t="s">
        <v>0</v>
      </c>
      <c r="AS1331" s="10" t="str">
        <f>HYPERLINK("https://tessa.gazprom-neft.local/edo/card/e838a65a-a3af-46c2-a7e6-af6b48dc0e98", "https://tessa.gazprom-neft.local/edo/card/e838a65a-a3af-46c2-a7e6-af6b48dc0e98")</f>
        <v>https://tessa.gazprom-neft.local/edo/card/e838a65a-a3af-46c2-a7e6-af6b48dc0e98</v>
      </c>
    </row>
    <row r="1332" spans="1:45" x14ac:dyDescent="0.25">
      <c r="A1332" s="6" t="s">
        <v>44</v>
      </c>
      <c r="B1332" s="7" t="s">
        <v>1453</v>
      </c>
      <c r="C1332" s="7" t="s">
        <v>46</v>
      </c>
      <c r="D1332" s="8">
        <v>44927</v>
      </c>
      <c r="E1332" s="8" t="s">
        <v>0</v>
      </c>
      <c r="F1332" s="16" t="s">
        <v>1454</v>
      </c>
      <c r="G1332" s="7" t="s">
        <v>1455</v>
      </c>
      <c r="H1332" s="7" t="s">
        <v>1450</v>
      </c>
      <c r="I1332" s="7" t="s">
        <v>0</v>
      </c>
      <c r="J1332" s="7" t="s">
        <v>51</v>
      </c>
      <c r="K1332" s="7" t="s">
        <v>47</v>
      </c>
      <c r="L1332" s="7" t="s">
        <v>48</v>
      </c>
      <c r="M1332" s="7" t="s">
        <v>0</v>
      </c>
      <c r="N1332" s="7" t="s">
        <v>1449</v>
      </c>
      <c r="O1332" s="7" t="s">
        <v>0</v>
      </c>
      <c r="P1332" s="7" t="s">
        <v>1451</v>
      </c>
      <c r="Q1332" s="7" t="s">
        <v>1452</v>
      </c>
      <c r="R1332" s="7" t="s">
        <v>484</v>
      </c>
      <c r="S1332" s="7" t="s">
        <v>484</v>
      </c>
      <c r="T1332" s="7" t="s">
        <v>54</v>
      </c>
      <c r="U1332" s="7" t="s">
        <v>274</v>
      </c>
      <c r="V1332" s="7" t="s">
        <v>56</v>
      </c>
      <c r="W1332" s="7" t="s">
        <v>57</v>
      </c>
      <c r="X1332" s="7" t="s">
        <v>103</v>
      </c>
      <c r="Y1332" s="8">
        <v>44927</v>
      </c>
      <c r="Z1332" s="8">
        <v>45657</v>
      </c>
      <c r="AA1332" s="7" t="s">
        <v>0</v>
      </c>
      <c r="AB1332" s="7" t="s">
        <v>64</v>
      </c>
      <c r="AC1332" s="7" t="s">
        <v>278</v>
      </c>
      <c r="AD1332" s="7" t="s">
        <v>80</v>
      </c>
      <c r="AE1332" s="7" t="s">
        <v>82</v>
      </c>
      <c r="AF1332" s="7" t="s">
        <v>0</v>
      </c>
      <c r="AG1332" s="7" t="s">
        <v>0</v>
      </c>
      <c r="AH1332" s="9" t="s">
        <v>11029</v>
      </c>
      <c r="AI1332" s="9" t="s">
        <v>11030</v>
      </c>
      <c r="AJ1332" s="9" t="s">
        <v>11031</v>
      </c>
      <c r="AK1332" s="7" t="s">
        <v>61</v>
      </c>
      <c r="AL1332" s="7" t="s">
        <v>61</v>
      </c>
      <c r="AM1332" s="7" t="s">
        <v>0</v>
      </c>
      <c r="AN1332" s="7" t="s">
        <v>0</v>
      </c>
      <c r="AO1332" s="7" t="s">
        <v>0</v>
      </c>
      <c r="AP1332" s="7" t="s">
        <v>0</v>
      </c>
      <c r="AQ1332" s="7" t="s">
        <v>61</v>
      </c>
      <c r="AR1332" s="7" t="s">
        <v>0</v>
      </c>
      <c r="AS1332" s="10" t="str">
        <f>HYPERLINK("https://tessa.gazprom-neft.local/edo/card/8373701e-db63-4a1d-baed-3186be9748eb", "https://tessa.gazprom-neft.local/edo/card/8373701e-db63-4a1d-baed-3186be9748eb")</f>
        <v>https://tessa.gazprom-neft.local/edo/card/8373701e-db63-4a1d-baed-3186be9748eb</v>
      </c>
    </row>
    <row r="1333" spans="1:45" hidden="1" x14ac:dyDescent="0.25">
      <c r="A1333" s="6" t="s">
        <v>44</v>
      </c>
      <c r="B1333" s="7" t="s">
        <v>170</v>
      </c>
      <c r="C1333" s="7" t="s">
        <v>67</v>
      </c>
      <c r="D1333" s="8">
        <v>44926</v>
      </c>
      <c r="E1333" s="8" t="s">
        <v>0</v>
      </c>
      <c r="F1333" s="16" t="s">
        <v>171</v>
      </c>
      <c r="G1333" s="7" t="s">
        <v>172</v>
      </c>
      <c r="H1333" s="7" t="s">
        <v>163</v>
      </c>
      <c r="I1333" s="7" t="s">
        <v>0</v>
      </c>
      <c r="J1333" s="7" t="s">
        <v>316</v>
      </c>
      <c r="K1333" s="7" t="s">
        <v>47</v>
      </c>
      <c r="L1333" s="7" t="s">
        <v>239</v>
      </c>
      <c r="M1333" s="7" t="s">
        <v>0</v>
      </c>
      <c r="N1333" s="7" t="s">
        <v>314</v>
      </c>
      <c r="O1333" s="7" t="s">
        <v>0</v>
      </c>
      <c r="P1333" s="7" t="s">
        <v>315</v>
      </c>
      <c r="Q1333" s="7" t="s">
        <v>317</v>
      </c>
      <c r="R1333" s="7" t="s">
        <v>166</v>
      </c>
      <c r="S1333" s="7" t="s">
        <v>166</v>
      </c>
      <c r="T1333" s="7" t="s">
        <v>54</v>
      </c>
      <c r="U1333" s="7" t="s">
        <v>167</v>
      </c>
      <c r="V1333" s="7" t="s">
        <v>168</v>
      </c>
      <c r="W1333" s="7" t="s">
        <v>57</v>
      </c>
      <c r="X1333" s="7" t="s">
        <v>103</v>
      </c>
      <c r="Y1333" s="8">
        <v>44927</v>
      </c>
      <c r="Z1333" s="8">
        <v>44972</v>
      </c>
      <c r="AA1333" s="7" t="s">
        <v>169</v>
      </c>
      <c r="AB1333" s="7" t="s">
        <v>130</v>
      </c>
      <c r="AC1333" s="7" t="s">
        <v>79</v>
      </c>
      <c r="AD1333" s="7" t="s">
        <v>80</v>
      </c>
      <c r="AE1333" s="7" t="s">
        <v>82</v>
      </c>
      <c r="AF1333" s="7" t="s">
        <v>0</v>
      </c>
      <c r="AG1333" s="7" t="s">
        <v>0</v>
      </c>
      <c r="AH1333" s="9" t="s">
        <v>10721</v>
      </c>
      <c r="AI1333" s="9" t="s">
        <v>10722</v>
      </c>
      <c r="AJ1333" s="9" t="s">
        <v>10723</v>
      </c>
      <c r="AK1333" s="7" t="s">
        <v>61</v>
      </c>
      <c r="AL1333" s="7" t="s">
        <v>61</v>
      </c>
      <c r="AM1333" s="7" t="s">
        <v>0</v>
      </c>
      <c r="AN1333" s="7" t="s">
        <v>0</v>
      </c>
      <c r="AO1333" s="7" t="s">
        <v>0</v>
      </c>
      <c r="AP1333" s="7" t="s">
        <v>0</v>
      </c>
      <c r="AQ1333" s="7" t="s">
        <v>61</v>
      </c>
      <c r="AR1333" s="7" t="s">
        <v>0</v>
      </c>
      <c r="AS1333" s="10" t="str">
        <f>HYPERLINK("https://tessa.gazprom-neft.local/edo/card/02135164-7de2-42e4-9f72-635cda093ecb", "https://tessa.gazprom-neft.local/edo/card/02135164-7de2-42e4-9f72-635cda093ecb")</f>
        <v>https://tessa.gazprom-neft.local/edo/card/02135164-7de2-42e4-9f72-635cda093ecb</v>
      </c>
    </row>
    <row r="1334" spans="1:45" hidden="1" x14ac:dyDescent="0.25">
      <c r="A1334" s="6" t="s">
        <v>44</v>
      </c>
      <c r="B1334" s="7" t="s">
        <v>661</v>
      </c>
      <c r="C1334" s="7" t="s">
        <v>67</v>
      </c>
      <c r="D1334" s="8">
        <v>44926</v>
      </c>
      <c r="E1334" s="8" t="s">
        <v>0</v>
      </c>
      <c r="F1334" s="16" t="s">
        <v>662</v>
      </c>
      <c r="G1334" s="7" t="s">
        <v>663</v>
      </c>
      <c r="H1334" s="7" t="s">
        <v>764</v>
      </c>
      <c r="I1334" s="7" t="s">
        <v>0</v>
      </c>
      <c r="J1334" s="7" t="s">
        <v>766</v>
      </c>
      <c r="K1334" s="7" t="s">
        <v>47</v>
      </c>
      <c r="L1334" s="7" t="s">
        <v>763</v>
      </c>
      <c r="M1334" s="7" t="s">
        <v>0</v>
      </c>
      <c r="N1334" s="7" t="s">
        <v>762</v>
      </c>
      <c r="O1334" s="7" t="s">
        <v>0</v>
      </c>
      <c r="P1334" s="7" t="s">
        <v>765</v>
      </c>
      <c r="Q1334" s="7" t="s">
        <v>767</v>
      </c>
      <c r="R1334" s="7" t="s">
        <v>768</v>
      </c>
      <c r="S1334" s="7" t="s">
        <v>714</v>
      </c>
      <c r="T1334" s="7" t="s">
        <v>54</v>
      </c>
      <c r="U1334" s="7" t="s">
        <v>283</v>
      </c>
      <c r="V1334" s="7" t="s">
        <v>168</v>
      </c>
      <c r="W1334" s="7" t="s">
        <v>74</v>
      </c>
      <c r="X1334" s="7" t="s">
        <v>103</v>
      </c>
      <c r="Y1334" s="8">
        <v>44915</v>
      </c>
      <c r="Z1334" s="8">
        <v>45291</v>
      </c>
      <c r="AA1334" s="7" t="s">
        <v>169</v>
      </c>
      <c r="AB1334" s="7" t="s">
        <v>130</v>
      </c>
      <c r="AC1334" s="7" t="s">
        <v>79</v>
      </c>
      <c r="AD1334" s="7" t="s">
        <v>80</v>
      </c>
      <c r="AE1334" s="7" t="s">
        <v>82</v>
      </c>
      <c r="AF1334" s="7" t="s">
        <v>0</v>
      </c>
      <c r="AG1334" s="7" t="s">
        <v>0</v>
      </c>
      <c r="AH1334" s="9" t="s">
        <v>10829</v>
      </c>
      <c r="AI1334" s="9" t="s">
        <v>10830</v>
      </c>
      <c r="AJ1334" s="9" t="s">
        <v>10831</v>
      </c>
      <c r="AK1334" s="7" t="s">
        <v>61</v>
      </c>
      <c r="AL1334" s="7" t="s">
        <v>61</v>
      </c>
      <c r="AM1334" s="7" t="s">
        <v>0</v>
      </c>
      <c r="AN1334" s="7" t="s">
        <v>0</v>
      </c>
      <c r="AO1334" s="7" t="s">
        <v>0</v>
      </c>
      <c r="AP1334" s="7" t="s">
        <v>0</v>
      </c>
      <c r="AQ1334" s="7" t="s">
        <v>61</v>
      </c>
      <c r="AR1334" s="7" t="s">
        <v>0</v>
      </c>
      <c r="AS1334" s="10" t="str">
        <f>HYPERLINK("https://tessa.gazprom-neft.local/edo/card/7394ffc2-3d78-4395-8841-9d454e7fed1c", "https://tessa.gazprom-neft.local/edo/card/7394ffc2-3d78-4395-8841-9d454e7fed1c")</f>
        <v>https://tessa.gazprom-neft.local/edo/card/7394ffc2-3d78-4395-8841-9d454e7fed1c</v>
      </c>
    </row>
    <row r="1335" spans="1:45" hidden="1" x14ac:dyDescent="0.25">
      <c r="A1335" s="6" t="s">
        <v>44</v>
      </c>
      <c r="B1335" s="7" t="s">
        <v>114</v>
      </c>
      <c r="C1335" s="7" t="s">
        <v>67</v>
      </c>
      <c r="D1335" s="8">
        <v>44925</v>
      </c>
      <c r="E1335" s="8" t="s">
        <v>0</v>
      </c>
      <c r="F1335" s="16" t="s">
        <v>115</v>
      </c>
      <c r="G1335" s="7" t="s">
        <v>116</v>
      </c>
      <c r="H1335" s="7" t="s">
        <v>0</v>
      </c>
      <c r="I1335" s="7" t="s">
        <v>107</v>
      </c>
      <c r="J1335" s="7" t="s">
        <v>107</v>
      </c>
      <c r="K1335" s="7" t="s">
        <v>47</v>
      </c>
      <c r="L1335" s="7" t="s">
        <v>96</v>
      </c>
      <c r="M1335" s="7" t="s">
        <v>0</v>
      </c>
      <c r="N1335" s="7" t="s">
        <v>106</v>
      </c>
      <c r="O1335" s="7" t="s">
        <v>0</v>
      </c>
      <c r="P1335" s="7" t="s">
        <v>108</v>
      </c>
      <c r="Q1335" s="7" t="s">
        <v>109</v>
      </c>
      <c r="R1335" s="7" t="s">
        <v>110</v>
      </c>
      <c r="S1335" s="7" t="s">
        <v>110</v>
      </c>
      <c r="T1335" s="7" t="s">
        <v>54</v>
      </c>
      <c r="U1335" s="7" t="s">
        <v>111</v>
      </c>
      <c r="V1335" s="7" t="s">
        <v>112</v>
      </c>
      <c r="W1335" s="7" t="s">
        <v>57</v>
      </c>
      <c r="X1335" s="7" t="s">
        <v>103</v>
      </c>
      <c r="Y1335" s="8">
        <v>44927</v>
      </c>
      <c r="Z1335" s="8">
        <v>45291</v>
      </c>
      <c r="AA1335" s="7" t="s">
        <v>113</v>
      </c>
      <c r="AB1335" s="7" t="s">
        <v>117</v>
      </c>
      <c r="AC1335" s="7" t="s">
        <v>79</v>
      </c>
      <c r="AD1335" s="7" t="s">
        <v>80</v>
      </c>
      <c r="AE1335" s="7" t="s">
        <v>118</v>
      </c>
      <c r="AF1335" s="7" t="s">
        <v>0</v>
      </c>
      <c r="AG1335" s="7" t="s">
        <v>0</v>
      </c>
      <c r="AH1335" s="9" t="s">
        <v>10697</v>
      </c>
      <c r="AI1335" s="9" t="s">
        <v>10697</v>
      </c>
      <c r="AJ1335" s="9">
        <v>0</v>
      </c>
      <c r="AK1335" s="7" t="s">
        <v>61</v>
      </c>
      <c r="AL1335" s="7" t="s">
        <v>61</v>
      </c>
      <c r="AM1335" s="7" t="s">
        <v>0</v>
      </c>
      <c r="AN1335" s="7" t="s">
        <v>0</v>
      </c>
      <c r="AO1335" s="7" t="s">
        <v>0</v>
      </c>
      <c r="AP1335" s="7" t="s">
        <v>0</v>
      </c>
      <c r="AQ1335" s="7" t="s">
        <v>61</v>
      </c>
      <c r="AR1335" s="7" t="s">
        <v>0</v>
      </c>
      <c r="AS1335" s="10" t="str">
        <f>HYPERLINK("https://tessa.gazprom-neft.local/edo/card/bc8f7be3-dc16-4374-a504-0f722569745f", "https://tessa.gazprom-neft.local/edo/card/bc8f7be3-dc16-4374-a504-0f722569745f")</f>
        <v>https://tessa.gazprom-neft.local/edo/card/bc8f7be3-dc16-4374-a504-0f722569745f</v>
      </c>
    </row>
    <row r="1336" spans="1:45" x14ac:dyDescent="0.25">
      <c r="A1336" s="6" t="s">
        <v>44</v>
      </c>
      <c r="B1336" s="7" t="s">
        <v>114</v>
      </c>
      <c r="C1336" s="7" t="s">
        <v>46</v>
      </c>
      <c r="D1336" s="8">
        <v>44925</v>
      </c>
      <c r="E1336" s="8" t="s">
        <v>0</v>
      </c>
      <c r="F1336" s="16" t="s">
        <v>115</v>
      </c>
      <c r="G1336" s="7" t="s">
        <v>116</v>
      </c>
      <c r="H1336" s="7" t="s">
        <v>141</v>
      </c>
      <c r="I1336" s="7" t="s">
        <v>0</v>
      </c>
      <c r="J1336" s="7" t="s">
        <v>51</v>
      </c>
      <c r="K1336" s="7" t="s">
        <v>47</v>
      </c>
      <c r="L1336" s="7" t="s">
        <v>48</v>
      </c>
      <c r="M1336" s="7" t="s">
        <v>0</v>
      </c>
      <c r="N1336" s="7" t="s">
        <v>140</v>
      </c>
      <c r="O1336" s="7" t="s">
        <v>0</v>
      </c>
      <c r="P1336" s="7" t="s">
        <v>142</v>
      </c>
      <c r="Q1336" s="7" t="s">
        <v>143</v>
      </c>
      <c r="R1336" s="7" t="s">
        <v>110</v>
      </c>
      <c r="S1336" s="7" t="s">
        <v>0</v>
      </c>
      <c r="T1336" s="7" t="s">
        <v>54</v>
      </c>
      <c r="U1336" s="7" t="s">
        <v>111</v>
      </c>
      <c r="V1336" s="7" t="s">
        <v>112</v>
      </c>
      <c r="W1336" s="7" t="s">
        <v>57</v>
      </c>
      <c r="X1336" s="7" t="s">
        <v>58</v>
      </c>
      <c r="Y1336" s="8">
        <v>44925</v>
      </c>
      <c r="Z1336" s="8" t="s">
        <v>0</v>
      </c>
      <c r="AA1336" s="7" t="s">
        <v>113</v>
      </c>
      <c r="AB1336" s="7" t="s">
        <v>117</v>
      </c>
      <c r="AC1336" s="7" t="s">
        <v>79</v>
      </c>
      <c r="AD1336" s="7" t="s">
        <v>144</v>
      </c>
      <c r="AE1336" s="7" t="s">
        <v>118</v>
      </c>
      <c r="AF1336" s="7" t="s">
        <v>0</v>
      </c>
      <c r="AG1336" s="7" t="s">
        <v>0</v>
      </c>
      <c r="AH1336" s="9" t="s">
        <v>10701</v>
      </c>
      <c r="AI1336" s="9" t="s">
        <v>10701</v>
      </c>
      <c r="AJ1336" s="9">
        <v>0</v>
      </c>
      <c r="AK1336" s="7" t="s">
        <v>61</v>
      </c>
      <c r="AL1336" s="7" t="s">
        <v>61</v>
      </c>
      <c r="AM1336" s="7" t="s">
        <v>0</v>
      </c>
      <c r="AN1336" s="7" t="s">
        <v>0</v>
      </c>
      <c r="AO1336" s="7" t="s">
        <v>0</v>
      </c>
      <c r="AP1336" s="7" t="s">
        <v>0</v>
      </c>
      <c r="AQ1336" s="7" t="s">
        <v>61</v>
      </c>
      <c r="AR1336" s="7" t="s">
        <v>0</v>
      </c>
      <c r="AS1336" s="10" t="str">
        <f>HYPERLINK("https://tessa.gazprom-neft.local/edo/card/6b50c921-e16f-423a-867f-033170b4401f", "https://tessa.gazprom-neft.local/edo/card/6b50c921-e16f-423a-867f-033170b4401f")</f>
        <v>https://tessa.gazprom-neft.local/edo/card/6b50c921-e16f-423a-867f-033170b4401f</v>
      </c>
    </row>
    <row r="1337" spans="1:45" x14ac:dyDescent="0.25">
      <c r="A1337" s="6" t="s">
        <v>44</v>
      </c>
      <c r="B1337" s="7" t="s">
        <v>170</v>
      </c>
      <c r="C1337" s="7" t="s">
        <v>67</v>
      </c>
      <c r="D1337" s="8">
        <v>44925</v>
      </c>
      <c r="E1337" s="8" t="s">
        <v>0</v>
      </c>
      <c r="F1337" s="16" t="s">
        <v>171</v>
      </c>
      <c r="G1337" s="7" t="s">
        <v>172</v>
      </c>
      <c r="H1337" s="7" t="s">
        <v>163</v>
      </c>
      <c r="I1337" s="7" t="s">
        <v>0</v>
      </c>
      <c r="J1337" s="7" t="s">
        <v>70</v>
      </c>
      <c r="K1337" s="7" t="s">
        <v>47</v>
      </c>
      <c r="L1337" s="7" t="s">
        <v>48</v>
      </c>
      <c r="M1337" s="7" t="s">
        <v>0</v>
      </c>
      <c r="N1337" s="7" t="s">
        <v>162</v>
      </c>
      <c r="O1337" s="7" t="s">
        <v>0</v>
      </c>
      <c r="P1337" s="7" t="s">
        <v>164</v>
      </c>
      <c r="Q1337" s="7" t="s">
        <v>165</v>
      </c>
      <c r="R1337" s="7" t="s">
        <v>166</v>
      </c>
      <c r="S1337" s="7" t="s">
        <v>166</v>
      </c>
      <c r="T1337" s="7" t="s">
        <v>54</v>
      </c>
      <c r="U1337" s="7" t="s">
        <v>167</v>
      </c>
      <c r="V1337" s="7" t="s">
        <v>168</v>
      </c>
      <c r="W1337" s="7" t="s">
        <v>57</v>
      </c>
      <c r="X1337" s="7" t="s">
        <v>103</v>
      </c>
      <c r="Y1337" s="8">
        <v>44925</v>
      </c>
      <c r="Z1337" s="8">
        <v>45291</v>
      </c>
      <c r="AA1337" s="7" t="s">
        <v>169</v>
      </c>
      <c r="AB1337" s="7" t="s">
        <v>130</v>
      </c>
      <c r="AC1337" s="7" t="s">
        <v>79</v>
      </c>
      <c r="AD1337" s="7" t="s">
        <v>80</v>
      </c>
      <c r="AE1337" s="7" t="s">
        <v>82</v>
      </c>
      <c r="AF1337" s="7" t="s">
        <v>0</v>
      </c>
      <c r="AG1337" s="7" t="s">
        <v>0</v>
      </c>
      <c r="AH1337" s="9" t="s">
        <v>10702</v>
      </c>
      <c r="AI1337" s="9" t="s">
        <v>10703</v>
      </c>
      <c r="AJ1337" s="9" t="s">
        <v>10704</v>
      </c>
      <c r="AK1337" s="7" t="s">
        <v>61</v>
      </c>
      <c r="AL1337" s="7" t="s">
        <v>61</v>
      </c>
      <c r="AM1337" s="7" t="s">
        <v>0</v>
      </c>
      <c r="AN1337" s="7" t="s">
        <v>0</v>
      </c>
      <c r="AO1337" s="7" t="s">
        <v>0</v>
      </c>
      <c r="AP1337" s="7" t="s">
        <v>0</v>
      </c>
      <c r="AQ1337" s="7" t="s">
        <v>61</v>
      </c>
      <c r="AR1337" s="7" t="s">
        <v>0</v>
      </c>
      <c r="AS1337" s="10" t="str">
        <f>HYPERLINK("https://tessa.gazprom-neft.local/edo/card/a6ab7c7f-d0d0-4bdf-a7a7-724b0bada769", "https://tessa.gazprom-neft.local/edo/card/a6ab7c7f-d0d0-4bdf-a7a7-724b0bada769")</f>
        <v>https://tessa.gazprom-neft.local/edo/card/a6ab7c7f-d0d0-4bdf-a7a7-724b0bada769</v>
      </c>
    </row>
    <row r="1338" spans="1:45" hidden="1" x14ac:dyDescent="0.25">
      <c r="A1338" s="6" t="s">
        <v>44</v>
      </c>
      <c r="B1338" s="7" t="s">
        <v>170</v>
      </c>
      <c r="C1338" s="7" t="s">
        <v>67</v>
      </c>
      <c r="D1338" s="8">
        <v>44925</v>
      </c>
      <c r="E1338" s="8" t="s">
        <v>0</v>
      </c>
      <c r="F1338" s="16" t="s">
        <v>171</v>
      </c>
      <c r="G1338" s="7" t="s">
        <v>172</v>
      </c>
      <c r="H1338" s="7" t="s">
        <v>163</v>
      </c>
      <c r="I1338" s="7" t="s">
        <v>0</v>
      </c>
      <c r="J1338" s="7" t="s">
        <v>331</v>
      </c>
      <c r="K1338" s="7" t="s">
        <v>47</v>
      </c>
      <c r="L1338" s="7" t="s">
        <v>239</v>
      </c>
      <c r="M1338" s="7" t="s">
        <v>0</v>
      </c>
      <c r="N1338" s="7" t="s">
        <v>329</v>
      </c>
      <c r="O1338" s="7" t="s">
        <v>0</v>
      </c>
      <c r="P1338" s="7" t="s">
        <v>330</v>
      </c>
      <c r="Q1338" s="7" t="s">
        <v>332</v>
      </c>
      <c r="R1338" s="7" t="s">
        <v>166</v>
      </c>
      <c r="S1338" s="7" t="s">
        <v>166</v>
      </c>
      <c r="T1338" s="7" t="s">
        <v>54</v>
      </c>
      <c r="U1338" s="7" t="s">
        <v>167</v>
      </c>
      <c r="V1338" s="7" t="s">
        <v>168</v>
      </c>
      <c r="W1338" s="7" t="s">
        <v>57</v>
      </c>
      <c r="X1338" s="7" t="s">
        <v>103</v>
      </c>
      <c r="Y1338" s="8">
        <v>44927</v>
      </c>
      <c r="Z1338" s="8">
        <v>44957</v>
      </c>
      <c r="AA1338" s="7" t="s">
        <v>169</v>
      </c>
      <c r="AB1338" s="7" t="s">
        <v>130</v>
      </c>
      <c r="AC1338" s="7" t="s">
        <v>79</v>
      </c>
      <c r="AD1338" s="7" t="s">
        <v>80</v>
      </c>
      <c r="AE1338" s="7" t="s">
        <v>82</v>
      </c>
      <c r="AF1338" s="7" t="s">
        <v>0</v>
      </c>
      <c r="AG1338" s="7" t="s">
        <v>0</v>
      </c>
      <c r="AH1338" s="9" t="s">
        <v>10724</v>
      </c>
      <c r="AI1338" s="9" t="s">
        <v>10725</v>
      </c>
      <c r="AJ1338" s="9" t="s">
        <v>10726</v>
      </c>
      <c r="AK1338" s="7" t="s">
        <v>61</v>
      </c>
      <c r="AL1338" s="7" t="s">
        <v>61</v>
      </c>
      <c r="AM1338" s="7" t="s">
        <v>0</v>
      </c>
      <c r="AN1338" s="7" t="s">
        <v>0</v>
      </c>
      <c r="AO1338" s="7" t="s">
        <v>0</v>
      </c>
      <c r="AP1338" s="7" t="s">
        <v>0</v>
      </c>
      <c r="AQ1338" s="7" t="s">
        <v>61</v>
      </c>
      <c r="AR1338" s="7" t="s">
        <v>0</v>
      </c>
      <c r="AS1338" s="10" t="str">
        <f>HYPERLINK("https://tessa.gazprom-neft.local/edo/card/675be733-451c-4de9-9746-3d11673d18c9", "https://tessa.gazprom-neft.local/edo/card/675be733-451c-4de9-9746-3d11673d18c9")</f>
        <v>https://tessa.gazprom-neft.local/edo/card/675be733-451c-4de9-9746-3d11673d18c9</v>
      </c>
    </row>
    <row r="1339" spans="1:45" hidden="1" x14ac:dyDescent="0.25">
      <c r="A1339" s="6" t="s">
        <v>44</v>
      </c>
      <c r="B1339" s="7" t="s">
        <v>2972</v>
      </c>
      <c r="C1339" s="7" t="s">
        <v>67</v>
      </c>
      <c r="D1339" s="8">
        <v>44925</v>
      </c>
      <c r="E1339" s="8" t="s">
        <v>0</v>
      </c>
      <c r="F1339" s="16" t="s">
        <v>2973</v>
      </c>
      <c r="G1339" s="7" t="s">
        <v>2974</v>
      </c>
      <c r="H1339" s="7" t="s">
        <v>2616</v>
      </c>
      <c r="I1339" s="7" t="s">
        <v>0</v>
      </c>
      <c r="J1339" s="7" t="s">
        <v>51</v>
      </c>
      <c r="K1339" s="7" t="s">
        <v>47</v>
      </c>
      <c r="L1339" s="7" t="s">
        <v>1446</v>
      </c>
      <c r="M1339" s="7" t="s">
        <v>0</v>
      </c>
      <c r="N1339" s="7" t="s">
        <v>2968</v>
      </c>
      <c r="O1339" s="7" t="s">
        <v>0</v>
      </c>
      <c r="P1339" s="7" t="s">
        <v>2969</v>
      </c>
      <c r="Q1339" s="7" t="s">
        <v>2970</v>
      </c>
      <c r="R1339" s="7" t="s">
        <v>2971</v>
      </c>
      <c r="S1339" s="7" t="s">
        <v>2971</v>
      </c>
      <c r="T1339" s="7" t="s">
        <v>54</v>
      </c>
      <c r="U1339" s="7" t="s">
        <v>294</v>
      </c>
      <c r="V1339" s="7" t="s">
        <v>126</v>
      </c>
      <c r="W1339" s="7" t="s">
        <v>57</v>
      </c>
      <c r="X1339" s="7" t="s">
        <v>103</v>
      </c>
      <c r="Y1339" s="8">
        <v>44925</v>
      </c>
      <c r="Z1339" s="8">
        <v>45657</v>
      </c>
      <c r="AA1339" s="7" t="s">
        <v>224</v>
      </c>
      <c r="AB1339" s="7" t="s">
        <v>1203</v>
      </c>
      <c r="AC1339" s="7" t="s">
        <v>65</v>
      </c>
      <c r="AD1339" s="7" t="s">
        <v>0</v>
      </c>
      <c r="AE1339" s="7" t="s">
        <v>0</v>
      </c>
      <c r="AF1339" s="7" t="s">
        <v>0</v>
      </c>
      <c r="AG1339" s="7" t="s">
        <v>0</v>
      </c>
      <c r="AH1339" s="9" t="s">
        <v>0</v>
      </c>
      <c r="AI1339" s="9" t="s">
        <v>0</v>
      </c>
      <c r="AJ1339" s="9" t="s">
        <v>0</v>
      </c>
      <c r="AK1339" s="7" t="s">
        <v>61</v>
      </c>
      <c r="AL1339" s="7" t="s">
        <v>61</v>
      </c>
      <c r="AM1339" s="7" t="s">
        <v>0</v>
      </c>
      <c r="AN1339" s="7" t="s">
        <v>0</v>
      </c>
      <c r="AO1339" s="7" t="s">
        <v>0</v>
      </c>
      <c r="AP1339" s="7" t="s">
        <v>0</v>
      </c>
      <c r="AQ1339" s="7" t="s">
        <v>61</v>
      </c>
      <c r="AR1339" s="7" t="s">
        <v>0</v>
      </c>
      <c r="AS1339" s="10" t="str">
        <f>HYPERLINK("https://tessa.gazprom-neft.local/edo/card/9443d3b9-8fe2-4b7b-b334-706481f108fc", "https://tessa.gazprom-neft.local/edo/card/9443d3b9-8fe2-4b7b-b334-706481f108fc")</f>
        <v>https://tessa.gazprom-neft.local/edo/card/9443d3b9-8fe2-4b7b-b334-706481f108fc</v>
      </c>
    </row>
    <row r="1340" spans="1:45" hidden="1" x14ac:dyDescent="0.25">
      <c r="A1340" s="6" t="s">
        <v>44</v>
      </c>
      <c r="B1340" s="7" t="s">
        <v>479</v>
      </c>
      <c r="C1340" s="7" t="s">
        <v>46</v>
      </c>
      <c r="D1340" s="8">
        <v>44921</v>
      </c>
      <c r="E1340" s="8" t="s">
        <v>0</v>
      </c>
      <c r="F1340" s="16" t="s">
        <v>480</v>
      </c>
      <c r="G1340" s="7" t="s">
        <v>481</v>
      </c>
      <c r="H1340" s="7" t="s">
        <v>0</v>
      </c>
      <c r="I1340" s="7" t="s">
        <v>474</v>
      </c>
      <c r="J1340" s="7" t="s">
        <v>474</v>
      </c>
      <c r="K1340" s="7" t="s">
        <v>85</v>
      </c>
      <c r="L1340" s="7" t="s">
        <v>96</v>
      </c>
      <c r="M1340" s="7" t="s">
        <v>183</v>
      </c>
      <c r="N1340" s="7" t="s">
        <v>473</v>
      </c>
      <c r="O1340" s="7" t="s">
        <v>0</v>
      </c>
      <c r="P1340" s="7" t="s">
        <v>475</v>
      </c>
      <c r="Q1340" s="7" t="s">
        <v>476</v>
      </c>
      <c r="R1340" s="7" t="s">
        <v>477</v>
      </c>
      <c r="S1340" s="7" t="s">
        <v>477</v>
      </c>
      <c r="T1340" s="7" t="s">
        <v>54</v>
      </c>
      <c r="U1340" s="7" t="s">
        <v>478</v>
      </c>
      <c r="V1340" s="7" t="s">
        <v>137</v>
      </c>
      <c r="W1340" s="7" t="s">
        <v>57</v>
      </c>
      <c r="X1340" s="7" t="s">
        <v>223</v>
      </c>
      <c r="Y1340" s="8">
        <v>44926</v>
      </c>
      <c r="Z1340" s="8" t="s">
        <v>0</v>
      </c>
      <c r="AA1340" s="7" t="s">
        <v>0</v>
      </c>
      <c r="AB1340" s="7" t="s">
        <v>192</v>
      </c>
      <c r="AC1340" s="7" t="s">
        <v>65</v>
      </c>
      <c r="AD1340" s="7" t="s">
        <v>0</v>
      </c>
      <c r="AE1340" s="7" t="s">
        <v>0</v>
      </c>
      <c r="AF1340" s="7" t="s">
        <v>0</v>
      </c>
      <c r="AG1340" s="7" t="s">
        <v>0</v>
      </c>
      <c r="AH1340" s="9" t="s">
        <v>0</v>
      </c>
      <c r="AI1340" s="9" t="s">
        <v>0</v>
      </c>
      <c r="AJ1340" s="9" t="s">
        <v>0</v>
      </c>
      <c r="AK1340" s="7" t="s">
        <v>61</v>
      </c>
      <c r="AL1340" s="7" t="s">
        <v>61</v>
      </c>
      <c r="AM1340" s="7" t="s">
        <v>0</v>
      </c>
      <c r="AN1340" s="7" t="s">
        <v>0</v>
      </c>
      <c r="AO1340" s="7" t="s">
        <v>0</v>
      </c>
      <c r="AP1340" s="7" t="s">
        <v>0</v>
      </c>
      <c r="AQ1340" s="7" t="s">
        <v>61</v>
      </c>
      <c r="AR1340" s="7" t="s">
        <v>0</v>
      </c>
      <c r="AS1340" s="10" t="str">
        <f>HYPERLINK("https://tessa.gazprom-neft.local/edo/card/b8a625e9-8438-40f2-acf4-a43c3e3f0092", "https://tessa.gazprom-neft.local/edo/card/b8a625e9-8438-40f2-acf4-a43c3e3f0092")</f>
        <v>https://tessa.gazprom-neft.local/edo/card/b8a625e9-8438-40f2-acf4-a43c3e3f0092</v>
      </c>
    </row>
    <row r="1341" spans="1:45" hidden="1" x14ac:dyDescent="0.25">
      <c r="A1341" s="6" t="s">
        <v>44</v>
      </c>
      <c r="B1341" s="7" t="s">
        <v>497</v>
      </c>
      <c r="C1341" s="7" t="s">
        <v>492</v>
      </c>
      <c r="D1341" s="8">
        <v>44918</v>
      </c>
      <c r="E1341" s="8" t="s">
        <v>0</v>
      </c>
      <c r="F1341" s="16" t="s">
        <v>498</v>
      </c>
      <c r="G1341" s="7" t="s">
        <v>499</v>
      </c>
      <c r="H1341" s="7" t="s">
        <v>494</v>
      </c>
      <c r="I1341" s="7" t="s">
        <v>0</v>
      </c>
      <c r="J1341" s="7" t="s">
        <v>494</v>
      </c>
      <c r="K1341" s="7" t="s">
        <v>47</v>
      </c>
      <c r="L1341" s="7" t="s">
        <v>493</v>
      </c>
      <c r="M1341" s="7" t="s">
        <v>0</v>
      </c>
      <c r="N1341" s="7" t="s">
        <v>491</v>
      </c>
      <c r="O1341" s="7" t="s">
        <v>0</v>
      </c>
      <c r="P1341" s="7" t="s">
        <v>495</v>
      </c>
      <c r="Q1341" s="7" t="s">
        <v>496</v>
      </c>
      <c r="R1341" s="7" t="s">
        <v>293</v>
      </c>
      <c r="S1341" s="7" t="s">
        <v>293</v>
      </c>
      <c r="T1341" s="7" t="s">
        <v>54</v>
      </c>
      <c r="U1341" s="7" t="s">
        <v>362</v>
      </c>
      <c r="V1341" s="7" t="s">
        <v>295</v>
      </c>
      <c r="W1341" s="7" t="s">
        <v>57</v>
      </c>
      <c r="X1341" s="7" t="s">
        <v>58</v>
      </c>
      <c r="Y1341" s="8">
        <v>44942</v>
      </c>
      <c r="Z1341" s="8" t="s">
        <v>0</v>
      </c>
      <c r="AA1341" s="7" t="s">
        <v>296</v>
      </c>
      <c r="AB1341" s="7" t="s">
        <v>500</v>
      </c>
      <c r="AC1341" s="7" t="s">
        <v>278</v>
      </c>
      <c r="AD1341" s="7" t="s">
        <v>80</v>
      </c>
      <c r="AE1341" s="7" t="s">
        <v>82</v>
      </c>
      <c r="AF1341" s="7" t="s">
        <v>0</v>
      </c>
      <c r="AG1341" s="7" t="s">
        <v>0</v>
      </c>
      <c r="AH1341" s="9" t="s">
        <v>10752</v>
      </c>
      <c r="AI1341" s="9" t="s">
        <v>10753</v>
      </c>
      <c r="AJ1341" s="9" t="s">
        <v>10754</v>
      </c>
      <c r="AK1341" s="7" t="s">
        <v>61</v>
      </c>
      <c r="AL1341" s="7" t="s">
        <v>61</v>
      </c>
      <c r="AM1341" s="7" t="s">
        <v>0</v>
      </c>
      <c r="AN1341" s="7" t="s">
        <v>0</v>
      </c>
      <c r="AO1341" s="7" t="s">
        <v>0</v>
      </c>
      <c r="AP1341" s="7" t="s">
        <v>0</v>
      </c>
      <c r="AQ1341" s="7" t="s">
        <v>61</v>
      </c>
      <c r="AR1341" s="7" t="s">
        <v>0</v>
      </c>
      <c r="AS1341" s="10" t="str">
        <f>HYPERLINK("https://tessa.gazprom-neft.local/edo/card/df827b42-6613-461b-b7e4-e6e8faec2260", "https://tessa.gazprom-neft.local/edo/card/df827b42-6613-461b-b7e4-e6e8faec2260")</f>
        <v>https://tessa.gazprom-neft.local/edo/card/df827b42-6613-461b-b7e4-e6e8faec2260</v>
      </c>
    </row>
    <row r="1342" spans="1:45" hidden="1" x14ac:dyDescent="0.25">
      <c r="A1342" s="6" t="s">
        <v>44</v>
      </c>
      <c r="B1342" s="7" t="s">
        <v>2080</v>
      </c>
      <c r="C1342" s="7" t="s">
        <v>67</v>
      </c>
      <c r="D1342" s="8">
        <v>44914</v>
      </c>
      <c r="E1342" s="8" t="s">
        <v>0</v>
      </c>
      <c r="F1342" s="16" t="s">
        <v>2081</v>
      </c>
      <c r="G1342" s="7" t="s">
        <v>2082</v>
      </c>
      <c r="H1342" s="7" t="s">
        <v>0</v>
      </c>
      <c r="I1342" s="7" t="s">
        <v>9643</v>
      </c>
      <c r="J1342" s="7" t="s">
        <v>9643</v>
      </c>
      <c r="K1342" s="7" t="s">
        <v>47</v>
      </c>
      <c r="L1342" s="7" t="s">
        <v>96</v>
      </c>
      <c r="M1342" s="7" t="s">
        <v>0</v>
      </c>
      <c r="N1342" s="7" t="s">
        <v>9642</v>
      </c>
      <c r="O1342" s="7" t="s">
        <v>0</v>
      </c>
      <c r="P1342" s="7" t="s">
        <v>2633</v>
      </c>
      <c r="Q1342" s="7" t="s">
        <v>2634</v>
      </c>
      <c r="R1342" s="7" t="s">
        <v>2079</v>
      </c>
      <c r="S1342" s="7" t="s">
        <v>2079</v>
      </c>
      <c r="T1342" s="7" t="s">
        <v>54</v>
      </c>
      <c r="U1342" s="7" t="s">
        <v>8411</v>
      </c>
      <c r="V1342" s="7" t="s">
        <v>56</v>
      </c>
      <c r="W1342" s="7" t="s">
        <v>57</v>
      </c>
      <c r="X1342" s="7" t="s">
        <v>103</v>
      </c>
      <c r="Y1342" s="8">
        <v>44914</v>
      </c>
      <c r="Z1342" s="8">
        <v>45278</v>
      </c>
      <c r="AA1342" s="7" t="s">
        <v>0</v>
      </c>
      <c r="AB1342" s="7" t="s">
        <v>64</v>
      </c>
      <c r="AC1342" s="7" t="s">
        <v>79</v>
      </c>
      <c r="AD1342" s="7" t="s">
        <v>514</v>
      </c>
      <c r="AE1342" s="7" t="s">
        <v>118</v>
      </c>
      <c r="AF1342" s="7" t="s">
        <v>0</v>
      </c>
      <c r="AG1342" s="7" t="s">
        <v>0</v>
      </c>
      <c r="AH1342" s="9" t="s">
        <v>14019</v>
      </c>
      <c r="AI1342" s="9" t="s">
        <v>14019</v>
      </c>
      <c r="AJ1342" s="9">
        <v>0</v>
      </c>
      <c r="AK1342" s="7" t="s">
        <v>61</v>
      </c>
      <c r="AL1342" s="7" t="s">
        <v>61</v>
      </c>
      <c r="AM1342" s="7" t="s">
        <v>0</v>
      </c>
      <c r="AN1342" s="7" t="s">
        <v>0</v>
      </c>
      <c r="AO1342" s="7" t="s">
        <v>0</v>
      </c>
      <c r="AP1342" s="7" t="s">
        <v>0</v>
      </c>
      <c r="AQ1342" s="7" t="s">
        <v>61</v>
      </c>
      <c r="AR1342" s="7" t="s">
        <v>0</v>
      </c>
      <c r="AS1342" s="10" t="str">
        <f>HYPERLINK("https://tessa.gazprom-neft.local/edo/card/329afed0-8be9-4e7e-839b-f62cb65ed598", "https://tessa.gazprom-neft.local/edo/card/329afed0-8be9-4e7e-839b-f62cb65ed598")</f>
        <v>https://tessa.gazprom-neft.local/edo/card/329afed0-8be9-4e7e-839b-f62cb65ed598</v>
      </c>
    </row>
    <row r="1343" spans="1:45" x14ac:dyDescent="0.25">
      <c r="A1343" s="6" t="s">
        <v>44</v>
      </c>
      <c r="B1343" s="7" t="s">
        <v>9294</v>
      </c>
      <c r="C1343" s="7" t="s">
        <v>67</v>
      </c>
      <c r="D1343" s="8">
        <v>44911</v>
      </c>
      <c r="E1343" s="8" t="s">
        <v>0</v>
      </c>
      <c r="F1343" s="16" t="s">
        <v>9295</v>
      </c>
      <c r="G1343" s="7" t="s">
        <v>9296</v>
      </c>
      <c r="H1343" s="7" t="s">
        <v>5107</v>
      </c>
      <c r="I1343" s="7" t="s">
        <v>0</v>
      </c>
      <c r="J1343" s="7" t="s">
        <v>156</v>
      </c>
      <c r="K1343" s="7" t="s">
        <v>47</v>
      </c>
      <c r="L1343" s="7" t="s">
        <v>48</v>
      </c>
      <c r="M1343" s="7" t="s">
        <v>0</v>
      </c>
      <c r="N1343" s="7" t="s">
        <v>9291</v>
      </c>
      <c r="O1343" s="7" t="s">
        <v>0</v>
      </c>
      <c r="P1343" s="7" t="s">
        <v>9292</v>
      </c>
      <c r="Q1343" s="7" t="s">
        <v>9293</v>
      </c>
      <c r="R1343" s="7" t="s">
        <v>1829</v>
      </c>
      <c r="S1343" s="7" t="s">
        <v>1829</v>
      </c>
      <c r="T1343" s="7" t="s">
        <v>54</v>
      </c>
      <c r="U1343" s="7" t="s">
        <v>307</v>
      </c>
      <c r="V1343" s="7" t="s">
        <v>126</v>
      </c>
      <c r="W1343" s="7" t="s">
        <v>57</v>
      </c>
      <c r="X1343" s="7" t="s">
        <v>103</v>
      </c>
      <c r="Y1343" s="8">
        <v>44927</v>
      </c>
      <c r="Z1343" s="8">
        <v>45291</v>
      </c>
      <c r="AA1343" s="7" t="s">
        <v>224</v>
      </c>
      <c r="AB1343" s="7" t="s">
        <v>130</v>
      </c>
      <c r="AC1343" s="7" t="s">
        <v>65</v>
      </c>
      <c r="AD1343" s="7" t="s">
        <v>0</v>
      </c>
      <c r="AE1343" s="7" t="s">
        <v>0</v>
      </c>
      <c r="AF1343" s="7" t="s">
        <v>0</v>
      </c>
      <c r="AG1343" s="7" t="s">
        <v>0</v>
      </c>
      <c r="AH1343" s="9" t="s">
        <v>0</v>
      </c>
      <c r="AI1343" s="9" t="s">
        <v>0</v>
      </c>
      <c r="AJ1343" s="9" t="s">
        <v>0</v>
      </c>
      <c r="AK1343" s="7" t="s">
        <v>61</v>
      </c>
      <c r="AL1343" s="7" t="s">
        <v>61</v>
      </c>
      <c r="AM1343" s="7" t="s">
        <v>0</v>
      </c>
      <c r="AN1343" s="7" t="s">
        <v>0</v>
      </c>
      <c r="AO1343" s="7" t="s">
        <v>0</v>
      </c>
      <c r="AP1343" s="7" t="s">
        <v>0</v>
      </c>
      <c r="AQ1343" s="7" t="s">
        <v>61</v>
      </c>
      <c r="AR1343" s="7" t="s">
        <v>0</v>
      </c>
      <c r="AS1343" s="10" t="str">
        <f>HYPERLINK("https://tessa.gazprom-neft.local/edo/card/d3eba650-0f2d-45dc-b42f-8aae810d026f", "https://tessa.gazprom-neft.local/edo/card/d3eba650-0f2d-45dc-b42f-8aae810d026f")</f>
        <v>https://tessa.gazprom-neft.local/edo/card/d3eba650-0f2d-45dc-b42f-8aae810d026f</v>
      </c>
    </row>
    <row r="1344" spans="1:45" x14ac:dyDescent="0.25">
      <c r="A1344" s="6" t="s">
        <v>44</v>
      </c>
      <c r="B1344" s="7" t="s">
        <v>75</v>
      </c>
      <c r="C1344" s="7" t="s">
        <v>67</v>
      </c>
      <c r="D1344" s="8">
        <v>44883</v>
      </c>
      <c r="E1344" s="8" t="s">
        <v>0</v>
      </c>
      <c r="F1344" s="16" t="s">
        <v>76</v>
      </c>
      <c r="G1344" s="7" t="s">
        <v>77</v>
      </c>
      <c r="H1344" s="7" t="s">
        <v>68</v>
      </c>
      <c r="I1344" s="7" t="s">
        <v>0</v>
      </c>
      <c r="J1344" s="7" t="s">
        <v>156</v>
      </c>
      <c r="K1344" s="7" t="s">
        <v>47</v>
      </c>
      <c r="L1344" s="7" t="s">
        <v>48</v>
      </c>
      <c r="M1344" s="7" t="s">
        <v>0</v>
      </c>
      <c r="N1344" s="7" t="s">
        <v>9234</v>
      </c>
      <c r="O1344" s="7" t="s">
        <v>0</v>
      </c>
      <c r="P1344" s="7" t="s">
        <v>1474</v>
      </c>
      <c r="Q1344" s="7" t="s">
        <v>1093</v>
      </c>
      <c r="R1344" s="7" t="s">
        <v>338</v>
      </c>
      <c r="S1344" s="7" t="s">
        <v>72</v>
      </c>
      <c r="T1344" s="7" t="s">
        <v>54</v>
      </c>
      <c r="U1344" s="7" t="s">
        <v>73</v>
      </c>
      <c r="V1344" s="7" t="s">
        <v>56</v>
      </c>
      <c r="W1344" s="7" t="s">
        <v>74</v>
      </c>
      <c r="X1344" s="7" t="s">
        <v>58</v>
      </c>
      <c r="Y1344" s="8">
        <v>44883</v>
      </c>
      <c r="Z1344" s="8" t="s">
        <v>0</v>
      </c>
      <c r="AA1344" s="7" t="s">
        <v>59</v>
      </c>
      <c r="AB1344" s="7" t="s">
        <v>78</v>
      </c>
      <c r="AC1344" s="7" t="s">
        <v>65</v>
      </c>
      <c r="AD1344" s="7" t="s">
        <v>80</v>
      </c>
      <c r="AE1344" s="7" t="s">
        <v>0</v>
      </c>
      <c r="AF1344" s="7" t="s">
        <v>0</v>
      </c>
      <c r="AG1344" s="7" t="s">
        <v>0</v>
      </c>
      <c r="AH1344" s="9" t="s">
        <v>0</v>
      </c>
      <c r="AI1344" s="9" t="s">
        <v>0</v>
      </c>
      <c r="AJ1344" s="9" t="s">
        <v>0</v>
      </c>
      <c r="AK1344" s="7" t="s">
        <v>61</v>
      </c>
      <c r="AL1344" s="7" t="s">
        <v>61</v>
      </c>
      <c r="AM1344" s="7" t="s">
        <v>0</v>
      </c>
      <c r="AN1344" s="7" t="s">
        <v>0</v>
      </c>
      <c r="AO1344" s="7" t="s">
        <v>0</v>
      </c>
      <c r="AP1344" s="7" t="s">
        <v>0</v>
      </c>
      <c r="AQ1344" s="7" t="s">
        <v>61</v>
      </c>
      <c r="AR1344" s="7" t="s">
        <v>0</v>
      </c>
      <c r="AS1344" s="10" t="str">
        <f>HYPERLINK("https://tessa.gazprom-neft.local/edo/card/7f45c794-44c4-4215-8267-cb2383da58d1", "https://tessa.gazprom-neft.local/edo/card/7f45c794-44c4-4215-8267-cb2383da58d1")</f>
        <v>https://tessa.gazprom-neft.local/edo/card/7f45c794-44c4-4215-8267-cb2383da58d1</v>
      </c>
    </row>
    <row r="1345" spans="1:45" hidden="1" x14ac:dyDescent="0.25">
      <c r="A1345" s="6" t="s">
        <v>44</v>
      </c>
      <c r="B1345" s="7" t="s">
        <v>7915</v>
      </c>
      <c r="C1345" s="7" t="s">
        <v>46</v>
      </c>
      <c r="D1345" s="8">
        <v>44880</v>
      </c>
      <c r="E1345" s="8" t="s">
        <v>0</v>
      </c>
      <c r="F1345" s="16" t="s">
        <v>7916</v>
      </c>
      <c r="G1345" s="7" t="s">
        <v>7917</v>
      </c>
      <c r="H1345" s="7" t="s">
        <v>0</v>
      </c>
      <c r="I1345" s="7" t="s">
        <v>9692</v>
      </c>
      <c r="J1345" s="7" t="s">
        <v>9692</v>
      </c>
      <c r="K1345" s="7" t="s">
        <v>85</v>
      </c>
      <c r="L1345" s="7" t="s">
        <v>96</v>
      </c>
      <c r="M1345" s="7" t="s">
        <v>7911</v>
      </c>
      <c r="N1345" s="7" t="s">
        <v>9691</v>
      </c>
      <c r="O1345" s="7" t="s">
        <v>0</v>
      </c>
      <c r="P1345" s="7" t="s">
        <v>7911</v>
      </c>
      <c r="Q1345" s="7" t="s">
        <v>9693</v>
      </c>
      <c r="R1345" s="7" t="s">
        <v>324</v>
      </c>
      <c r="S1345" s="7" t="s">
        <v>324</v>
      </c>
      <c r="T1345" s="7" t="s">
        <v>54</v>
      </c>
      <c r="U1345" s="7" t="s">
        <v>188</v>
      </c>
      <c r="V1345" s="7" t="s">
        <v>187</v>
      </c>
      <c r="W1345" s="7" t="s">
        <v>57</v>
      </c>
      <c r="X1345" s="7" t="s">
        <v>58</v>
      </c>
      <c r="Y1345" s="8">
        <v>44880</v>
      </c>
      <c r="Z1345" s="8" t="s">
        <v>0</v>
      </c>
      <c r="AA1345" s="7" t="s">
        <v>922</v>
      </c>
      <c r="AB1345" s="7" t="s">
        <v>500</v>
      </c>
      <c r="AC1345" s="7" t="s">
        <v>79</v>
      </c>
      <c r="AD1345" s="7" t="s">
        <v>80</v>
      </c>
      <c r="AE1345" s="7" t="s">
        <v>82</v>
      </c>
      <c r="AF1345" s="7" t="s">
        <v>0</v>
      </c>
      <c r="AG1345" s="7" t="s">
        <v>0</v>
      </c>
      <c r="AH1345" s="9" t="s">
        <v>14032</v>
      </c>
      <c r="AI1345" s="9" t="s">
        <v>14033</v>
      </c>
      <c r="AJ1345" s="9" t="s">
        <v>14034</v>
      </c>
      <c r="AK1345" s="7" t="s">
        <v>61</v>
      </c>
      <c r="AL1345" s="7" t="s">
        <v>61</v>
      </c>
      <c r="AM1345" s="7" t="s">
        <v>0</v>
      </c>
      <c r="AN1345" s="7" t="s">
        <v>0</v>
      </c>
      <c r="AO1345" s="7" t="s">
        <v>0</v>
      </c>
      <c r="AP1345" s="7" t="s">
        <v>0</v>
      </c>
      <c r="AQ1345" s="7" t="s">
        <v>61</v>
      </c>
      <c r="AR1345" s="7" t="s">
        <v>0</v>
      </c>
      <c r="AS1345" s="10" t="str">
        <f>HYPERLINK("https://tessa.gazprom-neft.local/edo/card/d1b7919a-8311-4aad-8b64-bd4d3fe66069", "https://tessa.gazprom-neft.local/edo/card/d1b7919a-8311-4aad-8b64-bd4d3fe66069")</f>
        <v>https://tessa.gazprom-neft.local/edo/card/d1b7919a-8311-4aad-8b64-bd4d3fe66069</v>
      </c>
    </row>
    <row r="1346" spans="1:45" hidden="1" x14ac:dyDescent="0.25">
      <c r="A1346" s="6" t="s">
        <v>44</v>
      </c>
      <c r="B1346" s="7" t="s">
        <v>705</v>
      </c>
      <c r="C1346" s="7" t="s">
        <v>67</v>
      </c>
      <c r="D1346" s="8">
        <v>44879</v>
      </c>
      <c r="E1346" s="8" t="s">
        <v>0</v>
      </c>
      <c r="F1346" s="16" t="s">
        <v>706</v>
      </c>
      <c r="G1346" s="7" t="s">
        <v>707</v>
      </c>
      <c r="H1346" s="7" t="s">
        <v>0</v>
      </c>
      <c r="I1346" s="7" t="s">
        <v>9354</v>
      </c>
      <c r="J1346" s="7" t="s">
        <v>9354</v>
      </c>
      <c r="K1346" s="7" t="s">
        <v>47</v>
      </c>
      <c r="L1346" s="7" t="s">
        <v>86</v>
      </c>
      <c r="M1346" s="7" t="s">
        <v>0</v>
      </c>
      <c r="N1346" s="7" t="s">
        <v>9353</v>
      </c>
      <c r="O1346" s="7" t="s">
        <v>0</v>
      </c>
      <c r="P1346" s="7" t="s">
        <v>237</v>
      </c>
      <c r="Q1346" s="7" t="s">
        <v>9355</v>
      </c>
      <c r="R1346" s="7" t="s">
        <v>282</v>
      </c>
      <c r="S1346" s="7" t="s">
        <v>0</v>
      </c>
      <c r="T1346" s="7" t="s">
        <v>54</v>
      </c>
      <c r="U1346" s="7" t="s">
        <v>55</v>
      </c>
      <c r="V1346" s="7" t="s">
        <v>917</v>
      </c>
      <c r="W1346" s="7" t="s">
        <v>74</v>
      </c>
      <c r="X1346" s="7" t="s">
        <v>103</v>
      </c>
      <c r="Y1346" s="8">
        <v>44879</v>
      </c>
      <c r="Z1346" s="8">
        <v>46022</v>
      </c>
      <c r="AA1346" s="7" t="s">
        <v>1278</v>
      </c>
      <c r="AB1346" s="7" t="s">
        <v>139</v>
      </c>
      <c r="AC1346" s="7" t="s">
        <v>65</v>
      </c>
      <c r="AD1346" s="7" t="s">
        <v>0</v>
      </c>
      <c r="AE1346" s="7" t="s">
        <v>0</v>
      </c>
      <c r="AF1346" s="7" t="s">
        <v>0</v>
      </c>
      <c r="AG1346" s="7" t="s">
        <v>0</v>
      </c>
      <c r="AH1346" s="9" t="s">
        <v>0</v>
      </c>
      <c r="AI1346" s="9" t="s">
        <v>0</v>
      </c>
      <c r="AJ1346" s="9" t="s">
        <v>0</v>
      </c>
      <c r="AK1346" s="7" t="s">
        <v>61</v>
      </c>
      <c r="AL1346" s="7" t="s">
        <v>61</v>
      </c>
      <c r="AM1346" s="7" t="s">
        <v>0</v>
      </c>
      <c r="AN1346" s="7" t="s">
        <v>0</v>
      </c>
      <c r="AO1346" s="7" t="s">
        <v>0</v>
      </c>
      <c r="AP1346" s="7" t="s">
        <v>0</v>
      </c>
      <c r="AQ1346" s="7" t="s">
        <v>61</v>
      </c>
      <c r="AR1346" s="7" t="s">
        <v>0</v>
      </c>
      <c r="AS1346" s="10" t="str">
        <f>HYPERLINK("https://tessa.gazprom-neft.local/edo/card/16a86324-701c-400f-b0b0-fbf36968c6c4", "https://tessa.gazprom-neft.local/edo/card/16a86324-701c-400f-b0b0-fbf36968c6c4")</f>
        <v>https://tessa.gazprom-neft.local/edo/card/16a86324-701c-400f-b0b0-fbf36968c6c4</v>
      </c>
    </row>
    <row r="1347" spans="1:45" hidden="1" x14ac:dyDescent="0.25">
      <c r="A1347" s="6" t="s">
        <v>44</v>
      </c>
      <c r="B1347" s="7" t="s">
        <v>1140</v>
      </c>
      <c r="C1347" s="7" t="s">
        <v>67</v>
      </c>
      <c r="D1347" s="8">
        <v>44874</v>
      </c>
      <c r="E1347" s="8" t="s">
        <v>0</v>
      </c>
      <c r="F1347" s="16" t="s">
        <v>1141</v>
      </c>
      <c r="G1347" s="7" t="s">
        <v>1142</v>
      </c>
      <c r="H1347" s="7" t="s">
        <v>0</v>
      </c>
      <c r="I1347" s="7" t="s">
        <v>9625</v>
      </c>
      <c r="J1347" s="7" t="s">
        <v>9625</v>
      </c>
      <c r="K1347" s="7" t="s">
        <v>47</v>
      </c>
      <c r="L1347" s="7" t="s">
        <v>86</v>
      </c>
      <c r="M1347" s="7" t="s">
        <v>0</v>
      </c>
      <c r="N1347" s="7" t="s">
        <v>9624</v>
      </c>
      <c r="O1347" s="7" t="s">
        <v>0</v>
      </c>
      <c r="P1347" s="7" t="s">
        <v>237</v>
      </c>
      <c r="Q1347" s="7" t="s">
        <v>1372</v>
      </c>
      <c r="R1347" s="7" t="s">
        <v>768</v>
      </c>
      <c r="S1347" s="7" t="s">
        <v>1066</v>
      </c>
      <c r="T1347" s="7" t="s">
        <v>54</v>
      </c>
      <c r="U1347" s="7" t="s">
        <v>362</v>
      </c>
      <c r="V1347" s="7" t="s">
        <v>91</v>
      </c>
      <c r="W1347" s="7" t="s">
        <v>74</v>
      </c>
      <c r="X1347" s="7" t="s">
        <v>103</v>
      </c>
      <c r="Y1347" s="8">
        <v>44874</v>
      </c>
      <c r="Z1347" s="8">
        <v>46387</v>
      </c>
      <c r="AA1347" s="7" t="s">
        <v>92</v>
      </c>
      <c r="AB1347" s="7" t="s">
        <v>139</v>
      </c>
      <c r="AC1347" s="7" t="s">
        <v>65</v>
      </c>
      <c r="AD1347" s="7" t="s">
        <v>0</v>
      </c>
      <c r="AE1347" s="7" t="s">
        <v>0</v>
      </c>
      <c r="AF1347" s="7" t="s">
        <v>0</v>
      </c>
      <c r="AG1347" s="7" t="s">
        <v>0</v>
      </c>
      <c r="AH1347" s="9" t="s">
        <v>0</v>
      </c>
      <c r="AI1347" s="9" t="s">
        <v>0</v>
      </c>
      <c r="AJ1347" s="9" t="s">
        <v>0</v>
      </c>
      <c r="AK1347" s="7" t="s">
        <v>61</v>
      </c>
      <c r="AL1347" s="7" t="s">
        <v>61</v>
      </c>
      <c r="AM1347" s="7" t="s">
        <v>0</v>
      </c>
      <c r="AN1347" s="7" t="s">
        <v>0</v>
      </c>
      <c r="AO1347" s="7" t="s">
        <v>0</v>
      </c>
      <c r="AP1347" s="7" t="s">
        <v>0</v>
      </c>
      <c r="AQ1347" s="7" t="s">
        <v>61</v>
      </c>
      <c r="AR1347" s="7" t="s">
        <v>0</v>
      </c>
      <c r="AS1347" s="10" t="str">
        <f>HYPERLINK("https://tessa.gazprom-neft.local/edo/card/f2c31c4d-8974-4d37-bfdc-8d425225c5a7", "https://tessa.gazprom-neft.local/edo/card/f2c31c4d-8974-4d37-bfdc-8d425225c5a7")</f>
        <v>https://tessa.gazprom-neft.local/edo/card/f2c31c4d-8974-4d37-bfdc-8d425225c5a7</v>
      </c>
    </row>
    <row r="1348" spans="1:45" x14ac:dyDescent="0.25">
      <c r="A1348" s="6" t="s">
        <v>44</v>
      </c>
      <c r="B1348" s="7" t="s">
        <v>403</v>
      </c>
      <c r="C1348" s="7" t="s">
        <v>67</v>
      </c>
      <c r="D1348" s="8">
        <v>44873</v>
      </c>
      <c r="E1348" s="8" t="s">
        <v>0</v>
      </c>
      <c r="F1348" s="16" t="s">
        <v>404</v>
      </c>
      <c r="G1348" s="7" t="s">
        <v>405</v>
      </c>
      <c r="H1348" s="7" t="s">
        <v>1805</v>
      </c>
      <c r="I1348" s="7" t="s">
        <v>0</v>
      </c>
      <c r="J1348" s="7" t="s">
        <v>51</v>
      </c>
      <c r="K1348" s="7" t="s">
        <v>47</v>
      </c>
      <c r="L1348" s="7" t="s">
        <v>48</v>
      </c>
      <c r="M1348" s="7" t="s">
        <v>0</v>
      </c>
      <c r="N1348" s="7" t="s">
        <v>9696</v>
      </c>
      <c r="O1348" s="7" t="s">
        <v>0</v>
      </c>
      <c r="P1348" s="7" t="s">
        <v>9697</v>
      </c>
      <c r="Q1348" s="7" t="s">
        <v>9698</v>
      </c>
      <c r="R1348" s="7" t="s">
        <v>799</v>
      </c>
      <c r="S1348" s="7" t="s">
        <v>0</v>
      </c>
      <c r="T1348" s="7" t="s">
        <v>54</v>
      </c>
      <c r="U1348" s="7" t="s">
        <v>55</v>
      </c>
      <c r="V1348" s="7" t="s">
        <v>56</v>
      </c>
      <c r="W1348" s="7" t="s">
        <v>74</v>
      </c>
      <c r="X1348" s="7" t="s">
        <v>103</v>
      </c>
      <c r="Y1348" s="8">
        <v>44873</v>
      </c>
      <c r="Z1348" s="8">
        <v>46387</v>
      </c>
      <c r="AA1348" s="7" t="s">
        <v>59</v>
      </c>
      <c r="AB1348" s="7" t="s">
        <v>130</v>
      </c>
      <c r="AC1348" s="7" t="s">
        <v>65</v>
      </c>
      <c r="AD1348" s="7" t="s">
        <v>144</v>
      </c>
      <c r="AE1348" s="7" t="s">
        <v>0</v>
      </c>
      <c r="AF1348" s="7" t="s">
        <v>0</v>
      </c>
      <c r="AG1348" s="7" t="s">
        <v>0</v>
      </c>
      <c r="AH1348" s="9" t="s">
        <v>0</v>
      </c>
      <c r="AI1348" s="9" t="s">
        <v>0</v>
      </c>
      <c r="AJ1348" s="9" t="s">
        <v>0</v>
      </c>
      <c r="AK1348" s="7" t="s">
        <v>61</v>
      </c>
      <c r="AL1348" s="7" t="s">
        <v>61</v>
      </c>
      <c r="AM1348" s="7" t="s">
        <v>0</v>
      </c>
      <c r="AN1348" s="7" t="s">
        <v>0</v>
      </c>
      <c r="AO1348" s="7" t="s">
        <v>0</v>
      </c>
      <c r="AP1348" s="7" t="s">
        <v>0</v>
      </c>
      <c r="AQ1348" s="7" t="s">
        <v>61</v>
      </c>
      <c r="AR1348" s="7" t="s">
        <v>0</v>
      </c>
      <c r="AS1348" s="10" t="str">
        <f>HYPERLINK("https://tessa.gazprom-neft.local/edo/card/b4fa7f7f-b936-4bee-b956-936b1422440b", "https://tessa.gazprom-neft.local/edo/card/b4fa7f7f-b936-4bee-b956-936b1422440b")</f>
        <v>https://tessa.gazprom-neft.local/edo/card/b4fa7f7f-b936-4bee-b956-936b1422440b</v>
      </c>
    </row>
    <row r="1349" spans="1:45" hidden="1" x14ac:dyDescent="0.25">
      <c r="A1349" s="6" t="s">
        <v>44</v>
      </c>
      <c r="B1349" s="7" t="s">
        <v>606</v>
      </c>
      <c r="C1349" s="7" t="s">
        <v>67</v>
      </c>
      <c r="D1349" s="8">
        <v>44872</v>
      </c>
      <c r="E1349" s="8" t="s">
        <v>0</v>
      </c>
      <c r="F1349" s="16" t="s">
        <v>607</v>
      </c>
      <c r="G1349" s="7" t="s">
        <v>608</v>
      </c>
      <c r="H1349" s="7" t="s">
        <v>600</v>
      </c>
      <c r="I1349" s="7" t="s">
        <v>0</v>
      </c>
      <c r="J1349" s="7" t="s">
        <v>2519</v>
      </c>
      <c r="K1349" s="7" t="s">
        <v>47</v>
      </c>
      <c r="L1349" s="7" t="s">
        <v>239</v>
      </c>
      <c r="M1349" s="7" t="s">
        <v>0</v>
      </c>
      <c r="N1349" s="7" t="s">
        <v>9577</v>
      </c>
      <c r="O1349" s="7" t="s">
        <v>0</v>
      </c>
      <c r="P1349" s="7" t="s">
        <v>9578</v>
      </c>
      <c r="Q1349" s="7" t="s">
        <v>9579</v>
      </c>
      <c r="R1349" s="7" t="s">
        <v>938</v>
      </c>
      <c r="S1349" s="7" t="s">
        <v>938</v>
      </c>
      <c r="T1349" s="7" t="s">
        <v>54</v>
      </c>
      <c r="U1349" s="7" t="s">
        <v>605</v>
      </c>
      <c r="V1349" s="7" t="s">
        <v>126</v>
      </c>
      <c r="W1349" s="7" t="s">
        <v>74</v>
      </c>
      <c r="X1349" s="7" t="s">
        <v>103</v>
      </c>
      <c r="Y1349" s="8">
        <v>44872</v>
      </c>
      <c r="Z1349" s="8">
        <v>45107</v>
      </c>
      <c r="AA1349" s="7" t="s">
        <v>224</v>
      </c>
      <c r="AB1349" s="7" t="s">
        <v>130</v>
      </c>
      <c r="AC1349" s="7" t="s">
        <v>79</v>
      </c>
      <c r="AD1349" s="7" t="s">
        <v>144</v>
      </c>
      <c r="AE1349" s="7" t="s">
        <v>82</v>
      </c>
      <c r="AF1349" s="7" t="s">
        <v>0</v>
      </c>
      <c r="AG1349" s="7" t="s">
        <v>0</v>
      </c>
      <c r="AH1349" s="9" t="s">
        <v>12384</v>
      </c>
      <c r="AI1349" s="9" t="s">
        <v>12385</v>
      </c>
      <c r="AJ1349" s="9" t="s">
        <v>12386</v>
      </c>
      <c r="AK1349" s="7" t="s">
        <v>61</v>
      </c>
      <c r="AL1349" s="7" t="s">
        <v>61</v>
      </c>
      <c r="AM1349" s="7" t="s">
        <v>0</v>
      </c>
      <c r="AN1349" s="7" t="s">
        <v>0</v>
      </c>
      <c r="AO1349" s="7" t="s">
        <v>0</v>
      </c>
      <c r="AP1349" s="7" t="s">
        <v>0</v>
      </c>
      <c r="AQ1349" s="7" t="s">
        <v>61</v>
      </c>
      <c r="AR1349" s="7" t="s">
        <v>0</v>
      </c>
      <c r="AS1349" s="10" t="str">
        <f>HYPERLINK("https://tessa.gazprom-neft.local/edo/card/0d3631a2-a354-4cfc-9bca-66741eb4bdbe", "https://tessa.gazprom-neft.local/edo/card/0d3631a2-a354-4cfc-9bca-66741eb4bdbe")</f>
        <v>https://tessa.gazprom-neft.local/edo/card/0d3631a2-a354-4cfc-9bca-66741eb4bdbe</v>
      </c>
    </row>
    <row r="1350" spans="1:45" hidden="1" x14ac:dyDescent="0.25">
      <c r="A1350" s="6" t="s">
        <v>44</v>
      </c>
      <c r="B1350" s="7" t="s">
        <v>1140</v>
      </c>
      <c r="C1350" s="7" t="s">
        <v>67</v>
      </c>
      <c r="D1350" s="8">
        <v>44872</v>
      </c>
      <c r="E1350" s="8" t="s">
        <v>0</v>
      </c>
      <c r="F1350" s="16" t="s">
        <v>1141</v>
      </c>
      <c r="G1350" s="7" t="s">
        <v>1142</v>
      </c>
      <c r="H1350" s="7" t="s">
        <v>0</v>
      </c>
      <c r="I1350" s="7" t="s">
        <v>9630</v>
      </c>
      <c r="J1350" s="7" t="s">
        <v>9630</v>
      </c>
      <c r="K1350" s="7" t="s">
        <v>85</v>
      </c>
      <c r="L1350" s="7" t="s">
        <v>86</v>
      </c>
      <c r="M1350" s="7" t="s">
        <v>289</v>
      </c>
      <c r="N1350" s="7" t="s">
        <v>9629</v>
      </c>
      <c r="O1350" s="7" t="s">
        <v>0</v>
      </c>
      <c r="P1350" s="7" t="s">
        <v>289</v>
      </c>
      <c r="Q1350" s="7" t="s">
        <v>9631</v>
      </c>
      <c r="R1350" s="7" t="s">
        <v>768</v>
      </c>
      <c r="S1350" s="7" t="s">
        <v>1066</v>
      </c>
      <c r="T1350" s="7" t="s">
        <v>54</v>
      </c>
      <c r="U1350" s="7" t="s">
        <v>362</v>
      </c>
      <c r="V1350" s="7" t="s">
        <v>917</v>
      </c>
      <c r="W1350" s="7" t="s">
        <v>74</v>
      </c>
      <c r="X1350" s="7" t="s">
        <v>103</v>
      </c>
      <c r="Y1350" s="8">
        <v>44872</v>
      </c>
      <c r="Z1350" s="8">
        <v>46387</v>
      </c>
      <c r="AA1350" s="7" t="s">
        <v>1278</v>
      </c>
      <c r="AB1350" s="7" t="s">
        <v>300</v>
      </c>
      <c r="AC1350" s="7" t="s">
        <v>65</v>
      </c>
      <c r="AD1350" s="7" t="s">
        <v>0</v>
      </c>
      <c r="AE1350" s="7" t="s">
        <v>0</v>
      </c>
      <c r="AF1350" s="7" t="s">
        <v>0</v>
      </c>
      <c r="AG1350" s="7" t="s">
        <v>0</v>
      </c>
      <c r="AH1350" s="9" t="s">
        <v>0</v>
      </c>
      <c r="AI1350" s="9" t="s">
        <v>0</v>
      </c>
      <c r="AJ1350" s="9" t="s">
        <v>0</v>
      </c>
      <c r="AK1350" s="7" t="s">
        <v>61</v>
      </c>
      <c r="AL1350" s="7" t="s">
        <v>61</v>
      </c>
      <c r="AM1350" s="7" t="s">
        <v>0</v>
      </c>
      <c r="AN1350" s="7" t="s">
        <v>0</v>
      </c>
      <c r="AO1350" s="7" t="s">
        <v>0</v>
      </c>
      <c r="AP1350" s="7" t="s">
        <v>0</v>
      </c>
      <c r="AQ1350" s="7" t="s">
        <v>61</v>
      </c>
      <c r="AR1350" s="7" t="s">
        <v>0</v>
      </c>
      <c r="AS1350" s="10" t="str">
        <f>HYPERLINK("https://tessa.gazprom-neft.local/edo/card/0b80230a-b35e-4d97-871b-2a2071d9a5bf", "https://tessa.gazprom-neft.local/edo/card/0b80230a-b35e-4d97-871b-2a2071d9a5bf")</f>
        <v>https://tessa.gazprom-neft.local/edo/card/0b80230a-b35e-4d97-871b-2a2071d9a5bf</v>
      </c>
    </row>
    <row r="1351" spans="1:45" hidden="1" x14ac:dyDescent="0.25">
      <c r="A1351" s="6" t="s">
        <v>44</v>
      </c>
      <c r="B1351" s="7" t="s">
        <v>971</v>
      </c>
      <c r="C1351" s="7" t="s">
        <v>67</v>
      </c>
      <c r="D1351" s="8">
        <v>44868</v>
      </c>
      <c r="E1351" s="8" t="s">
        <v>0</v>
      </c>
      <c r="F1351" s="16" t="s">
        <v>972</v>
      </c>
      <c r="G1351" s="7" t="s">
        <v>973</v>
      </c>
      <c r="H1351" s="7" t="s">
        <v>0</v>
      </c>
      <c r="I1351" s="7" t="s">
        <v>968</v>
      </c>
      <c r="J1351" s="7" t="s">
        <v>968</v>
      </c>
      <c r="K1351" s="7" t="s">
        <v>85</v>
      </c>
      <c r="L1351" s="7" t="s">
        <v>96</v>
      </c>
      <c r="M1351" s="7" t="s">
        <v>8590</v>
      </c>
      <c r="N1351" s="7" t="s">
        <v>9563</v>
      </c>
      <c r="O1351" s="7" t="s">
        <v>0</v>
      </c>
      <c r="P1351" s="7" t="s">
        <v>8590</v>
      </c>
      <c r="Q1351" s="7" t="s">
        <v>9564</v>
      </c>
      <c r="R1351" s="7" t="s">
        <v>338</v>
      </c>
      <c r="S1351" s="7" t="s">
        <v>3298</v>
      </c>
      <c r="T1351" s="7" t="s">
        <v>54</v>
      </c>
      <c r="U1351" s="7" t="s">
        <v>303</v>
      </c>
      <c r="V1351" s="7" t="s">
        <v>91</v>
      </c>
      <c r="W1351" s="7" t="s">
        <v>74</v>
      </c>
      <c r="X1351" s="7" t="s">
        <v>103</v>
      </c>
      <c r="Y1351" s="8">
        <v>44868</v>
      </c>
      <c r="Z1351" s="8">
        <v>45716</v>
      </c>
      <c r="AA1351" s="7" t="s">
        <v>92</v>
      </c>
      <c r="AB1351" s="7" t="s">
        <v>64</v>
      </c>
      <c r="AC1351" s="7" t="s">
        <v>79</v>
      </c>
      <c r="AD1351" s="7" t="s">
        <v>80</v>
      </c>
      <c r="AE1351" s="7" t="s">
        <v>82</v>
      </c>
      <c r="AF1351" s="7" t="s">
        <v>0</v>
      </c>
      <c r="AG1351" s="7" t="s">
        <v>9565</v>
      </c>
      <c r="AH1351" s="9" t="s">
        <v>13983</v>
      </c>
      <c r="AI1351" s="9" t="s">
        <v>13984</v>
      </c>
      <c r="AJ1351" s="9" t="s">
        <v>13985</v>
      </c>
      <c r="AK1351" s="7" t="s">
        <v>81</v>
      </c>
      <c r="AL1351" s="7" t="s">
        <v>61</v>
      </c>
      <c r="AM1351" s="7" t="s">
        <v>0</v>
      </c>
      <c r="AN1351" s="7" t="s">
        <v>0</v>
      </c>
      <c r="AO1351" s="7" t="s">
        <v>0</v>
      </c>
      <c r="AP1351" s="7" t="s">
        <v>0</v>
      </c>
      <c r="AQ1351" s="7" t="s">
        <v>61</v>
      </c>
      <c r="AR1351" s="7" t="s">
        <v>0</v>
      </c>
      <c r="AS1351" s="10" t="str">
        <f>HYPERLINK("https://tessa.gazprom-neft.local/edo/card/13632255-07d9-41ea-b996-1f61c0fb02c0", "https://tessa.gazprom-neft.local/edo/card/13632255-07d9-41ea-b996-1f61c0fb02c0")</f>
        <v>https://tessa.gazprom-neft.local/edo/card/13632255-07d9-41ea-b996-1f61c0fb02c0</v>
      </c>
    </row>
    <row r="1352" spans="1:45" hidden="1" x14ac:dyDescent="0.25">
      <c r="A1352" s="6" t="s">
        <v>44</v>
      </c>
      <c r="B1352" s="7" t="s">
        <v>971</v>
      </c>
      <c r="C1352" s="7" t="s">
        <v>67</v>
      </c>
      <c r="D1352" s="8">
        <v>44868</v>
      </c>
      <c r="E1352" s="8" t="s">
        <v>0</v>
      </c>
      <c r="F1352" s="16" t="s">
        <v>972</v>
      </c>
      <c r="G1352" s="7" t="s">
        <v>973</v>
      </c>
      <c r="H1352" s="7" t="s">
        <v>0</v>
      </c>
      <c r="I1352" s="7" t="s">
        <v>9613</v>
      </c>
      <c r="J1352" s="7" t="s">
        <v>9613</v>
      </c>
      <c r="K1352" s="7" t="s">
        <v>85</v>
      </c>
      <c r="L1352" s="7" t="s">
        <v>86</v>
      </c>
      <c r="M1352" s="7" t="s">
        <v>289</v>
      </c>
      <c r="N1352" s="7" t="s">
        <v>9612</v>
      </c>
      <c r="O1352" s="7" t="s">
        <v>0</v>
      </c>
      <c r="P1352" s="7" t="s">
        <v>289</v>
      </c>
      <c r="Q1352" s="7" t="s">
        <v>8719</v>
      </c>
      <c r="R1352" s="7" t="s">
        <v>338</v>
      </c>
      <c r="S1352" s="7" t="s">
        <v>3298</v>
      </c>
      <c r="T1352" s="7" t="s">
        <v>54</v>
      </c>
      <c r="U1352" s="7" t="s">
        <v>303</v>
      </c>
      <c r="V1352" s="7" t="s">
        <v>917</v>
      </c>
      <c r="W1352" s="7" t="s">
        <v>74</v>
      </c>
      <c r="X1352" s="7" t="s">
        <v>58</v>
      </c>
      <c r="Y1352" s="8">
        <v>44868</v>
      </c>
      <c r="Z1352" s="8" t="s">
        <v>0</v>
      </c>
      <c r="AA1352" s="7" t="s">
        <v>1278</v>
      </c>
      <c r="AB1352" s="7" t="s">
        <v>300</v>
      </c>
      <c r="AC1352" s="7" t="s">
        <v>65</v>
      </c>
      <c r="AD1352" s="7" t="s">
        <v>0</v>
      </c>
      <c r="AE1352" s="7" t="s">
        <v>0</v>
      </c>
      <c r="AF1352" s="7" t="s">
        <v>0</v>
      </c>
      <c r="AG1352" s="7" t="s">
        <v>0</v>
      </c>
      <c r="AH1352" s="9" t="s">
        <v>0</v>
      </c>
      <c r="AI1352" s="9" t="s">
        <v>0</v>
      </c>
      <c r="AJ1352" s="9" t="s">
        <v>0</v>
      </c>
      <c r="AK1352" s="7" t="s">
        <v>61</v>
      </c>
      <c r="AL1352" s="7" t="s">
        <v>61</v>
      </c>
      <c r="AM1352" s="7" t="s">
        <v>0</v>
      </c>
      <c r="AN1352" s="7" t="s">
        <v>0</v>
      </c>
      <c r="AO1352" s="7" t="s">
        <v>0</v>
      </c>
      <c r="AP1352" s="7" t="s">
        <v>0</v>
      </c>
      <c r="AQ1352" s="7" t="s">
        <v>61</v>
      </c>
      <c r="AR1352" s="7" t="s">
        <v>0</v>
      </c>
      <c r="AS1352" s="10" t="str">
        <f>HYPERLINK("https://tessa.gazprom-neft.local/edo/card/5e864e2d-7bc9-4685-822b-d22e3e87bc8d", "https://tessa.gazprom-neft.local/edo/card/5e864e2d-7bc9-4685-822b-d22e3e87bc8d")</f>
        <v>https://tessa.gazprom-neft.local/edo/card/5e864e2d-7bc9-4685-822b-d22e3e87bc8d</v>
      </c>
    </row>
    <row r="1353" spans="1:45" x14ac:dyDescent="0.25">
      <c r="A1353" s="6" t="s">
        <v>44</v>
      </c>
      <c r="B1353" s="7" t="s">
        <v>900</v>
      </c>
      <c r="C1353" s="7" t="s">
        <v>67</v>
      </c>
      <c r="D1353" s="8">
        <v>44866</v>
      </c>
      <c r="E1353" s="8" t="s">
        <v>0</v>
      </c>
      <c r="F1353" s="16" t="s">
        <v>901</v>
      </c>
      <c r="G1353" s="7" t="s">
        <v>902</v>
      </c>
      <c r="H1353" s="7" t="s">
        <v>894</v>
      </c>
      <c r="I1353" s="7" t="s">
        <v>0</v>
      </c>
      <c r="J1353" s="7" t="s">
        <v>156</v>
      </c>
      <c r="K1353" s="7" t="s">
        <v>85</v>
      </c>
      <c r="L1353" s="7" t="s">
        <v>48</v>
      </c>
      <c r="M1353" s="7" t="s">
        <v>9438</v>
      </c>
      <c r="N1353" s="7" t="s">
        <v>9439</v>
      </c>
      <c r="O1353" s="7" t="s">
        <v>0</v>
      </c>
      <c r="P1353" s="7" t="s">
        <v>9438</v>
      </c>
      <c r="Q1353" s="7" t="s">
        <v>9440</v>
      </c>
      <c r="R1353" s="7" t="s">
        <v>898</v>
      </c>
      <c r="S1353" s="7" t="s">
        <v>898</v>
      </c>
      <c r="T1353" s="7" t="s">
        <v>54</v>
      </c>
      <c r="U1353" s="7" t="s">
        <v>899</v>
      </c>
      <c r="V1353" s="7" t="s">
        <v>126</v>
      </c>
      <c r="W1353" s="7" t="s">
        <v>57</v>
      </c>
      <c r="X1353" s="7" t="s">
        <v>58</v>
      </c>
      <c r="Y1353" s="8">
        <v>44866</v>
      </c>
      <c r="Z1353" s="8" t="s">
        <v>0</v>
      </c>
      <c r="AA1353" s="7" t="s">
        <v>224</v>
      </c>
      <c r="AB1353" s="7" t="s">
        <v>130</v>
      </c>
      <c r="AC1353" s="7" t="s">
        <v>65</v>
      </c>
      <c r="AD1353" s="7" t="s">
        <v>0</v>
      </c>
      <c r="AE1353" s="7" t="s">
        <v>0</v>
      </c>
      <c r="AF1353" s="7" t="s">
        <v>0</v>
      </c>
      <c r="AG1353" s="7" t="s">
        <v>0</v>
      </c>
      <c r="AH1353" s="9" t="s">
        <v>0</v>
      </c>
      <c r="AI1353" s="9" t="s">
        <v>0</v>
      </c>
      <c r="AJ1353" s="9" t="s">
        <v>0</v>
      </c>
      <c r="AK1353" s="7" t="s">
        <v>61</v>
      </c>
      <c r="AL1353" s="7" t="s">
        <v>61</v>
      </c>
      <c r="AM1353" s="7" t="s">
        <v>0</v>
      </c>
      <c r="AN1353" s="7" t="s">
        <v>0</v>
      </c>
      <c r="AO1353" s="7" t="s">
        <v>0</v>
      </c>
      <c r="AP1353" s="7" t="s">
        <v>0</v>
      </c>
      <c r="AQ1353" s="7" t="s">
        <v>61</v>
      </c>
      <c r="AR1353" s="7" t="s">
        <v>0</v>
      </c>
      <c r="AS1353" s="10" t="str">
        <f>HYPERLINK("https://tessa.gazprom-neft.local/edo/card/d600cc37-42de-40d9-b177-c3bf2b1c55d1", "https://tessa.gazprom-neft.local/edo/card/d600cc37-42de-40d9-b177-c3bf2b1c55d1")</f>
        <v>https://tessa.gazprom-neft.local/edo/card/d600cc37-42de-40d9-b177-c3bf2b1c55d1</v>
      </c>
    </row>
    <row r="1354" spans="1:45" hidden="1" x14ac:dyDescent="0.25">
      <c r="A1354" s="6" t="s">
        <v>44</v>
      </c>
      <c r="B1354" s="7" t="s">
        <v>0</v>
      </c>
      <c r="C1354" s="7" t="s">
        <v>46</v>
      </c>
      <c r="D1354" s="8">
        <v>44866</v>
      </c>
      <c r="E1354" s="8" t="s">
        <v>0</v>
      </c>
      <c r="F1354" s="16" t="s">
        <v>9473</v>
      </c>
      <c r="G1354" s="7" t="s">
        <v>0</v>
      </c>
      <c r="H1354" s="7" t="s">
        <v>0</v>
      </c>
      <c r="I1354" s="7" t="s">
        <v>9472</v>
      </c>
      <c r="J1354" s="7" t="s">
        <v>9472</v>
      </c>
      <c r="K1354" s="7" t="s">
        <v>85</v>
      </c>
      <c r="L1354" s="7" t="s">
        <v>96</v>
      </c>
      <c r="M1354" s="7" t="s">
        <v>183</v>
      </c>
      <c r="N1354" s="7" t="s">
        <v>9471</v>
      </c>
      <c r="O1354" s="7" t="s">
        <v>0</v>
      </c>
      <c r="P1354" s="7" t="s">
        <v>183</v>
      </c>
      <c r="Q1354" s="7" t="s">
        <v>186</v>
      </c>
      <c r="R1354" s="7" t="s">
        <v>187</v>
      </c>
      <c r="S1354" s="7" t="s">
        <v>187</v>
      </c>
      <c r="T1354" s="7" t="s">
        <v>54</v>
      </c>
      <c r="U1354" s="7" t="s">
        <v>188</v>
      </c>
      <c r="V1354" s="7" t="s">
        <v>137</v>
      </c>
      <c r="W1354" s="7" t="s">
        <v>57</v>
      </c>
      <c r="X1354" s="7" t="s">
        <v>103</v>
      </c>
      <c r="Y1354" s="8">
        <v>44866</v>
      </c>
      <c r="Z1354" s="8">
        <v>44926</v>
      </c>
      <c r="AA1354" s="7" t="s">
        <v>0</v>
      </c>
      <c r="AB1354" s="7" t="s">
        <v>192</v>
      </c>
      <c r="AC1354" s="7" t="s">
        <v>79</v>
      </c>
      <c r="AD1354" s="7" t="s">
        <v>80</v>
      </c>
      <c r="AE1354" s="7" t="s">
        <v>193</v>
      </c>
      <c r="AF1354" s="7" t="s">
        <v>0</v>
      </c>
      <c r="AG1354" s="7" t="s">
        <v>0</v>
      </c>
      <c r="AH1354" s="9" t="s">
        <v>12761</v>
      </c>
      <c r="AI1354" s="9" t="s">
        <v>13950</v>
      </c>
      <c r="AJ1354" s="9" t="s">
        <v>13951</v>
      </c>
      <c r="AK1354" s="7" t="s">
        <v>61</v>
      </c>
      <c r="AL1354" s="7" t="s">
        <v>61</v>
      </c>
      <c r="AM1354" s="7" t="s">
        <v>0</v>
      </c>
      <c r="AN1354" s="7" t="s">
        <v>0</v>
      </c>
      <c r="AO1354" s="7" t="s">
        <v>0</v>
      </c>
      <c r="AP1354" s="7" t="s">
        <v>0</v>
      </c>
      <c r="AQ1354" s="7" t="s">
        <v>61</v>
      </c>
      <c r="AR1354" s="7" t="s">
        <v>0</v>
      </c>
      <c r="AS1354" s="10" t="str">
        <f>HYPERLINK("https://tessa.gazprom-neft.local/edo/card/4df517e3-ca01-4d81-944f-54e4ebb92ced", "https://tessa.gazprom-neft.local/edo/card/4df517e3-ca01-4d81-944f-54e4ebb92ced")</f>
        <v>https://tessa.gazprom-neft.local/edo/card/4df517e3-ca01-4d81-944f-54e4ebb92ced</v>
      </c>
    </row>
    <row r="1355" spans="1:45" hidden="1" x14ac:dyDescent="0.25">
      <c r="A1355" s="6" t="s">
        <v>44</v>
      </c>
      <c r="B1355" s="7" t="s">
        <v>2434</v>
      </c>
      <c r="C1355" s="7" t="s">
        <v>67</v>
      </c>
      <c r="D1355" s="8">
        <v>44866</v>
      </c>
      <c r="E1355" s="8" t="s">
        <v>0</v>
      </c>
      <c r="F1355" s="16" t="s">
        <v>2435</v>
      </c>
      <c r="G1355" s="7" t="s">
        <v>2436</v>
      </c>
      <c r="H1355" s="7" t="s">
        <v>0</v>
      </c>
      <c r="I1355" s="7" t="s">
        <v>2431</v>
      </c>
      <c r="J1355" s="7" t="s">
        <v>2431</v>
      </c>
      <c r="K1355" s="7" t="s">
        <v>47</v>
      </c>
      <c r="L1355" s="7" t="s">
        <v>86</v>
      </c>
      <c r="M1355" s="7" t="s">
        <v>0</v>
      </c>
      <c r="N1355" s="7" t="s">
        <v>9492</v>
      </c>
      <c r="O1355" s="7" t="s">
        <v>0</v>
      </c>
      <c r="P1355" s="7" t="s">
        <v>5136</v>
      </c>
      <c r="Q1355" s="7" t="s">
        <v>9493</v>
      </c>
      <c r="R1355" s="7" t="s">
        <v>604</v>
      </c>
      <c r="S1355" s="7" t="s">
        <v>604</v>
      </c>
      <c r="T1355" s="7" t="s">
        <v>54</v>
      </c>
      <c r="U1355" s="7" t="s">
        <v>605</v>
      </c>
      <c r="V1355" s="7" t="s">
        <v>126</v>
      </c>
      <c r="W1355" s="7" t="s">
        <v>57</v>
      </c>
      <c r="X1355" s="7" t="s">
        <v>58</v>
      </c>
      <c r="Y1355" s="8">
        <v>44866</v>
      </c>
      <c r="Z1355" s="8" t="s">
        <v>0</v>
      </c>
      <c r="AA1355" s="7" t="s">
        <v>224</v>
      </c>
      <c r="AB1355" s="7" t="s">
        <v>2437</v>
      </c>
      <c r="AC1355" s="7" t="s">
        <v>79</v>
      </c>
      <c r="AD1355" s="7" t="s">
        <v>80</v>
      </c>
      <c r="AE1355" s="7" t="s">
        <v>889</v>
      </c>
      <c r="AF1355" s="7" t="s">
        <v>0</v>
      </c>
      <c r="AG1355" s="7" t="s">
        <v>0</v>
      </c>
      <c r="AH1355" s="9" t="s">
        <v>13958</v>
      </c>
      <c r="AI1355" s="9" t="s">
        <v>13958</v>
      </c>
      <c r="AJ1355" s="9">
        <v>0</v>
      </c>
      <c r="AK1355" s="7" t="s">
        <v>61</v>
      </c>
      <c r="AL1355" s="7" t="s">
        <v>61</v>
      </c>
      <c r="AM1355" s="7" t="s">
        <v>0</v>
      </c>
      <c r="AN1355" s="7" t="s">
        <v>0</v>
      </c>
      <c r="AO1355" s="7" t="s">
        <v>0</v>
      </c>
      <c r="AP1355" s="7" t="s">
        <v>0</v>
      </c>
      <c r="AQ1355" s="7" t="s">
        <v>61</v>
      </c>
      <c r="AR1355" s="7" t="s">
        <v>0</v>
      </c>
      <c r="AS1355" s="10" t="str">
        <f>HYPERLINK("https://tessa.gazprom-neft.local/edo/card/683ac7e9-4b8d-415b-9a71-32c1d5346182", "https://tessa.gazprom-neft.local/edo/card/683ac7e9-4b8d-415b-9a71-32c1d5346182")</f>
        <v>https://tessa.gazprom-neft.local/edo/card/683ac7e9-4b8d-415b-9a71-32c1d5346182</v>
      </c>
    </row>
    <row r="1356" spans="1:45" hidden="1" x14ac:dyDescent="0.25">
      <c r="A1356" s="6" t="s">
        <v>44</v>
      </c>
      <c r="B1356" s="7" t="s">
        <v>0</v>
      </c>
      <c r="C1356" s="7" t="s">
        <v>67</v>
      </c>
      <c r="D1356" s="8">
        <v>44866</v>
      </c>
      <c r="E1356" s="8" t="s">
        <v>0</v>
      </c>
      <c r="F1356" s="16" t="s">
        <v>9521</v>
      </c>
      <c r="G1356" s="7" t="s">
        <v>0</v>
      </c>
      <c r="H1356" s="7" t="s">
        <v>0</v>
      </c>
      <c r="I1356" s="7" t="s">
        <v>9519</v>
      </c>
      <c r="J1356" s="7" t="s">
        <v>9519</v>
      </c>
      <c r="K1356" s="7" t="s">
        <v>47</v>
      </c>
      <c r="L1356" s="7" t="s">
        <v>96</v>
      </c>
      <c r="M1356" s="7" t="s">
        <v>0</v>
      </c>
      <c r="N1356" s="7" t="s">
        <v>9518</v>
      </c>
      <c r="O1356" s="7" t="s">
        <v>0</v>
      </c>
      <c r="P1356" s="7" t="s">
        <v>8429</v>
      </c>
      <c r="Q1356" s="7" t="s">
        <v>9520</v>
      </c>
      <c r="R1356" s="7" t="s">
        <v>6052</v>
      </c>
      <c r="S1356" s="7" t="s">
        <v>6052</v>
      </c>
      <c r="T1356" s="7" t="s">
        <v>54</v>
      </c>
      <c r="U1356" s="7" t="s">
        <v>136</v>
      </c>
      <c r="V1356" s="7" t="s">
        <v>137</v>
      </c>
      <c r="W1356" s="7" t="s">
        <v>57</v>
      </c>
      <c r="X1356" s="7" t="s">
        <v>103</v>
      </c>
      <c r="Y1356" s="8">
        <v>44866</v>
      </c>
      <c r="Z1356" s="8">
        <v>45382</v>
      </c>
      <c r="AA1356" s="7" t="s">
        <v>0</v>
      </c>
      <c r="AB1356" s="7" t="s">
        <v>64</v>
      </c>
      <c r="AC1356" s="7" t="s">
        <v>79</v>
      </c>
      <c r="AD1356" s="7" t="s">
        <v>514</v>
      </c>
      <c r="AE1356" s="7" t="s">
        <v>118</v>
      </c>
      <c r="AF1356" s="7" t="s">
        <v>0</v>
      </c>
      <c r="AG1356" s="7" t="s">
        <v>0</v>
      </c>
      <c r="AH1356" s="9" t="s">
        <v>13966</v>
      </c>
      <c r="AI1356" s="9" t="s">
        <v>13966</v>
      </c>
      <c r="AJ1356" s="9">
        <v>0</v>
      </c>
      <c r="AK1356" s="7" t="s">
        <v>61</v>
      </c>
      <c r="AL1356" s="7" t="s">
        <v>61</v>
      </c>
      <c r="AM1356" s="7" t="s">
        <v>0</v>
      </c>
      <c r="AN1356" s="7" t="s">
        <v>0</v>
      </c>
      <c r="AO1356" s="7" t="s">
        <v>0</v>
      </c>
      <c r="AP1356" s="7" t="s">
        <v>0</v>
      </c>
      <c r="AQ1356" s="7" t="s">
        <v>61</v>
      </c>
      <c r="AR1356" s="7" t="s">
        <v>0</v>
      </c>
      <c r="AS1356" s="10" t="str">
        <f>HYPERLINK("https://tessa.gazprom-neft.local/edo/card/2c5747db-09bc-4dd0-9547-0e72117f20a2", "https://tessa.gazprom-neft.local/edo/card/2c5747db-09bc-4dd0-9547-0e72117f20a2")</f>
        <v>https://tessa.gazprom-neft.local/edo/card/2c5747db-09bc-4dd0-9547-0e72117f20a2</v>
      </c>
    </row>
    <row r="1357" spans="1:45" hidden="1" x14ac:dyDescent="0.25">
      <c r="A1357" s="6" t="s">
        <v>44</v>
      </c>
      <c r="B1357" s="7" t="s">
        <v>0</v>
      </c>
      <c r="C1357" s="7" t="s">
        <v>67</v>
      </c>
      <c r="D1357" s="8">
        <v>44866</v>
      </c>
      <c r="E1357" s="8" t="s">
        <v>0</v>
      </c>
      <c r="F1357" s="16" t="s">
        <v>9521</v>
      </c>
      <c r="G1357" s="7" t="s">
        <v>0</v>
      </c>
      <c r="H1357" s="7" t="s">
        <v>0</v>
      </c>
      <c r="I1357" s="7" t="s">
        <v>9529</v>
      </c>
      <c r="J1357" s="7" t="s">
        <v>9529</v>
      </c>
      <c r="K1357" s="7" t="s">
        <v>47</v>
      </c>
      <c r="L1357" s="7" t="s">
        <v>96</v>
      </c>
      <c r="M1357" s="7" t="s">
        <v>0</v>
      </c>
      <c r="N1357" s="7" t="s">
        <v>9528</v>
      </c>
      <c r="O1357" s="7" t="s">
        <v>0</v>
      </c>
      <c r="P1357" s="7" t="s">
        <v>8429</v>
      </c>
      <c r="Q1357" s="7" t="s">
        <v>9520</v>
      </c>
      <c r="R1357" s="7" t="s">
        <v>6052</v>
      </c>
      <c r="S1357" s="7" t="s">
        <v>6052</v>
      </c>
      <c r="T1357" s="7" t="s">
        <v>54</v>
      </c>
      <c r="U1357" s="7" t="s">
        <v>136</v>
      </c>
      <c r="V1357" s="7" t="s">
        <v>137</v>
      </c>
      <c r="W1357" s="7" t="s">
        <v>57</v>
      </c>
      <c r="X1357" s="7" t="s">
        <v>103</v>
      </c>
      <c r="Y1357" s="8">
        <v>45078</v>
      </c>
      <c r="Z1357" s="8">
        <v>45169</v>
      </c>
      <c r="AA1357" s="7" t="s">
        <v>0</v>
      </c>
      <c r="AB1357" s="7" t="s">
        <v>64</v>
      </c>
      <c r="AC1357" s="7" t="s">
        <v>79</v>
      </c>
      <c r="AD1357" s="7" t="s">
        <v>514</v>
      </c>
      <c r="AE1357" s="7" t="s">
        <v>118</v>
      </c>
      <c r="AF1357" s="7" t="s">
        <v>0</v>
      </c>
      <c r="AG1357" s="7" t="s">
        <v>0</v>
      </c>
      <c r="AH1357" s="9" t="s">
        <v>13970</v>
      </c>
      <c r="AI1357" s="9" t="s">
        <v>13970</v>
      </c>
      <c r="AJ1357" s="9">
        <v>0</v>
      </c>
      <c r="AK1357" s="7" t="s">
        <v>61</v>
      </c>
      <c r="AL1357" s="7" t="s">
        <v>61</v>
      </c>
      <c r="AM1357" s="7" t="s">
        <v>0</v>
      </c>
      <c r="AN1357" s="7" t="s">
        <v>0</v>
      </c>
      <c r="AO1357" s="7" t="s">
        <v>0</v>
      </c>
      <c r="AP1357" s="7" t="s">
        <v>0</v>
      </c>
      <c r="AQ1357" s="7" t="s">
        <v>61</v>
      </c>
      <c r="AR1357" s="7" t="s">
        <v>0</v>
      </c>
      <c r="AS1357" s="10" t="str">
        <f>HYPERLINK("https://tessa.gazprom-neft.local/edo/card/87417e4d-8fde-4b8f-a43f-2acf23dee00e", "https://tessa.gazprom-neft.local/edo/card/87417e4d-8fde-4b8f-a43f-2acf23dee00e")</f>
        <v>https://tessa.gazprom-neft.local/edo/card/87417e4d-8fde-4b8f-a43f-2acf23dee00e</v>
      </c>
    </row>
    <row r="1358" spans="1:45" hidden="1" x14ac:dyDescent="0.25">
      <c r="A1358" s="6" t="s">
        <v>44</v>
      </c>
      <c r="B1358" s="7" t="s">
        <v>0</v>
      </c>
      <c r="C1358" s="7" t="s">
        <v>46</v>
      </c>
      <c r="D1358" s="8">
        <v>44866</v>
      </c>
      <c r="E1358" s="8" t="s">
        <v>0</v>
      </c>
      <c r="F1358" s="16" t="s">
        <v>9576</v>
      </c>
      <c r="G1358" s="7" t="s">
        <v>0</v>
      </c>
      <c r="H1358" s="7" t="s">
        <v>0</v>
      </c>
      <c r="I1358" s="7" t="s">
        <v>9574</v>
      </c>
      <c r="J1358" s="7" t="s">
        <v>9574</v>
      </c>
      <c r="K1358" s="7" t="s">
        <v>85</v>
      </c>
      <c r="L1358" s="7" t="s">
        <v>96</v>
      </c>
      <c r="M1358" s="7" t="s">
        <v>183</v>
      </c>
      <c r="N1358" s="7" t="s">
        <v>9573</v>
      </c>
      <c r="O1358" s="7" t="s">
        <v>0</v>
      </c>
      <c r="P1358" s="7" t="s">
        <v>183</v>
      </c>
      <c r="Q1358" s="7" t="s">
        <v>9575</v>
      </c>
      <c r="R1358" s="7" t="s">
        <v>477</v>
      </c>
      <c r="S1358" s="7" t="s">
        <v>477</v>
      </c>
      <c r="T1358" s="7" t="s">
        <v>54</v>
      </c>
      <c r="U1358" s="7" t="s">
        <v>478</v>
      </c>
      <c r="V1358" s="7" t="s">
        <v>137</v>
      </c>
      <c r="W1358" s="7" t="s">
        <v>57</v>
      </c>
      <c r="X1358" s="7" t="s">
        <v>103</v>
      </c>
      <c r="Y1358" s="8">
        <v>44866</v>
      </c>
      <c r="Z1358" s="8">
        <v>44957</v>
      </c>
      <c r="AA1358" s="7" t="s">
        <v>0</v>
      </c>
      <c r="AB1358" s="7" t="s">
        <v>192</v>
      </c>
      <c r="AC1358" s="7" t="s">
        <v>79</v>
      </c>
      <c r="AD1358" s="7" t="s">
        <v>80</v>
      </c>
      <c r="AE1358" s="7" t="s">
        <v>193</v>
      </c>
      <c r="AF1358" s="7" t="s">
        <v>0</v>
      </c>
      <c r="AG1358" s="7" t="s">
        <v>0</v>
      </c>
      <c r="AH1358" s="9" t="s">
        <v>13989</v>
      </c>
      <c r="AI1358" s="9" t="s">
        <v>13990</v>
      </c>
      <c r="AJ1358" s="9" t="s">
        <v>13991</v>
      </c>
      <c r="AK1358" s="7" t="s">
        <v>61</v>
      </c>
      <c r="AL1358" s="7" t="s">
        <v>61</v>
      </c>
      <c r="AM1358" s="7" t="s">
        <v>0</v>
      </c>
      <c r="AN1358" s="7" t="s">
        <v>0</v>
      </c>
      <c r="AO1358" s="7" t="s">
        <v>0</v>
      </c>
      <c r="AP1358" s="7" t="s">
        <v>0</v>
      </c>
      <c r="AQ1358" s="7" t="s">
        <v>61</v>
      </c>
      <c r="AR1358" s="7" t="s">
        <v>0</v>
      </c>
      <c r="AS1358" s="10" t="str">
        <f>HYPERLINK("https://tessa.gazprom-neft.local/edo/card/e3ab2dce-5910-4625-a32f-99e1a7660958", "https://tessa.gazprom-neft.local/edo/card/e3ab2dce-5910-4625-a32f-99e1a7660958")</f>
        <v>https://tessa.gazprom-neft.local/edo/card/e3ab2dce-5910-4625-a32f-99e1a7660958</v>
      </c>
    </row>
    <row r="1359" spans="1:45" hidden="1" x14ac:dyDescent="0.25">
      <c r="A1359" s="6" t="s">
        <v>44</v>
      </c>
      <c r="B1359" s="7" t="s">
        <v>1101</v>
      </c>
      <c r="C1359" s="7" t="s">
        <v>67</v>
      </c>
      <c r="D1359" s="8">
        <v>44866</v>
      </c>
      <c r="E1359" s="8" t="s">
        <v>0</v>
      </c>
      <c r="F1359" s="16" t="s">
        <v>1102</v>
      </c>
      <c r="G1359" s="7" t="s">
        <v>1103</v>
      </c>
      <c r="H1359" s="7" t="s">
        <v>2522</v>
      </c>
      <c r="I1359" s="7" t="s">
        <v>0</v>
      </c>
      <c r="J1359" s="7" t="s">
        <v>156</v>
      </c>
      <c r="K1359" s="7" t="s">
        <v>47</v>
      </c>
      <c r="L1359" s="7" t="s">
        <v>239</v>
      </c>
      <c r="M1359" s="7" t="s">
        <v>0</v>
      </c>
      <c r="N1359" s="7" t="s">
        <v>9601</v>
      </c>
      <c r="O1359" s="7" t="s">
        <v>0</v>
      </c>
      <c r="P1359" s="7" t="s">
        <v>9602</v>
      </c>
      <c r="Q1359" s="7" t="s">
        <v>9603</v>
      </c>
      <c r="R1359" s="7" t="s">
        <v>3298</v>
      </c>
      <c r="S1359" s="7" t="s">
        <v>3298</v>
      </c>
      <c r="T1359" s="7" t="s">
        <v>54</v>
      </c>
      <c r="U1359" s="7" t="s">
        <v>303</v>
      </c>
      <c r="V1359" s="7" t="s">
        <v>91</v>
      </c>
      <c r="W1359" s="7" t="s">
        <v>74</v>
      </c>
      <c r="X1359" s="7" t="s">
        <v>103</v>
      </c>
      <c r="Y1359" s="8">
        <v>44866</v>
      </c>
      <c r="Z1359" s="8">
        <v>44926</v>
      </c>
      <c r="AA1359" s="7" t="s">
        <v>92</v>
      </c>
      <c r="AB1359" s="7" t="s">
        <v>64</v>
      </c>
      <c r="AC1359" s="7" t="s">
        <v>79</v>
      </c>
      <c r="AD1359" s="7" t="s">
        <v>144</v>
      </c>
      <c r="AE1359" s="7" t="s">
        <v>118</v>
      </c>
      <c r="AF1359" s="7" t="s">
        <v>0</v>
      </c>
      <c r="AG1359" s="7" t="s">
        <v>0</v>
      </c>
      <c r="AH1359" s="9" t="s">
        <v>14004</v>
      </c>
      <c r="AI1359" s="9" t="s">
        <v>14004</v>
      </c>
      <c r="AJ1359" s="9">
        <v>0</v>
      </c>
      <c r="AK1359" s="7" t="s">
        <v>61</v>
      </c>
      <c r="AL1359" s="7" t="s">
        <v>61</v>
      </c>
      <c r="AM1359" s="7" t="s">
        <v>0</v>
      </c>
      <c r="AN1359" s="7" t="s">
        <v>0</v>
      </c>
      <c r="AO1359" s="7" t="s">
        <v>0</v>
      </c>
      <c r="AP1359" s="7" t="s">
        <v>0</v>
      </c>
      <c r="AQ1359" s="7" t="s">
        <v>61</v>
      </c>
      <c r="AR1359" s="7" t="s">
        <v>0</v>
      </c>
      <c r="AS1359" s="10" t="str">
        <f>HYPERLINK("https://tessa.gazprom-neft.local/edo/card/d022b7aa-7795-4665-acc1-15574814fd1a", "https://tessa.gazprom-neft.local/edo/card/d022b7aa-7795-4665-acc1-15574814fd1a")</f>
        <v>https://tessa.gazprom-neft.local/edo/card/d022b7aa-7795-4665-acc1-15574814fd1a</v>
      </c>
    </row>
    <row r="1360" spans="1:45" hidden="1" x14ac:dyDescent="0.25">
      <c r="A1360" s="6" t="s">
        <v>44</v>
      </c>
      <c r="B1360" s="7" t="s">
        <v>1657</v>
      </c>
      <c r="C1360" s="7" t="s">
        <v>67</v>
      </c>
      <c r="D1360" s="8">
        <v>44866</v>
      </c>
      <c r="E1360" s="8" t="s">
        <v>0</v>
      </c>
      <c r="F1360" s="16" t="s">
        <v>1658</v>
      </c>
      <c r="G1360" s="7" t="s">
        <v>1659</v>
      </c>
      <c r="H1360" s="7" t="s">
        <v>0</v>
      </c>
      <c r="I1360" s="7" t="s">
        <v>8422</v>
      </c>
      <c r="J1360" s="7" t="s">
        <v>8422</v>
      </c>
      <c r="K1360" s="7" t="s">
        <v>85</v>
      </c>
      <c r="L1360" s="7" t="s">
        <v>96</v>
      </c>
      <c r="M1360" s="7" t="s">
        <v>398</v>
      </c>
      <c r="N1360" s="7" t="s">
        <v>9604</v>
      </c>
      <c r="O1360" s="7" t="s">
        <v>0</v>
      </c>
      <c r="P1360" s="7" t="s">
        <v>9605</v>
      </c>
      <c r="Q1360" s="7" t="s">
        <v>402</v>
      </c>
      <c r="R1360" s="7" t="s">
        <v>361</v>
      </c>
      <c r="S1360" s="7" t="s">
        <v>361</v>
      </c>
      <c r="T1360" s="7" t="s">
        <v>54</v>
      </c>
      <c r="U1360" s="7" t="s">
        <v>294</v>
      </c>
      <c r="V1360" s="7" t="s">
        <v>295</v>
      </c>
      <c r="W1360" s="7" t="s">
        <v>74</v>
      </c>
      <c r="X1360" s="7" t="s">
        <v>103</v>
      </c>
      <c r="Y1360" s="8">
        <v>44866</v>
      </c>
      <c r="Z1360" s="8">
        <v>45291</v>
      </c>
      <c r="AA1360" s="7" t="s">
        <v>296</v>
      </c>
      <c r="AB1360" s="7" t="s">
        <v>366</v>
      </c>
      <c r="AC1360" s="7" t="s">
        <v>278</v>
      </c>
      <c r="AD1360" s="7" t="s">
        <v>367</v>
      </c>
      <c r="AE1360" s="7" t="s">
        <v>82</v>
      </c>
      <c r="AF1360" s="7" t="s">
        <v>0</v>
      </c>
      <c r="AG1360" s="7" t="s">
        <v>0</v>
      </c>
      <c r="AH1360" s="9" t="s">
        <v>14005</v>
      </c>
      <c r="AI1360" s="9" t="s">
        <v>14006</v>
      </c>
      <c r="AJ1360" s="9" t="s">
        <v>14007</v>
      </c>
      <c r="AK1360" s="7" t="s">
        <v>61</v>
      </c>
      <c r="AL1360" s="7" t="s">
        <v>61</v>
      </c>
      <c r="AM1360" s="7" t="s">
        <v>0</v>
      </c>
      <c r="AN1360" s="7" t="s">
        <v>0</v>
      </c>
      <c r="AO1360" s="7" t="s">
        <v>0</v>
      </c>
      <c r="AP1360" s="7" t="s">
        <v>0</v>
      </c>
      <c r="AQ1360" s="7" t="s">
        <v>61</v>
      </c>
      <c r="AR1360" s="7" t="s">
        <v>0</v>
      </c>
      <c r="AS1360" s="10" t="str">
        <f>HYPERLINK("https://tessa.gazprom-neft.local/edo/card/d89737a4-6854-403f-ab47-f2df0ad4515b", "https://tessa.gazprom-neft.local/edo/card/d89737a4-6854-403f-ab47-f2df0ad4515b")</f>
        <v>https://tessa.gazprom-neft.local/edo/card/d89737a4-6854-403f-ab47-f2df0ad4515b</v>
      </c>
    </row>
    <row r="1361" spans="1:45" x14ac:dyDescent="0.25">
      <c r="A1361" s="6" t="s">
        <v>44</v>
      </c>
      <c r="B1361" s="7" t="s">
        <v>2132</v>
      </c>
      <c r="C1361" s="7" t="s">
        <v>67</v>
      </c>
      <c r="D1361" s="8">
        <v>44866</v>
      </c>
      <c r="E1361" s="8" t="s">
        <v>0</v>
      </c>
      <c r="F1361" s="16" t="s">
        <v>2133</v>
      </c>
      <c r="G1361" s="7" t="s">
        <v>739</v>
      </c>
      <c r="H1361" s="7" t="s">
        <v>2130</v>
      </c>
      <c r="I1361" s="7" t="s">
        <v>0</v>
      </c>
      <c r="J1361" s="7" t="s">
        <v>51</v>
      </c>
      <c r="K1361" s="7" t="s">
        <v>85</v>
      </c>
      <c r="L1361" s="7" t="s">
        <v>48</v>
      </c>
      <c r="M1361" s="7" t="s">
        <v>9463</v>
      </c>
      <c r="N1361" s="7" t="s">
        <v>9606</v>
      </c>
      <c r="O1361" s="7" t="s">
        <v>0</v>
      </c>
      <c r="P1361" s="7" t="s">
        <v>9463</v>
      </c>
      <c r="Q1361" s="7" t="s">
        <v>9607</v>
      </c>
      <c r="R1361" s="7" t="s">
        <v>1774</v>
      </c>
      <c r="S1361" s="7" t="s">
        <v>0</v>
      </c>
      <c r="T1361" s="7" t="s">
        <v>54</v>
      </c>
      <c r="U1361" s="7" t="s">
        <v>307</v>
      </c>
      <c r="V1361" s="7" t="s">
        <v>126</v>
      </c>
      <c r="W1361" s="7" t="s">
        <v>57</v>
      </c>
      <c r="X1361" s="7" t="s">
        <v>103</v>
      </c>
      <c r="Y1361" s="8">
        <v>44866</v>
      </c>
      <c r="Z1361" s="8">
        <v>45291</v>
      </c>
      <c r="AA1361" s="7" t="s">
        <v>224</v>
      </c>
      <c r="AB1361" s="7" t="s">
        <v>130</v>
      </c>
      <c r="AC1361" s="7" t="s">
        <v>65</v>
      </c>
      <c r="AD1361" s="7" t="s">
        <v>80</v>
      </c>
      <c r="AE1361" s="7" t="s">
        <v>0</v>
      </c>
      <c r="AF1361" s="7" t="s">
        <v>0</v>
      </c>
      <c r="AG1361" s="7" t="s">
        <v>0</v>
      </c>
      <c r="AH1361" s="9" t="s">
        <v>0</v>
      </c>
      <c r="AI1361" s="9" t="s">
        <v>0</v>
      </c>
      <c r="AJ1361" s="9" t="s">
        <v>0</v>
      </c>
      <c r="AK1361" s="7" t="s">
        <v>61</v>
      </c>
      <c r="AL1361" s="7" t="s">
        <v>61</v>
      </c>
      <c r="AM1361" s="7" t="s">
        <v>0</v>
      </c>
      <c r="AN1361" s="7" t="s">
        <v>0</v>
      </c>
      <c r="AO1361" s="7" t="s">
        <v>0</v>
      </c>
      <c r="AP1361" s="7" t="s">
        <v>0</v>
      </c>
      <c r="AQ1361" s="7" t="s">
        <v>61</v>
      </c>
      <c r="AR1361" s="7" t="s">
        <v>0</v>
      </c>
      <c r="AS1361" s="10" t="str">
        <f>HYPERLINK("https://tessa.gazprom-neft.local/edo/card/8d3706fd-4590-4517-a903-df06b260be09", "https://tessa.gazprom-neft.local/edo/card/8d3706fd-4590-4517-a903-df06b260be09")</f>
        <v>https://tessa.gazprom-neft.local/edo/card/8d3706fd-4590-4517-a903-df06b260be09</v>
      </c>
    </row>
    <row r="1362" spans="1:45" hidden="1" x14ac:dyDescent="0.25">
      <c r="A1362" s="6" t="s">
        <v>44</v>
      </c>
      <c r="B1362" s="7" t="s">
        <v>1140</v>
      </c>
      <c r="C1362" s="7" t="s">
        <v>67</v>
      </c>
      <c r="D1362" s="8">
        <v>44866</v>
      </c>
      <c r="E1362" s="8" t="s">
        <v>0</v>
      </c>
      <c r="F1362" s="16" t="s">
        <v>1141</v>
      </c>
      <c r="G1362" s="7" t="s">
        <v>1142</v>
      </c>
      <c r="H1362" s="7" t="s">
        <v>0</v>
      </c>
      <c r="I1362" s="7" t="s">
        <v>9637</v>
      </c>
      <c r="J1362" s="7" t="s">
        <v>9637</v>
      </c>
      <c r="K1362" s="7" t="s">
        <v>85</v>
      </c>
      <c r="L1362" s="7" t="s">
        <v>86</v>
      </c>
      <c r="M1362" s="7" t="s">
        <v>2736</v>
      </c>
      <c r="N1362" s="7" t="s">
        <v>9636</v>
      </c>
      <c r="O1362" s="7" t="s">
        <v>0</v>
      </c>
      <c r="P1362" s="7" t="s">
        <v>2736</v>
      </c>
      <c r="Q1362" s="7" t="s">
        <v>9638</v>
      </c>
      <c r="R1362" s="7" t="s">
        <v>768</v>
      </c>
      <c r="S1362" s="7" t="s">
        <v>1066</v>
      </c>
      <c r="T1362" s="7" t="s">
        <v>54</v>
      </c>
      <c r="U1362" s="7" t="s">
        <v>362</v>
      </c>
      <c r="V1362" s="7" t="s">
        <v>917</v>
      </c>
      <c r="W1362" s="7" t="s">
        <v>74</v>
      </c>
      <c r="X1362" s="7" t="s">
        <v>103</v>
      </c>
      <c r="Y1362" s="8">
        <v>44866</v>
      </c>
      <c r="Z1362" s="8">
        <v>46387</v>
      </c>
      <c r="AA1362" s="7" t="s">
        <v>1278</v>
      </c>
      <c r="AB1362" s="7" t="s">
        <v>300</v>
      </c>
      <c r="AC1362" s="7" t="s">
        <v>65</v>
      </c>
      <c r="AD1362" s="7" t="s">
        <v>0</v>
      </c>
      <c r="AE1362" s="7" t="s">
        <v>0</v>
      </c>
      <c r="AF1362" s="7" t="s">
        <v>0</v>
      </c>
      <c r="AG1362" s="7" t="s">
        <v>0</v>
      </c>
      <c r="AH1362" s="9" t="s">
        <v>0</v>
      </c>
      <c r="AI1362" s="9" t="s">
        <v>0</v>
      </c>
      <c r="AJ1362" s="9" t="s">
        <v>0</v>
      </c>
      <c r="AK1362" s="7" t="s">
        <v>61</v>
      </c>
      <c r="AL1362" s="7" t="s">
        <v>61</v>
      </c>
      <c r="AM1362" s="7" t="s">
        <v>0</v>
      </c>
      <c r="AN1362" s="7" t="s">
        <v>0</v>
      </c>
      <c r="AO1362" s="7" t="s">
        <v>0</v>
      </c>
      <c r="AP1362" s="7" t="s">
        <v>0</v>
      </c>
      <c r="AQ1362" s="7" t="s">
        <v>61</v>
      </c>
      <c r="AR1362" s="7" t="s">
        <v>0</v>
      </c>
      <c r="AS1362" s="10" t="str">
        <f>HYPERLINK("https://tessa.gazprom-neft.local/edo/card/de54ddfb-96cf-48dd-a1fc-86901fd51067", "https://tessa.gazprom-neft.local/edo/card/de54ddfb-96cf-48dd-a1fc-86901fd51067")</f>
        <v>https://tessa.gazprom-neft.local/edo/card/de54ddfb-96cf-48dd-a1fc-86901fd51067</v>
      </c>
    </row>
    <row r="1363" spans="1:45" hidden="1" x14ac:dyDescent="0.25">
      <c r="A1363" s="6" t="s">
        <v>44</v>
      </c>
      <c r="B1363" s="7" t="s">
        <v>0</v>
      </c>
      <c r="C1363" s="7" t="s">
        <v>46</v>
      </c>
      <c r="D1363" s="8">
        <v>44866</v>
      </c>
      <c r="E1363" s="8" t="s">
        <v>0</v>
      </c>
      <c r="F1363" s="16" t="s">
        <v>9473</v>
      </c>
      <c r="G1363" s="7" t="s">
        <v>0</v>
      </c>
      <c r="H1363" s="7" t="s">
        <v>0</v>
      </c>
      <c r="I1363" s="7" t="s">
        <v>9661</v>
      </c>
      <c r="J1363" s="7" t="s">
        <v>9661</v>
      </c>
      <c r="K1363" s="7" t="s">
        <v>85</v>
      </c>
      <c r="L1363" s="7" t="s">
        <v>86</v>
      </c>
      <c r="M1363" s="7" t="s">
        <v>523</v>
      </c>
      <c r="N1363" s="7" t="s">
        <v>9660</v>
      </c>
      <c r="O1363" s="7" t="s">
        <v>0</v>
      </c>
      <c r="P1363" s="7" t="s">
        <v>523</v>
      </c>
      <c r="Q1363" s="7" t="s">
        <v>526</v>
      </c>
      <c r="R1363" s="7" t="s">
        <v>187</v>
      </c>
      <c r="S1363" s="7" t="s">
        <v>187</v>
      </c>
      <c r="T1363" s="7" t="s">
        <v>54</v>
      </c>
      <c r="U1363" s="7" t="s">
        <v>188</v>
      </c>
      <c r="V1363" s="7" t="s">
        <v>91</v>
      </c>
      <c r="W1363" s="7" t="s">
        <v>57</v>
      </c>
      <c r="X1363" s="7" t="s">
        <v>103</v>
      </c>
      <c r="Y1363" s="8">
        <v>44866</v>
      </c>
      <c r="Z1363" s="8">
        <v>44926</v>
      </c>
      <c r="AA1363" s="7" t="s">
        <v>92</v>
      </c>
      <c r="AB1363" s="7" t="s">
        <v>94</v>
      </c>
      <c r="AC1363" s="7" t="s">
        <v>65</v>
      </c>
      <c r="AD1363" s="7" t="s">
        <v>0</v>
      </c>
      <c r="AE1363" s="7" t="s">
        <v>0</v>
      </c>
      <c r="AF1363" s="7" t="s">
        <v>0</v>
      </c>
      <c r="AG1363" s="7" t="s">
        <v>0</v>
      </c>
      <c r="AH1363" s="9" t="s">
        <v>0</v>
      </c>
      <c r="AI1363" s="9" t="s">
        <v>0</v>
      </c>
      <c r="AJ1363" s="9" t="s">
        <v>0</v>
      </c>
      <c r="AK1363" s="7" t="s">
        <v>61</v>
      </c>
      <c r="AL1363" s="7" t="s">
        <v>61</v>
      </c>
      <c r="AM1363" s="7" t="s">
        <v>0</v>
      </c>
      <c r="AN1363" s="7" t="s">
        <v>0</v>
      </c>
      <c r="AO1363" s="7" t="s">
        <v>0</v>
      </c>
      <c r="AP1363" s="7" t="s">
        <v>0</v>
      </c>
      <c r="AQ1363" s="7" t="s">
        <v>61</v>
      </c>
      <c r="AR1363" s="7" t="s">
        <v>0</v>
      </c>
      <c r="AS1363" s="10" t="str">
        <f>HYPERLINK("https://tessa.gazprom-neft.local/edo/card/f40fca29-c927-4ff9-95bd-da54846cbf98", "https://tessa.gazprom-neft.local/edo/card/f40fca29-c927-4ff9-95bd-da54846cbf98")</f>
        <v>https://tessa.gazprom-neft.local/edo/card/f40fca29-c927-4ff9-95bd-da54846cbf98</v>
      </c>
    </row>
    <row r="1364" spans="1:45" hidden="1" x14ac:dyDescent="0.25">
      <c r="A1364" s="6" t="s">
        <v>44</v>
      </c>
      <c r="B1364" s="7" t="s">
        <v>436</v>
      </c>
      <c r="C1364" s="7" t="s">
        <v>67</v>
      </c>
      <c r="D1364" s="8">
        <v>44865</v>
      </c>
      <c r="E1364" s="8" t="s">
        <v>0</v>
      </c>
      <c r="F1364" s="16" t="s">
        <v>437</v>
      </c>
      <c r="G1364" s="7" t="s">
        <v>438</v>
      </c>
      <c r="H1364" s="7" t="s">
        <v>0</v>
      </c>
      <c r="I1364" s="7" t="s">
        <v>6709</v>
      </c>
      <c r="J1364" s="7" t="s">
        <v>6709</v>
      </c>
      <c r="K1364" s="7" t="s">
        <v>47</v>
      </c>
      <c r="L1364" s="7" t="s">
        <v>96</v>
      </c>
      <c r="M1364" s="7" t="s">
        <v>0</v>
      </c>
      <c r="N1364" s="7" t="s">
        <v>6708</v>
      </c>
      <c r="O1364" s="7" t="s">
        <v>0</v>
      </c>
      <c r="P1364" s="7" t="s">
        <v>6710</v>
      </c>
      <c r="Q1364" s="7" t="s">
        <v>6711</v>
      </c>
      <c r="R1364" s="7" t="s">
        <v>6712</v>
      </c>
      <c r="S1364" s="7" t="s">
        <v>6712</v>
      </c>
      <c r="T1364" s="7" t="s">
        <v>54</v>
      </c>
      <c r="U1364" s="7" t="s">
        <v>283</v>
      </c>
      <c r="V1364" s="7" t="s">
        <v>102</v>
      </c>
      <c r="W1364" s="7" t="s">
        <v>57</v>
      </c>
      <c r="X1364" s="7" t="s">
        <v>103</v>
      </c>
      <c r="Y1364" s="8">
        <v>44865</v>
      </c>
      <c r="Z1364" s="8">
        <v>45808</v>
      </c>
      <c r="AA1364" s="7" t="s">
        <v>104</v>
      </c>
      <c r="AB1364" s="7" t="s">
        <v>366</v>
      </c>
      <c r="AC1364" s="7" t="s">
        <v>79</v>
      </c>
      <c r="AD1364" s="7" t="s">
        <v>367</v>
      </c>
      <c r="AE1364" s="7" t="s">
        <v>82</v>
      </c>
      <c r="AF1364" s="7" t="s">
        <v>0</v>
      </c>
      <c r="AG1364" s="7" t="s">
        <v>0</v>
      </c>
      <c r="AH1364" s="9" t="s">
        <v>12927</v>
      </c>
      <c r="AI1364" s="9" t="s">
        <v>12928</v>
      </c>
      <c r="AJ1364" s="9" t="s">
        <v>12929</v>
      </c>
      <c r="AK1364" s="7" t="s">
        <v>61</v>
      </c>
      <c r="AL1364" s="7" t="s">
        <v>61</v>
      </c>
      <c r="AM1364" s="7" t="s">
        <v>0</v>
      </c>
      <c r="AN1364" s="7" t="s">
        <v>0</v>
      </c>
      <c r="AO1364" s="7" t="s">
        <v>0</v>
      </c>
      <c r="AP1364" s="7" t="s">
        <v>0</v>
      </c>
      <c r="AQ1364" s="7" t="s">
        <v>61</v>
      </c>
      <c r="AR1364" s="7" t="s">
        <v>0</v>
      </c>
      <c r="AS1364" s="10" t="str">
        <f>HYPERLINK("https://tessa.gazprom-neft.local/edo/card/2c5c0295-78e2-4c62-bef6-22d577d53311", "https://tessa.gazprom-neft.local/edo/card/2c5c0295-78e2-4c62-bef6-22d577d53311")</f>
        <v>https://tessa.gazprom-neft.local/edo/card/2c5c0295-78e2-4c62-bef6-22d577d53311</v>
      </c>
    </row>
    <row r="1365" spans="1:45" hidden="1" x14ac:dyDescent="0.25">
      <c r="A1365" s="6" t="s">
        <v>44</v>
      </c>
      <c r="B1365" s="7" t="s">
        <v>592</v>
      </c>
      <c r="C1365" s="7" t="s">
        <v>46</v>
      </c>
      <c r="D1365" s="8">
        <v>44865</v>
      </c>
      <c r="E1365" s="8" t="s">
        <v>0</v>
      </c>
      <c r="F1365" s="16" t="s">
        <v>593</v>
      </c>
      <c r="G1365" s="7" t="s">
        <v>594</v>
      </c>
      <c r="H1365" s="7" t="s">
        <v>0</v>
      </c>
      <c r="I1365" s="7" t="s">
        <v>9160</v>
      </c>
      <c r="J1365" s="7" t="s">
        <v>9160</v>
      </c>
      <c r="K1365" s="7" t="s">
        <v>85</v>
      </c>
      <c r="L1365" s="7" t="s">
        <v>86</v>
      </c>
      <c r="M1365" s="7" t="s">
        <v>289</v>
      </c>
      <c r="N1365" s="7" t="s">
        <v>9159</v>
      </c>
      <c r="O1365" s="7" t="s">
        <v>0</v>
      </c>
      <c r="P1365" s="7" t="s">
        <v>289</v>
      </c>
      <c r="Q1365" s="7" t="s">
        <v>9161</v>
      </c>
      <c r="R1365" s="7" t="s">
        <v>338</v>
      </c>
      <c r="S1365" s="7" t="s">
        <v>590</v>
      </c>
      <c r="T1365" s="7" t="s">
        <v>54</v>
      </c>
      <c r="U1365" s="7" t="s">
        <v>591</v>
      </c>
      <c r="V1365" s="7" t="s">
        <v>340</v>
      </c>
      <c r="W1365" s="7" t="s">
        <v>74</v>
      </c>
      <c r="X1365" s="7" t="s">
        <v>223</v>
      </c>
      <c r="Y1365" s="8">
        <v>44865</v>
      </c>
      <c r="Z1365" s="8" t="s">
        <v>0</v>
      </c>
      <c r="AA1365" s="7" t="s">
        <v>341</v>
      </c>
      <c r="AB1365" s="7" t="s">
        <v>300</v>
      </c>
      <c r="AC1365" s="7" t="s">
        <v>65</v>
      </c>
      <c r="AD1365" s="7" t="s">
        <v>0</v>
      </c>
      <c r="AE1365" s="7" t="s">
        <v>0</v>
      </c>
      <c r="AF1365" s="7" t="s">
        <v>0</v>
      </c>
      <c r="AG1365" s="7" t="s">
        <v>0</v>
      </c>
      <c r="AH1365" s="9" t="s">
        <v>0</v>
      </c>
      <c r="AI1365" s="9" t="s">
        <v>0</v>
      </c>
      <c r="AJ1365" s="9" t="s">
        <v>0</v>
      </c>
      <c r="AK1365" s="7" t="s">
        <v>61</v>
      </c>
      <c r="AL1365" s="7" t="s">
        <v>61</v>
      </c>
      <c r="AM1365" s="7" t="s">
        <v>0</v>
      </c>
      <c r="AN1365" s="7" t="s">
        <v>0</v>
      </c>
      <c r="AO1365" s="7" t="s">
        <v>0</v>
      </c>
      <c r="AP1365" s="7" t="s">
        <v>0</v>
      </c>
      <c r="AQ1365" s="7" t="s">
        <v>61</v>
      </c>
      <c r="AR1365" s="7" t="s">
        <v>0</v>
      </c>
      <c r="AS1365" s="10" t="str">
        <f>HYPERLINK("https://tessa.gazprom-neft.local/edo/card/47966c2c-2c85-446e-964f-28fff871eb7d", "https://tessa.gazprom-neft.local/edo/card/47966c2c-2c85-446e-964f-28fff871eb7d")</f>
        <v>https://tessa.gazprom-neft.local/edo/card/47966c2c-2c85-446e-964f-28fff871eb7d</v>
      </c>
    </row>
    <row r="1366" spans="1:45" hidden="1" x14ac:dyDescent="0.25">
      <c r="A1366" s="6" t="s">
        <v>44</v>
      </c>
      <c r="B1366" s="7" t="s">
        <v>592</v>
      </c>
      <c r="C1366" s="7" t="s">
        <v>67</v>
      </c>
      <c r="D1366" s="8">
        <v>44865</v>
      </c>
      <c r="E1366" s="8" t="s">
        <v>0</v>
      </c>
      <c r="F1366" s="16" t="s">
        <v>593</v>
      </c>
      <c r="G1366" s="7" t="s">
        <v>594</v>
      </c>
      <c r="H1366" s="7" t="s">
        <v>0</v>
      </c>
      <c r="I1366" s="7" t="s">
        <v>9163</v>
      </c>
      <c r="J1366" s="7" t="s">
        <v>9163</v>
      </c>
      <c r="K1366" s="7" t="s">
        <v>85</v>
      </c>
      <c r="L1366" s="7" t="s">
        <v>86</v>
      </c>
      <c r="M1366" s="7" t="s">
        <v>83</v>
      </c>
      <c r="N1366" s="7" t="s">
        <v>9162</v>
      </c>
      <c r="O1366" s="7" t="s">
        <v>0</v>
      </c>
      <c r="P1366" s="7" t="s">
        <v>83</v>
      </c>
      <c r="Q1366" s="7" t="s">
        <v>9164</v>
      </c>
      <c r="R1366" s="7" t="s">
        <v>338</v>
      </c>
      <c r="S1366" s="7" t="s">
        <v>590</v>
      </c>
      <c r="T1366" s="7" t="s">
        <v>54</v>
      </c>
      <c r="U1366" s="7" t="s">
        <v>591</v>
      </c>
      <c r="V1366" s="7" t="s">
        <v>91</v>
      </c>
      <c r="W1366" s="7" t="s">
        <v>74</v>
      </c>
      <c r="X1366" s="7" t="s">
        <v>58</v>
      </c>
      <c r="Y1366" s="8">
        <v>44865</v>
      </c>
      <c r="Z1366" s="8" t="s">
        <v>0</v>
      </c>
      <c r="AA1366" s="7" t="s">
        <v>92</v>
      </c>
      <c r="AB1366" s="7" t="s">
        <v>94</v>
      </c>
      <c r="AC1366" s="7" t="s">
        <v>65</v>
      </c>
      <c r="AD1366" s="7" t="s">
        <v>0</v>
      </c>
      <c r="AE1366" s="7" t="s">
        <v>0</v>
      </c>
      <c r="AF1366" s="7" t="s">
        <v>0</v>
      </c>
      <c r="AG1366" s="7" t="s">
        <v>0</v>
      </c>
      <c r="AH1366" s="9" t="s">
        <v>0</v>
      </c>
      <c r="AI1366" s="9" t="s">
        <v>0</v>
      </c>
      <c r="AJ1366" s="9" t="s">
        <v>0</v>
      </c>
      <c r="AK1366" s="7" t="s">
        <v>61</v>
      </c>
      <c r="AL1366" s="7" t="s">
        <v>61</v>
      </c>
      <c r="AM1366" s="7" t="s">
        <v>0</v>
      </c>
      <c r="AN1366" s="7" t="s">
        <v>0</v>
      </c>
      <c r="AO1366" s="7" t="s">
        <v>0</v>
      </c>
      <c r="AP1366" s="7" t="s">
        <v>0</v>
      </c>
      <c r="AQ1366" s="7" t="s">
        <v>61</v>
      </c>
      <c r="AR1366" s="7" t="s">
        <v>0</v>
      </c>
      <c r="AS1366" s="10" t="str">
        <f>HYPERLINK("https://tessa.gazprom-neft.local/edo/card/0d82c564-59a7-4391-8921-19adcceae608", "https://tessa.gazprom-neft.local/edo/card/0d82c564-59a7-4391-8921-19adcceae608")</f>
        <v>https://tessa.gazprom-neft.local/edo/card/0d82c564-59a7-4391-8921-19adcceae608</v>
      </c>
    </row>
    <row r="1367" spans="1:45" hidden="1" x14ac:dyDescent="0.25">
      <c r="A1367" s="6" t="s">
        <v>44</v>
      </c>
      <c r="B1367" s="7" t="s">
        <v>1140</v>
      </c>
      <c r="C1367" s="7" t="s">
        <v>67</v>
      </c>
      <c r="D1367" s="8">
        <v>44865</v>
      </c>
      <c r="E1367" s="8" t="s">
        <v>0</v>
      </c>
      <c r="F1367" s="16" t="s">
        <v>1141</v>
      </c>
      <c r="G1367" s="7" t="s">
        <v>1142</v>
      </c>
      <c r="H1367" s="7" t="s">
        <v>0</v>
      </c>
      <c r="I1367" s="7" t="s">
        <v>1136</v>
      </c>
      <c r="J1367" s="7" t="s">
        <v>1136</v>
      </c>
      <c r="K1367" s="7" t="s">
        <v>85</v>
      </c>
      <c r="L1367" s="7" t="s">
        <v>96</v>
      </c>
      <c r="M1367" s="7" t="s">
        <v>8315</v>
      </c>
      <c r="N1367" s="7" t="s">
        <v>9421</v>
      </c>
      <c r="O1367" s="7" t="s">
        <v>0</v>
      </c>
      <c r="P1367" s="7" t="s">
        <v>8315</v>
      </c>
      <c r="Q1367" s="7" t="s">
        <v>9422</v>
      </c>
      <c r="R1367" s="7" t="s">
        <v>768</v>
      </c>
      <c r="S1367" s="7" t="s">
        <v>1066</v>
      </c>
      <c r="T1367" s="7" t="s">
        <v>54</v>
      </c>
      <c r="U1367" s="7" t="s">
        <v>362</v>
      </c>
      <c r="V1367" s="7" t="s">
        <v>102</v>
      </c>
      <c r="W1367" s="7" t="s">
        <v>74</v>
      </c>
      <c r="X1367" s="7" t="s">
        <v>103</v>
      </c>
      <c r="Y1367" s="8">
        <v>44865</v>
      </c>
      <c r="Z1367" s="8">
        <v>46387</v>
      </c>
      <c r="AA1367" s="7" t="s">
        <v>104</v>
      </c>
      <c r="AB1367" s="7" t="s">
        <v>1143</v>
      </c>
      <c r="AC1367" s="7" t="s">
        <v>79</v>
      </c>
      <c r="AD1367" s="7" t="s">
        <v>80</v>
      </c>
      <c r="AE1367" s="7" t="s">
        <v>82</v>
      </c>
      <c r="AF1367" s="7" t="s">
        <v>0</v>
      </c>
      <c r="AG1367" s="7" t="s">
        <v>9423</v>
      </c>
      <c r="AH1367" s="9" t="s">
        <v>13923</v>
      </c>
      <c r="AI1367" s="9" t="s">
        <v>13924</v>
      </c>
      <c r="AJ1367" s="9" t="s">
        <v>13925</v>
      </c>
      <c r="AK1367" s="7" t="s">
        <v>81</v>
      </c>
      <c r="AL1367" s="7" t="s">
        <v>61</v>
      </c>
      <c r="AM1367" s="7" t="s">
        <v>0</v>
      </c>
      <c r="AN1367" s="7" t="s">
        <v>0</v>
      </c>
      <c r="AO1367" s="7" t="s">
        <v>0</v>
      </c>
      <c r="AP1367" s="7" t="s">
        <v>0</v>
      </c>
      <c r="AQ1367" s="7" t="s">
        <v>61</v>
      </c>
      <c r="AR1367" s="7" t="s">
        <v>0</v>
      </c>
      <c r="AS1367" s="10" t="str">
        <f>HYPERLINK("https://tessa.gazprom-neft.local/edo/card/d4547ddb-49e7-461a-b6eb-32c29d2f7e85", "https://tessa.gazprom-neft.local/edo/card/d4547ddb-49e7-461a-b6eb-32c29d2f7e85")</f>
        <v>https://tessa.gazprom-neft.local/edo/card/d4547ddb-49e7-461a-b6eb-32c29d2f7e85</v>
      </c>
    </row>
    <row r="1368" spans="1:45" x14ac:dyDescent="0.25">
      <c r="A1368" s="6" t="s">
        <v>44</v>
      </c>
      <c r="B1368" s="7" t="s">
        <v>1101</v>
      </c>
      <c r="C1368" s="7" t="s">
        <v>67</v>
      </c>
      <c r="D1368" s="8">
        <v>44865</v>
      </c>
      <c r="E1368" s="8" t="s">
        <v>0</v>
      </c>
      <c r="F1368" s="16" t="s">
        <v>1102</v>
      </c>
      <c r="G1368" s="7" t="s">
        <v>1103</v>
      </c>
      <c r="H1368" s="7" t="s">
        <v>2522</v>
      </c>
      <c r="I1368" s="7" t="s">
        <v>0</v>
      </c>
      <c r="J1368" s="7" t="s">
        <v>872</v>
      </c>
      <c r="K1368" s="7" t="s">
        <v>47</v>
      </c>
      <c r="L1368" s="7" t="s">
        <v>48</v>
      </c>
      <c r="M1368" s="7" t="s">
        <v>0</v>
      </c>
      <c r="N1368" s="7" t="s">
        <v>9506</v>
      </c>
      <c r="O1368" s="7" t="s">
        <v>0</v>
      </c>
      <c r="P1368" s="7" t="s">
        <v>9507</v>
      </c>
      <c r="Q1368" s="7" t="s">
        <v>9508</v>
      </c>
      <c r="R1368" s="7" t="s">
        <v>3298</v>
      </c>
      <c r="S1368" s="7" t="s">
        <v>3298</v>
      </c>
      <c r="T1368" s="7" t="s">
        <v>54</v>
      </c>
      <c r="U1368" s="7" t="s">
        <v>1100</v>
      </c>
      <c r="V1368" s="7" t="s">
        <v>91</v>
      </c>
      <c r="W1368" s="7" t="s">
        <v>74</v>
      </c>
      <c r="X1368" s="7" t="s">
        <v>103</v>
      </c>
      <c r="Y1368" s="8">
        <v>44866</v>
      </c>
      <c r="Z1368" s="8">
        <v>44926</v>
      </c>
      <c r="AA1368" s="7" t="s">
        <v>92</v>
      </c>
      <c r="AB1368" s="7" t="s">
        <v>64</v>
      </c>
      <c r="AC1368" s="7" t="s">
        <v>79</v>
      </c>
      <c r="AD1368" s="7" t="s">
        <v>144</v>
      </c>
      <c r="AE1368" s="7" t="s">
        <v>118</v>
      </c>
      <c r="AF1368" s="7" t="s">
        <v>0</v>
      </c>
      <c r="AG1368" s="7" t="s">
        <v>0</v>
      </c>
      <c r="AH1368" s="9" t="s">
        <v>13962</v>
      </c>
      <c r="AI1368" s="9" t="s">
        <v>13962</v>
      </c>
      <c r="AJ1368" s="9">
        <v>0</v>
      </c>
      <c r="AK1368" s="7" t="s">
        <v>61</v>
      </c>
      <c r="AL1368" s="7" t="s">
        <v>61</v>
      </c>
      <c r="AM1368" s="7" t="s">
        <v>0</v>
      </c>
      <c r="AN1368" s="7" t="s">
        <v>0</v>
      </c>
      <c r="AO1368" s="7" t="s">
        <v>0</v>
      </c>
      <c r="AP1368" s="7" t="s">
        <v>0</v>
      </c>
      <c r="AQ1368" s="7" t="s">
        <v>61</v>
      </c>
      <c r="AR1368" s="7" t="s">
        <v>0</v>
      </c>
      <c r="AS1368" s="10" t="str">
        <f>HYPERLINK("https://tessa.gazprom-neft.local/edo/card/10dba834-7a92-426a-9c05-8202cc760065", "https://tessa.gazprom-neft.local/edo/card/10dba834-7a92-426a-9c05-8202cc760065")</f>
        <v>https://tessa.gazprom-neft.local/edo/card/10dba834-7a92-426a-9c05-8202cc760065</v>
      </c>
    </row>
    <row r="1369" spans="1:45" x14ac:dyDescent="0.25">
      <c r="A1369" s="6" t="s">
        <v>44</v>
      </c>
      <c r="B1369" s="7" t="s">
        <v>1593</v>
      </c>
      <c r="C1369" s="7" t="s">
        <v>67</v>
      </c>
      <c r="D1369" s="8">
        <v>44865</v>
      </c>
      <c r="E1369" s="8" t="s">
        <v>0</v>
      </c>
      <c r="F1369" s="16" t="s">
        <v>1594</v>
      </c>
      <c r="G1369" s="7" t="s">
        <v>1595</v>
      </c>
      <c r="H1369" s="7" t="s">
        <v>9584</v>
      </c>
      <c r="I1369" s="7" t="s">
        <v>0</v>
      </c>
      <c r="J1369" s="7" t="s">
        <v>70</v>
      </c>
      <c r="K1369" s="7" t="s">
        <v>47</v>
      </c>
      <c r="L1369" s="7" t="s">
        <v>48</v>
      </c>
      <c r="M1369" s="7" t="s">
        <v>0</v>
      </c>
      <c r="N1369" s="7" t="s">
        <v>9583</v>
      </c>
      <c r="O1369" s="7" t="s">
        <v>0</v>
      </c>
      <c r="P1369" s="7" t="s">
        <v>9585</v>
      </c>
      <c r="Q1369" s="7" t="s">
        <v>9586</v>
      </c>
      <c r="R1369" s="7" t="s">
        <v>1575</v>
      </c>
      <c r="S1369" s="7" t="s">
        <v>381</v>
      </c>
      <c r="T1369" s="7" t="s">
        <v>54</v>
      </c>
      <c r="U1369" s="7" t="s">
        <v>222</v>
      </c>
      <c r="V1369" s="7" t="s">
        <v>126</v>
      </c>
      <c r="W1369" s="7" t="s">
        <v>57</v>
      </c>
      <c r="X1369" s="7" t="s">
        <v>58</v>
      </c>
      <c r="Y1369" s="8">
        <v>44865</v>
      </c>
      <c r="Z1369" s="8" t="s">
        <v>0</v>
      </c>
      <c r="AA1369" s="7" t="s">
        <v>224</v>
      </c>
      <c r="AB1369" s="7" t="s">
        <v>387</v>
      </c>
      <c r="AC1369" s="7" t="s">
        <v>65</v>
      </c>
      <c r="AD1369" s="7" t="s">
        <v>0</v>
      </c>
      <c r="AE1369" s="7" t="s">
        <v>0</v>
      </c>
      <c r="AF1369" s="7" t="s">
        <v>0</v>
      </c>
      <c r="AG1369" s="7" t="s">
        <v>0</v>
      </c>
      <c r="AH1369" s="9" t="s">
        <v>0</v>
      </c>
      <c r="AI1369" s="9" t="s">
        <v>0</v>
      </c>
      <c r="AJ1369" s="9" t="s">
        <v>0</v>
      </c>
      <c r="AK1369" s="7" t="s">
        <v>61</v>
      </c>
      <c r="AL1369" s="7" t="s">
        <v>61</v>
      </c>
      <c r="AM1369" s="7" t="s">
        <v>0</v>
      </c>
      <c r="AN1369" s="7" t="s">
        <v>0</v>
      </c>
      <c r="AO1369" s="7" t="s">
        <v>0</v>
      </c>
      <c r="AP1369" s="7" t="s">
        <v>0</v>
      </c>
      <c r="AQ1369" s="7" t="s">
        <v>61</v>
      </c>
      <c r="AR1369" s="7" t="s">
        <v>0</v>
      </c>
      <c r="AS1369" s="10" t="str">
        <f>HYPERLINK("https://tessa.gazprom-neft.local/edo/card/b405733d-c864-4aba-b8d9-621d45d5a3b5", "https://tessa.gazprom-neft.local/edo/card/b405733d-c864-4aba-b8d9-621d45d5a3b5")</f>
        <v>https://tessa.gazprom-neft.local/edo/card/b405733d-c864-4aba-b8d9-621d45d5a3b5</v>
      </c>
    </row>
    <row r="1370" spans="1:45" x14ac:dyDescent="0.25">
      <c r="A1370" s="6" t="s">
        <v>44</v>
      </c>
      <c r="B1370" s="7" t="s">
        <v>737</v>
      </c>
      <c r="C1370" s="7" t="s">
        <v>67</v>
      </c>
      <c r="D1370" s="8">
        <v>44865</v>
      </c>
      <c r="E1370" s="8" t="s">
        <v>0</v>
      </c>
      <c r="F1370" s="16" t="s">
        <v>738</v>
      </c>
      <c r="G1370" s="7" t="s">
        <v>739</v>
      </c>
      <c r="H1370" s="7" t="s">
        <v>2169</v>
      </c>
      <c r="I1370" s="7" t="s">
        <v>0</v>
      </c>
      <c r="J1370" s="7" t="s">
        <v>271</v>
      </c>
      <c r="K1370" s="7" t="s">
        <v>47</v>
      </c>
      <c r="L1370" s="7" t="s">
        <v>48</v>
      </c>
      <c r="M1370" s="7" t="s">
        <v>0</v>
      </c>
      <c r="N1370" s="7" t="s">
        <v>9598</v>
      </c>
      <c r="O1370" s="7" t="s">
        <v>0</v>
      </c>
      <c r="P1370" s="7" t="s">
        <v>9599</v>
      </c>
      <c r="Q1370" s="7" t="s">
        <v>9600</v>
      </c>
      <c r="R1370" s="7" t="s">
        <v>505</v>
      </c>
      <c r="S1370" s="7" t="s">
        <v>505</v>
      </c>
      <c r="T1370" s="7" t="s">
        <v>54</v>
      </c>
      <c r="U1370" s="7" t="s">
        <v>210</v>
      </c>
      <c r="V1370" s="7" t="s">
        <v>917</v>
      </c>
      <c r="W1370" s="7" t="s">
        <v>57</v>
      </c>
      <c r="X1370" s="7" t="s">
        <v>103</v>
      </c>
      <c r="Y1370" s="8">
        <v>44865</v>
      </c>
      <c r="Z1370" s="8">
        <v>45291</v>
      </c>
      <c r="AA1370" s="7" t="s">
        <v>1278</v>
      </c>
      <c r="AB1370" s="7" t="s">
        <v>130</v>
      </c>
      <c r="AC1370" s="7" t="s">
        <v>79</v>
      </c>
      <c r="AD1370" s="7" t="s">
        <v>80</v>
      </c>
      <c r="AE1370" s="7" t="s">
        <v>82</v>
      </c>
      <c r="AF1370" s="7" t="s">
        <v>0</v>
      </c>
      <c r="AG1370" s="7" t="s">
        <v>0</v>
      </c>
      <c r="AH1370" s="9" t="s">
        <v>14001</v>
      </c>
      <c r="AI1370" s="9" t="s">
        <v>14002</v>
      </c>
      <c r="AJ1370" s="9" t="s">
        <v>14003</v>
      </c>
      <c r="AK1370" s="7" t="s">
        <v>61</v>
      </c>
      <c r="AL1370" s="7" t="s">
        <v>61</v>
      </c>
      <c r="AM1370" s="7" t="s">
        <v>0</v>
      </c>
      <c r="AN1370" s="7" t="s">
        <v>0</v>
      </c>
      <c r="AO1370" s="7" t="s">
        <v>0</v>
      </c>
      <c r="AP1370" s="7" t="s">
        <v>0</v>
      </c>
      <c r="AQ1370" s="7" t="s">
        <v>61</v>
      </c>
      <c r="AR1370" s="7" t="s">
        <v>0</v>
      </c>
      <c r="AS1370" s="10" t="str">
        <f>HYPERLINK("https://tessa.gazprom-neft.local/edo/card/84a4c561-bc09-449a-b64b-690ef5c8f24f", "https://tessa.gazprom-neft.local/edo/card/84a4c561-bc09-449a-b64b-690ef5c8f24f")</f>
        <v>https://tessa.gazprom-neft.local/edo/card/84a4c561-bc09-449a-b64b-690ef5c8f24f</v>
      </c>
    </row>
    <row r="1371" spans="1:45" hidden="1" x14ac:dyDescent="0.25">
      <c r="A1371" s="6" t="s">
        <v>44</v>
      </c>
      <c r="B1371" s="7" t="s">
        <v>1140</v>
      </c>
      <c r="C1371" s="7" t="s">
        <v>67</v>
      </c>
      <c r="D1371" s="8">
        <v>44865</v>
      </c>
      <c r="E1371" s="8" t="s">
        <v>0</v>
      </c>
      <c r="F1371" s="16" t="s">
        <v>1141</v>
      </c>
      <c r="G1371" s="7" t="s">
        <v>1142</v>
      </c>
      <c r="H1371" s="7" t="s">
        <v>0</v>
      </c>
      <c r="I1371" s="7" t="s">
        <v>5147</v>
      </c>
      <c r="J1371" s="7" t="s">
        <v>5147</v>
      </c>
      <c r="K1371" s="7" t="s">
        <v>85</v>
      </c>
      <c r="L1371" s="7" t="s">
        <v>86</v>
      </c>
      <c r="M1371" s="7" t="s">
        <v>216</v>
      </c>
      <c r="N1371" s="7" t="s">
        <v>9653</v>
      </c>
      <c r="O1371" s="7" t="s">
        <v>0</v>
      </c>
      <c r="P1371" s="7" t="s">
        <v>216</v>
      </c>
      <c r="Q1371" s="7" t="s">
        <v>9654</v>
      </c>
      <c r="R1371" s="7" t="s">
        <v>768</v>
      </c>
      <c r="S1371" s="7" t="s">
        <v>9655</v>
      </c>
      <c r="T1371" s="7" t="s">
        <v>54</v>
      </c>
      <c r="U1371" s="7" t="s">
        <v>362</v>
      </c>
      <c r="V1371" s="7" t="s">
        <v>102</v>
      </c>
      <c r="W1371" s="7" t="s">
        <v>74</v>
      </c>
      <c r="X1371" s="7" t="s">
        <v>103</v>
      </c>
      <c r="Y1371" s="8">
        <v>44865</v>
      </c>
      <c r="Z1371" s="8">
        <v>46387</v>
      </c>
      <c r="AA1371" s="7" t="s">
        <v>104</v>
      </c>
      <c r="AB1371" s="7" t="s">
        <v>228</v>
      </c>
      <c r="AC1371" s="7" t="s">
        <v>65</v>
      </c>
      <c r="AD1371" s="7" t="s">
        <v>0</v>
      </c>
      <c r="AE1371" s="7" t="s">
        <v>0</v>
      </c>
      <c r="AF1371" s="7" t="s">
        <v>0</v>
      </c>
      <c r="AG1371" s="7" t="s">
        <v>0</v>
      </c>
      <c r="AH1371" s="9" t="s">
        <v>0</v>
      </c>
      <c r="AI1371" s="9" t="s">
        <v>0</v>
      </c>
      <c r="AJ1371" s="9" t="s">
        <v>0</v>
      </c>
      <c r="AK1371" s="7" t="s">
        <v>61</v>
      </c>
      <c r="AL1371" s="7" t="s">
        <v>61</v>
      </c>
      <c r="AM1371" s="7" t="s">
        <v>0</v>
      </c>
      <c r="AN1371" s="7" t="s">
        <v>0</v>
      </c>
      <c r="AO1371" s="7" t="s">
        <v>0</v>
      </c>
      <c r="AP1371" s="7" t="s">
        <v>0</v>
      </c>
      <c r="AQ1371" s="7" t="s">
        <v>61</v>
      </c>
      <c r="AR1371" s="7" t="s">
        <v>0</v>
      </c>
      <c r="AS1371" s="10" t="str">
        <f>HYPERLINK("https://tessa.gazprom-neft.local/edo/card/e65da189-5d43-4550-b786-eeedc193d701", "https://tessa.gazprom-neft.local/edo/card/e65da189-5d43-4550-b786-eeedc193d701")</f>
        <v>https://tessa.gazprom-neft.local/edo/card/e65da189-5d43-4550-b786-eeedc193d701</v>
      </c>
    </row>
    <row r="1372" spans="1:45" hidden="1" x14ac:dyDescent="0.25">
      <c r="A1372" s="6" t="s">
        <v>44</v>
      </c>
      <c r="B1372" s="7" t="s">
        <v>2898</v>
      </c>
      <c r="C1372" s="7" t="s">
        <v>67</v>
      </c>
      <c r="D1372" s="8">
        <v>44861</v>
      </c>
      <c r="E1372" s="8" t="s">
        <v>0</v>
      </c>
      <c r="F1372" s="16" t="s">
        <v>2899</v>
      </c>
      <c r="G1372" s="7" t="s">
        <v>2900</v>
      </c>
      <c r="H1372" s="7" t="s">
        <v>0</v>
      </c>
      <c r="I1372" s="7" t="s">
        <v>9650</v>
      </c>
      <c r="J1372" s="7" t="s">
        <v>9650</v>
      </c>
      <c r="K1372" s="7" t="s">
        <v>85</v>
      </c>
      <c r="L1372" s="7" t="s">
        <v>96</v>
      </c>
      <c r="M1372" s="7" t="s">
        <v>9648</v>
      </c>
      <c r="N1372" s="7" t="s">
        <v>9649</v>
      </c>
      <c r="O1372" s="7" t="s">
        <v>0</v>
      </c>
      <c r="P1372" s="7" t="s">
        <v>9648</v>
      </c>
      <c r="Q1372" s="7" t="s">
        <v>9651</v>
      </c>
      <c r="R1372" s="7" t="s">
        <v>590</v>
      </c>
      <c r="S1372" s="7" t="s">
        <v>394</v>
      </c>
      <c r="T1372" s="7" t="s">
        <v>54</v>
      </c>
      <c r="U1372" s="7" t="s">
        <v>591</v>
      </c>
      <c r="V1372" s="7" t="s">
        <v>126</v>
      </c>
      <c r="W1372" s="7" t="s">
        <v>57</v>
      </c>
      <c r="X1372" s="7" t="s">
        <v>58</v>
      </c>
      <c r="Y1372" s="8">
        <v>44861</v>
      </c>
      <c r="Z1372" s="8" t="s">
        <v>0</v>
      </c>
      <c r="AA1372" s="7" t="s">
        <v>224</v>
      </c>
      <c r="AB1372" s="7" t="s">
        <v>387</v>
      </c>
      <c r="AC1372" s="7" t="s">
        <v>79</v>
      </c>
      <c r="AD1372" s="7" t="s">
        <v>80</v>
      </c>
      <c r="AE1372" s="7" t="s">
        <v>82</v>
      </c>
      <c r="AF1372" s="7" t="s">
        <v>0</v>
      </c>
      <c r="AG1372" s="7" t="s">
        <v>0</v>
      </c>
      <c r="AH1372" s="9" t="s">
        <v>14020</v>
      </c>
      <c r="AI1372" s="9" t="s">
        <v>14021</v>
      </c>
      <c r="AJ1372" s="9" t="s">
        <v>14022</v>
      </c>
      <c r="AK1372" s="7" t="s">
        <v>61</v>
      </c>
      <c r="AL1372" s="7" t="s">
        <v>61</v>
      </c>
      <c r="AM1372" s="7" t="s">
        <v>0</v>
      </c>
      <c r="AN1372" s="7" t="s">
        <v>0</v>
      </c>
      <c r="AO1372" s="7" t="s">
        <v>0</v>
      </c>
      <c r="AP1372" s="7" t="s">
        <v>0</v>
      </c>
      <c r="AQ1372" s="7" t="s">
        <v>61</v>
      </c>
      <c r="AR1372" s="7" t="s">
        <v>0</v>
      </c>
      <c r="AS1372" s="10" t="str">
        <f>HYPERLINK("https://tessa.gazprom-neft.local/edo/card/44d8c333-b830-4baa-913a-4a7116c43a57", "https://tessa.gazprom-neft.local/edo/card/44d8c333-b830-4baa-913a-4a7116c43a57")</f>
        <v>https://tessa.gazprom-neft.local/edo/card/44d8c333-b830-4baa-913a-4a7116c43a57</v>
      </c>
    </row>
    <row r="1373" spans="1:45" hidden="1" x14ac:dyDescent="0.25">
      <c r="A1373" s="6" t="s">
        <v>44</v>
      </c>
      <c r="B1373" s="7" t="s">
        <v>661</v>
      </c>
      <c r="C1373" s="7" t="s">
        <v>67</v>
      </c>
      <c r="D1373" s="8">
        <v>44860</v>
      </c>
      <c r="E1373" s="8" t="s">
        <v>0</v>
      </c>
      <c r="F1373" s="16" t="s">
        <v>662</v>
      </c>
      <c r="G1373" s="7" t="s">
        <v>663</v>
      </c>
      <c r="H1373" s="7" t="s">
        <v>6286</v>
      </c>
      <c r="I1373" s="7" t="s">
        <v>0</v>
      </c>
      <c r="J1373" s="7" t="s">
        <v>4838</v>
      </c>
      <c r="K1373" s="7" t="s">
        <v>47</v>
      </c>
      <c r="L1373" s="7" t="s">
        <v>763</v>
      </c>
      <c r="M1373" s="7" t="s">
        <v>0</v>
      </c>
      <c r="N1373" s="7" t="s">
        <v>9591</v>
      </c>
      <c r="O1373" s="7" t="s">
        <v>0</v>
      </c>
      <c r="P1373" s="7" t="s">
        <v>9592</v>
      </c>
      <c r="Q1373" s="7" t="s">
        <v>9593</v>
      </c>
      <c r="R1373" s="7" t="s">
        <v>768</v>
      </c>
      <c r="S1373" s="7" t="s">
        <v>768</v>
      </c>
      <c r="T1373" s="7" t="s">
        <v>54</v>
      </c>
      <c r="U1373" s="7" t="s">
        <v>362</v>
      </c>
      <c r="V1373" s="7" t="s">
        <v>102</v>
      </c>
      <c r="W1373" s="7" t="s">
        <v>74</v>
      </c>
      <c r="X1373" s="7" t="s">
        <v>103</v>
      </c>
      <c r="Y1373" s="8">
        <v>44866</v>
      </c>
      <c r="Z1373" s="8">
        <v>45291</v>
      </c>
      <c r="AA1373" s="7" t="s">
        <v>104</v>
      </c>
      <c r="AB1373" s="7" t="s">
        <v>130</v>
      </c>
      <c r="AC1373" s="7" t="s">
        <v>79</v>
      </c>
      <c r="AD1373" s="7" t="s">
        <v>80</v>
      </c>
      <c r="AE1373" s="7" t="s">
        <v>82</v>
      </c>
      <c r="AF1373" s="7" t="s">
        <v>0</v>
      </c>
      <c r="AG1373" s="7" t="s">
        <v>0</v>
      </c>
      <c r="AH1373" s="9" t="s">
        <v>13995</v>
      </c>
      <c r="AI1373" s="9" t="s">
        <v>13996</v>
      </c>
      <c r="AJ1373" s="9" t="s">
        <v>13997</v>
      </c>
      <c r="AK1373" s="7" t="s">
        <v>61</v>
      </c>
      <c r="AL1373" s="7" t="s">
        <v>61</v>
      </c>
      <c r="AM1373" s="7" t="s">
        <v>0</v>
      </c>
      <c r="AN1373" s="7" t="s">
        <v>0</v>
      </c>
      <c r="AO1373" s="7" t="s">
        <v>0</v>
      </c>
      <c r="AP1373" s="7" t="s">
        <v>0</v>
      </c>
      <c r="AQ1373" s="7" t="s">
        <v>61</v>
      </c>
      <c r="AR1373" s="7" t="s">
        <v>0</v>
      </c>
      <c r="AS1373" s="10" t="str">
        <f>HYPERLINK("https://tessa.gazprom-neft.local/edo/card/b65d1214-c526-4548-b9d6-b74a1ac50ed7", "https://tessa.gazprom-neft.local/edo/card/b65d1214-c526-4548-b9d6-b74a1ac50ed7")</f>
        <v>https://tessa.gazprom-neft.local/edo/card/b65d1214-c526-4548-b9d6-b74a1ac50ed7</v>
      </c>
    </row>
    <row r="1374" spans="1:45" x14ac:dyDescent="0.25">
      <c r="A1374" s="6" t="s">
        <v>44</v>
      </c>
      <c r="B1374" s="7" t="s">
        <v>705</v>
      </c>
      <c r="C1374" s="7" t="s">
        <v>67</v>
      </c>
      <c r="D1374" s="8">
        <v>44858</v>
      </c>
      <c r="E1374" s="8" t="s">
        <v>0</v>
      </c>
      <c r="F1374" s="16" t="s">
        <v>706</v>
      </c>
      <c r="G1374" s="7" t="s">
        <v>707</v>
      </c>
      <c r="H1374" s="7" t="s">
        <v>1597</v>
      </c>
      <c r="I1374" s="7" t="s">
        <v>0</v>
      </c>
      <c r="J1374" s="7" t="s">
        <v>271</v>
      </c>
      <c r="K1374" s="7" t="s">
        <v>47</v>
      </c>
      <c r="L1374" s="7" t="s">
        <v>48</v>
      </c>
      <c r="M1374" s="7" t="s">
        <v>0</v>
      </c>
      <c r="N1374" s="7" t="s">
        <v>9407</v>
      </c>
      <c r="O1374" s="7" t="s">
        <v>0</v>
      </c>
      <c r="P1374" s="7" t="s">
        <v>9408</v>
      </c>
      <c r="Q1374" s="7" t="s">
        <v>9409</v>
      </c>
      <c r="R1374" s="7" t="s">
        <v>282</v>
      </c>
      <c r="S1374" s="7" t="s">
        <v>0</v>
      </c>
      <c r="T1374" s="7" t="s">
        <v>54</v>
      </c>
      <c r="U1374" s="7" t="s">
        <v>55</v>
      </c>
      <c r="V1374" s="7" t="s">
        <v>917</v>
      </c>
      <c r="W1374" s="7" t="s">
        <v>74</v>
      </c>
      <c r="X1374" s="7" t="s">
        <v>103</v>
      </c>
      <c r="Y1374" s="8">
        <v>44858</v>
      </c>
      <c r="Z1374" s="8">
        <v>45657</v>
      </c>
      <c r="AA1374" s="7" t="s">
        <v>1278</v>
      </c>
      <c r="AB1374" s="7" t="s">
        <v>130</v>
      </c>
      <c r="AC1374" s="7" t="s">
        <v>65</v>
      </c>
      <c r="AD1374" s="7" t="s">
        <v>80</v>
      </c>
      <c r="AE1374" s="7" t="s">
        <v>0</v>
      </c>
      <c r="AF1374" s="7" t="s">
        <v>0</v>
      </c>
      <c r="AG1374" s="7" t="s">
        <v>0</v>
      </c>
      <c r="AH1374" s="9" t="s">
        <v>0</v>
      </c>
      <c r="AI1374" s="9" t="s">
        <v>0</v>
      </c>
      <c r="AJ1374" s="9" t="s">
        <v>0</v>
      </c>
      <c r="AK1374" s="7" t="s">
        <v>61</v>
      </c>
      <c r="AL1374" s="7" t="s">
        <v>61</v>
      </c>
      <c r="AM1374" s="7" t="s">
        <v>0</v>
      </c>
      <c r="AN1374" s="7" t="s">
        <v>0</v>
      </c>
      <c r="AO1374" s="7" t="s">
        <v>0</v>
      </c>
      <c r="AP1374" s="7" t="s">
        <v>0</v>
      </c>
      <c r="AQ1374" s="7" t="s">
        <v>61</v>
      </c>
      <c r="AR1374" s="7" t="s">
        <v>0</v>
      </c>
      <c r="AS1374" s="10" t="str">
        <f>HYPERLINK("https://tessa.gazprom-neft.local/edo/card/df88dbb6-e72c-4b2d-b2d9-9f773f32274c", "https://tessa.gazprom-neft.local/edo/card/df88dbb6-e72c-4b2d-b2d9-9f773f32274c")</f>
        <v>https://tessa.gazprom-neft.local/edo/card/df88dbb6-e72c-4b2d-b2d9-9f773f32274c</v>
      </c>
    </row>
    <row r="1375" spans="1:45" x14ac:dyDescent="0.25">
      <c r="A1375" s="6" t="s">
        <v>44</v>
      </c>
      <c r="B1375" s="7" t="s">
        <v>127</v>
      </c>
      <c r="C1375" s="7" t="s">
        <v>67</v>
      </c>
      <c r="D1375" s="8">
        <v>44858</v>
      </c>
      <c r="E1375" s="8" t="s">
        <v>0</v>
      </c>
      <c r="F1375" s="16" t="s">
        <v>128</v>
      </c>
      <c r="G1375" s="7" t="s">
        <v>129</v>
      </c>
      <c r="H1375" s="7" t="s">
        <v>1661</v>
      </c>
      <c r="I1375" s="7" t="s">
        <v>0</v>
      </c>
      <c r="J1375" s="7" t="s">
        <v>1098</v>
      </c>
      <c r="K1375" s="7" t="s">
        <v>85</v>
      </c>
      <c r="L1375" s="7" t="s">
        <v>48</v>
      </c>
      <c r="M1375" s="7" t="s">
        <v>9463</v>
      </c>
      <c r="N1375" s="7" t="s">
        <v>9485</v>
      </c>
      <c r="O1375" s="7" t="s">
        <v>0</v>
      </c>
      <c r="P1375" s="7" t="s">
        <v>9486</v>
      </c>
      <c r="Q1375" s="7" t="s">
        <v>9487</v>
      </c>
      <c r="R1375" s="7" t="s">
        <v>393</v>
      </c>
      <c r="S1375" s="7" t="s">
        <v>1094</v>
      </c>
      <c r="T1375" s="7" t="s">
        <v>54</v>
      </c>
      <c r="U1375" s="7" t="s">
        <v>210</v>
      </c>
      <c r="V1375" s="7" t="s">
        <v>126</v>
      </c>
      <c r="W1375" s="7" t="s">
        <v>74</v>
      </c>
      <c r="X1375" s="7" t="s">
        <v>223</v>
      </c>
      <c r="Y1375" s="8">
        <v>44858</v>
      </c>
      <c r="Z1375" s="8" t="s">
        <v>0</v>
      </c>
      <c r="AA1375" s="7" t="s">
        <v>224</v>
      </c>
      <c r="AB1375" s="7" t="s">
        <v>1698</v>
      </c>
      <c r="AC1375" s="7" t="s">
        <v>65</v>
      </c>
      <c r="AD1375" s="7" t="s">
        <v>514</v>
      </c>
      <c r="AE1375" s="7" t="s">
        <v>0</v>
      </c>
      <c r="AF1375" s="7" t="s">
        <v>0</v>
      </c>
      <c r="AG1375" s="7" t="s">
        <v>0</v>
      </c>
      <c r="AH1375" s="9" t="s">
        <v>0</v>
      </c>
      <c r="AI1375" s="9" t="s">
        <v>0</v>
      </c>
      <c r="AJ1375" s="9" t="s">
        <v>0</v>
      </c>
      <c r="AK1375" s="7" t="s">
        <v>61</v>
      </c>
      <c r="AL1375" s="7" t="s">
        <v>61</v>
      </c>
      <c r="AM1375" s="7" t="s">
        <v>0</v>
      </c>
      <c r="AN1375" s="7" t="s">
        <v>0</v>
      </c>
      <c r="AO1375" s="7" t="s">
        <v>0</v>
      </c>
      <c r="AP1375" s="7" t="s">
        <v>0</v>
      </c>
      <c r="AQ1375" s="7" t="s">
        <v>61</v>
      </c>
      <c r="AR1375" s="7" t="s">
        <v>0</v>
      </c>
      <c r="AS1375" s="10" t="str">
        <f>HYPERLINK("https://tessa.gazprom-neft.local/edo/card/0e9d6c25-2b1f-48df-96b9-c2b5d9eca8d8", "https://tessa.gazprom-neft.local/edo/card/0e9d6c25-2b1f-48df-96b9-c2b5d9eca8d8")</f>
        <v>https://tessa.gazprom-neft.local/edo/card/0e9d6c25-2b1f-48df-96b9-c2b5d9eca8d8</v>
      </c>
    </row>
    <row r="1376" spans="1:45" hidden="1" x14ac:dyDescent="0.25">
      <c r="A1376" s="6" t="s">
        <v>44</v>
      </c>
      <c r="B1376" s="7" t="s">
        <v>9500</v>
      </c>
      <c r="C1376" s="7" t="s">
        <v>67</v>
      </c>
      <c r="D1376" s="8">
        <v>44858</v>
      </c>
      <c r="E1376" s="8" t="s">
        <v>0</v>
      </c>
      <c r="F1376" s="16" t="s">
        <v>9501</v>
      </c>
      <c r="G1376" s="7" t="s">
        <v>9502</v>
      </c>
      <c r="H1376" s="7" t="s">
        <v>0</v>
      </c>
      <c r="I1376" s="7" t="s">
        <v>9498</v>
      </c>
      <c r="J1376" s="7" t="s">
        <v>9498</v>
      </c>
      <c r="K1376" s="7" t="s">
        <v>47</v>
      </c>
      <c r="L1376" s="7" t="s">
        <v>86</v>
      </c>
      <c r="M1376" s="7" t="s">
        <v>0</v>
      </c>
      <c r="N1376" s="7" t="s">
        <v>9497</v>
      </c>
      <c r="O1376" s="7" t="s">
        <v>0</v>
      </c>
      <c r="P1376" s="7" t="s">
        <v>1414</v>
      </c>
      <c r="Q1376" s="7" t="s">
        <v>9499</v>
      </c>
      <c r="R1376" s="7" t="s">
        <v>282</v>
      </c>
      <c r="S1376" s="7" t="s">
        <v>0</v>
      </c>
      <c r="T1376" s="7" t="s">
        <v>54</v>
      </c>
      <c r="U1376" s="7" t="s">
        <v>55</v>
      </c>
      <c r="V1376" s="7" t="s">
        <v>56</v>
      </c>
      <c r="W1376" s="7" t="s">
        <v>57</v>
      </c>
      <c r="X1376" s="7" t="s">
        <v>103</v>
      </c>
      <c r="Y1376" s="8">
        <v>44858</v>
      </c>
      <c r="Z1376" s="8">
        <v>45291</v>
      </c>
      <c r="AA1376" s="7" t="s">
        <v>0</v>
      </c>
      <c r="AB1376" s="7" t="s">
        <v>1419</v>
      </c>
      <c r="AC1376" s="7" t="s">
        <v>65</v>
      </c>
      <c r="AD1376" s="7" t="s">
        <v>0</v>
      </c>
      <c r="AE1376" s="7" t="s">
        <v>0</v>
      </c>
      <c r="AF1376" s="7" t="s">
        <v>0</v>
      </c>
      <c r="AG1376" s="7" t="s">
        <v>0</v>
      </c>
      <c r="AH1376" s="9" t="s">
        <v>0</v>
      </c>
      <c r="AI1376" s="9" t="s">
        <v>0</v>
      </c>
      <c r="AJ1376" s="9" t="s">
        <v>0</v>
      </c>
      <c r="AK1376" s="7" t="s">
        <v>61</v>
      </c>
      <c r="AL1376" s="7" t="s">
        <v>61</v>
      </c>
      <c r="AM1376" s="7" t="s">
        <v>0</v>
      </c>
      <c r="AN1376" s="7" t="s">
        <v>0</v>
      </c>
      <c r="AO1376" s="7" t="s">
        <v>0</v>
      </c>
      <c r="AP1376" s="7" t="s">
        <v>0</v>
      </c>
      <c r="AQ1376" s="7" t="s">
        <v>61</v>
      </c>
      <c r="AR1376" s="7" t="s">
        <v>0</v>
      </c>
      <c r="AS1376" s="10" t="str">
        <f>HYPERLINK("https://tessa.gazprom-neft.local/edo/card/5e885777-7432-478f-bdce-f268db70e195", "https://tessa.gazprom-neft.local/edo/card/5e885777-7432-478f-bdce-f268db70e195")</f>
        <v>https://tessa.gazprom-neft.local/edo/card/5e885777-7432-478f-bdce-f268db70e195</v>
      </c>
    </row>
    <row r="1377" spans="1:45" x14ac:dyDescent="0.25">
      <c r="A1377" s="6" t="s">
        <v>44</v>
      </c>
      <c r="B1377" s="7" t="s">
        <v>1570</v>
      </c>
      <c r="C1377" s="7" t="s">
        <v>67</v>
      </c>
      <c r="D1377" s="8">
        <v>44858</v>
      </c>
      <c r="E1377" s="8" t="s">
        <v>0</v>
      </c>
      <c r="F1377" s="16" t="s">
        <v>9551</v>
      </c>
      <c r="G1377" s="7" t="s">
        <v>0</v>
      </c>
      <c r="H1377" s="7" t="s">
        <v>9548</v>
      </c>
      <c r="I1377" s="7" t="s">
        <v>0</v>
      </c>
      <c r="J1377" s="7" t="s">
        <v>271</v>
      </c>
      <c r="K1377" s="7" t="s">
        <v>47</v>
      </c>
      <c r="L1377" s="7" t="s">
        <v>48</v>
      </c>
      <c r="M1377" s="7" t="s">
        <v>0</v>
      </c>
      <c r="N1377" s="7" t="s">
        <v>9547</v>
      </c>
      <c r="O1377" s="7" t="s">
        <v>0</v>
      </c>
      <c r="P1377" s="7" t="s">
        <v>9549</v>
      </c>
      <c r="Q1377" s="7" t="s">
        <v>9550</v>
      </c>
      <c r="R1377" s="7" t="s">
        <v>505</v>
      </c>
      <c r="S1377" s="7" t="s">
        <v>505</v>
      </c>
      <c r="T1377" s="7" t="s">
        <v>54</v>
      </c>
      <c r="U1377" s="7" t="s">
        <v>55</v>
      </c>
      <c r="V1377" s="7" t="s">
        <v>56</v>
      </c>
      <c r="W1377" s="7" t="s">
        <v>57</v>
      </c>
      <c r="X1377" s="7" t="s">
        <v>103</v>
      </c>
      <c r="Y1377" s="8">
        <v>44858</v>
      </c>
      <c r="Z1377" s="8">
        <v>45291</v>
      </c>
      <c r="AA1377" s="7" t="s">
        <v>0</v>
      </c>
      <c r="AB1377" s="7" t="s">
        <v>64</v>
      </c>
      <c r="AC1377" s="7" t="s">
        <v>65</v>
      </c>
      <c r="AD1377" s="7" t="s">
        <v>0</v>
      </c>
      <c r="AE1377" s="7" t="s">
        <v>0</v>
      </c>
      <c r="AF1377" s="7" t="s">
        <v>0</v>
      </c>
      <c r="AG1377" s="7" t="s">
        <v>0</v>
      </c>
      <c r="AH1377" s="9" t="s">
        <v>0</v>
      </c>
      <c r="AI1377" s="9" t="s">
        <v>0</v>
      </c>
      <c r="AJ1377" s="9" t="s">
        <v>0</v>
      </c>
      <c r="AK1377" s="7" t="s">
        <v>61</v>
      </c>
      <c r="AL1377" s="7" t="s">
        <v>61</v>
      </c>
      <c r="AM1377" s="7" t="s">
        <v>0</v>
      </c>
      <c r="AN1377" s="7" t="s">
        <v>0</v>
      </c>
      <c r="AO1377" s="7" t="s">
        <v>0</v>
      </c>
      <c r="AP1377" s="7" t="s">
        <v>0</v>
      </c>
      <c r="AQ1377" s="7" t="s">
        <v>61</v>
      </c>
      <c r="AR1377" s="7" t="s">
        <v>0</v>
      </c>
      <c r="AS1377" s="10" t="str">
        <f>HYPERLINK("https://tessa.gazprom-neft.local/edo/card/95a507e3-0181-4eda-adae-9eb168ec4b0a", "https://tessa.gazprom-neft.local/edo/card/95a507e3-0181-4eda-adae-9eb168ec4b0a")</f>
        <v>https://tessa.gazprom-neft.local/edo/card/95a507e3-0181-4eda-adae-9eb168ec4b0a</v>
      </c>
    </row>
    <row r="1378" spans="1:45" x14ac:dyDescent="0.25">
      <c r="A1378" s="6" t="s">
        <v>44</v>
      </c>
      <c r="B1378" s="7" t="s">
        <v>1570</v>
      </c>
      <c r="C1378" s="7" t="s">
        <v>67</v>
      </c>
      <c r="D1378" s="8">
        <v>44858</v>
      </c>
      <c r="E1378" s="8" t="s">
        <v>0</v>
      </c>
      <c r="F1378" s="16" t="s">
        <v>9559</v>
      </c>
      <c r="G1378" s="7" t="s">
        <v>0</v>
      </c>
      <c r="H1378" s="7" t="s">
        <v>9556</v>
      </c>
      <c r="I1378" s="7" t="s">
        <v>0</v>
      </c>
      <c r="J1378" s="7" t="s">
        <v>51</v>
      </c>
      <c r="K1378" s="7" t="s">
        <v>47</v>
      </c>
      <c r="L1378" s="7" t="s">
        <v>48</v>
      </c>
      <c r="M1378" s="7" t="s">
        <v>0</v>
      </c>
      <c r="N1378" s="7" t="s">
        <v>9555</v>
      </c>
      <c r="O1378" s="7" t="s">
        <v>0</v>
      </c>
      <c r="P1378" s="7" t="s">
        <v>9557</v>
      </c>
      <c r="Q1378" s="7" t="s">
        <v>9558</v>
      </c>
      <c r="R1378" s="7" t="s">
        <v>505</v>
      </c>
      <c r="S1378" s="7" t="s">
        <v>505</v>
      </c>
      <c r="T1378" s="7" t="s">
        <v>54</v>
      </c>
      <c r="U1378" s="7" t="s">
        <v>55</v>
      </c>
      <c r="V1378" s="7" t="s">
        <v>56</v>
      </c>
      <c r="W1378" s="7" t="s">
        <v>57</v>
      </c>
      <c r="X1378" s="7" t="s">
        <v>103</v>
      </c>
      <c r="Y1378" s="8">
        <v>44858</v>
      </c>
      <c r="Z1378" s="8">
        <v>45291</v>
      </c>
      <c r="AA1378" s="7" t="s">
        <v>0</v>
      </c>
      <c r="AB1378" s="7" t="s">
        <v>64</v>
      </c>
      <c r="AC1378" s="7" t="s">
        <v>65</v>
      </c>
      <c r="AD1378" s="7" t="s">
        <v>0</v>
      </c>
      <c r="AE1378" s="7" t="s">
        <v>0</v>
      </c>
      <c r="AF1378" s="7" t="s">
        <v>0</v>
      </c>
      <c r="AG1378" s="7" t="s">
        <v>0</v>
      </c>
      <c r="AH1378" s="9" t="s">
        <v>0</v>
      </c>
      <c r="AI1378" s="9" t="s">
        <v>0</v>
      </c>
      <c r="AJ1378" s="9" t="s">
        <v>0</v>
      </c>
      <c r="AK1378" s="7" t="s">
        <v>61</v>
      </c>
      <c r="AL1378" s="7" t="s">
        <v>61</v>
      </c>
      <c r="AM1378" s="7" t="s">
        <v>0</v>
      </c>
      <c r="AN1378" s="7" t="s">
        <v>0</v>
      </c>
      <c r="AO1378" s="7" t="s">
        <v>0</v>
      </c>
      <c r="AP1378" s="7" t="s">
        <v>0</v>
      </c>
      <c r="AQ1378" s="7" t="s">
        <v>61</v>
      </c>
      <c r="AR1378" s="7" t="s">
        <v>0</v>
      </c>
      <c r="AS1378" s="10" t="str">
        <f>HYPERLINK("https://tessa.gazprom-neft.local/edo/card/a32133ee-5269-495f-beaa-b7bd3231d806", "https://tessa.gazprom-neft.local/edo/card/a32133ee-5269-495f-beaa-b7bd3231d806")</f>
        <v>https://tessa.gazprom-neft.local/edo/card/a32133ee-5269-495f-beaa-b7bd3231d806</v>
      </c>
    </row>
    <row r="1379" spans="1:45" hidden="1" x14ac:dyDescent="0.25">
      <c r="A1379" s="6" t="s">
        <v>44</v>
      </c>
      <c r="B1379" s="7" t="s">
        <v>4951</v>
      </c>
      <c r="C1379" s="7" t="s">
        <v>67</v>
      </c>
      <c r="D1379" s="8">
        <v>44855</v>
      </c>
      <c r="E1379" s="8" t="s">
        <v>0</v>
      </c>
      <c r="F1379" s="16" t="s">
        <v>4952</v>
      </c>
      <c r="G1379" s="7" t="s">
        <v>2497</v>
      </c>
      <c r="H1379" s="7" t="s">
        <v>0</v>
      </c>
      <c r="I1379" s="7" t="s">
        <v>6808</v>
      </c>
      <c r="J1379" s="7" t="s">
        <v>6808</v>
      </c>
      <c r="K1379" s="7" t="s">
        <v>85</v>
      </c>
      <c r="L1379" s="7" t="s">
        <v>86</v>
      </c>
      <c r="M1379" s="7" t="s">
        <v>216</v>
      </c>
      <c r="N1379" s="7" t="s">
        <v>9424</v>
      </c>
      <c r="O1379" s="7" t="s">
        <v>0</v>
      </c>
      <c r="P1379" s="7" t="s">
        <v>216</v>
      </c>
      <c r="Q1379" s="7" t="s">
        <v>9425</v>
      </c>
      <c r="R1379" s="7" t="s">
        <v>393</v>
      </c>
      <c r="S1379" s="7" t="s">
        <v>209</v>
      </c>
      <c r="T1379" s="7" t="s">
        <v>54</v>
      </c>
      <c r="U1379" s="7" t="s">
        <v>210</v>
      </c>
      <c r="V1379" s="7" t="s">
        <v>102</v>
      </c>
      <c r="W1379" s="7" t="s">
        <v>57</v>
      </c>
      <c r="X1379" s="7" t="s">
        <v>58</v>
      </c>
      <c r="Y1379" s="8">
        <v>44855</v>
      </c>
      <c r="Z1379" s="8" t="s">
        <v>0</v>
      </c>
      <c r="AA1379" s="7" t="s">
        <v>104</v>
      </c>
      <c r="AB1379" s="7" t="s">
        <v>228</v>
      </c>
      <c r="AC1379" s="7" t="s">
        <v>65</v>
      </c>
      <c r="AD1379" s="7" t="s">
        <v>0</v>
      </c>
      <c r="AE1379" s="7" t="s">
        <v>0</v>
      </c>
      <c r="AF1379" s="7" t="s">
        <v>0</v>
      </c>
      <c r="AG1379" s="7" t="s">
        <v>0</v>
      </c>
      <c r="AH1379" s="9" t="s">
        <v>0</v>
      </c>
      <c r="AI1379" s="9" t="s">
        <v>0</v>
      </c>
      <c r="AJ1379" s="9" t="s">
        <v>0</v>
      </c>
      <c r="AK1379" s="7" t="s">
        <v>61</v>
      </c>
      <c r="AL1379" s="7" t="s">
        <v>61</v>
      </c>
      <c r="AM1379" s="7" t="s">
        <v>0</v>
      </c>
      <c r="AN1379" s="7" t="s">
        <v>0</v>
      </c>
      <c r="AO1379" s="7" t="s">
        <v>0</v>
      </c>
      <c r="AP1379" s="7" t="s">
        <v>0</v>
      </c>
      <c r="AQ1379" s="7" t="s">
        <v>61</v>
      </c>
      <c r="AR1379" s="7" t="s">
        <v>0</v>
      </c>
      <c r="AS1379" s="10" t="str">
        <f>HYPERLINK("https://tessa.gazprom-neft.local/edo/card/53bb009f-0b1b-4e1c-adca-3d89e35c6290", "https://tessa.gazprom-neft.local/edo/card/53bb009f-0b1b-4e1c-adca-3d89e35c6290")</f>
        <v>https://tessa.gazprom-neft.local/edo/card/53bb009f-0b1b-4e1c-adca-3d89e35c6290</v>
      </c>
    </row>
    <row r="1380" spans="1:45" hidden="1" x14ac:dyDescent="0.25">
      <c r="A1380" s="6" t="s">
        <v>44</v>
      </c>
      <c r="B1380" s="7" t="s">
        <v>4293</v>
      </c>
      <c r="C1380" s="7" t="s">
        <v>67</v>
      </c>
      <c r="D1380" s="8">
        <v>44854</v>
      </c>
      <c r="E1380" s="8" t="s">
        <v>0</v>
      </c>
      <c r="F1380" s="16" t="s">
        <v>4294</v>
      </c>
      <c r="G1380" s="7" t="s">
        <v>4295</v>
      </c>
      <c r="H1380" s="7" t="s">
        <v>0</v>
      </c>
      <c r="I1380" s="7" t="s">
        <v>9342</v>
      </c>
      <c r="J1380" s="7" t="s">
        <v>9342</v>
      </c>
      <c r="K1380" s="7" t="s">
        <v>85</v>
      </c>
      <c r="L1380" s="7" t="s">
        <v>86</v>
      </c>
      <c r="M1380" s="7" t="s">
        <v>289</v>
      </c>
      <c r="N1380" s="7" t="s">
        <v>9341</v>
      </c>
      <c r="O1380" s="7" t="s">
        <v>0</v>
      </c>
      <c r="P1380" s="7" t="s">
        <v>289</v>
      </c>
      <c r="Q1380" s="7" t="s">
        <v>426</v>
      </c>
      <c r="R1380" s="7" t="s">
        <v>361</v>
      </c>
      <c r="S1380" s="7" t="s">
        <v>361</v>
      </c>
      <c r="T1380" s="7" t="s">
        <v>54</v>
      </c>
      <c r="U1380" s="7" t="s">
        <v>362</v>
      </c>
      <c r="V1380" s="7" t="s">
        <v>295</v>
      </c>
      <c r="W1380" s="7" t="s">
        <v>74</v>
      </c>
      <c r="X1380" s="7" t="s">
        <v>58</v>
      </c>
      <c r="Y1380" s="8">
        <v>44854</v>
      </c>
      <c r="Z1380" s="8" t="s">
        <v>0</v>
      </c>
      <c r="AA1380" s="7" t="s">
        <v>296</v>
      </c>
      <c r="AB1380" s="7" t="s">
        <v>300</v>
      </c>
      <c r="AC1380" s="7" t="s">
        <v>65</v>
      </c>
      <c r="AD1380" s="7" t="s">
        <v>0</v>
      </c>
      <c r="AE1380" s="7" t="s">
        <v>0</v>
      </c>
      <c r="AF1380" s="7" t="s">
        <v>0</v>
      </c>
      <c r="AG1380" s="7" t="s">
        <v>0</v>
      </c>
      <c r="AH1380" s="9" t="s">
        <v>0</v>
      </c>
      <c r="AI1380" s="9" t="s">
        <v>0</v>
      </c>
      <c r="AJ1380" s="9" t="s">
        <v>0</v>
      </c>
      <c r="AK1380" s="7" t="s">
        <v>61</v>
      </c>
      <c r="AL1380" s="7" t="s">
        <v>61</v>
      </c>
      <c r="AM1380" s="7" t="s">
        <v>0</v>
      </c>
      <c r="AN1380" s="7" t="s">
        <v>0</v>
      </c>
      <c r="AO1380" s="7" t="s">
        <v>0</v>
      </c>
      <c r="AP1380" s="7" t="s">
        <v>0</v>
      </c>
      <c r="AQ1380" s="7" t="s">
        <v>61</v>
      </c>
      <c r="AR1380" s="7" t="s">
        <v>0</v>
      </c>
      <c r="AS1380" s="10" t="str">
        <f>HYPERLINK("https://tessa.gazprom-neft.local/edo/card/f7c5d155-b494-47c1-8248-7ad34e8c9704", "https://tessa.gazprom-neft.local/edo/card/f7c5d155-b494-47c1-8248-7ad34e8c9704")</f>
        <v>https://tessa.gazprom-neft.local/edo/card/f7c5d155-b494-47c1-8248-7ad34e8c9704</v>
      </c>
    </row>
    <row r="1381" spans="1:45" hidden="1" x14ac:dyDescent="0.25">
      <c r="A1381" s="6" t="s">
        <v>44</v>
      </c>
      <c r="B1381" s="7" t="s">
        <v>0</v>
      </c>
      <c r="C1381" s="7" t="s">
        <v>67</v>
      </c>
      <c r="D1381" s="8">
        <v>44851</v>
      </c>
      <c r="E1381" s="8" t="s">
        <v>0</v>
      </c>
      <c r="F1381" s="16" t="s">
        <v>9363</v>
      </c>
      <c r="G1381" s="7" t="s">
        <v>0</v>
      </c>
      <c r="H1381" s="7" t="s">
        <v>0</v>
      </c>
      <c r="I1381" s="7" t="s">
        <v>9360</v>
      </c>
      <c r="J1381" s="7" t="s">
        <v>9360</v>
      </c>
      <c r="K1381" s="7" t="s">
        <v>47</v>
      </c>
      <c r="L1381" s="7" t="s">
        <v>86</v>
      </c>
      <c r="M1381" s="7" t="s">
        <v>0</v>
      </c>
      <c r="N1381" s="7" t="s">
        <v>9359</v>
      </c>
      <c r="O1381" s="7" t="s">
        <v>0</v>
      </c>
      <c r="P1381" s="7" t="s">
        <v>9361</v>
      </c>
      <c r="Q1381" s="7" t="s">
        <v>9362</v>
      </c>
      <c r="R1381" s="7" t="s">
        <v>135</v>
      </c>
      <c r="S1381" s="7" t="s">
        <v>0</v>
      </c>
      <c r="T1381" s="7" t="s">
        <v>54</v>
      </c>
      <c r="U1381" s="7" t="s">
        <v>136</v>
      </c>
      <c r="V1381" s="7" t="s">
        <v>56</v>
      </c>
      <c r="W1381" s="7" t="s">
        <v>57</v>
      </c>
      <c r="X1381" s="7" t="s">
        <v>223</v>
      </c>
      <c r="Y1381" s="8">
        <v>44851</v>
      </c>
      <c r="Z1381" s="8" t="s">
        <v>0</v>
      </c>
      <c r="AA1381" s="7" t="s">
        <v>0</v>
      </c>
      <c r="AB1381" s="7" t="s">
        <v>1694</v>
      </c>
      <c r="AC1381" s="7" t="s">
        <v>65</v>
      </c>
      <c r="AD1381" s="7" t="s">
        <v>0</v>
      </c>
      <c r="AE1381" s="7" t="s">
        <v>0</v>
      </c>
      <c r="AF1381" s="7" t="s">
        <v>0</v>
      </c>
      <c r="AG1381" s="7" t="s">
        <v>0</v>
      </c>
      <c r="AH1381" s="9" t="s">
        <v>0</v>
      </c>
      <c r="AI1381" s="9" t="s">
        <v>0</v>
      </c>
      <c r="AJ1381" s="9" t="s">
        <v>0</v>
      </c>
      <c r="AK1381" s="7" t="s">
        <v>61</v>
      </c>
      <c r="AL1381" s="7" t="s">
        <v>61</v>
      </c>
      <c r="AM1381" s="7" t="s">
        <v>0</v>
      </c>
      <c r="AN1381" s="7" t="s">
        <v>0</v>
      </c>
      <c r="AO1381" s="7" t="s">
        <v>0</v>
      </c>
      <c r="AP1381" s="7" t="s">
        <v>0</v>
      </c>
      <c r="AQ1381" s="7" t="s">
        <v>61</v>
      </c>
      <c r="AR1381" s="7" t="s">
        <v>0</v>
      </c>
      <c r="AS1381" s="10" t="str">
        <f>HYPERLINK("https://tessa.gazprom-neft.local/edo/card/c647fda6-143f-480a-981f-e4d4722f75cd", "https://tessa.gazprom-neft.local/edo/card/c647fda6-143f-480a-981f-e4d4722f75cd")</f>
        <v>https://tessa.gazprom-neft.local/edo/card/c647fda6-143f-480a-981f-e4d4722f75cd</v>
      </c>
    </row>
    <row r="1382" spans="1:45" hidden="1" x14ac:dyDescent="0.25">
      <c r="A1382" s="6" t="s">
        <v>44</v>
      </c>
      <c r="B1382" s="7" t="s">
        <v>7325</v>
      </c>
      <c r="C1382" s="7" t="s">
        <v>67</v>
      </c>
      <c r="D1382" s="8">
        <v>44851</v>
      </c>
      <c r="E1382" s="8" t="s">
        <v>0</v>
      </c>
      <c r="F1382" s="16" t="s">
        <v>7326</v>
      </c>
      <c r="G1382" s="7" t="s">
        <v>7327</v>
      </c>
      <c r="H1382" s="7" t="s">
        <v>9415</v>
      </c>
      <c r="I1382" s="7" t="s">
        <v>0</v>
      </c>
      <c r="J1382" s="7" t="s">
        <v>51</v>
      </c>
      <c r="K1382" s="7" t="s">
        <v>47</v>
      </c>
      <c r="L1382" s="7" t="s">
        <v>239</v>
      </c>
      <c r="M1382" s="7" t="s">
        <v>0</v>
      </c>
      <c r="N1382" s="7" t="s">
        <v>9414</v>
      </c>
      <c r="O1382" s="7" t="s">
        <v>0</v>
      </c>
      <c r="P1382" s="7" t="s">
        <v>9416</v>
      </c>
      <c r="Q1382" s="7" t="s">
        <v>9417</v>
      </c>
      <c r="R1382" s="7" t="s">
        <v>135</v>
      </c>
      <c r="S1382" s="7" t="s">
        <v>0</v>
      </c>
      <c r="T1382" s="7" t="s">
        <v>54</v>
      </c>
      <c r="U1382" s="7" t="s">
        <v>136</v>
      </c>
      <c r="V1382" s="7" t="s">
        <v>102</v>
      </c>
      <c r="W1382" s="7" t="s">
        <v>57</v>
      </c>
      <c r="X1382" s="7" t="s">
        <v>103</v>
      </c>
      <c r="Y1382" s="8">
        <v>44851</v>
      </c>
      <c r="Z1382" s="8">
        <v>44920</v>
      </c>
      <c r="AA1382" s="7" t="s">
        <v>104</v>
      </c>
      <c r="AB1382" s="7" t="s">
        <v>130</v>
      </c>
      <c r="AC1382" s="7" t="s">
        <v>65</v>
      </c>
      <c r="AD1382" s="7" t="s">
        <v>0</v>
      </c>
      <c r="AE1382" s="7" t="s">
        <v>0</v>
      </c>
      <c r="AF1382" s="7" t="s">
        <v>0</v>
      </c>
      <c r="AG1382" s="7" t="s">
        <v>0</v>
      </c>
      <c r="AH1382" s="9" t="s">
        <v>0</v>
      </c>
      <c r="AI1382" s="9" t="s">
        <v>0</v>
      </c>
      <c r="AJ1382" s="9" t="s">
        <v>0</v>
      </c>
      <c r="AK1382" s="7" t="s">
        <v>61</v>
      </c>
      <c r="AL1382" s="7" t="s">
        <v>61</v>
      </c>
      <c r="AM1382" s="7" t="s">
        <v>0</v>
      </c>
      <c r="AN1382" s="7" t="s">
        <v>0</v>
      </c>
      <c r="AO1382" s="7" t="s">
        <v>0</v>
      </c>
      <c r="AP1382" s="7" t="s">
        <v>0</v>
      </c>
      <c r="AQ1382" s="7" t="s">
        <v>61</v>
      </c>
      <c r="AR1382" s="7" t="s">
        <v>0</v>
      </c>
      <c r="AS1382" s="10" t="str">
        <f>HYPERLINK("https://tessa.gazprom-neft.local/edo/card/410a9c78-367e-4a06-a8f0-bd37453fcea2", "https://tessa.gazprom-neft.local/edo/card/410a9c78-367e-4a06-a8f0-bd37453fcea2")</f>
        <v>https://tessa.gazprom-neft.local/edo/card/410a9c78-367e-4a06-a8f0-bd37453fcea2</v>
      </c>
    </row>
    <row r="1383" spans="1:45" x14ac:dyDescent="0.25">
      <c r="A1383" s="6" t="s">
        <v>44</v>
      </c>
      <c r="B1383" s="7" t="s">
        <v>1657</v>
      </c>
      <c r="C1383" s="7" t="s">
        <v>67</v>
      </c>
      <c r="D1383" s="8">
        <v>44851</v>
      </c>
      <c r="E1383" s="8" t="s">
        <v>0</v>
      </c>
      <c r="F1383" s="16" t="s">
        <v>1658</v>
      </c>
      <c r="G1383" s="7" t="s">
        <v>1659</v>
      </c>
      <c r="H1383" s="7" t="s">
        <v>1826</v>
      </c>
      <c r="I1383" s="7" t="s">
        <v>0</v>
      </c>
      <c r="J1383" s="7" t="s">
        <v>271</v>
      </c>
      <c r="K1383" s="7" t="s">
        <v>85</v>
      </c>
      <c r="L1383" s="7" t="s">
        <v>48</v>
      </c>
      <c r="M1383" s="7" t="s">
        <v>9463</v>
      </c>
      <c r="N1383" s="7" t="s">
        <v>9464</v>
      </c>
      <c r="O1383" s="7" t="s">
        <v>0</v>
      </c>
      <c r="P1383" s="7" t="s">
        <v>9463</v>
      </c>
      <c r="Q1383" s="7" t="s">
        <v>9465</v>
      </c>
      <c r="R1383" s="7" t="s">
        <v>1655</v>
      </c>
      <c r="S1383" s="7" t="s">
        <v>1655</v>
      </c>
      <c r="T1383" s="7" t="s">
        <v>54</v>
      </c>
      <c r="U1383" s="7" t="s">
        <v>307</v>
      </c>
      <c r="V1383" s="7" t="s">
        <v>126</v>
      </c>
      <c r="W1383" s="7" t="s">
        <v>74</v>
      </c>
      <c r="X1383" s="7" t="s">
        <v>58</v>
      </c>
      <c r="Y1383" s="8">
        <v>44851</v>
      </c>
      <c r="Z1383" s="8" t="s">
        <v>0</v>
      </c>
      <c r="AA1383" s="7" t="s">
        <v>224</v>
      </c>
      <c r="AB1383" s="7" t="s">
        <v>130</v>
      </c>
      <c r="AC1383" s="7" t="s">
        <v>65</v>
      </c>
      <c r="AD1383" s="7" t="s">
        <v>80</v>
      </c>
      <c r="AE1383" s="7" t="s">
        <v>0</v>
      </c>
      <c r="AF1383" s="7" t="s">
        <v>0</v>
      </c>
      <c r="AG1383" s="7" t="s">
        <v>0</v>
      </c>
      <c r="AH1383" s="9" t="s">
        <v>0</v>
      </c>
      <c r="AI1383" s="9" t="s">
        <v>0</v>
      </c>
      <c r="AJ1383" s="9" t="s">
        <v>0</v>
      </c>
      <c r="AK1383" s="7" t="s">
        <v>61</v>
      </c>
      <c r="AL1383" s="7" t="s">
        <v>61</v>
      </c>
      <c r="AM1383" s="7" t="s">
        <v>0</v>
      </c>
      <c r="AN1383" s="7" t="s">
        <v>0</v>
      </c>
      <c r="AO1383" s="7" t="s">
        <v>0</v>
      </c>
      <c r="AP1383" s="7" t="s">
        <v>0</v>
      </c>
      <c r="AQ1383" s="7" t="s">
        <v>61</v>
      </c>
      <c r="AR1383" s="7" t="s">
        <v>0</v>
      </c>
      <c r="AS1383" s="10" t="str">
        <f>HYPERLINK("https://tessa.gazprom-neft.local/edo/card/ab0c15d0-f529-4ac7-becf-eefb43fbcb8e", "https://tessa.gazprom-neft.local/edo/card/ab0c15d0-f529-4ac7-becf-eefb43fbcb8e")</f>
        <v>https://tessa.gazprom-neft.local/edo/card/ab0c15d0-f529-4ac7-becf-eefb43fbcb8e</v>
      </c>
    </row>
    <row r="1384" spans="1:45" x14ac:dyDescent="0.25">
      <c r="A1384" s="6" t="s">
        <v>44</v>
      </c>
      <c r="B1384" s="7" t="s">
        <v>1775</v>
      </c>
      <c r="C1384" s="7" t="s">
        <v>67</v>
      </c>
      <c r="D1384" s="8">
        <v>44851</v>
      </c>
      <c r="E1384" s="8" t="s">
        <v>0</v>
      </c>
      <c r="F1384" s="16" t="s">
        <v>1776</v>
      </c>
      <c r="G1384" s="7" t="s">
        <v>1777</v>
      </c>
      <c r="H1384" s="7" t="s">
        <v>2800</v>
      </c>
      <c r="I1384" s="7" t="s">
        <v>0</v>
      </c>
      <c r="J1384" s="7" t="s">
        <v>271</v>
      </c>
      <c r="K1384" s="7" t="s">
        <v>85</v>
      </c>
      <c r="L1384" s="7" t="s">
        <v>48</v>
      </c>
      <c r="M1384" s="7" t="s">
        <v>9463</v>
      </c>
      <c r="N1384" s="7" t="s">
        <v>9469</v>
      </c>
      <c r="O1384" s="7" t="s">
        <v>0</v>
      </c>
      <c r="P1384" s="7" t="s">
        <v>9463</v>
      </c>
      <c r="Q1384" s="7" t="s">
        <v>9470</v>
      </c>
      <c r="R1384" s="7" t="s">
        <v>1774</v>
      </c>
      <c r="S1384" s="7" t="s">
        <v>1774</v>
      </c>
      <c r="T1384" s="7" t="s">
        <v>54</v>
      </c>
      <c r="U1384" s="7" t="s">
        <v>307</v>
      </c>
      <c r="V1384" s="7" t="s">
        <v>126</v>
      </c>
      <c r="W1384" s="7" t="s">
        <v>74</v>
      </c>
      <c r="X1384" s="7" t="s">
        <v>103</v>
      </c>
      <c r="Y1384" s="8">
        <v>44851</v>
      </c>
      <c r="Z1384" s="8">
        <v>45291</v>
      </c>
      <c r="AA1384" s="7" t="s">
        <v>224</v>
      </c>
      <c r="AB1384" s="7" t="s">
        <v>130</v>
      </c>
      <c r="AC1384" s="7" t="s">
        <v>65</v>
      </c>
      <c r="AD1384" s="7" t="s">
        <v>514</v>
      </c>
      <c r="AE1384" s="7" t="s">
        <v>0</v>
      </c>
      <c r="AF1384" s="7" t="s">
        <v>0</v>
      </c>
      <c r="AG1384" s="7" t="s">
        <v>0</v>
      </c>
      <c r="AH1384" s="9" t="s">
        <v>0</v>
      </c>
      <c r="AI1384" s="9" t="s">
        <v>0</v>
      </c>
      <c r="AJ1384" s="9" t="s">
        <v>0</v>
      </c>
      <c r="AK1384" s="7" t="s">
        <v>61</v>
      </c>
      <c r="AL1384" s="7" t="s">
        <v>61</v>
      </c>
      <c r="AM1384" s="7" t="s">
        <v>0</v>
      </c>
      <c r="AN1384" s="7" t="s">
        <v>0</v>
      </c>
      <c r="AO1384" s="7" t="s">
        <v>0</v>
      </c>
      <c r="AP1384" s="7" t="s">
        <v>0</v>
      </c>
      <c r="AQ1384" s="7" t="s">
        <v>61</v>
      </c>
      <c r="AR1384" s="7" t="s">
        <v>0</v>
      </c>
      <c r="AS1384" s="10" t="str">
        <f>HYPERLINK("https://tessa.gazprom-neft.local/edo/card/0fc55967-2dcf-49e4-8679-3653f0d33f5c", "https://tessa.gazprom-neft.local/edo/card/0fc55967-2dcf-49e4-8679-3653f0d33f5c")</f>
        <v>https://tessa.gazprom-neft.local/edo/card/0fc55967-2dcf-49e4-8679-3653f0d33f5c</v>
      </c>
    </row>
    <row r="1385" spans="1:45" x14ac:dyDescent="0.25">
      <c r="A1385" s="6" t="s">
        <v>44</v>
      </c>
      <c r="B1385" s="7" t="s">
        <v>1775</v>
      </c>
      <c r="C1385" s="7" t="s">
        <v>67</v>
      </c>
      <c r="D1385" s="8">
        <v>44851</v>
      </c>
      <c r="E1385" s="8" t="s">
        <v>0</v>
      </c>
      <c r="F1385" s="16" t="s">
        <v>1776</v>
      </c>
      <c r="G1385" s="7" t="s">
        <v>1777</v>
      </c>
      <c r="H1385" s="7" t="s">
        <v>2800</v>
      </c>
      <c r="I1385" s="7" t="s">
        <v>0</v>
      </c>
      <c r="J1385" s="7" t="s">
        <v>156</v>
      </c>
      <c r="K1385" s="7" t="s">
        <v>47</v>
      </c>
      <c r="L1385" s="7" t="s">
        <v>48</v>
      </c>
      <c r="M1385" s="7" t="s">
        <v>0</v>
      </c>
      <c r="N1385" s="7" t="s">
        <v>9478</v>
      </c>
      <c r="O1385" s="7" t="s">
        <v>0</v>
      </c>
      <c r="P1385" s="7" t="s">
        <v>9479</v>
      </c>
      <c r="Q1385" s="7" t="s">
        <v>9480</v>
      </c>
      <c r="R1385" s="7" t="s">
        <v>1774</v>
      </c>
      <c r="S1385" s="7" t="s">
        <v>1774</v>
      </c>
      <c r="T1385" s="7" t="s">
        <v>54</v>
      </c>
      <c r="U1385" s="7" t="s">
        <v>307</v>
      </c>
      <c r="V1385" s="7" t="s">
        <v>126</v>
      </c>
      <c r="W1385" s="7" t="s">
        <v>74</v>
      </c>
      <c r="X1385" s="7" t="s">
        <v>103</v>
      </c>
      <c r="Y1385" s="8">
        <v>44851</v>
      </c>
      <c r="Z1385" s="8">
        <v>45291</v>
      </c>
      <c r="AA1385" s="7" t="s">
        <v>224</v>
      </c>
      <c r="AB1385" s="7" t="s">
        <v>130</v>
      </c>
      <c r="AC1385" s="7" t="s">
        <v>65</v>
      </c>
      <c r="AD1385" s="7" t="s">
        <v>514</v>
      </c>
      <c r="AE1385" s="7" t="s">
        <v>0</v>
      </c>
      <c r="AF1385" s="7" t="s">
        <v>0</v>
      </c>
      <c r="AG1385" s="7" t="s">
        <v>0</v>
      </c>
      <c r="AH1385" s="9" t="s">
        <v>0</v>
      </c>
      <c r="AI1385" s="9" t="s">
        <v>0</v>
      </c>
      <c r="AJ1385" s="9" t="s">
        <v>0</v>
      </c>
      <c r="AK1385" s="7" t="s">
        <v>61</v>
      </c>
      <c r="AL1385" s="7" t="s">
        <v>61</v>
      </c>
      <c r="AM1385" s="7" t="s">
        <v>0</v>
      </c>
      <c r="AN1385" s="7" t="s">
        <v>0</v>
      </c>
      <c r="AO1385" s="7" t="s">
        <v>0</v>
      </c>
      <c r="AP1385" s="7" t="s">
        <v>0</v>
      </c>
      <c r="AQ1385" s="7" t="s">
        <v>61</v>
      </c>
      <c r="AR1385" s="7" t="s">
        <v>0</v>
      </c>
      <c r="AS1385" s="10" t="str">
        <f>HYPERLINK("https://tessa.gazprom-neft.local/edo/card/233d41a5-b7d9-4e96-948a-6f3aef36a57c", "https://tessa.gazprom-neft.local/edo/card/233d41a5-b7d9-4e96-948a-6f3aef36a57c")</f>
        <v>https://tessa.gazprom-neft.local/edo/card/233d41a5-b7d9-4e96-948a-6f3aef36a57c</v>
      </c>
    </row>
    <row r="1386" spans="1:45" hidden="1" x14ac:dyDescent="0.25">
      <c r="A1386" s="6" t="s">
        <v>44</v>
      </c>
      <c r="B1386" s="7" t="s">
        <v>1240</v>
      </c>
      <c r="C1386" s="7" t="s">
        <v>67</v>
      </c>
      <c r="D1386" s="8">
        <v>44850</v>
      </c>
      <c r="E1386" s="8" t="s">
        <v>0</v>
      </c>
      <c r="F1386" s="16" t="s">
        <v>1241</v>
      </c>
      <c r="G1386" s="7" t="s">
        <v>1242</v>
      </c>
      <c r="H1386" s="7" t="s">
        <v>0</v>
      </c>
      <c r="I1386" s="7" t="s">
        <v>9419</v>
      </c>
      <c r="J1386" s="7" t="s">
        <v>9419</v>
      </c>
      <c r="K1386" s="7" t="s">
        <v>85</v>
      </c>
      <c r="L1386" s="7" t="s">
        <v>86</v>
      </c>
      <c r="M1386" s="7" t="s">
        <v>216</v>
      </c>
      <c r="N1386" s="7" t="s">
        <v>9418</v>
      </c>
      <c r="O1386" s="7" t="s">
        <v>0</v>
      </c>
      <c r="P1386" s="7" t="s">
        <v>216</v>
      </c>
      <c r="Q1386" s="7" t="s">
        <v>9420</v>
      </c>
      <c r="R1386" s="7" t="s">
        <v>393</v>
      </c>
      <c r="S1386" s="7" t="s">
        <v>1261</v>
      </c>
      <c r="T1386" s="7" t="s">
        <v>54</v>
      </c>
      <c r="U1386" s="7" t="s">
        <v>222</v>
      </c>
      <c r="V1386" s="7" t="s">
        <v>102</v>
      </c>
      <c r="W1386" s="7" t="s">
        <v>74</v>
      </c>
      <c r="X1386" s="7" t="s">
        <v>58</v>
      </c>
      <c r="Y1386" s="8">
        <v>44850</v>
      </c>
      <c r="Z1386" s="8" t="s">
        <v>0</v>
      </c>
      <c r="AA1386" s="7" t="s">
        <v>104</v>
      </c>
      <c r="AB1386" s="7" t="s">
        <v>228</v>
      </c>
      <c r="AC1386" s="7" t="s">
        <v>65</v>
      </c>
      <c r="AD1386" s="7" t="s">
        <v>0</v>
      </c>
      <c r="AE1386" s="7" t="s">
        <v>0</v>
      </c>
      <c r="AF1386" s="7" t="s">
        <v>0</v>
      </c>
      <c r="AG1386" s="7" t="s">
        <v>0</v>
      </c>
      <c r="AH1386" s="9" t="s">
        <v>0</v>
      </c>
      <c r="AI1386" s="9" t="s">
        <v>0</v>
      </c>
      <c r="AJ1386" s="9" t="s">
        <v>0</v>
      </c>
      <c r="AK1386" s="7" t="s">
        <v>61</v>
      </c>
      <c r="AL1386" s="7" t="s">
        <v>61</v>
      </c>
      <c r="AM1386" s="7" t="s">
        <v>0</v>
      </c>
      <c r="AN1386" s="7" t="s">
        <v>0</v>
      </c>
      <c r="AO1386" s="7" t="s">
        <v>0</v>
      </c>
      <c r="AP1386" s="7" t="s">
        <v>0</v>
      </c>
      <c r="AQ1386" s="7" t="s">
        <v>61</v>
      </c>
      <c r="AR1386" s="7" t="s">
        <v>0</v>
      </c>
      <c r="AS1386" s="10" t="str">
        <f>HYPERLINK("https://tessa.gazprom-neft.local/edo/card/abf1bba5-f381-4326-b607-4c9df61797b3", "https://tessa.gazprom-neft.local/edo/card/abf1bba5-f381-4326-b607-4c9df61797b3")</f>
        <v>https://tessa.gazprom-neft.local/edo/card/abf1bba5-f381-4326-b607-4c9df61797b3</v>
      </c>
    </row>
    <row r="1387" spans="1:45" hidden="1" x14ac:dyDescent="0.25">
      <c r="A1387" s="6" t="s">
        <v>44</v>
      </c>
      <c r="B1387" s="7" t="s">
        <v>1192</v>
      </c>
      <c r="C1387" s="7" t="s">
        <v>67</v>
      </c>
      <c r="D1387" s="8">
        <v>44849</v>
      </c>
      <c r="E1387" s="8" t="s">
        <v>0</v>
      </c>
      <c r="F1387" s="16" t="s">
        <v>1193</v>
      </c>
      <c r="G1387" s="7" t="s">
        <v>1194</v>
      </c>
      <c r="H1387" s="7" t="s">
        <v>0</v>
      </c>
      <c r="I1387" s="7" t="s">
        <v>4003</v>
      </c>
      <c r="J1387" s="7" t="s">
        <v>4003</v>
      </c>
      <c r="K1387" s="7" t="s">
        <v>85</v>
      </c>
      <c r="L1387" s="7" t="s">
        <v>96</v>
      </c>
      <c r="M1387" s="7" t="s">
        <v>9273</v>
      </c>
      <c r="N1387" s="7" t="s">
        <v>9274</v>
      </c>
      <c r="O1387" s="7" t="s">
        <v>0</v>
      </c>
      <c r="P1387" s="7" t="s">
        <v>9273</v>
      </c>
      <c r="Q1387" s="7" t="s">
        <v>9275</v>
      </c>
      <c r="R1387" s="7" t="s">
        <v>393</v>
      </c>
      <c r="S1387" s="7" t="s">
        <v>679</v>
      </c>
      <c r="T1387" s="7" t="s">
        <v>54</v>
      </c>
      <c r="U1387" s="7" t="s">
        <v>362</v>
      </c>
      <c r="V1387" s="7" t="s">
        <v>295</v>
      </c>
      <c r="W1387" s="7" t="s">
        <v>74</v>
      </c>
      <c r="X1387" s="7" t="s">
        <v>58</v>
      </c>
      <c r="Y1387" s="8">
        <v>46022</v>
      </c>
      <c r="Z1387" s="8" t="s">
        <v>0</v>
      </c>
      <c r="AA1387" s="7" t="s">
        <v>296</v>
      </c>
      <c r="AB1387" s="7" t="s">
        <v>1748</v>
      </c>
      <c r="AC1387" s="7" t="s">
        <v>79</v>
      </c>
      <c r="AD1387" s="7" t="s">
        <v>80</v>
      </c>
      <c r="AE1387" s="7" t="s">
        <v>82</v>
      </c>
      <c r="AF1387" s="7" t="s">
        <v>0</v>
      </c>
      <c r="AG1387" s="7" t="s">
        <v>9276</v>
      </c>
      <c r="AH1387" s="9" t="s">
        <v>12123</v>
      </c>
      <c r="AI1387" s="9" t="s">
        <v>12124</v>
      </c>
      <c r="AJ1387" s="9" t="s">
        <v>12125</v>
      </c>
      <c r="AK1387" s="7" t="s">
        <v>81</v>
      </c>
      <c r="AL1387" s="7" t="s">
        <v>61</v>
      </c>
      <c r="AM1387" s="7" t="s">
        <v>0</v>
      </c>
      <c r="AN1387" s="7" t="s">
        <v>0</v>
      </c>
      <c r="AO1387" s="7" t="s">
        <v>0</v>
      </c>
      <c r="AP1387" s="7" t="s">
        <v>0</v>
      </c>
      <c r="AQ1387" s="7" t="s">
        <v>61</v>
      </c>
      <c r="AR1387" s="7" t="s">
        <v>0</v>
      </c>
      <c r="AS1387" s="10" t="str">
        <f>HYPERLINK("https://tessa.gazprom-neft.local/edo/card/63fe127f-c266-4bcd-ab9e-4434a954617b", "https://tessa.gazprom-neft.local/edo/card/63fe127f-c266-4bcd-ab9e-4434a954617b")</f>
        <v>https://tessa.gazprom-neft.local/edo/card/63fe127f-c266-4bcd-ab9e-4434a954617b</v>
      </c>
    </row>
    <row r="1388" spans="1:45" hidden="1" x14ac:dyDescent="0.25">
      <c r="A1388" s="6" t="s">
        <v>44</v>
      </c>
      <c r="B1388" s="7" t="s">
        <v>1192</v>
      </c>
      <c r="C1388" s="7" t="s">
        <v>67</v>
      </c>
      <c r="D1388" s="8">
        <v>44849</v>
      </c>
      <c r="E1388" s="8" t="s">
        <v>0</v>
      </c>
      <c r="F1388" s="16" t="s">
        <v>1193</v>
      </c>
      <c r="G1388" s="7" t="s">
        <v>1194</v>
      </c>
      <c r="H1388" s="7" t="s">
        <v>0</v>
      </c>
      <c r="I1388" s="7" t="s">
        <v>9392</v>
      </c>
      <c r="J1388" s="7" t="s">
        <v>9392</v>
      </c>
      <c r="K1388" s="7" t="s">
        <v>85</v>
      </c>
      <c r="L1388" s="7" t="s">
        <v>86</v>
      </c>
      <c r="M1388" s="7" t="s">
        <v>216</v>
      </c>
      <c r="N1388" s="7" t="s">
        <v>9391</v>
      </c>
      <c r="O1388" s="7" t="s">
        <v>0</v>
      </c>
      <c r="P1388" s="7" t="s">
        <v>216</v>
      </c>
      <c r="Q1388" s="7" t="s">
        <v>9393</v>
      </c>
      <c r="R1388" s="7" t="s">
        <v>393</v>
      </c>
      <c r="S1388" s="7" t="s">
        <v>679</v>
      </c>
      <c r="T1388" s="7" t="s">
        <v>54</v>
      </c>
      <c r="U1388" s="7" t="s">
        <v>362</v>
      </c>
      <c r="V1388" s="7" t="s">
        <v>102</v>
      </c>
      <c r="W1388" s="7" t="s">
        <v>74</v>
      </c>
      <c r="X1388" s="7" t="s">
        <v>58</v>
      </c>
      <c r="Y1388" s="8">
        <v>44849</v>
      </c>
      <c r="Z1388" s="8" t="s">
        <v>0</v>
      </c>
      <c r="AA1388" s="7" t="s">
        <v>104</v>
      </c>
      <c r="AB1388" s="7" t="s">
        <v>228</v>
      </c>
      <c r="AC1388" s="7" t="s">
        <v>65</v>
      </c>
      <c r="AD1388" s="7" t="s">
        <v>0</v>
      </c>
      <c r="AE1388" s="7" t="s">
        <v>0</v>
      </c>
      <c r="AF1388" s="7" t="s">
        <v>0</v>
      </c>
      <c r="AG1388" s="7" t="s">
        <v>0</v>
      </c>
      <c r="AH1388" s="9" t="s">
        <v>0</v>
      </c>
      <c r="AI1388" s="9" t="s">
        <v>0</v>
      </c>
      <c r="AJ1388" s="9" t="s">
        <v>0</v>
      </c>
      <c r="AK1388" s="7" t="s">
        <v>61</v>
      </c>
      <c r="AL1388" s="7" t="s">
        <v>61</v>
      </c>
      <c r="AM1388" s="7" t="s">
        <v>0</v>
      </c>
      <c r="AN1388" s="7" t="s">
        <v>0</v>
      </c>
      <c r="AO1388" s="7" t="s">
        <v>0</v>
      </c>
      <c r="AP1388" s="7" t="s">
        <v>0</v>
      </c>
      <c r="AQ1388" s="7" t="s">
        <v>61</v>
      </c>
      <c r="AR1388" s="7" t="s">
        <v>0</v>
      </c>
      <c r="AS1388" s="10" t="str">
        <f>HYPERLINK("https://tessa.gazprom-neft.local/edo/card/f1368cc2-824b-47ed-986d-14455eb5d3b4", "https://tessa.gazprom-neft.local/edo/card/f1368cc2-824b-47ed-986d-14455eb5d3b4")</f>
        <v>https://tessa.gazprom-neft.local/edo/card/f1368cc2-824b-47ed-986d-14455eb5d3b4</v>
      </c>
    </row>
    <row r="1389" spans="1:45" hidden="1" x14ac:dyDescent="0.25">
      <c r="A1389" s="6" t="s">
        <v>44</v>
      </c>
      <c r="B1389" s="7" t="s">
        <v>592</v>
      </c>
      <c r="C1389" s="7" t="s">
        <v>67</v>
      </c>
      <c r="D1389" s="8">
        <v>44848</v>
      </c>
      <c r="E1389" s="8" t="s">
        <v>0</v>
      </c>
      <c r="F1389" s="16" t="s">
        <v>593</v>
      </c>
      <c r="G1389" s="7" t="s">
        <v>594</v>
      </c>
      <c r="H1389" s="7" t="s">
        <v>0</v>
      </c>
      <c r="I1389" s="7" t="s">
        <v>953</v>
      </c>
      <c r="J1389" s="7" t="s">
        <v>953</v>
      </c>
      <c r="K1389" s="7" t="s">
        <v>47</v>
      </c>
      <c r="L1389" s="7" t="s">
        <v>96</v>
      </c>
      <c r="M1389" s="7" t="s">
        <v>0</v>
      </c>
      <c r="N1389" s="7" t="s">
        <v>9153</v>
      </c>
      <c r="O1389" s="7" t="s">
        <v>0</v>
      </c>
      <c r="P1389" s="7" t="s">
        <v>9154</v>
      </c>
      <c r="Q1389" s="7" t="s">
        <v>9155</v>
      </c>
      <c r="R1389" s="7" t="s">
        <v>338</v>
      </c>
      <c r="S1389" s="7" t="s">
        <v>590</v>
      </c>
      <c r="T1389" s="7" t="s">
        <v>54</v>
      </c>
      <c r="U1389" s="7" t="s">
        <v>591</v>
      </c>
      <c r="V1389" s="7" t="s">
        <v>126</v>
      </c>
      <c r="W1389" s="7" t="s">
        <v>74</v>
      </c>
      <c r="X1389" s="7" t="s">
        <v>103</v>
      </c>
      <c r="Y1389" s="8">
        <v>44848</v>
      </c>
      <c r="Z1389" s="8">
        <v>46112</v>
      </c>
      <c r="AA1389" s="7" t="s">
        <v>224</v>
      </c>
      <c r="AB1389" s="7" t="s">
        <v>387</v>
      </c>
      <c r="AC1389" s="7" t="s">
        <v>79</v>
      </c>
      <c r="AD1389" s="7" t="s">
        <v>144</v>
      </c>
      <c r="AE1389" s="7" t="s">
        <v>82</v>
      </c>
      <c r="AF1389" s="7" t="s">
        <v>0</v>
      </c>
      <c r="AG1389" s="7" t="s">
        <v>9156</v>
      </c>
      <c r="AH1389" s="9" t="s">
        <v>13813</v>
      </c>
      <c r="AI1389" s="9" t="s">
        <v>13814</v>
      </c>
      <c r="AJ1389" s="9" t="s">
        <v>13815</v>
      </c>
      <c r="AK1389" s="7" t="s">
        <v>81</v>
      </c>
      <c r="AL1389" s="7" t="s">
        <v>61</v>
      </c>
      <c r="AM1389" s="7" t="s">
        <v>0</v>
      </c>
      <c r="AN1389" s="7" t="s">
        <v>0</v>
      </c>
      <c r="AO1389" s="7" t="s">
        <v>0</v>
      </c>
      <c r="AP1389" s="7" t="s">
        <v>0</v>
      </c>
      <c r="AQ1389" s="7" t="s">
        <v>61</v>
      </c>
      <c r="AR1389" s="7" t="s">
        <v>0</v>
      </c>
      <c r="AS1389" s="10" t="str">
        <f>HYPERLINK("https://tessa.gazprom-neft.local/edo/card/ce0d62d7-a41b-495a-b6ce-925813a4630b", "https://tessa.gazprom-neft.local/edo/card/ce0d62d7-a41b-495a-b6ce-925813a4630b")</f>
        <v>https://tessa.gazprom-neft.local/edo/card/ce0d62d7-a41b-495a-b6ce-925813a4630b</v>
      </c>
    </row>
    <row r="1390" spans="1:45" hidden="1" x14ac:dyDescent="0.25">
      <c r="A1390" s="6" t="s">
        <v>44</v>
      </c>
      <c r="B1390" s="7" t="s">
        <v>592</v>
      </c>
      <c r="C1390" s="7" t="s">
        <v>67</v>
      </c>
      <c r="D1390" s="8">
        <v>44848</v>
      </c>
      <c r="E1390" s="8" t="s">
        <v>0</v>
      </c>
      <c r="F1390" s="16" t="s">
        <v>593</v>
      </c>
      <c r="G1390" s="7" t="s">
        <v>594</v>
      </c>
      <c r="H1390" s="7" t="s">
        <v>0</v>
      </c>
      <c r="I1390" s="7" t="s">
        <v>3120</v>
      </c>
      <c r="J1390" s="7" t="s">
        <v>3120</v>
      </c>
      <c r="K1390" s="7" t="s">
        <v>85</v>
      </c>
      <c r="L1390" s="7" t="s">
        <v>86</v>
      </c>
      <c r="M1390" s="7" t="s">
        <v>216</v>
      </c>
      <c r="N1390" s="7" t="s">
        <v>9157</v>
      </c>
      <c r="O1390" s="7" t="s">
        <v>0</v>
      </c>
      <c r="P1390" s="7" t="s">
        <v>216</v>
      </c>
      <c r="Q1390" s="7" t="s">
        <v>9158</v>
      </c>
      <c r="R1390" s="7" t="s">
        <v>338</v>
      </c>
      <c r="S1390" s="7" t="s">
        <v>590</v>
      </c>
      <c r="T1390" s="7" t="s">
        <v>54</v>
      </c>
      <c r="U1390" s="7" t="s">
        <v>591</v>
      </c>
      <c r="V1390" s="7" t="s">
        <v>102</v>
      </c>
      <c r="W1390" s="7" t="s">
        <v>74</v>
      </c>
      <c r="X1390" s="7" t="s">
        <v>223</v>
      </c>
      <c r="Y1390" s="8">
        <v>44848</v>
      </c>
      <c r="Z1390" s="8" t="s">
        <v>0</v>
      </c>
      <c r="AA1390" s="7" t="s">
        <v>104</v>
      </c>
      <c r="AB1390" s="7" t="s">
        <v>228</v>
      </c>
      <c r="AC1390" s="7" t="s">
        <v>65</v>
      </c>
      <c r="AD1390" s="7" t="s">
        <v>0</v>
      </c>
      <c r="AE1390" s="7" t="s">
        <v>0</v>
      </c>
      <c r="AF1390" s="7" t="s">
        <v>0</v>
      </c>
      <c r="AG1390" s="7" t="s">
        <v>0</v>
      </c>
      <c r="AH1390" s="9" t="s">
        <v>0</v>
      </c>
      <c r="AI1390" s="9" t="s">
        <v>0</v>
      </c>
      <c r="AJ1390" s="9" t="s">
        <v>0</v>
      </c>
      <c r="AK1390" s="7" t="s">
        <v>61</v>
      </c>
      <c r="AL1390" s="7" t="s">
        <v>61</v>
      </c>
      <c r="AM1390" s="7" t="s">
        <v>0</v>
      </c>
      <c r="AN1390" s="7" t="s">
        <v>0</v>
      </c>
      <c r="AO1390" s="7" t="s">
        <v>0</v>
      </c>
      <c r="AP1390" s="7" t="s">
        <v>0</v>
      </c>
      <c r="AQ1390" s="7" t="s">
        <v>61</v>
      </c>
      <c r="AR1390" s="7" t="s">
        <v>0</v>
      </c>
      <c r="AS1390" s="10" t="str">
        <f>HYPERLINK("https://tessa.gazprom-neft.local/edo/card/06c3bcac-4e84-4cb9-b138-a7a5682a0b8f", "https://tessa.gazprom-neft.local/edo/card/06c3bcac-4e84-4cb9-b138-a7a5682a0b8f")</f>
        <v>https://tessa.gazprom-neft.local/edo/card/06c3bcac-4e84-4cb9-b138-a7a5682a0b8f</v>
      </c>
    </row>
    <row r="1391" spans="1:45" x14ac:dyDescent="0.25">
      <c r="A1391" s="6" t="s">
        <v>44</v>
      </c>
      <c r="B1391" s="7" t="s">
        <v>9256</v>
      </c>
      <c r="C1391" s="7" t="s">
        <v>46</v>
      </c>
      <c r="D1391" s="8">
        <v>44848</v>
      </c>
      <c r="E1391" s="8" t="s">
        <v>0</v>
      </c>
      <c r="F1391" s="16" t="s">
        <v>9257</v>
      </c>
      <c r="G1391" s="7" t="s">
        <v>9258</v>
      </c>
      <c r="H1391" s="7" t="s">
        <v>3310</v>
      </c>
      <c r="I1391" s="7" t="s">
        <v>0</v>
      </c>
      <c r="J1391" s="7" t="s">
        <v>51</v>
      </c>
      <c r="K1391" s="7" t="s">
        <v>47</v>
      </c>
      <c r="L1391" s="7" t="s">
        <v>48</v>
      </c>
      <c r="M1391" s="7" t="s">
        <v>0</v>
      </c>
      <c r="N1391" s="7" t="s">
        <v>9254</v>
      </c>
      <c r="O1391" s="7" t="s">
        <v>0</v>
      </c>
      <c r="P1391" s="7" t="s">
        <v>50</v>
      </c>
      <c r="Q1391" s="7" t="s">
        <v>9255</v>
      </c>
      <c r="R1391" s="7" t="s">
        <v>338</v>
      </c>
      <c r="S1391" s="7" t="s">
        <v>540</v>
      </c>
      <c r="T1391" s="7" t="s">
        <v>54</v>
      </c>
      <c r="U1391" s="7" t="s">
        <v>55</v>
      </c>
      <c r="V1391" s="7" t="s">
        <v>56</v>
      </c>
      <c r="W1391" s="7" t="s">
        <v>74</v>
      </c>
      <c r="X1391" s="7" t="s">
        <v>58</v>
      </c>
      <c r="Y1391" s="8">
        <v>44848</v>
      </c>
      <c r="Z1391" s="8" t="s">
        <v>0</v>
      </c>
      <c r="AA1391" s="7" t="s">
        <v>0</v>
      </c>
      <c r="AB1391" s="7" t="s">
        <v>545</v>
      </c>
      <c r="AC1391" s="7" t="s">
        <v>65</v>
      </c>
      <c r="AD1391" s="7" t="s">
        <v>144</v>
      </c>
      <c r="AE1391" s="7" t="s">
        <v>0</v>
      </c>
      <c r="AF1391" s="7" t="s">
        <v>0</v>
      </c>
      <c r="AG1391" s="7" t="s">
        <v>0</v>
      </c>
      <c r="AH1391" s="9" t="s">
        <v>0</v>
      </c>
      <c r="AI1391" s="9" t="s">
        <v>0</v>
      </c>
      <c r="AJ1391" s="9" t="s">
        <v>0</v>
      </c>
      <c r="AK1391" s="7" t="s">
        <v>61</v>
      </c>
      <c r="AL1391" s="7" t="s">
        <v>61</v>
      </c>
      <c r="AM1391" s="7" t="s">
        <v>0</v>
      </c>
      <c r="AN1391" s="7" t="s">
        <v>0</v>
      </c>
      <c r="AO1391" s="7" t="s">
        <v>0</v>
      </c>
      <c r="AP1391" s="7" t="s">
        <v>0</v>
      </c>
      <c r="AQ1391" s="7" t="s">
        <v>61</v>
      </c>
      <c r="AR1391" s="7" t="s">
        <v>0</v>
      </c>
      <c r="AS1391" s="10" t="str">
        <f>HYPERLINK("https://tessa.gazprom-neft.local/edo/card/81c6c303-78d4-4820-a4dc-fe29ee91638f", "https://tessa.gazprom-neft.local/edo/card/81c6c303-78d4-4820-a4dc-fe29ee91638f")</f>
        <v>https://tessa.gazprom-neft.local/edo/card/81c6c303-78d4-4820-a4dc-fe29ee91638f</v>
      </c>
    </row>
    <row r="1392" spans="1:45" x14ac:dyDescent="0.25">
      <c r="A1392" s="6" t="s">
        <v>44</v>
      </c>
      <c r="B1392" s="7" t="s">
        <v>592</v>
      </c>
      <c r="C1392" s="7" t="s">
        <v>67</v>
      </c>
      <c r="D1392" s="8">
        <v>44848</v>
      </c>
      <c r="E1392" s="8" t="s">
        <v>0</v>
      </c>
      <c r="F1392" s="16" t="s">
        <v>593</v>
      </c>
      <c r="G1392" s="7" t="s">
        <v>594</v>
      </c>
      <c r="H1392" s="7" t="s">
        <v>0</v>
      </c>
      <c r="I1392" s="7" t="s">
        <v>0</v>
      </c>
      <c r="J1392" s="7" t="s">
        <v>51</v>
      </c>
      <c r="K1392" s="7" t="s">
        <v>47</v>
      </c>
      <c r="L1392" s="7" t="s">
        <v>48</v>
      </c>
      <c r="M1392" s="7" t="s">
        <v>0</v>
      </c>
      <c r="N1392" s="7" t="s">
        <v>9412</v>
      </c>
      <c r="O1392" s="7" t="s">
        <v>0</v>
      </c>
      <c r="P1392" s="7" t="s">
        <v>50</v>
      </c>
      <c r="Q1392" s="7" t="s">
        <v>9413</v>
      </c>
      <c r="R1392" s="7" t="s">
        <v>338</v>
      </c>
      <c r="S1392" s="7" t="s">
        <v>590</v>
      </c>
      <c r="T1392" s="7" t="s">
        <v>54</v>
      </c>
      <c r="U1392" s="7" t="s">
        <v>591</v>
      </c>
      <c r="V1392" s="7" t="s">
        <v>126</v>
      </c>
      <c r="W1392" s="7" t="s">
        <v>74</v>
      </c>
      <c r="X1392" s="7" t="s">
        <v>58</v>
      </c>
      <c r="Y1392" s="8">
        <v>44848</v>
      </c>
      <c r="Z1392" s="8" t="s">
        <v>0</v>
      </c>
      <c r="AA1392" s="7" t="s">
        <v>224</v>
      </c>
      <c r="AB1392" s="7" t="s">
        <v>387</v>
      </c>
      <c r="AC1392" s="7" t="s">
        <v>65</v>
      </c>
      <c r="AD1392" s="7" t="s">
        <v>144</v>
      </c>
      <c r="AE1392" s="7" t="s">
        <v>0</v>
      </c>
      <c r="AF1392" s="7" t="s">
        <v>0</v>
      </c>
      <c r="AG1392" s="7" t="s">
        <v>0</v>
      </c>
      <c r="AH1392" s="9" t="s">
        <v>0</v>
      </c>
      <c r="AI1392" s="9" t="s">
        <v>0</v>
      </c>
      <c r="AJ1392" s="9" t="s">
        <v>0</v>
      </c>
      <c r="AK1392" s="7" t="s">
        <v>61</v>
      </c>
      <c r="AL1392" s="7" t="s">
        <v>61</v>
      </c>
      <c r="AM1392" s="7" t="s">
        <v>0</v>
      </c>
      <c r="AN1392" s="7" t="s">
        <v>0</v>
      </c>
      <c r="AO1392" s="7" t="s">
        <v>0</v>
      </c>
      <c r="AP1392" s="7" t="s">
        <v>0</v>
      </c>
      <c r="AQ1392" s="7" t="s">
        <v>61</v>
      </c>
      <c r="AR1392" s="7" t="s">
        <v>0</v>
      </c>
      <c r="AS1392" s="10" t="str">
        <f>HYPERLINK("https://tessa.gazprom-neft.local/edo/card/48a417ad-ba40-4271-b40c-00ae39fadee2", "https://tessa.gazprom-neft.local/edo/card/48a417ad-ba40-4271-b40c-00ae39fadee2")</f>
        <v>https://tessa.gazprom-neft.local/edo/card/48a417ad-ba40-4271-b40c-00ae39fadee2</v>
      </c>
    </row>
    <row r="1393" spans="1:45" x14ac:dyDescent="0.25">
      <c r="A1393" s="6" t="s">
        <v>44</v>
      </c>
      <c r="B1393" s="7" t="s">
        <v>2350</v>
      </c>
      <c r="C1393" s="7" t="s">
        <v>67</v>
      </c>
      <c r="D1393" s="8">
        <v>44848</v>
      </c>
      <c r="E1393" s="8" t="s">
        <v>0</v>
      </c>
      <c r="F1393" s="16" t="s">
        <v>2351</v>
      </c>
      <c r="G1393" s="7" t="s">
        <v>2352</v>
      </c>
      <c r="H1393" s="7" t="s">
        <v>9430</v>
      </c>
      <c r="I1393" s="7" t="s">
        <v>0</v>
      </c>
      <c r="J1393" s="7" t="s">
        <v>156</v>
      </c>
      <c r="K1393" s="7" t="s">
        <v>47</v>
      </c>
      <c r="L1393" s="7" t="s">
        <v>48</v>
      </c>
      <c r="M1393" s="7" t="s">
        <v>0</v>
      </c>
      <c r="N1393" s="7" t="s">
        <v>9429</v>
      </c>
      <c r="O1393" s="7" t="s">
        <v>0</v>
      </c>
      <c r="P1393" s="7" t="s">
        <v>9431</v>
      </c>
      <c r="Q1393" s="7" t="s">
        <v>9432</v>
      </c>
      <c r="R1393" s="7" t="s">
        <v>361</v>
      </c>
      <c r="S1393" s="7" t="s">
        <v>361</v>
      </c>
      <c r="T1393" s="7" t="s">
        <v>54</v>
      </c>
      <c r="U1393" s="7" t="s">
        <v>362</v>
      </c>
      <c r="V1393" s="7" t="s">
        <v>295</v>
      </c>
      <c r="W1393" s="7" t="s">
        <v>74</v>
      </c>
      <c r="X1393" s="7" t="s">
        <v>58</v>
      </c>
      <c r="Y1393" s="8">
        <v>44848</v>
      </c>
      <c r="Z1393" s="8" t="s">
        <v>0</v>
      </c>
      <c r="AA1393" s="7" t="s">
        <v>296</v>
      </c>
      <c r="AB1393" s="7" t="s">
        <v>64</v>
      </c>
      <c r="AC1393" s="7" t="s">
        <v>65</v>
      </c>
      <c r="AD1393" s="7" t="s">
        <v>0</v>
      </c>
      <c r="AE1393" s="7" t="s">
        <v>0</v>
      </c>
      <c r="AF1393" s="7" t="s">
        <v>0</v>
      </c>
      <c r="AG1393" s="7" t="s">
        <v>0</v>
      </c>
      <c r="AH1393" s="9" t="s">
        <v>0</v>
      </c>
      <c r="AI1393" s="9" t="s">
        <v>0</v>
      </c>
      <c r="AJ1393" s="9" t="s">
        <v>0</v>
      </c>
      <c r="AK1393" s="7" t="s">
        <v>61</v>
      </c>
      <c r="AL1393" s="7" t="s">
        <v>61</v>
      </c>
      <c r="AM1393" s="7" t="s">
        <v>0</v>
      </c>
      <c r="AN1393" s="7" t="s">
        <v>0</v>
      </c>
      <c r="AO1393" s="7" t="s">
        <v>0</v>
      </c>
      <c r="AP1393" s="7" t="s">
        <v>0</v>
      </c>
      <c r="AQ1393" s="7" t="s">
        <v>61</v>
      </c>
      <c r="AR1393" s="7" t="s">
        <v>0</v>
      </c>
      <c r="AS1393" s="10" t="str">
        <f>HYPERLINK("https://tessa.gazprom-neft.local/edo/card/907fa732-4ee2-4461-a197-3cc2cecff0f5", "https://tessa.gazprom-neft.local/edo/card/907fa732-4ee2-4461-a197-3cc2cecff0f5")</f>
        <v>https://tessa.gazprom-neft.local/edo/card/907fa732-4ee2-4461-a197-3cc2cecff0f5</v>
      </c>
    </row>
    <row r="1394" spans="1:45" x14ac:dyDescent="0.25">
      <c r="A1394" s="6" t="s">
        <v>44</v>
      </c>
      <c r="B1394" s="7" t="s">
        <v>384</v>
      </c>
      <c r="C1394" s="7" t="s">
        <v>67</v>
      </c>
      <c r="D1394" s="8">
        <v>44847</v>
      </c>
      <c r="E1394" s="8" t="s">
        <v>0</v>
      </c>
      <c r="F1394" s="16" t="s">
        <v>385</v>
      </c>
      <c r="G1394" s="7" t="s">
        <v>386</v>
      </c>
      <c r="H1394" s="7" t="s">
        <v>378</v>
      </c>
      <c r="I1394" s="7" t="s">
        <v>0</v>
      </c>
      <c r="J1394" s="7" t="s">
        <v>355</v>
      </c>
      <c r="K1394" s="7" t="s">
        <v>47</v>
      </c>
      <c r="L1394" s="7" t="s">
        <v>48</v>
      </c>
      <c r="M1394" s="7" t="s">
        <v>0</v>
      </c>
      <c r="N1394" s="7" t="s">
        <v>9280</v>
      </c>
      <c r="O1394" s="7" t="s">
        <v>0</v>
      </c>
      <c r="P1394" s="7" t="s">
        <v>1092</v>
      </c>
      <c r="Q1394" s="7" t="s">
        <v>9281</v>
      </c>
      <c r="R1394" s="7" t="s">
        <v>338</v>
      </c>
      <c r="S1394" s="7" t="s">
        <v>1066</v>
      </c>
      <c r="T1394" s="7" t="s">
        <v>54</v>
      </c>
      <c r="U1394" s="7" t="s">
        <v>136</v>
      </c>
      <c r="V1394" s="7" t="s">
        <v>102</v>
      </c>
      <c r="W1394" s="7" t="s">
        <v>74</v>
      </c>
      <c r="X1394" s="7" t="s">
        <v>58</v>
      </c>
      <c r="Y1394" s="8">
        <v>44847</v>
      </c>
      <c r="Z1394" s="8" t="s">
        <v>0</v>
      </c>
      <c r="AA1394" s="7" t="s">
        <v>104</v>
      </c>
      <c r="AB1394" s="7" t="s">
        <v>2403</v>
      </c>
      <c r="AC1394" s="7" t="s">
        <v>65</v>
      </c>
      <c r="AD1394" s="7" t="s">
        <v>80</v>
      </c>
      <c r="AE1394" s="7" t="s">
        <v>0</v>
      </c>
      <c r="AF1394" s="7" t="s">
        <v>0</v>
      </c>
      <c r="AG1394" s="7" t="s">
        <v>0</v>
      </c>
      <c r="AH1394" s="9" t="s">
        <v>0</v>
      </c>
      <c r="AI1394" s="9" t="s">
        <v>0</v>
      </c>
      <c r="AJ1394" s="9" t="s">
        <v>0</v>
      </c>
      <c r="AK1394" s="7" t="s">
        <v>61</v>
      </c>
      <c r="AL1394" s="7" t="s">
        <v>61</v>
      </c>
      <c r="AM1394" s="7" t="s">
        <v>0</v>
      </c>
      <c r="AN1394" s="7" t="s">
        <v>0</v>
      </c>
      <c r="AO1394" s="7" t="s">
        <v>0</v>
      </c>
      <c r="AP1394" s="7" t="s">
        <v>0</v>
      </c>
      <c r="AQ1394" s="7" t="s">
        <v>61</v>
      </c>
      <c r="AR1394" s="7" t="s">
        <v>0</v>
      </c>
      <c r="AS1394" s="10" t="str">
        <f>HYPERLINK("https://tessa.gazprom-neft.local/edo/card/2c9e07d2-e43f-4127-afed-afdea448cb6b", "https://tessa.gazprom-neft.local/edo/card/2c9e07d2-e43f-4127-afed-afdea448cb6b")</f>
        <v>https://tessa.gazprom-neft.local/edo/card/2c9e07d2-e43f-4127-afed-afdea448cb6b</v>
      </c>
    </row>
    <row r="1395" spans="1:45" x14ac:dyDescent="0.25">
      <c r="A1395" s="6" t="s">
        <v>44</v>
      </c>
      <c r="B1395" s="7" t="s">
        <v>1754</v>
      </c>
      <c r="C1395" s="7" t="s">
        <v>67</v>
      </c>
      <c r="D1395" s="8">
        <v>44846</v>
      </c>
      <c r="E1395" s="8" t="s">
        <v>0</v>
      </c>
      <c r="F1395" s="16" t="s">
        <v>1755</v>
      </c>
      <c r="G1395" s="7" t="s">
        <v>1756</v>
      </c>
      <c r="H1395" s="7" t="s">
        <v>1751</v>
      </c>
      <c r="I1395" s="7" t="s">
        <v>0</v>
      </c>
      <c r="J1395" s="7" t="s">
        <v>271</v>
      </c>
      <c r="K1395" s="7" t="s">
        <v>47</v>
      </c>
      <c r="L1395" s="7" t="s">
        <v>48</v>
      </c>
      <c r="M1395" s="7" t="s">
        <v>0</v>
      </c>
      <c r="N1395" s="7" t="s">
        <v>9244</v>
      </c>
      <c r="O1395" s="7" t="s">
        <v>0</v>
      </c>
      <c r="P1395" s="7" t="s">
        <v>312</v>
      </c>
      <c r="Q1395" s="7" t="s">
        <v>1093</v>
      </c>
      <c r="R1395" s="7" t="s">
        <v>338</v>
      </c>
      <c r="S1395" s="7" t="s">
        <v>1753</v>
      </c>
      <c r="T1395" s="7" t="s">
        <v>54</v>
      </c>
      <c r="U1395" s="7" t="s">
        <v>210</v>
      </c>
      <c r="V1395" s="7" t="s">
        <v>126</v>
      </c>
      <c r="W1395" s="7" t="s">
        <v>74</v>
      </c>
      <c r="X1395" s="7" t="s">
        <v>58</v>
      </c>
      <c r="Y1395" s="8">
        <v>44846</v>
      </c>
      <c r="Z1395" s="8" t="s">
        <v>0</v>
      </c>
      <c r="AA1395" s="7" t="s">
        <v>224</v>
      </c>
      <c r="AB1395" s="7" t="s">
        <v>423</v>
      </c>
      <c r="AC1395" s="7" t="s">
        <v>65</v>
      </c>
      <c r="AD1395" s="7" t="s">
        <v>80</v>
      </c>
      <c r="AE1395" s="7" t="s">
        <v>0</v>
      </c>
      <c r="AF1395" s="7" t="s">
        <v>0</v>
      </c>
      <c r="AG1395" s="7" t="s">
        <v>0</v>
      </c>
      <c r="AH1395" s="9" t="s">
        <v>0</v>
      </c>
      <c r="AI1395" s="9" t="s">
        <v>0</v>
      </c>
      <c r="AJ1395" s="9" t="s">
        <v>0</v>
      </c>
      <c r="AK1395" s="7" t="s">
        <v>61</v>
      </c>
      <c r="AL1395" s="7" t="s">
        <v>61</v>
      </c>
      <c r="AM1395" s="7" t="s">
        <v>0</v>
      </c>
      <c r="AN1395" s="7" t="s">
        <v>0</v>
      </c>
      <c r="AO1395" s="7" t="s">
        <v>0</v>
      </c>
      <c r="AP1395" s="7" t="s">
        <v>0</v>
      </c>
      <c r="AQ1395" s="7" t="s">
        <v>61</v>
      </c>
      <c r="AR1395" s="7" t="s">
        <v>0</v>
      </c>
      <c r="AS1395" s="10" t="str">
        <f>HYPERLINK("https://tessa.gazprom-neft.local/edo/card/6218ffe6-2a6a-429d-ba89-20b6295af366", "https://tessa.gazprom-neft.local/edo/card/6218ffe6-2a6a-429d-ba89-20b6295af366")</f>
        <v>https://tessa.gazprom-neft.local/edo/card/6218ffe6-2a6a-429d-ba89-20b6295af366</v>
      </c>
    </row>
    <row r="1396" spans="1:45" x14ac:dyDescent="0.25">
      <c r="A1396" s="6" t="s">
        <v>44</v>
      </c>
      <c r="B1396" s="7" t="s">
        <v>3273</v>
      </c>
      <c r="C1396" s="7" t="s">
        <v>67</v>
      </c>
      <c r="D1396" s="8">
        <v>44846</v>
      </c>
      <c r="E1396" s="8" t="s">
        <v>0</v>
      </c>
      <c r="F1396" s="16" t="s">
        <v>3274</v>
      </c>
      <c r="G1396" s="7" t="s">
        <v>3275</v>
      </c>
      <c r="H1396" s="7" t="s">
        <v>3565</v>
      </c>
      <c r="I1396" s="7" t="s">
        <v>0</v>
      </c>
      <c r="J1396" s="7" t="s">
        <v>271</v>
      </c>
      <c r="K1396" s="7" t="s">
        <v>47</v>
      </c>
      <c r="L1396" s="7" t="s">
        <v>48</v>
      </c>
      <c r="M1396" s="7" t="s">
        <v>0</v>
      </c>
      <c r="N1396" s="7" t="s">
        <v>9368</v>
      </c>
      <c r="O1396" s="7" t="s">
        <v>0</v>
      </c>
      <c r="P1396" s="7" t="s">
        <v>920</v>
      </c>
      <c r="Q1396" s="7" t="s">
        <v>9369</v>
      </c>
      <c r="R1396" s="7" t="s">
        <v>5423</v>
      </c>
      <c r="S1396" s="7" t="s">
        <v>3144</v>
      </c>
      <c r="T1396" s="7" t="s">
        <v>54</v>
      </c>
      <c r="U1396" s="7" t="s">
        <v>199</v>
      </c>
      <c r="V1396" s="7" t="s">
        <v>126</v>
      </c>
      <c r="W1396" s="7" t="s">
        <v>74</v>
      </c>
      <c r="X1396" s="7" t="s">
        <v>58</v>
      </c>
      <c r="Y1396" s="8">
        <v>44846</v>
      </c>
      <c r="Z1396" s="8" t="s">
        <v>0</v>
      </c>
      <c r="AA1396" s="7" t="s">
        <v>224</v>
      </c>
      <c r="AB1396" s="7" t="s">
        <v>130</v>
      </c>
      <c r="AC1396" s="7" t="s">
        <v>65</v>
      </c>
      <c r="AD1396" s="7" t="s">
        <v>80</v>
      </c>
      <c r="AE1396" s="7" t="s">
        <v>0</v>
      </c>
      <c r="AF1396" s="7" t="s">
        <v>0</v>
      </c>
      <c r="AG1396" s="7" t="s">
        <v>0</v>
      </c>
      <c r="AH1396" s="9" t="s">
        <v>0</v>
      </c>
      <c r="AI1396" s="9" t="s">
        <v>0</v>
      </c>
      <c r="AJ1396" s="9" t="s">
        <v>0</v>
      </c>
      <c r="AK1396" s="7" t="s">
        <v>61</v>
      </c>
      <c r="AL1396" s="7" t="s">
        <v>61</v>
      </c>
      <c r="AM1396" s="7" t="s">
        <v>0</v>
      </c>
      <c r="AN1396" s="7" t="s">
        <v>0</v>
      </c>
      <c r="AO1396" s="7" t="s">
        <v>0</v>
      </c>
      <c r="AP1396" s="7" t="s">
        <v>0</v>
      </c>
      <c r="AQ1396" s="7" t="s">
        <v>61</v>
      </c>
      <c r="AR1396" s="7" t="s">
        <v>0</v>
      </c>
      <c r="AS1396" s="10" t="str">
        <f>HYPERLINK("https://tessa.gazprom-neft.local/edo/card/6eede8cb-483e-49c3-908f-2438145a99d4", "https://tessa.gazprom-neft.local/edo/card/6eede8cb-483e-49c3-908f-2438145a99d4")</f>
        <v>https://tessa.gazprom-neft.local/edo/card/6eede8cb-483e-49c3-908f-2438145a99d4</v>
      </c>
    </row>
    <row r="1397" spans="1:45" x14ac:dyDescent="0.25">
      <c r="A1397" s="6" t="s">
        <v>44</v>
      </c>
      <c r="B1397" s="7" t="s">
        <v>1495</v>
      </c>
      <c r="C1397" s="7" t="s">
        <v>67</v>
      </c>
      <c r="D1397" s="8">
        <v>44846</v>
      </c>
      <c r="E1397" s="8" t="s">
        <v>0</v>
      </c>
      <c r="F1397" s="16" t="s">
        <v>1496</v>
      </c>
      <c r="G1397" s="7" t="s">
        <v>1497</v>
      </c>
      <c r="H1397" s="7" t="s">
        <v>1492</v>
      </c>
      <c r="I1397" s="7" t="s">
        <v>0</v>
      </c>
      <c r="J1397" s="7" t="s">
        <v>51</v>
      </c>
      <c r="K1397" s="7" t="s">
        <v>47</v>
      </c>
      <c r="L1397" s="7" t="s">
        <v>48</v>
      </c>
      <c r="M1397" s="7" t="s">
        <v>0</v>
      </c>
      <c r="N1397" s="7" t="s">
        <v>9374</v>
      </c>
      <c r="O1397" s="7" t="s">
        <v>0</v>
      </c>
      <c r="P1397" s="7" t="s">
        <v>9375</v>
      </c>
      <c r="Q1397" s="7" t="s">
        <v>9376</v>
      </c>
      <c r="R1397" s="7" t="s">
        <v>505</v>
      </c>
      <c r="S1397" s="7" t="s">
        <v>505</v>
      </c>
      <c r="T1397" s="7" t="s">
        <v>54</v>
      </c>
      <c r="U1397" s="7" t="s">
        <v>210</v>
      </c>
      <c r="V1397" s="7" t="s">
        <v>126</v>
      </c>
      <c r="W1397" s="7" t="s">
        <v>74</v>
      </c>
      <c r="X1397" s="7" t="s">
        <v>103</v>
      </c>
      <c r="Y1397" s="8">
        <v>44846</v>
      </c>
      <c r="Z1397" s="8">
        <v>45504</v>
      </c>
      <c r="AA1397" s="7" t="s">
        <v>224</v>
      </c>
      <c r="AB1397" s="7" t="s">
        <v>1498</v>
      </c>
      <c r="AC1397" s="7" t="s">
        <v>65</v>
      </c>
      <c r="AD1397" s="7" t="s">
        <v>80</v>
      </c>
      <c r="AE1397" s="7" t="s">
        <v>0</v>
      </c>
      <c r="AF1397" s="7" t="s">
        <v>0</v>
      </c>
      <c r="AG1397" s="7" t="s">
        <v>0</v>
      </c>
      <c r="AH1397" s="9" t="s">
        <v>0</v>
      </c>
      <c r="AI1397" s="9" t="s">
        <v>0</v>
      </c>
      <c r="AJ1397" s="9" t="s">
        <v>0</v>
      </c>
      <c r="AK1397" s="7" t="s">
        <v>61</v>
      </c>
      <c r="AL1397" s="7" t="s">
        <v>61</v>
      </c>
      <c r="AM1397" s="7" t="s">
        <v>0</v>
      </c>
      <c r="AN1397" s="7" t="s">
        <v>0</v>
      </c>
      <c r="AO1397" s="7" t="s">
        <v>0</v>
      </c>
      <c r="AP1397" s="7" t="s">
        <v>0</v>
      </c>
      <c r="AQ1397" s="7" t="s">
        <v>61</v>
      </c>
      <c r="AR1397" s="7" t="s">
        <v>0</v>
      </c>
      <c r="AS1397" s="10" t="str">
        <f>HYPERLINK("https://tessa.gazprom-neft.local/edo/card/9e276460-0ea9-4fe1-8150-8dffc8bc6c78", "https://tessa.gazprom-neft.local/edo/card/9e276460-0ea9-4fe1-8150-8dffc8bc6c78")</f>
        <v>https://tessa.gazprom-neft.local/edo/card/9e276460-0ea9-4fe1-8150-8dffc8bc6c78</v>
      </c>
    </row>
    <row r="1398" spans="1:45" hidden="1" x14ac:dyDescent="0.25">
      <c r="A1398" s="6" t="s">
        <v>44</v>
      </c>
      <c r="B1398" s="7" t="s">
        <v>1240</v>
      </c>
      <c r="C1398" s="7" t="s">
        <v>67</v>
      </c>
      <c r="D1398" s="8">
        <v>44846</v>
      </c>
      <c r="E1398" s="8" t="s">
        <v>0</v>
      </c>
      <c r="F1398" s="16" t="s">
        <v>1241</v>
      </c>
      <c r="G1398" s="7" t="s">
        <v>1242</v>
      </c>
      <c r="H1398" s="7" t="s">
        <v>3083</v>
      </c>
      <c r="I1398" s="7" t="s">
        <v>0</v>
      </c>
      <c r="J1398" s="7" t="s">
        <v>271</v>
      </c>
      <c r="K1398" s="7" t="s">
        <v>47</v>
      </c>
      <c r="L1398" s="7" t="s">
        <v>239</v>
      </c>
      <c r="M1398" s="7" t="s">
        <v>0</v>
      </c>
      <c r="N1398" s="7" t="s">
        <v>9450</v>
      </c>
      <c r="O1398" s="7" t="s">
        <v>0</v>
      </c>
      <c r="P1398" s="7" t="s">
        <v>9451</v>
      </c>
      <c r="Q1398" s="7" t="s">
        <v>9452</v>
      </c>
      <c r="R1398" s="7" t="s">
        <v>393</v>
      </c>
      <c r="S1398" s="7" t="s">
        <v>1261</v>
      </c>
      <c r="T1398" s="7" t="s">
        <v>54</v>
      </c>
      <c r="U1398" s="7" t="s">
        <v>222</v>
      </c>
      <c r="V1398" s="7" t="s">
        <v>126</v>
      </c>
      <c r="W1398" s="7" t="s">
        <v>74</v>
      </c>
      <c r="X1398" s="7" t="s">
        <v>223</v>
      </c>
      <c r="Y1398" s="8">
        <v>44846</v>
      </c>
      <c r="Z1398" s="8" t="s">
        <v>0</v>
      </c>
      <c r="AA1398" s="7" t="s">
        <v>224</v>
      </c>
      <c r="AB1398" s="7" t="s">
        <v>1243</v>
      </c>
      <c r="AC1398" s="7" t="s">
        <v>79</v>
      </c>
      <c r="AD1398" s="7" t="s">
        <v>144</v>
      </c>
      <c r="AE1398" s="7" t="s">
        <v>82</v>
      </c>
      <c r="AF1398" s="7" t="s">
        <v>0</v>
      </c>
      <c r="AG1398" s="7" t="s">
        <v>0</v>
      </c>
      <c r="AH1398" s="9" t="s">
        <v>13935</v>
      </c>
      <c r="AI1398" s="9" t="s">
        <v>13936</v>
      </c>
      <c r="AJ1398" s="9" t="s">
        <v>13937</v>
      </c>
      <c r="AK1398" s="7" t="s">
        <v>61</v>
      </c>
      <c r="AL1398" s="7" t="s">
        <v>61</v>
      </c>
      <c r="AM1398" s="7" t="s">
        <v>0</v>
      </c>
      <c r="AN1398" s="7" t="s">
        <v>0</v>
      </c>
      <c r="AO1398" s="7" t="s">
        <v>0</v>
      </c>
      <c r="AP1398" s="7" t="s">
        <v>0</v>
      </c>
      <c r="AQ1398" s="7" t="s">
        <v>61</v>
      </c>
      <c r="AR1398" s="7" t="s">
        <v>0</v>
      </c>
      <c r="AS1398" s="10" t="str">
        <f>HYPERLINK("https://tessa.gazprom-neft.local/edo/card/0c705f65-2396-4ea4-bf48-a01a476b01a4", "https://tessa.gazprom-neft.local/edo/card/0c705f65-2396-4ea4-bf48-a01a476b01a4")</f>
        <v>https://tessa.gazprom-neft.local/edo/card/0c705f65-2396-4ea4-bf48-a01a476b01a4</v>
      </c>
    </row>
    <row r="1399" spans="1:45" hidden="1" x14ac:dyDescent="0.25">
      <c r="A1399" s="6" t="s">
        <v>44</v>
      </c>
      <c r="B1399" s="7" t="s">
        <v>1240</v>
      </c>
      <c r="C1399" s="7" t="s">
        <v>67</v>
      </c>
      <c r="D1399" s="8">
        <v>44846</v>
      </c>
      <c r="E1399" s="8" t="s">
        <v>0</v>
      </c>
      <c r="F1399" s="16" t="s">
        <v>1241</v>
      </c>
      <c r="G1399" s="7" t="s">
        <v>1242</v>
      </c>
      <c r="H1399" s="7" t="s">
        <v>1237</v>
      </c>
      <c r="I1399" s="7" t="s">
        <v>0</v>
      </c>
      <c r="J1399" s="7" t="s">
        <v>51</v>
      </c>
      <c r="K1399" s="7" t="s">
        <v>47</v>
      </c>
      <c r="L1399" s="7" t="s">
        <v>389</v>
      </c>
      <c r="M1399" s="7" t="s">
        <v>0</v>
      </c>
      <c r="N1399" s="7" t="s">
        <v>9457</v>
      </c>
      <c r="O1399" s="7" t="s">
        <v>51</v>
      </c>
      <c r="P1399" s="7" t="s">
        <v>9458</v>
      </c>
      <c r="Q1399" s="7" t="s">
        <v>9459</v>
      </c>
      <c r="R1399" s="7" t="s">
        <v>393</v>
      </c>
      <c r="S1399" s="7" t="s">
        <v>1261</v>
      </c>
      <c r="T1399" s="7" t="s">
        <v>54</v>
      </c>
      <c r="U1399" s="7" t="s">
        <v>222</v>
      </c>
      <c r="V1399" s="7" t="s">
        <v>126</v>
      </c>
      <c r="W1399" s="7" t="s">
        <v>74</v>
      </c>
      <c r="X1399" s="7" t="s">
        <v>223</v>
      </c>
      <c r="Y1399" s="8">
        <v>44846</v>
      </c>
      <c r="Z1399" s="8" t="s">
        <v>0</v>
      </c>
      <c r="AA1399" s="7" t="s">
        <v>224</v>
      </c>
      <c r="AB1399" s="7" t="s">
        <v>1243</v>
      </c>
      <c r="AC1399" s="7" t="s">
        <v>79</v>
      </c>
      <c r="AD1399" s="7" t="s">
        <v>144</v>
      </c>
      <c r="AE1399" s="7" t="s">
        <v>82</v>
      </c>
      <c r="AF1399" s="7" t="s">
        <v>0</v>
      </c>
      <c r="AG1399" s="7" t="s">
        <v>0</v>
      </c>
      <c r="AH1399" s="9" t="s">
        <v>13941</v>
      </c>
      <c r="AI1399" s="9" t="s">
        <v>13942</v>
      </c>
      <c r="AJ1399" s="9" t="s">
        <v>13943</v>
      </c>
      <c r="AK1399" s="7" t="s">
        <v>61</v>
      </c>
      <c r="AL1399" s="7" t="s">
        <v>61</v>
      </c>
      <c r="AM1399" s="7" t="s">
        <v>0</v>
      </c>
      <c r="AN1399" s="7" t="s">
        <v>0</v>
      </c>
      <c r="AO1399" s="7" t="s">
        <v>0</v>
      </c>
      <c r="AP1399" s="7" t="s">
        <v>0</v>
      </c>
      <c r="AQ1399" s="7" t="s">
        <v>61</v>
      </c>
      <c r="AR1399" s="7" t="s">
        <v>0</v>
      </c>
      <c r="AS1399" s="10" t="str">
        <f>HYPERLINK("https://tessa.gazprom-neft.local/edo/card/52d127c5-17d9-433d-9a5d-ea47a6ddc828", "https://tessa.gazprom-neft.local/edo/card/52d127c5-17d9-433d-9a5d-ea47a6ddc828")</f>
        <v>https://tessa.gazprom-neft.local/edo/card/52d127c5-17d9-433d-9a5d-ea47a6ddc828</v>
      </c>
    </row>
    <row r="1400" spans="1:45" x14ac:dyDescent="0.25">
      <c r="A1400" s="6" t="s">
        <v>44</v>
      </c>
      <c r="B1400" s="7" t="s">
        <v>1981</v>
      </c>
      <c r="C1400" s="7" t="s">
        <v>67</v>
      </c>
      <c r="D1400" s="8">
        <v>44844</v>
      </c>
      <c r="E1400" s="8" t="s">
        <v>0</v>
      </c>
      <c r="F1400" s="16" t="s">
        <v>1982</v>
      </c>
      <c r="G1400" s="7" t="s">
        <v>1983</v>
      </c>
      <c r="H1400" s="7" t="s">
        <v>1979</v>
      </c>
      <c r="I1400" s="7" t="s">
        <v>0</v>
      </c>
      <c r="J1400" s="7" t="s">
        <v>271</v>
      </c>
      <c r="K1400" s="7" t="s">
        <v>47</v>
      </c>
      <c r="L1400" s="7" t="s">
        <v>48</v>
      </c>
      <c r="M1400" s="7" t="s">
        <v>0</v>
      </c>
      <c r="N1400" s="7" t="s">
        <v>7356</v>
      </c>
      <c r="O1400" s="7" t="s">
        <v>0</v>
      </c>
      <c r="P1400" s="7" t="s">
        <v>7357</v>
      </c>
      <c r="Q1400" s="7" t="s">
        <v>5429</v>
      </c>
      <c r="R1400" s="7" t="s">
        <v>2594</v>
      </c>
      <c r="S1400" s="7" t="s">
        <v>0</v>
      </c>
      <c r="T1400" s="7" t="s">
        <v>54</v>
      </c>
      <c r="U1400" s="7" t="s">
        <v>199</v>
      </c>
      <c r="V1400" s="7" t="s">
        <v>126</v>
      </c>
      <c r="W1400" s="7" t="s">
        <v>74</v>
      </c>
      <c r="X1400" s="7" t="s">
        <v>103</v>
      </c>
      <c r="Y1400" s="8">
        <v>44844</v>
      </c>
      <c r="Z1400" s="8">
        <v>44926</v>
      </c>
      <c r="AA1400" s="7" t="s">
        <v>224</v>
      </c>
      <c r="AB1400" s="7" t="s">
        <v>1984</v>
      </c>
      <c r="AC1400" s="7" t="s">
        <v>65</v>
      </c>
      <c r="AD1400" s="7" t="s">
        <v>80</v>
      </c>
      <c r="AE1400" s="7" t="s">
        <v>0</v>
      </c>
      <c r="AF1400" s="7" t="s">
        <v>0</v>
      </c>
      <c r="AG1400" s="7" t="s">
        <v>0</v>
      </c>
      <c r="AH1400" s="9" t="s">
        <v>0</v>
      </c>
      <c r="AI1400" s="9" t="s">
        <v>0</v>
      </c>
      <c r="AJ1400" s="9" t="s">
        <v>0</v>
      </c>
      <c r="AK1400" s="7" t="s">
        <v>61</v>
      </c>
      <c r="AL1400" s="7" t="s">
        <v>61</v>
      </c>
      <c r="AM1400" s="7" t="s">
        <v>0</v>
      </c>
      <c r="AN1400" s="7" t="s">
        <v>0</v>
      </c>
      <c r="AO1400" s="7" t="s">
        <v>0</v>
      </c>
      <c r="AP1400" s="7" t="s">
        <v>0</v>
      </c>
      <c r="AQ1400" s="7" t="s">
        <v>61</v>
      </c>
      <c r="AR1400" s="7" t="s">
        <v>0</v>
      </c>
      <c r="AS1400" s="10" t="str">
        <f>HYPERLINK("https://tessa.gazprom-neft.local/edo/card/2727295c-f8c9-4c04-8e07-5f4aeaf8a0bc", "https://tessa.gazprom-neft.local/edo/card/2727295c-f8c9-4c04-8e07-5f4aeaf8a0bc")</f>
        <v>https://tessa.gazprom-neft.local/edo/card/2727295c-f8c9-4c04-8e07-5f4aeaf8a0bc</v>
      </c>
    </row>
    <row r="1401" spans="1:45" hidden="1" x14ac:dyDescent="0.25">
      <c r="A1401" s="6" t="s">
        <v>44</v>
      </c>
      <c r="B1401" s="7" t="s">
        <v>395</v>
      </c>
      <c r="C1401" s="7" t="s">
        <v>67</v>
      </c>
      <c r="D1401" s="8">
        <v>44844</v>
      </c>
      <c r="E1401" s="8" t="s">
        <v>0</v>
      </c>
      <c r="F1401" s="16" t="s">
        <v>396</v>
      </c>
      <c r="G1401" s="7" t="s">
        <v>397</v>
      </c>
      <c r="H1401" s="7" t="s">
        <v>0</v>
      </c>
      <c r="I1401" s="7" t="s">
        <v>390</v>
      </c>
      <c r="J1401" s="7" t="s">
        <v>390</v>
      </c>
      <c r="K1401" s="7" t="s">
        <v>47</v>
      </c>
      <c r="L1401" s="7" t="s">
        <v>96</v>
      </c>
      <c r="M1401" s="7" t="s">
        <v>0</v>
      </c>
      <c r="N1401" s="7" t="s">
        <v>9168</v>
      </c>
      <c r="O1401" s="7" t="s">
        <v>0</v>
      </c>
      <c r="P1401" s="7" t="s">
        <v>9154</v>
      </c>
      <c r="Q1401" s="7" t="s">
        <v>9169</v>
      </c>
      <c r="R1401" s="7" t="s">
        <v>393</v>
      </c>
      <c r="S1401" s="7" t="s">
        <v>394</v>
      </c>
      <c r="T1401" s="7" t="s">
        <v>54</v>
      </c>
      <c r="U1401" s="7" t="s">
        <v>222</v>
      </c>
      <c r="V1401" s="7" t="s">
        <v>126</v>
      </c>
      <c r="W1401" s="7" t="s">
        <v>74</v>
      </c>
      <c r="X1401" s="7" t="s">
        <v>58</v>
      </c>
      <c r="Y1401" s="8">
        <v>44844</v>
      </c>
      <c r="Z1401" s="8" t="s">
        <v>0</v>
      </c>
      <c r="AA1401" s="7" t="s">
        <v>224</v>
      </c>
      <c r="AB1401" s="7" t="s">
        <v>387</v>
      </c>
      <c r="AC1401" s="7" t="s">
        <v>79</v>
      </c>
      <c r="AD1401" s="7" t="s">
        <v>80</v>
      </c>
      <c r="AE1401" s="7" t="s">
        <v>82</v>
      </c>
      <c r="AF1401" s="7" t="s">
        <v>0</v>
      </c>
      <c r="AG1401" s="7" t="s">
        <v>9170</v>
      </c>
      <c r="AH1401" s="9" t="s">
        <v>13819</v>
      </c>
      <c r="AI1401" s="9" t="s">
        <v>13820</v>
      </c>
      <c r="AJ1401" s="9" t="s">
        <v>13821</v>
      </c>
      <c r="AK1401" s="7" t="s">
        <v>81</v>
      </c>
      <c r="AL1401" s="7" t="s">
        <v>61</v>
      </c>
      <c r="AM1401" s="7" t="s">
        <v>0</v>
      </c>
      <c r="AN1401" s="7" t="s">
        <v>0</v>
      </c>
      <c r="AO1401" s="7" t="s">
        <v>0</v>
      </c>
      <c r="AP1401" s="7" t="s">
        <v>0</v>
      </c>
      <c r="AQ1401" s="7" t="s">
        <v>61</v>
      </c>
      <c r="AR1401" s="7" t="s">
        <v>0</v>
      </c>
      <c r="AS1401" s="10" t="str">
        <f>HYPERLINK("https://tessa.gazprom-neft.local/edo/card/9026c4a1-3077-43e0-9478-82d0213f6d17", "https://tessa.gazprom-neft.local/edo/card/9026c4a1-3077-43e0-9478-82d0213f6d17")</f>
        <v>https://tessa.gazprom-neft.local/edo/card/9026c4a1-3077-43e0-9478-82d0213f6d17</v>
      </c>
    </row>
    <row r="1402" spans="1:45" hidden="1" x14ac:dyDescent="0.25">
      <c r="A1402" s="6" t="s">
        <v>44</v>
      </c>
      <c r="B1402" s="7" t="s">
        <v>395</v>
      </c>
      <c r="C1402" s="7" t="s">
        <v>67</v>
      </c>
      <c r="D1402" s="8">
        <v>44844</v>
      </c>
      <c r="E1402" s="8" t="s">
        <v>0</v>
      </c>
      <c r="F1402" s="16" t="s">
        <v>396</v>
      </c>
      <c r="G1402" s="7" t="s">
        <v>397</v>
      </c>
      <c r="H1402" s="7" t="s">
        <v>0</v>
      </c>
      <c r="I1402" s="7" t="s">
        <v>2846</v>
      </c>
      <c r="J1402" s="7" t="s">
        <v>2846</v>
      </c>
      <c r="K1402" s="7" t="s">
        <v>85</v>
      </c>
      <c r="L1402" s="7" t="s">
        <v>86</v>
      </c>
      <c r="M1402" s="7" t="s">
        <v>216</v>
      </c>
      <c r="N1402" s="7" t="s">
        <v>9172</v>
      </c>
      <c r="O1402" s="7" t="s">
        <v>0</v>
      </c>
      <c r="P1402" s="7" t="s">
        <v>9173</v>
      </c>
      <c r="Q1402" s="7" t="s">
        <v>2790</v>
      </c>
      <c r="R1402" s="7" t="s">
        <v>393</v>
      </c>
      <c r="S1402" s="7" t="s">
        <v>9174</v>
      </c>
      <c r="T1402" s="7" t="s">
        <v>54</v>
      </c>
      <c r="U1402" s="7" t="s">
        <v>362</v>
      </c>
      <c r="V1402" s="7" t="s">
        <v>102</v>
      </c>
      <c r="W1402" s="7" t="s">
        <v>74</v>
      </c>
      <c r="X1402" s="7" t="s">
        <v>58</v>
      </c>
      <c r="Y1402" s="8">
        <v>44844</v>
      </c>
      <c r="Z1402" s="8" t="s">
        <v>0</v>
      </c>
      <c r="AA1402" s="7" t="s">
        <v>104</v>
      </c>
      <c r="AB1402" s="7" t="s">
        <v>228</v>
      </c>
      <c r="AC1402" s="7" t="s">
        <v>65</v>
      </c>
      <c r="AD1402" s="7" t="s">
        <v>0</v>
      </c>
      <c r="AE1402" s="7" t="s">
        <v>0</v>
      </c>
      <c r="AF1402" s="7" t="s">
        <v>0</v>
      </c>
      <c r="AG1402" s="7" t="s">
        <v>0</v>
      </c>
      <c r="AH1402" s="9" t="s">
        <v>0</v>
      </c>
      <c r="AI1402" s="9" t="s">
        <v>0</v>
      </c>
      <c r="AJ1402" s="9" t="s">
        <v>0</v>
      </c>
      <c r="AK1402" s="7" t="s">
        <v>61</v>
      </c>
      <c r="AL1402" s="7" t="s">
        <v>61</v>
      </c>
      <c r="AM1402" s="7" t="s">
        <v>0</v>
      </c>
      <c r="AN1402" s="7" t="s">
        <v>0</v>
      </c>
      <c r="AO1402" s="7" t="s">
        <v>0</v>
      </c>
      <c r="AP1402" s="7" t="s">
        <v>0</v>
      </c>
      <c r="AQ1402" s="7" t="s">
        <v>61</v>
      </c>
      <c r="AR1402" s="7" t="s">
        <v>0</v>
      </c>
      <c r="AS1402" s="10" t="str">
        <f>HYPERLINK("https://tessa.gazprom-neft.local/edo/card/09f6547f-1506-4db0-8a22-340ac1241e0f", "https://tessa.gazprom-neft.local/edo/card/09f6547f-1506-4db0-8a22-340ac1241e0f")</f>
        <v>https://tessa.gazprom-neft.local/edo/card/09f6547f-1506-4db0-8a22-340ac1241e0f</v>
      </c>
    </row>
    <row r="1403" spans="1:45" hidden="1" x14ac:dyDescent="0.25">
      <c r="A1403" s="6" t="s">
        <v>44</v>
      </c>
      <c r="B1403" s="7" t="s">
        <v>395</v>
      </c>
      <c r="C1403" s="7" t="s">
        <v>46</v>
      </c>
      <c r="D1403" s="8">
        <v>44844</v>
      </c>
      <c r="E1403" s="8" t="s">
        <v>0</v>
      </c>
      <c r="F1403" s="16" t="s">
        <v>396</v>
      </c>
      <c r="G1403" s="7" t="s">
        <v>397</v>
      </c>
      <c r="H1403" s="7" t="s">
        <v>0</v>
      </c>
      <c r="I1403" s="7" t="s">
        <v>9203</v>
      </c>
      <c r="J1403" s="7" t="s">
        <v>9203</v>
      </c>
      <c r="K1403" s="7" t="s">
        <v>85</v>
      </c>
      <c r="L1403" s="7" t="s">
        <v>86</v>
      </c>
      <c r="M1403" s="7" t="s">
        <v>289</v>
      </c>
      <c r="N1403" s="7" t="s">
        <v>9202</v>
      </c>
      <c r="O1403" s="7" t="s">
        <v>0</v>
      </c>
      <c r="P1403" s="7" t="s">
        <v>289</v>
      </c>
      <c r="Q1403" s="7" t="s">
        <v>9204</v>
      </c>
      <c r="R1403" s="7" t="s">
        <v>393</v>
      </c>
      <c r="S1403" s="7" t="s">
        <v>394</v>
      </c>
      <c r="T1403" s="7" t="s">
        <v>54</v>
      </c>
      <c r="U1403" s="7" t="s">
        <v>591</v>
      </c>
      <c r="V1403" s="7" t="s">
        <v>56</v>
      </c>
      <c r="W1403" s="7" t="s">
        <v>74</v>
      </c>
      <c r="X1403" s="7" t="s">
        <v>223</v>
      </c>
      <c r="Y1403" s="8">
        <v>44838</v>
      </c>
      <c r="Z1403" s="8" t="s">
        <v>0</v>
      </c>
      <c r="AA1403" s="7" t="s">
        <v>0</v>
      </c>
      <c r="AB1403" s="7" t="s">
        <v>300</v>
      </c>
      <c r="AC1403" s="7" t="s">
        <v>65</v>
      </c>
      <c r="AD1403" s="7" t="s">
        <v>0</v>
      </c>
      <c r="AE1403" s="7" t="s">
        <v>0</v>
      </c>
      <c r="AF1403" s="7" t="s">
        <v>0</v>
      </c>
      <c r="AG1403" s="7" t="s">
        <v>0</v>
      </c>
      <c r="AH1403" s="9" t="s">
        <v>0</v>
      </c>
      <c r="AI1403" s="9" t="s">
        <v>0</v>
      </c>
      <c r="AJ1403" s="9" t="s">
        <v>0</v>
      </c>
      <c r="AK1403" s="7" t="s">
        <v>61</v>
      </c>
      <c r="AL1403" s="7" t="s">
        <v>61</v>
      </c>
      <c r="AM1403" s="7" t="s">
        <v>0</v>
      </c>
      <c r="AN1403" s="7" t="s">
        <v>0</v>
      </c>
      <c r="AO1403" s="7" t="s">
        <v>0</v>
      </c>
      <c r="AP1403" s="7" t="s">
        <v>0</v>
      </c>
      <c r="AQ1403" s="7" t="s">
        <v>61</v>
      </c>
      <c r="AR1403" s="7" t="s">
        <v>0</v>
      </c>
      <c r="AS1403" s="10" t="str">
        <f>HYPERLINK("https://tessa.gazprom-neft.local/edo/card/7db73f2b-871f-46af-aec9-816e728e405f", "https://tessa.gazprom-neft.local/edo/card/7db73f2b-871f-46af-aec9-816e728e405f")</f>
        <v>https://tessa.gazprom-neft.local/edo/card/7db73f2b-871f-46af-aec9-816e728e405f</v>
      </c>
    </row>
    <row r="1404" spans="1:45" x14ac:dyDescent="0.25">
      <c r="A1404" s="6" t="s">
        <v>44</v>
      </c>
      <c r="B1404" s="7" t="s">
        <v>395</v>
      </c>
      <c r="C1404" s="7" t="s">
        <v>67</v>
      </c>
      <c r="D1404" s="8">
        <v>44844</v>
      </c>
      <c r="E1404" s="8" t="s">
        <v>0</v>
      </c>
      <c r="F1404" s="16" t="s">
        <v>396</v>
      </c>
      <c r="G1404" s="7" t="s">
        <v>397</v>
      </c>
      <c r="H1404" s="7" t="s">
        <v>390</v>
      </c>
      <c r="I1404" s="7" t="s">
        <v>0</v>
      </c>
      <c r="J1404" s="7" t="s">
        <v>51</v>
      </c>
      <c r="K1404" s="7" t="s">
        <v>47</v>
      </c>
      <c r="L1404" s="7" t="s">
        <v>48</v>
      </c>
      <c r="M1404" s="7" t="s">
        <v>0</v>
      </c>
      <c r="N1404" s="7" t="s">
        <v>9216</v>
      </c>
      <c r="O1404" s="7" t="s">
        <v>0</v>
      </c>
      <c r="P1404" s="7" t="s">
        <v>9217</v>
      </c>
      <c r="Q1404" s="7" t="s">
        <v>9218</v>
      </c>
      <c r="R1404" s="7" t="s">
        <v>393</v>
      </c>
      <c r="S1404" s="7" t="s">
        <v>394</v>
      </c>
      <c r="T1404" s="7" t="s">
        <v>54</v>
      </c>
      <c r="U1404" s="7" t="s">
        <v>591</v>
      </c>
      <c r="V1404" s="7" t="s">
        <v>126</v>
      </c>
      <c r="W1404" s="7" t="s">
        <v>74</v>
      </c>
      <c r="X1404" s="7" t="s">
        <v>223</v>
      </c>
      <c r="Y1404" s="8">
        <v>44839</v>
      </c>
      <c r="Z1404" s="8" t="s">
        <v>0</v>
      </c>
      <c r="AA1404" s="7" t="s">
        <v>224</v>
      </c>
      <c r="AB1404" s="7" t="s">
        <v>387</v>
      </c>
      <c r="AC1404" s="7" t="s">
        <v>65</v>
      </c>
      <c r="AD1404" s="7" t="s">
        <v>80</v>
      </c>
      <c r="AE1404" s="7" t="s">
        <v>0</v>
      </c>
      <c r="AF1404" s="7" t="s">
        <v>0</v>
      </c>
      <c r="AG1404" s="7" t="s">
        <v>0</v>
      </c>
      <c r="AH1404" s="9" t="s">
        <v>0</v>
      </c>
      <c r="AI1404" s="9" t="s">
        <v>0</v>
      </c>
      <c r="AJ1404" s="9" t="s">
        <v>0</v>
      </c>
      <c r="AK1404" s="7" t="s">
        <v>61</v>
      </c>
      <c r="AL1404" s="7" t="s">
        <v>61</v>
      </c>
      <c r="AM1404" s="7" t="s">
        <v>0</v>
      </c>
      <c r="AN1404" s="7" t="s">
        <v>0</v>
      </c>
      <c r="AO1404" s="7" t="s">
        <v>0</v>
      </c>
      <c r="AP1404" s="7" t="s">
        <v>0</v>
      </c>
      <c r="AQ1404" s="7" t="s">
        <v>61</v>
      </c>
      <c r="AR1404" s="7" t="s">
        <v>0</v>
      </c>
      <c r="AS1404" s="10" t="str">
        <f>HYPERLINK("https://tessa.gazprom-neft.local/edo/card/a8c85635-5464-4c37-85f3-9f15ea2437d1", "https://tessa.gazprom-neft.local/edo/card/a8c85635-5464-4c37-85f3-9f15ea2437d1")</f>
        <v>https://tessa.gazprom-neft.local/edo/card/a8c85635-5464-4c37-85f3-9f15ea2437d1</v>
      </c>
    </row>
    <row r="1405" spans="1:45" hidden="1" x14ac:dyDescent="0.25">
      <c r="A1405" s="6" t="s">
        <v>44</v>
      </c>
      <c r="B1405" s="7" t="s">
        <v>395</v>
      </c>
      <c r="C1405" s="7" t="s">
        <v>67</v>
      </c>
      <c r="D1405" s="8">
        <v>44844</v>
      </c>
      <c r="E1405" s="8" t="s">
        <v>0</v>
      </c>
      <c r="F1405" s="16" t="s">
        <v>396</v>
      </c>
      <c r="G1405" s="7" t="s">
        <v>397</v>
      </c>
      <c r="H1405" s="7" t="s">
        <v>0</v>
      </c>
      <c r="I1405" s="7" t="s">
        <v>9225</v>
      </c>
      <c r="J1405" s="7" t="s">
        <v>9225</v>
      </c>
      <c r="K1405" s="7" t="s">
        <v>47</v>
      </c>
      <c r="L1405" s="7" t="s">
        <v>86</v>
      </c>
      <c r="M1405" s="7" t="s">
        <v>0</v>
      </c>
      <c r="N1405" s="7" t="s">
        <v>9224</v>
      </c>
      <c r="O1405" s="7" t="s">
        <v>0</v>
      </c>
      <c r="P1405" s="7" t="s">
        <v>9226</v>
      </c>
      <c r="Q1405" s="7" t="s">
        <v>8889</v>
      </c>
      <c r="R1405" s="7" t="s">
        <v>393</v>
      </c>
      <c r="S1405" s="7" t="s">
        <v>394</v>
      </c>
      <c r="T1405" s="7" t="s">
        <v>54</v>
      </c>
      <c r="U1405" s="7" t="s">
        <v>591</v>
      </c>
      <c r="V1405" s="7" t="s">
        <v>91</v>
      </c>
      <c r="W1405" s="7" t="s">
        <v>74</v>
      </c>
      <c r="X1405" s="7" t="s">
        <v>223</v>
      </c>
      <c r="Y1405" s="8">
        <v>44844</v>
      </c>
      <c r="Z1405" s="8" t="s">
        <v>0</v>
      </c>
      <c r="AA1405" s="7" t="s">
        <v>92</v>
      </c>
      <c r="AB1405" s="7" t="s">
        <v>139</v>
      </c>
      <c r="AC1405" s="7" t="s">
        <v>65</v>
      </c>
      <c r="AD1405" s="7" t="s">
        <v>0</v>
      </c>
      <c r="AE1405" s="7" t="s">
        <v>0</v>
      </c>
      <c r="AF1405" s="7" t="s">
        <v>0</v>
      </c>
      <c r="AG1405" s="7" t="s">
        <v>0</v>
      </c>
      <c r="AH1405" s="9" t="s">
        <v>0</v>
      </c>
      <c r="AI1405" s="9" t="s">
        <v>0</v>
      </c>
      <c r="AJ1405" s="9" t="s">
        <v>0</v>
      </c>
      <c r="AK1405" s="7" t="s">
        <v>61</v>
      </c>
      <c r="AL1405" s="7" t="s">
        <v>61</v>
      </c>
      <c r="AM1405" s="7" t="s">
        <v>0</v>
      </c>
      <c r="AN1405" s="7" t="s">
        <v>0</v>
      </c>
      <c r="AO1405" s="7" t="s">
        <v>0</v>
      </c>
      <c r="AP1405" s="7" t="s">
        <v>0</v>
      </c>
      <c r="AQ1405" s="7" t="s">
        <v>61</v>
      </c>
      <c r="AR1405" s="7" t="s">
        <v>0</v>
      </c>
      <c r="AS1405" s="10" t="str">
        <f>HYPERLINK("https://tessa.gazprom-neft.local/edo/card/55faad93-53ca-47a1-8129-c3676848b832", "https://tessa.gazprom-neft.local/edo/card/55faad93-53ca-47a1-8129-c3676848b832")</f>
        <v>https://tessa.gazprom-neft.local/edo/card/55faad93-53ca-47a1-8129-c3676848b832</v>
      </c>
    </row>
    <row r="1406" spans="1:45" hidden="1" x14ac:dyDescent="0.25">
      <c r="A1406" s="6" t="s">
        <v>44</v>
      </c>
      <c r="B1406" s="7" t="s">
        <v>7325</v>
      </c>
      <c r="C1406" s="7" t="s">
        <v>67</v>
      </c>
      <c r="D1406" s="8">
        <v>44844</v>
      </c>
      <c r="E1406" s="8" t="s">
        <v>0</v>
      </c>
      <c r="F1406" s="16" t="s">
        <v>7326</v>
      </c>
      <c r="G1406" s="7" t="s">
        <v>7327</v>
      </c>
      <c r="H1406" s="7" t="s">
        <v>7732</v>
      </c>
      <c r="I1406" s="7" t="s">
        <v>0</v>
      </c>
      <c r="J1406" s="7" t="s">
        <v>9287</v>
      </c>
      <c r="K1406" s="7" t="s">
        <v>47</v>
      </c>
      <c r="L1406" s="7" t="s">
        <v>239</v>
      </c>
      <c r="M1406" s="7" t="s">
        <v>0</v>
      </c>
      <c r="N1406" s="7" t="s">
        <v>9285</v>
      </c>
      <c r="O1406" s="7" t="s">
        <v>0</v>
      </c>
      <c r="P1406" s="7" t="s">
        <v>9286</v>
      </c>
      <c r="Q1406" s="7" t="s">
        <v>9288</v>
      </c>
      <c r="R1406" s="7" t="s">
        <v>135</v>
      </c>
      <c r="S1406" s="7" t="s">
        <v>0</v>
      </c>
      <c r="T1406" s="7" t="s">
        <v>54</v>
      </c>
      <c r="U1406" s="7" t="s">
        <v>136</v>
      </c>
      <c r="V1406" s="7" t="s">
        <v>102</v>
      </c>
      <c r="W1406" s="7" t="s">
        <v>57</v>
      </c>
      <c r="X1406" s="7" t="s">
        <v>103</v>
      </c>
      <c r="Y1406" s="8">
        <v>44844</v>
      </c>
      <c r="Z1406" s="8">
        <v>44920</v>
      </c>
      <c r="AA1406" s="7" t="s">
        <v>104</v>
      </c>
      <c r="AB1406" s="7" t="s">
        <v>64</v>
      </c>
      <c r="AC1406" s="7" t="s">
        <v>65</v>
      </c>
      <c r="AD1406" s="7" t="s">
        <v>0</v>
      </c>
      <c r="AE1406" s="7" t="s">
        <v>0</v>
      </c>
      <c r="AF1406" s="7" t="s">
        <v>0</v>
      </c>
      <c r="AG1406" s="7" t="s">
        <v>0</v>
      </c>
      <c r="AH1406" s="9" t="s">
        <v>0</v>
      </c>
      <c r="AI1406" s="9" t="s">
        <v>0</v>
      </c>
      <c r="AJ1406" s="9" t="s">
        <v>0</v>
      </c>
      <c r="AK1406" s="7" t="s">
        <v>61</v>
      </c>
      <c r="AL1406" s="7" t="s">
        <v>61</v>
      </c>
      <c r="AM1406" s="7" t="s">
        <v>0</v>
      </c>
      <c r="AN1406" s="7" t="s">
        <v>0</v>
      </c>
      <c r="AO1406" s="7" t="s">
        <v>0</v>
      </c>
      <c r="AP1406" s="7" t="s">
        <v>0</v>
      </c>
      <c r="AQ1406" s="7" t="s">
        <v>61</v>
      </c>
      <c r="AR1406" s="7" t="s">
        <v>0</v>
      </c>
      <c r="AS1406" s="10" t="str">
        <f>HYPERLINK("https://tessa.gazprom-neft.local/edo/card/24ffce2f-4e02-43df-992a-d33f742cdc39", "https://tessa.gazprom-neft.local/edo/card/24ffce2f-4e02-43df-992a-d33f742cdc39")</f>
        <v>https://tessa.gazprom-neft.local/edo/card/24ffce2f-4e02-43df-992a-d33f742cdc39</v>
      </c>
    </row>
    <row r="1407" spans="1:45" x14ac:dyDescent="0.25">
      <c r="A1407" s="6" t="s">
        <v>44</v>
      </c>
      <c r="B1407" s="7" t="s">
        <v>727</v>
      </c>
      <c r="C1407" s="7" t="s">
        <v>46</v>
      </c>
      <c r="D1407" s="8">
        <v>44844</v>
      </c>
      <c r="E1407" s="8" t="s">
        <v>0</v>
      </c>
      <c r="F1407" s="16" t="s">
        <v>728</v>
      </c>
      <c r="G1407" s="7" t="s">
        <v>729</v>
      </c>
      <c r="H1407" s="7" t="s">
        <v>3653</v>
      </c>
      <c r="I1407" s="7" t="s">
        <v>0</v>
      </c>
      <c r="J1407" s="7" t="s">
        <v>156</v>
      </c>
      <c r="K1407" s="7" t="s">
        <v>47</v>
      </c>
      <c r="L1407" s="7" t="s">
        <v>48</v>
      </c>
      <c r="M1407" s="7" t="s">
        <v>0</v>
      </c>
      <c r="N1407" s="7" t="s">
        <v>9289</v>
      </c>
      <c r="O1407" s="7" t="s">
        <v>0</v>
      </c>
      <c r="P1407" s="7" t="s">
        <v>9290</v>
      </c>
      <c r="Q1407" s="7" t="s">
        <v>9290</v>
      </c>
      <c r="R1407" s="7" t="s">
        <v>799</v>
      </c>
      <c r="S1407" s="7" t="s">
        <v>0</v>
      </c>
      <c r="T1407" s="7" t="s">
        <v>54</v>
      </c>
      <c r="U1407" s="7" t="s">
        <v>55</v>
      </c>
      <c r="V1407" s="7" t="s">
        <v>917</v>
      </c>
      <c r="W1407" s="7" t="s">
        <v>74</v>
      </c>
      <c r="X1407" s="7" t="s">
        <v>103</v>
      </c>
      <c r="Y1407" s="8">
        <v>44844</v>
      </c>
      <c r="Z1407" s="8">
        <v>45291</v>
      </c>
      <c r="AA1407" s="7" t="s">
        <v>1278</v>
      </c>
      <c r="AB1407" s="7" t="s">
        <v>130</v>
      </c>
      <c r="AC1407" s="7" t="s">
        <v>79</v>
      </c>
      <c r="AD1407" s="7" t="s">
        <v>80</v>
      </c>
      <c r="AE1407" s="7" t="s">
        <v>82</v>
      </c>
      <c r="AF1407" s="7" t="s">
        <v>0</v>
      </c>
      <c r="AG1407" s="7" t="s">
        <v>0</v>
      </c>
      <c r="AH1407" s="9" t="s">
        <v>13865</v>
      </c>
      <c r="AI1407" s="9" t="s">
        <v>13866</v>
      </c>
      <c r="AJ1407" s="9" t="s">
        <v>13867</v>
      </c>
      <c r="AK1407" s="7" t="s">
        <v>61</v>
      </c>
      <c r="AL1407" s="7" t="s">
        <v>61</v>
      </c>
      <c r="AM1407" s="7" t="s">
        <v>0</v>
      </c>
      <c r="AN1407" s="7" t="s">
        <v>0</v>
      </c>
      <c r="AO1407" s="7" t="s">
        <v>0</v>
      </c>
      <c r="AP1407" s="7" t="s">
        <v>0</v>
      </c>
      <c r="AQ1407" s="7" t="s">
        <v>61</v>
      </c>
      <c r="AR1407" s="7" t="s">
        <v>0</v>
      </c>
      <c r="AS1407" s="10" t="str">
        <f>HYPERLINK("https://tessa.gazprom-neft.local/edo/card/9ed17acc-f73f-40d8-958b-a10e9968c633", "https://tessa.gazprom-neft.local/edo/card/9ed17acc-f73f-40d8-958b-a10e9968c633")</f>
        <v>https://tessa.gazprom-neft.local/edo/card/9ed17acc-f73f-40d8-958b-a10e9968c633</v>
      </c>
    </row>
    <row r="1408" spans="1:45" hidden="1" x14ac:dyDescent="0.25">
      <c r="A1408" s="6" t="s">
        <v>44</v>
      </c>
      <c r="B1408" s="7" t="s">
        <v>2448</v>
      </c>
      <c r="C1408" s="7" t="s">
        <v>67</v>
      </c>
      <c r="D1408" s="8">
        <v>44844</v>
      </c>
      <c r="E1408" s="8" t="s">
        <v>0</v>
      </c>
      <c r="F1408" s="16" t="s">
        <v>2449</v>
      </c>
      <c r="G1408" s="7" t="s">
        <v>2450</v>
      </c>
      <c r="H1408" s="7" t="s">
        <v>0</v>
      </c>
      <c r="I1408" s="7" t="s">
        <v>9301</v>
      </c>
      <c r="J1408" s="7" t="s">
        <v>9301</v>
      </c>
      <c r="K1408" s="7" t="s">
        <v>85</v>
      </c>
      <c r="L1408" s="7" t="s">
        <v>86</v>
      </c>
      <c r="M1408" s="7" t="s">
        <v>289</v>
      </c>
      <c r="N1408" s="7" t="s">
        <v>9300</v>
      </c>
      <c r="O1408" s="7" t="s">
        <v>0</v>
      </c>
      <c r="P1408" s="7" t="s">
        <v>289</v>
      </c>
      <c r="Q1408" s="7" t="s">
        <v>372</v>
      </c>
      <c r="R1408" s="7" t="s">
        <v>187</v>
      </c>
      <c r="S1408" s="7" t="s">
        <v>187</v>
      </c>
      <c r="T1408" s="7" t="s">
        <v>54</v>
      </c>
      <c r="U1408" s="7" t="s">
        <v>188</v>
      </c>
      <c r="V1408" s="7" t="s">
        <v>340</v>
      </c>
      <c r="W1408" s="7" t="s">
        <v>57</v>
      </c>
      <c r="X1408" s="7" t="s">
        <v>58</v>
      </c>
      <c r="Y1408" s="8">
        <v>44844</v>
      </c>
      <c r="Z1408" s="8" t="s">
        <v>0</v>
      </c>
      <c r="AA1408" s="7" t="s">
        <v>341</v>
      </c>
      <c r="AB1408" s="7" t="s">
        <v>300</v>
      </c>
      <c r="AC1408" s="7" t="s">
        <v>65</v>
      </c>
      <c r="AD1408" s="7" t="s">
        <v>0</v>
      </c>
      <c r="AE1408" s="7" t="s">
        <v>0</v>
      </c>
      <c r="AF1408" s="7" t="s">
        <v>0</v>
      </c>
      <c r="AG1408" s="7" t="s">
        <v>0</v>
      </c>
      <c r="AH1408" s="9" t="s">
        <v>0</v>
      </c>
      <c r="AI1408" s="9" t="s">
        <v>0</v>
      </c>
      <c r="AJ1408" s="9" t="s">
        <v>0</v>
      </c>
      <c r="AK1408" s="7" t="s">
        <v>61</v>
      </c>
      <c r="AL1408" s="7" t="s">
        <v>61</v>
      </c>
      <c r="AM1408" s="7" t="s">
        <v>0</v>
      </c>
      <c r="AN1408" s="7" t="s">
        <v>0</v>
      </c>
      <c r="AO1408" s="7" t="s">
        <v>0</v>
      </c>
      <c r="AP1408" s="7" t="s">
        <v>0</v>
      </c>
      <c r="AQ1408" s="7" t="s">
        <v>61</v>
      </c>
      <c r="AR1408" s="7" t="s">
        <v>0</v>
      </c>
      <c r="AS1408" s="10" t="str">
        <f>HYPERLINK("https://tessa.gazprom-neft.local/edo/card/b15c1de6-1c22-4b0b-9e48-d673d03d4342", "https://tessa.gazprom-neft.local/edo/card/b15c1de6-1c22-4b0b-9e48-d673d03d4342")</f>
        <v>https://tessa.gazprom-neft.local/edo/card/b15c1de6-1c22-4b0b-9e48-d673d03d4342</v>
      </c>
    </row>
    <row r="1409" spans="1:45" hidden="1" x14ac:dyDescent="0.25">
      <c r="A1409" s="6" t="s">
        <v>44</v>
      </c>
      <c r="B1409" s="7" t="s">
        <v>727</v>
      </c>
      <c r="C1409" s="7" t="s">
        <v>67</v>
      </c>
      <c r="D1409" s="8">
        <v>44844</v>
      </c>
      <c r="E1409" s="8" t="s">
        <v>0</v>
      </c>
      <c r="F1409" s="16" t="s">
        <v>728</v>
      </c>
      <c r="G1409" s="7" t="s">
        <v>729</v>
      </c>
      <c r="H1409" s="7" t="s">
        <v>0</v>
      </c>
      <c r="I1409" s="7" t="s">
        <v>3044</v>
      </c>
      <c r="J1409" s="7" t="s">
        <v>3044</v>
      </c>
      <c r="K1409" s="7" t="s">
        <v>85</v>
      </c>
      <c r="L1409" s="7" t="s">
        <v>86</v>
      </c>
      <c r="M1409" s="7" t="s">
        <v>216</v>
      </c>
      <c r="N1409" s="7" t="s">
        <v>9302</v>
      </c>
      <c r="O1409" s="7" t="s">
        <v>0</v>
      </c>
      <c r="P1409" s="7" t="s">
        <v>216</v>
      </c>
      <c r="Q1409" s="7" t="s">
        <v>3061</v>
      </c>
      <c r="R1409" s="7" t="s">
        <v>799</v>
      </c>
      <c r="S1409" s="7" t="s">
        <v>0</v>
      </c>
      <c r="T1409" s="7" t="s">
        <v>54</v>
      </c>
      <c r="U1409" s="7" t="s">
        <v>55</v>
      </c>
      <c r="V1409" s="7" t="s">
        <v>102</v>
      </c>
      <c r="W1409" s="7" t="s">
        <v>74</v>
      </c>
      <c r="X1409" s="7" t="s">
        <v>223</v>
      </c>
      <c r="Y1409" s="8">
        <v>44844</v>
      </c>
      <c r="Z1409" s="8" t="s">
        <v>0</v>
      </c>
      <c r="AA1409" s="7" t="s">
        <v>104</v>
      </c>
      <c r="AB1409" s="7" t="s">
        <v>228</v>
      </c>
      <c r="AC1409" s="7" t="s">
        <v>65</v>
      </c>
      <c r="AD1409" s="7" t="s">
        <v>0</v>
      </c>
      <c r="AE1409" s="7" t="s">
        <v>0</v>
      </c>
      <c r="AF1409" s="7" t="s">
        <v>0</v>
      </c>
      <c r="AG1409" s="7" t="s">
        <v>0</v>
      </c>
      <c r="AH1409" s="9" t="s">
        <v>0</v>
      </c>
      <c r="AI1409" s="9" t="s">
        <v>0</v>
      </c>
      <c r="AJ1409" s="9" t="s">
        <v>0</v>
      </c>
      <c r="AK1409" s="7" t="s">
        <v>61</v>
      </c>
      <c r="AL1409" s="7" t="s">
        <v>61</v>
      </c>
      <c r="AM1409" s="7" t="s">
        <v>0</v>
      </c>
      <c r="AN1409" s="7" t="s">
        <v>0</v>
      </c>
      <c r="AO1409" s="7" t="s">
        <v>0</v>
      </c>
      <c r="AP1409" s="7" t="s">
        <v>0</v>
      </c>
      <c r="AQ1409" s="7" t="s">
        <v>61</v>
      </c>
      <c r="AR1409" s="7" t="s">
        <v>0</v>
      </c>
      <c r="AS1409" s="10" t="str">
        <f>HYPERLINK("https://tessa.gazprom-neft.local/edo/card/b9cc6f3c-93f8-4338-8fab-d08105dcdd41", "https://tessa.gazprom-neft.local/edo/card/b9cc6f3c-93f8-4338-8fab-d08105dcdd41")</f>
        <v>https://tessa.gazprom-neft.local/edo/card/b9cc6f3c-93f8-4338-8fab-d08105dcdd41</v>
      </c>
    </row>
    <row r="1410" spans="1:45" hidden="1" x14ac:dyDescent="0.25">
      <c r="A1410" s="6" t="s">
        <v>44</v>
      </c>
      <c r="B1410" s="7" t="s">
        <v>2266</v>
      </c>
      <c r="C1410" s="7" t="s">
        <v>67</v>
      </c>
      <c r="D1410" s="8">
        <v>44844</v>
      </c>
      <c r="E1410" s="8" t="s">
        <v>0</v>
      </c>
      <c r="F1410" s="16" t="s">
        <v>2267</v>
      </c>
      <c r="G1410" s="7" t="s">
        <v>2268</v>
      </c>
      <c r="H1410" s="7" t="s">
        <v>0</v>
      </c>
      <c r="I1410" s="7" t="s">
        <v>8235</v>
      </c>
      <c r="J1410" s="7" t="s">
        <v>8235</v>
      </c>
      <c r="K1410" s="7" t="s">
        <v>85</v>
      </c>
      <c r="L1410" s="7" t="s">
        <v>86</v>
      </c>
      <c r="M1410" s="7" t="s">
        <v>216</v>
      </c>
      <c r="N1410" s="7" t="s">
        <v>9307</v>
      </c>
      <c r="O1410" s="7" t="s">
        <v>0</v>
      </c>
      <c r="P1410" s="7" t="s">
        <v>216</v>
      </c>
      <c r="Q1410" s="7" t="s">
        <v>3061</v>
      </c>
      <c r="R1410" s="7" t="s">
        <v>799</v>
      </c>
      <c r="S1410" s="7" t="s">
        <v>0</v>
      </c>
      <c r="T1410" s="7" t="s">
        <v>54</v>
      </c>
      <c r="U1410" s="7" t="s">
        <v>55</v>
      </c>
      <c r="V1410" s="7" t="s">
        <v>102</v>
      </c>
      <c r="W1410" s="7" t="s">
        <v>74</v>
      </c>
      <c r="X1410" s="7" t="s">
        <v>223</v>
      </c>
      <c r="Y1410" s="8">
        <v>44844</v>
      </c>
      <c r="Z1410" s="8" t="s">
        <v>0</v>
      </c>
      <c r="AA1410" s="7" t="s">
        <v>104</v>
      </c>
      <c r="AB1410" s="7" t="s">
        <v>228</v>
      </c>
      <c r="AC1410" s="7" t="s">
        <v>65</v>
      </c>
      <c r="AD1410" s="7" t="s">
        <v>0</v>
      </c>
      <c r="AE1410" s="7" t="s">
        <v>0</v>
      </c>
      <c r="AF1410" s="7" t="s">
        <v>0</v>
      </c>
      <c r="AG1410" s="7" t="s">
        <v>0</v>
      </c>
      <c r="AH1410" s="9" t="s">
        <v>0</v>
      </c>
      <c r="AI1410" s="9" t="s">
        <v>0</v>
      </c>
      <c r="AJ1410" s="9" t="s">
        <v>0</v>
      </c>
      <c r="AK1410" s="7" t="s">
        <v>61</v>
      </c>
      <c r="AL1410" s="7" t="s">
        <v>61</v>
      </c>
      <c r="AM1410" s="7" t="s">
        <v>0</v>
      </c>
      <c r="AN1410" s="7" t="s">
        <v>0</v>
      </c>
      <c r="AO1410" s="7" t="s">
        <v>0</v>
      </c>
      <c r="AP1410" s="7" t="s">
        <v>0</v>
      </c>
      <c r="AQ1410" s="7" t="s">
        <v>61</v>
      </c>
      <c r="AR1410" s="7" t="s">
        <v>0</v>
      </c>
      <c r="AS1410" s="10" t="str">
        <f>HYPERLINK("https://tessa.gazprom-neft.local/edo/card/48bf6da0-7923-47df-bc1f-bcfae5eed1ca", "https://tessa.gazprom-neft.local/edo/card/48bf6da0-7923-47df-bc1f-bcfae5eed1ca")</f>
        <v>https://tessa.gazprom-neft.local/edo/card/48bf6da0-7923-47df-bc1f-bcfae5eed1ca</v>
      </c>
    </row>
    <row r="1411" spans="1:45" hidden="1" x14ac:dyDescent="0.25">
      <c r="A1411" s="6" t="s">
        <v>44</v>
      </c>
      <c r="B1411" s="7" t="s">
        <v>705</v>
      </c>
      <c r="C1411" s="7" t="s">
        <v>67</v>
      </c>
      <c r="D1411" s="8">
        <v>44844</v>
      </c>
      <c r="E1411" s="8" t="s">
        <v>0</v>
      </c>
      <c r="F1411" s="16" t="s">
        <v>706</v>
      </c>
      <c r="G1411" s="7" t="s">
        <v>707</v>
      </c>
      <c r="H1411" s="7" t="s">
        <v>0</v>
      </c>
      <c r="I1411" s="7" t="s">
        <v>3206</v>
      </c>
      <c r="J1411" s="7" t="s">
        <v>3206</v>
      </c>
      <c r="K1411" s="7" t="s">
        <v>85</v>
      </c>
      <c r="L1411" s="7" t="s">
        <v>86</v>
      </c>
      <c r="M1411" s="7" t="s">
        <v>216</v>
      </c>
      <c r="N1411" s="7" t="s">
        <v>9310</v>
      </c>
      <c r="O1411" s="7" t="s">
        <v>0</v>
      </c>
      <c r="P1411" s="7" t="s">
        <v>216</v>
      </c>
      <c r="Q1411" s="7" t="s">
        <v>3061</v>
      </c>
      <c r="R1411" s="7" t="s">
        <v>799</v>
      </c>
      <c r="S1411" s="7" t="s">
        <v>0</v>
      </c>
      <c r="T1411" s="7" t="s">
        <v>54</v>
      </c>
      <c r="U1411" s="7" t="s">
        <v>55</v>
      </c>
      <c r="V1411" s="7" t="s">
        <v>102</v>
      </c>
      <c r="W1411" s="7" t="s">
        <v>74</v>
      </c>
      <c r="X1411" s="7" t="s">
        <v>223</v>
      </c>
      <c r="Y1411" s="8">
        <v>44844</v>
      </c>
      <c r="Z1411" s="8" t="s">
        <v>0</v>
      </c>
      <c r="AA1411" s="7" t="s">
        <v>104</v>
      </c>
      <c r="AB1411" s="7" t="s">
        <v>228</v>
      </c>
      <c r="AC1411" s="7" t="s">
        <v>65</v>
      </c>
      <c r="AD1411" s="7" t="s">
        <v>0</v>
      </c>
      <c r="AE1411" s="7" t="s">
        <v>0</v>
      </c>
      <c r="AF1411" s="7" t="s">
        <v>0</v>
      </c>
      <c r="AG1411" s="7" t="s">
        <v>0</v>
      </c>
      <c r="AH1411" s="9" t="s">
        <v>0</v>
      </c>
      <c r="AI1411" s="9" t="s">
        <v>0</v>
      </c>
      <c r="AJ1411" s="9" t="s">
        <v>0</v>
      </c>
      <c r="AK1411" s="7" t="s">
        <v>61</v>
      </c>
      <c r="AL1411" s="7" t="s">
        <v>61</v>
      </c>
      <c r="AM1411" s="7" t="s">
        <v>0</v>
      </c>
      <c r="AN1411" s="7" t="s">
        <v>0</v>
      </c>
      <c r="AO1411" s="7" t="s">
        <v>0</v>
      </c>
      <c r="AP1411" s="7" t="s">
        <v>0</v>
      </c>
      <c r="AQ1411" s="7" t="s">
        <v>61</v>
      </c>
      <c r="AR1411" s="7" t="s">
        <v>0</v>
      </c>
      <c r="AS1411" s="10" t="str">
        <f>HYPERLINK("https://tessa.gazprom-neft.local/edo/card/47078ac5-e8cb-4cd5-b11c-123040a8529b", "https://tessa.gazprom-neft.local/edo/card/47078ac5-e8cb-4cd5-b11c-123040a8529b")</f>
        <v>https://tessa.gazprom-neft.local/edo/card/47078ac5-e8cb-4cd5-b11c-123040a8529b</v>
      </c>
    </row>
    <row r="1412" spans="1:45" hidden="1" x14ac:dyDescent="0.25">
      <c r="A1412" s="6" t="s">
        <v>44</v>
      </c>
      <c r="B1412" s="7" t="s">
        <v>403</v>
      </c>
      <c r="C1412" s="7" t="s">
        <v>67</v>
      </c>
      <c r="D1412" s="8">
        <v>44844</v>
      </c>
      <c r="E1412" s="8" t="s">
        <v>0</v>
      </c>
      <c r="F1412" s="16" t="s">
        <v>404</v>
      </c>
      <c r="G1412" s="7" t="s">
        <v>405</v>
      </c>
      <c r="H1412" s="7" t="s">
        <v>0</v>
      </c>
      <c r="I1412" s="7" t="s">
        <v>3191</v>
      </c>
      <c r="J1412" s="7" t="s">
        <v>3191</v>
      </c>
      <c r="K1412" s="7" t="s">
        <v>85</v>
      </c>
      <c r="L1412" s="7" t="s">
        <v>86</v>
      </c>
      <c r="M1412" s="7" t="s">
        <v>216</v>
      </c>
      <c r="N1412" s="7" t="s">
        <v>9314</v>
      </c>
      <c r="O1412" s="7" t="s">
        <v>0</v>
      </c>
      <c r="P1412" s="7" t="s">
        <v>216</v>
      </c>
      <c r="Q1412" s="7" t="s">
        <v>3061</v>
      </c>
      <c r="R1412" s="7" t="s">
        <v>799</v>
      </c>
      <c r="S1412" s="7" t="s">
        <v>0</v>
      </c>
      <c r="T1412" s="7" t="s">
        <v>54</v>
      </c>
      <c r="U1412" s="7" t="s">
        <v>55</v>
      </c>
      <c r="V1412" s="7" t="s">
        <v>102</v>
      </c>
      <c r="W1412" s="7" t="s">
        <v>74</v>
      </c>
      <c r="X1412" s="7" t="s">
        <v>223</v>
      </c>
      <c r="Y1412" s="8">
        <v>44844</v>
      </c>
      <c r="Z1412" s="8" t="s">
        <v>0</v>
      </c>
      <c r="AA1412" s="7" t="s">
        <v>104</v>
      </c>
      <c r="AB1412" s="7" t="s">
        <v>228</v>
      </c>
      <c r="AC1412" s="7" t="s">
        <v>65</v>
      </c>
      <c r="AD1412" s="7" t="s">
        <v>0</v>
      </c>
      <c r="AE1412" s="7" t="s">
        <v>0</v>
      </c>
      <c r="AF1412" s="7" t="s">
        <v>0</v>
      </c>
      <c r="AG1412" s="7" t="s">
        <v>0</v>
      </c>
      <c r="AH1412" s="9" t="s">
        <v>0</v>
      </c>
      <c r="AI1412" s="9" t="s">
        <v>0</v>
      </c>
      <c r="AJ1412" s="9" t="s">
        <v>0</v>
      </c>
      <c r="AK1412" s="7" t="s">
        <v>61</v>
      </c>
      <c r="AL1412" s="7" t="s">
        <v>61</v>
      </c>
      <c r="AM1412" s="7" t="s">
        <v>0</v>
      </c>
      <c r="AN1412" s="7" t="s">
        <v>0</v>
      </c>
      <c r="AO1412" s="7" t="s">
        <v>0</v>
      </c>
      <c r="AP1412" s="7" t="s">
        <v>0</v>
      </c>
      <c r="AQ1412" s="7" t="s">
        <v>61</v>
      </c>
      <c r="AR1412" s="7" t="s">
        <v>0</v>
      </c>
      <c r="AS1412" s="10" t="str">
        <f>HYPERLINK("https://tessa.gazprom-neft.local/edo/card/1ea7fcd4-d578-4704-b021-7bce019cdde8", "https://tessa.gazprom-neft.local/edo/card/1ea7fcd4-d578-4704-b021-7bce019cdde8")</f>
        <v>https://tessa.gazprom-neft.local/edo/card/1ea7fcd4-d578-4704-b021-7bce019cdde8</v>
      </c>
    </row>
    <row r="1413" spans="1:45" hidden="1" x14ac:dyDescent="0.25">
      <c r="A1413" s="6" t="s">
        <v>44</v>
      </c>
      <c r="B1413" s="7" t="s">
        <v>647</v>
      </c>
      <c r="C1413" s="7" t="s">
        <v>67</v>
      </c>
      <c r="D1413" s="8">
        <v>44844</v>
      </c>
      <c r="E1413" s="8" t="s">
        <v>0</v>
      </c>
      <c r="F1413" s="16" t="s">
        <v>648</v>
      </c>
      <c r="G1413" s="7" t="s">
        <v>649</v>
      </c>
      <c r="H1413" s="7" t="s">
        <v>0</v>
      </c>
      <c r="I1413" s="7" t="s">
        <v>9320</v>
      </c>
      <c r="J1413" s="7" t="s">
        <v>9320</v>
      </c>
      <c r="K1413" s="7" t="s">
        <v>85</v>
      </c>
      <c r="L1413" s="7" t="s">
        <v>86</v>
      </c>
      <c r="M1413" s="7" t="s">
        <v>216</v>
      </c>
      <c r="N1413" s="7" t="s">
        <v>9319</v>
      </c>
      <c r="O1413" s="7" t="s">
        <v>0</v>
      </c>
      <c r="P1413" s="7" t="s">
        <v>216</v>
      </c>
      <c r="Q1413" s="7" t="s">
        <v>3061</v>
      </c>
      <c r="R1413" s="7" t="s">
        <v>799</v>
      </c>
      <c r="S1413" s="7" t="s">
        <v>0</v>
      </c>
      <c r="T1413" s="7" t="s">
        <v>54</v>
      </c>
      <c r="U1413" s="7" t="s">
        <v>55</v>
      </c>
      <c r="V1413" s="7" t="s">
        <v>102</v>
      </c>
      <c r="W1413" s="7" t="s">
        <v>74</v>
      </c>
      <c r="X1413" s="7" t="s">
        <v>223</v>
      </c>
      <c r="Y1413" s="8">
        <v>44844</v>
      </c>
      <c r="Z1413" s="8" t="s">
        <v>0</v>
      </c>
      <c r="AA1413" s="7" t="s">
        <v>104</v>
      </c>
      <c r="AB1413" s="7" t="s">
        <v>228</v>
      </c>
      <c r="AC1413" s="7" t="s">
        <v>65</v>
      </c>
      <c r="AD1413" s="7" t="s">
        <v>0</v>
      </c>
      <c r="AE1413" s="7" t="s">
        <v>0</v>
      </c>
      <c r="AF1413" s="7" t="s">
        <v>0</v>
      </c>
      <c r="AG1413" s="7" t="s">
        <v>0</v>
      </c>
      <c r="AH1413" s="9" t="s">
        <v>0</v>
      </c>
      <c r="AI1413" s="9" t="s">
        <v>0</v>
      </c>
      <c r="AJ1413" s="9" t="s">
        <v>0</v>
      </c>
      <c r="AK1413" s="7" t="s">
        <v>61</v>
      </c>
      <c r="AL1413" s="7" t="s">
        <v>61</v>
      </c>
      <c r="AM1413" s="7" t="s">
        <v>0</v>
      </c>
      <c r="AN1413" s="7" t="s">
        <v>0</v>
      </c>
      <c r="AO1413" s="7" t="s">
        <v>0</v>
      </c>
      <c r="AP1413" s="7" t="s">
        <v>0</v>
      </c>
      <c r="AQ1413" s="7" t="s">
        <v>61</v>
      </c>
      <c r="AR1413" s="7" t="s">
        <v>0</v>
      </c>
      <c r="AS1413" s="10" t="str">
        <f>HYPERLINK("https://tessa.gazprom-neft.local/edo/card/862dfc5b-a019-4c24-b60c-d7c139054fbb", "https://tessa.gazprom-neft.local/edo/card/862dfc5b-a019-4c24-b60c-d7c139054fbb")</f>
        <v>https://tessa.gazprom-neft.local/edo/card/862dfc5b-a019-4c24-b60c-d7c139054fbb</v>
      </c>
    </row>
    <row r="1414" spans="1:45" x14ac:dyDescent="0.25">
      <c r="A1414" s="6" t="s">
        <v>44</v>
      </c>
      <c r="B1414" s="7" t="s">
        <v>1843</v>
      </c>
      <c r="C1414" s="7" t="s">
        <v>67</v>
      </c>
      <c r="D1414" s="8">
        <v>44844</v>
      </c>
      <c r="E1414" s="8" t="s">
        <v>0</v>
      </c>
      <c r="F1414" s="16" t="s">
        <v>1844</v>
      </c>
      <c r="G1414" s="7" t="s">
        <v>1845</v>
      </c>
      <c r="H1414" s="7" t="s">
        <v>3215</v>
      </c>
      <c r="I1414" s="7" t="s">
        <v>0</v>
      </c>
      <c r="J1414" s="7" t="s">
        <v>51</v>
      </c>
      <c r="K1414" s="7" t="s">
        <v>47</v>
      </c>
      <c r="L1414" s="7" t="s">
        <v>48</v>
      </c>
      <c r="M1414" s="7" t="s">
        <v>0</v>
      </c>
      <c r="N1414" s="7" t="s">
        <v>9325</v>
      </c>
      <c r="O1414" s="7" t="s">
        <v>0</v>
      </c>
      <c r="P1414" s="7" t="s">
        <v>50</v>
      </c>
      <c r="Q1414" s="7" t="s">
        <v>9326</v>
      </c>
      <c r="R1414" s="7" t="s">
        <v>1066</v>
      </c>
      <c r="S1414" s="7" t="s">
        <v>0</v>
      </c>
      <c r="T1414" s="7" t="s">
        <v>54</v>
      </c>
      <c r="U1414" s="7" t="s">
        <v>136</v>
      </c>
      <c r="V1414" s="7" t="s">
        <v>102</v>
      </c>
      <c r="W1414" s="7" t="s">
        <v>74</v>
      </c>
      <c r="X1414" s="7" t="s">
        <v>103</v>
      </c>
      <c r="Y1414" s="8">
        <v>44844</v>
      </c>
      <c r="Z1414" s="8">
        <v>45565</v>
      </c>
      <c r="AA1414" s="7" t="s">
        <v>104</v>
      </c>
      <c r="AB1414" s="7" t="s">
        <v>1143</v>
      </c>
      <c r="AC1414" s="7" t="s">
        <v>79</v>
      </c>
      <c r="AD1414" s="7" t="s">
        <v>80</v>
      </c>
      <c r="AE1414" s="7" t="s">
        <v>82</v>
      </c>
      <c r="AF1414" s="7" t="s">
        <v>0</v>
      </c>
      <c r="AG1414" s="7" t="s">
        <v>0</v>
      </c>
      <c r="AH1414" s="9" t="s">
        <v>13880</v>
      </c>
      <c r="AI1414" s="9" t="s">
        <v>13881</v>
      </c>
      <c r="AJ1414" s="9" t="s">
        <v>13882</v>
      </c>
      <c r="AK1414" s="7" t="s">
        <v>61</v>
      </c>
      <c r="AL1414" s="7" t="s">
        <v>61</v>
      </c>
      <c r="AM1414" s="7" t="s">
        <v>0</v>
      </c>
      <c r="AN1414" s="7" t="s">
        <v>0</v>
      </c>
      <c r="AO1414" s="7" t="s">
        <v>0</v>
      </c>
      <c r="AP1414" s="7" t="s">
        <v>0</v>
      </c>
      <c r="AQ1414" s="7" t="s">
        <v>61</v>
      </c>
      <c r="AR1414" s="7" t="s">
        <v>0</v>
      </c>
      <c r="AS1414" s="10" t="str">
        <f>HYPERLINK("https://tessa.gazprom-neft.local/edo/card/83b9442d-4a82-4711-9b72-7523569edf27", "https://tessa.gazprom-neft.local/edo/card/83b9442d-4a82-4711-9b72-7523569edf27")</f>
        <v>https://tessa.gazprom-neft.local/edo/card/83b9442d-4a82-4711-9b72-7523569edf27</v>
      </c>
    </row>
    <row r="1415" spans="1:45" hidden="1" x14ac:dyDescent="0.25">
      <c r="A1415" s="6" t="s">
        <v>44</v>
      </c>
      <c r="B1415" s="7" t="s">
        <v>395</v>
      </c>
      <c r="C1415" s="7" t="s">
        <v>67</v>
      </c>
      <c r="D1415" s="8">
        <v>44844</v>
      </c>
      <c r="E1415" s="8" t="s">
        <v>0</v>
      </c>
      <c r="F1415" s="16" t="s">
        <v>396</v>
      </c>
      <c r="G1415" s="7" t="s">
        <v>397</v>
      </c>
      <c r="H1415" s="7" t="s">
        <v>0</v>
      </c>
      <c r="I1415" s="7" t="s">
        <v>0</v>
      </c>
      <c r="J1415" s="7" t="s">
        <v>51</v>
      </c>
      <c r="K1415" s="7" t="s">
        <v>47</v>
      </c>
      <c r="L1415" s="7" t="s">
        <v>239</v>
      </c>
      <c r="M1415" s="7" t="s">
        <v>0</v>
      </c>
      <c r="N1415" s="7" t="s">
        <v>9329</v>
      </c>
      <c r="O1415" s="7" t="s">
        <v>0</v>
      </c>
      <c r="P1415" s="7" t="s">
        <v>9330</v>
      </c>
      <c r="Q1415" s="7" t="s">
        <v>9331</v>
      </c>
      <c r="R1415" s="7" t="s">
        <v>393</v>
      </c>
      <c r="S1415" s="7" t="s">
        <v>394</v>
      </c>
      <c r="T1415" s="7" t="s">
        <v>54</v>
      </c>
      <c r="U1415" s="7" t="s">
        <v>222</v>
      </c>
      <c r="V1415" s="7" t="s">
        <v>126</v>
      </c>
      <c r="W1415" s="7" t="s">
        <v>74</v>
      </c>
      <c r="X1415" s="7" t="s">
        <v>58</v>
      </c>
      <c r="Y1415" s="8">
        <v>44844</v>
      </c>
      <c r="Z1415" s="8" t="s">
        <v>0</v>
      </c>
      <c r="AA1415" s="7" t="s">
        <v>224</v>
      </c>
      <c r="AB1415" s="7" t="s">
        <v>387</v>
      </c>
      <c r="AC1415" s="7" t="s">
        <v>79</v>
      </c>
      <c r="AD1415" s="7" t="s">
        <v>80</v>
      </c>
      <c r="AE1415" s="7" t="s">
        <v>82</v>
      </c>
      <c r="AF1415" s="7" t="s">
        <v>0</v>
      </c>
      <c r="AG1415" s="7" t="s">
        <v>0</v>
      </c>
      <c r="AH1415" s="9" t="s">
        <v>13883</v>
      </c>
      <c r="AI1415" s="9" t="s">
        <v>13884</v>
      </c>
      <c r="AJ1415" s="9" t="s">
        <v>13885</v>
      </c>
      <c r="AK1415" s="7" t="s">
        <v>61</v>
      </c>
      <c r="AL1415" s="7" t="s">
        <v>61</v>
      </c>
      <c r="AM1415" s="7" t="s">
        <v>0</v>
      </c>
      <c r="AN1415" s="7" t="s">
        <v>0</v>
      </c>
      <c r="AO1415" s="7" t="s">
        <v>0</v>
      </c>
      <c r="AP1415" s="7" t="s">
        <v>0</v>
      </c>
      <c r="AQ1415" s="7" t="s">
        <v>61</v>
      </c>
      <c r="AR1415" s="7" t="s">
        <v>0</v>
      </c>
      <c r="AS1415" s="10" t="str">
        <f>HYPERLINK("https://tessa.gazprom-neft.local/edo/card/cf05fa62-c4ad-4395-a565-0315d830310a", "https://tessa.gazprom-neft.local/edo/card/cf05fa62-c4ad-4395-a565-0315d830310a")</f>
        <v>https://tessa.gazprom-neft.local/edo/card/cf05fa62-c4ad-4395-a565-0315d830310a</v>
      </c>
    </row>
    <row r="1416" spans="1:45" hidden="1" x14ac:dyDescent="0.25">
      <c r="A1416" s="6" t="s">
        <v>44</v>
      </c>
      <c r="B1416" s="7" t="s">
        <v>647</v>
      </c>
      <c r="C1416" s="7" t="s">
        <v>67</v>
      </c>
      <c r="D1416" s="8">
        <v>44844</v>
      </c>
      <c r="E1416" s="8" t="s">
        <v>0</v>
      </c>
      <c r="F1416" s="16" t="s">
        <v>648</v>
      </c>
      <c r="G1416" s="7" t="s">
        <v>649</v>
      </c>
      <c r="H1416" s="7" t="s">
        <v>0</v>
      </c>
      <c r="I1416" s="7" t="s">
        <v>9352</v>
      </c>
      <c r="J1416" s="7" t="s">
        <v>9352</v>
      </c>
      <c r="K1416" s="7" t="s">
        <v>85</v>
      </c>
      <c r="L1416" s="7" t="s">
        <v>86</v>
      </c>
      <c r="M1416" s="7" t="s">
        <v>289</v>
      </c>
      <c r="N1416" s="7" t="s">
        <v>9351</v>
      </c>
      <c r="O1416" s="7" t="s">
        <v>0</v>
      </c>
      <c r="P1416" s="7" t="s">
        <v>289</v>
      </c>
      <c r="Q1416" s="7" t="s">
        <v>372</v>
      </c>
      <c r="R1416" s="7" t="s">
        <v>799</v>
      </c>
      <c r="S1416" s="7" t="s">
        <v>0</v>
      </c>
      <c r="T1416" s="7" t="s">
        <v>54</v>
      </c>
      <c r="U1416" s="7" t="s">
        <v>55</v>
      </c>
      <c r="V1416" s="7" t="s">
        <v>917</v>
      </c>
      <c r="W1416" s="7" t="s">
        <v>74</v>
      </c>
      <c r="X1416" s="7" t="s">
        <v>223</v>
      </c>
      <c r="Y1416" s="8">
        <v>44844</v>
      </c>
      <c r="Z1416" s="8" t="s">
        <v>0</v>
      </c>
      <c r="AA1416" s="7" t="s">
        <v>1278</v>
      </c>
      <c r="AB1416" s="7" t="s">
        <v>300</v>
      </c>
      <c r="AC1416" s="7" t="s">
        <v>65</v>
      </c>
      <c r="AD1416" s="7" t="s">
        <v>0</v>
      </c>
      <c r="AE1416" s="7" t="s">
        <v>0</v>
      </c>
      <c r="AF1416" s="7" t="s">
        <v>0</v>
      </c>
      <c r="AG1416" s="7" t="s">
        <v>0</v>
      </c>
      <c r="AH1416" s="9" t="s">
        <v>0</v>
      </c>
      <c r="AI1416" s="9" t="s">
        <v>0</v>
      </c>
      <c r="AJ1416" s="9" t="s">
        <v>0</v>
      </c>
      <c r="AK1416" s="7" t="s">
        <v>61</v>
      </c>
      <c r="AL1416" s="7" t="s">
        <v>61</v>
      </c>
      <c r="AM1416" s="7" t="s">
        <v>0</v>
      </c>
      <c r="AN1416" s="7" t="s">
        <v>0</v>
      </c>
      <c r="AO1416" s="7" t="s">
        <v>0</v>
      </c>
      <c r="AP1416" s="7" t="s">
        <v>0</v>
      </c>
      <c r="AQ1416" s="7" t="s">
        <v>61</v>
      </c>
      <c r="AR1416" s="7" t="s">
        <v>0</v>
      </c>
      <c r="AS1416" s="10" t="str">
        <f>HYPERLINK("https://tessa.gazprom-neft.local/edo/card/cca72116-b538-4f60-a358-4a4370e71203", "https://tessa.gazprom-neft.local/edo/card/cca72116-b538-4f60-a358-4a4370e71203")</f>
        <v>https://tessa.gazprom-neft.local/edo/card/cca72116-b538-4f60-a358-4a4370e71203</v>
      </c>
    </row>
    <row r="1417" spans="1:45" hidden="1" x14ac:dyDescent="0.25">
      <c r="A1417" s="6" t="s">
        <v>44</v>
      </c>
      <c r="B1417" s="7" t="s">
        <v>647</v>
      </c>
      <c r="C1417" s="7" t="s">
        <v>67</v>
      </c>
      <c r="D1417" s="8">
        <v>44844</v>
      </c>
      <c r="E1417" s="8" t="s">
        <v>0</v>
      </c>
      <c r="F1417" s="16" t="s">
        <v>648</v>
      </c>
      <c r="G1417" s="7" t="s">
        <v>649</v>
      </c>
      <c r="H1417" s="7" t="s">
        <v>0</v>
      </c>
      <c r="I1417" s="7" t="s">
        <v>643</v>
      </c>
      <c r="J1417" s="7" t="s">
        <v>643</v>
      </c>
      <c r="K1417" s="7" t="s">
        <v>85</v>
      </c>
      <c r="L1417" s="7" t="s">
        <v>96</v>
      </c>
      <c r="M1417" s="7" t="s">
        <v>413</v>
      </c>
      <c r="N1417" s="7" t="s">
        <v>9380</v>
      </c>
      <c r="O1417" s="7" t="s">
        <v>0</v>
      </c>
      <c r="P1417" s="7" t="s">
        <v>413</v>
      </c>
      <c r="Q1417" s="7" t="s">
        <v>9381</v>
      </c>
      <c r="R1417" s="7" t="s">
        <v>799</v>
      </c>
      <c r="S1417" s="7" t="s">
        <v>0</v>
      </c>
      <c r="T1417" s="7" t="s">
        <v>54</v>
      </c>
      <c r="U1417" s="7" t="s">
        <v>55</v>
      </c>
      <c r="V1417" s="7" t="s">
        <v>917</v>
      </c>
      <c r="W1417" s="7" t="s">
        <v>74</v>
      </c>
      <c r="X1417" s="7" t="s">
        <v>103</v>
      </c>
      <c r="Y1417" s="8">
        <v>44844</v>
      </c>
      <c r="Z1417" s="8">
        <v>46387</v>
      </c>
      <c r="AA1417" s="7" t="s">
        <v>1278</v>
      </c>
      <c r="AB1417" s="7" t="s">
        <v>130</v>
      </c>
      <c r="AC1417" s="7" t="s">
        <v>79</v>
      </c>
      <c r="AD1417" s="7" t="s">
        <v>144</v>
      </c>
      <c r="AE1417" s="7" t="s">
        <v>82</v>
      </c>
      <c r="AF1417" s="7" t="s">
        <v>0</v>
      </c>
      <c r="AG1417" s="7" t="s">
        <v>0</v>
      </c>
      <c r="AH1417" s="9" t="s">
        <v>13902</v>
      </c>
      <c r="AI1417" s="9" t="s">
        <v>13903</v>
      </c>
      <c r="AJ1417" s="9" t="s">
        <v>13904</v>
      </c>
      <c r="AK1417" s="7" t="s">
        <v>61</v>
      </c>
      <c r="AL1417" s="7" t="s">
        <v>61</v>
      </c>
      <c r="AM1417" s="7" t="s">
        <v>0</v>
      </c>
      <c r="AN1417" s="7" t="s">
        <v>0</v>
      </c>
      <c r="AO1417" s="7" t="s">
        <v>0</v>
      </c>
      <c r="AP1417" s="7" t="s">
        <v>0</v>
      </c>
      <c r="AQ1417" s="7" t="s">
        <v>61</v>
      </c>
      <c r="AR1417" s="7" t="s">
        <v>0</v>
      </c>
      <c r="AS1417" s="10" t="str">
        <f>HYPERLINK("https://tessa.gazprom-neft.local/edo/card/590848a9-27a8-4b19-9f48-6dc167d07466", "https://tessa.gazprom-neft.local/edo/card/590848a9-27a8-4b19-9f48-6dc167d07466")</f>
        <v>https://tessa.gazprom-neft.local/edo/card/590848a9-27a8-4b19-9f48-6dc167d07466</v>
      </c>
    </row>
    <row r="1418" spans="1:45" hidden="1" x14ac:dyDescent="0.25">
      <c r="A1418" s="6" t="s">
        <v>44</v>
      </c>
      <c r="B1418" s="7" t="s">
        <v>727</v>
      </c>
      <c r="C1418" s="7" t="s">
        <v>67</v>
      </c>
      <c r="D1418" s="8">
        <v>44844</v>
      </c>
      <c r="E1418" s="8" t="s">
        <v>0</v>
      </c>
      <c r="F1418" s="16" t="s">
        <v>728</v>
      </c>
      <c r="G1418" s="7" t="s">
        <v>729</v>
      </c>
      <c r="H1418" s="7" t="s">
        <v>0</v>
      </c>
      <c r="I1418" s="7" t="s">
        <v>725</v>
      </c>
      <c r="J1418" s="7" t="s">
        <v>725</v>
      </c>
      <c r="K1418" s="7" t="s">
        <v>85</v>
      </c>
      <c r="L1418" s="7" t="s">
        <v>96</v>
      </c>
      <c r="M1418" s="7" t="s">
        <v>413</v>
      </c>
      <c r="N1418" s="7" t="s">
        <v>9385</v>
      </c>
      <c r="O1418" s="7" t="s">
        <v>0</v>
      </c>
      <c r="P1418" s="7" t="s">
        <v>413</v>
      </c>
      <c r="Q1418" s="7" t="s">
        <v>9381</v>
      </c>
      <c r="R1418" s="7" t="s">
        <v>799</v>
      </c>
      <c r="S1418" s="7" t="s">
        <v>0</v>
      </c>
      <c r="T1418" s="7" t="s">
        <v>54</v>
      </c>
      <c r="U1418" s="7" t="s">
        <v>55</v>
      </c>
      <c r="V1418" s="7" t="s">
        <v>56</v>
      </c>
      <c r="W1418" s="7" t="s">
        <v>74</v>
      </c>
      <c r="X1418" s="7" t="s">
        <v>103</v>
      </c>
      <c r="Y1418" s="8">
        <v>44844</v>
      </c>
      <c r="Z1418" s="8">
        <v>46387</v>
      </c>
      <c r="AA1418" s="7" t="s">
        <v>59</v>
      </c>
      <c r="AB1418" s="7" t="s">
        <v>130</v>
      </c>
      <c r="AC1418" s="7" t="s">
        <v>79</v>
      </c>
      <c r="AD1418" s="7" t="s">
        <v>144</v>
      </c>
      <c r="AE1418" s="7" t="s">
        <v>82</v>
      </c>
      <c r="AF1418" s="7" t="s">
        <v>0</v>
      </c>
      <c r="AG1418" s="7" t="s">
        <v>0</v>
      </c>
      <c r="AH1418" s="9" t="s">
        <v>13908</v>
      </c>
      <c r="AI1418" s="9" t="s">
        <v>13909</v>
      </c>
      <c r="AJ1418" s="9" t="s">
        <v>13910</v>
      </c>
      <c r="AK1418" s="7" t="s">
        <v>61</v>
      </c>
      <c r="AL1418" s="7" t="s">
        <v>61</v>
      </c>
      <c r="AM1418" s="7" t="s">
        <v>0</v>
      </c>
      <c r="AN1418" s="7" t="s">
        <v>0</v>
      </c>
      <c r="AO1418" s="7" t="s">
        <v>0</v>
      </c>
      <c r="AP1418" s="7" t="s">
        <v>0</v>
      </c>
      <c r="AQ1418" s="7" t="s">
        <v>61</v>
      </c>
      <c r="AR1418" s="7" t="s">
        <v>0</v>
      </c>
      <c r="AS1418" s="10" t="str">
        <f>HYPERLINK("https://tessa.gazprom-neft.local/edo/card/e46f12e8-1e25-4e6d-84c5-9cf607f3ba26", "https://tessa.gazprom-neft.local/edo/card/e46f12e8-1e25-4e6d-84c5-9cf607f3ba26")</f>
        <v>https://tessa.gazprom-neft.local/edo/card/e46f12e8-1e25-4e6d-84c5-9cf607f3ba26</v>
      </c>
    </row>
    <row r="1419" spans="1:45" hidden="1" x14ac:dyDescent="0.25">
      <c r="A1419" s="6" t="s">
        <v>44</v>
      </c>
      <c r="B1419" s="7" t="s">
        <v>2266</v>
      </c>
      <c r="C1419" s="7" t="s">
        <v>67</v>
      </c>
      <c r="D1419" s="8">
        <v>44844</v>
      </c>
      <c r="E1419" s="8" t="s">
        <v>0</v>
      </c>
      <c r="F1419" s="16" t="s">
        <v>2267</v>
      </c>
      <c r="G1419" s="7" t="s">
        <v>2268</v>
      </c>
      <c r="H1419" s="7" t="s">
        <v>0</v>
      </c>
      <c r="I1419" s="7" t="s">
        <v>9398</v>
      </c>
      <c r="J1419" s="7" t="s">
        <v>9398</v>
      </c>
      <c r="K1419" s="7" t="s">
        <v>85</v>
      </c>
      <c r="L1419" s="7" t="s">
        <v>96</v>
      </c>
      <c r="M1419" s="7" t="s">
        <v>413</v>
      </c>
      <c r="N1419" s="7" t="s">
        <v>9397</v>
      </c>
      <c r="O1419" s="7" t="s">
        <v>0</v>
      </c>
      <c r="P1419" s="7" t="s">
        <v>413</v>
      </c>
      <c r="Q1419" s="7" t="s">
        <v>9381</v>
      </c>
      <c r="R1419" s="7" t="s">
        <v>799</v>
      </c>
      <c r="S1419" s="7" t="s">
        <v>0</v>
      </c>
      <c r="T1419" s="7" t="s">
        <v>54</v>
      </c>
      <c r="U1419" s="7" t="s">
        <v>55</v>
      </c>
      <c r="V1419" s="7" t="s">
        <v>56</v>
      </c>
      <c r="W1419" s="7" t="s">
        <v>74</v>
      </c>
      <c r="X1419" s="7" t="s">
        <v>103</v>
      </c>
      <c r="Y1419" s="8">
        <v>44844</v>
      </c>
      <c r="Z1419" s="8">
        <v>46387</v>
      </c>
      <c r="AA1419" s="7" t="s">
        <v>59</v>
      </c>
      <c r="AB1419" s="7" t="s">
        <v>130</v>
      </c>
      <c r="AC1419" s="7" t="s">
        <v>79</v>
      </c>
      <c r="AD1419" s="7" t="s">
        <v>144</v>
      </c>
      <c r="AE1419" s="7" t="s">
        <v>82</v>
      </c>
      <c r="AF1419" s="7" t="s">
        <v>0</v>
      </c>
      <c r="AG1419" s="7" t="s">
        <v>0</v>
      </c>
      <c r="AH1419" s="9" t="s">
        <v>13914</v>
      </c>
      <c r="AI1419" s="9" t="s">
        <v>13915</v>
      </c>
      <c r="AJ1419" s="9" t="s">
        <v>13916</v>
      </c>
      <c r="AK1419" s="7" t="s">
        <v>61</v>
      </c>
      <c r="AL1419" s="7" t="s">
        <v>61</v>
      </c>
      <c r="AM1419" s="7" t="s">
        <v>0</v>
      </c>
      <c r="AN1419" s="7" t="s">
        <v>0</v>
      </c>
      <c r="AO1419" s="7" t="s">
        <v>0</v>
      </c>
      <c r="AP1419" s="7" t="s">
        <v>0</v>
      </c>
      <c r="AQ1419" s="7" t="s">
        <v>61</v>
      </c>
      <c r="AR1419" s="7" t="s">
        <v>0</v>
      </c>
      <c r="AS1419" s="10" t="str">
        <f>HYPERLINK("https://tessa.gazprom-neft.local/edo/card/6282c094-fbfa-474c-a8d8-bbab698091bd", "https://tessa.gazprom-neft.local/edo/card/6282c094-fbfa-474c-a8d8-bbab698091bd")</f>
        <v>https://tessa.gazprom-neft.local/edo/card/6282c094-fbfa-474c-a8d8-bbab698091bd</v>
      </c>
    </row>
    <row r="1420" spans="1:45" hidden="1" x14ac:dyDescent="0.25">
      <c r="A1420" s="6" t="s">
        <v>44</v>
      </c>
      <c r="B1420" s="7" t="s">
        <v>705</v>
      </c>
      <c r="C1420" s="7" t="s">
        <v>67</v>
      </c>
      <c r="D1420" s="8">
        <v>44844</v>
      </c>
      <c r="E1420" s="8" t="s">
        <v>0</v>
      </c>
      <c r="F1420" s="16" t="s">
        <v>706</v>
      </c>
      <c r="G1420" s="7" t="s">
        <v>707</v>
      </c>
      <c r="H1420" s="7" t="s">
        <v>0</v>
      </c>
      <c r="I1420" s="7" t="s">
        <v>703</v>
      </c>
      <c r="J1420" s="7" t="s">
        <v>703</v>
      </c>
      <c r="K1420" s="7" t="s">
        <v>85</v>
      </c>
      <c r="L1420" s="7" t="s">
        <v>96</v>
      </c>
      <c r="M1420" s="7" t="s">
        <v>413</v>
      </c>
      <c r="N1420" s="7" t="s">
        <v>9402</v>
      </c>
      <c r="O1420" s="7" t="s">
        <v>0</v>
      </c>
      <c r="P1420" s="7" t="s">
        <v>413</v>
      </c>
      <c r="Q1420" s="7" t="s">
        <v>9381</v>
      </c>
      <c r="R1420" s="7" t="s">
        <v>799</v>
      </c>
      <c r="S1420" s="7" t="s">
        <v>0</v>
      </c>
      <c r="T1420" s="7" t="s">
        <v>54</v>
      </c>
      <c r="U1420" s="7" t="s">
        <v>55</v>
      </c>
      <c r="V1420" s="7" t="s">
        <v>56</v>
      </c>
      <c r="W1420" s="7" t="s">
        <v>74</v>
      </c>
      <c r="X1420" s="7" t="s">
        <v>103</v>
      </c>
      <c r="Y1420" s="8">
        <v>44844</v>
      </c>
      <c r="Z1420" s="8">
        <v>46387</v>
      </c>
      <c r="AA1420" s="7" t="s">
        <v>59</v>
      </c>
      <c r="AB1420" s="7" t="s">
        <v>130</v>
      </c>
      <c r="AC1420" s="7" t="s">
        <v>79</v>
      </c>
      <c r="AD1420" s="7" t="s">
        <v>144</v>
      </c>
      <c r="AE1420" s="7" t="s">
        <v>82</v>
      </c>
      <c r="AF1420" s="7" t="s">
        <v>0</v>
      </c>
      <c r="AG1420" s="7" t="s">
        <v>0</v>
      </c>
      <c r="AH1420" s="9" t="s">
        <v>13917</v>
      </c>
      <c r="AI1420" s="9" t="s">
        <v>13918</v>
      </c>
      <c r="AJ1420" s="9" t="s">
        <v>13919</v>
      </c>
      <c r="AK1420" s="7" t="s">
        <v>61</v>
      </c>
      <c r="AL1420" s="7" t="s">
        <v>61</v>
      </c>
      <c r="AM1420" s="7" t="s">
        <v>0</v>
      </c>
      <c r="AN1420" s="7" t="s">
        <v>0</v>
      </c>
      <c r="AO1420" s="7" t="s">
        <v>0</v>
      </c>
      <c r="AP1420" s="7" t="s">
        <v>0</v>
      </c>
      <c r="AQ1420" s="7" t="s">
        <v>61</v>
      </c>
      <c r="AR1420" s="7" t="s">
        <v>0</v>
      </c>
      <c r="AS1420" s="10" t="str">
        <f>HYPERLINK("https://tessa.gazprom-neft.local/edo/card/b365fbe4-4424-43e9-9826-524f2e8a1c46", "https://tessa.gazprom-neft.local/edo/card/b365fbe4-4424-43e9-9826-524f2e8a1c46")</f>
        <v>https://tessa.gazprom-neft.local/edo/card/b365fbe4-4424-43e9-9826-524f2e8a1c46</v>
      </c>
    </row>
    <row r="1421" spans="1:45" hidden="1" x14ac:dyDescent="0.25">
      <c r="A1421" s="6" t="s">
        <v>44</v>
      </c>
      <c r="B1421" s="7" t="s">
        <v>403</v>
      </c>
      <c r="C1421" s="7" t="s">
        <v>67</v>
      </c>
      <c r="D1421" s="8">
        <v>44844</v>
      </c>
      <c r="E1421" s="8" t="s">
        <v>0</v>
      </c>
      <c r="F1421" s="16" t="s">
        <v>404</v>
      </c>
      <c r="G1421" s="7" t="s">
        <v>405</v>
      </c>
      <c r="H1421" s="7" t="s">
        <v>0</v>
      </c>
      <c r="I1421" s="7" t="s">
        <v>1805</v>
      </c>
      <c r="J1421" s="7" t="s">
        <v>1805</v>
      </c>
      <c r="K1421" s="7" t="s">
        <v>85</v>
      </c>
      <c r="L1421" s="7" t="s">
        <v>96</v>
      </c>
      <c r="M1421" s="7" t="s">
        <v>413</v>
      </c>
      <c r="N1421" s="7" t="s">
        <v>9406</v>
      </c>
      <c r="O1421" s="7" t="s">
        <v>0</v>
      </c>
      <c r="P1421" s="7" t="s">
        <v>413</v>
      </c>
      <c r="Q1421" s="7" t="s">
        <v>9381</v>
      </c>
      <c r="R1421" s="7" t="s">
        <v>799</v>
      </c>
      <c r="S1421" s="7" t="s">
        <v>0</v>
      </c>
      <c r="T1421" s="7" t="s">
        <v>54</v>
      </c>
      <c r="U1421" s="7" t="s">
        <v>55</v>
      </c>
      <c r="V1421" s="7" t="s">
        <v>56</v>
      </c>
      <c r="W1421" s="7" t="s">
        <v>74</v>
      </c>
      <c r="X1421" s="7" t="s">
        <v>103</v>
      </c>
      <c r="Y1421" s="8">
        <v>44844</v>
      </c>
      <c r="Z1421" s="8">
        <v>46387</v>
      </c>
      <c r="AA1421" s="7" t="s">
        <v>59</v>
      </c>
      <c r="AB1421" s="7" t="s">
        <v>130</v>
      </c>
      <c r="AC1421" s="7" t="s">
        <v>79</v>
      </c>
      <c r="AD1421" s="7" t="s">
        <v>144</v>
      </c>
      <c r="AE1421" s="7" t="s">
        <v>82</v>
      </c>
      <c r="AF1421" s="7" t="s">
        <v>0</v>
      </c>
      <c r="AG1421" s="7" t="s">
        <v>0</v>
      </c>
      <c r="AH1421" s="9" t="s">
        <v>13920</v>
      </c>
      <c r="AI1421" s="9" t="s">
        <v>13921</v>
      </c>
      <c r="AJ1421" s="9" t="s">
        <v>13922</v>
      </c>
      <c r="AK1421" s="7" t="s">
        <v>61</v>
      </c>
      <c r="AL1421" s="7" t="s">
        <v>61</v>
      </c>
      <c r="AM1421" s="7" t="s">
        <v>0</v>
      </c>
      <c r="AN1421" s="7" t="s">
        <v>0</v>
      </c>
      <c r="AO1421" s="7" t="s">
        <v>0</v>
      </c>
      <c r="AP1421" s="7" t="s">
        <v>0</v>
      </c>
      <c r="AQ1421" s="7" t="s">
        <v>61</v>
      </c>
      <c r="AR1421" s="7" t="s">
        <v>0</v>
      </c>
      <c r="AS1421" s="10" t="str">
        <f>HYPERLINK("https://tessa.gazprom-neft.local/edo/card/29d7d202-83f7-4b98-aa7e-a7fc86808ddf", "https://tessa.gazprom-neft.local/edo/card/29d7d202-83f7-4b98-aa7e-a7fc86808ddf")</f>
        <v>https://tessa.gazprom-neft.local/edo/card/29d7d202-83f7-4b98-aa7e-a7fc86808ddf</v>
      </c>
    </row>
    <row r="1422" spans="1:45" hidden="1" x14ac:dyDescent="0.25">
      <c r="A1422" s="6" t="s">
        <v>44</v>
      </c>
      <c r="B1422" s="7" t="s">
        <v>395</v>
      </c>
      <c r="C1422" s="7" t="s">
        <v>67</v>
      </c>
      <c r="D1422" s="8">
        <v>44844</v>
      </c>
      <c r="E1422" s="8" t="s">
        <v>0</v>
      </c>
      <c r="F1422" s="16" t="s">
        <v>396</v>
      </c>
      <c r="G1422" s="7" t="s">
        <v>397</v>
      </c>
      <c r="H1422" s="7" t="s">
        <v>0</v>
      </c>
      <c r="I1422" s="7" t="s">
        <v>9667</v>
      </c>
      <c r="J1422" s="7" t="s">
        <v>9667</v>
      </c>
      <c r="K1422" s="7" t="s">
        <v>85</v>
      </c>
      <c r="L1422" s="7" t="s">
        <v>86</v>
      </c>
      <c r="M1422" s="7" t="s">
        <v>83</v>
      </c>
      <c r="N1422" s="7" t="s">
        <v>9666</v>
      </c>
      <c r="O1422" s="7" t="s">
        <v>0</v>
      </c>
      <c r="P1422" s="7" t="s">
        <v>83</v>
      </c>
      <c r="Q1422" s="7" t="s">
        <v>9668</v>
      </c>
      <c r="R1422" s="7" t="s">
        <v>393</v>
      </c>
      <c r="S1422" s="7" t="s">
        <v>590</v>
      </c>
      <c r="T1422" s="7" t="s">
        <v>54</v>
      </c>
      <c r="U1422" s="7" t="s">
        <v>591</v>
      </c>
      <c r="V1422" s="7" t="s">
        <v>91</v>
      </c>
      <c r="W1422" s="7" t="s">
        <v>74</v>
      </c>
      <c r="X1422" s="7" t="s">
        <v>223</v>
      </c>
      <c r="Y1422" s="8">
        <v>44844</v>
      </c>
      <c r="Z1422" s="8" t="s">
        <v>0</v>
      </c>
      <c r="AA1422" s="7" t="s">
        <v>92</v>
      </c>
      <c r="AB1422" s="7" t="s">
        <v>94</v>
      </c>
      <c r="AC1422" s="7" t="s">
        <v>65</v>
      </c>
      <c r="AD1422" s="7" t="s">
        <v>0</v>
      </c>
      <c r="AE1422" s="7" t="s">
        <v>0</v>
      </c>
      <c r="AF1422" s="7" t="s">
        <v>0</v>
      </c>
      <c r="AG1422" s="7" t="s">
        <v>0</v>
      </c>
      <c r="AH1422" s="9" t="s">
        <v>0</v>
      </c>
      <c r="AI1422" s="9" t="s">
        <v>0</v>
      </c>
      <c r="AJ1422" s="9" t="s">
        <v>0</v>
      </c>
      <c r="AK1422" s="7" t="s">
        <v>61</v>
      </c>
      <c r="AL1422" s="7" t="s">
        <v>61</v>
      </c>
      <c r="AM1422" s="7" t="s">
        <v>0</v>
      </c>
      <c r="AN1422" s="7" t="s">
        <v>0</v>
      </c>
      <c r="AO1422" s="7" t="s">
        <v>0</v>
      </c>
      <c r="AP1422" s="7" t="s">
        <v>0</v>
      </c>
      <c r="AQ1422" s="7" t="s">
        <v>61</v>
      </c>
      <c r="AR1422" s="7" t="s">
        <v>0</v>
      </c>
      <c r="AS1422" s="10" t="str">
        <f>HYPERLINK("https://tessa.gazprom-neft.local/edo/card/c95d2d4d-c0a9-46b9-83e7-da59277170a1", "https://tessa.gazprom-neft.local/edo/card/c95d2d4d-c0a9-46b9-83e7-da59277170a1")</f>
        <v>https://tessa.gazprom-neft.local/edo/card/c95d2d4d-c0a9-46b9-83e7-da59277170a1</v>
      </c>
    </row>
    <row r="1423" spans="1:45" x14ac:dyDescent="0.25">
      <c r="A1423" s="6" t="s">
        <v>44</v>
      </c>
      <c r="B1423" s="7" t="s">
        <v>793</v>
      </c>
      <c r="C1423" s="7" t="s">
        <v>67</v>
      </c>
      <c r="D1423" s="8">
        <v>44841</v>
      </c>
      <c r="E1423" s="8" t="s">
        <v>0</v>
      </c>
      <c r="F1423" s="16" t="s">
        <v>794</v>
      </c>
      <c r="G1423" s="7" t="s">
        <v>795</v>
      </c>
      <c r="H1423" s="7" t="s">
        <v>2055</v>
      </c>
      <c r="I1423" s="7" t="s">
        <v>0</v>
      </c>
      <c r="J1423" s="7" t="s">
        <v>355</v>
      </c>
      <c r="K1423" s="7" t="s">
        <v>47</v>
      </c>
      <c r="L1423" s="7" t="s">
        <v>48</v>
      </c>
      <c r="M1423" s="7" t="s">
        <v>0</v>
      </c>
      <c r="N1423" s="7" t="s">
        <v>8188</v>
      </c>
      <c r="O1423" s="7" t="s">
        <v>0</v>
      </c>
      <c r="P1423" s="7" t="s">
        <v>8189</v>
      </c>
      <c r="Q1423" s="7" t="s">
        <v>8190</v>
      </c>
      <c r="R1423" s="7" t="s">
        <v>282</v>
      </c>
      <c r="S1423" s="7" t="s">
        <v>0</v>
      </c>
      <c r="T1423" s="7" t="s">
        <v>54</v>
      </c>
      <c r="U1423" s="7" t="s">
        <v>55</v>
      </c>
      <c r="V1423" s="7" t="s">
        <v>56</v>
      </c>
      <c r="W1423" s="7" t="s">
        <v>57</v>
      </c>
      <c r="X1423" s="7" t="s">
        <v>103</v>
      </c>
      <c r="Y1423" s="8">
        <v>44841</v>
      </c>
      <c r="Z1423" s="8">
        <v>45291</v>
      </c>
      <c r="AA1423" s="7" t="s">
        <v>0</v>
      </c>
      <c r="AB1423" s="7" t="s">
        <v>64</v>
      </c>
      <c r="AC1423" s="7" t="s">
        <v>79</v>
      </c>
      <c r="AD1423" s="7" t="s">
        <v>144</v>
      </c>
      <c r="AE1423" s="7" t="s">
        <v>82</v>
      </c>
      <c r="AF1423" s="7" t="s">
        <v>0</v>
      </c>
      <c r="AG1423" s="7" t="s">
        <v>0</v>
      </c>
      <c r="AH1423" s="9" t="s">
        <v>13468</v>
      </c>
      <c r="AI1423" s="9" t="s">
        <v>13469</v>
      </c>
      <c r="AJ1423" s="9" t="s">
        <v>13470</v>
      </c>
      <c r="AK1423" s="7" t="s">
        <v>61</v>
      </c>
      <c r="AL1423" s="7" t="s">
        <v>61</v>
      </c>
      <c r="AM1423" s="7" t="s">
        <v>0</v>
      </c>
      <c r="AN1423" s="7" t="s">
        <v>0</v>
      </c>
      <c r="AO1423" s="7" t="s">
        <v>0</v>
      </c>
      <c r="AP1423" s="7" t="s">
        <v>0</v>
      </c>
      <c r="AQ1423" s="7" t="s">
        <v>61</v>
      </c>
      <c r="AR1423" s="7" t="s">
        <v>0</v>
      </c>
      <c r="AS1423" s="10" t="str">
        <f>HYPERLINK("https://tessa.gazprom-neft.local/edo/card/4ac0a9b5-1d2e-4ac5-bc51-513b2d058cb2", "https://tessa.gazprom-neft.local/edo/card/4ac0a9b5-1d2e-4ac5-bc51-513b2d058cb2")</f>
        <v>https://tessa.gazprom-neft.local/edo/card/4ac0a9b5-1d2e-4ac5-bc51-513b2d058cb2</v>
      </c>
    </row>
    <row r="1424" spans="1:45" x14ac:dyDescent="0.25">
      <c r="A1424" s="6" t="s">
        <v>44</v>
      </c>
      <c r="B1424" s="7" t="s">
        <v>813</v>
      </c>
      <c r="C1424" s="7" t="s">
        <v>67</v>
      </c>
      <c r="D1424" s="8">
        <v>44841</v>
      </c>
      <c r="E1424" s="8" t="s">
        <v>0</v>
      </c>
      <c r="F1424" s="16" t="s">
        <v>814</v>
      </c>
      <c r="G1424" s="7" t="s">
        <v>815</v>
      </c>
      <c r="H1424" s="7" t="s">
        <v>809</v>
      </c>
      <c r="I1424" s="7" t="s">
        <v>0</v>
      </c>
      <c r="J1424" s="7" t="s">
        <v>70</v>
      </c>
      <c r="K1424" s="7" t="s">
        <v>47</v>
      </c>
      <c r="L1424" s="7" t="s">
        <v>48</v>
      </c>
      <c r="M1424" s="7" t="s">
        <v>0</v>
      </c>
      <c r="N1424" s="7" t="s">
        <v>9152</v>
      </c>
      <c r="O1424" s="7" t="s">
        <v>0</v>
      </c>
      <c r="P1424" s="7" t="s">
        <v>4600</v>
      </c>
      <c r="Q1424" s="7" t="s">
        <v>9151</v>
      </c>
      <c r="R1424" s="7" t="s">
        <v>393</v>
      </c>
      <c r="S1424" s="7" t="s">
        <v>812</v>
      </c>
      <c r="T1424" s="7" t="s">
        <v>54</v>
      </c>
      <c r="U1424" s="7" t="s">
        <v>1534</v>
      </c>
      <c r="V1424" s="7" t="s">
        <v>56</v>
      </c>
      <c r="W1424" s="7" t="s">
        <v>57</v>
      </c>
      <c r="X1424" s="7" t="s">
        <v>223</v>
      </c>
      <c r="Y1424" s="8">
        <v>44841</v>
      </c>
      <c r="Z1424" s="8" t="s">
        <v>0</v>
      </c>
      <c r="AA1424" s="7" t="s">
        <v>0</v>
      </c>
      <c r="AB1424" s="7" t="s">
        <v>256</v>
      </c>
      <c r="AC1424" s="7" t="s">
        <v>65</v>
      </c>
      <c r="AD1424" s="7" t="s">
        <v>80</v>
      </c>
      <c r="AE1424" s="7" t="s">
        <v>0</v>
      </c>
      <c r="AF1424" s="7" t="s">
        <v>0</v>
      </c>
      <c r="AG1424" s="7" t="s">
        <v>0</v>
      </c>
      <c r="AH1424" s="9" t="s">
        <v>0</v>
      </c>
      <c r="AI1424" s="9" t="s">
        <v>0</v>
      </c>
      <c r="AJ1424" s="9" t="s">
        <v>0</v>
      </c>
      <c r="AK1424" s="7" t="s">
        <v>61</v>
      </c>
      <c r="AL1424" s="7" t="s">
        <v>61</v>
      </c>
      <c r="AM1424" s="7" t="s">
        <v>0</v>
      </c>
      <c r="AN1424" s="7" t="s">
        <v>0</v>
      </c>
      <c r="AO1424" s="7" t="s">
        <v>0</v>
      </c>
      <c r="AP1424" s="7" t="s">
        <v>0</v>
      </c>
      <c r="AQ1424" s="7" t="s">
        <v>61</v>
      </c>
      <c r="AR1424" s="7" t="s">
        <v>0</v>
      </c>
      <c r="AS1424" s="10" t="str">
        <f>HYPERLINK("https://tessa.gazprom-neft.local/edo/card/7c8a66e0-4b28-43c8-b4fb-82e5d61269fd", "https://tessa.gazprom-neft.local/edo/card/7c8a66e0-4b28-43c8-b4fb-82e5d61269fd")</f>
        <v>https://tessa.gazprom-neft.local/edo/card/7c8a66e0-4b28-43c8-b4fb-82e5d61269fd</v>
      </c>
    </row>
    <row r="1425" spans="1:45" hidden="1" x14ac:dyDescent="0.25">
      <c r="A1425" s="6" t="s">
        <v>44</v>
      </c>
      <c r="B1425" s="7" t="s">
        <v>0</v>
      </c>
      <c r="C1425" s="7" t="s">
        <v>46</v>
      </c>
      <c r="D1425" s="8">
        <v>44841</v>
      </c>
      <c r="E1425" s="8" t="s">
        <v>0</v>
      </c>
      <c r="F1425" s="16" t="s">
        <v>9240</v>
      </c>
      <c r="G1425" s="7" t="s">
        <v>0</v>
      </c>
      <c r="H1425" s="7" t="s">
        <v>0</v>
      </c>
      <c r="I1425" s="7" t="s">
        <v>9239</v>
      </c>
      <c r="J1425" s="7" t="s">
        <v>9239</v>
      </c>
      <c r="K1425" s="7" t="s">
        <v>85</v>
      </c>
      <c r="L1425" s="7" t="s">
        <v>96</v>
      </c>
      <c r="M1425" s="7" t="s">
        <v>183</v>
      </c>
      <c r="N1425" s="7" t="s">
        <v>9238</v>
      </c>
      <c r="O1425" s="7" t="s">
        <v>0</v>
      </c>
      <c r="P1425" s="7" t="s">
        <v>183</v>
      </c>
      <c r="Q1425" s="7" t="s">
        <v>186</v>
      </c>
      <c r="R1425" s="7" t="s">
        <v>112</v>
      </c>
      <c r="S1425" s="7" t="s">
        <v>112</v>
      </c>
      <c r="T1425" s="7" t="s">
        <v>54</v>
      </c>
      <c r="U1425" s="7" t="s">
        <v>111</v>
      </c>
      <c r="V1425" s="7" t="s">
        <v>137</v>
      </c>
      <c r="W1425" s="7" t="s">
        <v>57</v>
      </c>
      <c r="X1425" s="7" t="s">
        <v>103</v>
      </c>
      <c r="Y1425" s="8">
        <v>44841</v>
      </c>
      <c r="Z1425" s="8">
        <v>44926</v>
      </c>
      <c r="AA1425" s="7" t="s">
        <v>0</v>
      </c>
      <c r="AB1425" s="7" t="s">
        <v>192</v>
      </c>
      <c r="AC1425" s="7" t="s">
        <v>79</v>
      </c>
      <c r="AD1425" s="7" t="s">
        <v>80</v>
      </c>
      <c r="AE1425" s="7" t="s">
        <v>193</v>
      </c>
      <c r="AF1425" s="7" t="s">
        <v>0</v>
      </c>
      <c r="AG1425" s="7" t="s">
        <v>0</v>
      </c>
      <c r="AH1425" s="9" t="s">
        <v>12028</v>
      </c>
      <c r="AI1425" s="9" t="s">
        <v>13850</v>
      </c>
      <c r="AJ1425" s="9" t="s">
        <v>13851</v>
      </c>
      <c r="AK1425" s="7" t="s">
        <v>61</v>
      </c>
      <c r="AL1425" s="7" t="s">
        <v>61</v>
      </c>
      <c r="AM1425" s="7" t="s">
        <v>0</v>
      </c>
      <c r="AN1425" s="7" t="s">
        <v>0</v>
      </c>
      <c r="AO1425" s="7" t="s">
        <v>0</v>
      </c>
      <c r="AP1425" s="7" t="s">
        <v>0</v>
      </c>
      <c r="AQ1425" s="7" t="s">
        <v>61</v>
      </c>
      <c r="AR1425" s="7" t="s">
        <v>0</v>
      </c>
      <c r="AS1425" s="10" t="str">
        <f>HYPERLINK("https://tessa.gazprom-neft.local/edo/card/61b1f12e-f241-47cc-8b62-5abe2947aff5", "https://tessa.gazprom-neft.local/edo/card/61b1f12e-f241-47cc-8b62-5abe2947aff5")</f>
        <v>https://tessa.gazprom-neft.local/edo/card/61b1f12e-f241-47cc-8b62-5abe2947aff5</v>
      </c>
    </row>
    <row r="1426" spans="1:45" x14ac:dyDescent="0.25">
      <c r="A1426" s="6" t="s">
        <v>44</v>
      </c>
      <c r="B1426" s="7" t="s">
        <v>395</v>
      </c>
      <c r="C1426" s="7" t="s">
        <v>67</v>
      </c>
      <c r="D1426" s="8">
        <v>44841</v>
      </c>
      <c r="E1426" s="8" t="s">
        <v>0</v>
      </c>
      <c r="F1426" s="16" t="s">
        <v>396</v>
      </c>
      <c r="G1426" s="7" t="s">
        <v>397</v>
      </c>
      <c r="H1426" s="7" t="s">
        <v>1233</v>
      </c>
      <c r="I1426" s="7" t="s">
        <v>0</v>
      </c>
      <c r="J1426" s="7" t="s">
        <v>156</v>
      </c>
      <c r="K1426" s="7" t="s">
        <v>85</v>
      </c>
      <c r="L1426" s="7" t="s">
        <v>48</v>
      </c>
      <c r="M1426" s="7" t="s">
        <v>2128</v>
      </c>
      <c r="N1426" s="7" t="s">
        <v>9249</v>
      </c>
      <c r="O1426" s="7" t="s">
        <v>0</v>
      </c>
      <c r="P1426" s="7" t="s">
        <v>2128</v>
      </c>
      <c r="Q1426" s="7" t="s">
        <v>7072</v>
      </c>
      <c r="R1426" s="7" t="s">
        <v>590</v>
      </c>
      <c r="S1426" s="7" t="s">
        <v>590</v>
      </c>
      <c r="T1426" s="7" t="s">
        <v>54</v>
      </c>
      <c r="U1426" s="7" t="s">
        <v>591</v>
      </c>
      <c r="V1426" s="7" t="s">
        <v>126</v>
      </c>
      <c r="W1426" s="7" t="s">
        <v>57</v>
      </c>
      <c r="X1426" s="7" t="s">
        <v>58</v>
      </c>
      <c r="Y1426" s="8">
        <v>44837</v>
      </c>
      <c r="Z1426" s="8" t="s">
        <v>0</v>
      </c>
      <c r="AA1426" s="7" t="s">
        <v>224</v>
      </c>
      <c r="AB1426" s="7" t="s">
        <v>387</v>
      </c>
      <c r="AC1426" s="7" t="s">
        <v>65</v>
      </c>
      <c r="AD1426" s="7" t="s">
        <v>144</v>
      </c>
      <c r="AE1426" s="7" t="s">
        <v>0</v>
      </c>
      <c r="AF1426" s="7" t="s">
        <v>0</v>
      </c>
      <c r="AG1426" s="7" t="s">
        <v>0</v>
      </c>
      <c r="AH1426" s="9" t="s">
        <v>0</v>
      </c>
      <c r="AI1426" s="9" t="s">
        <v>0</v>
      </c>
      <c r="AJ1426" s="9" t="s">
        <v>0</v>
      </c>
      <c r="AK1426" s="7" t="s">
        <v>61</v>
      </c>
      <c r="AL1426" s="7" t="s">
        <v>61</v>
      </c>
      <c r="AM1426" s="7" t="s">
        <v>0</v>
      </c>
      <c r="AN1426" s="7" t="s">
        <v>0</v>
      </c>
      <c r="AO1426" s="7" t="s">
        <v>0</v>
      </c>
      <c r="AP1426" s="7" t="s">
        <v>0</v>
      </c>
      <c r="AQ1426" s="7" t="s">
        <v>61</v>
      </c>
      <c r="AR1426" s="7" t="s">
        <v>0</v>
      </c>
      <c r="AS1426" s="10" t="str">
        <f>HYPERLINK("https://tessa.gazprom-neft.local/edo/card/a7e953e0-caca-4e61-bef7-3f5cf9b8c5d2", "https://tessa.gazprom-neft.local/edo/card/a7e953e0-caca-4e61-bef7-3f5cf9b8c5d2")</f>
        <v>https://tessa.gazprom-neft.local/edo/card/a7e953e0-caca-4e61-bef7-3f5cf9b8c5d2</v>
      </c>
    </row>
    <row r="1427" spans="1:45" hidden="1" x14ac:dyDescent="0.25">
      <c r="A1427" s="6" t="s">
        <v>44</v>
      </c>
      <c r="B1427" s="7" t="s">
        <v>0</v>
      </c>
      <c r="C1427" s="7" t="s">
        <v>67</v>
      </c>
      <c r="D1427" s="8">
        <v>44841</v>
      </c>
      <c r="E1427" s="8" t="s">
        <v>0</v>
      </c>
      <c r="F1427" s="16" t="s">
        <v>9240</v>
      </c>
      <c r="G1427" s="7" t="s">
        <v>0</v>
      </c>
      <c r="H1427" s="7" t="s">
        <v>0</v>
      </c>
      <c r="I1427" s="7" t="s">
        <v>9264</v>
      </c>
      <c r="J1427" s="7" t="s">
        <v>9264</v>
      </c>
      <c r="K1427" s="7" t="s">
        <v>85</v>
      </c>
      <c r="L1427" s="7" t="s">
        <v>86</v>
      </c>
      <c r="M1427" s="7" t="s">
        <v>523</v>
      </c>
      <c r="N1427" s="7" t="s">
        <v>9263</v>
      </c>
      <c r="O1427" s="7" t="s">
        <v>0</v>
      </c>
      <c r="P1427" s="7" t="s">
        <v>523</v>
      </c>
      <c r="Q1427" s="7" t="s">
        <v>9265</v>
      </c>
      <c r="R1427" s="7" t="s">
        <v>1403</v>
      </c>
      <c r="S1427" s="7" t="s">
        <v>1403</v>
      </c>
      <c r="T1427" s="7" t="s">
        <v>54</v>
      </c>
      <c r="U1427" s="7" t="s">
        <v>303</v>
      </c>
      <c r="V1427" s="7" t="s">
        <v>91</v>
      </c>
      <c r="W1427" s="7" t="s">
        <v>57</v>
      </c>
      <c r="X1427" s="7" t="s">
        <v>58</v>
      </c>
      <c r="Y1427" s="8">
        <v>44841</v>
      </c>
      <c r="Z1427" s="8" t="s">
        <v>0</v>
      </c>
      <c r="AA1427" s="7" t="s">
        <v>92</v>
      </c>
      <c r="AB1427" s="7" t="s">
        <v>94</v>
      </c>
      <c r="AC1427" s="7" t="s">
        <v>65</v>
      </c>
      <c r="AD1427" s="7" t="s">
        <v>0</v>
      </c>
      <c r="AE1427" s="7" t="s">
        <v>0</v>
      </c>
      <c r="AF1427" s="7" t="s">
        <v>0</v>
      </c>
      <c r="AG1427" s="7" t="s">
        <v>0</v>
      </c>
      <c r="AH1427" s="9" t="s">
        <v>0</v>
      </c>
      <c r="AI1427" s="9" t="s">
        <v>0</v>
      </c>
      <c r="AJ1427" s="9" t="s">
        <v>0</v>
      </c>
      <c r="AK1427" s="7" t="s">
        <v>61</v>
      </c>
      <c r="AL1427" s="7" t="s">
        <v>61</v>
      </c>
      <c r="AM1427" s="7" t="s">
        <v>0</v>
      </c>
      <c r="AN1427" s="7" t="s">
        <v>0</v>
      </c>
      <c r="AO1427" s="7" t="s">
        <v>0</v>
      </c>
      <c r="AP1427" s="7" t="s">
        <v>0</v>
      </c>
      <c r="AQ1427" s="7" t="s">
        <v>61</v>
      </c>
      <c r="AR1427" s="7" t="s">
        <v>0</v>
      </c>
      <c r="AS1427" s="10" t="str">
        <f>HYPERLINK("https://tessa.gazprom-neft.local/edo/card/f5434843-3459-4937-943e-8a2a33a38ee7", "https://tessa.gazprom-neft.local/edo/card/f5434843-3459-4937-943e-8a2a33a38ee7")</f>
        <v>https://tessa.gazprom-neft.local/edo/card/f5434843-3459-4937-943e-8a2a33a38ee7</v>
      </c>
    </row>
    <row r="1428" spans="1:45" hidden="1" x14ac:dyDescent="0.25">
      <c r="A1428" s="6" t="s">
        <v>44</v>
      </c>
      <c r="B1428" s="7" t="s">
        <v>606</v>
      </c>
      <c r="C1428" s="7" t="s">
        <v>67</v>
      </c>
      <c r="D1428" s="8">
        <v>44840</v>
      </c>
      <c r="E1428" s="8" t="s">
        <v>0</v>
      </c>
      <c r="F1428" s="16" t="s">
        <v>607</v>
      </c>
      <c r="G1428" s="7" t="s">
        <v>608</v>
      </c>
      <c r="H1428" s="7" t="s">
        <v>600</v>
      </c>
      <c r="I1428" s="7" t="s">
        <v>0</v>
      </c>
      <c r="J1428" s="7" t="s">
        <v>1795</v>
      </c>
      <c r="K1428" s="7" t="s">
        <v>47</v>
      </c>
      <c r="L1428" s="7" t="s">
        <v>239</v>
      </c>
      <c r="M1428" s="7" t="s">
        <v>0</v>
      </c>
      <c r="N1428" s="7" t="s">
        <v>9074</v>
      </c>
      <c r="O1428" s="7" t="s">
        <v>0</v>
      </c>
      <c r="P1428" s="7" t="s">
        <v>9075</v>
      </c>
      <c r="Q1428" s="7" t="s">
        <v>9076</v>
      </c>
      <c r="R1428" s="7" t="s">
        <v>2178</v>
      </c>
      <c r="S1428" s="7" t="s">
        <v>2178</v>
      </c>
      <c r="T1428" s="7" t="s">
        <v>54</v>
      </c>
      <c r="U1428" s="7" t="s">
        <v>605</v>
      </c>
      <c r="V1428" s="7" t="s">
        <v>382</v>
      </c>
      <c r="W1428" s="7" t="s">
        <v>74</v>
      </c>
      <c r="X1428" s="7" t="s">
        <v>103</v>
      </c>
      <c r="Y1428" s="8">
        <v>44840</v>
      </c>
      <c r="Z1428" s="8">
        <v>45291</v>
      </c>
      <c r="AA1428" s="7" t="s">
        <v>383</v>
      </c>
      <c r="AB1428" s="7" t="s">
        <v>130</v>
      </c>
      <c r="AC1428" s="7" t="s">
        <v>79</v>
      </c>
      <c r="AD1428" s="7" t="s">
        <v>144</v>
      </c>
      <c r="AE1428" s="7" t="s">
        <v>82</v>
      </c>
      <c r="AF1428" s="7" t="s">
        <v>0</v>
      </c>
      <c r="AG1428" s="7" t="s">
        <v>0</v>
      </c>
      <c r="AH1428" s="9" t="s">
        <v>13800</v>
      </c>
      <c r="AI1428" s="9" t="s">
        <v>13801</v>
      </c>
      <c r="AJ1428" s="9" t="s">
        <v>13802</v>
      </c>
      <c r="AK1428" s="7" t="s">
        <v>61</v>
      </c>
      <c r="AL1428" s="7" t="s">
        <v>61</v>
      </c>
      <c r="AM1428" s="7" t="s">
        <v>0</v>
      </c>
      <c r="AN1428" s="7" t="s">
        <v>0</v>
      </c>
      <c r="AO1428" s="7" t="s">
        <v>0</v>
      </c>
      <c r="AP1428" s="7" t="s">
        <v>0</v>
      </c>
      <c r="AQ1428" s="7" t="s">
        <v>61</v>
      </c>
      <c r="AR1428" s="7" t="s">
        <v>0</v>
      </c>
      <c r="AS1428" s="10" t="str">
        <f>HYPERLINK("https://tessa.gazprom-neft.local/edo/card/ec5f9718-b919-44aa-9f5f-b9650cf5de28", "https://tessa.gazprom-neft.local/edo/card/ec5f9718-b919-44aa-9f5f-b9650cf5de28")</f>
        <v>https://tessa.gazprom-neft.local/edo/card/ec5f9718-b919-44aa-9f5f-b9650cf5de28</v>
      </c>
    </row>
    <row r="1429" spans="1:45" x14ac:dyDescent="0.25">
      <c r="A1429" s="6" t="s">
        <v>44</v>
      </c>
      <c r="B1429" s="7" t="s">
        <v>1386</v>
      </c>
      <c r="C1429" s="7" t="s">
        <v>67</v>
      </c>
      <c r="D1429" s="8">
        <v>44840</v>
      </c>
      <c r="E1429" s="8" t="s">
        <v>0</v>
      </c>
      <c r="F1429" s="16" t="s">
        <v>1387</v>
      </c>
      <c r="G1429" s="7" t="s">
        <v>1388</v>
      </c>
      <c r="H1429" s="7" t="s">
        <v>1383</v>
      </c>
      <c r="I1429" s="7" t="s">
        <v>0</v>
      </c>
      <c r="J1429" s="7" t="s">
        <v>1098</v>
      </c>
      <c r="K1429" s="7" t="s">
        <v>47</v>
      </c>
      <c r="L1429" s="7" t="s">
        <v>48</v>
      </c>
      <c r="M1429" s="7" t="s">
        <v>0</v>
      </c>
      <c r="N1429" s="7" t="s">
        <v>9177</v>
      </c>
      <c r="O1429" s="7" t="s">
        <v>0</v>
      </c>
      <c r="P1429" s="7" t="s">
        <v>9178</v>
      </c>
      <c r="Q1429" s="7" t="s">
        <v>9179</v>
      </c>
      <c r="R1429" s="7" t="s">
        <v>1342</v>
      </c>
      <c r="S1429" s="7" t="s">
        <v>1342</v>
      </c>
      <c r="T1429" s="7" t="s">
        <v>54</v>
      </c>
      <c r="U1429" s="7" t="s">
        <v>274</v>
      </c>
      <c r="V1429" s="7" t="s">
        <v>864</v>
      </c>
      <c r="W1429" s="7" t="s">
        <v>57</v>
      </c>
      <c r="X1429" s="7" t="s">
        <v>103</v>
      </c>
      <c r="Y1429" s="8">
        <v>44840</v>
      </c>
      <c r="Z1429" s="8">
        <v>44926</v>
      </c>
      <c r="AA1429" s="7" t="s">
        <v>1343</v>
      </c>
      <c r="AB1429" s="7" t="s">
        <v>64</v>
      </c>
      <c r="AC1429" s="7" t="s">
        <v>278</v>
      </c>
      <c r="AD1429" s="7" t="s">
        <v>80</v>
      </c>
      <c r="AE1429" s="7" t="s">
        <v>82</v>
      </c>
      <c r="AF1429" s="7" t="s">
        <v>0</v>
      </c>
      <c r="AG1429" s="7" t="s">
        <v>0</v>
      </c>
      <c r="AH1429" s="9" t="s">
        <v>13822</v>
      </c>
      <c r="AI1429" s="9" t="s">
        <v>13823</v>
      </c>
      <c r="AJ1429" s="9" t="s">
        <v>13824</v>
      </c>
      <c r="AK1429" s="7" t="s">
        <v>61</v>
      </c>
      <c r="AL1429" s="7" t="s">
        <v>61</v>
      </c>
      <c r="AM1429" s="7" t="s">
        <v>0</v>
      </c>
      <c r="AN1429" s="7" t="s">
        <v>0</v>
      </c>
      <c r="AO1429" s="7" t="s">
        <v>0</v>
      </c>
      <c r="AP1429" s="7" t="s">
        <v>0</v>
      </c>
      <c r="AQ1429" s="7" t="s">
        <v>61</v>
      </c>
      <c r="AR1429" s="7" t="s">
        <v>0</v>
      </c>
      <c r="AS1429" s="10" t="str">
        <f>HYPERLINK("https://tessa.gazprom-neft.local/edo/card/f7607748-7a1d-4e58-9550-6b4c09f7a321", "https://tessa.gazprom-neft.local/edo/card/f7607748-7a1d-4e58-9550-6b4c09f7a321")</f>
        <v>https://tessa.gazprom-neft.local/edo/card/f7607748-7a1d-4e58-9550-6b4c09f7a321</v>
      </c>
    </row>
    <row r="1430" spans="1:45" x14ac:dyDescent="0.25">
      <c r="A1430" s="6" t="s">
        <v>44</v>
      </c>
      <c r="B1430" s="7" t="s">
        <v>225</v>
      </c>
      <c r="C1430" s="7" t="s">
        <v>67</v>
      </c>
      <c r="D1430" s="8">
        <v>44840</v>
      </c>
      <c r="E1430" s="8" t="s">
        <v>0</v>
      </c>
      <c r="F1430" s="16" t="s">
        <v>226</v>
      </c>
      <c r="G1430" s="7" t="s">
        <v>227</v>
      </c>
      <c r="H1430" s="7" t="s">
        <v>9271</v>
      </c>
      <c r="I1430" s="7" t="s">
        <v>0</v>
      </c>
      <c r="J1430" s="7" t="s">
        <v>355</v>
      </c>
      <c r="K1430" s="7" t="s">
        <v>47</v>
      </c>
      <c r="L1430" s="7" t="s">
        <v>48</v>
      </c>
      <c r="M1430" s="7" t="s">
        <v>0</v>
      </c>
      <c r="N1430" s="7" t="s">
        <v>9270</v>
      </c>
      <c r="O1430" s="7" t="s">
        <v>0</v>
      </c>
      <c r="P1430" s="7" t="s">
        <v>5983</v>
      </c>
      <c r="Q1430" s="7" t="s">
        <v>9272</v>
      </c>
      <c r="R1430" s="7" t="s">
        <v>220</v>
      </c>
      <c r="S1430" s="7" t="s">
        <v>221</v>
      </c>
      <c r="T1430" s="7" t="s">
        <v>54</v>
      </c>
      <c r="U1430" s="7" t="s">
        <v>222</v>
      </c>
      <c r="V1430" s="7" t="s">
        <v>126</v>
      </c>
      <c r="W1430" s="7" t="s">
        <v>74</v>
      </c>
      <c r="X1430" s="7" t="s">
        <v>58</v>
      </c>
      <c r="Y1430" s="8">
        <v>44840</v>
      </c>
      <c r="Z1430" s="8" t="s">
        <v>0</v>
      </c>
      <c r="AA1430" s="7" t="s">
        <v>224</v>
      </c>
      <c r="AB1430" s="7" t="s">
        <v>387</v>
      </c>
      <c r="AC1430" s="7" t="s">
        <v>79</v>
      </c>
      <c r="AD1430" s="7" t="s">
        <v>80</v>
      </c>
      <c r="AE1430" s="7" t="s">
        <v>82</v>
      </c>
      <c r="AF1430" s="7" t="s">
        <v>0</v>
      </c>
      <c r="AG1430" s="7" t="s">
        <v>0</v>
      </c>
      <c r="AH1430" s="9" t="s">
        <v>13860</v>
      </c>
      <c r="AI1430" s="9" t="s">
        <v>13861</v>
      </c>
      <c r="AJ1430" s="9">
        <v>730.04</v>
      </c>
      <c r="AK1430" s="7" t="s">
        <v>61</v>
      </c>
      <c r="AL1430" s="7" t="s">
        <v>61</v>
      </c>
      <c r="AM1430" s="7" t="s">
        <v>0</v>
      </c>
      <c r="AN1430" s="7" t="s">
        <v>0</v>
      </c>
      <c r="AO1430" s="7" t="s">
        <v>0</v>
      </c>
      <c r="AP1430" s="7" t="s">
        <v>0</v>
      </c>
      <c r="AQ1430" s="7" t="s">
        <v>61</v>
      </c>
      <c r="AR1430" s="7" t="s">
        <v>0</v>
      </c>
      <c r="AS1430" s="10" t="str">
        <f>HYPERLINK("https://tessa.gazprom-neft.local/edo/card/d7ed997c-e56d-4245-9c0e-ac40bc7c8a29", "https://tessa.gazprom-neft.local/edo/card/d7ed997c-e56d-4245-9c0e-ac40bc7c8a29")</f>
        <v>https://tessa.gazprom-neft.local/edo/card/d7ed997c-e56d-4245-9c0e-ac40bc7c8a29</v>
      </c>
    </row>
    <row r="1431" spans="1:45" x14ac:dyDescent="0.25">
      <c r="A1431" s="6" t="s">
        <v>44</v>
      </c>
      <c r="B1431" s="7" t="s">
        <v>225</v>
      </c>
      <c r="C1431" s="7" t="s">
        <v>67</v>
      </c>
      <c r="D1431" s="8">
        <v>44840</v>
      </c>
      <c r="E1431" s="8" t="s">
        <v>0</v>
      </c>
      <c r="F1431" s="16" t="s">
        <v>226</v>
      </c>
      <c r="G1431" s="7" t="s">
        <v>227</v>
      </c>
      <c r="H1431" s="7" t="s">
        <v>9434</v>
      </c>
      <c r="I1431" s="7" t="s">
        <v>0</v>
      </c>
      <c r="J1431" s="7" t="s">
        <v>872</v>
      </c>
      <c r="K1431" s="7" t="s">
        <v>85</v>
      </c>
      <c r="L1431" s="7" t="s">
        <v>48</v>
      </c>
      <c r="M1431" s="7" t="s">
        <v>3833</v>
      </c>
      <c r="N1431" s="7" t="s">
        <v>9433</v>
      </c>
      <c r="O1431" s="7" t="s">
        <v>0</v>
      </c>
      <c r="P1431" s="7" t="s">
        <v>3833</v>
      </c>
      <c r="Q1431" s="7" t="s">
        <v>6277</v>
      </c>
      <c r="R1431" s="7" t="s">
        <v>220</v>
      </c>
      <c r="S1431" s="7" t="s">
        <v>0</v>
      </c>
      <c r="T1431" s="7" t="s">
        <v>54</v>
      </c>
      <c r="U1431" s="7" t="s">
        <v>222</v>
      </c>
      <c r="V1431" s="7" t="s">
        <v>126</v>
      </c>
      <c r="W1431" s="7" t="s">
        <v>74</v>
      </c>
      <c r="X1431" s="7" t="s">
        <v>58</v>
      </c>
      <c r="Y1431" s="8">
        <v>44851</v>
      </c>
      <c r="Z1431" s="8" t="s">
        <v>0</v>
      </c>
      <c r="AA1431" s="7" t="s">
        <v>224</v>
      </c>
      <c r="AB1431" s="7" t="s">
        <v>387</v>
      </c>
      <c r="AC1431" s="7" t="s">
        <v>65</v>
      </c>
      <c r="AD1431" s="7" t="s">
        <v>0</v>
      </c>
      <c r="AE1431" s="7" t="s">
        <v>0</v>
      </c>
      <c r="AF1431" s="7" t="s">
        <v>0</v>
      </c>
      <c r="AG1431" s="7" t="s">
        <v>0</v>
      </c>
      <c r="AH1431" s="9" t="s">
        <v>0</v>
      </c>
      <c r="AI1431" s="9" t="s">
        <v>0</v>
      </c>
      <c r="AJ1431" s="9" t="s">
        <v>0</v>
      </c>
      <c r="AK1431" s="7" t="s">
        <v>61</v>
      </c>
      <c r="AL1431" s="7" t="s">
        <v>61</v>
      </c>
      <c r="AM1431" s="7" t="s">
        <v>0</v>
      </c>
      <c r="AN1431" s="7" t="s">
        <v>0</v>
      </c>
      <c r="AO1431" s="7" t="s">
        <v>0</v>
      </c>
      <c r="AP1431" s="7" t="s">
        <v>0</v>
      </c>
      <c r="AQ1431" s="7" t="s">
        <v>61</v>
      </c>
      <c r="AR1431" s="7" t="s">
        <v>0</v>
      </c>
      <c r="AS1431" s="10" t="str">
        <f>HYPERLINK("https://tessa.gazprom-neft.local/edo/card/530fd0fa-0101-400d-af38-8997454a0164", "https://tessa.gazprom-neft.local/edo/card/530fd0fa-0101-400d-af38-8997454a0164")</f>
        <v>https://tessa.gazprom-neft.local/edo/card/530fd0fa-0101-400d-af38-8997454a0164</v>
      </c>
    </row>
    <row r="1432" spans="1:45" x14ac:dyDescent="0.25">
      <c r="A1432" s="6" t="s">
        <v>44</v>
      </c>
      <c r="B1432" s="7" t="s">
        <v>1950</v>
      </c>
      <c r="C1432" s="7" t="s">
        <v>67</v>
      </c>
      <c r="D1432" s="8">
        <v>44839</v>
      </c>
      <c r="E1432" s="8" t="s">
        <v>0</v>
      </c>
      <c r="F1432" s="16" t="s">
        <v>1951</v>
      </c>
      <c r="G1432" s="7" t="s">
        <v>1952</v>
      </c>
      <c r="H1432" s="7" t="s">
        <v>1947</v>
      </c>
      <c r="I1432" s="7" t="s">
        <v>0</v>
      </c>
      <c r="J1432" s="7" t="s">
        <v>355</v>
      </c>
      <c r="K1432" s="7" t="s">
        <v>47</v>
      </c>
      <c r="L1432" s="7" t="s">
        <v>48</v>
      </c>
      <c r="M1432" s="7" t="s">
        <v>0</v>
      </c>
      <c r="N1432" s="7" t="s">
        <v>9149</v>
      </c>
      <c r="O1432" s="7" t="s">
        <v>0</v>
      </c>
      <c r="P1432" s="7" t="s">
        <v>9150</v>
      </c>
      <c r="Q1432" s="7" t="s">
        <v>9151</v>
      </c>
      <c r="R1432" s="7" t="s">
        <v>393</v>
      </c>
      <c r="S1432" s="7" t="s">
        <v>1711</v>
      </c>
      <c r="T1432" s="7" t="s">
        <v>54</v>
      </c>
      <c r="U1432" s="7" t="s">
        <v>605</v>
      </c>
      <c r="V1432" s="7" t="s">
        <v>382</v>
      </c>
      <c r="W1432" s="7" t="s">
        <v>74</v>
      </c>
      <c r="X1432" s="7" t="s">
        <v>58</v>
      </c>
      <c r="Y1432" s="8">
        <v>44841</v>
      </c>
      <c r="Z1432" s="8" t="s">
        <v>0</v>
      </c>
      <c r="AA1432" s="7" t="s">
        <v>383</v>
      </c>
      <c r="AB1432" s="7" t="s">
        <v>1893</v>
      </c>
      <c r="AC1432" s="7" t="s">
        <v>65</v>
      </c>
      <c r="AD1432" s="7" t="s">
        <v>144</v>
      </c>
      <c r="AE1432" s="7" t="s">
        <v>0</v>
      </c>
      <c r="AF1432" s="7" t="s">
        <v>0</v>
      </c>
      <c r="AG1432" s="7" t="s">
        <v>0</v>
      </c>
      <c r="AH1432" s="9" t="s">
        <v>0</v>
      </c>
      <c r="AI1432" s="9" t="s">
        <v>0</v>
      </c>
      <c r="AJ1432" s="9" t="s">
        <v>0</v>
      </c>
      <c r="AK1432" s="7" t="s">
        <v>61</v>
      </c>
      <c r="AL1432" s="7" t="s">
        <v>61</v>
      </c>
      <c r="AM1432" s="7" t="s">
        <v>0</v>
      </c>
      <c r="AN1432" s="7" t="s">
        <v>0</v>
      </c>
      <c r="AO1432" s="7" t="s">
        <v>0</v>
      </c>
      <c r="AP1432" s="7" t="s">
        <v>0</v>
      </c>
      <c r="AQ1432" s="7" t="s">
        <v>61</v>
      </c>
      <c r="AR1432" s="7" t="s">
        <v>0</v>
      </c>
      <c r="AS1432" s="10" t="str">
        <f>HYPERLINK("https://tessa.gazprom-neft.local/edo/card/372158d8-da23-4c73-9839-450e473dfb66", "https://tessa.gazprom-neft.local/edo/card/372158d8-da23-4c73-9839-450e473dfb66")</f>
        <v>https://tessa.gazprom-neft.local/edo/card/372158d8-da23-4c73-9839-450e473dfb66</v>
      </c>
    </row>
    <row r="1433" spans="1:45" hidden="1" x14ac:dyDescent="0.25">
      <c r="A1433" s="6" t="s">
        <v>44</v>
      </c>
      <c r="B1433" s="7" t="s">
        <v>542</v>
      </c>
      <c r="C1433" s="7" t="s">
        <v>67</v>
      </c>
      <c r="D1433" s="8">
        <v>44839</v>
      </c>
      <c r="E1433" s="8" t="s">
        <v>0</v>
      </c>
      <c r="F1433" s="16" t="s">
        <v>543</v>
      </c>
      <c r="G1433" s="7" t="s">
        <v>544</v>
      </c>
      <c r="H1433" s="7" t="s">
        <v>2668</v>
      </c>
      <c r="I1433" s="7" t="s">
        <v>0</v>
      </c>
      <c r="J1433" s="7" t="s">
        <v>4838</v>
      </c>
      <c r="K1433" s="7" t="s">
        <v>47</v>
      </c>
      <c r="L1433" s="7" t="s">
        <v>239</v>
      </c>
      <c r="M1433" s="7" t="s">
        <v>0</v>
      </c>
      <c r="N1433" s="7" t="s">
        <v>9335</v>
      </c>
      <c r="O1433" s="7" t="s">
        <v>0</v>
      </c>
      <c r="P1433" s="7" t="s">
        <v>9336</v>
      </c>
      <c r="Q1433" s="7" t="s">
        <v>9337</v>
      </c>
      <c r="R1433" s="7" t="s">
        <v>244</v>
      </c>
      <c r="S1433" s="7" t="s">
        <v>0</v>
      </c>
      <c r="T1433" s="7" t="s">
        <v>54</v>
      </c>
      <c r="U1433" s="7" t="s">
        <v>55</v>
      </c>
      <c r="V1433" s="7" t="s">
        <v>56</v>
      </c>
      <c r="W1433" s="7" t="s">
        <v>57</v>
      </c>
      <c r="X1433" s="7" t="s">
        <v>103</v>
      </c>
      <c r="Y1433" s="8">
        <v>44839</v>
      </c>
      <c r="Z1433" s="8">
        <v>44895</v>
      </c>
      <c r="AA1433" s="7" t="s">
        <v>59</v>
      </c>
      <c r="AB1433" s="7" t="s">
        <v>256</v>
      </c>
      <c r="AC1433" s="7" t="s">
        <v>79</v>
      </c>
      <c r="AD1433" s="7" t="s">
        <v>144</v>
      </c>
      <c r="AE1433" s="7" t="s">
        <v>82</v>
      </c>
      <c r="AF1433" s="7" t="s">
        <v>0</v>
      </c>
      <c r="AG1433" s="7" t="s">
        <v>0</v>
      </c>
      <c r="AH1433" s="9" t="s">
        <v>13889</v>
      </c>
      <c r="AI1433" s="9" t="s">
        <v>13890</v>
      </c>
      <c r="AJ1433" s="9" t="s">
        <v>13891</v>
      </c>
      <c r="AK1433" s="7" t="s">
        <v>61</v>
      </c>
      <c r="AL1433" s="7" t="s">
        <v>61</v>
      </c>
      <c r="AM1433" s="7" t="s">
        <v>0</v>
      </c>
      <c r="AN1433" s="7" t="s">
        <v>0</v>
      </c>
      <c r="AO1433" s="7" t="s">
        <v>0</v>
      </c>
      <c r="AP1433" s="7" t="s">
        <v>0</v>
      </c>
      <c r="AQ1433" s="7" t="s">
        <v>61</v>
      </c>
      <c r="AR1433" s="7" t="s">
        <v>0</v>
      </c>
      <c r="AS1433" s="10" t="str">
        <f>HYPERLINK("https://tessa.gazprom-neft.local/edo/card/98a9c4c6-ca3b-40ff-8400-0fa0cfe63a1b", "https://tessa.gazprom-neft.local/edo/card/98a9c4c6-ca3b-40ff-8400-0fa0cfe63a1b")</f>
        <v>https://tessa.gazprom-neft.local/edo/card/98a9c4c6-ca3b-40ff-8400-0fa0cfe63a1b</v>
      </c>
    </row>
    <row r="1434" spans="1:45" x14ac:dyDescent="0.25">
      <c r="A1434" s="6" t="s">
        <v>44</v>
      </c>
      <c r="B1434" s="7" t="s">
        <v>488</v>
      </c>
      <c r="C1434" s="7" t="s">
        <v>67</v>
      </c>
      <c r="D1434" s="8">
        <v>44837</v>
      </c>
      <c r="E1434" s="8" t="s">
        <v>0</v>
      </c>
      <c r="F1434" s="16" t="s">
        <v>489</v>
      </c>
      <c r="G1434" s="7" t="s">
        <v>490</v>
      </c>
      <c r="H1434" s="7" t="s">
        <v>2173</v>
      </c>
      <c r="I1434" s="7" t="s">
        <v>0</v>
      </c>
      <c r="J1434" s="7" t="s">
        <v>872</v>
      </c>
      <c r="K1434" s="7" t="s">
        <v>47</v>
      </c>
      <c r="L1434" s="7" t="s">
        <v>48</v>
      </c>
      <c r="M1434" s="7" t="s">
        <v>0</v>
      </c>
      <c r="N1434" s="7" t="s">
        <v>9086</v>
      </c>
      <c r="O1434" s="7" t="s">
        <v>0</v>
      </c>
      <c r="P1434" s="7" t="s">
        <v>9087</v>
      </c>
      <c r="Q1434" s="7" t="s">
        <v>9088</v>
      </c>
      <c r="R1434" s="7" t="s">
        <v>282</v>
      </c>
      <c r="S1434" s="7" t="s">
        <v>0</v>
      </c>
      <c r="T1434" s="7" t="s">
        <v>54</v>
      </c>
      <c r="U1434" s="7" t="s">
        <v>55</v>
      </c>
      <c r="V1434" s="7" t="s">
        <v>56</v>
      </c>
      <c r="W1434" s="7" t="s">
        <v>74</v>
      </c>
      <c r="X1434" s="7" t="s">
        <v>103</v>
      </c>
      <c r="Y1434" s="8">
        <v>44837</v>
      </c>
      <c r="Z1434" s="8">
        <v>45657</v>
      </c>
      <c r="AA1434" s="7" t="s">
        <v>0</v>
      </c>
      <c r="AB1434" s="7" t="s">
        <v>874</v>
      </c>
      <c r="AC1434" s="7" t="s">
        <v>65</v>
      </c>
      <c r="AD1434" s="7" t="s">
        <v>144</v>
      </c>
      <c r="AE1434" s="7" t="s">
        <v>0</v>
      </c>
      <c r="AF1434" s="7" t="s">
        <v>0</v>
      </c>
      <c r="AG1434" s="7" t="s">
        <v>0</v>
      </c>
      <c r="AH1434" s="9" t="s">
        <v>0</v>
      </c>
      <c r="AI1434" s="9" t="s">
        <v>0</v>
      </c>
      <c r="AJ1434" s="9" t="s">
        <v>0</v>
      </c>
      <c r="AK1434" s="7" t="s">
        <v>61</v>
      </c>
      <c r="AL1434" s="7" t="s">
        <v>61</v>
      </c>
      <c r="AM1434" s="7" t="s">
        <v>0</v>
      </c>
      <c r="AN1434" s="7" t="s">
        <v>0</v>
      </c>
      <c r="AO1434" s="7" t="s">
        <v>0</v>
      </c>
      <c r="AP1434" s="7" t="s">
        <v>0</v>
      </c>
      <c r="AQ1434" s="7" t="s">
        <v>61</v>
      </c>
      <c r="AR1434" s="7" t="s">
        <v>0</v>
      </c>
      <c r="AS1434" s="10" t="str">
        <f>HYPERLINK("https://tessa.gazprom-neft.local/edo/card/8085db91-bafe-4d35-aa64-2f51db5d849f", "https://tessa.gazprom-neft.local/edo/card/8085db91-bafe-4d35-aa64-2f51db5d849f")</f>
        <v>https://tessa.gazprom-neft.local/edo/card/8085db91-bafe-4d35-aa64-2f51db5d849f</v>
      </c>
    </row>
    <row r="1435" spans="1:45" x14ac:dyDescent="0.25">
      <c r="A1435" s="6" t="s">
        <v>44</v>
      </c>
      <c r="B1435" s="7" t="s">
        <v>488</v>
      </c>
      <c r="C1435" s="7" t="s">
        <v>67</v>
      </c>
      <c r="D1435" s="8">
        <v>44837</v>
      </c>
      <c r="E1435" s="8" t="s">
        <v>0</v>
      </c>
      <c r="F1435" s="16" t="s">
        <v>489</v>
      </c>
      <c r="G1435" s="7" t="s">
        <v>490</v>
      </c>
      <c r="H1435" s="7" t="s">
        <v>870</v>
      </c>
      <c r="I1435" s="7" t="s">
        <v>0</v>
      </c>
      <c r="J1435" s="7" t="s">
        <v>355</v>
      </c>
      <c r="K1435" s="7" t="s">
        <v>47</v>
      </c>
      <c r="L1435" s="7" t="s">
        <v>48</v>
      </c>
      <c r="M1435" s="7" t="s">
        <v>0</v>
      </c>
      <c r="N1435" s="7" t="s">
        <v>9094</v>
      </c>
      <c r="O1435" s="7" t="s">
        <v>0</v>
      </c>
      <c r="P1435" s="7" t="s">
        <v>9095</v>
      </c>
      <c r="Q1435" s="7" t="s">
        <v>9088</v>
      </c>
      <c r="R1435" s="7" t="s">
        <v>282</v>
      </c>
      <c r="S1435" s="7" t="s">
        <v>0</v>
      </c>
      <c r="T1435" s="7" t="s">
        <v>54</v>
      </c>
      <c r="U1435" s="7" t="s">
        <v>55</v>
      </c>
      <c r="V1435" s="7" t="s">
        <v>56</v>
      </c>
      <c r="W1435" s="7" t="s">
        <v>74</v>
      </c>
      <c r="X1435" s="7" t="s">
        <v>103</v>
      </c>
      <c r="Y1435" s="8">
        <v>44837</v>
      </c>
      <c r="Z1435" s="8">
        <v>45657</v>
      </c>
      <c r="AA1435" s="7" t="s">
        <v>0</v>
      </c>
      <c r="AB1435" s="7" t="s">
        <v>130</v>
      </c>
      <c r="AC1435" s="7" t="s">
        <v>65</v>
      </c>
      <c r="AD1435" s="7" t="s">
        <v>144</v>
      </c>
      <c r="AE1435" s="7" t="s">
        <v>0</v>
      </c>
      <c r="AF1435" s="7" t="s">
        <v>0</v>
      </c>
      <c r="AG1435" s="7" t="s">
        <v>0</v>
      </c>
      <c r="AH1435" s="9" t="s">
        <v>0</v>
      </c>
      <c r="AI1435" s="9" t="s">
        <v>0</v>
      </c>
      <c r="AJ1435" s="9" t="s">
        <v>0</v>
      </c>
      <c r="AK1435" s="7" t="s">
        <v>61</v>
      </c>
      <c r="AL1435" s="7" t="s">
        <v>61</v>
      </c>
      <c r="AM1435" s="7" t="s">
        <v>0</v>
      </c>
      <c r="AN1435" s="7" t="s">
        <v>0</v>
      </c>
      <c r="AO1435" s="7" t="s">
        <v>0</v>
      </c>
      <c r="AP1435" s="7" t="s">
        <v>0</v>
      </c>
      <c r="AQ1435" s="7" t="s">
        <v>61</v>
      </c>
      <c r="AR1435" s="7" t="s">
        <v>0</v>
      </c>
      <c r="AS1435" s="10" t="str">
        <f>HYPERLINK("https://tessa.gazprom-neft.local/edo/card/81b7b8f5-0b7b-42f3-84db-f767df6d63c3", "https://tessa.gazprom-neft.local/edo/card/81b7b8f5-0b7b-42f3-84db-f767df6d63c3")</f>
        <v>https://tessa.gazprom-neft.local/edo/card/81b7b8f5-0b7b-42f3-84db-f767df6d63c3</v>
      </c>
    </row>
    <row r="1436" spans="1:45" x14ac:dyDescent="0.25">
      <c r="A1436" s="6" t="s">
        <v>44</v>
      </c>
      <c r="B1436" s="7" t="s">
        <v>793</v>
      </c>
      <c r="C1436" s="7" t="s">
        <v>46</v>
      </c>
      <c r="D1436" s="8">
        <v>44837</v>
      </c>
      <c r="E1436" s="8" t="s">
        <v>0</v>
      </c>
      <c r="F1436" s="16" t="s">
        <v>794</v>
      </c>
      <c r="G1436" s="7" t="s">
        <v>795</v>
      </c>
      <c r="H1436" s="7" t="s">
        <v>5115</v>
      </c>
      <c r="I1436" s="7" t="s">
        <v>0</v>
      </c>
      <c r="J1436" s="7" t="s">
        <v>271</v>
      </c>
      <c r="K1436" s="7" t="s">
        <v>47</v>
      </c>
      <c r="L1436" s="7" t="s">
        <v>48</v>
      </c>
      <c r="M1436" s="7" t="s">
        <v>0</v>
      </c>
      <c r="N1436" s="7" t="s">
        <v>9189</v>
      </c>
      <c r="O1436" s="7" t="s">
        <v>0</v>
      </c>
      <c r="P1436" s="7" t="s">
        <v>9190</v>
      </c>
      <c r="Q1436" s="7" t="s">
        <v>9191</v>
      </c>
      <c r="R1436" s="7" t="s">
        <v>506</v>
      </c>
      <c r="S1436" s="7" t="s">
        <v>506</v>
      </c>
      <c r="T1436" s="7" t="s">
        <v>54</v>
      </c>
      <c r="U1436" s="7" t="s">
        <v>541</v>
      </c>
      <c r="V1436" s="7" t="s">
        <v>56</v>
      </c>
      <c r="W1436" s="7" t="s">
        <v>57</v>
      </c>
      <c r="X1436" s="7" t="s">
        <v>103</v>
      </c>
      <c r="Y1436" s="8">
        <v>44652</v>
      </c>
      <c r="Z1436" s="8">
        <v>44926</v>
      </c>
      <c r="AA1436" s="7" t="s">
        <v>59</v>
      </c>
      <c r="AB1436" s="7" t="s">
        <v>507</v>
      </c>
      <c r="AC1436" s="7" t="s">
        <v>65</v>
      </c>
      <c r="AD1436" s="7" t="s">
        <v>144</v>
      </c>
      <c r="AE1436" s="7" t="s">
        <v>0</v>
      </c>
      <c r="AF1436" s="7" t="s">
        <v>0</v>
      </c>
      <c r="AG1436" s="7" t="s">
        <v>0</v>
      </c>
      <c r="AH1436" s="9" t="s">
        <v>0</v>
      </c>
      <c r="AI1436" s="9" t="s">
        <v>0</v>
      </c>
      <c r="AJ1436" s="9" t="s">
        <v>0</v>
      </c>
      <c r="AK1436" s="7" t="s">
        <v>61</v>
      </c>
      <c r="AL1436" s="7" t="s">
        <v>61</v>
      </c>
      <c r="AM1436" s="7" t="s">
        <v>0</v>
      </c>
      <c r="AN1436" s="7" t="s">
        <v>0</v>
      </c>
      <c r="AO1436" s="7" t="s">
        <v>0</v>
      </c>
      <c r="AP1436" s="7" t="s">
        <v>0</v>
      </c>
      <c r="AQ1436" s="7" t="s">
        <v>61</v>
      </c>
      <c r="AR1436" s="7" t="s">
        <v>0</v>
      </c>
      <c r="AS1436" s="10" t="str">
        <f>HYPERLINK("https://tessa.gazprom-neft.local/edo/card/7c89088c-3765-488f-b4f2-bac097b8789f", "https://tessa.gazprom-neft.local/edo/card/7c89088c-3765-488f-b4f2-bac097b8789f")</f>
        <v>https://tessa.gazprom-neft.local/edo/card/7c89088c-3765-488f-b4f2-bac097b8789f</v>
      </c>
    </row>
    <row r="1437" spans="1:45" hidden="1" x14ac:dyDescent="0.25">
      <c r="A1437" s="6" t="s">
        <v>44</v>
      </c>
      <c r="B1437" s="7" t="s">
        <v>0</v>
      </c>
      <c r="C1437" s="7" t="s">
        <v>46</v>
      </c>
      <c r="D1437" s="8">
        <v>44837</v>
      </c>
      <c r="E1437" s="8" t="s">
        <v>0</v>
      </c>
      <c r="F1437" s="16" t="s">
        <v>9212</v>
      </c>
      <c r="G1437" s="7" t="s">
        <v>0</v>
      </c>
      <c r="H1437" s="7" t="s">
        <v>0</v>
      </c>
      <c r="I1437" s="7" t="s">
        <v>9209</v>
      </c>
      <c r="J1437" s="7" t="s">
        <v>9209</v>
      </c>
      <c r="K1437" s="7" t="s">
        <v>47</v>
      </c>
      <c r="L1437" s="7" t="s">
        <v>96</v>
      </c>
      <c r="M1437" s="7" t="s">
        <v>0</v>
      </c>
      <c r="N1437" s="7" t="s">
        <v>9208</v>
      </c>
      <c r="O1437" s="7" t="s">
        <v>0</v>
      </c>
      <c r="P1437" s="7" t="s">
        <v>9210</v>
      </c>
      <c r="Q1437" s="7" t="s">
        <v>9211</v>
      </c>
      <c r="R1437" s="7" t="s">
        <v>135</v>
      </c>
      <c r="S1437" s="7" t="s">
        <v>0</v>
      </c>
      <c r="T1437" s="7" t="s">
        <v>54</v>
      </c>
      <c r="U1437" s="7" t="s">
        <v>136</v>
      </c>
      <c r="V1437" s="7" t="s">
        <v>102</v>
      </c>
      <c r="W1437" s="7" t="s">
        <v>57</v>
      </c>
      <c r="X1437" s="7" t="s">
        <v>103</v>
      </c>
      <c r="Y1437" s="8">
        <v>44837</v>
      </c>
      <c r="Z1437" s="8">
        <v>44926</v>
      </c>
      <c r="AA1437" s="7" t="s">
        <v>104</v>
      </c>
      <c r="AB1437" s="7" t="s">
        <v>64</v>
      </c>
      <c r="AC1437" s="7" t="s">
        <v>79</v>
      </c>
      <c r="AD1437" s="7" t="s">
        <v>80</v>
      </c>
      <c r="AE1437" s="7" t="s">
        <v>118</v>
      </c>
      <c r="AF1437" s="7" t="s">
        <v>0</v>
      </c>
      <c r="AG1437" s="7" t="s">
        <v>0</v>
      </c>
      <c r="AH1437" s="9" t="s">
        <v>13840</v>
      </c>
      <c r="AI1437" s="9" t="s">
        <v>13840</v>
      </c>
      <c r="AJ1437" s="9">
        <v>0</v>
      </c>
      <c r="AK1437" s="7" t="s">
        <v>61</v>
      </c>
      <c r="AL1437" s="7" t="s">
        <v>61</v>
      </c>
      <c r="AM1437" s="7" t="s">
        <v>0</v>
      </c>
      <c r="AN1437" s="7" t="s">
        <v>0</v>
      </c>
      <c r="AO1437" s="7" t="s">
        <v>0</v>
      </c>
      <c r="AP1437" s="7" t="s">
        <v>0</v>
      </c>
      <c r="AQ1437" s="7" t="s">
        <v>61</v>
      </c>
      <c r="AR1437" s="7" t="s">
        <v>0</v>
      </c>
      <c r="AS1437" s="10" t="str">
        <f>HYPERLINK("https://tessa.gazprom-neft.local/edo/card/60f55081-f256-4d3d-9e94-48cce8393ff3", "https://tessa.gazprom-neft.local/edo/card/60f55081-f256-4d3d-9e94-48cce8393ff3")</f>
        <v>https://tessa.gazprom-neft.local/edo/card/60f55081-f256-4d3d-9e94-48cce8393ff3</v>
      </c>
    </row>
    <row r="1438" spans="1:45" x14ac:dyDescent="0.25">
      <c r="A1438" s="6" t="s">
        <v>44</v>
      </c>
      <c r="B1438" s="7" t="s">
        <v>4293</v>
      </c>
      <c r="C1438" s="7" t="s">
        <v>67</v>
      </c>
      <c r="D1438" s="8">
        <v>44837</v>
      </c>
      <c r="E1438" s="8" t="s">
        <v>0</v>
      </c>
      <c r="F1438" s="16" t="s">
        <v>4294</v>
      </c>
      <c r="G1438" s="7" t="s">
        <v>4295</v>
      </c>
      <c r="H1438" s="7" t="s">
        <v>4290</v>
      </c>
      <c r="I1438" s="7" t="s">
        <v>0</v>
      </c>
      <c r="J1438" s="7" t="s">
        <v>271</v>
      </c>
      <c r="K1438" s="7" t="s">
        <v>47</v>
      </c>
      <c r="L1438" s="7" t="s">
        <v>48</v>
      </c>
      <c r="M1438" s="7" t="s">
        <v>0</v>
      </c>
      <c r="N1438" s="7" t="s">
        <v>9221</v>
      </c>
      <c r="O1438" s="7" t="s">
        <v>0</v>
      </c>
      <c r="P1438" s="7" t="s">
        <v>312</v>
      </c>
      <c r="Q1438" s="7" t="s">
        <v>9222</v>
      </c>
      <c r="R1438" s="7" t="s">
        <v>2349</v>
      </c>
      <c r="S1438" s="7" t="s">
        <v>2349</v>
      </c>
      <c r="T1438" s="7" t="s">
        <v>54</v>
      </c>
      <c r="U1438" s="7" t="s">
        <v>362</v>
      </c>
      <c r="V1438" s="7" t="s">
        <v>295</v>
      </c>
      <c r="W1438" s="7" t="s">
        <v>57</v>
      </c>
      <c r="X1438" s="7" t="s">
        <v>58</v>
      </c>
      <c r="Y1438" s="8">
        <v>44837</v>
      </c>
      <c r="Z1438" s="8" t="s">
        <v>0</v>
      </c>
      <c r="AA1438" s="7" t="s">
        <v>296</v>
      </c>
      <c r="AB1438" s="7" t="s">
        <v>64</v>
      </c>
      <c r="AC1438" s="7" t="s">
        <v>65</v>
      </c>
      <c r="AD1438" s="7" t="s">
        <v>80</v>
      </c>
      <c r="AE1438" s="7" t="s">
        <v>0</v>
      </c>
      <c r="AF1438" s="7" t="s">
        <v>0</v>
      </c>
      <c r="AG1438" s="7" t="s">
        <v>0</v>
      </c>
      <c r="AH1438" s="9" t="s">
        <v>0</v>
      </c>
      <c r="AI1438" s="9" t="s">
        <v>0</v>
      </c>
      <c r="AJ1438" s="9" t="s">
        <v>0</v>
      </c>
      <c r="AK1438" s="7" t="s">
        <v>61</v>
      </c>
      <c r="AL1438" s="7" t="s">
        <v>61</v>
      </c>
      <c r="AM1438" s="7" t="s">
        <v>0</v>
      </c>
      <c r="AN1438" s="7" t="s">
        <v>0</v>
      </c>
      <c r="AO1438" s="7" t="s">
        <v>0</v>
      </c>
      <c r="AP1438" s="7" t="s">
        <v>0</v>
      </c>
      <c r="AQ1438" s="7" t="s">
        <v>61</v>
      </c>
      <c r="AR1438" s="7" t="s">
        <v>0</v>
      </c>
      <c r="AS1438" s="10" t="str">
        <f>HYPERLINK("https://tessa.gazprom-neft.local/edo/card/ee39d70c-f71e-4766-a524-de66d396cf83", "https://tessa.gazprom-neft.local/edo/card/ee39d70c-f71e-4766-a524-de66d396cf83")</f>
        <v>https://tessa.gazprom-neft.local/edo/card/ee39d70c-f71e-4766-a524-de66d396cf83</v>
      </c>
    </row>
    <row r="1439" spans="1:45" x14ac:dyDescent="0.25">
      <c r="A1439" s="6" t="s">
        <v>44</v>
      </c>
      <c r="B1439" s="7" t="s">
        <v>8778</v>
      </c>
      <c r="C1439" s="7" t="s">
        <v>67</v>
      </c>
      <c r="D1439" s="8">
        <v>44835</v>
      </c>
      <c r="E1439" s="8" t="s">
        <v>0</v>
      </c>
      <c r="F1439" s="16" t="s">
        <v>8787</v>
      </c>
      <c r="G1439" s="7" t="s">
        <v>0</v>
      </c>
      <c r="H1439" s="7" t="s">
        <v>4873</v>
      </c>
      <c r="I1439" s="7" t="s">
        <v>0</v>
      </c>
      <c r="J1439" s="7" t="s">
        <v>955</v>
      </c>
      <c r="K1439" s="7" t="s">
        <v>47</v>
      </c>
      <c r="L1439" s="7" t="s">
        <v>48</v>
      </c>
      <c r="M1439" s="7" t="s">
        <v>0</v>
      </c>
      <c r="N1439" s="7" t="s">
        <v>8785</v>
      </c>
      <c r="O1439" s="7" t="s">
        <v>0</v>
      </c>
      <c r="P1439" s="7" t="s">
        <v>8786</v>
      </c>
      <c r="Q1439" s="7" t="s">
        <v>1744</v>
      </c>
      <c r="R1439" s="7" t="s">
        <v>361</v>
      </c>
      <c r="S1439" s="7" t="s">
        <v>361</v>
      </c>
      <c r="T1439" s="7" t="s">
        <v>54</v>
      </c>
      <c r="U1439" s="7" t="s">
        <v>362</v>
      </c>
      <c r="V1439" s="7" t="s">
        <v>295</v>
      </c>
      <c r="W1439" s="7" t="s">
        <v>57</v>
      </c>
      <c r="X1439" s="7" t="s">
        <v>58</v>
      </c>
      <c r="Y1439" s="8">
        <v>44835</v>
      </c>
      <c r="Z1439" s="8" t="s">
        <v>0</v>
      </c>
      <c r="AA1439" s="7" t="s">
        <v>296</v>
      </c>
      <c r="AB1439" s="7" t="s">
        <v>366</v>
      </c>
      <c r="AC1439" s="7" t="s">
        <v>65</v>
      </c>
      <c r="AD1439" s="7" t="s">
        <v>0</v>
      </c>
      <c r="AE1439" s="7" t="s">
        <v>0</v>
      </c>
      <c r="AF1439" s="7" t="s">
        <v>0</v>
      </c>
      <c r="AG1439" s="7" t="s">
        <v>0</v>
      </c>
      <c r="AH1439" s="9" t="s">
        <v>0</v>
      </c>
      <c r="AI1439" s="9" t="s">
        <v>0</v>
      </c>
      <c r="AJ1439" s="9" t="s">
        <v>0</v>
      </c>
      <c r="AK1439" s="7" t="s">
        <v>61</v>
      </c>
      <c r="AL1439" s="7" t="s">
        <v>61</v>
      </c>
      <c r="AM1439" s="7" t="s">
        <v>0</v>
      </c>
      <c r="AN1439" s="7" t="s">
        <v>0</v>
      </c>
      <c r="AO1439" s="7" t="s">
        <v>0</v>
      </c>
      <c r="AP1439" s="7" t="s">
        <v>0</v>
      </c>
      <c r="AQ1439" s="7" t="s">
        <v>61</v>
      </c>
      <c r="AR1439" s="7" t="s">
        <v>0</v>
      </c>
      <c r="AS1439" s="10" t="str">
        <f>HYPERLINK("https://tessa.gazprom-neft.local/edo/card/e60203e0-9658-4553-b81f-0c7d90f859e9", "https://tessa.gazprom-neft.local/edo/card/e60203e0-9658-4553-b81f-0c7d90f859e9")</f>
        <v>https://tessa.gazprom-neft.local/edo/card/e60203e0-9658-4553-b81f-0c7d90f859e9</v>
      </c>
    </row>
    <row r="1440" spans="1:45" x14ac:dyDescent="0.25">
      <c r="A1440" s="6" t="s">
        <v>44</v>
      </c>
      <c r="B1440" s="7" t="s">
        <v>9536</v>
      </c>
      <c r="C1440" s="7" t="s">
        <v>67</v>
      </c>
      <c r="D1440" s="8">
        <v>44835</v>
      </c>
      <c r="E1440" s="8" t="s">
        <v>0</v>
      </c>
      <c r="F1440" s="16" t="s">
        <v>9537</v>
      </c>
      <c r="G1440" s="7" t="s">
        <v>9538</v>
      </c>
      <c r="H1440" s="7" t="s">
        <v>9533</v>
      </c>
      <c r="I1440" s="7" t="s">
        <v>0</v>
      </c>
      <c r="J1440" s="7" t="s">
        <v>355</v>
      </c>
      <c r="K1440" s="7" t="s">
        <v>47</v>
      </c>
      <c r="L1440" s="7" t="s">
        <v>48</v>
      </c>
      <c r="M1440" s="7" t="s">
        <v>0</v>
      </c>
      <c r="N1440" s="7" t="s">
        <v>9532</v>
      </c>
      <c r="O1440" s="7" t="s">
        <v>0</v>
      </c>
      <c r="P1440" s="7" t="s">
        <v>9534</v>
      </c>
      <c r="Q1440" s="7" t="s">
        <v>9535</v>
      </c>
      <c r="R1440" s="7" t="s">
        <v>2079</v>
      </c>
      <c r="S1440" s="7" t="s">
        <v>2079</v>
      </c>
      <c r="T1440" s="7" t="s">
        <v>54</v>
      </c>
      <c r="U1440" s="7" t="s">
        <v>8411</v>
      </c>
      <c r="V1440" s="7" t="s">
        <v>56</v>
      </c>
      <c r="W1440" s="7" t="s">
        <v>57</v>
      </c>
      <c r="X1440" s="7" t="s">
        <v>103</v>
      </c>
      <c r="Y1440" s="8">
        <v>44835</v>
      </c>
      <c r="Z1440" s="8">
        <v>44926</v>
      </c>
      <c r="AA1440" s="7" t="s">
        <v>59</v>
      </c>
      <c r="AB1440" s="7" t="s">
        <v>64</v>
      </c>
      <c r="AC1440" s="7" t="s">
        <v>65</v>
      </c>
      <c r="AD1440" s="7" t="s">
        <v>0</v>
      </c>
      <c r="AE1440" s="7" t="s">
        <v>0</v>
      </c>
      <c r="AF1440" s="7" t="s">
        <v>0</v>
      </c>
      <c r="AG1440" s="7" t="s">
        <v>0</v>
      </c>
      <c r="AH1440" s="9" t="s">
        <v>0</v>
      </c>
      <c r="AI1440" s="9" t="s">
        <v>0</v>
      </c>
      <c r="AJ1440" s="9" t="s">
        <v>0</v>
      </c>
      <c r="AK1440" s="7" t="s">
        <v>61</v>
      </c>
      <c r="AL1440" s="7" t="s">
        <v>61</v>
      </c>
      <c r="AM1440" s="7" t="s">
        <v>0</v>
      </c>
      <c r="AN1440" s="7" t="s">
        <v>0</v>
      </c>
      <c r="AO1440" s="7" t="s">
        <v>0</v>
      </c>
      <c r="AP1440" s="7" t="s">
        <v>0</v>
      </c>
      <c r="AQ1440" s="7" t="s">
        <v>61</v>
      </c>
      <c r="AR1440" s="7" t="s">
        <v>0</v>
      </c>
      <c r="AS1440" s="10" t="str">
        <f>HYPERLINK("https://tessa.gazprom-neft.local/edo/card/4b1a86e9-0ee0-4c1f-a177-3b8f20ab1313", "https://tessa.gazprom-neft.local/edo/card/4b1a86e9-0ee0-4c1f-a177-3b8f20ab1313")</f>
        <v>https://tessa.gazprom-neft.local/edo/card/4b1a86e9-0ee0-4c1f-a177-3b8f20ab1313</v>
      </c>
    </row>
    <row r="1441" spans="1:45" hidden="1" x14ac:dyDescent="0.25">
      <c r="A1441" s="6" t="s">
        <v>44</v>
      </c>
      <c r="B1441" s="7" t="s">
        <v>4647</v>
      </c>
      <c r="C1441" s="7" t="s">
        <v>67</v>
      </c>
      <c r="D1441" s="8">
        <v>44833</v>
      </c>
      <c r="E1441" s="8" t="s">
        <v>0</v>
      </c>
      <c r="F1441" s="16" t="s">
        <v>4648</v>
      </c>
      <c r="G1441" s="7" t="s">
        <v>4649</v>
      </c>
      <c r="H1441" s="7" t="s">
        <v>0</v>
      </c>
      <c r="I1441" s="7" t="s">
        <v>9049</v>
      </c>
      <c r="J1441" s="7" t="s">
        <v>9049</v>
      </c>
      <c r="K1441" s="7" t="s">
        <v>85</v>
      </c>
      <c r="L1441" s="7" t="s">
        <v>86</v>
      </c>
      <c r="M1441" s="7" t="s">
        <v>289</v>
      </c>
      <c r="N1441" s="7" t="s">
        <v>9048</v>
      </c>
      <c r="O1441" s="7" t="s">
        <v>0</v>
      </c>
      <c r="P1441" s="7" t="s">
        <v>289</v>
      </c>
      <c r="Q1441" s="7" t="s">
        <v>372</v>
      </c>
      <c r="R1441" s="7" t="s">
        <v>1523</v>
      </c>
      <c r="S1441" s="7" t="s">
        <v>1523</v>
      </c>
      <c r="T1441" s="7" t="s">
        <v>54</v>
      </c>
      <c r="U1441" s="7" t="s">
        <v>188</v>
      </c>
      <c r="V1441" s="7" t="s">
        <v>340</v>
      </c>
      <c r="W1441" s="7" t="s">
        <v>57</v>
      </c>
      <c r="X1441" s="7" t="s">
        <v>58</v>
      </c>
      <c r="Y1441" s="8">
        <v>44833</v>
      </c>
      <c r="Z1441" s="8" t="s">
        <v>0</v>
      </c>
      <c r="AA1441" s="7" t="s">
        <v>341</v>
      </c>
      <c r="AB1441" s="7" t="s">
        <v>300</v>
      </c>
      <c r="AC1441" s="7" t="s">
        <v>65</v>
      </c>
      <c r="AD1441" s="7" t="s">
        <v>0</v>
      </c>
      <c r="AE1441" s="7" t="s">
        <v>0</v>
      </c>
      <c r="AF1441" s="7" t="s">
        <v>0</v>
      </c>
      <c r="AG1441" s="7" t="s">
        <v>0</v>
      </c>
      <c r="AH1441" s="9" t="s">
        <v>0</v>
      </c>
      <c r="AI1441" s="9" t="s">
        <v>0</v>
      </c>
      <c r="AJ1441" s="9" t="s">
        <v>0</v>
      </c>
      <c r="AK1441" s="7" t="s">
        <v>61</v>
      </c>
      <c r="AL1441" s="7" t="s">
        <v>61</v>
      </c>
      <c r="AM1441" s="7" t="s">
        <v>0</v>
      </c>
      <c r="AN1441" s="7" t="s">
        <v>0</v>
      </c>
      <c r="AO1441" s="7" t="s">
        <v>0</v>
      </c>
      <c r="AP1441" s="7" t="s">
        <v>0</v>
      </c>
      <c r="AQ1441" s="7" t="s">
        <v>61</v>
      </c>
      <c r="AR1441" s="7" t="s">
        <v>0</v>
      </c>
      <c r="AS1441" s="10" t="str">
        <f>HYPERLINK("https://tessa.gazprom-neft.local/edo/card/3101edb7-eac0-497e-bc74-3580c12729cf", "https://tessa.gazprom-neft.local/edo/card/3101edb7-eac0-497e-bc74-3580c12729cf")</f>
        <v>https://tessa.gazprom-neft.local/edo/card/3101edb7-eac0-497e-bc74-3580c12729cf</v>
      </c>
    </row>
    <row r="1442" spans="1:45" hidden="1" x14ac:dyDescent="0.25">
      <c r="A1442" s="6" t="s">
        <v>44</v>
      </c>
      <c r="B1442" s="7" t="s">
        <v>1240</v>
      </c>
      <c r="C1442" s="7" t="s">
        <v>67</v>
      </c>
      <c r="D1442" s="8">
        <v>44833</v>
      </c>
      <c r="E1442" s="8" t="s">
        <v>0</v>
      </c>
      <c r="F1442" s="16" t="s">
        <v>1241</v>
      </c>
      <c r="G1442" s="7" t="s">
        <v>1242</v>
      </c>
      <c r="H1442" s="7" t="s">
        <v>3083</v>
      </c>
      <c r="I1442" s="7" t="s">
        <v>0</v>
      </c>
      <c r="J1442" s="7" t="s">
        <v>51</v>
      </c>
      <c r="K1442" s="7" t="s">
        <v>47</v>
      </c>
      <c r="L1442" s="7" t="s">
        <v>389</v>
      </c>
      <c r="M1442" s="7" t="s">
        <v>0</v>
      </c>
      <c r="N1442" s="7" t="s">
        <v>9068</v>
      </c>
      <c r="O1442" s="7" t="s">
        <v>51</v>
      </c>
      <c r="P1442" s="7" t="s">
        <v>9069</v>
      </c>
      <c r="Q1442" s="7" t="s">
        <v>9070</v>
      </c>
      <c r="R1442" s="7" t="s">
        <v>393</v>
      </c>
      <c r="S1442" s="7" t="s">
        <v>1261</v>
      </c>
      <c r="T1442" s="7" t="s">
        <v>54</v>
      </c>
      <c r="U1442" s="7" t="s">
        <v>222</v>
      </c>
      <c r="V1442" s="7" t="s">
        <v>126</v>
      </c>
      <c r="W1442" s="7" t="s">
        <v>74</v>
      </c>
      <c r="X1442" s="7" t="s">
        <v>223</v>
      </c>
      <c r="Y1442" s="8">
        <v>46294</v>
      </c>
      <c r="Z1442" s="8" t="s">
        <v>0</v>
      </c>
      <c r="AA1442" s="7" t="s">
        <v>224</v>
      </c>
      <c r="AB1442" s="7" t="s">
        <v>1243</v>
      </c>
      <c r="AC1442" s="7" t="s">
        <v>79</v>
      </c>
      <c r="AD1442" s="7" t="s">
        <v>144</v>
      </c>
      <c r="AE1442" s="7" t="s">
        <v>82</v>
      </c>
      <c r="AF1442" s="7" t="s">
        <v>0</v>
      </c>
      <c r="AG1442" s="7" t="s">
        <v>0</v>
      </c>
      <c r="AH1442" s="9" t="s">
        <v>13797</v>
      </c>
      <c r="AI1442" s="9" t="s">
        <v>13798</v>
      </c>
      <c r="AJ1442" s="9" t="s">
        <v>13799</v>
      </c>
      <c r="AK1442" s="7" t="s">
        <v>61</v>
      </c>
      <c r="AL1442" s="7" t="s">
        <v>61</v>
      </c>
      <c r="AM1442" s="7" t="s">
        <v>0</v>
      </c>
      <c r="AN1442" s="7" t="s">
        <v>0</v>
      </c>
      <c r="AO1442" s="7" t="s">
        <v>0</v>
      </c>
      <c r="AP1442" s="7" t="s">
        <v>0</v>
      </c>
      <c r="AQ1442" s="7" t="s">
        <v>61</v>
      </c>
      <c r="AR1442" s="7" t="s">
        <v>0</v>
      </c>
      <c r="AS1442" s="10" t="str">
        <f>HYPERLINK("https://tessa.gazprom-neft.local/edo/card/98246404-14e6-4e0c-a821-ed4f0d3e6b3c", "https://tessa.gazprom-neft.local/edo/card/98246404-14e6-4e0c-a821-ed4f0d3e6b3c")</f>
        <v>https://tessa.gazprom-neft.local/edo/card/98246404-14e6-4e0c-a821-ed4f0d3e6b3c</v>
      </c>
    </row>
    <row r="1443" spans="1:45" hidden="1" x14ac:dyDescent="0.25">
      <c r="A1443" s="6" t="s">
        <v>44</v>
      </c>
      <c r="B1443" s="7" t="s">
        <v>1843</v>
      </c>
      <c r="C1443" s="7" t="s">
        <v>67</v>
      </c>
      <c r="D1443" s="8">
        <v>44833</v>
      </c>
      <c r="E1443" s="8" t="s">
        <v>0</v>
      </c>
      <c r="F1443" s="16" t="s">
        <v>1844</v>
      </c>
      <c r="G1443" s="7" t="s">
        <v>1845</v>
      </c>
      <c r="H1443" s="7" t="s">
        <v>0</v>
      </c>
      <c r="I1443" s="7" t="s">
        <v>9147</v>
      </c>
      <c r="J1443" s="7" t="s">
        <v>9147</v>
      </c>
      <c r="K1443" s="7" t="s">
        <v>47</v>
      </c>
      <c r="L1443" s="7" t="s">
        <v>86</v>
      </c>
      <c r="M1443" s="7" t="s">
        <v>0</v>
      </c>
      <c r="N1443" s="7" t="s">
        <v>9146</v>
      </c>
      <c r="O1443" s="7" t="s">
        <v>0</v>
      </c>
      <c r="P1443" s="7" t="s">
        <v>237</v>
      </c>
      <c r="Q1443" s="7" t="s">
        <v>9148</v>
      </c>
      <c r="R1443" s="7" t="s">
        <v>1066</v>
      </c>
      <c r="S1443" s="7" t="s">
        <v>0</v>
      </c>
      <c r="T1443" s="7" t="s">
        <v>54</v>
      </c>
      <c r="U1443" s="7" t="s">
        <v>136</v>
      </c>
      <c r="V1443" s="7" t="s">
        <v>102</v>
      </c>
      <c r="W1443" s="7" t="s">
        <v>57</v>
      </c>
      <c r="X1443" s="7" t="s">
        <v>103</v>
      </c>
      <c r="Y1443" s="8">
        <v>44833</v>
      </c>
      <c r="Z1443" s="8">
        <v>45565</v>
      </c>
      <c r="AA1443" s="7" t="s">
        <v>104</v>
      </c>
      <c r="AB1443" s="7" t="s">
        <v>139</v>
      </c>
      <c r="AC1443" s="7" t="s">
        <v>65</v>
      </c>
      <c r="AD1443" s="7" t="s">
        <v>0</v>
      </c>
      <c r="AE1443" s="7" t="s">
        <v>0</v>
      </c>
      <c r="AF1443" s="7" t="s">
        <v>0</v>
      </c>
      <c r="AG1443" s="7" t="s">
        <v>0</v>
      </c>
      <c r="AH1443" s="9" t="s">
        <v>0</v>
      </c>
      <c r="AI1443" s="9" t="s">
        <v>0</v>
      </c>
      <c r="AJ1443" s="9" t="s">
        <v>0</v>
      </c>
      <c r="AK1443" s="7" t="s">
        <v>61</v>
      </c>
      <c r="AL1443" s="7" t="s">
        <v>61</v>
      </c>
      <c r="AM1443" s="7" t="s">
        <v>0</v>
      </c>
      <c r="AN1443" s="7" t="s">
        <v>0</v>
      </c>
      <c r="AO1443" s="7" t="s">
        <v>0</v>
      </c>
      <c r="AP1443" s="7" t="s">
        <v>0</v>
      </c>
      <c r="AQ1443" s="7" t="s">
        <v>61</v>
      </c>
      <c r="AR1443" s="7" t="s">
        <v>0</v>
      </c>
      <c r="AS1443" s="10" t="str">
        <f>HYPERLINK("https://tessa.gazprom-neft.local/edo/card/6b9bed7a-5a33-442b-8f82-aa57ead0825a", "https://tessa.gazprom-neft.local/edo/card/6b9bed7a-5a33-442b-8f82-aa57ead0825a")</f>
        <v>https://tessa.gazprom-neft.local/edo/card/6b9bed7a-5a33-442b-8f82-aa57ead0825a</v>
      </c>
    </row>
    <row r="1444" spans="1:45" hidden="1" x14ac:dyDescent="0.25">
      <c r="A1444" s="6" t="s">
        <v>44</v>
      </c>
      <c r="B1444" s="7" t="s">
        <v>813</v>
      </c>
      <c r="C1444" s="7" t="s">
        <v>67</v>
      </c>
      <c r="D1444" s="8">
        <v>44833</v>
      </c>
      <c r="E1444" s="8" t="s">
        <v>0</v>
      </c>
      <c r="F1444" s="16" t="s">
        <v>814</v>
      </c>
      <c r="G1444" s="7" t="s">
        <v>815</v>
      </c>
      <c r="H1444" s="7" t="s">
        <v>809</v>
      </c>
      <c r="I1444" s="7" t="s">
        <v>0</v>
      </c>
      <c r="J1444" s="7" t="s">
        <v>955</v>
      </c>
      <c r="K1444" s="7" t="s">
        <v>47</v>
      </c>
      <c r="L1444" s="7" t="s">
        <v>709</v>
      </c>
      <c r="M1444" s="7" t="s">
        <v>0</v>
      </c>
      <c r="N1444" s="7" t="s">
        <v>9195</v>
      </c>
      <c r="O1444" s="7" t="s">
        <v>0</v>
      </c>
      <c r="P1444" s="7" t="s">
        <v>9196</v>
      </c>
      <c r="Q1444" s="7" t="s">
        <v>9197</v>
      </c>
      <c r="R1444" s="7" t="s">
        <v>812</v>
      </c>
      <c r="S1444" s="7" t="s">
        <v>812</v>
      </c>
      <c r="T1444" s="7" t="s">
        <v>54</v>
      </c>
      <c r="U1444" s="7" t="s">
        <v>1534</v>
      </c>
      <c r="V1444" s="7" t="s">
        <v>56</v>
      </c>
      <c r="W1444" s="7" t="s">
        <v>57</v>
      </c>
      <c r="X1444" s="7" t="s">
        <v>103</v>
      </c>
      <c r="Y1444" s="8">
        <v>44833</v>
      </c>
      <c r="Z1444" s="8">
        <v>44895</v>
      </c>
      <c r="AA1444" s="7" t="s">
        <v>59</v>
      </c>
      <c r="AB1444" s="7" t="s">
        <v>256</v>
      </c>
      <c r="AC1444" s="7" t="s">
        <v>79</v>
      </c>
      <c r="AD1444" s="7" t="s">
        <v>80</v>
      </c>
      <c r="AE1444" s="7" t="s">
        <v>82</v>
      </c>
      <c r="AF1444" s="7" t="s">
        <v>0</v>
      </c>
      <c r="AG1444" s="7" t="s">
        <v>0</v>
      </c>
      <c r="AH1444" s="9" t="s">
        <v>13834</v>
      </c>
      <c r="AI1444" s="9" t="s">
        <v>13835</v>
      </c>
      <c r="AJ1444" s="9" t="s">
        <v>13836</v>
      </c>
      <c r="AK1444" s="7" t="s">
        <v>61</v>
      </c>
      <c r="AL1444" s="7" t="s">
        <v>61</v>
      </c>
      <c r="AM1444" s="7" t="s">
        <v>0</v>
      </c>
      <c r="AN1444" s="7" t="s">
        <v>0</v>
      </c>
      <c r="AO1444" s="7" t="s">
        <v>0</v>
      </c>
      <c r="AP1444" s="7" t="s">
        <v>0</v>
      </c>
      <c r="AQ1444" s="7" t="s">
        <v>61</v>
      </c>
      <c r="AR1444" s="7" t="s">
        <v>0</v>
      </c>
      <c r="AS1444" s="10" t="str">
        <f>HYPERLINK("https://tessa.gazprom-neft.local/edo/card/4d96c101-422b-4708-8874-36ca1dea56b2", "https://tessa.gazprom-neft.local/edo/card/4d96c101-422b-4708-8874-36ca1dea56b2")</f>
        <v>https://tessa.gazprom-neft.local/edo/card/4d96c101-422b-4708-8874-36ca1dea56b2</v>
      </c>
    </row>
    <row r="1445" spans="1:45" hidden="1" x14ac:dyDescent="0.25">
      <c r="A1445" s="6" t="s">
        <v>44</v>
      </c>
      <c r="B1445" s="7" t="s">
        <v>2448</v>
      </c>
      <c r="C1445" s="7" t="s">
        <v>67</v>
      </c>
      <c r="D1445" s="8">
        <v>44832</v>
      </c>
      <c r="E1445" s="8" t="s">
        <v>0</v>
      </c>
      <c r="F1445" s="16" t="s">
        <v>2449</v>
      </c>
      <c r="G1445" s="7" t="s">
        <v>2450</v>
      </c>
      <c r="H1445" s="7" t="s">
        <v>0</v>
      </c>
      <c r="I1445" s="7" t="s">
        <v>9022</v>
      </c>
      <c r="J1445" s="7" t="s">
        <v>9022</v>
      </c>
      <c r="K1445" s="7" t="s">
        <v>47</v>
      </c>
      <c r="L1445" s="7" t="s">
        <v>86</v>
      </c>
      <c r="M1445" s="7" t="s">
        <v>0</v>
      </c>
      <c r="N1445" s="7" t="s">
        <v>9021</v>
      </c>
      <c r="O1445" s="7" t="s">
        <v>0</v>
      </c>
      <c r="P1445" s="7" t="s">
        <v>237</v>
      </c>
      <c r="Q1445" s="7" t="s">
        <v>9023</v>
      </c>
      <c r="R1445" s="7" t="s">
        <v>187</v>
      </c>
      <c r="S1445" s="7" t="s">
        <v>187</v>
      </c>
      <c r="T1445" s="7" t="s">
        <v>54</v>
      </c>
      <c r="U1445" s="7" t="s">
        <v>188</v>
      </c>
      <c r="V1445" s="7" t="s">
        <v>137</v>
      </c>
      <c r="W1445" s="7" t="s">
        <v>57</v>
      </c>
      <c r="X1445" s="7" t="s">
        <v>103</v>
      </c>
      <c r="Y1445" s="8">
        <v>44832</v>
      </c>
      <c r="Z1445" s="8">
        <v>45777</v>
      </c>
      <c r="AA1445" s="7" t="s">
        <v>0</v>
      </c>
      <c r="AB1445" s="7" t="s">
        <v>139</v>
      </c>
      <c r="AC1445" s="7" t="s">
        <v>65</v>
      </c>
      <c r="AD1445" s="7" t="s">
        <v>0</v>
      </c>
      <c r="AE1445" s="7" t="s">
        <v>0</v>
      </c>
      <c r="AF1445" s="7" t="s">
        <v>0</v>
      </c>
      <c r="AG1445" s="7" t="s">
        <v>0</v>
      </c>
      <c r="AH1445" s="9" t="s">
        <v>0</v>
      </c>
      <c r="AI1445" s="9" t="s">
        <v>0</v>
      </c>
      <c r="AJ1445" s="9" t="s">
        <v>0</v>
      </c>
      <c r="AK1445" s="7" t="s">
        <v>61</v>
      </c>
      <c r="AL1445" s="7" t="s">
        <v>61</v>
      </c>
      <c r="AM1445" s="7" t="s">
        <v>0</v>
      </c>
      <c r="AN1445" s="7" t="s">
        <v>0</v>
      </c>
      <c r="AO1445" s="7" t="s">
        <v>0</v>
      </c>
      <c r="AP1445" s="7" t="s">
        <v>0</v>
      </c>
      <c r="AQ1445" s="7" t="s">
        <v>61</v>
      </c>
      <c r="AR1445" s="7" t="s">
        <v>0</v>
      </c>
      <c r="AS1445" s="10" t="str">
        <f>HYPERLINK("https://tessa.gazprom-neft.local/edo/card/2d587b77-21fa-4b5d-a466-34611681a402", "https://tessa.gazprom-neft.local/edo/card/2d587b77-21fa-4b5d-a466-34611681a402")</f>
        <v>https://tessa.gazprom-neft.local/edo/card/2d587b77-21fa-4b5d-a466-34611681a402</v>
      </c>
    </row>
    <row r="1446" spans="1:45" x14ac:dyDescent="0.25">
      <c r="A1446" s="6" t="s">
        <v>44</v>
      </c>
      <c r="B1446" s="7" t="s">
        <v>1552</v>
      </c>
      <c r="C1446" s="7" t="s">
        <v>67</v>
      </c>
      <c r="D1446" s="8">
        <v>44832</v>
      </c>
      <c r="E1446" s="8" t="s">
        <v>0</v>
      </c>
      <c r="F1446" s="16" t="s">
        <v>1553</v>
      </c>
      <c r="G1446" s="7" t="s">
        <v>1554</v>
      </c>
      <c r="H1446" s="7" t="s">
        <v>9101</v>
      </c>
      <c r="I1446" s="7" t="s">
        <v>0</v>
      </c>
      <c r="J1446" s="7" t="s">
        <v>271</v>
      </c>
      <c r="K1446" s="7" t="s">
        <v>47</v>
      </c>
      <c r="L1446" s="7" t="s">
        <v>48</v>
      </c>
      <c r="M1446" s="7" t="s">
        <v>0</v>
      </c>
      <c r="N1446" s="7" t="s">
        <v>9100</v>
      </c>
      <c r="O1446" s="7" t="s">
        <v>0</v>
      </c>
      <c r="P1446" s="7" t="s">
        <v>9102</v>
      </c>
      <c r="Q1446" s="7" t="s">
        <v>9103</v>
      </c>
      <c r="R1446" s="7" t="s">
        <v>361</v>
      </c>
      <c r="S1446" s="7" t="s">
        <v>361</v>
      </c>
      <c r="T1446" s="7" t="s">
        <v>54</v>
      </c>
      <c r="U1446" s="7" t="s">
        <v>362</v>
      </c>
      <c r="V1446" s="7" t="s">
        <v>295</v>
      </c>
      <c r="W1446" s="7" t="s">
        <v>57</v>
      </c>
      <c r="X1446" s="7" t="s">
        <v>58</v>
      </c>
      <c r="Y1446" s="8">
        <v>44832</v>
      </c>
      <c r="Z1446" s="8" t="s">
        <v>0</v>
      </c>
      <c r="AA1446" s="7" t="s">
        <v>296</v>
      </c>
      <c r="AB1446" s="7" t="s">
        <v>366</v>
      </c>
      <c r="AC1446" s="7" t="s">
        <v>65</v>
      </c>
      <c r="AD1446" s="7" t="s">
        <v>367</v>
      </c>
      <c r="AE1446" s="7" t="s">
        <v>0</v>
      </c>
      <c r="AF1446" s="7" t="s">
        <v>0</v>
      </c>
      <c r="AG1446" s="7" t="s">
        <v>0</v>
      </c>
      <c r="AH1446" s="9" t="s">
        <v>0</v>
      </c>
      <c r="AI1446" s="9" t="s">
        <v>0</v>
      </c>
      <c r="AJ1446" s="9" t="s">
        <v>0</v>
      </c>
      <c r="AK1446" s="7" t="s">
        <v>61</v>
      </c>
      <c r="AL1446" s="7" t="s">
        <v>61</v>
      </c>
      <c r="AM1446" s="7" t="s">
        <v>0</v>
      </c>
      <c r="AN1446" s="7" t="s">
        <v>0</v>
      </c>
      <c r="AO1446" s="7" t="s">
        <v>0</v>
      </c>
      <c r="AP1446" s="7" t="s">
        <v>0</v>
      </c>
      <c r="AQ1446" s="7" t="s">
        <v>61</v>
      </c>
      <c r="AR1446" s="7" t="s">
        <v>0</v>
      </c>
      <c r="AS1446" s="10" t="str">
        <f>HYPERLINK("https://tessa.gazprom-neft.local/edo/card/fc92db3b-64f4-4bd3-a4c8-6a2a1f66ea27", "https://tessa.gazprom-neft.local/edo/card/fc92db3b-64f4-4bd3-a4c8-6a2a1f66ea27")</f>
        <v>https://tessa.gazprom-neft.local/edo/card/fc92db3b-64f4-4bd3-a4c8-6a2a1f66ea27</v>
      </c>
    </row>
    <row r="1447" spans="1:45" x14ac:dyDescent="0.25">
      <c r="A1447" s="6" t="s">
        <v>44</v>
      </c>
      <c r="B1447" s="7" t="s">
        <v>2193</v>
      </c>
      <c r="C1447" s="7" t="s">
        <v>67</v>
      </c>
      <c r="D1447" s="8">
        <v>44832</v>
      </c>
      <c r="E1447" s="8" t="s">
        <v>0</v>
      </c>
      <c r="F1447" s="16" t="s">
        <v>2194</v>
      </c>
      <c r="G1447" s="7" t="s">
        <v>2195</v>
      </c>
      <c r="H1447" s="7" t="s">
        <v>2468</v>
      </c>
      <c r="I1447" s="7" t="s">
        <v>0</v>
      </c>
      <c r="J1447" s="7" t="s">
        <v>355</v>
      </c>
      <c r="K1447" s="7" t="s">
        <v>47</v>
      </c>
      <c r="L1447" s="7" t="s">
        <v>48</v>
      </c>
      <c r="M1447" s="7" t="s">
        <v>0</v>
      </c>
      <c r="N1447" s="7" t="s">
        <v>9111</v>
      </c>
      <c r="O1447" s="7" t="s">
        <v>0</v>
      </c>
      <c r="P1447" s="7" t="s">
        <v>1092</v>
      </c>
      <c r="Q1447" s="7" t="s">
        <v>9112</v>
      </c>
      <c r="R1447" s="7" t="s">
        <v>1066</v>
      </c>
      <c r="S1447" s="7" t="s">
        <v>0</v>
      </c>
      <c r="T1447" s="7" t="s">
        <v>54</v>
      </c>
      <c r="U1447" s="7" t="s">
        <v>136</v>
      </c>
      <c r="V1447" s="7" t="s">
        <v>102</v>
      </c>
      <c r="W1447" s="7" t="s">
        <v>57</v>
      </c>
      <c r="X1447" s="7" t="s">
        <v>103</v>
      </c>
      <c r="Y1447" s="8">
        <v>44832</v>
      </c>
      <c r="Z1447" s="8">
        <v>44926</v>
      </c>
      <c r="AA1447" s="7" t="s">
        <v>104</v>
      </c>
      <c r="AB1447" s="7" t="s">
        <v>130</v>
      </c>
      <c r="AC1447" s="7" t="s">
        <v>65</v>
      </c>
      <c r="AD1447" s="7" t="s">
        <v>80</v>
      </c>
      <c r="AE1447" s="7" t="s">
        <v>0</v>
      </c>
      <c r="AF1447" s="7" t="s">
        <v>0</v>
      </c>
      <c r="AG1447" s="7" t="s">
        <v>0</v>
      </c>
      <c r="AH1447" s="9" t="s">
        <v>0</v>
      </c>
      <c r="AI1447" s="9" t="s">
        <v>0</v>
      </c>
      <c r="AJ1447" s="9" t="s">
        <v>0</v>
      </c>
      <c r="AK1447" s="7" t="s">
        <v>61</v>
      </c>
      <c r="AL1447" s="7" t="s">
        <v>61</v>
      </c>
      <c r="AM1447" s="7" t="s">
        <v>0</v>
      </c>
      <c r="AN1447" s="7" t="s">
        <v>0</v>
      </c>
      <c r="AO1447" s="7" t="s">
        <v>0</v>
      </c>
      <c r="AP1447" s="7" t="s">
        <v>0</v>
      </c>
      <c r="AQ1447" s="7" t="s">
        <v>61</v>
      </c>
      <c r="AR1447" s="7" t="s">
        <v>0</v>
      </c>
      <c r="AS1447" s="10" t="str">
        <f>HYPERLINK("https://tessa.gazprom-neft.local/edo/card/b6292c42-b444-4b8c-ad6f-6f5dc426318c", "https://tessa.gazprom-neft.local/edo/card/b6292c42-b444-4b8c-ad6f-6f5dc426318c")</f>
        <v>https://tessa.gazprom-neft.local/edo/card/b6292c42-b444-4b8c-ad6f-6f5dc426318c</v>
      </c>
    </row>
    <row r="1448" spans="1:45" hidden="1" x14ac:dyDescent="0.25">
      <c r="A1448" s="6" t="s">
        <v>44</v>
      </c>
      <c r="B1448" s="7" t="s">
        <v>2193</v>
      </c>
      <c r="C1448" s="7" t="s">
        <v>67</v>
      </c>
      <c r="D1448" s="8">
        <v>44832</v>
      </c>
      <c r="E1448" s="8" t="s">
        <v>0</v>
      </c>
      <c r="F1448" s="16" t="s">
        <v>2194</v>
      </c>
      <c r="G1448" s="7" t="s">
        <v>2195</v>
      </c>
      <c r="H1448" s="7" t="s">
        <v>2191</v>
      </c>
      <c r="I1448" s="7" t="s">
        <v>0</v>
      </c>
      <c r="J1448" s="7" t="s">
        <v>70</v>
      </c>
      <c r="K1448" s="7" t="s">
        <v>47</v>
      </c>
      <c r="L1448" s="7" t="s">
        <v>239</v>
      </c>
      <c r="M1448" s="7" t="s">
        <v>0</v>
      </c>
      <c r="N1448" s="7" t="s">
        <v>9137</v>
      </c>
      <c r="O1448" s="7" t="s">
        <v>0</v>
      </c>
      <c r="P1448" s="7" t="s">
        <v>9138</v>
      </c>
      <c r="Q1448" s="7" t="s">
        <v>7662</v>
      </c>
      <c r="R1448" s="7" t="s">
        <v>1066</v>
      </c>
      <c r="S1448" s="7" t="s">
        <v>0</v>
      </c>
      <c r="T1448" s="7" t="s">
        <v>54</v>
      </c>
      <c r="U1448" s="7" t="s">
        <v>136</v>
      </c>
      <c r="V1448" s="7" t="s">
        <v>102</v>
      </c>
      <c r="W1448" s="7" t="s">
        <v>57</v>
      </c>
      <c r="X1448" s="7" t="s">
        <v>103</v>
      </c>
      <c r="Y1448" s="8">
        <v>44832</v>
      </c>
      <c r="Z1448" s="8">
        <v>44926</v>
      </c>
      <c r="AA1448" s="7" t="s">
        <v>104</v>
      </c>
      <c r="AB1448" s="7" t="s">
        <v>130</v>
      </c>
      <c r="AC1448" s="7" t="s">
        <v>79</v>
      </c>
      <c r="AD1448" s="7" t="s">
        <v>80</v>
      </c>
      <c r="AE1448" s="7" t="s">
        <v>118</v>
      </c>
      <c r="AF1448" s="7" t="s">
        <v>0</v>
      </c>
      <c r="AG1448" s="7" t="s">
        <v>0</v>
      </c>
      <c r="AH1448" s="9" t="s">
        <v>13812</v>
      </c>
      <c r="AI1448" s="9" t="s">
        <v>13812</v>
      </c>
      <c r="AJ1448" s="9">
        <v>0</v>
      </c>
      <c r="AK1448" s="7" t="s">
        <v>61</v>
      </c>
      <c r="AL1448" s="7" t="s">
        <v>61</v>
      </c>
      <c r="AM1448" s="7" t="s">
        <v>0</v>
      </c>
      <c r="AN1448" s="7" t="s">
        <v>0</v>
      </c>
      <c r="AO1448" s="7" t="s">
        <v>0</v>
      </c>
      <c r="AP1448" s="7" t="s">
        <v>0</v>
      </c>
      <c r="AQ1448" s="7" t="s">
        <v>61</v>
      </c>
      <c r="AR1448" s="7" t="s">
        <v>0</v>
      </c>
      <c r="AS1448" s="10" t="str">
        <f>HYPERLINK("https://tessa.gazprom-neft.local/edo/card/c2f1ad92-463a-4d6b-bf89-7e50b377ec1d", "https://tessa.gazprom-neft.local/edo/card/c2f1ad92-463a-4d6b-bf89-7e50b377ec1d")</f>
        <v>https://tessa.gazprom-neft.local/edo/card/c2f1ad92-463a-4d6b-bf89-7e50b377ec1d</v>
      </c>
    </row>
    <row r="1449" spans="1:45" x14ac:dyDescent="0.25">
      <c r="A1449" s="6" t="s">
        <v>44</v>
      </c>
      <c r="B1449" s="7" t="s">
        <v>1552</v>
      </c>
      <c r="C1449" s="7" t="s">
        <v>67</v>
      </c>
      <c r="D1449" s="8">
        <v>44832</v>
      </c>
      <c r="E1449" s="8" t="s">
        <v>0</v>
      </c>
      <c r="F1449" s="16" t="s">
        <v>1553</v>
      </c>
      <c r="G1449" s="7" t="s">
        <v>1554</v>
      </c>
      <c r="H1449" s="7" t="s">
        <v>1548</v>
      </c>
      <c r="I1449" s="7" t="s">
        <v>0</v>
      </c>
      <c r="J1449" s="7" t="s">
        <v>1098</v>
      </c>
      <c r="K1449" s="7" t="s">
        <v>47</v>
      </c>
      <c r="L1449" s="7" t="s">
        <v>48</v>
      </c>
      <c r="M1449" s="7" t="s">
        <v>0</v>
      </c>
      <c r="N1449" s="7" t="s">
        <v>9140</v>
      </c>
      <c r="O1449" s="7" t="s">
        <v>0</v>
      </c>
      <c r="P1449" s="7" t="s">
        <v>9141</v>
      </c>
      <c r="Q1449" s="7" t="s">
        <v>9142</v>
      </c>
      <c r="R1449" s="7" t="s">
        <v>1551</v>
      </c>
      <c r="S1449" s="7" t="s">
        <v>149</v>
      </c>
      <c r="T1449" s="7" t="s">
        <v>54</v>
      </c>
      <c r="U1449" s="7" t="s">
        <v>210</v>
      </c>
      <c r="V1449" s="7" t="s">
        <v>126</v>
      </c>
      <c r="W1449" s="7" t="s">
        <v>57</v>
      </c>
      <c r="X1449" s="7" t="s">
        <v>103</v>
      </c>
      <c r="Y1449" s="8">
        <v>44832</v>
      </c>
      <c r="Z1449" s="8">
        <v>45291</v>
      </c>
      <c r="AA1449" s="7" t="s">
        <v>224</v>
      </c>
      <c r="AB1449" s="7" t="s">
        <v>1555</v>
      </c>
      <c r="AC1449" s="7" t="s">
        <v>65</v>
      </c>
      <c r="AD1449" s="7" t="s">
        <v>80</v>
      </c>
      <c r="AE1449" s="7" t="s">
        <v>0</v>
      </c>
      <c r="AF1449" s="7" t="s">
        <v>0</v>
      </c>
      <c r="AG1449" s="7" t="s">
        <v>0</v>
      </c>
      <c r="AH1449" s="9" t="s">
        <v>0</v>
      </c>
      <c r="AI1449" s="9" t="s">
        <v>0</v>
      </c>
      <c r="AJ1449" s="9" t="s">
        <v>0</v>
      </c>
      <c r="AK1449" s="7" t="s">
        <v>61</v>
      </c>
      <c r="AL1449" s="7" t="s">
        <v>61</v>
      </c>
      <c r="AM1449" s="7" t="s">
        <v>0</v>
      </c>
      <c r="AN1449" s="7" t="s">
        <v>0</v>
      </c>
      <c r="AO1449" s="7" t="s">
        <v>0</v>
      </c>
      <c r="AP1449" s="7" t="s">
        <v>0</v>
      </c>
      <c r="AQ1449" s="7" t="s">
        <v>61</v>
      </c>
      <c r="AR1449" s="7" t="s">
        <v>0</v>
      </c>
      <c r="AS1449" s="10" t="str">
        <f>HYPERLINK("https://tessa.gazprom-neft.local/edo/card/37c48cda-d690-46a7-86e7-afdfcc1adca6", "https://tessa.gazprom-neft.local/edo/card/37c48cda-d690-46a7-86e7-afdfcc1adca6")</f>
        <v>https://tessa.gazprom-neft.local/edo/card/37c48cda-d690-46a7-86e7-afdfcc1adca6</v>
      </c>
    </row>
    <row r="1450" spans="1:45" hidden="1" x14ac:dyDescent="0.25">
      <c r="A1450" s="6" t="s">
        <v>44</v>
      </c>
      <c r="B1450" s="7" t="s">
        <v>2448</v>
      </c>
      <c r="C1450" s="7" t="s">
        <v>67</v>
      </c>
      <c r="D1450" s="8">
        <v>44830</v>
      </c>
      <c r="E1450" s="8" t="s">
        <v>0</v>
      </c>
      <c r="F1450" s="16" t="s">
        <v>2449</v>
      </c>
      <c r="G1450" s="7" t="s">
        <v>2450</v>
      </c>
      <c r="H1450" s="7" t="s">
        <v>0</v>
      </c>
      <c r="I1450" s="7" t="s">
        <v>9030</v>
      </c>
      <c r="J1450" s="7" t="s">
        <v>9030</v>
      </c>
      <c r="K1450" s="7" t="s">
        <v>85</v>
      </c>
      <c r="L1450" s="7" t="s">
        <v>86</v>
      </c>
      <c r="M1450" s="7" t="s">
        <v>83</v>
      </c>
      <c r="N1450" s="7" t="s">
        <v>9029</v>
      </c>
      <c r="O1450" s="7" t="s">
        <v>0</v>
      </c>
      <c r="P1450" s="7" t="s">
        <v>83</v>
      </c>
      <c r="Q1450" s="7" t="s">
        <v>9031</v>
      </c>
      <c r="R1450" s="7" t="s">
        <v>187</v>
      </c>
      <c r="S1450" s="7" t="s">
        <v>187</v>
      </c>
      <c r="T1450" s="7" t="s">
        <v>54</v>
      </c>
      <c r="U1450" s="7" t="s">
        <v>188</v>
      </c>
      <c r="V1450" s="7" t="s">
        <v>137</v>
      </c>
      <c r="W1450" s="7" t="s">
        <v>57</v>
      </c>
      <c r="X1450" s="7" t="s">
        <v>103</v>
      </c>
      <c r="Y1450" s="8">
        <v>44830</v>
      </c>
      <c r="Z1450" s="8">
        <v>45777</v>
      </c>
      <c r="AA1450" s="7" t="s">
        <v>0</v>
      </c>
      <c r="AB1450" s="7" t="s">
        <v>94</v>
      </c>
      <c r="AC1450" s="7" t="s">
        <v>65</v>
      </c>
      <c r="AD1450" s="7" t="s">
        <v>0</v>
      </c>
      <c r="AE1450" s="7" t="s">
        <v>0</v>
      </c>
      <c r="AF1450" s="7" t="s">
        <v>0</v>
      </c>
      <c r="AG1450" s="7" t="s">
        <v>0</v>
      </c>
      <c r="AH1450" s="9" t="s">
        <v>0</v>
      </c>
      <c r="AI1450" s="9" t="s">
        <v>0</v>
      </c>
      <c r="AJ1450" s="9" t="s">
        <v>0</v>
      </c>
      <c r="AK1450" s="7" t="s">
        <v>61</v>
      </c>
      <c r="AL1450" s="7" t="s">
        <v>61</v>
      </c>
      <c r="AM1450" s="7" t="s">
        <v>0</v>
      </c>
      <c r="AN1450" s="7" t="s">
        <v>0</v>
      </c>
      <c r="AO1450" s="7" t="s">
        <v>0</v>
      </c>
      <c r="AP1450" s="7" t="s">
        <v>0</v>
      </c>
      <c r="AQ1450" s="7" t="s">
        <v>61</v>
      </c>
      <c r="AR1450" s="7" t="s">
        <v>0</v>
      </c>
      <c r="AS1450" s="10" t="str">
        <f>HYPERLINK("https://tessa.gazprom-neft.local/edo/card/5bdc5b9c-377c-4829-bf7b-4fcdeb6c438c", "https://tessa.gazprom-neft.local/edo/card/5bdc5b9c-377c-4829-bf7b-4fcdeb6c438c")</f>
        <v>https://tessa.gazprom-neft.local/edo/card/5bdc5b9c-377c-4829-bf7b-4fcdeb6c438c</v>
      </c>
    </row>
    <row r="1451" spans="1:45" hidden="1" x14ac:dyDescent="0.25">
      <c r="A1451" s="6" t="s">
        <v>44</v>
      </c>
      <c r="B1451" s="7" t="s">
        <v>2448</v>
      </c>
      <c r="C1451" s="7" t="s">
        <v>67</v>
      </c>
      <c r="D1451" s="8">
        <v>44830</v>
      </c>
      <c r="E1451" s="8" t="s">
        <v>0</v>
      </c>
      <c r="F1451" s="16" t="s">
        <v>2449</v>
      </c>
      <c r="G1451" s="7" t="s">
        <v>2450</v>
      </c>
      <c r="H1451" s="7" t="s">
        <v>0</v>
      </c>
      <c r="I1451" s="7" t="s">
        <v>9040</v>
      </c>
      <c r="J1451" s="7" t="s">
        <v>9040</v>
      </c>
      <c r="K1451" s="7" t="s">
        <v>47</v>
      </c>
      <c r="L1451" s="7" t="s">
        <v>96</v>
      </c>
      <c r="M1451" s="7" t="s">
        <v>0</v>
      </c>
      <c r="N1451" s="7" t="s">
        <v>9039</v>
      </c>
      <c r="O1451" s="7" t="s">
        <v>0</v>
      </c>
      <c r="P1451" s="7" t="s">
        <v>9041</v>
      </c>
      <c r="Q1451" s="7" t="s">
        <v>1537</v>
      </c>
      <c r="R1451" s="7" t="s">
        <v>187</v>
      </c>
      <c r="S1451" s="7" t="s">
        <v>187</v>
      </c>
      <c r="T1451" s="7" t="s">
        <v>54</v>
      </c>
      <c r="U1451" s="7" t="s">
        <v>188</v>
      </c>
      <c r="V1451" s="7" t="s">
        <v>137</v>
      </c>
      <c r="W1451" s="7" t="s">
        <v>57</v>
      </c>
      <c r="X1451" s="7" t="s">
        <v>103</v>
      </c>
      <c r="Y1451" s="8">
        <v>44683</v>
      </c>
      <c r="Z1451" s="8">
        <v>45777</v>
      </c>
      <c r="AA1451" s="7" t="s">
        <v>0</v>
      </c>
      <c r="AB1451" s="7" t="s">
        <v>434</v>
      </c>
      <c r="AC1451" s="7" t="s">
        <v>65</v>
      </c>
      <c r="AD1451" s="7" t="s">
        <v>0</v>
      </c>
      <c r="AE1451" s="7" t="s">
        <v>0</v>
      </c>
      <c r="AF1451" s="7" t="s">
        <v>0</v>
      </c>
      <c r="AG1451" s="7" t="s">
        <v>0</v>
      </c>
      <c r="AH1451" s="9" t="s">
        <v>0</v>
      </c>
      <c r="AI1451" s="9" t="s">
        <v>0</v>
      </c>
      <c r="AJ1451" s="9" t="s">
        <v>0</v>
      </c>
      <c r="AK1451" s="7" t="s">
        <v>61</v>
      </c>
      <c r="AL1451" s="7" t="s">
        <v>61</v>
      </c>
      <c r="AM1451" s="7" t="s">
        <v>0</v>
      </c>
      <c r="AN1451" s="7" t="s">
        <v>0</v>
      </c>
      <c r="AO1451" s="7" t="s">
        <v>0</v>
      </c>
      <c r="AP1451" s="7" t="s">
        <v>0</v>
      </c>
      <c r="AQ1451" s="7" t="s">
        <v>61</v>
      </c>
      <c r="AR1451" s="7" t="s">
        <v>0</v>
      </c>
      <c r="AS1451" s="10" t="str">
        <f>HYPERLINK("https://tessa.gazprom-neft.local/edo/card/f21df08d-2ad4-41a2-ad69-865cf0146211", "https://tessa.gazprom-neft.local/edo/card/f21df08d-2ad4-41a2-ad69-865cf0146211")</f>
        <v>https://tessa.gazprom-neft.local/edo/card/f21df08d-2ad4-41a2-ad69-865cf0146211</v>
      </c>
    </row>
    <row r="1452" spans="1:45" hidden="1" x14ac:dyDescent="0.25">
      <c r="A1452" s="6" t="s">
        <v>44</v>
      </c>
      <c r="B1452" s="7" t="s">
        <v>1843</v>
      </c>
      <c r="C1452" s="7" t="s">
        <v>67</v>
      </c>
      <c r="D1452" s="8">
        <v>44827</v>
      </c>
      <c r="E1452" s="8" t="s">
        <v>0</v>
      </c>
      <c r="F1452" s="16" t="s">
        <v>1844</v>
      </c>
      <c r="G1452" s="7" t="s">
        <v>1845</v>
      </c>
      <c r="H1452" s="7" t="s">
        <v>0</v>
      </c>
      <c r="I1452" s="7" t="s">
        <v>1841</v>
      </c>
      <c r="J1452" s="7" t="s">
        <v>1841</v>
      </c>
      <c r="K1452" s="7" t="s">
        <v>85</v>
      </c>
      <c r="L1452" s="7" t="s">
        <v>96</v>
      </c>
      <c r="M1452" s="7" t="s">
        <v>8315</v>
      </c>
      <c r="N1452" s="7" t="s">
        <v>8672</v>
      </c>
      <c r="O1452" s="7" t="s">
        <v>0</v>
      </c>
      <c r="P1452" s="7" t="s">
        <v>8315</v>
      </c>
      <c r="Q1452" s="7" t="s">
        <v>8673</v>
      </c>
      <c r="R1452" s="7" t="s">
        <v>338</v>
      </c>
      <c r="S1452" s="7" t="s">
        <v>1066</v>
      </c>
      <c r="T1452" s="7" t="s">
        <v>54</v>
      </c>
      <c r="U1452" s="7" t="s">
        <v>136</v>
      </c>
      <c r="V1452" s="7" t="s">
        <v>102</v>
      </c>
      <c r="W1452" s="7" t="s">
        <v>57</v>
      </c>
      <c r="X1452" s="7" t="s">
        <v>103</v>
      </c>
      <c r="Y1452" s="8">
        <v>44827</v>
      </c>
      <c r="Z1452" s="8">
        <v>46112</v>
      </c>
      <c r="AA1452" s="7" t="s">
        <v>104</v>
      </c>
      <c r="AB1452" s="7" t="s">
        <v>1143</v>
      </c>
      <c r="AC1452" s="7" t="s">
        <v>79</v>
      </c>
      <c r="AD1452" s="7" t="s">
        <v>80</v>
      </c>
      <c r="AE1452" s="7" t="s">
        <v>82</v>
      </c>
      <c r="AF1452" s="7" t="s">
        <v>0</v>
      </c>
      <c r="AG1452" s="7" t="s">
        <v>0</v>
      </c>
      <c r="AH1452" s="9" t="s">
        <v>11146</v>
      </c>
      <c r="AI1452" s="9" t="s">
        <v>11147</v>
      </c>
      <c r="AJ1452" s="9" t="s">
        <v>11148</v>
      </c>
      <c r="AK1452" s="7" t="s">
        <v>61</v>
      </c>
      <c r="AL1452" s="7" t="s">
        <v>61</v>
      </c>
      <c r="AM1452" s="7" t="s">
        <v>0</v>
      </c>
      <c r="AN1452" s="7" t="s">
        <v>0</v>
      </c>
      <c r="AO1452" s="7" t="s">
        <v>0</v>
      </c>
      <c r="AP1452" s="7" t="s">
        <v>0</v>
      </c>
      <c r="AQ1452" s="7" t="s">
        <v>61</v>
      </c>
      <c r="AR1452" s="7" t="s">
        <v>0</v>
      </c>
      <c r="AS1452" s="10" t="str">
        <f>HYPERLINK("https://tessa.gazprom-neft.local/edo/card/e100f1fa-6b9d-4d78-a6c2-b1893f0eaf6b", "https://tessa.gazprom-neft.local/edo/card/e100f1fa-6b9d-4d78-a6c2-b1893f0eaf6b")</f>
        <v>https://tessa.gazprom-neft.local/edo/card/e100f1fa-6b9d-4d78-a6c2-b1893f0eaf6b</v>
      </c>
    </row>
    <row r="1453" spans="1:45" x14ac:dyDescent="0.25">
      <c r="A1453" s="6" t="s">
        <v>44</v>
      </c>
      <c r="B1453" s="7" t="s">
        <v>4071</v>
      </c>
      <c r="C1453" s="7" t="s">
        <v>67</v>
      </c>
      <c r="D1453" s="8">
        <v>44827</v>
      </c>
      <c r="E1453" s="8" t="s">
        <v>0</v>
      </c>
      <c r="F1453" s="16" t="s">
        <v>4072</v>
      </c>
      <c r="G1453" s="7" t="s">
        <v>4073</v>
      </c>
      <c r="H1453" s="7" t="s">
        <v>4580</v>
      </c>
      <c r="I1453" s="7" t="s">
        <v>0</v>
      </c>
      <c r="J1453" s="7" t="s">
        <v>955</v>
      </c>
      <c r="K1453" s="7" t="s">
        <v>47</v>
      </c>
      <c r="L1453" s="7" t="s">
        <v>48</v>
      </c>
      <c r="M1453" s="7" t="s">
        <v>0</v>
      </c>
      <c r="N1453" s="7" t="s">
        <v>8847</v>
      </c>
      <c r="O1453" s="7" t="s">
        <v>0</v>
      </c>
      <c r="P1453" s="7" t="s">
        <v>8848</v>
      </c>
      <c r="Q1453" s="7" t="s">
        <v>8849</v>
      </c>
      <c r="R1453" s="7" t="s">
        <v>519</v>
      </c>
      <c r="S1453" s="7" t="s">
        <v>519</v>
      </c>
      <c r="T1453" s="7" t="s">
        <v>54</v>
      </c>
      <c r="U1453" s="7" t="s">
        <v>362</v>
      </c>
      <c r="V1453" s="7" t="s">
        <v>295</v>
      </c>
      <c r="W1453" s="7" t="s">
        <v>74</v>
      </c>
      <c r="X1453" s="7" t="s">
        <v>103</v>
      </c>
      <c r="Y1453" s="8">
        <v>44818</v>
      </c>
      <c r="Z1453" s="8">
        <v>45291</v>
      </c>
      <c r="AA1453" s="7" t="s">
        <v>296</v>
      </c>
      <c r="AB1453" s="7" t="s">
        <v>130</v>
      </c>
      <c r="AC1453" s="7" t="s">
        <v>79</v>
      </c>
      <c r="AD1453" s="7" t="s">
        <v>514</v>
      </c>
      <c r="AE1453" s="7" t="s">
        <v>82</v>
      </c>
      <c r="AF1453" s="7" t="s">
        <v>0</v>
      </c>
      <c r="AG1453" s="7" t="s">
        <v>0</v>
      </c>
      <c r="AH1453" s="9">
        <v>0</v>
      </c>
      <c r="AI1453" s="9">
        <v>0</v>
      </c>
      <c r="AJ1453" s="9">
        <v>0</v>
      </c>
      <c r="AK1453" s="7" t="s">
        <v>61</v>
      </c>
      <c r="AL1453" s="7" t="s">
        <v>61</v>
      </c>
      <c r="AM1453" s="7" t="s">
        <v>0</v>
      </c>
      <c r="AN1453" s="7" t="s">
        <v>0</v>
      </c>
      <c r="AO1453" s="7" t="s">
        <v>0</v>
      </c>
      <c r="AP1453" s="7" t="s">
        <v>0</v>
      </c>
      <c r="AQ1453" s="7" t="s">
        <v>61</v>
      </c>
      <c r="AR1453" s="7" t="s">
        <v>0</v>
      </c>
      <c r="AS1453" s="10" t="str">
        <f>HYPERLINK("https://tessa.gazprom-neft.local/edo/card/2f9b956a-4474-4c71-a20d-0c407d9bb995", "https://tessa.gazprom-neft.local/edo/card/2f9b956a-4474-4c71-a20d-0c407d9bb995")</f>
        <v>https://tessa.gazprom-neft.local/edo/card/2f9b956a-4474-4c71-a20d-0c407d9bb995</v>
      </c>
    </row>
    <row r="1454" spans="1:45" x14ac:dyDescent="0.25">
      <c r="A1454" s="6" t="s">
        <v>44</v>
      </c>
      <c r="B1454" s="7" t="s">
        <v>1593</v>
      </c>
      <c r="C1454" s="7" t="s">
        <v>67</v>
      </c>
      <c r="D1454" s="8">
        <v>44827</v>
      </c>
      <c r="E1454" s="8" t="s">
        <v>0</v>
      </c>
      <c r="F1454" s="16" t="s">
        <v>1594</v>
      </c>
      <c r="G1454" s="7" t="s">
        <v>1595</v>
      </c>
      <c r="H1454" s="7" t="s">
        <v>3521</v>
      </c>
      <c r="I1454" s="7" t="s">
        <v>0</v>
      </c>
      <c r="J1454" s="7" t="s">
        <v>872</v>
      </c>
      <c r="K1454" s="7" t="s">
        <v>85</v>
      </c>
      <c r="L1454" s="7" t="s">
        <v>48</v>
      </c>
      <c r="M1454" s="7" t="s">
        <v>2128</v>
      </c>
      <c r="N1454" s="7" t="s">
        <v>8967</v>
      </c>
      <c r="O1454" s="7" t="s">
        <v>0</v>
      </c>
      <c r="P1454" s="7" t="s">
        <v>2128</v>
      </c>
      <c r="Q1454" s="7" t="s">
        <v>7394</v>
      </c>
      <c r="R1454" s="7" t="s">
        <v>1575</v>
      </c>
      <c r="S1454" s="7" t="s">
        <v>1575</v>
      </c>
      <c r="T1454" s="7" t="s">
        <v>54</v>
      </c>
      <c r="U1454" s="7" t="s">
        <v>222</v>
      </c>
      <c r="V1454" s="7" t="s">
        <v>846</v>
      </c>
      <c r="W1454" s="7" t="s">
        <v>57</v>
      </c>
      <c r="X1454" s="7" t="s">
        <v>58</v>
      </c>
      <c r="Y1454" s="8">
        <v>44827</v>
      </c>
      <c r="Z1454" s="8" t="s">
        <v>0</v>
      </c>
      <c r="AA1454" s="7" t="s">
        <v>847</v>
      </c>
      <c r="AB1454" s="7" t="s">
        <v>387</v>
      </c>
      <c r="AC1454" s="7" t="s">
        <v>65</v>
      </c>
      <c r="AD1454" s="7" t="s">
        <v>0</v>
      </c>
      <c r="AE1454" s="7" t="s">
        <v>0</v>
      </c>
      <c r="AF1454" s="7" t="s">
        <v>0</v>
      </c>
      <c r="AG1454" s="7" t="s">
        <v>0</v>
      </c>
      <c r="AH1454" s="9" t="s">
        <v>0</v>
      </c>
      <c r="AI1454" s="9" t="s">
        <v>0</v>
      </c>
      <c r="AJ1454" s="9" t="s">
        <v>0</v>
      </c>
      <c r="AK1454" s="7" t="s">
        <v>61</v>
      </c>
      <c r="AL1454" s="7" t="s">
        <v>61</v>
      </c>
      <c r="AM1454" s="7" t="s">
        <v>0</v>
      </c>
      <c r="AN1454" s="7" t="s">
        <v>0</v>
      </c>
      <c r="AO1454" s="7" t="s">
        <v>0</v>
      </c>
      <c r="AP1454" s="7" t="s">
        <v>0</v>
      </c>
      <c r="AQ1454" s="7" t="s">
        <v>61</v>
      </c>
      <c r="AR1454" s="7" t="s">
        <v>0</v>
      </c>
      <c r="AS1454" s="10" t="str">
        <f>HYPERLINK("https://tessa.gazprom-neft.local/edo/card/144ea491-e3bd-42a8-a9f8-247e5f72d4ed", "https://tessa.gazprom-neft.local/edo/card/144ea491-e3bd-42a8-a9f8-247e5f72d4ed")</f>
        <v>https://tessa.gazprom-neft.local/edo/card/144ea491-e3bd-42a8-a9f8-247e5f72d4ed</v>
      </c>
    </row>
    <row r="1455" spans="1:45" hidden="1" x14ac:dyDescent="0.25">
      <c r="A1455" s="6" t="s">
        <v>44</v>
      </c>
      <c r="B1455" s="7" t="s">
        <v>1593</v>
      </c>
      <c r="C1455" s="7" t="s">
        <v>67</v>
      </c>
      <c r="D1455" s="8">
        <v>44827</v>
      </c>
      <c r="E1455" s="8" t="s">
        <v>0</v>
      </c>
      <c r="F1455" s="16" t="s">
        <v>1594</v>
      </c>
      <c r="G1455" s="7" t="s">
        <v>1595</v>
      </c>
      <c r="H1455" s="7" t="s">
        <v>0</v>
      </c>
      <c r="I1455" s="7" t="s">
        <v>8974</v>
      </c>
      <c r="J1455" s="7" t="s">
        <v>8974</v>
      </c>
      <c r="K1455" s="7" t="s">
        <v>47</v>
      </c>
      <c r="L1455" s="7" t="s">
        <v>86</v>
      </c>
      <c r="M1455" s="7" t="s">
        <v>0</v>
      </c>
      <c r="N1455" s="7" t="s">
        <v>8973</v>
      </c>
      <c r="O1455" s="7" t="s">
        <v>0</v>
      </c>
      <c r="P1455" s="7" t="s">
        <v>237</v>
      </c>
      <c r="Q1455" s="7" t="s">
        <v>8975</v>
      </c>
      <c r="R1455" s="7" t="s">
        <v>1575</v>
      </c>
      <c r="S1455" s="7" t="s">
        <v>1575</v>
      </c>
      <c r="T1455" s="7" t="s">
        <v>54</v>
      </c>
      <c r="U1455" s="7" t="s">
        <v>222</v>
      </c>
      <c r="V1455" s="7" t="s">
        <v>91</v>
      </c>
      <c r="W1455" s="7" t="s">
        <v>57</v>
      </c>
      <c r="X1455" s="7" t="s">
        <v>58</v>
      </c>
      <c r="Y1455" s="8">
        <v>44827</v>
      </c>
      <c r="Z1455" s="8" t="s">
        <v>0</v>
      </c>
      <c r="AA1455" s="7" t="s">
        <v>92</v>
      </c>
      <c r="AB1455" s="7" t="s">
        <v>139</v>
      </c>
      <c r="AC1455" s="7" t="s">
        <v>65</v>
      </c>
      <c r="AD1455" s="7" t="s">
        <v>0</v>
      </c>
      <c r="AE1455" s="7" t="s">
        <v>0</v>
      </c>
      <c r="AF1455" s="7" t="s">
        <v>0</v>
      </c>
      <c r="AG1455" s="7" t="s">
        <v>0</v>
      </c>
      <c r="AH1455" s="9" t="s">
        <v>0</v>
      </c>
      <c r="AI1455" s="9" t="s">
        <v>0</v>
      </c>
      <c r="AJ1455" s="9" t="s">
        <v>0</v>
      </c>
      <c r="AK1455" s="7" t="s">
        <v>61</v>
      </c>
      <c r="AL1455" s="7" t="s">
        <v>61</v>
      </c>
      <c r="AM1455" s="7" t="s">
        <v>0</v>
      </c>
      <c r="AN1455" s="7" t="s">
        <v>0</v>
      </c>
      <c r="AO1455" s="7" t="s">
        <v>0</v>
      </c>
      <c r="AP1455" s="7" t="s">
        <v>0</v>
      </c>
      <c r="AQ1455" s="7" t="s">
        <v>61</v>
      </c>
      <c r="AR1455" s="7" t="s">
        <v>0</v>
      </c>
      <c r="AS1455" s="10" t="str">
        <f>HYPERLINK("https://tessa.gazprom-neft.local/edo/card/bfd076f0-087d-431f-ab60-76682e46519c", "https://tessa.gazprom-neft.local/edo/card/bfd076f0-087d-431f-ab60-76682e46519c")</f>
        <v>https://tessa.gazprom-neft.local/edo/card/bfd076f0-087d-431f-ab60-76682e46519c</v>
      </c>
    </row>
    <row r="1456" spans="1:45" x14ac:dyDescent="0.25">
      <c r="A1456" s="6" t="s">
        <v>44</v>
      </c>
      <c r="B1456" s="7" t="s">
        <v>1712</v>
      </c>
      <c r="C1456" s="7" t="s">
        <v>67</v>
      </c>
      <c r="D1456" s="8">
        <v>44827</v>
      </c>
      <c r="E1456" s="8" t="s">
        <v>0</v>
      </c>
      <c r="F1456" s="16" t="s">
        <v>1713</v>
      </c>
      <c r="G1456" s="7" t="s">
        <v>1714</v>
      </c>
      <c r="H1456" s="7" t="s">
        <v>1707</v>
      </c>
      <c r="I1456" s="7" t="s">
        <v>0</v>
      </c>
      <c r="J1456" s="7" t="s">
        <v>872</v>
      </c>
      <c r="K1456" s="7" t="s">
        <v>47</v>
      </c>
      <c r="L1456" s="7" t="s">
        <v>48</v>
      </c>
      <c r="M1456" s="7" t="s">
        <v>0</v>
      </c>
      <c r="N1456" s="7" t="s">
        <v>9001</v>
      </c>
      <c r="O1456" s="7" t="s">
        <v>0</v>
      </c>
      <c r="P1456" s="7" t="s">
        <v>9002</v>
      </c>
      <c r="Q1456" s="7" t="s">
        <v>9003</v>
      </c>
      <c r="R1456" s="7" t="s">
        <v>1711</v>
      </c>
      <c r="S1456" s="7" t="s">
        <v>1711</v>
      </c>
      <c r="T1456" s="7" t="s">
        <v>54</v>
      </c>
      <c r="U1456" s="7" t="s">
        <v>605</v>
      </c>
      <c r="V1456" s="7" t="s">
        <v>126</v>
      </c>
      <c r="W1456" s="7" t="s">
        <v>57</v>
      </c>
      <c r="X1456" s="7" t="s">
        <v>103</v>
      </c>
      <c r="Y1456" s="8">
        <v>44827</v>
      </c>
      <c r="Z1456" s="8">
        <v>45291</v>
      </c>
      <c r="AA1456" s="7" t="s">
        <v>224</v>
      </c>
      <c r="AB1456" s="7" t="s">
        <v>64</v>
      </c>
      <c r="AC1456" s="7" t="s">
        <v>65</v>
      </c>
      <c r="AD1456" s="7" t="s">
        <v>0</v>
      </c>
      <c r="AE1456" s="7" t="s">
        <v>0</v>
      </c>
      <c r="AF1456" s="7" t="s">
        <v>0</v>
      </c>
      <c r="AG1456" s="7" t="s">
        <v>0</v>
      </c>
      <c r="AH1456" s="9" t="s">
        <v>0</v>
      </c>
      <c r="AI1456" s="9" t="s">
        <v>0</v>
      </c>
      <c r="AJ1456" s="9" t="s">
        <v>0</v>
      </c>
      <c r="AK1456" s="7" t="s">
        <v>61</v>
      </c>
      <c r="AL1456" s="7" t="s">
        <v>61</v>
      </c>
      <c r="AM1456" s="7" t="s">
        <v>0</v>
      </c>
      <c r="AN1456" s="7" t="s">
        <v>0</v>
      </c>
      <c r="AO1456" s="7" t="s">
        <v>0</v>
      </c>
      <c r="AP1456" s="7" t="s">
        <v>0</v>
      </c>
      <c r="AQ1456" s="7" t="s">
        <v>61</v>
      </c>
      <c r="AR1456" s="7" t="s">
        <v>0</v>
      </c>
      <c r="AS1456" s="10" t="str">
        <f>HYPERLINK("https://tessa.gazprom-neft.local/edo/card/9eb4172a-b196-48f1-a531-4470fbe3b1d9", "https://tessa.gazprom-neft.local/edo/card/9eb4172a-b196-48f1-a531-4470fbe3b1d9")</f>
        <v>https://tessa.gazprom-neft.local/edo/card/9eb4172a-b196-48f1-a531-4470fbe3b1d9</v>
      </c>
    </row>
    <row r="1457" spans="1:45" x14ac:dyDescent="0.25">
      <c r="A1457" s="6" t="s">
        <v>44</v>
      </c>
      <c r="B1457" s="7" t="s">
        <v>813</v>
      </c>
      <c r="C1457" s="7" t="s">
        <v>67</v>
      </c>
      <c r="D1457" s="8">
        <v>44827</v>
      </c>
      <c r="E1457" s="8" t="s">
        <v>0</v>
      </c>
      <c r="F1457" s="16" t="s">
        <v>814</v>
      </c>
      <c r="G1457" s="7" t="s">
        <v>815</v>
      </c>
      <c r="H1457" s="7" t="s">
        <v>809</v>
      </c>
      <c r="I1457" s="7" t="s">
        <v>0</v>
      </c>
      <c r="J1457" s="7" t="s">
        <v>872</v>
      </c>
      <c r="K1457" s="7" t="s">
        <v>47</v>
      </c>
      <c r="L1457" s="7" t="s">
        <v>48</v>
      </c>
      <c r="M1457" s="7" t="s">
        <v>0</v>
      </c>
      <c r="N1457" s="7" t="s">
        <v>9009</v>
      </c>
      <c r="O1457" s="7" t="s">
        <v>0</v>
      </c>
      <c r="P1457" s="7" t="s">
        <v>9010</v>
      </c>
      <c r="Q1457" s="7" t="s">
        <v>4088</v>
      </c>
      <c r="R1457" s="7" t="s">
        <v>812</v>
      </c>
      <c r="S1457" s="7" t="s">
        <v>812</v>
      </c>
      <c r="T1457" s="7" t="s">
        <v>54</v>
      </c>
      <c r="U1457" s="7" t="s">
        <v>1534</v>
      </c>
      <c r="V1457" s="7" t="s">
        <v>56</v>
      </c>
      <c r="W1457" s="7" t="s">
        <v>57</v>
      </c>
      <c r="X1457" s="7" t="s">
        <v>103</v>
      </c>
      <c r="Y1457" s="8">
        <v>44827</v>
      </c>
      <c r="Z1457" s="8">
        <v>46387</v>
      </c>
      <c r="AA1457" s="7" t="s">
        <v>59</v>
      </c>
      <c r="AB1457" s="7" t="s">
        <v>256</v>
      </c>
      <c r="AC1457" s="7" t="s">
        <v>65</v>
      </c>
      <c r="AD1457" s="7" t="s">
        <v>80</v>
      </c>
      <c r="AE1457" s="7" t="s">
        <v>0</v>
      </c>
      <c r="AF1457" s="7" t="s">
        <v>0</v>
      </c>
      <c r="AG1457" s="7" t="s">
        <v>0</v>
      </c>
      <c r="AH1457" s="9" t="s">
        <v>0</v>
      </c>
      <c r="AI1457" s="9" t="s">
        <v>0</v>
      </c>
      <c r="AJ1457" s="9" t="s">
        <v>0</v>
      </c>
      <c r="AK1457" s="7" t="s">
        <v>61</v>
      </c>
      <c r="AL1457" s="7" t="s">
        <v>61</v>
      </c>
      <c r="AM1457" s="7" t="s">
        <v>0</v>
      </c>
      <c r="AN1457" s="7" t="s">
        <v>0</v>
      </c>
      <c r="AO1457" s="7" t="s">
        <v>0</v>
      </c>
      <c r="AP1457" s="7" t="s">
        <v>0</v>
      </c>
      <c r="AQ1457" s="7" t="s">
        <v>61</v>
      </c>
      <c r="AR1457" s="7" t="s">
        <v>0</v>
      </c>
      <c r="AS1457" s="10" t="str">
        <f>HYPERLINK("https://tessa.gazprom-neft.local/edo/card/4175f1a3-2512-4814-bea6-184333f9a572", "https://tessa.gazprom-neft.local/edo/card/4175f1a3-2512-4814-bea6-184333f9a572")</f>
        <v>https://tessa.gazprom-neft.local/edo/card/4175f1a3-2512-4814-bea6-184333f9a572</v>
      </c>
    </row>
    <row r="1458" spans="1:45" hidden="1" x14ac:dyDescent="0.25">
      <c r="A1458" s="6" t="s">
        <v>44</v>
      </c>
      <c r="B1458" s="7" t="s">
        <v>813</v>
      </c>
      <c r="C1458" s="7" t="s">
        <v>67</v>
      </c>
      <c r="D1458" s="8">
        <v>44827</v>
      </c>
      <c r="E1458" s="8" t="s">
        <v>0</v>
      </c>
      <c r="F1458" s="16" t="s">
        <v>814</v>
      </c>
      <c r="G1458" s="7" t="s">
        <v>815</v>
      </c>
      <c r="H1458" s="7" t="s">
        <v>809</v>
      </c>
      <c r="I1458" s="7" t="s">
        <v>0</v>
      </c>
      <c r="J1458" s="7" t="s">
        <v>872</v>
      </c>
      <c r="K1458" s="7" t="s">
        <v>47</v>
      </c>
      <c r="L1458" s="7" t="s">
        <v>709</v>
      </c>
      <c r="M1458" s="7" t="s">
        <v>0</v>
      </c>
      <c r="N1458" s="7" t="s">
        <v>9180</v>
      </c>
      <c r="O1458" s="7" t="s">
        <v>0</v>
      </c>
      <c r="P1458" s="7" t="s">
        <v>9181</v>
      </c>
      <c r="Q1458" s="7" t="s">
        <v>9182</v>
      </c>
      <c r="R1458" s="7" t="s">
        <v>812</v>
      </c>
      <c r="S1458" s="7" t="s">
        <v>812</v>
      </c>
      <c r="T1458" s="7" t="s">
        <v>54</v>
      </c>
      <c r="U1458" s="7" t="s">
        <v>1534</v>
      </c>
      <c r="V1458" s="7" t="s">
        <v>56</v>
      </c>
      <c r="W1458" s="7" t="s">
        <v>57</v>
      </c>
      <c r="X1458" s="7" t="s">
        <v>103</v>
      </c>
      <c r="Y1458" s="8">
        <v>44827</v>
      </c>
      <c r="Z1458" s="8">
        <v>44890</v>
      </c>
      <c r="AA1458" s="7" t="s">
        <v>59</v>
      </c>
      <c r="AB1458" s="7" t="s">
        <v>256</v>
      </c>
      <c r="AC1458" s="7" t="s">
        <v>79</v>
      </c>
      <c r="AD1458" s="7" t="s">
        <v>80</v>
      </c>
      <c r="AE1458" s="7" t="s">
        <v>82</v>
      </c>
      <c r="AF1458" s="7" t="s">
        <v>0</v>
      </c>
      <c r="AG1458" s="7" t="s">
        <v>0</v>
      </c>
      <c r="AH1458" s="9" t="s">
        <v>13825</v>
      </c>
      <c r="AI1458" s="9" t="s">
        <v>13826</v>
      </c>
      <c r="AJ1458" s="9" t="s">
        <v>13827</v>
      </c>
      <c r="AK1458" s="7" t="s">
        <v>61</v>
      </c>
      <c r="AL1458" s="7" t="s">
        <v>61</v>
      </c>
      <c r="AM1458" s="7" t="s">
        <v>0</v>
      </c>
      <c r="AN1458" s="7" t="s">
        <v>0</v>
      </c>
      <c r="AO1458" s="7" t="s">
        <v>0</v>
      </c>
      <c r="AP1458" s="7" t="s">
        <v>0</v>
      </c>
      <c r="AQ1458" s="7" t="s">
        <v>61</v>
      </c>
      <c r="AR1458" s="7" t="s">
        <v>0</v>
      </c>
      <c r="AS1458" s="10" t="str">
        <f>HYPERLINK("https://tessa.gazprom-neft.local/edo/card/386d153b-2d21-4065-8bc0-4aee0258f81f", "https://tessa.gazprom-neft.local/edo/card/386d153b-2d21-4065-8bc0-4aee0258f81f")</f>
        <v>https://tessa.gazprom-neft.local/edo/card/386d153b-2d21-4065-8bc0-4aee0258f81f</v>
      </c>
    </row>
    <row r="1459" spans="1:45" hidden="1" x14ac:dyDescent="0.25">
      <c r="A1459" s="6" t="s">
        <v>44</v>
      </c>
      <c r="B1459" s="7" t="s">
        <v>813</v>
      </c>
      <c r="C1459" s="7" t="s">
        <v>67</v>
      </c>
      <c r="D1459" s="8">
        <v>44827</v>
      </c>
      <c r="E1459" s="8" t="s">
        <v>0</v>
      </c>
      <c r="F1459" s="16" t="s">
        <v>814</v>
      </c>
      <c r="G1459" s="7" t="s">
        <v>815</v>
      </c>
      <c r="H1459" s="7" t="s">
        <v>809</v>
      </c>
      <c r="I1459" s="7" t="s">
        <v>0</v>
      </c>
      <c r="J1459" s="7" t="s">
        <v>70</v>
      </c>
      <c r="K1459" s="7" t="s">
        <v>47</v>
      </c>
      <c r="L1459" s="7" t="s">
        <v>709</v>
      </c>
      <c r="M1459" s="7" t="s">
        <v>0</v>
      </c>
      <c r="N1459" s="7" t="s">
        <v>9183</v>
      </c>
      <c r="O1459" s="7" t="s">
        <v>0</v>
      </c>
      <c r="P1459" s="7" t="s">
        <v>9184</v>
      </c>
      <c r="Q1459" s="7" t="s">
        <v>9185</v>
      </c>
      <c r="R1459" s="7" t="s">
        <v>812</v>
      </c>
      <c r="S1459" s="7" t="s">
        <v>812</v>
      </c>
      <c r="T1459" s="7" t="s">
        <v>54</v>
      </c>
      <c r="U1459" s="7" t="s">
        <v>1534</v>
      </c>
      <c r="V1459" s="7" t="s">
        <v>56</v>
      </c>
      <c r="W1459" s="7" t="s">
        <v>57</v>
      </c>
      <c r="X1459" s="7" t="s">
        <v>103</v>
      </c>
      <c r="Y1459" s="8">
        <v>44827</v>
      </c>
      <c r="Z1459" s="8">
        <v>44890</v>
      </c>
      <c r="AA1459" s="7" t="s">
        <v>59</v>
      </c>
      <c r="AB1459" s="7" t="s">
        <v>256</v>
      </c>
      <c r="AC1459" s="7" t="s">
        <v>79</v>
      </c>
      <c r="AD1459" s="7" t="s">
        <v>80</v>
      </c>
      <c r="AE1459" s="7" t="s">
        <v>82</v>
      </c>
      <c r="AF1459" s="7" t="s">
        <v>0</v>
      </c>
      <c r="AG1459" s="7" t="s">
        <v>0</v>
      </c>
      <c r="AH1459" s="9" t="s">
        <v>13828</v>
      </c>
      <c r="AI1459" s="9" t="s">
        <v>13829</v>
      </c>
      <c r="AJ1459" s="9" t="s">
        <v>13830</v>
      </c>
      <c r="AK1459" s="7" t="s">
        <v>61</v>
      </c>
      <c r="AL1459" s="7" t="s">
        <v>61</v>
      </c>
      <c r="AM1459" s="7" t="s">
        <v>0</v>
      </c>
      <c r="AN1459" s="7" t="s">
        <v>0</v>
      </c>
      <c r="AO1459" s="7" t="s">
        <v>0</v>
      </c>
      <c r="AP1459" s="7" t="s">
        <v>0</v>
      </c>
      <c r="AQ1459" s="7" t="s">
        <v>61</v>
      </c>
      <c r="AR1459" s="7" t="s">
        <v>0</v>
      </c>
      <c r="AS1459" s="10" t="str">
        <f>HYPERLINK("https://tessa.gazprom-neft.local/edo/card/109b326b-1120-4a9f-913a-ae7e71478aaa", "https://tessa.gazprom-neft.local/edo/card/109b326b-1120-4a9f-913a-ae7e71478aaa")</f>
        <v>https://tessa.gazprom-neft.local/edo/card/109b326b-1120-4a9f-913a-ae7e71478aaa</v>
      </c>
    </row>
    <row r="1460" spans="1:45" hidden="1" x14ac:dyDescent="0.25">
      <c r="A1460" s="6" t="s">
        <v>44</v>
      </c>
      <c r="B1460" s="7" t="s">
        <v>1495</v>
      </c>
      <c r="C1460" s="7" t="s">
        <v>67</v>
      </c>
      <c r="D1460" s="8">
        <v>44826</v>
      </c>
      <c r="E1460" s="8" t="s">
        <v>0</v>
      </c>
      <c r="F1460" s="16" t="s">
        <v>1496</v>
      </c>
      <c r="G1460" s="7" t="s">
        <v>1497</v>
      </c>
      <c r="H1460" s="7" t="s">
        <v>0</v>
      </c>
      <c r="I1460" s="7" t="s">
        <v>8894</v>
      </c>
      <c r="J1460" s="7" t="s">
        <v>8894</v>
      </c>
      <c r="K1460" s="7" t="s">
        <v>47</v>
      </c>
      <c r="L1460" s="7" t="s">
        <v>86</v>
      </c>
      <c r="M1460" s="7" t="s">
        <v>0</v>
      </c>
      <c r="N1460" s="7" t="s">
        <v>8893</v>
      </c>
      <c r="O1460" s="7" t="s">
        <v>0</v>
      </c>
      <c r="P1460" s="7" t="s">
        <v>8895</v>
      </c>
      <c r="Q1460" s="7" t="s">
        <v>8889</v>
      </c>
      <c r="R1460" s="7" t="s">
        <v>505</v>
      </c>
      <c r="S1460" s="7" t="s">
        <v>505</v>
      </c>
      <c r="T1460" s="7" t="s">
        <v>54</v>
      </c>
      <c r="U1460" s="7" t="s">
        <v>210</v>
      </c>
      <c r="V1460" s="7" t="s">
        <v>917</v>
      </c>
      <c r="W1460" s="7" t="s">
        <v>74</v>
      </c>
      <c r="X1460" s="7" t="s">
        <v>103</v>
      </c>
      <c r="Y1460" s="8">
        <v>44826</v>
      </c>
      <c r="Z1460" s="8">
        <v>45657</v>
      </c>
      <c r="AA1460" s="7" t="s">
        <v>1278</v>
      </c>
      <c r="AB1460" s="7" t="s">
        <v>139</v>
      </c>
      <c r="AC1460" s="7" t="s">
        <v>65</v>
      </c>
      <c r="AD1460" s="7" t="s">
        <v>0</v>
      </c>
      <c r="AE1460" s="7" t="s">
        <v>0</v>
      </c>
      <c r="AF1460" s="7" t="s">
        <v>0</v>
      </c>
      <c r="AG1460" s="7" t="s">
        <v>0</v>
      </c>
      <c r="AH1460" s="9" t="s">
        <v>0</v>
      </c>
      <c r="AI1460" s="9" t="s">
        <v>0</v>
      </c>
      <c r="AJ1460" s="9" t="s">
        <v>0</v>
      </c>
      <c r="AK1460" s="7" t="s">
        <v>61</v>
      </c>
      <c r="AL1460" s="7" t="s">
        <v>61</v>
      </c>
      <c r="AM1460" s="7" t="s">
        <v>0</v>
      </c>
      <c r="AN1460" s="7" t="s">
        <v>0</v>
      </c>
      <c r="AO1460" s="7" t="s">
        <v>0</v>
      </c>
      <c r="AP1460" s="7" t="s">
        <v>0</v>
      </c>
      <c r="AQ1460" s="7" t="s">
        <v>61</v>
      </c>
      <c r="AR1460" s="7" t="s">
        <v>0</v>
      </c>
      <c r="AS1460" s="10" t="str">
        <f>HYPERLINK("https://tessa.gazprom-neft.local/edo/card/22466020-7cf4-46fe-955c-6a0b6c84174f", "https://tessa.gazprom-neft.local/edo/card/22466020-7cf4-46fe-955c-6a0b6c84174f")</f>
        <v>https://tessa.gazprom-neft.local/edo/card/22466020-7cf4-46fe-955c-6a0b6c84174f</v>
      </c>
    </row>
    <row r="1461" spans="1:45" x14ac:dyDescent="0.25">
      <c r="A1461" s="6" t="s">
        <v>44</v>
      </c>
      <c r="B1461" s="7" t="s">
        <v>988</v>
      </c>
      <c r="C1461" s="7" t="s">
        <v>67</v>
      </c>
      <c r="D1461" s="8">
        <v>44826</v>
      </c>
      <c r="E1461" s="8" t="s">
        <v>0</v>
      </c>
      <c r="F1461" s="16" t="s">
        <v>989</v>
      </c>
      <c r="G1461" s="7" t="s">
        <v>990</v>
      </c>
      <c r="H1461" s="7" t="s">
        <v>2826</v>
      </c>
      <c r="I1461" s="7" t="s">
        <v>0</v>
      </c>
      <c r="J1461" s="7" t="s">
        <v>51</v>
      </c>
      <c r="K1461" s="7" t="s">
        <v>47</v>
      </c>
      <c r="L1461" s="7" t="s">
        <v>48</v>
      </c>
      <c r="M1461" s="7" t="s">
        <v>0</v>
      </c>
      <c r="N1461" s="7" t="s">
        <v>8959</v>
      </c>
      <c r="O1461" s="7" t="s">
        <v>0</v>
      </c>
      <c r="P1461" s="7" t="s">
        <v>8960</v>
      </c>
      <c r="Q1461" s="7" t="s">
        <v>4640</v>
      </c>
      <c r="R1461" s="7" t="s">
        <v>505</v>
      </c>
      <c r="S1461" s="7" t="s">
        <v>1179</v>
      </c>
      <c r="T1461" s="7" t="s">
        <v>54</v>
      </c>
      <c r="U1461" s="7" t="s">
        <v>283</v>
      </c>
      <c r="V1461" s="7" t="s">
        <v>102</v>
      </c>
      <c r="W1461" s="7" t="s">
        <v>74</v>
      </c>
      <c r="X1461" s="7" t="s">
        <v>103</v>
      </c>
      <c r="Y1461" s="8">
        <v>44826</v>
      </c>
      <c r="Z1461" s="8">
        <v>46022</v>
      </c>
      <c r="AA1461" s="7" t="s">
        <v>104</v>
      </c>
      <c r="AB1461" s="7" t="s">
        <v>2546</v>
      </c>
      <c r="AC1461" s="7" t="s">
        <v>79</v>
      </c>
      <c r="AD1461" s="7" t="s">
        <v>144</v>
      </c>
      <c r="AE1461" s="7" t="s">
        <v>82</v>
      </c>
      <c r="AF1461" s="7" t="s">
        <v>0</v>
      </c>
      <c r="AG1461" s="7" t="s">
        <v>0</v>
      </c>
      <c r="AH1461" s="9">
        <v>0</v>
      </c>
      <c r="AI1461" s="9">
        <v>0</v>
      </c>
      <c r="AJ1461" s="9">
        <v>0</v>
      </c>
      <c r="AK1461" s="7" t="s">
        <v>61</v>
      </c>
      <c r="AL1461" s="7" t="s">
        <v>61</v>
      </c>
      <c r="AM1461" s="7" t="s">
        <v>0</v>
      </c>
      <c r="AN1461" s="7" t="s">
        <v>0</v>
      </c>
      <c r="AO1461" s="7" t="s">
        <v>0</v>
      </c>
      <c r="AP1461" s="7" t="s">
        <v>0</v>
      </c>
      <c r="AQ1461" s="7" t="s">
        <v>61</v>
      </c>
      <c r="AR1461" s="7" t="s">
        <v>0</v>
      </c>
      <c r="AS1461" s="10" t="str">
        <f>HYPERLINK("https://tessa.gazprom-neft.local/edo/card/a2d5369c-d07b-4b04-8af0-399407de0d6d", "https://tessa.gazprom-neft.local/edo/card/a2d5369c-d07b-4b04-8af0-399407de0d6d")</f>
        <v>https://tessa.gazprom-neft.local/edo/card/a2d5369c-d07b-4b04-8af0-399407de0d6d</v>
      </c>
    </row>
    <row r="1462" spans="1:45" x14ac:dyDescent="0.25">
      <c r="A1462" s="6" t="s">
        <v>44</v>
      </c>
      <c r="B1462" s="7" t="s">
        <v>1435</v>
      </c>
      <c r="C1462" s="7" t="s">
        <v>67</v>
      </c>
      <c r="D1462" s="8">
        <v>44826</v>
      </c>
      <c r="E1462" s="8" t="s">
        <v>0</v>
      </c>
      <c r="F1462" s="16" t="s">
        <v>1436</v>
      </c>
      <c r="G1462" s="7" t="s">
        <v>1437</v>
      </c>
      <c r="H1462" s="7" t="s">
        <v>5488</v>
      </c>
      <c r="I1462" s="7" t="s">
        <v>0</v>
      </c>
      <c r="J1462" s="7" t="s">
        <v>872</v>
      </c>
      <c r="K1462" s="7" t="s">
        <v>47</v>
      </c>
      <c r="L1462" s="7" t="s">
        <v>48</v>
      </c>
      <c r="M1462" s="7" t="s">
        <v>0</v>
      </c>
      <c r="N1462" s="7" t="s">
        <v>9055</v>
      </c>
      <c r="O1462" s="7" t="s">
        <v>0</v>
      </c>
      <c r="P1462" s="7" t="s">
        <v>5489</v>
      </c>
      <c r="Q1462" s="7" t="s">
        <v>9056</v>
      </c>
      <c r="R1462" s="7" t="s">
        <v>1523</v>
      </c>
      <c r="S1462" s="7" t="s">
        <v>1523</v>
      </c>
      <c r="T1462" s="7" t="s">
        <v>54</v>
      </c>
      <c r="U1462" s="7" t="s">
        <v>188</v>
      </c>
      <c r="V1462" s="7" t="s">
        <v>187</v>
      </c>
      <c r="W1462" s="7" t="s">
        <v>57</v>
      </c>
      <c r="X1462" s="7" t="s">
        <v>103</v>
      </c>
      <c r="Y1462" s="8">
        <v>44826</v>
      </c>
      <c r="Z1462" s="8">
        <v>44926</v>
      </c>
      <c r="AA1462" s="7" t="s">
        <v>922</v>
      </c>
      <c r="AB1462" s="7" t="s">
        <v>64</v>
      </c>
      <c r="AC1462" s="7" t="s">
        <v>79</v>
      </c>
      <c r="AD1462" s="7" t="s">
        <v>514</v>
      </c>
      <c r="AE1462" s="7" t="s">
        <v>82</v>
      </c>
      <c r="AF1462" s="7" t="s">
        <v>0</v>
      </c>
      <c r="AG1462" s="7" t="s">
        <v>0</v>
      </c>
      <c r="AH1462" s="9" t="s">
        <v>13794</v>
      </c>
      <c r="AI1462" s="9" t="s">
        <v>13795</v>
      </c>
      <c r="AJ1462" s="9" t="s">
        <v>13796</v>
      </c>
      <c r="AK1462" s="7" t="s">
        <v>61</v>
      </c>
      <c r="AL1462" s="7" t="s">
        <v>61</v>
      </c>
      <c r="AM1462" s="7" t="s">
        <v>0</v>
      </c>
      <c r="AN1462" s="7" t="s">
        <v>0</v>
      </c>
      <c r="AO1462" s="7" t="s">
        <v>0</v>
      </c>
      <c r="AP1462" s="7" t="s">
        <v>0</v>
      </c>
      <c r="AQ1462" s="7" t="s">
        <v>61</v>
      </c>
      <c r="AR1462" s="7" t="s">
        <v>0</v>
      </c>
      <c r="AS1462" s="10" t="str">
        <f>HYPERLINK("https://tessa.gazprom-neft.local/edo/card/741fda07-f98d-4e1e-b240-db0ed095edef", "https://tessa.gazprom-neft.local/edo/card/741fda07-f98d-4e1e-b240-db0ed095edef")</f>
        <v>https://tessa.gazprom-neft.local/edo/card/741fda07-f98d-4e1e-b240-db0ed095edef</v>
      </c>
    </row>
    <row r="1463" spans="1:45" hidden="1" x14ac:dyDescent="0.25">
      <c r="A1463" s="6" t="s">
        <v>44</v>
      </c>
      <c r="B1463" s="7" t="s">
        <v>988</v>
      </c>
      <c r="C1463" s="7" t="s">
        <v>67</v>
      </c>
      <c r="D1463" s="8">
        <v>44826</v>
      </c>
      <c r="E1463" s="8" t="s">
        <v>0</v>
      </c>
      <c r="F1463" s="16" t="s">
        <v>989</v>
      </c>
      <c r="G1463" s="7" t="s">
        <v>990</v>
      </c>
      <c r="H1463" s="7" t="s">
        <v>2826</v>
      </c>
      <c r="I1463" s="7" t="s">
        <v>0</v>
      </c>
      <c r="J1463" s="7" t="s">
        <v>51</v>
      </c>
      <c r="K1463" s="7" t="s">
        <v>47</v>
      </c>
      <c r="L1463" s="7" t="s">
        <v>239</v>
      </c>
      <c r="M1463" s="7" t="s">
        <v>0</v>
      </c>
      <c r="N1463" s="7" t="s">
        <v>9541</v>
      </c>
      <c r="O1463" s="7" t="s">
        <v>0</v>
      </c>
      <c r="P1463" s="7" t="s">
        <v>9542</v>
      </c>
      <c r="Q1463" s="7" t="s">
        <v>9543</v>
      </c>
      <c r="R1463" s="7" t="s">
        <v>505</v>
      </c>
      <c r="S1463" s="7" t="s">
        <v>505</v>
      </c>
      <c r="T1463" s="7" t="s">
        <v>54</v>
      </c>
      <c r="U1463" s="7" t="s">
        <v>283</v>
      </c>
      <c r="V1463" s="7" t="s">
        <v>102</v>
      </c>
      <c r="W1463" s="7" t="s">
        <v>74</v>
      </c>
      <c r="X1463" s="7" t="s">
        <v>103</v>
      </c>
      <c r="Y1463" s="8">
        <v>44826</v>
      </c>
      <c r="Z1463" s="8">
        <v>44991</v>
      </c>
      <c r="AA1463" s="7" t="s">
        <v>104</v>
      </c>
      <c r="AB1463" s="7" t="s">
        <v>2546</v>
      </c>
      <c r="AC1463" s="7" t="s">
        <v>79</v>
      </c>
      <c r="AD1463" s="7" t="s">
        <v>144</v>
      </c>
      <c r="AE1463" s="7" t="s">
        <v>82</v>
      </c>
      <c r="AF1463" s="7" t="s">
        <v>0</v>
      </c>
      <c r="AG1463" s="7" t="s">
        <v>0</v>
      </c>
      <c r="AH1463" s="9" t="s">
        <v>13974</v>
      </c>
      <c r="AI1463" s="9" t="s">
        <v>13975</v>
      </c>
      <c r="AJ1463" s="9" t="s">
        <v>13976</v>
      </c>
      <c r="AK1463" s="7" t="s">
        <v>61</v>
      </c>
      <c r="AL1463" s="7" t="s">
        <v>61</v>
      </c>
      <c r="AM1463" s="7" t="s">
        <v>0</v>
      </c>
      <c r="AN1463" s="7" t="s">
        <v>0</v>
      </c>
      <c r="AO1463" s="7" t="s">
        <v>0</v>
      </c>
      <c r="AP1463" s="7" t="s">
        <v>0</v>
      </c>
      <c r="AQ1463" s="7" t="s">
        <v>61</v>
      </c>
      <c r="AR1463" s="7" t="s">
        <v>0</v>
      </c>
      <c r="AS1463" s="10" t="str">
        <f>HYPERLINK("https://tessa.gazprom-neft.local/edo/card/d7bb5e89-c489-4079-be8e-bdd95288eb9f", "https://tessa.gazprom-neft.local/edo/card/d7bb5e89-c489-4079-be8e-bdd95288eb9f")</f>
        <v>https://tessa.gazprom-neft.local/edo/card/d7bb5e89-c489-4079-be8e-bdd95288eb9f</v>
      </c>
    </row>
    <row r="1464" spans="1:45" hidden="1" x14ac:dyDescent="0.25">
      <c r="A1464" s="6" t="s">
        <v>44</v>
      </c>
      <c r="B1464" s="7" t="s">
        <v>3273</v>
      </c>
      <c r="C1464" s="7" t="s">
        <v>67</v>
      </c>
      <c r="D1464" s="8">
        <v>44825</v>
      </c>
      <c r="E1464" s="8" t="s">
        <v>0</v>
      </c>
      <c r="F1464" s="16" t="s">
        <v>3274</v>
      </c>
      <c r="G1464" s="7" t="s">
        <v>3275</v>
      </c>
      <c r="H1464" s="7" t="s">
        <v>0</v>
      </c>
      <c r="I1464" s="7" t="s">
        <v>3270</v>
      </c>
      <c r="J1464" s="7" t="s">
        <v>3270</v>
      </c>
      <c r="K1464" s="7" t="s">
        <v>85</v>
      </c>
      <c r="L1464" s="7" t="s">
        <v>96</v>
      </c>
      <c r="M1464" s="7" t="s">
        <v>398</v>
      </c>
      <c r="N1464" s="7" t="s">
        <v>8750</v>
      </c>
      <c r="O1464" s="7" t="s">
        <v>0</v>
      </c>
      <c r="P1464" s="7" t="s">
        <v>8751</v>
      </c>
      <c r="Q1464" s="7" t="s">
        <v>402</v>
      </c>
      <c r="R1464" s="7" t="s">
        <v>361</v>
      </c>
      <c r="S1464" s="7" t="s">
        <v>361</v>
      </c>
      <c r="T1464" s="7" t="s">
        <v>54</v>
      </c>
      <c r="U1464" s="7" t="s">
        <v>294</v>
      </c>
      <c r="V1464" s="7" t="s">
        <v>295</v>
      </c>
      <c r="W1464" s="7" t="s">
        <v>74</v>
      </c>
      <c r="X1464" s="7" t="s">
        <v>103</v>
      </c>
      <c r="Y1464" s="8">
        <v>44825</v>
      </c>
      <c r="Z1464" s="8">
        <v>45291</v>
      </c>
      <c r="AA1464" s="7" t="s">
        <v>296</v>
      </c>
      <c r="AB1464" s="7" t="s">
        <v>366</v>
      </c>
      <c r="AC1464" s="7" t="s">
        <v>278</v>
      </c>
      <c r="AD1464" s="7" t="s">
        <v>367</v>
      </c>
      <c r="AE1464" s="7" t="s">
        <v>82</v>
      </c>
      <c r="AF1464" s="7" t="s">
        <v>0</v>
      </c>
      <c r="AG1464" s="7" t="s">
        <v>0</v>
      </c>
      <c r="AH1464" s="9" t="s">
        <v>13675</v>
      </c>
      <c r="AI1464" s="9" t="s">
        <v>13676</v>
      </c>
      <c r="AJ1464" s="9" t="s">
        <v>13677</v>
      </c>
      <c r="AK1464" s="7" t="s">
        <v>61</v>
      </c>
      <c r="AL1464" s="7" t="s">
        <v>61</v>
      </c>
      <c r="AM1464" s="7" t="s">
        <v>0</v>
      </c>
      <c r="AN1464" s="7" t="s">
        <v>0</v>
      </c>
      <c r="AO1464" s="7" t="s">
        <v>0</v>
      </c>
      <c r="AP1464" s="7" t="s">
        <v>0</v>
      </c>
      <c r="AQ1464" s="7" t="s">
        <v>61</v>
      </c>
      <c r="AR1464" s="7" t="s">
        <v>0</v>
      </c>
      <c r="AS1464" s="10" t="str">
        <f>HYPERLINK("https://tessa.gazprom-neft.local/edo/card/c816cc72-6b9f-4d06-992d-e8b78b329981", "https://tessa.gazprom-neft.local/edo/card/c816cc72-6b9f-4d06-992d-e8b78b329981")</f>
        <v>https://tessa.gazprom-neft.local/edo/card/c816cc72-6b9f-4d06-992d-e8b78b329981</v>
      </c>
    </row>
    <row r="1465" spans="1:45" hidden="1" x14ac:dyDescent="0.25">
      <c r="A1465" s="6" t="s">
        <v>44</v>
      </c>
      <c r="B1465" s="7" t="s">
        <v>1843</v>
      </c>
      <c r="C1465" s="7" t="s">
        <v>67</v>
      </c>
      <c r="D1465" s="8">
        <v>44825</v>
      </c>
      <c r="E1465" s="8" t="s">
        <v>0</v>
      </c>
      <c r="F1465" s="16" t="s">
        <v>1844</v>
      </c>
      <c r="G1465" s="7" t="s">
        <v>1845</v>
      </c>
      <c r="H1465" s="7" t="s">
        <v>0</v>
      </c>
      <c r="I1465" s="7" t="s">
        <v>8768</v>
      </c>
      <c r="J1465" s="7" t="s">
        <v>8768</v>
      </c>
      <c r="K1465" s="7" t="s">
        <v>85</v>
      </c>
      <c r="L1465" s="7" t="s">
        <v>96</v>
      </c>
      <c r="M1465" s="7" t="s">
        <v>398</v>
      </c>
      <c r="N1465" s="7" t="s">
        <v>8767</v>
      </c>
      <c r="O1465" s="7" t="s">
        <v>0</v>
      </c>
      <c r="P1465" s="7" t="s">
        <v>8769</v>
      </c>
      <c r="Q1465" s="7" t="s">
        <v>402</v>
      </c>
      <c r="R1465" s="7" t="s">
        <v>361</v>
      </c>
      <c r="S1465" s="7" t="s">
        <v>361</v>
      </c>
      <c r="T1465" s="7" t="s">
        <v>54</v>
      </c>
      <c r="U1465" s="7" t="s">
        <v>294</v>
      </c>
      <c r="V1465" s="7" t="s">
        <v>295</v>
      </c>
      <c r="W1465" s="7" t="s">
        <v>74</v>
      </c>
      <c r="X1465" s="7" t="s">
        <v>103</v>
      </c>
      <c r="Y1465" s="8">
        <v>44825</v>
      </c>
      <c r="Z1465" s="8">
        <v>45565</v>
      </c>
      <c r="AA1465" s="7" t="s">
        <v>296</v>
      </c>
      <c r="AB1465" s="7" t="s">
        <v>366</v>
      </c>
      <c r="AC1465" s="7" t="s">
        <v>278</v>
      </c>
      <c r="AD1465" s="7" t="s">
        <v>367</v>
      </c>
      <c r="AE1465" s="7" t="s">
        <v>82</v>
      </c>
      <c r="AF1465" s="7" t="s">
        <v>0</v>
      </c>
      <c r="AG1465" s="7" t="s">
        <v>0</v>
      </c>
      <c r="AH1465" s="9" t="s">
        <v>13684</v>
      </c>
      <c r="AI1465" s="9" t="s">
        <v>13685</v>
      </c>
      <c r="AJ1465" s="9" t="s">
        <v>13686</v>
      </c>
      <c r="AK1465" s="7" t="s">
        <v>61</v>
      </c>
      <c r="AL1465" s="7" t="s">
        <v>61</v>
      </c>
      <c r="AM1465" s="7" t="s">
        <v>0</v>
      </c>
      <c r="AN1465" s="7" t="s">
        <v>0</v>
      </c>
      <c r="AO1465" s="7" t="s">
        <v>0</v>
      </c>
      <c r="AP1465" s="7" t="s">
        <v>0</v>
      </c>
      <c r="AQ1465" s="7" t="s">
        <v>61</v>
      </c>
      <c r="AR1465" s="7" t="s">
        <v>0</v>
      </c>
      <c r="AS1465" s="10" t="str">
        <f>HYPERLINK("https://tessa.gazprom-neft.local/edo/card/f48d8c50-73d9-40ba-a1a2-3ae321b0de62", "https://tessa.gazprom-neft.local/edo/card/f48d8c50-73d9-40ba-a1a2-3ae321b0de62")</f>
        <v>https://tessa.gazprom-neft.local/edo/card/f48d8c50-73d9-40ba-a1a2-3ae321b0de62</v>
      </c>
    </row>
    <row r="1466" spans="1:45" x14ac:dyDescent="0.25">
      <c r="A1466" s="6" t="s">
        <v>44</v>
      </c>
      <c r="B1466" s="7" t="s">
        <v>2993</v>
      </c>
      <c r="C1466" s="7" t="s">
        <v>67</v>
      </c>
      <c r="D1466" s="8">
        <v>44825</v>
      </c>
      <c r="E1466" s="8" t="s">
        <v>0</v>
      </c>
      <c r="F1466" s="16" t="s">
        <v>2994</v>
      </c>
      <c r="G1466" s="7" t="s">
        <v>2995</v>
      </c>
      <c r="H1466" s="7" t="s">
        <v>4197</v>
      </c>
      <c r="I1466" s="7" t="s">
        <v>0</v>
      </c>
      <c r="J1466" s="7" t="s">
        <v>51</v>
      </c>
      <c r="K1466" s="7" t="s">
        <v>47</v>
      </c>
      <c r="L1466" s="7" t="s">
        <v>48</v>
      </c>
      <c r="M1466" s="7" t="s">
        <v>0</v>
      </c>
      <c r="N1466" s="7" t="s">
        <v>8926</v>
      </c>
      <c r="O1466" s="7" t="s">
        <v>0</v>
      </c>
      <c r="P1466" s="7" t="s">
        <v>8927</v>
      </c>
      <c r="Q1466" s="7" t="s">
        <v>8928</v>
      </c>
      <c r="R1466" s="7" t="s">
        <v>898</v>
      </c>
      <c r="S1466" s="7" t="s">
        <v>898</v>
      </c>
      <c r="T1466" s="7" t="s">
        <v>54</v>
      </c>
      <c r="U1466" s="7" t="s">
        <v>899</v>
      </c>
      <c r="V1466" s="7" t="s">
        <v>126</v>
      </c>
      <c r="W1466" s="7" t="s">
        <v>57</v>
      </c>
      <c r="X1466" s="7" t="s">
        <v>103</v>
      </c>
      <c r="Y1466" s="8">
        <v>44825</v>
      </c>
      <c r="Z1466" s="8">
        <v>44886</v>
      </c>
      <c r="AA1466" s="7" t="s">
        <v>224</v>
      </c>
      <c r="AB1466" s="7" t="s">
        <v>1408</v>
      </c>
      <c r="AC1466" s="7" t="s">
        <v>65</v>
      </c>
      <c r="AD1466" s="7" t="s">
        <v>0</v>
      </c>
      <c r="AE1466" s="7" t="s">
        <v>0</v>
      </c>
      <c r="AF1466" s="7" t="s">
        <v>0</v>
      </c>
      <c r="AG1466" s="7" t="s">
        <v>0</v>
      </c>
      <c r="AH1466" s="9" t="s">
        <v>0</v>
      </c>
      <c r="AI1466" s="9" t="s">
        <v>0</v>
      </c>
      <c r="AJ1466" s="9" t="s">
        <v>0</v>
      </c>
      <c r="AK1466" s="7" t="s">
        <v>61</v>
      </c>
      <c r="AL1466" s="7" t="s">
        <v>61</v>
      </c>
      <c r="AM1466" s="7" t="s">
        <v>0</v>
      </c>
      <c r="AN1466" s="7" t="s">
        <v>0</v>
      </c>
      <c r="AO1466" s="7" t="s">
        <v>0</v>
      </c>
      <c r="AP1466" s="7" t="s">
        <v>0</v>
      </c>
      <c r="AQ1466" s="7" t="s">
        <v>61</v>
      </c>
      <c r="AR1466" s="7" t="s">
        <v>0</v>
      </c>
      <c r="AS1466" s="10" t="str">
        <f>HYPERLINK("https://tessa.gazprom-neft.local/edo/card/8e7e05fb-68c6-4885-a681-1c061fd0d3be", "https://tessa.gazprom-neft.local/edo/card/8e7e05fb-68c6-4885-a681-1c061fd0d3be")</f>
        <v>https://tessa.gazprom-neft.local/edo/card/8e7e05fb-68c6-4885-a681-1c061fd0d3be</v>
      </c>
    </row>
    <row r="1467" spans="1:45" hidden="1" x14ac:dyDescent="0.25">
      <c r="A1467" s="6" t="s">
        <v>44</v>
      </c>
      <c r="B1467" s="7" t="s">
        <v>4333</v>
      </c>
      <c r="C1467" s="7" t="s">
        <v>67</v>
      </c>
      <c r="D1467" s="8">
        <v>44825</v>
      </c>
      <c r="E1467" s="8" t="s">
        <v>0</v>
      </c>
      <c r="F1467" s="16" t="s">
        <v>4334</v>
      </c>
      <c r="G1467" s="7" t="s">
        <v>4335</v>
      </c>
      <c r="H1467" s="7" t="s">
        <v>0</v>
      </c>
      <c r="I1467" s="7" t="s">
        <v>9233</v>
      </c>
      <c r="J1467" s="7" t="s">
        <v>9233</v>
      </c>
      <c r="K1467" s="7" t="s">
        <v>85</v>
      </c>
      <c r="L1467" s="7" t="s">
        <v>86</v>
      </c>
      <c r="M1467" s="7" t="s">
        <v>289</v>
      </c>
      <c r="N1467" s="7" t="s">
        <v>9232</v>
      </c>
      <c r="O1467" s="7" t="s">
        <v>0</v>
      </c>
      <c r="P1467" s="7" t="s">
        <v>289</v>
      </c>
      <c r="Q1467" s="7" t="s">
        <v>372</v>
      </c>
      <c r="R1467" s="7" t="s">
        <v>1610</v>
      </c>
      <c r="S1467" s="7" t="s">
        <v>1610</v>
      </c>
      <c r="T1467" s="7" t="s">
        <v>54</v>
      </c>
      <c r="U1467" s="7" t="s">
        <v>101</v>
      </c>
      <c r="V1467" s="7" t="s">
        <v>340</v>
      </c>
      <c r="W1467" s="7" t="s">
        <v>57</v>
      </c>
      <c r="X1467" s="7" t="s">
        <v>103</v>
      </c>
      <c r="Y1467" s="8">
        <v>44838</v>
      </c>
      <c r="Z1467" s="8">
        <v>45777</v>
      </c>
      <c r="AA1467" s="7" t="s">
        <v>341</v>
      </c>
      <c r="AB1467" s="7" t="s">
        <v>300</v>
      </c>
      <c r="AC1467" s="7" t="s">
        <v>65</v>
      </c>
      <c r="AD1467" s="7" t="s">
        <v>0</v>
      </c>
      <c r="AE1467" s="7" t="s">
        <v>0</v>
      </c>
      <c r="AF1467" s="7" t="s">
        <v>0</v>
      </c>
      <c r="AG1467" s="7" t="s">
        <v>0</v>
      </c>
      <c r="AH1467" s="9" t="s">
        <v>0</v>
      </c>
      <c r="AI1467" s="9" t="s">
        <v>0</v>
      </c>
      <c r="AJ1467" s="9" t="s">
        <v>0</v>
      </c>
      <c r="AK1467" s="7" t="s">
        <v>61</v>
      </c>
      <c r="AL1467" s="7" t="s">
        <v>61</v>
      </c>
      <c r="AM1467" s="7" t="s">
        <v>0</v>
      </c>
      <c r="AN1467" s="7" t="s">
        <v>0</v>
      </c>
      <c r="AO1467" s="7" t="s">
        <v>0</v>
      </c>
      <c r="AP1467" s="7" t="s">
        <v>0</v>
      </c>
      <c r="AQ1467" s="7" t="s">
        <v>61</v>
      </c>
      <c r="AR1467" s="7" t="s">
        <v>0</v>
      </c>
      <c r="AS1467" s="10" t="str">
        <f>HYPERLINK("https://tessa.gazprom-neft.local/edo/card/1eaf81af-738c-45e3-9bbb-5afd2cd4a406", "https://tessa.gazprom-neft.local/edo/card/1eaf81af-738c-45e3-9bbb-5afd2cd4a406")</f>
        <v>https://tessa.gazprom-neft.local/edo/card/1eaf81af-738c-45e3-9bbb-5afd2cd4a406</v>
      </c>
    </row>
    <row r="1468" spans="1:45" hidden="1" x14ac:dyDescent="0.25">
      <c r="A1468" s="6" t="s">
        <v>44</v>
      </c>
      <c r="B1468" s="7" t="s">
        <v>4951</v>
      </c>
      <c r="C1468" s="7" t="s">
        <v>67</v>
      </c>
      <c r="D1468" s="8">
        <v>44824</v>
      </c>
      <c r="E1468" s="8" t="s">
        <v>0</v>
      </c>
      <c r="F1468" s="16" t="s">
        <v>4952</v>
      </c>
      <c r="G1468" s="7" t="s">
        <v>2497</v>
      </c>
      <c r="H1468" s="7" t="s">
        <v>0</v>
      </c>
      <c r="I1468" s="7" t="s">
        <v>2856</v>
      </c>
      <c r="J1468" s="7" t="s">
        <v>2856</v>
      </c>
      <c r="K1468" s="7" t="s">
        <v>85</v>
      </c>
      <c r="L1468" s="7" t="s">
        <v>96</v>
      </c>
      <c r="M1468" s="7" t="s">
        <v>8704</v>
      </c>
      <c r="N1468" s="7" t="s">
        <v>8705</v>
      </c>
      <c r="O1468" s="7" t="s">
        <v>0</v>
      </c>
      <c r="P1468" s="7" t="s">
        <v>8704</v>
      </c>
      <c r="Q1468" s="7" t="s">
        <v>8706</v>
      </c>
      <c r="R1468" s="7" t="s">
        <v>393</v>
      </c>
      <c r="S1468" s="7" t="s">
        <v>209</v>
      </c>
      <c r="T1468" s="7" t="s">
        <v>54</v>
      </c>
      <c r="U1468" s="7" t="s">
        <v>210</v>
      </c>
      <c r="V1468" s="7" t="s">
        <v>126</v>
      </c>
      <c r="W1468" s="7" t="s">
        <v>57</v>
      </c>
      <c r="X1468" s="7" t="s">
        <v>103</v>
      </c>
      <c r="Y1468" s="8">
        <v>44824</v>
      </c>
      <c r="Z1468" s="8">
        <v>46022</v>
      </c>
      <c r="AA1468" s="7" t="s">
        <v>224</v>
      </c>
      <c r="AB1468" s="7" t="s">
        <v>130</v>
      </c>
      <c r="AC1468" s="7" t="s">
        <v>79</v>
      </c>
      <c r="AD1468" s="7" t="s">
        <v>80</v>
      </c>
      <c r="AE1468" s="7" t="s">
        <v>82</v>
      </c>
      <c r="AF1468" s="7" t="s">
        <v>0</v>
      </c>
      <c r="AG1468" s="7" t="s">
        <v>8707</v>
      </c>
      <c r="AH1468" s="9" t="s">
        <v>13662</v>
      </c>
      <c r="AI1468" s="9" t="s">
        <v>13663</v>
      </c>
      <c r="AJ1468" s="9" t="s">
        <v>13664</v>
      </c>
      <c r="AK1468" s="7" t="s">
        <v>81</v>
      </c>
      <c r="AL1468" s="7" t="s">
        <v>61</v>
      </c>
      <c r="AM1468" s="7" t="s">
        <v>0</v>
      </c>
      <c r="AN1468" s="7" t="s">
        <v>0</v>
      </c>
      <c r="AO1468" s="7" t="s">
        <v>0</v>
      </c>
      <c r="AP1468" s="7" t="s">
        <v>0</v>
      </c>
      <c r="AQ1468" s="7" t="s">
        <v>61</v>
      </c>
      <c r="AR1468" s="7" t="s">
        <v>0</v>
      </c>
      <c r="AS1468" s="10" t="str">
        <f>HYPERLINK("https://tessa.gazprom-neft.local/edo/card/aa153a71-c475-442e-a69b-c7f2f32b1987", "https://tessa.gazprom-neft.local/edo/card/aa153a71-c475-442e-a69b-c7f2f32b1987")</f>
        <v>https://tessa.gazprom-neft.local/edo/card/aa153a71-c475-442e-a69b-c7f2f32b1987</v>
      </c>
    </row>
    <row r="1469" spans="1:45" hidden="1" x14ac:dyDescent="0.25">
      <c r="A1469" s="6" t="s">
        <v>44</v>
      </c>
      <c r="B1469" s="7" t="s">
        <v>4951</v>
      </c>
      <c r="C1469" s="7" t="s">
        <v>67</v>
      </c>
      <c r="D1469" s="8">
        <v>44824</v>
      </c>
      <c r="E1469" s="8" t="s">
        <v>0</v>
      </c>
      <c r="F1469" s="16" t="s">
        <v>4952</v>
      </c>
      <c r="G1469" s="7" t="s">
        <v>2497</v>
      </c>
      <c r="H1469" s="7" t="s">
        <v>0</v>
      </c>
      <c r="I1469" s="7" t="s">
        <v>3129</v>
      </c>
      <c r="J1469" s="7" t="s">
        <v>3129</v>
      </c>
      <c r="K1469" s="7" t="s">
        <v>85</v>
      </c>
      <c r="L1469" s="7" t="s">
        <v>96</v>
      </c>
      <c r="M1469" s="7" t="s">
        <v>8704</v>
      </c>
      <c r="N1469" s="7" t="s">
        <v>8712</v>
      </c>
      <c r="O1469" s="7" t="s">
        <v>0</v>
      </c>
      <c r="P1469" s="7" t="s">
        <v>8704</v>
      </c>
      <c r="Q1469" s="7" t="s">
        <v>8713</v>
      </c>
      <c r="R1469" s="7" t="s">
        <v>393</v>
      </c>
      <c r="S1469" s="7" t="s">
        <v>209</v>
      </c>
      <c r="T1469" s="7" t="s">
        <v>54</v>
      </c>
      <c r="U1469" s="7" t="s">
        <v>210</v>
      </c>
      <c r="V1469" s="7" t="s">
        <v>126</v>
      </c>
      <c r="W1469" s="7" t="s">
        <v>57</v>
      </c>
      <c r="X1469" s="7" t="s">
        <v>103</v>
      </c>
      <c r="Y1469" s="8">
        <v>44824</v>
      </c>
      <c r="Z1469" s="8">
        <v>46022</v>
      </c>
      <c r="AA1469" s="7" t="s">
        <v>224</v>
      </c>
      <c r="AB1469" s="7" t="s">
        <v>130</v>
      </c>
      <c r="AC1469" s="7" t="s">
        <v>79</v>
      </c>
      <c r="AD1469" s="7" t="s">
        <v>80</v>
      </c>
      <c r="AE1469" s="7" t="s">
        <v>82</v>
      </c>
      <c r="AF1469" s="7" t="s">
        <v>0</v>
      </c>
      <c r="AG1469" s="7" t="s">
        <v>8714</v>
      </c>
      <c r="AH1469" s="9" t="s">
        <v>13665</v>
      </c>
      <c r="AI1469" s="9" t="s">
        <v>13666</v>
      </c>
      <c r="AJ1469" s="9" t="s">
        <v>13667</v>
      </c>
      <c r="AK1469" s="7" t="s">
        <v>81</v>
      </c>
      <c r="AL1469" s="7" t="s">
        <v>61</v>
      </c>
      <c r="AM1469" s="7" t="s">
        <v>0</v>
      </c>
      <c r="AN1469" s="7" t="s">
        <v>0</v>
      </c>
      <c r="AO1469" s="7" t="s">
        <v>0</v>
      </c>
      <c r="AP1469" s="7" t="s">
        <v>0</v>
      </c>
      <c r="AQ1469" s="7" t="s">
        <v>61</v>
      </c>
      <c r="AR1469" s="7" t="s">
        <v>0</v>
      </c>
      <c r="AS1469" s="10" t="str">
        <f>HYPERLINK("https://tessa.gazprom-neft.local/edo/card/14156fcc-bdac-42ab-b461-2ed5c8b0f785", "https://tessa.gazprom-neft.local/edo/card/14156fcc-bdac-42ab-b461-2ed5c8b0f785")</f>
        <v>https://tessa.gazprom-neft.local/edo/card/14156fcc-bdac-42ab-b461-2ed5c8b0f785</v>
      </c>
    </row>
    <row r="1470" spans="1:45" hidden="1" x14ac:dyDescent="0.25">
      <c r="A1470" s="6" t="s">
        <v>44</v>
      </c>
      <c r="B1470" s="7" t="s">
        <v>4951</v>
      </c>
      <c r="C1470" s="7" t="s">
        <v>67</v>
      </c>
      <c r="D1470" s="8">
        <v>44824</v>
      </c>
      <c r="E1470" s="8" t="s">
        <v>0</v>
      </c>
      <c r="F1470" s="16" t="s">
        <v>4952</v>
      </c>
      <c r="G1470" s="7" t="s">
        <v>2497</v>
      </c>
      <c r="H1470" s="7" t="s">
        <v>0</v>
      </c>
      <c r="I1470" s="7" t="s">
        <v>8728</v>
      </c>
      <c r="J1470" s="7" t="s">
        <v>8728</v>
      </c>
      <c r="K1470" s="7" t="s">
        <v>85</v>
      </c>
      <c r="L1470" s="7" t="s">
        <v>86</v>
      </c>
      <c r="M1470" s="7" t="s">
        <v>83</v>
      </c>
      <c r="N1470" s="7" t="s">
        <v>8727</v>
      </c>
      <c r="O1470" s="7" t="s">
        <v>0</v>
      </c>
      <c r="P1470" s="7" t="s">
        <v>83</v>
      </c>
      <c r="Q1470" s="7" t="s">
        <v>8729</v>
      </c>
      <c r="R1470" s="7" t="s">
        <v>393</v>
      </c>
      <c r="S1470" s="7" t="s">
        <v>209</v>
      </c>
      <c r="T1470" s="7" t="s">
        <v>54</v>
      </c>
      <c r="U1470" s="7" t="s">
        <v>210</v>
      </c>
      <c r="V1470" s="7" t="s">
        <v>91</v>
      </c>
      <c r="W1470" s="7" t="s">
        <v>57</v>
      </c>
      <c r="X1470" s="7" t="s">
        <v>223</v>
      </c>
      <c r="Y1470" s="8">
        <v>44824</v>
      </c>
      <c r="Z1470" s="8" t="s">
        <v>0</v>
      </c>
      <c r="AA1470" s="7" t="s">
        <v>92</v>
      </c>
      <c r="AB1470" s="7" t="s">
        <v>94</v>
      </c>
      <c r="AC1470" s="7" t="s">
        <v>65</v>
      </c>
      <c r="AD1470" s="7" t="s">
        <v>0</v>
      </c>
      <c r="AE1470" s="7" t="s">
        <v>0</v>
      </c>
      <c r="AF1470" s="7" t="s">
        <v>0</v>
      </c>
      <c r="AG1470" s="7" t="s">
        <v>0</v>
      </c>
      <c r="AH1470" s="9" t="s">
        <v>0</v>
      </c>
      <c r="AI1470" s="9" t="s">
        <v>0</v>
      </c>
      <c r="AJ1470" s="9" t="s">
        <v>0</v>
      </c>
      <c r="AK1470" s="7" t="s">
        <v>61</v>
      </c>
      <c r="AL1470" s="7" t="s">
        <v>61</v>
      </c>
      <c r="AM1470" s="7" t="s">
        <v>0</v>
      </c>
      <c r="AN1470" s="7" t="s">
        <v>0</v>
      </c>
      <c r="AO1470" s="7" t="s">
        <v>0</v>
      </c>
      <c r="AP1470" s="7" t="s">
        <v>0</v>
      </c>
      <c r="AQ1470" s="7" t="s">
        <v>61</v>
      </c>
      <c r="AR1470" s="7" t="s">
        <v>0</v>
      </c>
      <c r="AS1470" s="10" t="str">
        <f>HYPERLINK("https://tessa.gazprom-neft.local/edo/card/1414565b-b3d5-47df-9d94-4b647820e383", "https://tessa.gazprom-neft.local/edo/card/1414565b-b3d5-47df-9d94-4b647820e383")</f>
        <v>https://tessa.gazprom-neft.local/edo/card/1414565b-b3d5-47df-9d94-4b647820e383</v>
      </c>
    </row>
    <row r="1471" spans="1:45" hidden="1" x14ac:dyDescent="0.25">
      <c r="A1471" s="6" t="s">
        <v>44</v>
      </c>
      <c r="B1471" s="7" t="s">
        <v>4951</v>
      </c>
      <c r="C1471" s="7" t="s">
        <v>67</v>
      </c>
      <c r="D1471" s="8">
        <v>44824</v>
      </c>
      <c r="E1471" s="8" t="s">
        <v>0</v>
      </c>
      <c r="F1471" s="16" t="s">
        <v>4952</v>
      </c>
      <c r="G1471" s="7" t="s">
        <v>2497</v>
      </c>
      <c r="H1471" s="7" t="s">
        <v>0</v>
      </c>
      <c r="I1471" s="7" t="s">
        <v>8887</v>
      </c>
      <c r="J1471" s="7" t="s">
        <v>8887</v>
      </c>
      <c r="K1471" s="7" t="s">
        <v>47</v>
      </c>
      <c r="L1471" s="7" t="s">
        <v>86</v>
      </c>
      <c r="M1471" s="7" t="s">
        <v>0</v>
      </c>
      <c r="N1471" s="7" t="s">
        <v>8886</v>
      </c>
      <c r="O1471" s="7" t="s">
        <v>0</v>
      </c>
      <c r="P1471" s="7" t="s">
        <v>8888</v>
      </c>
      <c r="Q1471" s="7" t="s">
        <v>8889</v>
      </c>
      <c r="R1471" s="7" t="s">
        <v>393</v>
      </c>
      <c r="S1471" s="7" t="s">
        <v>209</v>
      </c>
      <c r="T1471" s="7" t="s">
        <v>54</v>
      </c>
      <c r="U1471" s="7" t="s">
        <v>210</v>
      </c>
      <c r="V1471" s="7" t="s">
        <v>126</v>
      </c>
      <c r="W1471" s="7" t="s">
        <v>57</v>
      </c>
      <c r="X1471" s="7" t="s">
        <v>223</v>
      </c>
      <c r="Y1471" s="8">
        <v>46021</v>
      </c>
      <c r="Z1471" s="8" t="s">
        <v>0</v>
      </c>
      <c r="AA1471" s="7" t="s">
        <v>224</v>
      </c>
      <c r="AB1471" s="7" t="s">
        <v>139</v>
      </c>
      <c r="AC1471" s="7" t="s">
        <v>65</v>
      </c>
      <c r="AD1471" s="7" t="s">
        <v>0</v>
      </c>
      <c r="AE1471" s="7" t="s">
        <v>0</v>
      </c>
      <c r="AF1471" s="7" t="s">
        <v>0</v>
      </c>
      <c r="AG1471" s="7" t="s">
        <v>0</v>
      </c>
      <c r="AH1471" s="9" t="s">
        <v>0</v>
      </c>
      <c r="AI1471" s="9" t="s">
        <v>0</v>
      </c>
      <c r="AJ1471" s="9" t="s">
        <v>0</v>
      </c>
      <c r="AK1471" s="7" t="s">
        <v>61</v>
      </c>
      <c r="AL1471" s="7" t="s">
        <v>61</v>
      </c>
      <c r="AM1471" s="7" t="s">
        <v>0</v>
      </c>
      <c r="AN1471" s="7" t="s">
        <v>0</v>
      </c>
      <c r="AO1471" s="7" t="s">
        <v>0</v>
      </c>
      <c r="AP1471" s="7" t="s">
        <v>0</v>
      </c>
      <c r="AQ1471" s="7" t="s">
        <v>61</v>
      </c>
      <c r="AR1471" s="7" t="s">
        <v>0</v>
      </c>
      <c r="AS1471" s="10" t="str">
        <f>HYPERLINK("https://tessa.gazprom-neft.local/edo/card/d8c3ef36-9e27-4c08-b763-26a585b37054", "https://tessa.gazprom-neft.local/edo/card/d8c3ef36-9e27-4c08-b763-26a585b37054")</f>
        <v>https://tessa.gazprom-neft.local/edo/card/d8c3ef36-9e27-4c08-b763-26a585b37054</v>
      </c>
    </row>
    <row r="1472" spans="1:45" hidden="1" x14ac:dyDescent="0.25">
      <c r="A1472" s="6" t="s">
        <v>44</v>
      </c>
      <c r="B1472" s="7" t="s">
        <v>0</v>
      </c>
      <c r="C1472" s="7" t="s">
        <v>218</v>
      </c>
      <c r="D1472" s="8">
        <v>44824</v>
      </c>
      <c r="E1472" s="8" t="s">
        <v>0</v>
      </c>
      <c r="F1472" s="16" t="s">
        <v>0</v>
      </c>
      <c r="G1472" s="7" t="s">
        <v>0</v>
      </c>
      <c r="H1472" s="7" t="s">
        <v>9015</v>
      </c>
      <c r="I1472" s="7" t="s">
        <v>0</v>
      </c>
      <c r="J1472" s="7" t="s">
        <v>271</v>
      </c>
      <c r="K1472" s="7" t="s">
        <v>47</v>
      </c>
      <c r="L1472" s="7" t="s">
        <v>239</v>
      </c>
      <c r="M1472" s="7" t="s">
        <v>0</v>
      </c>
      <c r="N1472" s="7" t="s">
        <v>9014</v>
      </c>
      <c r="O1472" s="7" t="s">
        <v>0</v>
      </c>
      <c r="P1472" s="7" t="s">
        <v>9016</v>
      </c>
      <c r="Q1472" s="7" t="s">
        <v>7828</v>
      </c>
      <c r="R1472" s="7" t="s">
        <v>891</v>
      </c>
      <c r="S1472" s="7" t="s">
        <v>891</v>
      </c>
      <c r="T1472" s="7" t="s">
        <v>54</v>
      </c>
      <c r="U1472" s="7" t="s">
        <v>892</v>
      </c>
      <c r="V1472" s="7" t="s">
        <v>56</v>
      </c>
      <c r="W1472" s="7" t="s">
        <v>57</v>
      </c>
      <c r="X1472" s="7" t="s">
        <v>103</v>
      </c>
      <c r="Y1472" s="8">
        <v>44824</v>
      </c>
      <c r="Z1472" s="8">
        <v>44926</v>
      </c>
      <c r="AA1472" s="7" t="s">
        <v>59</v>
      </c>
      <c r="AB1472" s="7" t="s">
        <v>0</v>
      </c>
      <c r="AC1472" s="7" t="s">
        <v>79</v>
      </c>
      <c r="AD1472" s="7" t="s">
        <v>0</v>
      </c>
      <c r="AE1472" s="7" t="s">
        <v>0</v>
      </c>
      <c r="AF1472" s="7" t="s">
        <v>0</v>
      </c>
      <c r="AG1472" s="7" t="s">
        <v>0</v>
      </c>
      <c r="AH1472" s="9" t="s">
        <v>0</v>
      </c>
      <c r="AI1472" s="9" t="s">
        <v>0</v>
      </c>
      <c r="AJ1472" s="9" t="s">
        <v>0</v>
      </c>
      <c r="AK1472" s="7" t="s">
        <v>61</v>
      </c>
      <c r="AL1472" s="7" t="s">
        <v>61</v>
      </c>
      <c r="AM1472" s="7" t="s">
        <v>0</v>
      </c>
      <c r="AN1472" s="7" t="s">
        <v>0</v>
      </c>
      <c r="AO1472" s="7" t="s">
        <v>0</v>
      </c>
      <c r="AP1472" s="7" t="s">
        <v>0</v>
      </c>
      <c r="AQ1472" s="7" t="s">
        <v>61</v>
      </c>
      <c r="AR1472" s="7" t="s">
        <v>0</v>
      </c>
      <c r="AS1472" s="10" t="str">
        <f>HYPERLINK("https://tessa.gazprom-neft.local/edo/card/a12b90dc-5131-449a-98d2-82de789f6af1", "https://tessa.gazprom-neft.local/edo/card/a12b90dc-5131-449a-98d2-82de789f6af1")</f>
        <v>https://tessa.gazprom-neft.local/edo/card/a12b90dc-5131-449a-98d2-82de789f6af1</v>
      </c>
    </row>
    <row r="1473" spans="1:45" hidden="1" x14ac:dyDescent="0.25">
      <c r="A1473" s="6" t="s">
        <v>44</v>
      </c>
      <c r="B1473" s="7" t="s">
        <v>1712</v>
      </c>
      <c r="C1473" s="7" t="s">
        <v>67</v>
      </c>
      <c r="D1473" s="8">
        <v>44823</v>
      </c>
      <c r="E1473" s="8" t="s">
        <v>0</v>
      </c>
      <c r="F1473" s="16" t="s">
        <v>1713</v>
      </c>
      <c r="G1473" s="7" t="s">
        <v>1714</v>
      </c>
      <c r="H1473" s="7" t="s">
        <v>1707</v>
      </c>
      <c r="I1473" s="7" t="s">
        <v>0</v>
      </c>
      <c r="J1473" s="7" t="s">
        <v>156</v>
      </c>
      <c r="K1473" s="7" t="s">
        <v>47</v>
      </c>
      <c r="L1473" s="7" t="s">
        <v>239</v>
      </c>
      <c r="M1473" s="7" t="s">
        <v>0</v>
      </c>
      <c r="N1473" s="7" t="s">
        <v>8854</v>
      </c>
      <c r="O1473" s="7" t="s">
        <v>0</v>
      </c>
      <c r="P1473" s="7" t="s">
        <v>1707</v>
      </c>
      <c r="Q1473" s="7" t="s">
        <v>1710</v>
      </c>
      <c r="R1473" s="7" t="s">
        <v>1711</v>
      </c>
      <c r="S1473" s="7" t="s">
        <v>1711</v>
      </c>
      <c r="T1473" s="7" t="s">
        <v>54</v>
      </c>
      <c r="U1473" s="7" t="s">
        <v>605</v>
      </c>
      <c r="V1473" s="7" t="s">
        <v>126</v>
      </c>
      <c r="W1473" s="7" t="s">
        <v>57</v>
      </c>
      <c r="X1473" s="7" t="s">
        <v>103</v>
      </c>
      <c r="Y1473" s="8">
        <v>44823</v>
      </c>
      <c r="Z1473" s="8">
        <v>44926</v>
      </c>
      <c r="AA1473" s="7" t="s">
        <v>224</v>
      </c>
      <c r="AB1473" s="7" t="s">
        <v>64</v>
      </c>
      <c r="AC1473" s="7" t="s">
        <v>79</v>
      </c>
      <c r="AD1473" s="7" t="s">
        <v>144</v>
      </c>
      <c r="AE1473" s="7" t="s">
        <v>118</v>
      </c>
      <c r="AF1473" s="7" t="s">
        <v>0</v>
      </c>
      <c r="AG1473" s="7" t="s">
        <v>0</v>
      </c>
      <c r="AH1473" s="9" t="s">
        <v>13714</v>
      </c>
      <c r="AI1473" s="9" t="s">
        <v>13714</v>
      </c>
      <c r="AJ1473" s="9">
        <v>0</v>
      </c>
      <c r="AK1473" s="7" t="s">
        <v>61</v>
      </c>
      <c r="AL1473" s="7" t="s">
        <v>61</v>
      </c>
      <c r="AM1473" s="7" t="s">
        <v>0</v>
      </c>
      <c r="AN1473" s="7" t="s">
        <v>0</v>
      </c>
      <c r="AO1473" s="7" t="s">
        <v>0</v>
      </c>
      <c r="AP1473" s="7" t="s">
        <v>0</v>
      </c>
      <c r="AQ1473" s="7" t="s">
        <v>61</v>
      </c>
      <c r="AR1473" s="7" t="s">
        <v>0</v>
      </c>
      <c r="AS1473" s="10" t="str">
        <f>HYPERLINK("https://tessa.gazprom-neft.local/edo/card/4537a739-e8cd-4a9a-b91a-3dec5418a0ae", "https://tessa.gazprom-neft.local/edo/card/4537a739-e8cd-4a9a-b91a-3dec5418a0ae")</f>
        <v>https://tessa.gazprom-neft.local/edo/card/4537a739-e8cd-4a9a-b91a-3dec5418a0ae</v>
      </c>
    </row>
    <row r="1474" spans="1:45" hidden="1" x14ac:dyDescent="0.25">
      <c r="A1474" s="6" t="s">
        <v>44</v>
      </c>
      <c r="B1474" s="7" t="s">
        <v>363</v>
      </c>
      <c r="C1474" s="7" t="s">
        <v>67</v>
      </c>
      <c r="D1474" s="8">
        <v>44823</v>
      </c>
      <c r="E1474" s="8" t="s">
        <v>0</v>
      </c>
      <c r="F1474" s="16" t="s">
        <v>364</v>
      </c>
      <c r="G1474" s="7" t="s">
        <v>365</v>
      </c>
      <c r="H1474" s="7" t="s">
        <v>0</v>
      </c>
      <c r="I1474" s="7" t="s">
        <v>8859</v>
      </c>
      <c r="J1474" s="7" t="s">
        <v>8859</v>
      </c>
      <c r="K1474" s="7" t="s">
        <v>85</v>
      </c>
      <c r="L1474" s="7" t="s">
        <v>86</v>
      </c>
      <c r="M1474" s="7" t="s">
        <v>83</v>
      </c>
      <c r="N1474" s="7" t="s">
        <v>8858</v>
      </c>
      <c r="O1474" s="7" t="s">
        <v>0</v>
      </c>
      <c r="P1474" s="7" t="s">
        <v>83</v>
      </c>
      <c r="Q1474" s="7" t="s">
        <v>8327</v>
      </c>
      <c r="R1474" s="7" t="s">
        <v>338</v>
      </c>
      <c r="S1474" s="7" t="s">
        <v>506</v>
      </c>
      <c r="T1474" s="7" t="s">
        <v>54</v>
      </c>
      <c r="U1474" s="7" t="s">
        <v>55</v>
      </c>
      <c r="V1474" s="7" t="s">
        <v>91</v>
      </c>
      <c r="W1474" s="7" t="s">
        <v>74</v>
      </c>
      <c r="X1474" s="7" t="s">
        <v>223</v>
      </c>
      <c r="Y1474" s="8">
        <v>44823</v>
      </c>
      <c r="Z1474" s="8" t="s">
        <v>0</v>
      </c>
      <c r="AA1474" s="7" t="s">
        <v>92</v>
      </c>
      <c r="AB1474" s="7" t="s">
        <v>94</v>
      </c>
      <c r="AC1474" s="7" t="s">
        <v>65</v>
      </c>
      <c r="AD1474" s="7" t="s">
        <v>0</v>
      </c>
      <c r="AE1474" s="7" t="s">
        <v>0</v>
      </c>
      <c r="AF1474" s="7" t="s">
        <v>0</v>
      </c>
      <c r="AG1474" s="7" t="s">
        <v>0</v>
      </c>
      <c r="AH1474" s="9" t="s">
        <v>0</v>
      </c>
      <c r="AI1474" s="9" t="s">
        <v>0</v>
      </c>
      <c r="AJ1474" s="9" t="s">
        <v>0</v>
      </c>
      <c r="AK1474" s="7" t="s">
        <v>61</v>
      </c>
      <c r="AL1474" s="7" t="s">
        <v>61</v>
      </c>
      <c r="AM1474" s="7" t="s">
        <v>0</v>
      </c>
      <c r="AN1474" s="7" t="s">
        <v>0</v>
      </c>
      <c r="AO1474" s="7" t="s">
        <v>0</v>
      </c>
      <c r="AP1474" s="7" t="s">
        <v>0</v>
      </c>
      <c r="AQ1474" s="7" t="s">
        <v>61</v>
      </c>
      <c r="AR1474" s="7" t="s">
        <v>0</v>
      </c>
      <c r="AS1474" s="10" t="str">
        <f>HYPERLINK("https://tessa.gazprom-neft.local/edo/card/5b27bd72-3239-4dfe-aa6c-0090485123dd", "https://tessa.gazprom-neft.local/edo/card/5b27bd72-3239-4dfe-aa6c-0090485123dd")</f>
        <v>https://tessa.gazprom-neft.local/edo/card/5b27bd72-3239-4dfe-aa6c-0090485123dd</v>
      </c>
    </row>
    <row r="1475" spans="1:45" hidden="1" x14ac:dyDescent="0.25">
      <c r="A1475" s="6" t="s">
        <v>44</v>
      </c>
      <c r="B1475" s="7" t="s">
        <v>3273</v>
      </c>
      <c r="C1475" s="7" t="s">
        <v>67</v>
      </c>
      <c r="D1475" s="8">
        <v>44823</v>
      </c>
      <c r="E1475" s="8" t="s">
        <v>0</v>
      </c>
      <c r="F1475" s="16" t="s">
        <v>3274</v>
      </c>
      <c r="G1475" s="7" t="s">
        <v>3275</v>
      </c>
      <c r="H1475" s="7" t="s">
        <v>0</v>
      </c>
      <c r="I1475" s="7" t="s">
        <v>8933</v>
      </c>
      <c r="J1475" s="7" t="s">
        <v>8933</v>
      </c>
      <c r="K1475" s="7" t="s">
        <v>47</v>
      </c>
      <c r="L1475" s="7" t="s">
        <v>86</v>
      </c>
      <c r="M1475" s="7" t="s">
        <v>0</v>
      </c>
      <c r="N1475" s="7" t="s">
        <v>8932</v>
      </c>
      <c r="O1475" s="7" t="s">
        <v>0</v>
      </c>
      <c r="P1475" s="7" t="s">
        <v>8359</v>
      </c>
      <c r="Q1475" s="7" t="s">
        <v>8359</v>
      </c>
      <c r="R1475" s="7" t="s">
        <v>3144</v>
      </c>
      <c r="S1475" s="7" t="s">
        <v>3144</v>
      </c>
      <c r="T1475" s="7" t="s">
        <v>54</v>
      </c>
      <c r="U1475" s="7" t="s">
        <v>899</v>
      </c>
      <c r="V1475" s="7" t="s">
        <v>91</v>
      </c>
      <c r="W1475" s="7" t="s">
        <v>74</v>
      </c>
      <c r="X1475" s="7" t="s">
        <v>103</v>
      </c>
      <c r="Y1475" s="8">
        <v>44823</v>
      </c>
      <c r="Z1475" s="8">
        <v>46022</v>
      </c>
      <c r="AA1475" s="7" t="s">
        <v>92</v>
      </c>
      <c r="AB1475" s="7" t="s">
        <v>139</v>
      </c>
      <c r="AC1475" s="7" t="s">
        <v>65</v>
      </c>
      <c r="AD1475" s="7" t="s">
        <v>0</v>
      </c>
      <c r="AE1475" s="7" t="s">
        <v>0</v>
      </c>
      <c r="AF1475" s="7" t="s">
        <v>0</v>
      </c>
      <c r="AG1475" s="7" t="s">
        <v>0</v>
      </c>
      <c r="AH1475" s="9" t="s">
        <v>0</v>
      </c>
      <c r="AI1475" s="9" t="s">
        <v>0</v>
      </c>
      <c r="AJ1475" s="9" t="s">
        <v>0</v>
      </c>
      <c r="AK1475" s="7" t="s">
        <v>61</v>
      </c>
      <c r="AL1475" s="7" t="s">
        <v>61</v>
      </c>
      <c r="AM1475" s="7" t="s">
        <v>0</v>
      </c>
      <c r="AN1475" s="7" t="s">
        <v>0</v>
      </c>
      <c r="AO1475" s="7" t="s">
        <v>0</v>
      </c>
      <c r="AP1475" s="7" t="s">
        <v>0</v>
      </c>
      <c r="AQ1475" s="7" t="s">
        <v>61</v>
      </c>
      <c r="AR1475" s="7" t="s">
        <v>0</v>
      </c>
      <c r="AS1475" s="10" t="str">
        <f>HYPERLINK("https://tessa.gazprom-neft.local/edo/card/946caafe-a83c-4aab-94f4-360f355fb8dc", "https://tessa.gazprom-neft.local/edo/card/946caafe-a83c-4aab-94f4-360f355fb8dc")</f>
        <v>https://tessa.gazprom-neft.local/edo/card/946caafe-a83c-4aab-94f4-360f355fb8dc</v>
      </c>
    </row>
    <row r="1476" spans="1:45" x14ac:dyDescent="0.25">
      <c r="A1476" s="6" t="s">
        <v>44</v>
      </c>
      <c r="B1476" s="7" t="s">
        <v>1775</v>
      </c>
      <c r="C1476" s="7" t="s">
        <v>67</v>
      </c>
      <c r="D1476" s="8">
        <v>44820</v>
      </c>
      <c r="E1476" s="8" t="s">
        <v>0</v>
      </c>
      <c r="F1476" s="16" t="s">
        <v>1776</v>
      </c>
      <c r="G1476" s="7" t="s">
        <v>1777</v>
      </c>
      <c r="H1476" s="7" t="s">
        <v>1771</v>
      </c>
      <c r="I1476" s="7" t="s">
        <v>0</v>
      </c>
      <c r="J1476" s="7" t="s">
        <v>51</v>
      </c>
      <c r="K1476" s="7" t="s">
        <v>47</v>
      </c>
      <c r="L1476" s="7" t="s">
        <v>48</v>
      </c>
      <c r="M1476" s="7" t="s">
        <v>0</v>
      </c>
      <c r="N1476" s="7" t="s">
        <v>8757</v>
      </c>
      <c r="O1476" s="7" t="s">
        <v>0</v>
      </c>
      <c r="P1476" s="7" t="s">
        <v>8758</v>
      </c>
      <c r="Q1476" s="7" t="s">
        <v>8759</v>
      </c>
      <c r="R1476" s="7" t="s">
        <v>1774</v>
      </c>
      <c r="S1476" s="7" t="s">
        <v>1774</v>
      </c>
      <c r="T1476" s="7" t="s">
        <v>54</v>
      </c>
      <c r="U1476" s="7" t="s">
        <v>307</v>
      </c>
      <c r="V1476" s="7" t="s">
        <v>126</v>
      </c>
      <c r="W1476" s="7" t="s">
        <v>57</v>
      </c>
      <c r="X1476" s="7" t="s">
        <v>103</v>
      </c>
      <c r="Y1476" s="8">
        <v>44820</v>
      </c>
      <c r="Z1476" s="8">
        <v>45291</v>
      </c>
      <c r="AA1476" s="7" t="s">
        <v>224</v>
      </c>
      <c r="AB1476" s="7" t="s">
        <v>130</v>
      </c>
      <c r="AC1476" s="7" t="s">
        <v>65</v>
      </c>
      <c r="AD1476" s="7" t="s">
        <v>0</v>
      </c>
      <c r="AE1476" s="7" t="s">
        <v>0</v>
      </c>
      <c r="AF1476" s="7" t="s">
        <v>0</v>
      </c>
      <c r="AG1476" s="7" t="s">
        <v>0</v>
      </c>
      <c r="AH1476" s="9" t="s">
        <v>0</v>
      </c>
      <c r="AI1476" s="9" t="s">
        <v>0</v>
      </c>
      <c r="AJ1476" s="9" t="s">
        <v>0</v>
      </c>
      <c r="AK1476" s="7" t="s">
        <v>61</v>
      </c>
      <c r="AL1476" s="7" t="s">
        <v>61</v>
      </c>
      <c r="AM1476" s="7" t="s">
        <v>0</v>
      </c>
      <c r="AN1476" s="7" t="s">
        <v>0</v>
      </c>
      <c r="AO1476" s="7" t="s">
        <v>0</v>
      </c>
      <c r="AP1476" s="7" t="s">
        <v>0</v>
      </c>
      <c r="AQ1476" s="7" t="s">
        <v>61</v>
      </c>
      <c r="AR1476" s="7" t="s">
        <v>0</v>
      </c>
      <c r="AS1476" s="10" t="str">
        <f>HYPERLINK("https://tessa.gazprom-neft.local/edo/card/6e801bfa-08d9-40c8-8c92-3b73550dc943", "https://tessa.gazprom-neft.local/edo/card/6e801bfa-08d9-40c8-8c92-3b73550dc943")</f>
        <v>https://tessa.gazprom-neft.local/edo/card/6e801bfa-08d9-40c8-8c92-3b73550dc943</v>
      </c>
    </row>
    <row r="1477" spans="1:45" x14ac:dyDescent="0.25">
      <c r="A1477" s="6" t="s">
        <v>44</v>
      </c>
      <c r="B1477" s="7" t="s">
        <v>3073</v>
      </c>
      <c r="C1477" s="7" t="s">
        <v>67</v>
      </c>
      <c r="D1477" s="8">
        <v>44820</v>
      </c>
      <c r="E1477" s="8" t="s">
        <v>0</v>
      </c>
      <c r="F1477" s="16" t="s">
        <v>3074</v>
      </c>
      <c r="G1477" s="7" t="s">
        <v>3075</v>
      </c>
      <c r="H1477" s="7" t="s">
        <v>3107</v>
      </c>
      <c r="I1477" s="7" t="s">
        <v>0</v>
      </c>
      <c r="J1477" s="7" t="s">
        <v>8809</v>
      </c>
      <c r="K1477" s="7" t="s">
        <v>47</v>
      </c>
      <c r="L1477" s="7" t="s">
        <v>48</v>
      </c>
      <c r="M1477" s="7" t="s">
        <v>0</v>
      </c>
      <c r="N1477" s="7" t="s">
        <v>8807</v>
      </c>
      <c r="O1477" s="7" t="s">
        <v>0</v>
      </c>
      <c r="P1477" s="7" t="s">
        <v>8808</v>
      </c>
      <c r="Q1477" s="7" t="s">
        <v>8810</v>
      </c>
      <c r="R1477" s="7" t="s">
        <v>135</v>
      </c>
      <c r="S1477" s="7" t="s">
        <v>0</v>
      </c>
      <c r="T1477" s="7" t="s">
        <v>54</v>
      </c>
      <c r="U1477" s="7" t="s">
        <v>136</v>
      </c>
      <c r="V1477" s="7" t="s">
        <v>102</v>
      </c>
      <c r="W1477" s="7" t="s">
        <v>57</v>
      </c>
      <c r="X1477" s="7" t="s">
        <v>103</v>
      </c>
      <c r="Y1477" s="8">
        <v>44762</v>
      </c>
      <c r="Z1477" s="8">
        <v>44926</v>
      </c>
      <c r="AA1477" s="7" t="s">
        <v>104</v>
      </c>
      <c r="AB1477" s="7" t="s">
        <v>64</v>
      </c>
      <c r="AC1477" s="7" t="s">
        <v>65</v>
      </c>
      <c r="AD1477" s="7" t="s">
        <v>0</v>
      </c>
      <c r="AE1477" s="7" t="s">
        <v>0</v>
      </c>
      <c r="AF1477" s="7" t="s">
        <v>0</v>
      </c>
      <c r="AG1477" s="7" t="s">
        <v>0</v>
      </c>
      <c r="AH1477" s="9" t="s">
        <v>0</v>
      </c>
      <c r="AI1477" s="9" t="s">
        <v>0</v>
      </c>
      <c r="AJ1477" s="9" t="s">
        <v>0</v>
      </c>
      <c r="AK1477" s="7" t="s">
        <v>61</v>
      </c>
      <c r="AL1477" s="7" t="s">
        <v>61</v>
      </c>
      <c r="AM1477" s="7" t="s">
        <v>0</v>
      </c>
      <c r="AN1477" s="7" t="s">
        <v>0</v>
      </c>
      <c r="AO1477" s="7" t="s">
        <v>0</v>
      </c>
      <c r="AP1477" s="7" t="s">
        <v>0</v>
      </c>
      <c r="AQ1477" s="7" t="s">
        <v>61</v>
      </c>
      <c r="AR1477" s="7" t="s">
        <v>0</v>
      </c>
      <c r="AS1477" s="10" t="str">
        <f>HYPERLINK("https://tessa.gazprom-neft.local/edo/card/17c8da0f-704c-4507-bbcb-788cf9ee04cd", "https://tessa.gazprom-neft.local/edo/card/17c8da0f-704c-4507-bbcb-788cf9ee04cd")</f>
        <v>https://tessa.gazprom-neft.local/edo/card/17c8da0f-704c-4507-bbcb-788cf9ee04cd</v>
      </c>
    </row>
    <row r="1478" spans="1:45" x14ac:dyDescent="0.25">
      <c r="A1478" s="6" t="s">
        <v>44</v>
      </c>
      <c r="B1478" s="7" t="s">
        <v>1576</v>
      </c>
      <c r="C1478" s="7" t="s">
        <v>67</v>
      </c>
      <c r="D1478" s="8">
        <v>44819</v>
      </c>
      <c r="E1478" s="8" t="s">
        <v>0</v>
      </c>
      <c r="F1478" s="16" t="s">
        <v>1577</v>
      </c>
      <c r="G1478" s="7" t="s">
        <v>1578</v>
      </c>
      <c r="H1478" s="7" t="s">
        <v>2604</v>
      </c>
      <c r="I1478" s="7" t="s">
        <v>0</v>
      </c>
      <c r="J1478" s="7" t="s">
        <v>156</v>
      </c>
      <c r="K1478" s="7" t="s">
        <v>47</v>
      </c>
      <c r="L1478" s="7" t="s">
        <v>48</v>
      </c>
      <c r="M1478" s="7" t="s">
        <v>0</v>
      </c>
      <c r="N1478" s="7" t="s">
        <v>2603</v>
      </c>
      <c r="O1478" s="7" t="s">
        <v>0</v>
      </c>
      <c r="P1478" s="7" t="s">
        <v>2605</v>
      </c>
      <c r="Q1478" s="7" t="s">
        <v>2606</v>
      </c>
      <c r="R1478" s="7" t="s">
        <v>1575</v>
      </c>
      <c r="S1478" s="7" t="s">
        <v>1575</v>
      </c>
      <c r="T1478" s="7" t="s">
        <v>54</v>
      </c>
      <c r="U1478" s="7" t="s">
        <v>222</v>
      </c>
      <c r="V1478" s="7" t="s">
        <v>846</v>
      </c>
      <c r="W1478" s="7" t="s">
        <v>74</v>
      </c>
      <c r="X1478" s="7" t="s">
        <v>58</v>
      </c>
      <c r="Y1478" s="8">
        <v>44819</v>
      </c>
      <c r="Z1478" s="8" t="s">
        <v>0</v>
      </c>
      <c r="AA1478" s="7" t="s">
        <v>847</v>
      </c>
      <c r="AB1478" s="7" t="s">
        <v>387</v>
      </c>
      <c r="AC1478" s="7" t="s">
        <v>79</v>
      </c>
      <c r="AD1478" s="7" t="s">
        <v>80</v>
      </c>
      <c r="AE1478" s="7" t="s">
        <v>82</v>
      </c>
      <c r="AF1478" s="7" t="s">
        <v>0</v>
      </c>
      <c r="AG1478" s="7" t="s">
        <v>0</v>
      </c>
      <c r="AH1478" s="9" t="s">
        <v>11402</v>
      </c>
      <c r="AI1478" s="9" t="s">
        <v>11403</v>
      </c>
      <c r="AJ1478" s="9" t="s">
        <v>11404</v>
      </c>
      <c r="AK1478" s="7" t="s">
        <v>61</v>
      </c>
      <c r="AL1478" s="7" t="s">
        <v>61</v>
      </c>
      <c r="AM1478" s="7" t="s">
        <v>0</v>
      </c>
      <c r="AN1478" s="7" t="s">
        <v>0</v>
      </c>
      <c r="AO1478" s="7" t="s">
        <v>0</v>
      </c>
      <c r="AP1478" s="7" t="s">
        <v>0</v>
      </c>
      <c r="AQ1478" s="7" t="s">
        <v>61</v>
      </c>
      <c r="AR1478" s="7" t="s">
        <v>0</v>
      </c>
      <c r="AS1478" s="10" t="str">
        <f>HYPERLINK("https://tessa.gazprom-neft.local/edo/card/08d887a0-aec3-4b18-a9f3-6a30dd6326d8", "https://tessa.gazprom-neft.local/edo/card/08d887a0-aec3-4b18-a9f3-6a30dd6326d8")</f>
        <v>https://tessa.gazprom-neft.local/edo/card/08d887a0-aec3-4b18-a9f3-6a30dd6326d8</v>
      </c>
    </row>
    <row r="1479" spans="1:45" hidden="1" x14ac:dyDescent="0.25">
      <c r="A1479" s="6" t="s">
        <v>44</v>
      </c>
      <c r="B1479" s="7" t="s">
        <v>363</v>
      </c>
      <c r="C1479" s="7" t="s">
        <v>46</v>
      </c>
      <c r="D1479" s="8">
        <v>44819</v>
      </c>
      <c r="E1479" s="8" t="s">
        <v>0</v>
      </c>
      <c r="F1479" s="16" t="s">
        <v>364</v>
      </c>
      <c r="G1479" s="7" t="s">
        <v>365</v>
      </c>
      <c r="H1479" s="7" t="s">
        <v>0</v>
      </c>
      <c r="I1479" s="7" t="s">
        <v>8718</v>
      </c>
      <c r="J1479" s="7" t="s">
        <v>8718</v>
      </c>
      <c r="K1479" s="7" t="s">
        <v>85</v>
      </c>
      <c r="L1479" s="7" t="s">
        <v>86</v>
      </c>
      <c r="M1479" s="7" t="s">
        <v>289</v>
      </c>
      <c r="N1479" s="7" t="s">
        <v>8717</v>
      </c>
      <c r="O1479" s="7" t="s">
        <v>0</v>
      </c>
      <c r="P1479" s="7" t="s">
        <v>289</v>
      </c>
      <c r="Q1479" s="7" t="s">
        <v>8719</v>
      </c>
      <c r="R1479" s="7" t="s">
        <v>338</v>
      </c>
      <c r="S1479" s="7" t="s">
        <v>506</v>
      </c>
      <c r="T1479" s="7" t="s">
        <v>54</v>
      </c>
      <c r="U1479" s="7" t="s">
        <v>55</v>
      </c>
      <c r="V1479" s="7" t="s">
        <v>917</v>
      </c>
      <c r="W1479" s="7" t="s">
        <v>74</v>
      </c>
      <c r="X1479" s="7" t="s">
        <v>223</v>
      </c>
      <c r="Y1479" s="8">
        <v>44819</v>
      </c>
      <c r="Z1479" s="8" t="s">
        <v>0</v>
      </c>
      <c r="AA1479" s="7" t="s">
        <v>1278</v>
      </c>
      <c r="AB1479" s="7" t="s">
        <v>300</v>
      </c>
      <c r="AC1479" s="7" t="s">
        <v>65</v>
      </c>
      <c r="AD1479" s="7" t="s">
        <v>0</v>
      </c>
      <c r="AE1479" s="7" t="s">
        <v>0</v>
      </c>
      <c r="AF1479" s="7" t="s">
        <v>0</v>
      </c>
      <c r="AG1479" s="7" t="s">
        <v>0</v>
      </c>
      <c r="AH1479" s="9" t="s">
        <v>0</v>
      </c>
      <c r="AI1479" s="9" t="s">
        <v>0</v>
      </c>
      <c r="AJ1479" s="9" t="s">
        <v>0</v>
      </c>
      <c r="AK1479" s="7" t="s">
        <v>61</v>
      </c>
      <c r="AL1479" s="7" t="s">
        <v>61</v>
      </c>
      <c r="AM1479" s="7" t="s">
        <v>0</v>
      </c>
      <c r="AN1479" s="7" t="s">
        <v>0</v>
      </c>
      <c r="AO1479" s="7" t="s">
        <v>0</v>
      </c>
      <c r="AP1479" s="7" t="s">
        <v>0</v>
      </c>
      <c r="AQ1479" s="7" t="s">
        <v>61</v>
      </c>
      <c r="AR1479" s="7" t="s">
        <v>0</v>
      </c>
      <c r="AS1479" s="10" t="str">
        <f>HYPERLINK("https://tessa.gazprom-neft.local/edo/card/ab7c174d-8843-4254-a5a7-9ece89fdc452", "https://tessa.gazprom-neft.local/edo/card/ab7c174d-8843-4254-a5a7-9ece89fdc452")</f>
        <v>https://tessa.gazprom-neft.local/edo/card/ab7c174d-8843-4254-a5a7-9ece89fdc452</v>
      </c>
    </row>
    <row r="1480" spans="1:45" x14ac:dyDescent="0.25">
      <c r="A1480" s="6" t="s">
        <v>44</v>
      </c>
      <c r="B1480" s="7" t="s">
        <v>3273</v>
      </c>
      <c r="C1480" s="7" t="s">
        <v>67</v>
      </c>
      <c r="D1480" s="8">
        <v>44819</v>
      </c>
      <c r="E1480" s="8" t="s">
        <v>0</v>
      </c>
      <c r="F1480" s="16" t="s">
        <v>3274</v>
      </c>
      <c r="G1480" s="7" t="s">
        <v>3275</v>
      </c>
      <c r="H1480" s="7" t="s">
        <v>3565</v>
      </c>
      <c r="I1480" s="7" t="s">
        <v>0</v>
      </c>
      <c r="J1480" s="7" t="s">
        <v>51</v>
      </c>
      <c r="K1480" s="7" t="s">
        <v>47</v>
      </c>
      <c r="L1480" s="7" t="s">
        <v>48</v>
      </c>
      <c r="M1480" s="7" t="s">
        <v>0</v>
      </c>
      <c r="N1480" s="7" t="s">
        <v>8832</v>
      </c>
      <c r="O1480" s="7" t="s">
        <v>0</v>
      </c>
      <c r="P1480" s="7" t="s">
        <v>8833</v>
      </c>
      <c r="Q1480" s="7" t="s">
        <v>8834</v>
      </c>
      <c r="R1480" s="7" t="s">
        <v>5423</v>
      </c>
      <c r="S1480" s="7" t="s">
        <v>3144</v>
      </c>
      <c r="T1480" s="7" t="s">
        <v>54</v>
      </c>
      <c r="U1480" s="7" t="s">
        <v>199</v>
      </c>
      <c r="V1480" s="7" t="s">
        <v>56</v>
      </c>
      <c r="W1480" s="7" t="s">
        <v>74</v>
      </c>
      <c r="X1480" s="7" t="s">
        <v>103</v>
      </c>
      <c r="Y1480" s="8">
        <v>44819</v>
      </c>
      <c r="Z1480" s="8">
        <v>45291</v>
      </c>
      <c r="AA1480" s="7" t="s">
        <v>0</v>
      </c>
      <c r="AB1480" s="7" t="s">
        <v>130</v>
      </c>
      <c r="AC1480" s="7" t="s">
        <v>65</v>
      </c>
      <c r="AD1480" s="7" t="s">
        <v>80</v>
      </c>
      <c r="AE1480" s="7" t="s">
        <v>0</v>
      </c>
      <c r="AF1480" s="7" t="s">
        <v>0</v>
      </c>
      <c r="AG1480" s="7" t="s">
        <v>0</v>
      </c>
      <c r="AH1480" s="9" t="s">
        <v>0</v>
      </c>
      <c r="AI1480" s="9" t="s">
        <v>0</v>
      </c>
      <c r="AJ1480" s="9" t="s">
        <v>0</v>
      </c>
      <c r="AK1480" s="7" t="s">
        <v>61</v>
      </c>
      <c r="AL1480" s="7" t="s">
        <v>61</v>
      </c>
      <c r="AM1480" s="7" t="s">
        <v>0</v>
      </c>
      <c r="AN1480" s="7" t="s">
        <v>0</v>
      </c>
      <c r="AO1480" s="7" t="s">
        <v>0</v>
      </c>
      <c r="AP1480" s="7" t="s">
        <v>0</v>
      </c>
      <c r="AQ1480" s="7" t="s">
        <v>61</v>
      </c>
      <c r="AR1480" s="7" t="s">
        <v>0</v>
      </c>
      <c r="AS1480" s="10" t="str">
        <f>HYPERLINK("https://tessa.gazprom-neft.local/edo/card/eea56d94-f2eb-46f7-8516-784e4ee317f0", "https://tessa.gazprom-neft.local/edo/card/eea56d94-f2eb-46f7-8516-784e4ee317f0")</f>
        <v>https://tessa.gazprom-neft.local/edo/card/eea56d94-f2eb-46f7-8516-784e4ee317f0</v>
      </c>
    </row>
    <row r="1481" spans="1:45" x14ac:dyDescent="0.25">
      <c r="A1481" s="6" t="s">
        <v>44</v>
      </c>
      <c r="B1481" s="7" t="s">
        <v>1657</v>
      </c>
      <c r="C1481" s="7" t="s">
        <v>67</v>
      </c>
      <c r="D1481" s="8">
        <v>44819</v>
      </c>
      <c r="E1481" s="8" t="s">
        <v>0</v>
      </c>
      <c r="F1481" s="16" t="s">
        <v>1658</v>
      </c>
      <c r="G1481" s="7" t="s">
        <v>1659</v>
      </c>
      <c r="H1481" s="7" t="s">
        <v>1826</v>
      </c>
      <c r="I1481" s="7" t="s">
        <v>0</v>
      </c>
      <c r="J1481" s="7" t="s">
        <v>51</v>
      </c>
      <c r="K1481" s="7" t="s">
        <v>85</v>
      </c>
      <c r="L1481" s="7" t="s">
        <v>48</v>
      </c>
      <c r="M1481" s="7" t="s">
        <v>5649</v>
      </c>
      <c r="N1481" s="7" t="s">
        <v>8841</v>
      </c>
      <c r="O1481" s="7" t="s">
        <v>0</v>
      </c>
      <c r="P1481" s="7" t="s">
        <v>5649</v>
      </c>
      <c r="Q1481" s="7" t="s">
        <v>8842</v>
      </c>
      <c r="R1481" s="7" t="s">
        <v>1655</v>
      </c>
      <c r="S1481" s="7" t="s">
        <v>1655</v>
      </c>
      <c r="T1481" s="7" t="s">
        <v>54</v>
      </c>
      <c r="U1481" s="7" t="s">
        <v>307</v>
      </c>
      <c r="V1481" s="7" t="s">
        <v>917</v>
      </c>
      <c r="W1481" s="7" t="s">
        <v>74</v>
      </c>
      <c r="X1481" s="7" t="s">
        <v>58</v>
      </c>
      <c r="Y1481" s="8">
        <v>44819</v>
      </c>
      <c r="Z1481" s="8" t="s">
        <v>0</v>
      </c>
      <c r="AA1481" s="7" t="s">
        <v>1278</v>
      </c>
      <c r="AB1481" s="7" t="s">
        <v>130</v>
      </c>
      <c r="AC1481" s="7" t="s">
        <v>65</v>
      </c>
      <c r="AD1481" s="7" t="s">
        <v>80</v>
      </c>
      <c r="AE1481" s="7" t="s">
        <v>0</v>
      </c>
      <c r="AF1481" s="7" t="s">
        <v>0</v>
      </c>
      <c r="AG1481" s="7" t="s">
        <v>0</v>
      </c>
      <c r="AH1481" s="9" t="s">
        <v>0</v>
      </c>
      <c r="AI1481" s="9" t="s">
        <v>0</v>
      </c>
      <c r="AJ1481" s="9" t="s">
        <v>0</v>
      </c>
      <c r="AK1481" s="7" t="s">
        <v>61</v>
      </c>
      <c r="AL1481" s="7" t="s">
        <v>61</v>
      </c>
      <c r="AM1481" s="7" t="s">
        <v>0</v>
      </c>
      <c r="AN1481" s="7" t="s">
        <v>0</v>
      </c>
      <c r="AO1481" s="7" t="s">
        <v>0</v>
      </c>
      <c r="AP1481" s="7" t="s">
        <v>0</v>
      </c>
      <c r="AQ1481" s="7" t="s">
        <v>61</v>
      </c>
      <c r="AR1481" s="7" t="s">
        <v>0</v>
      </c>
      <c r="AS1481" s="10" t="str">
        <f>HYPERLINK("https://tessa.gazprom-neft.local/edo/card/b3a61774-14cd-4f8e-bde8-8ae48ae8daea", "https://tessa.gazprom-neft.local/edo/card/b3a61774-14cd-4f8e-bde8-8ae48ae8daea")</f>
        <v>https://tessa.gazprom-neft.local/edo/card/b3a61774-14cd-4f8e-bde8-8ae48ae8daea</v>
      </c>
    </row>
    <row r="1482" spans="1:45" x14ac:dyDescent="0.25">
      <c r="A1482" s="6" t="s">
        <v>44</v>
      </c>
      <c r="B1482" s="7" t="s">
        <v>1552</v>
      </c>
      <c r="C1482" s="7" t="s">
        <v>67</v>
      </c>
      <c r="D1482" s="8">
        <v>44819</v>
      </c>
      <c r="E1482" s="8" t="s">
        <v>0</v>
      </c>
      <c r="F1482" s="16" t="s">
        <v>1553</v>
      </c>
      <c r="G1482" s="7" t="s">
        <v>1554</v>
      </c>
      <c r="H1482" s="7" t="s">
        <v>1548</v>
      </c>
      <c r="I1482" s="7" t="s">
        <v>0</v>
      </c>
      <c r="J1482" s="7" t="s">
        <v>955</v>
      </c>
      <c r="K1482" s="7" t="s">
        <v>47</v>
      </c>
      <c r="L1482" s="7" t="s">
        <v>48</v>
      </c>
      <c r="M1482" s="7" t="s">
        <v>0</v>
      </c>
      <c r="N1482" s="7" t="s">
        <v>8863</v>
      </c>
      <c r="O1482" s="7" t="s">
        <v>0</v>
      </c>
      <c r="P1482" s="7" t="s">
        <v>8864</v>
      </c>
      <c r="Q1482" s="7" t="s">
        <v>8865</v>
      </c>
      <c r="R1482" s="7" t="s">
        <v>6771</v>
      </c>
      <c r="S1482" s="7" t="s">
        <v>8866</v>
      </c>
      <c r="T1482" s="7" t="s">
        <v>54</v>
      </c>
      <c r="U1482" s="7" t="s">
        <v>44</v>
      </c>
      <c r="V1482" s="7" t="s">
        <v>137</v>
      </c>
      <c r="W1482" s="7" t="s">
        <v>57</v>
      </c>
      <c r="X1482" s="7" t="s">
        <v>58</v>
      </c>
      <c r="Y1482" s="8">
        <v>44819</v>
      </c>
      <c r="Z1482" s="8" t="s">
        <v>0</v>
      </c>
      <c r="AA1482" s="7" t="s">
        <v>0</v>
      </c>
      <c r="AB1482" s="7" t="s">
        <v>130</v>
      </c>
      <c r="AC1482" s="7" t="s">
        <v>65</v>
      </c>
      <c r="AD1482" s="7" t="s">
        <v>0</v>
      </c>
      <c r="AE1482" s="7" t="s">
        <v>0</v>
      </c>
      <c r="AF1482" s="7" t="s">
        <v>0</v>
      </c>
      <c r="AG1482" s="7" t="s">
        <v>0</v>
      </c>
      <c r="AH1482" s="9" t="s">
        <v>0</v>
      </c>
      <c r="AI1482" s="9" t="s">
        <v>0</v>
      </c>
      <c r="AJ1482" s="9" t="s">
        <v>0</v>
      </c>
      <c r="AK1482" s="7" t="s">
        <v>61</v>
      </c>
      <c r="AL1482" s="7" t="s">
        <v>61</v>
      </c>
      <c r="AM1482" s="7" t="s">
        <v>0</v>
      </c>
      <c r="AN1482" s="7" t="s">
        <v>0</v>
      </c>
      <c r="AO1482" s="7" t="s">
        <v>0</v>
      </c>
      <c r="AP1482" s="7" t="s">
        <v>0</v>
      </c>
      <c r="AQ1482" s="7" t="s">
        <v>61</v>
      </c>
      <c r="AR1482" s="7" t="s">
        <v>0</v>
      </c>
      <c r="AS1482" s="10" t="str">
        <f>HYPERLINK("https://tessa.gazprom-neft.local/edo/card/7e639415-a2d6-4f57-aa65-f8007bb1bfe7", "https://tessa.gazprom-neft.local/edo/card/7e639415-a2d6-4f57-aa65-f8007bb1bfe7")</f>
        <v>https://tessa.gazprom-neft.local/edo/card/7e639415-a2d6-4f57-aa65-f8007bb1bfe7</v>
      </c>
    </row>
    <row r="1483" spans="1:45" hidden="1" x14ac:dyDescent="0.25">
      <c r="A1483" s="6" t="s">
        <v>44</v>
      </c>
      <c r="B1483" s="7" t="s">
        <v>1165</v>
      </c>
      <c r="C1483" s="7" t="s">
        <v>67</v>
      </c>
      <c r="D1483" s="8">
        <v>44818</v>
      </c>
      <c r="E1483" s="8" t="s">
        <v>0</v>
      </c>
      <c r="F1483" s="16" t="s">
        <v>1166</v>
      </c>
      <c r="G1483" s="7" t="s">
        <v>1167</v>
      </c>
      <c r="H1483" s="7" t="s">
        <v>3465</v>
      </c>
      <c r="I1483" s="7" t="s">
        <v>0</v>
      </c>
      <c r="J1483" s="7" t="s">
        <v>8905</v>
      </c>
      <c r="K1483" s="7" t="s">
        <v>47</v>
      </c>
      <c r="L1483" s="7" t="s">
        <v>239</v>
      </c>
      <c r="M1483" s="7" t="s">
        <v>0</v>
      </c>
      <c r="N1483" s="7" t="s">
        <v>8903</v>
      </c>
      <c r="O1483" s="7" t="s">
        <v>0</v>
      </c>
      <c r="P1483" s="7" t="s">
        <v>8904</v>
      </c>
      <c r="Q1483" s="7" t="s">
        <v>8906</v>
      </c>
      <c r="R1483" s="7" t="s">
        <v>244</v>
      </c>
      <c r="S1483" s="7" t="s">
        <v>0</v>
      </c>
      <c r="T1483" s="7" t="s">
        <v>54</v>
      </c>
      <c r="U1483" s="7" t="s">
        <v>55</v>
      </c>
      <c r="V1483" s="7" t="s">
        <v>56</v>
      </c>
      <c r="W1483" s="7" t="s">
        <v>57</v>
      </c>
      <c r="X1483" s="7" t="s">
        <v>103</v>
      </c>
      <c r="Y1483" s="8">
        <v>44818</v>
      </c>
      <c r="Z1483" s="8">
        <v>44925</v>
      </c>
      <c r="AA1483" s="7" t="s">
        <v>59</v>
      </c>
      <c r="AB1483" s="7" t="s">
        <v>256</v>
      </c>
      <c r="AC1483" s="7" t="s">
        <v>79</v>
      </c>
      <c r="AD1483" s="7" t="s">
        <v>144</v>
      </c>
      <c r="AE1483" s="7" t="s">
        <v>82</v>
      </c>
      <c r="AF1483" s="7" t="s">
        <v>0</v>
      </c>
      <c r="AG1483" s="7" t="s">
        <v>0</v>
      </c>
      <c r="AH1483" s="9" t="s">
        <v>13740</v>
      </c>
      <c r="AI1483" s="9" t="s">
        <v>13741</v>
      </c>
      <c r="AJ1483" s="9" t="s">
        <v>13742</v>
      </c>
      <c r="AK1483" s="7" t="s">
        <v>61</v>
      </c>
      <c r="AL1483" s="7" t="s">
        <v>61</v>
      </c>
      <c r="AM1483" s="7" t="s">
        <v>0</v>
      </c>
      <c r="AN1483" s="7" t="s">
        <v>0</v>
      </c>
      <c r="AO1483" s="7" t="s">
        <v>0</v>
      </c>
      <c r="AP1483" s="7" t="s">
        <v>0</v>
      </c>
      <c r="AQ1483" s="7" t="s">
        <v>61</v>
      </c>
      <c r="AR1483" s="7" t="s">
        <v>0</v>
      </c>
      <c r="AS1483" s="10" t="str">
        <f>HYPERLINK("https://tessa.gazprom-neft.local/edo/card/dfd50388-8200-49aa-8bda-d8716e34cfea", "https://tessa.gazprom-neft.local/edo/card/dfd50388-8200-49aa-8bda-d8716e34cfea")</f>
        <v>https://tessa.gazprom-neft.local/edo/card/dfd50388-8200-49aa-8bda-d8716e34cfea</v>
      </c>
    </row>
    <row r="1484" spans="1:45" hidden="1" x14ac:dyDescent="0.25">
      <c r="A1484" s="6" t="s">
        <v>44</v>
      </c>
      <c r="B1484" s="7" t="s">
        <v>8517</v>
      </c>
      <c r="C1484" s="7" t="s">
        <v>46</v>
      </c>
      <c r="D1484" s="8">
        <v>44817</v>
      </c>
      <c r="E1484" s="8" t="s">
        <v>0</v>
      </c>
      <c r="F1484" s="16" t="s">
        <v>8518</v>
      </c>
      <c r="G1484" s="7" t="s">
        <v>8519</v>
      </c>
      <c r="H1484" s="7" t="s">
        <v>0</v>
      </c>
      <c r="I1484" s="7" t="s">
        <v>8514</v>
      </c>
      <c r="J1484" s="7" t="s">
        <v>8514</v>
      </c>
      <c r="K1484" s="7" t="s">
        <v>47</v>
      </c>
      <c r="L1484" s="7" t="s">
        <v>96</v>
      </c>
      <c r="M1484" s="7" t="s">
        <v>0</v>
      </c>
      <c r="N1484" s="7" t="s">
        <v>8513</v>
      </c>
      <c r="O1484" s="7" t="s">
        <v>0</v>
      </c>
      <c r="P1484" s="7" t="s">
        <v>8515</v>
      </c>
      <c r="Q1484" s="7" t="s">
        <v>8516</v>
      </c>
      <c r="R1484" s="7" t="s">
        <v>1610</v>
      </c>
      <c r="S1484" s="7" t="s">
        <v>1610</v>
      </c>
      <c r="T1484" s="7" t="s">
        <v>54</v>
      </c>
      <c r="U1484" s="7" t="s">
        <v>101</v>
      </c>
      <c r="V1484" s="7" t="s">
        <v>137</v>
      </c>
      <c r="W1484" s="7" t="s">
        <v>57</v>
      </c>
      <c r="X1484" s="7" t="s">
        <v>103</v>
      </c>
      <c r="Y1484" s="8">
        <v>44831</v>
      </c>
      <c r="Z1484" s="8">
        <v>44834</v>
      </c>
      <c r="AA1484" s="7" t="s">
        <v>0</v>
      </c>
      <c r="AB1484" s="7" t="s">
        <v>64</v>
      </c>
      <c r="AC1484" s="7" t="s">
        <v>79</v>
      </c>
      <c r="AD1484" s="7" t="s">
        <v>80</v>
      </c>
      <c r="AE1484" s="7" t="s">
        <v>82</v>
      </c>
      <c r="AF1484" s="7" t="s">
        <v>0</v>
      </c>
      <c r="AG1484" s="7" t="s">
        <v>0</v>
      </c>
      <c r="AH1484" s="9" t="s">
        <v>13579</v>
      </c>
      <c r="AI1484" s="9" t="s">
        <v>13580</v>
      </c>
      <c r="AJ1484" s="9" t="s">
        <v>13581</v>
      </c>
      <c r="AK1484" s="7" t="s">
        <v>61</v>
      </c>
      <c r="AL1484" s="7" t="s">
        <v>61</v>
      </c>
      <c r="AM1484" s="7" t="s">
        <v>0</v>
      </c>
      <c r="AN1484" s="7" t="s">
        <v>0</v>
      </c>
      <c r="AO1484" s="7" t="s">
        <v>0</v>
      </c>
      <c r="AP1484" s="7" t="s">
        <v>0</v>
      </c>
      <c r="AQ1484" s="7" t="s">
        <v>61</v>
      </c>
      <c r="AR1484" s="7" t="s">
        <v>0</v>
      </c>
      <c r="AS1484" s="10" t="str">
        <f>HYPERLINK("https://tessa.gazprom-neft.local/edo/card/f47d8a55-5ad2-4dd5-95e2-c3c8851dcb4d", "https://tessa.gazprom-neft.local/edo/card/f47d8a55-5ad2-4dd5-95e2-c3c8851dcb4d")</f>
        <v>https://tessa.gazprom-neft.local/edo/card/f47d8a55-5ad2-4dd5-95e2-c3c8851dcb4d</v>
      </c>
    </row>
    <row r="1485" spans="1:45" hidden="1" x14ac:dyDescent="0.25">
      <c r="A1485" s="6" t="s">
        <v>44</v>
      </c>
      <c r="B1485" s="7" t="s">
        <v>971</v>
      </c>
      <c r="C1485" s="7" t="s">
        <v>67</v>
      </c>
      <c r="D1485" s="8">
        <v>44817</v>
      </c>
      <c r="E1485" s="8" t="s">
        <v>0</v>
      </c>
      <c r="F1485" s="16" t="s">
        <v>972</v>
      </c>
      <c r="G1485" s="7" t="s">
        <v>973</v>
      </c>
      <c r="H1485" s="7" t="s">
        <v>0</v>
      </c>
      <c r="I1485" s="7" t="s">
        <v>1006</v>
      </c>
      <c r="J1485" s="7" t="s">
        <v>1006</v>
      </c>
      <c r="K1485" s="7" t="s">
        <v>85</v>
      </c>
      <c r="L1485" s="7" t="s">
        <v>96</v>
      </c>
      <c r="M1485" s="7" t="s">
        <v>8590</v>
      </c>
      <c r="N1485" s="7" t="s">
        <v>8591</v>
      </c>
      <c r="O1485" s="7" t="s">
        <v>0</v>
      </c>
      <c r="P1485" s="7" t="s">
        <v>8590</v>
      </c>
      <c r="Q1485" s="7" t="s">
        <v>8592</v>
      </c>
      <c r="R1485" s="7" t="s">
        <v>338</v>
      </c>
      <c r="S1485" s="7" t="s">
        <v>339</v>
      </c>
      <c r="T1485" s="7" t="s">
        <v>54</v>
      </c>
      <c r="U1485" s="7" t="s">
        <v>303</v>
      </c>
      <c r="V1485" s="7" t="s">
        <v>917</v>
      </c>
      <c r="W1485" s="7" t="s">
        <v>74</v>
      </c>
      <c r="X1485" s="7" t="s">
        <v>103</v>
      </c>
      <c r="Y1485" s="8">
        <v>44817</v>
      </c>
      <c r="Z1485" s="8">
        <v>45199</v>
      </c>
      <c r="AA1485" s="7" t="s">
        <v>1278</v>
      </c>
      <c r="AB1485" s="7" t="s">
        <v>64</v>
      </c>
      <c r="AC1485" s="7" t="s">
        <v>79</v>
      </c>
      <c r="AD1485" s="7" t="s">
        <v>80</v>
      </c>
      <c r="AE1485" s="7" t="s">
        <v>82</v>
      </c>
      <c r="AF1485" s="7" t="s">
        <v>0</v>
      </c>
      <c r="AG1485" s="7" t="s">
        <v>8593</v>
      </c>
      <c r="AH1485" s="9" t="s">
        <v>13606</v>
      </c>
      <c r="AI1485" s="9" t="s">
        <v>13607</v>
      </c>
      <c r="AJ1485" s="9" t="s">
        <v>13608</v>
      </c>
      <c r="AK1485" s="7" t="s">
        <v>81</v>
      </c>
      <c r="AL1485" s="7" t="s">
        <v>61</v>
      </c>
      <c r="AM1485" s="7" t="s">
        <v>0</v>
      </c>
      <c r="AN1485" s="7" t="s">
        <v>0</v>
      </c>
      <c r="AO1485" s="7" t="s">
        <v>0</v>
      </c>
      <c r="AP1485" s="7" t="s">
        <v>0</v>
      </c>
      <c r="AQ1485" s="7" t="s">
        <v>61</v>
      </c>
      <c r="AR1485" s="7" t="s">
        <v>0</v>
      </c>
      <c r="AS1485" s="10" t="str">
        <f>HYPERLINK("https://tessa.gazprom-neft.local/edo/card/40326cf5-796b-46c3-8e86-32f4c75933ad", "https://tessa.gazprom-neft.local/edo/card/40326cf5-796b-46c3-8e86-32f4c75933ad")</f>
        <v>https://tessa.gazprom-neft.local/edo/card/40326cf5-796b-46c3-8e86-32f4c75933ad</v>
      </c>
    </row>
    <row r="1486" spans="1:45" hidden="1" x14ac:dyDescent="0.25">
      <c r="A1486" s="6" t="s">
        <v>44</v>
      </c>
      <c r="B1486" s="7" t="s">
        <v>542</v>
      </c>
      <c r="C1486" s="7" t="s">
        <v>67</v>
      </c>
      <c r="D1486" s="8">
        <v>44817</v>
      </c>
      <c r="E1486" s="8" t="s">
        <v>0</v>
      </c>
      <c r="F1486" s="16" t="s">
        <v>543</v>
      </c>
      <c r="G1486" s="7" t="s">
        <v>544</v>
      </c>
      <c r="H1486" s="7" t="s">
        <v>536</v>
      </c>
      <c r="I1486" s="7" t="s">
        <v>0</v>
      </c>
      <c r="J1486" s="7" t="s">
        <v>2508</v>
      </c>
      <c r="K1486" s="7" t="s">
        <v>47</v>
      </c>
      <c r="L1486" s="7" t="s">
        <v>239</v>
      </c>
      <c r="M1486" s="7" t="s">
        <v>0</v>
      </c>
      <c r="N1486" s="7" t="s">
        <v>9227</v>
      </c>
      <c r="O1486" s="7" t="s">
        <v>0</v>
      </c>
      <c r="P1486" s="7" t="s">
        <v>9228</v>
      </c>
      <c r="Q1486" s="7" t="s">
        <v>9229</v>
      </c>
      <c r="R1486" s="7" t="s">
        <v>540</v>
      </c>
      <c r="S1486" s="7" t="s">
        <v>0</v>
      </c>
      <c r="T1486" s="7" t="s">
        <v>54</v>
      </c>
      <c r="U1486" s="7" t="s">
        <v>541</v>
      </c>
      <c r="V1486" s="7" t="s">
        <v>56</v>
      </c>
      <c r="W1486" s="7" t="s">
        <v>57</v>
      </c>
      <c r="X1486" s="7" t="s">
        <v>103</v>
      </c>
      <c r="Y1486" s="8">
        <v>44817</v>
      </c>
      <c r="Z1486" s="8">
        <v>45041</v>
      </c>
      <c r="AA1486" s="7" t="s">
        <v>59</v>
      </c>
      <c r="AB1486" s="7" t="s">
        <v>545</v>
      </c>
      <c r="AC1486" s="7" t="s">
        <v>79</v>
      </c>
      <c r="AD1486" s="7" t="s">
        <v>144</v>
      </c>
      <c r="AE1486" s="7" t="s">
        <v>82</v>
      </c>
      <c r="AF1486" s="7" t="s">
        <v>0</v>
      </c>
      <c r="AG1486" s="7" t="s">
        <v>0</v>
      </c>
      <c r="AH1486" s="9" t="s">
        <v>13847</v>
      </c>
      <c r="AI1486" s="9" t="s">
        <v>13848</v>
      </c>
      <c r="AJ1486" s="9" t="s">
        <v>13849</v>
      </c>
      <c r="AK1486" s="7" t="s">
        <v>61</v>
      </c>
      <c r="AL1486" s="7" t="s">
        <v>61</v>
      </c>
      <c r="AM1486" s="7" t="s">
        <v>0</v>
      </c>
      <c r="AN1486" s="7" t="s">
        <v>0</v>
      </c>
      <c r="AO1486" s="7" t="s">
        <v>0</v>
      </c>
      <c r="AP1486" s="7" t="s">
        <v>0</v>
      </c>
      <c r="AQ1486" s="7" t="s">
        <v>61</v>
      </c>
      <c r="AR1486" s="7" t="s">
        <v>0</v>
      </c>
      <c r="AS1486" s="10" t="str">
        <f>HYPERLINK("https://tessa.gazprom-neft.local/edo/card/d911d93a-4f1c-4991-8c94-4f904ceed8ee", "https://tessa.gazprom-neft.local/edo/card/d911d93a-4f1c-4991-8c94-4f904ceed8ee")</f>
        <v>https://tessa.gazprom-neft.local/edo/card/d911d93a-4f1c-4991-8c94-4f904ceed8ee</v>
      </c>
    </row>
    <row r="1487" spans="1:45" hidden="1" x14ac:dyDescent="0.25">
      <c r="A1487" s="6" t="s">
        <v>44</v>
      </c>
      <c r="B1487" s="7" t="s">
        <v>1165</v>
      </c>
      <c r="C1487" s="7" t="s">
        <v>67</v>
      </c>
      <c r="D1487" s="8">
        <v>44816</v>
      </c>
      <c r="E1487" s="8" t="s">
        <v>0</v>
      </c>
      <c r="F1487" s="16" t="s">
        <v>1166</v>
      </c>
      <c r="G1487" s="7" t="s">
        <v>1167</v>
      </c>
      <c r="H1487" s="7" t="s">
        <v>3465</v>
      </c>
      <c r="I1487" s="7" t="s">
        <v>0</v>
      </c>
      <c r="J1487" s="7" t="s">
        <v>8872</v>
      </c>
      <c r="K1487" s="7" t="s">
        <v>47</v>
      </c>
      <c r="L1487" s="7" t="s">
        <v>239</v>
      </c>
      <c r="M1487" s="7" t="s">
        <v>0</v>
      </c>
      <c r="N1487" s="7" t="s">
        <v>8870</v>
      </c>
      <c r="O1487" s="7" t="s">
        <v>0</v>
      </c>
      <c r="P1487" s="7" t="s">
        <v>8871</v>
      </c>
      <c r="Q1487" s="7" t="s">
        <v>8873</v>
      </c>
      <c r="R1487" s="7" t="s">
        <v>244</v>
      </c>
      <c r="S1487" s="7" t="s">
        <v>244</v>
      </c>
      <c r="T1487" s="7" t="s">
        <v>54</v>
      </c>
      <c r="U1487" s="7" t="s">
        <v>55</v>
      </c>
      <c r="V1487" s="7" t="s">
        <v>56</v>
      </c>
      <c r="W1487" s="7" t="s">
        <v>57</v>
      </c>
      <c r="X1487" s="7" t="s">
        <v>103</v>
      </c>
      <c r="Y1487" s="8">
        <v>44816</v>
      </c>
      <c r="Z1487" s="8">
        <v>44834</v>
      </c>
      <c r="AA1487" s="7" t="s">
        <v>59</v>
      </c>
      <c r="AB1487" s="7" t="s">
        <v>256</v>
      </c>
      <c r="AC1487" s="7" t="s">
        <v>79</v>
      </c>
      <c r="AD1487" s="7" t="s">
        <v>144</v>
      </c>
      <c r="AE1487" s="7" t="s">
        <v>82</v>
      </c>
      <c r="AF1487" s="7" t="s">
        <v>0</v>
      </c>
      <c r="AG1487" s="7" t="s">
        <v>0</v>
      </c>
      <c r="AH1487" s="9" t="s">
        <v>13721</v>
      </c>
      <c r="AI1487" s="9" t="s">
        <v>13722</v>
      </c>
      <c r="AJ1487" s="9" t="s">
        <v>13723</v>
      </c>
      <c r="AK1487" s="7" t="s">
        <v>61</v>
      </c>
      <c r="AL1487" s="7" t="s">
        <v>61</v>
      </c>
      <c r="AM1487" s="7" t="s">
        <v>0</v>
      </c>
      <c r="AN1487" s="7" t="s">
        <v>0</v>
      </c>
      <c r="AO1487" s="7" t="s">
        <v>0</v>
      </c>
      <c r="AP1487" s="7" t="s">
        <v>0</v>
      </c>
      <c r="AQ1487" s="7" t="s">
        <v>61</v>
      </c>
      <c r="AR1487" s="7" t="s">
        <v>0</v>
      </c>
      <c r="AS1487" s="10" t="str">
        <f>HYPERLINK("https://tessa.gazprom-neft.local/edo/card/7adf3332-6cf2-41bb-89ac-f77cd67b1b08", "https://tessa.gazprom-neft.local/edo/card/7adf3332-6cf2-41bb-89ac-f77cd67b1b08")</f>
        <v>https://tessa.gazprom-neft.local/edo/card/7adf3332-6cf2-41bb-89ac-f77cd67b1b08</v>
      </c>
    </row>
    <row r="1488" spans="1:45" hidden="1" x14ac:dyDescent="0.25">
      <c r="A1488" s="6" t="s">
        <v>44</v>
      </c>
      <c r="B1488" s="7" t="s">
        <v>170</v>
      </c>
      <c r="C1488" s="7" t="s">
        <v>67</v>
      </c>
      <c r="D1488" s="8">
        <v>44813</v>
      </c>
      <c r="E1488" s="8" t="s">
        <v>0</v>
      </c>
      <c r="F1488" s="16" t="s">
        <v>171</v>
      </c>
      <c r="G1488" s="7" t="s">
        <v>172</v>
      </c>
      <c r="H1488" s="7" t="s">
        <v>163</v>
      </c>
      <c r="I1488" s="7" t="s">
        <v>0</v>
      </c>
      <c r="J1488" s="7" t="s">
        <v>936</v>
      </c>
      <c r="K1488" s="7" t="s">
        <v>47</v>
      </c>
      <c r="L1488" s="7" t="s">
        <v>239</v>
      </c>
      <c r="M1488" s="7" t="s">
        <v>0</v>
      </c>
      <c r="N1488" s="7" t="s">
        <v>8643</v>
      </c>
      <c r="O1488" s="7" t="s">
        <v>0</v>
      </c>
      <c r="P1488" s="7" t="s">
        <v>8644</v>
      </c>
      <c r="Q1488" s="7" t="s">
        <v>8645</v>
      </c>
      <c r="R1488" s="7" t="s">
        <v>166</v>
      </c>
      <c r="S1488" s="7" t="s">
        <v>166</v>
      </c>
      <c r="T1488" s="7" t="s">
        <v>54</v>
      </c>
      <c r="U1488" s="7" t="s">
        <v>167</v>
      </c>
      <c r="V1488" s="7" t="s">
        <v>102</v>
      </c>
      <c r="W1488" s="7" t="s">
        <v>57</v>
      </c>
      <c r="X1488" s="7" t="s">
        <v>103</v>
      </c>
      <c r="Y1488" s="8">
        <v>44805</v>
      </c>
      <c r="Z1488" s="8">
        <v>44926</v>
      </c>
      <c r="AA1488" s="7" t="s">
        <v>104</v>
      </c>
      <c r="AB1488" s="7" t="s">
        <v>1049</v>
      </c>
      <c r="AC1488" s="7" t="s">
        <v>79</v>
      </c>
      <c r="AD1488" s="7" t="s">
        <v>80</v>
      </c>
      <c r="AE1488" s="7" t="s">
        <v>82</v>
      </c>
      <c r="AF1488" s="7" t="s">
        <v>0</v>
      </c>
      <c r="AG1488" s="7" t="s">
        <v>0</v>
      </c>
      <c r="AH1488" s="9" t="s">
        <v>13636</v>
      </c>
      <c r="AI1488" s="9" t="s">
        <v>13637</v>
      </c>
      <c r="AJ1488" s="9" t="s">
        <v>13638</v>
      </c>
      <c r="AK1488" s="7" t="s">
        <v>61</v>
      </c>
      <c r="AL1488" s="7" t="s">
        <v>61</v>
      </c>
      <c r="AM1488" s="7" t="s">
        <v>0</v>
      </c>
      <c r="AN1488" s="7" t="s">
        <v>0</v>
      </c>
      <c r="AO1488" s="7" t="s">
        <v>0</v>
      </c>
      <c r="AP1488" s="7" t="s">
        <v>0</v>
      </c>
      <c r="AQ1488" s="7" t="s">
        <v>61</v>
      </c>
      <c r="AR1488" s="7" t="s">
        <v>0</v>
      </c>
      <c r="AS1488" s="10" t="str">
        <f>HYPERLINK("https://tessa.gazprom-neft.local/edo/card/d6a197df-01db-49dc-925c-be9db7c92f23", "https://tessa.gazprom-neft.local/edo/card/d6a197df-01db-49dc-925c-be9db7c92f23")</f>
        <v>https://tessa.gazprom-neft.local/edo/card/d6a197df-01db-49dc-925c-be9db7c92f23</v>
      </c>
    </row>
    <row r="1489" spans="1:45" hidden="1" x14ac:dyDescent="0.25">
      <c r="A1489" s="6" t="s">
        <v>44</v>
      </c>
      <c r="B1489" s="7" t="s">
        <v>8985</v>
      </c>
      <c r="C1489" s="7" t="s">
        <v>46</v>
      </c>
      <c r="D1489" s="8">
        <v>44813</v>
      </c>
      <c r="E1489" s="8" t="s">
        <v>0</v>
      </c>
      <c r="F1489" s="16" t="s">
        <v>8986</v>
      </c>
      <c r="G1489" s="7" t="s">
        <v>0</v>
      </c>
      <c r="H1489" s="7" t="s">
        <v>0</v>
      </c>
      <c r="I1489" s="7" t="s">
        <v>8982</v>
      </c>
      <c r="J1489" s="7" t="s">
        <v>8982</v>
      </c>
      <c r="K1489" s="7" t="s">
        <v>47</v>
      </c>
      <c r="L1489" s="7" t="s">
        <v>96</v>
      </c>
      <c r="M1489" s="7" t="s">
        <v>0</v>
      </c>
      <c r="N1489" s="7" t="s">
        <v>8981</v>
      </c>
      <c r="O1489" s="7" t="s">
        <v>0</v>
      </c>
      <c r="P1489" s="7" t="s">
        <v>8983</v>
      </c>
      <c r="Q1489" s="7" t="s">
        <v>8984</v>
      </c>
      <c r="R1489" s="7" t="s">
        <v>244</v>
      </c>
      <c r="S1489" s="7" t="s">
        <v>0</v>
      </c>
      <c r="T1489" s="7" t="s">
        <v>54</v>
      </c>
      <c r="U1489" s="7" t="s">
        <v>55</v>
      </c>
      <c r="V1489" s="7" t="s">
        <v>56</v>
      </c>
      <c r="W1489" s="7" t="s">
        <v>57</v>
      </c>
      <c r="X1489" s="7" t="s">
        <v>103</v>
      </c>
      <c r="Y1489" s="8">
        <v>44813</v>
      </c>
      <c r="Z1489" s="8">
        <v>44925</v>
      </c>
      <c r="AA1489" s="7" t="s">
        <v>59</v>
      </c>
      <c r="AB1489" s="7" t="s">
        <v>256</v>
      </c>
      <c r="AC1489" s="7" t="s">
        <v>79</v>
      </c>
      <c r="AD1489" s="7" t="s">
        <v>80</v>
      </c>
      <c r="AE1489" s="7" t="s">
        <v>82</v>
      </c>
      <c r="AF1489" s="7" t="s">
        <v>0</v>
      </c>
      <c r="AG1489" s="7" t="s">
        <v>0</v>
      </c>
      <c r="AH1489" s="9" t="s">
        <v>13772</v>
      </c>
      <c r="AI1489" s="9" t="s">
        <v>13773</v>
      </c>
      <c r="AJ1489" s="9" t="s">
        <v>13774</v>
      </c>
      <c r="AK1489" s="7" t="s">
        <v>61</v>
      </c>
      <c r="AL1489" s="7" t="s">
        <v>61</v>
      </c>
      <c r="AM1489" s="7" t="s">
        <v>0</v>
      </c>
      <c r="AN1489" s="7" t="s">
        <v>0</v>
      </c>
      <c r="AO1489" s="7" t="s">
        <v>0</v>
      </c>
      <c r="AP1489" s="7" t="s">
        <v>0</v>
      </c>
      <c r="AQ1489" s="7" t="s">
        <v>61</v>
      </c>
      <c r="AR1489" s="7" t="s">
        <v>0</v>
      </c>
      <c r="AS1489" s="10" t="str">
        <f>HYPERLINK("https://tessa.gazprom-neft.local/edo/card/48803260-43c4-4777-8a60-ded52767a4b1", "https://tessa.gazprom-neft.local/edo/card/48803260-43c4-4777-8a60-ded52767a4b1")</f>
        <v>https://tessa.gazprom-neft.local/edo/card/48803260-43c4-4777-8a60-ded52767a4b1</v>
      </c>
    </row>
    <row r="1490" spans="1:45" hidden="1" x14ac:dyDescent="0.25">
      <c r="A1490" s="6" t="s">
        <v>44</v>
      </c>
      <c r="B1490" s="7" t="s">
        <v>8122</v>
      </c>
      <c r="C1490" s="7" t="s">
        <v>46</v>
      </c>
      <c r="D1490" s="8">
        <v>44811</v>
      </c>
      <c r="E1490" s="8" t="s">
        <v>0</v>
      </c>
      <c r="F1490" s="16" t="s">
        <v>8123</v>
      </c>
      <c r="G1490" s="7" t="s">
        <v>8124</v>
      </c>
      <c r="H1490" s="7" t="s">
        <v>0</v>
      </c>
      <c r="I1490" s="7" t="s">
        <v>8119</v>
      </c>
      <c r="J1490" s="7" t="s">
        <v>8119</v>
      </c>
      <c r="K1490" s="7" t="s">
        <v>47</v>
      </c>
      <c r="L1490" s="7" t="s">
        <v>96</v>
      </c>
      <c r="M1490" s="7" t="s">
        <v>0</v>
      </c>
      <c r="N1490" s="7" t="s">
        <v>8118</v>
      </c>
      <c r="O1490" s="7" t="s">
        <v>0</v>
      </c>
      <c r="P1490" s="7" t="s">
        <v>8120</v>
      </c>
      <c r="Q1490" s="7" t="s">
        <v>8121</v>
      </c>
      <c r="R1490" s="7" t="s">
        <v>2788</v>
      </c>
      <c r="S1490" s="7" t="s">
        <v>2788</v>
      </c>
      <c r="T1490" s="7" t="s">
        <v>54</v>
      </c>
      <c r="U1490" s="7" t="s">
        <v>55</v>
      </c>
      <c r="V1490" s="7" t="s">
        <v>56</v>
      </c>
      <c r="W1490" s="7" t="s">
        <v>57</v>
      </c>
      <c r="X1490" s="7" t="s">
        <v>58</v>
      </c>
      <c r="Y1490" s="8">
        <v>44811</v>
      </c>
      <c r="Z1490" s="8" t="s">
        <v>0</v>
      </c>
      <c r="AA1490" s="7" t="s">
        <v>59</v>
      </c>
      <c r="AB1490" s="7" t="s">
        <v>64</v>
      </c>
      <c r="AC1490" s="7" t="s">
        <v>79</v>
      </c>
      <c r="AD1490" s="7" t="s">
        <v>80</v>
      </c>
      <c r="AE1490" s="7" t="s">
        <v>118</v>
      </c>
      <c r="AF1490" s="7" t="s">
        <v>0</v>
      </c>
      <c r="AG1490" s="7" t="s">
        <v>0</v>
      </c>
      <c r="AH1490" s="9" t="s">
        <v>13445</v>
      </c>
      <c r="AI1490" s="9" t="s">
        <v>13445</v>
      </c>
      <c r="AJ1490" s="9">
        <v>0</v>
      </c>
      <c r="AK1490" s="7" t="s">
        <v>61</v>
      </c>
      <c r="AL1490" s="7" t="s">
        <v>61</v>
      </c>
      <c r="AM1490" s="7" t="s">
        <v>0</v>
      </c>
      <c r="AN1490" s="7" t="s">
        <v>0</v>
      </c>
      <c r="AO1490" s="7" t="s">
        <v>0</v>
      </c>
      <c r="AP1490" s="7" t="s">
        <v>0</v>
      </c>
      <c r="AQ1490" s="7" t="s">
        <v>61</v>
      </c>
      <c r="AR1490" s="7" t="s">
        <v>0</v>
      </c>
      <c r="AS1490" s="10" t="str">
        <f>HYPERLINK("https://tessa.gazprom-neft.local/edo/card/bd360b10-04e8-46e1-9e6d-912383c78649", "https://tessa.gazprom-neft.local/edo/card/bd360b10-04e8-46e1-9e6d-912383c78649")</f>
        <v>https://tessa.gazprom-neft.local/edo/card/bd360b10-04e8-46e1-9e6d-912383c78649</v>
      </c>
    </row>
    <row r="1491" spans="1:45" hidden="1" x14ac:dyDescent="0.25">
      <c r="A1491" s="6" t="s">
        <v>44</v>
      </c>
      <c r="B1491" s="7" t="s">
        <v>0</v>
      </c>
      <c r="C1491" s="7" t="s">
        <v>67</v>
      </c>
      <c r="D1491" s="8">
        <v>44811</v>
      </c>
      <c r="E1491" s="8" t="s">
        <v>0</v>
      </c>
      <c r="F1491" s="16" t="s">
        <v>8431</v>
      </c>
      <c r="G1491" s="7" t="s">
        <v>0</v>
      </c>
      <c r="H1491" s="7" t="s">
        <v>0</v>
      </c>
      <c r="I1491" s="7" t="s">
        <v>8428</v>
      </c>
      <c r="J1491" s="7" t="s">
        <v>8428</v>
      </c>
      <c r="K1491" s="7" t="s">
        <v>47</v>
      </c>
      <c r="L1491" s="7" t="s">
        <v>96</v>
      </c>
      <c r="M1491" s="7" t="s">
        <v>0</v>
      </c>
      <c r="N1491" s="7" t="s">
        <v>8427</v>
      </c>
      <c r="O1491" s="7" t="s">
        <v>0</v>
      </c>
      <c r="P1491" s="7" t="s">
        <v>8429</v>
      </c>
      <c r="Q1491" s="7" t="s">
        <v>8430</v>
      </c>
      <c r="R1491" s="7" t="s">
        <v>135</v>
      </c>
      <c r="S1491" s="7" t="s">
        <v>0</v>
      </c>
      <c r="T1491" s="7" t="s">
        <v>54</v>
      </c>
      <c r="U1491" s="7" t="s">
        <v>136</v>
      </c>
      <c r="V1491" s="7" t="s">
        <v>137</v>
      </c>
      <c r="W1491" s="7" t="s">
        <v>57</v>
      </c>
      <c r="X1491" s="7" t="s">
        <v>103</v>
      </c>
      <c r="Y1491" s="8">
        <v>44834</v>
      </c>
      <c r="Z1491" s="8">
        <v>45291</v>
      </c>
      <c r="AA1491" s="7" t="s">
        <v>0</v>
      </c>
      <c r="AB1491" s="7" t="s">
        <v>64</v>
      </c>
      <c r="AC1491" s="7" t="s">
        <v>79</v>
      </c>
      <c r="AD1491" s="7" t="s">
        <v>514</v>
      </c>
      <c r="AE1491" s="7" t="s">
        <v>118</v>
      </c>
      <c r="AF1491" s="7" t="s">
        <v>0</v>
      </c>
      <c r="AG1491" s="7" t="s">
        <v>0</v>
      </c>
      <c r="AH1491" s="9" t="s">
        <v>13545</v>
      </c>
      <c r="AI1491" s="9" t="s">
        <v>13545</v>
      </c>
      <c r="AJ1491" s="9">
        <v>0</v>
      </c>
      <c r="AK1491" s="7" t="s">
        <v>61</v>
      </c>
      <c r="AL1491" s="7" t="s">
        <v>61</v>
      </c>
      <c r="AM1491" s="7" t="s">
        <v>0</v>
      </c>
      <c r="AN1491" s="7" t="s">
        <v>0</v>
      </c>
      <c r="AO1491" s="7" t="s">
        <v>0</v>
      </c>
      <c r="AP1491" s="7" t="s">
        <v>0</v>
      </c>
      <c r="AQ1491" s="7" t="s">
        <v>61</v>
      </c>
      <c r="AR1491" s="7" t="s">
        <v>0</v>
      </c>
      <c r="AS1491" s="10" t="str">
        <f>HYPERLINK("https://tessa.gazprom-neft.local/edo/card/2b47947e-271f-47d0-ab1e-82256d83a619", "https://tessa.gazprom-neft.local/edo/card/2b47947e-271f-47d0-ab1e-82256d83a619")</f>
        <v>https://tessa.gazprom-neft.local/edo/card/2b47947e-271f-47d0-ab1e-82256d83a619</v>
      </c>
    </row>
    <row r="1492" spans="1:45" hidden="1" x14ac:dyDescent="0.25">
      <c r="A1492" s="6" t="s">
        <v>44</v>
      </c>
      <c r="B1492" s="7" t="s">
        <v>971</v>
      </c>
      <c r="C1492" s="7" t="s">
        <v>67</v>
      </c>
      <c r="D1492" s="8">
        <v>44811</v>
      </c>
      <c r="E1492" s="8" t="s">
        <v>0</v>
      </c>
      <c r="F1492" s="16" t="s">
        <v>972</v>
      </c>
      <c r="G1492" s="7" t="s">
        <v>973</v>
      </c>
      <c r="H1492" s="7" t="s">
        <v>0</v>
      </c>
      <c r="I1492" s="7" t="s">
        <v>8639</v>
      </c>
      <c r="J1492" s="7" t="s">
        <v>8639</v>
      </c>
      <c r="K1492" s="7" t="s">
        <v>85</v>
      </c>
      <c r="L1492" s="7" t="s">
        <v>86</v>
      </c>
      <c r="M1492" s="7" t="s">
        <v>216</v>
      </c>
      <c r="N1492" s="7" t="s">
        <v>8638</v>
      </c>
      <c r="O1492" s="7" t="s">
        <v>0</v>
      </c>
      <c r="P1492" s="7" t="s">
        <v>216</v>
      </c>
      <c r="Q1492" s="7" t="s">
        <v>8074</v>
      </c>
      <c r="R1492" s="7" t="s">
        <v>338</v>
      </c>
      <c r="S1492" s="7" t="s">
        <v>339</v>
      </c>
      <c r="T1492" s="7" t="s">
        <v>54</v>
      </c>
      <c r="U1492" s="7" t="s">
        <v>303</v>
      </c>
      <c r="V1492" s="7" t="s">
        <v>102</v>
      </c>
      <c r="W1492" s="7" t="s">
        <v>74</v>
      </c>
      <c r="X1492" s="7" t="s">
        <v>58</v>
      </c>
      <c r="Y1492" s="8">
        <v>44811</v>
      </c>
      <c r="Z1492" s="8" t="s">
        <v>0</v>
      </c>
      <c r="AA1492" s="7" t="s">
        <v>104</v>
      </c>
      <c r="AB1492" s="7" t="s">
        <v>228</v>
      </c>
      <c r="AC1492" s="7" t="s">
        <v>65</v>
      </c>
      <c r="AD1492" s="7" t="s">
        <v>0</v>
      </c>
      <c r="AE1492" s="7" t="s">
        <v>0</v>
      </c>
      <c r="AF1492" s="7" t="s">
        <v>0</v>
      </c>
      <c r="AG1492" s="7" t="s">
        <v>0</v>
      </c>
      <c r="AH1492" s="9" t="s">
        <v>0</v>
      </c>
      <c r="AI1492" s="9" t="s">
        <v>0</v>
      </c>
      <c r="AJ1492" s="9" t="s">
        <v>0</v>
      </c>
      <c r="AK1492" s="7" t="s">
        <v>61</v>
      </c>
      <c r="AL1492" s="7" t="s">
        <v>61</v>
      </c>
      <c r="AM1492" s="7" t="s">
        <v>0</v>
      </c>
      <c r="AN1492" s="7" t="s">
        <v>0</v>
      </c>
      <c r="AO1492" s="7" t="s">
        <v>0</v>
      </c>
      <c r="AP1492" s="7" t="s">
        <v>0</v>
      </c>
      <c r="AQ1492" s="7" t="s">
        <v>61</v>
      </c>
      <c r="AR1492" s="7" t="s">
        <v>0</v>
      </c>
      <c r="AS1492" s="10" t="str">
        <f>HYPERLINK("https://tessa.gazprom-neft.local/edo/card/ff7a9d25-c353-416f-894c-21fd3aaecb0c", "https://tessa.gazprom-neft.local/edo/card/ff7a9d25-c353-416f-894c-21fd3aaecb0c")</f>
        <v>https://tessa.gazprom-neft.local/edo/card/ff7a9d25-c353-416f-894c-21fd3aaecb0c</v>
      </c>
    </row>
    <row r="1493" spans="1:45" hidden="1" x14ac:dyDescent="0.25">
      <c r="A1493" s="6" t="s">
        <v>44</v>
      </c>
      <c r="B1493" s="7" t="s">
        <v>1165</v>
      </c>
      <c r="C1493" s="7" t="s">
        <v>67</v>
      </c>
      <c r="D1493" s="8">
        <v>44811</v>
      </c>
      <c r="E1493" s="8" t="s">
        <v>0</v>
      </c>
      <c r="F1493" s="16" t="s">
        <v>1166</v>
      </c>
      <c r="G1493" s="7" t="s">
        <v>1167</v>
      </c>
      <c r="H1493" s="7" t="s">
        <v>3465</v>
      </c>
      <c r="I1493" s="7" t="s">
        <v>0</v>
      </c>
      <c r="J1493" s="7" t="s">
        <v>8878</v>
      </c>
      <c r="K1493" s="7" t="s">
        <v>47</v>
      </c>
      <c r="L1493" s="7" t="s">
        <v>239</v>
      </c>
      <c r="M1493" s="7" t="s">
        <v>0</v>
      </c>
      <c r="N1493" s="7" t="s">
        <v>8876</v>
      </c>
      <c r="O1493" s="7" t="s">
        <v>0</v>
      </c>
      <c r="P1493" s="7" t="s">
        <v>8877</v>
      </c>
      <c r="Q1493" s="7" t="s">
        <v>8879</v>
      </c>
      <c r="R1493" s="7" t="s">
        <v>244</v>
      </c>
      <c r="S1493" s="7" t="s">
        <v>244</v>
      </c>
      <c r="T1493" s="7" t="s">
        <v>54</v>
      </c>
      <c r="U1493" s="7" t="s">
        <v>55</v>
      </c>
      <c r="V1493" s="7" t="s">
        <v>56</v>
      </c>
      <c r="W1493" s="7" t="s">
        <v>57</v>
      </c>
      <c r="X1493" s="7" t="s">
        <v>103</v>
      </c>
      <c r="Y1493" s="8">
        <v>44811</v>
      </c>
      <c r="Z1493" s="8">
        <v>44925</v>
      </c>
      <c r="AA1493" s="7" t="s">
        <v>59</v>
      </c>
      <c r="AB1493" s="7" t="s">
        <v>256</v>
      </c>
      <c r="AC1493" s="7" t="s">
        <v>79</v>
      </c>
      <c r="AD1493" s="7" t="s">
        <v>144</v>
      </c>
      <c r="AE1493" s="7" t="s">
        <v>82</v>
      </c>
      <c r="AF1493" s="7" t="s">
        <v>0</v>
      </c>
      <c r="AG1493" s="7" t="s">
        <v>0</v>
      </c>
      <c r="AH1493" s="9" t="s">
        <v>13725</v>
      </c>
      <c r="AI1493" s="9" t="s">
        <v>13726</v>
      </c>
      <c r="AJ1493" s="9" t="s">
        <v>13727</v>
      </c>
      <c r="AK1493" s="7" t="s">
        <v>61</v>
      </c>
      <c r="AL1493" s="7" t="s">
        <v>61</v>
      </c>
      <c r="AM1493" s="7" t="s">
        <v>0</v>
      </c>
      <c r="AN1493" s="7" t="s">
        <v>0</v>
      </c>
      <c r="AO1493" s="7" t="s">
        <v>0</v>
      </c>
      <c r="AP1493" s="7" t="s">
        <v>0</v>
      </c>
      <c r="AQ1493" s="7" t="s">
        <v>61</v>
      </c>
      <c r="AR1493" s="7" t="s">
        <v>0</v>
      </c>
      <c r="AS1493" s="10" t="str">
        <f>HYPERLINK("https://tessa.gazprom-neft.local/edo/card/9f7e26a9-b153-4d09-9ca0-01a6fedb2299", "https://tessa.gazprom-neft.local/edo/card/9f7e26a9-b153-4d09-9ca0-01a6fedb2299")</f>
        <v>https://tessa.gazprom-neft.local/edo/card/9f7e26a9-b153-4d09-9ca0-01a6fedb2299</v>
      </c>
    </row>
    <row r="1494" spans="1:45" hidden="1" x14ac:dyDescent="0.25">
      <c r="A1494" s="6" t="s">
        <v>44</v>
      </c>
      <c r="B1494" s="7" t="s">
        <v>1909</v>
      </c>
      <c r="C1494" s="7" t="s">
        <v>67</v>
      </c>
      <c r="D1494" s="8">
        <v>44810</v>
      </c>
      <c r="E1494" s="8" t="s">
        <v>0</v>
      </c>
      <c r="F1494" s="16" t="s">
        <v>1910</v>
      </c>
      <c r="G1494" s="7" t="s">
        <v>1911</v>
      </c>
      <c r="H1494" s="7" t="s">
        <v>8688</v>
      </c>
      <c r="I1494" s="7" t="s">
        <v>0</v>
      </c>
      <c r="J1494" s="7" t="s">
        <v>872</v>
      </c>
      <c r="K1494" s="7" t="s">
        <v>47</v>
      </c>
      <c r="L1494" s="7" t="s">
        <v>239</v>
      </c>
      <c r="M1494" s="7" t="s">
        <v>0</v>
      </c>
      <c r="N1494" s="7" t="s">
        <v>8687</v>
      </c>
      <c r="O1494" s="7" t="s">
        <v>0</v>
      </c>
      <c r="P1494" s="7" t="s">
        <v>8689</v>
      </c>
      <c r="Q1494" s="7" t="s">
        <v>8690</v>
      </c>
      <c r="R1494" s="7" t="s">
        <v>220</v>
      </c>
      <c r="S1494" s="7" t="s">
        <v>1261</v>
      </c>
      <c r="T1494" s="7" t="s">
        <v>54</v>
      </c>
      <c r="U1494" s="7" t="s">
        <v>222</v>
      </c>
      <c r="V1494" s="7" t="s">
        <v>382</v>
      </c>
      <c r="W1494" s="7" t="s">
        <v>74</v>
      </c>
      <c r="X1494" s="7" t="s">
        <v>58</v>
      </c>
      <c r="Y1494" s="8">
        <v>44819</v>
      </c>
      <c r="Z1494" s="8" t="s">
        <v>0</v>
      </c>
      <c r="AA1494" s="7" t="s">
        <v>383</v>
      </c>
      <c r="AB1494" s="7" t="s">
        <v>387</v>
      </c>
      <c r="AC1494" s="7" t="s">
        <v>79</v>
      </c>
      <c r="AD1494" s="7" t="s">
        <v>80</v>
      </c>
      <c r="AE1494" s="7" t="s">
        <v>82</v>
      </c>
      <c r="AF1494" s="7" t="s">
        <v>0</v>
      </c>
      <c r="AG1494" s="7" t="s">
        <v>0</v>
      </c>
      <c r="AH1494" s="9" t="s">
        <v>13650</v>
      </c>
      <c r="AI1494" s="9" t="s">
        <v>13651</v>
      </c>
      <c r="AJ1494" s="9" t="s">
        <v>13652</v>
      </c>
      <c r="AK1494" s="7" t="s">
        <v>61</v>
      </c>
      <c r="AL1494" s="7" t="s">
        <v>61</v>
      </c>
      <c r="AM1494" s="7" t="s">
        <v>0</v>
      </c>
      <c r="AN1494" s="7" t="s">
        <v>0</v>
      </c>
      <c r="AO1494" s="7" t="s">
        <v>0</v>
      </c>
      <c r="AP1494" s="7" t="s">
        <v>0</v>
      </c>
      <c r="AQ1494" s="7" t="s">
        <v>61</v>
      </c>
      <c r="AR1494" s="7" t="s">
        <v>0</v>
      </c>
      <c r="AS1494" s="10" t="str">
        <f>HYPERLINK("https://tessa.gazprom-neft.local/edo/card/f0b27a02-ce29-4ae3-a951-98bce3d79526", "https://tessa.gazprom-neft.local/edo/card/f0b27a02-ce29-4ae3-a951-98bce3d79526")</f>
        <v>https://tessa.gazprom-neft.local/edo/card/f0b27a02-ce29-4ae3-a951-98bce3d79526</v>
      </c>
    </row>
    <row r="1495" spans="1:45" x14ac:dyDescent="0.25">
      <c r="A1495" s="6" t="s">
        <v>44</v>
      </c>
      <c r="B1495" s="7" t="s">
        <v>737</v>
      </c>
      <c r="C1495" s="7" t="s">
        <v>67</v>
      </c>
      <c r="D1495" s="8">
        <v>44806</v>
      </c>
      <c r="E1495" s="8" t="s">
        <v>0</v>
      </c>
      <c r="F1495" s="16" t="s">
        <v>738</v>
      </c>
      <c r="G1495" s="7" t="s">
        <v>739</v>
      </c>
      <c r="H1495" s="7" t="s">
        <v>8504</v>
      </c>
      <c r="I1495" s="7" t="s">
        <v>0</v>
      </c>
      <c r="J1495" s="7" t="s">
        <v>51</v>
      </c>
      <c r="K1495" s="7" t="s">
        <v>47</v>
      </c>
      <c r="L1495" s="7" t="s">
        <v>48</v>
      </c>
      <c r="M1495" s="7" t="s">
        <v>0</v>
      </c>
      <c r="N1495" s="7" t="s">
        <v>8503</v>
      </c>
      <c r="O1495" s="7" t="s">
        <v>0</v>
      </c>
      <c r="P1495" s="7" t="s">
        <v>8505</v>
      </c>
      <c r="Q1495" s="7" t="s">
        <v>8506</v>
      </c>
      <c r="R1495" s="7" t="s">
        <v>505</v>
      </c>
      <c r="S1495" s="7" t="s">
        <v>1753</v>
      </c>
      <c r="T1495" s="7" t="s">
        <v>54</v>
      </c>
      <c r="U1495" s="7" t="s">
        <v>210</v>
      </c>
      <c r="V1495" s="7" t="s">
        <v>126</v>
      </c>
      <c r="W1495" s="7" t="s">
        <v>57</v>
      </c>
      <c r="X1495" s="7" t="s">
        <v>103</v>
      </c>
      <c r="Y1495" s="8">
        <v>44806</v>
      </c>
      <c r="Z1495" s="8">
        <v>45016</v>
      </c>
      <c r="AA1495" s="7" t="s">
        <v>224</v>
      </c>
      <c r="AB1495" s="7" t="s">
        <v>130</v>
      </c>
      <c r="AC1495" s="7" t="s">
        <v>65</v>
      </c>
      <c r="AD1495" s="7" t="s">
        <v>0</v>
      </c>
      <c r="AE1495" s="7" t="s">
        <v>0</v>
      </c>
      <c r="AF1495" s="7" t="s">
        <v>0</v>
      </c>
      <c r="AG1495" s="7" t="s">
        <v>0</v>
      </c>
      <c r="AH1495" s="9" t="s">
        <v>0</v>
      </c>
      <c r="AI1495" s="9" t="s">
        <v>0</v>
      </c>
      <c r="AJ1495" s="9" t="s">
        <v>0</v>
      </c>
      <c r="AK1495" s="7" t="s">
        <v>61</v>
      </c>
      <c r="AL1495" s="7" t="s">
        <v>61</v>
      </c>
      <c r="AM1495" s="7" t="s">
        <v>0</v>
      </c>
      <c r="AN1495" s="7" t="s">
        <v>0</v>
      </c>
      <c r="AO1495" s="7" t="s">
        <v>0</v>
      </c>
      <c r="AP1495" s="7" t="s">
        <v>0</v>
      </c>
      <c r="AQ1495" s="7" t="s">
        <v>61</v>
      </c>
      <c r="AR1495" s="7" t="s">
        <v>0</v>
      </c>
      <c r="AS1495" s="10" t="str">
        <f>HYPERLINK("https://tessa.gazprom-neft.local/edo/card/c7d945de-9d4d-4723-ba13-40f3141da629", "https://tessa.gazprom-neft.local/edo/card/c7d945de-9d4d-4723-ba13-40f3141da629")</f>
        <v>https://tessa.gazprom-neft.local/edo/card/c7d945de-9d4d-4723-ba13-40f3141da629</v>
      </c>
    </row>
    <row r="1496" spans="1:45" x14ac:dyDescent="0.25">
      <c r="A1496" s="6" t="s">
        <v>44</v>
      </c>
      <c r="B1496" s="7" t="s">
        <v>8166</v>
      </c>
      <c r="C1496" s="7" t="s">
        <v>67</v>
      </c>
      <c r="D1496" s="8">
        <v>44805</v>
      </c>
      <c r="E1496" s="8" t="s">
        <v>0</v>
      </c>
      <c r="F1496" s="16" t="s">
        <v>8167</v>
      </c>
      <c r="G1496" s="7" t="s">
        <v>8168</v>
      </c>
      <c r="H1496" s="7" t="s">
        <v>8163</v>
      </c>
      <c r="I1496" s="7" t="s">
        <v>0</v>
      </c>
      <c r="J1496" s="7" t="s">
        <v>51</v>
      </c>
      <c r="K1496" s="7" t="s">
        <v>47</v>
      </c>
      <c r="L1496" s="7" t="s">
        <v>48</v>
      </c>
      <c r="M1496" s="7" t="s">
        <v>0</v>
      </c>
      <c r="N1496" s="7" t="s">
        <v>8162</v>
      </c>
      <c r="O1496" s="7" t="s">
        <v>0</v>
      </c>
      <c r="P1496" s="7" t="s">
        <v>8164</v>
      </c>
      <c r="Q1496" s="7" t="s">
        <v>8165</v>
      </c>
      <c r="R1496" s="7" t="s">
        <v>2178</v>
      </c>
      <c r="S1496" s="7" t="s">
        <v>2178</v>
      </c>
      <c r="T1496" s="7" t="s">
        <v>54</v>
      </c>
      <c r="U1496" s="7" t="s">
        <v>605</v>
      </c>
      <c r="V1496" s="7" t="s">
        <v>56</v>
      </c>
      <c r="W1496" s="7" t="s">
        <v>57</v>
      </c>
      <c r="X1496" s="7" t="s">
        <v>223</v>
      </c>
      <c r="Y1496" s="8">
        <v>44805</v>
      </c>
      <c r="Z1496" s="8" t="s">
        <v>0</v>
      </c>
      <c r="AA1496" s="7" t="s">
        <v>0</v>
      </c>
      <c r="AB1496" s="7" t="s">
        <v>3666</v>
      </c>
      <c r="AC1496" s="7" t="s">
        <v>65</v>
      </c>
      <c r="AD1496" s="7" t="s">
        <v>0</v>
      </c>
      <c r="AE1496" s="7" t="s">
        <v>0</v>
      </c>
      <c r="AF1496" s="7" t="s">
        <v>0</v>
      </c>
      <c r="AG1496" s="7" t="s">
        <v>0</v>
      </c>
      <c r="AH1496" s="9" t="s">
        <v>0</v>
      </c>
      <c r="AI1496" s="9" t="s">
        <v>0</v>
      </c>
      <c r="AJ1496" s="9" t="s">
        <v>0</v>
      </c>
      <c r="AK1496" s="7" t="s">
        <v>61</v>
      </c>
      <c r="AL1496" s="7" t="s">
        <v>61</v>
      </c>
      <c r="AM1496" s="7" t="s">
        <v>0</v>
      </c>
      <c r="AN1496" s="7" t="s">
        <v>0</v>
      </c>
      <c r="AO1496" s="7" t="s">
        <v>0</v>
      </c>
      <c r="AP1496" s="7" t="s">
        <v>0</v>
      </c>
      <c r="AQ1496" s="7" t="s">
        <v>61</v>
      </c>
      <c r="AR1496" s="7" t="s">
        <v>0</v>
      </c>
      <c r="AS1496" s="10" t="str">
        <f>HYPERLINK("https://tessa.gazprom-neft.local/edo/card/c0e29947-ae96-45bd-b282-6096eda8bf4e", "https://tessa.gazprom-neft.local/edo/card/c0e29947-ae96-45bd-b282-6096eda8bf4e")</f>
        <v>https://tessa.gazprom-neft.local/edo/card/c0e29947-ae96-45bd-b282-6096eda8bf4e</v>
      </c>
    </row>
    <row r="1497" spans="1:45" hidden="1" x14ac:dyDescent="0.25">
      <c r="A1497" s="6" t="s">
        <v>44</v>
      </c>
      <c r="B1497" s="7" t="s">
        <v>170</v>
      </c>
      <c r="C1497" s="7" t="s">
        <v>67</v>
      </c>
      <c r="D1497" s="8">
        <v>44805</v>
      </c>
      <c r="E1497" s="8" t="s">
        <v>0</v>
      </c>
      <c r="F1497" s="16" t="s">
        <v>171</v>
      </c>
      <c r="G1497" s="7" t="s">
        <v>172</v>
      </c>
      <c r="H1497" s="7" t="s">
        <v>8349</v>
      </c>
      <c r="I1497" s="7" t="s">
        <v>0</v>
      </c>
      <c r="J1497" s="7" t="s">
        <v>1098</v>
      </c>
      <c r="K1497" s="7" t="s">
        <v>47</v>
      </c>
      <c r="L1497" s="7" t="s">
        <v>239</v>
      </c>
      <c r="M1497" s="7" t="s">
        <v>0</v>
      </c>
      <c r="N1497" s="7" t="s">
        <v>8348</v>
      </c>
      <c r="O1497" s="7" t="s">
        <v>0</v>
      </c>
      <c r="P1497" s="7" t="s">
        <v>8350</v>
      </c>
      <c r="Q1497" s="7" t="s">
        <v>8351</v>
      </c>
      <c r="R1497" s="7" t="s">
        <v>166</v>
      </c>
      <c r="S1497" s="7" t="s">
        <v>166</v>
      </c>
      <c r="T1497" s="7" t="s">
        <v>54</v>
      </c>
      <c r="U1497" s="7" t="s">
        <v>167</v>
      </c>
      <c r="V1497" s="7" t="s">
        <v>102</v>
      </c>
      <c r="W1497" s="7" t="s">
        <v>57</v>
      </c>
      <c r="X1497" s="7" t="s">
        <v>103</v>
      </c>
      <c r="Y1497" s="8">
        <v>44805</v>
      </c>
      <c r="Z1497" s="8">
        <v>44926</v>
      </c>
      <c r="AA1497" s="7" t="s">
        <v>104</v>
      </c>
      <c r="AB1497" s="7" t="s">
        <v>1049</v>
      </c>
      <c r="AC1497" s="7" t="s">
        <v>79</v>
      </c>
      <c r="AD1497" s="7" t="s">
        <v>80</v>
      </c>
      <c r="AE1497" s="7" t="s">
        <v>82</v>
      </c>
      <c r="AF1497" s="7" t="s">
        <v>0</v>
      </c>
      <c r="AG1497" s="7" t="s">
        <v>0</v>
      </c>
      <c r="AH1497" s="9" t="s">
        <v>13519</v>
      </c>
      <c r="AI1497" s="9" t="s">
        <v>13520</v>
      </c>
      <c r="AJ1497" s="9" t="s">
        <v>13521</v>
      </c>
      <c r="AK1497" s="7" t="s">
        <v>61</v>
      </c>
      <c r="AL1497" s="7" t="s">
        <v>61</v>
      </c>
      <c r="AM1497" s="7" t="s">
        <v>0</v>
      </c>
      <c r="AN1497" s="7" t="s">
        <v>0</v>
      </c>
      <c r="AO1497" s="7" t="s">
        <v>0</v>
      </c>
      <c r="AP1497" s="7" t="s">
        <v>0</v>
      </c>
      <c r="AQ1497" s="7" t="s">
        <v>61</v>
      </c>
      <c r="AR1497" s="7" t="s">
        <v>0</v>
      </c>
      <c r="AS1497" s="10" t="str">
        <f>HYPERLINK("https://tessa.gazprom-neft.local/edo/card/f6019a7b-d8b3-4bf1-822f-c6c4b1b68b6a", "https://tessa.gazprom-neft.local/edo/card/f6019a7b-d8b3-4bf1-822f-c6c4b1b68b6a")</f>
        <v>https://tessa.gazprom-neft.local/edo/card/f6019a7b-d8b3-4bf1-822f-c6c4b1b68b6a</v>
      </c>
    </row>
    <row r="1498" spans="1:45" x14ac:dyDescent="0.25">
      <c r="A1498" s="6" t="s">
        <v>44</v>
      </c>
      <c r="B1498" s="7" t="s">
        <v>727</v>
      </c>
      <c r="C1498" s="7" t="s">
        <v>46</v>
      </c>
      <c r="D1498" s="8">
        <v>44805</v>
      </c>
      <c r="E1498" s="8" t="s">
        <v>0</v>
      </c>
      <c r="F1498" s="16" t="s">
        <v>728</v>
      </c>
      <c r="G1498" s="7" t="s">
        <v>729</v>
      </c>
      <c r="H1498" s="7" t="s">
        <v>3653</v>
      </c>
      <c r="I1498" s="7" t="s">
        <v>0</v>
      </c>
      <c r="J1498" s="7" t="s">
        <v>271</v>
      </c>
      <c r="K1498" s="7" t="s">
        <v>47</v>
      </c>
      <c r="L1498" s="7" t="s">
        <v>48</v>
      </c>
      <c r="M1498" s="7" t="s">
        <v>0</v>
      </c>
      <c r="N1498" s="7" t="s">
        <v>8500</v>
      </c>
      <c r="O1498" s="7" t="s">
        <v>0</v>
      </c>
      <c r="P1498" s="7" t="s">
        <v>8501</v>
      </c>
      <c r="Q1498" s="7" t="s">
        <v>8502</v>
      </c>
      <c r="R1498" s="7" t="s">
        <v>282</v>
      </c>
      <c r="S1498" s="7" t="s">
        <v>0</v>
      </c>
      <c r="T1498" s="7" t="s">
        <v>54</v>
      </c>
      <c r="U1498" s="7" t="s">
        <v>55</v>
      </c>
      <c r="V1498" s="7" t="s">
        <v>56</v>
      </c>
      <c r="W1498" s="7" t="s">
        <v>57</v>
      </c>
      <c r="X1498" s="7" t="s">
        <v>103</v>
      </c>
      <c r="Y1498" s="8">
        <v>44805</v>
      </c>
      <c r="Z1498" s="8">
        <v>45291</v>
      </c>
      <c r="AA1498" s="7" t="s">
        <v>0</v>
      </c>
      <c r="AB1498" s="7" t="s">
        <v>130</v>
      </c>
      <c r="AC1498" s="7" t="s">
        <v>65</v>
      </c>
      <c r="AD1498" s="7" t="s">
        <v>80</v>
      </c>
      <c r="AE1498" s="7" t="s">
        <v>0</v>
      </c>
      <c r="AF1498" s="7" t="s">
        <v>0</v>
      </c>
      <c r="AG1498" s="7" t="s">
        <v>0</v>
      </c>
      <c r="AH1498" s="9" t="s">
        <v>0</v>
      </c>
      <c r="AI1498" s="9" t="s">
        <v>0</v>
      </c>
      <c r="AJ1498" s="9" t="s">
        <v>0</v>
      </c>
      <c r="AK1498" s="7" t="s">
        <v>61</v>
      </c>
      <c r="AL1498" s="7" t="s">
        <v>61</v>
      </c>
      <c r="AM1498" s="7" t="s">
        <v>0</v>
      </c>
      <c r="AN1498" s="7" t="s">
        <v>0</v>
      </c>
      <c r="AO1498" s="7" t="s">
        <v>0</v>
      </c>
      <c r="AP1498" s="7" t="s">
        <v>0</v>
      </c>
      <c r="AQ1498" s="7" t="s">
        <v>61</v>
      </c>
      <c r="AR1498" s="7" t="s">
        <v>0</v>
      </c>
      <c r="AS1498" s="10" t="str">
        <f>HYPERLINK("https://tessa.gazprom-neft.local/edo/card/a4594801-c836-4e13-ae29-58df07fb491c", "https://tessa.gazprom-neft.local/edo/card/a4594801-c836-4e13-ae29-58df07fb491c")</f>
        <v>https://tessa.gazprom-neft.local/edo/card/a4594801-c836-4e13-ae29-58df07fb491c</v>
      </c>
    </row>
    <row r="1499" spans="1:45" hidden="1" x14ac:dyDescent="0.25">
      <c r="A1499" s="6" t="s">
        <v>44</v>
      </c>
      <c r="B1499" s="7" t="s">
        <v>1495</v>
      </c>
      <c r="C1499" s="7" t="s">
        <v>67</v>
      </c>
      <c r="D1499" s="8">
        <v>44805</v>
      </c>
      <c r="E1499" s="8" t="s">
        <v>0</v>
      </c>
      <c r="F1499" s="16" t="s">
        <v>1496</v>
      </c>
      <c r="G1499" s="7" t="s">
        <v>1497</v>
      </c>
      <c r="H1499" s="7" t="s">
        <v>0</v>
      </c>
      <c r="I1499" s="7" t="s">
        <v>3414</v>
      </c>
      <c r="J1499" s="7" t="s">
        <v>3414</v>
      </c>
      <c r="K1499" s="7" t="s">
        <v>85</v>
      </c>
      <c r="L1499" s="7" t="s">
        <v>96</v>
      </c>
      <c r="M1499" s="7" t="s">
        <v>398</v>
      </c>
      <c r="N1499" s="7" t="s">
        <v>8559</v>
      </c>
      <c r="O1499" s="7" t="s">
        <v>0</v>
      </c>
      <c r="P1499" s="7" t="s">
        <v>8560</v>
      </c>
      <c r="Q1499" s="7" t="s">
        <v>402</v>
      </c>
      <c r="R1499" s="7" t="s">
        <v>361</v>
      </c>
      <c r="S1499" s="7" t="s">
        <v>361</v>
      </c>
      <c r="T1499" s="7" t="s">
        <v>54</v>
      </c>
      <c r="U1499" s="7" t="s">
        <v>294</v>
      </c>
      <c r="V1499" s="7" t="s">
        <v>295</v>
      </c>
      <c r="W1499" s="7" t="s">
        <v>74</v>
      </c>
      <c r="X1499" s="7" t="s">
        <v>103</v>
      </c>
      <c r="Y1499" s="8">
        <v>44805</v>
      </c>
      <c r="Z1499" s="8">
        <v>45657</v>
      </c>
      <c r="AA1499" s="7" t="s">
        <v>296</v>
      </c>
      <c r="AB1499" s="7" t="s">
        <v>366</v>
      </c>
      <c r="AC1499" s="7" t="s">
        <v>278</v>
      </c>
      <c r="AD1499" s="7" t="s">
        <v>367</v>
      </c>
      <c r="AE1499" s="7" t="s">
        <v>82</v>
      </c>
      <c r="AF1499" s="7" t="s">
        <v>0</v>
      </c>
      <c r="AG1499" s="7" t="s">
        <v>0</v>
      </c>
      <c r="AH1499" s="9" t="s">
        <v>13594</v>
      </c>
      <c r="AI1499" s="9" t="s">
        <v>13595</v>
      </c>
      <c r="AJ1499" s="9" t="s">
        <v>13596</v>
      </c>
      <c r="AK1499" s="7" t="s">
        <v>61</v>
      </c>
      <c r="AL1499" s="7" t="s">
        <v>61</v>
      </c>
      <c r="AM1499" s="7" t="s">
        <v>0</v>
      </c>
      <c r="AN1499" s="7" t="s">
        <v>0</v>
      </c>
      <c r="AO1499" s="7" t="s">
        <v>0</v>
      </c>
      <c r="AP1499" s="7" t="s">
        <v>0</v>
      </c>
      <c r="AQ1499" s="7" t="s">
        <v>61</v>
      </c>
      <c r="AR1499" s="7" t="s">
        <v>0</v>
      </c>
      <c r="AS1499" s="10" t="str">
        <f>HYPERLINK("https://tessa.gazprom-neft.local/edo/card/5217d69c-ef05-4a83-8049-1ca1e2ac84b8", "https://tessa.gazprom-neft.local/edo/card/5217d69c-ef05-4a83-8049-1ca1e2ac84b8")</f>
        <v>https://tessa.gazprom-neft.local/edo/card/5217d69c-ef05-4a83-8049-1ca1e2ac84b8</v>
      </c>
    </row>
    <row r="1500" spans="1:45" hidden="1" x14ac:dyDescent="0.25">
      <c r="A1500" s="6" t="s">
        <v>44</v>
      </c>
      <c r="B1500" s="7" t="s">
        <v>885</v>
      </c>
      <c r="C1500" s="7" t="s">
        <v>67</v>
      </c>
      <c r="D1500" s="8">
        <v>44805</v>
      </c>
      <c r="E1500" s="8" t="s">
        <v>0</v>
      </c>
      <c r="F1500" s="16" t="s">
        <v>886</v>
      </c>
      <c r="G1500" s="7" t="s">
        <v>887</v>
      </c>
      <c r="H1500" s="7" t="s">
        <v>934</v>
      </c>
      <c r="I1500" s="7" t="s">
        <v>0</v>
      </c>
      <c r="J1500" s="7" t="s">
        <v>331</v>
      </c>
      <c r="K1500" s="7" t="s">
        <v>47</v>
      </c>
      <c r="L1500" s="7" t="s">
        <v>239</v>
      </c>
      <c r="M1500" s="7" t="s">
        <v>0</v>
      </c>
      <c r="N1500" s="7" t="s">
        <v>8569</v>
      </c>
      <c r="O1500" s="7" t="s">
        <v>0</v>
      </c>
      <c r="P1500" s="7" t="s">
        <v>8570</v>
      </c>
      <c r="Q1500" s="7" t="s">
        <v>8571</v>
      </c>
      <c r="R1500" s="7" t="s">
        <v>2178</v>
      </c>
      <c r="S1500" s="7" t="s">
        <v>2178</v>
      </c>
      <c r="T1500" s="7" t="s">
        <v>54</v>
      </c>
      <c r="U1500" s="7" t="s">
        <v>605</v>
      </c>
      <c r="V1500" s="7" t="s">
        <v>382</v>
      </c>
      <c r="W1500" s="7" t="s">
        <v>74</v>
      </c>
      <c r="X1500" s="7" t="s">
        <v>103</v>
      </c>
      <c r="Y1500" s="8">
        <v>44805</v>
      </c>
      <c r="Z1500" s="8">
        <v>45107</v>
      </c>
      <c r="AA1500" s="7" t="s">
        <v>383</v>
      </c>
      <c r="AB1500" s="7" t="s">
        <v>130</v>
      </c>
      <c r="AC1500" s="7" t="s">
        <v>79</v>
      </c>
      <c r="AD1500" s="7" t="s">
        <v>144</v>
      </c>
      <c r="AE1500" s="7" t="s">
        <v>889</v>
      </c>
      <c r="AF1500" s="7" t="s">
        <v>0</v>
      </c>
      <c r="AG1500" s="7" t="s">
        <v>0</v>
      </c>
      <c r="AH1500" s="9" t="s">
        <v>13600</v>
      </c>
      <c r="AI1500" s="9" t="s">
        <v>13600</v>
      </c>
      <c r="AJ1500" s="9">
        <v>0</v>
      </c>
      <c r="AK1500" s="7" t="s">
        <v>61</v>
      </c>
      <c r="AL1500" s="7" t="s">
        <v>61</v>
      </c>
      <c r="AM1500" s="7" t="s">
        <v>0</v>
      </c>
      <c r="AN1500" s="7" t="s">
        <v>0</v>
      </c>
      <c r="AO1500" s="7" t="s">
        <v>0</v>
      </c>
      <c r="AP1500" s="7" t="s">
        <v>0</v>
      </c>
      <c r="AQ1500" s="7" t="s">
        <v>61</v>
      </c>
      <c r="AR1500" s="7" t="s">
        <v>0</v>
      </c>
      <c r="AS1500" s="10" t="str">
        <f>HYPERLINK("https://tessa.gazprom-neft.local/edo/card/95a4128b-b0de-4595-9ce5-f753d2e671dd", "https://tessa.gazprom-neft.local/edo/card/95a4128b-b0de-4595-9ce5-f753d2e671dd")</f>
        <v>https://tessa.gazprom-neft.local/edo/card/95a4128b-b0de-4595-9ce5-f753d2e671dd</v>
      </c>
    </row>
    <row r="1501" spans="1:45" hidden="1" x14ac:dyDescent="0.25">
      <c r="A1501" s="6" t="s">
        <v>44</v>
      </c>
      <c r="B1501" s="7" t="s">
        <v>8584</v>
      </c>
      <c r="C1501" s="7" t="s">
        <v>46</v>
      </c>
      <c r="D1501" s="8">
        <v>44805</v>
      </c>
      <c r="E1501" s="8" t="s">
        <v>0</v>
      </c>
      <c r="F1501" s="16" t="s">
        <v>8585</v>
      </c>
      <c r="G1501" s="7" t="s">
        <v>8586</v>
      </c>
      <c r="H1501" s="7" t="s">
        <v>0</v>
      </c>
      <c r="I1501" s="7" t="s">
        <v>8582</v>
      </c>
      <c r="J1501" s="7" t="s">
        <v>8582</v>
      </c>
      <c r="K1501" s="7" t="s">
        <v>47</v>
      </c>
      <c r="L1501" s="7" t="s">
        <v>86</v>
      </c>
      <c r="M1501" s="7" t="s">
        <v>0</v>
      </c>
      <c r="N1501" s="7" t="s">
        <v>8581</v>
      </c>
      <c r="O1501" s="7" t="s">
        <v>0</v>
      </c>
      <c r="P1501" s="7" t="s">
        <v>237</v>
      </c>
      <c r="Q1501" s="7" t="s">
        <v>8583</v>
      </c>
      <c r="R1501" s="7" t="s">
        <v>427</v>
      </c>
      <c r="S1501" s="7" t="s">
        <v>427</v>
      </c>
      <c r="T1501" s="7" t="s">
        <v>54</v>
      </c>
      <c r="U1501" s="7" t="s">
        <v>428</v>
      </c>
      <c r="V1501" s="7" t="s">
        <v>56</v>
      </c>
      <c r="W1501" s="7" t="s">
        <v>57</v>
      </c>
      <c r="X1501" s="7" t="s">
        <v>103</v>
      </c>
      <c r="Y1501" s="8">
        <v>44805</v>
      </c>
      <c r="Z1501" s="8">
        <v>45352</v>
      </c>
      <c r="AA1501" s="7" t="s">
        <v>0</v>
      </c>
      <c r="AB1501" s="7" t="s">
        <v>139</v>
      </c>
      <c r="AC1501" s="7" t="s">
        <v>65</v>
      </c>
      <c r="AD1501" s="7" t="s">
        <v>0</v>
      </c>
      <c r="AE1501" s="7" t="s">
        <v>0</v>
      </c>
      <c r="AF1501" s="7" t="s">
        <v>0</v>
      </c>
      <c r="AG1501" s="7" t="s">
        <v>0</v>
      </c>
      <c r="AH1501" s="9" t="s">
        <v>0</v>
      </c>
      <c r="AI1501" s="9" t="s">
        <v>0</v>
      </c>
      <c r="AJ1501" s="9" t="s">
        <v>0</v>
      </c>
      <c r="AK1501" s="7" t="s">
        <v>61</v>
      </c>
      <c r="AL1501" s="7" t="s">
        <v>61</v>
      </c>
      <c r="AM1501" s="7" t="s">
        <v>0</v>
      </c>
      <c r="AN1501" s="7" t="s">
        <v>0</v>
      </c>
      <c r="AO1501" s="7" t="s">
        <v>0</v>
      </c>
      <c r="AP1501" s="7" t="s">
        <v>0</v>
      </c>
      <c r="AQ1501" s="7" t="s">
        <v>61</v>
      </c>
      <c r="AR1501" s="7" t="s">
        <v>0</v>
      </c>
      <c r="AS1501" s="10" t="str">
        <f>HYPERLINK("https://tessa.gazprom-neft.local/edo/card/b05ebf69-4298-49ef-bcab-5febb3f9198b", "https://tessa.gazprom-neft.local/edo/card/b05ebf69-4298-49ef-bcab-5febb3f9198b")</f>
        <v>https://tessa.gazprom-neft.local/edo/card/b05ebf69-4298-49ef-bcab-5febb3f9198b</v>
      </c>
    </row>
    <row r="1502" spans="1:45" x14ac:dyDescent="0.25">
      <c r="A1502" s="6" t="s">
        <v>44</v>
      </c>
      <c r="B1502" s="7" t="s">
        <v>350</v>
      </c>
      <c r="C1502" s="7" t="s">
        <v>67</v>
      </c>
      <c r="D1502" s="8">
        <v>44805</v>
      </c>
      <c r="E1502" s="8" t="s">
        <v>0</v>
      </c>
      <c r="F1502" s="16" t="s">
        <v>1027</v>
      </c>
      <c r="G1502" s="7" t="s">
        <v>352</v>
      </c>
      <c r="H1502" s="7" t="s">
        <v>1024</v>
      </c>
      <c r="I1502" s="7" t="s">
        <v>0</v>
      </c>
      <c r="J1502" s="7" t="s">
        <v>872</v>
      </c>
      <c r="K1502" s="7" t="s">
        <v>47</v>
      </c>
      <c r="L1502" s="7" t="s">
        <v>48</v>
      </c>
      <c r="M1502" s="7" t="s">
        <v>0</v>
      </c>
      <c r="N1502" s="7" t="s">
        <v>8656</v>
      </c>
      <c r="O1502" s="7" t="s">
        <v>0</v>
      </c>
      <c r="P1502" s="7" t="s">
        <v>8657</v>
      </c>
      <c r="Q1502" s="7" t="s">
        <v>8658</v>
      </c>
      <c r="R1502" s="7" t="s">
        <v>1286</v>
      </c>
      <c r="S1502" s="7" t="s">
        <v>168</v>
      </c>
      <c r="T1502" s="7" t="s">
        <v>54</v>
      </c>
      <c r="U1502" s="7" t="s">
        <v>101</v>
      </c>
      <c r="V1502" s="7" t="s">
        <v>102</v>
      </c>
      <c r="W1502" s="7" t="s">
        <v>57</v>
      </c>
      <c r="X1502" s="7" t="s">
        <v>103</v>
      </c>
      <c r="Y1502" s="8">
        <v>44805</v>
      </c>
      <c r="Z1502" s="8">
        <v>47118</v>
      </c>
      <c r="AA1502" s="7" t="s">
        <v>104</v>
      </c>
      <c r="AB1502" s="7" t="s">
        <v>64</v>
      </c>
      <c r="AC1502" s="7" t="s">
        <v>65</v>
      </c>
      <c r="AD1502" s="7" t="s">
        <v>80</v>
      </c>
      <c r="AE1502" s="7" t="s">
        <v>0</v>
      </c>
      <c r="AF1502" s="7" t="s">
        <v>0</v>
      </c>
      <c r="AG1502" s="7" t="s">
        <v>0</v>
      </c>
      <c r="AH1502" s="9" t="s">
        <v>0</v>
      </c>
      <c r="AI1502" s="9" t="s">
        <v>0</v>
      </c>
      <c r="AJ1502" s="9" t="s">
        <v>0</v>
      </c>
      <c r="AK1502" s="7" t="s">
        <v>61</v>
      </c>
      <c r="AL1502" s="7" t="s">
        <v>61</v>
      </c>
      <c r="AM1502" s="7" t="s">
        <v>0</v>
      </c>
      <c r="AN1502" s="7" t="s">
        <v>0</v>
      </c>
      <c r="AO1502" s="7" t="s">
        <v>0</v>
      </c>
      <c r="AP1502" s="7" t="s">
        <v>0</v>
      </c>
      <c r="AQ1502" s="7" t="s">
        <v>61</v>
      </c>
      <c r="AR1502" s="7" t="s">
        <v>0</v>
      </c>
      <c r="AS1502" s="10" t="str">
        <f>HYPERLINK("https://tessa.gazprom-neft.local/edo/card/3801120a-94b5-4443-8209-21e6146264bf", "https://tessa.gazprom-neft.local/edo/card/3801120a-94b5-4443-8209-21e6146264bf")</f>
        <v>https://tessa.gazprom-neft.local/edo/card/3801120a-94b5-4443-8209-21e6146264bf</v>
      </c>
    </row>
    <row r="1503" spans="1:45" x14ac:dyDescent="0.25">
      <c r="A1503" s="6" t="s">
        <v>44</v>
      </c>
      <c r="B1503" s="7" t="s">
        <v>8778</v>
      </c>
      <c r="C1503" s="7" t="s">
        <v>67</v>
      </c>
      <c r="D1503" s="8">
        <v>44805</v>
      </c>
      <c r="E1503" s="8" t="s">
        <v>0</v>
      </c>
      <c r="F1503" s="16" t="s">
        <v>8779</v>
      </c>
      <c r="G1503" s="7" t="s">
        <v>0</v>
      </c>
      <c r="H1503" s="7" t="s">
        <v>4873</v>
      </c>
      <c r="I1503" s="7" t="s">
        <v>0</v>
      </c>
      <c r="J1503" s="7" t="s">
        <v>70</v>
      </c>
      <c r="K1503" s="7" t="s">
        <v>47</v>
      </c>
      <c r="L1503" s="7" t="s">
        <v>48</v>
      </c>
      <c r="M1503" s="7" t="s">
        <v>0</v>
      </c>
      <c r="N1503" s="7" t="s">
        <v>8776</v>
      </c>
      <c r="O1503" s="7" t="s">
        <v>0</v>
      </c>
      <c r="P1503" s="7" t="s">
        <v>8777</v>
      </c>
      <c r="Q1503" s="7" t="s">
        <v>4875</v>
      </c>
      <c r="R1503" s="7" t="s">
        <v>361</v>
      </c>
      <c r="S1503" s="7" t="s">
        <v>361</v>
      </c>
      <c r="T1503" s="7" t="s">
        <v>54</v>
      </c>
      <c r="U1503" s="7" t="s">
        <v>362</v>
      </c>
      <c r="V1503" s="7" t="s">
        <v>295</v>
      </c>
      <c r="W1503" s="7" t="s">
        <v>57</v>
      </c>
      <c r="X1503" s="7" t="s">
        <v>58</v>
      </c>
      <c r="Y1503" s="8">
        <v>44771</v>
      </c>
      <c r="Z1503" s="8" t="s">
        <v>0</v>
      </c>
      <c r="AA1503" s="7" t="s">
        <v>296</v>
      </c>
      <c r="AB1503" s="7" t="s">
        <v>366</v>
      </c>
      <c r="AC1503" s="7" t="s">
        <v>65</v>
      </c>
      <c r="AD1503" s="7" t="s">
        <v>0</v>
      </c>
      <c r="AE1503" s="7" t="s">
        <v>0</v>
      </c>
      <c r="AF1503" s="7" t="s">
        <v>0</v>
      </c>
      <c r="AG1503" s="7" t="s">
        <v>0</v>
      </c>
      <c r="AH1503" s="9" t="s">
        <v>0</v>
      </c>
      <c r="AI1503" s="9" t="s">
        <v>0</v>
      </c>
      <c r="AJ1503" s="9" t="s">
        <v>0</v>
      </c>
      <c r="AK1503" s="7" t="s">
        <v>61</v>
      </c>
      <c r="AL1503" s="7" t="s">
        <v>61</v>
      </c>
      <c r="AM1503" s="7" t="s">
        <v>0</v>
      </c>
      <c r="AN1503" s="7" t="s">
        <v>0</v>
      </c>
      <c r="AO1503" s="7" t="s">
        <v>0</v>
      </c>
      <c r="AP1503" s="7" t="s">
        <v>0</v>
      </c>
      <c r="AQ1503" s="7" t="s">
        <v>61</v>
      </c>
      <c r="AR1503" s="7" t="s">
        <v>0</v>
      </c>
      <c r="AS1503" s="10" t="str">
        <f>HYPERLINK("https://tessa.gazprom-neft.local/edo/card/a1e4c029-6cc2-4402-9bd6-1f86e972e4cd", "https://tessa.gazprom-neft.local/edo/card/a1e4c029-6cc2-4402-9bd6-1f86e972e4cd")</f>
        <v>https://tessa.gazprom-neft.local/edo/card/a1e4c029-6cc2-4402-9bd6-1f86e972e4cd</v>
      </c>
    </row>
    <row r="1504" spans="1:45" hidden="1" x14ac:dyDescent="0.25">
      <c r="A1504" s="6" t="s">
        <v>44</v>
      </c>
      <c r="B1504" s="7" t="s">
        <v>4071</v>
      </c>
      <c r="C1504" s="7" t="s">
        <v>67</v>
      </c>
      <c r="D1504" s="8">
        <v>44805</v>
      </c>
      <c r="E1504" s="8" t="s">
        <v>0</v>
      </c>
      <c r="F1504" s="16" t="s">
        <v>4072</v>
      </c>
      <c r="G1504" s="7" t="s">
        <v>4073</v>
      </c>
      <c r="H1504" s="7" t="s">
        <v>0</v>
      </c>
      <c r="I1504" s="7" t="s">
        <v>8802</v>
      </c>
      <c r="J1504" s="7" t="s">
        <v>8802</v>
      </c>
      <c r="K1504" s="7" t="s">
        <v>47</v>
      </c>
      <c r="L1504" s="7" t="s">
        <v>86</v>
      </c>
      <c r="M1504" s="7" t="s">
        <v>0</v>
      </c>
      <c r="N1504" s="7" t="s">
        <v>8801</v>
      </c>
      <c r="O1504" s="7" t="s">
        <v>0</v>
      </c>
      <c r="P1504" s="7" t="s">
        <v>237</v>
      </c>
      <c r="Q1504" s="7" t="s">
        <v>8803</v>
      </c>
      <c r="R1504" s="7" t="s">
        <v>519</v>
      </c>
      <c r="S1504" s="7" t="s">
        <v>519</v>
      </c>
      <c r="T1504" s="7" t="s">
        <v>54</v>
      </c>
      <c r="U1504" s="7" t="s">
        <v>362</v>
      </c>
      <c r="V1504" s="7" t="s">
        <v>295</v>
      </c>
      <c r="W1504" s="7" t="s">
        <v>74</v>
      </c>
      <c r="X1504" s="7" t="s">
        <v>103</v>
      </c>
      <c r="Y1504" s="8">
        <v>44805</v>
      </c>
      <c r="Z1504" s="8">
        <v>46022</v>
      </c>
      <c r="AA1504" s="7" t="s">
        <v>296</v>
      </c>
      <c r="AB1504" s="7" t="s">
        <v>139</v>
      </c>
      <c r="AC1504" s="7" t="s">
        <v>65</v>
      </c>
      <c r="AD1504" s="7" t="s">
        <v>514</v>
      </c>
      <c r="AE1504" s="7" t="s">
        <v>0</v>
      </c>
      <c r="AF1504" s="7" t="s">
        <v>0</v>
      </c>
      <c r="AG1504" s="7" t="s">
        <v>0</v>
      </c>
      <c r="AH1504" s="9" t="s">
        <v>0</v>
      </c>
      <c r="AI1504" s="9" t="s">
        <v>0</v>
      </c>
      <c r="AJ1504" s="9" t="s">
        <v>0</v>
      </c>
      <c r="AK1504" s="7" t="s">
        <v>61</v>
      </c>
      <c r="AL1504" s="7" t="s">
        <v>61</v>
      </c>
      <c r="AM1504" s="7" t="s">
        <v>0</v>
      </c>
      <c r="AN1504" s="7" t="s">
        <v>0</v>
      </c>
      <c r="AO1504" s="7" t="s">
        <v>0</v>
      </c>
      <c r="AP1504" s="7" t="s">
        <v>0</v>
      </c>
      <c r="AQ1504" s="7" t="s">
        <v>61</v>
      </c>
      <c r="AR1504" s="7" t="s">
        <v>0</v>
      </c>
      <c r="AS1504" s="10" t="str">
        <f>HYPERLINK("https://tessa.gazprom-neft.local/edo/card/a9479f75-2cbc-4257-85b3-7d488db34ff2", "https://tessa.gazprom-neft.local/edo/card/a9479f75-2cbc-4257-85b3-7d488db34ff2")</f>
        <v>https://tessa.gazprom-neft.local/edo/card/a9479f75-2cbc-4257-85b3-7d488db34ff2</v>
      </c>
    </row>
    <row r="1505" spans="1:45" x14ac:dyDescent="0.25">
      <c r="A1505" s="6" t="s">
        <v>44</v>
      </c>
      <c r="B1505" s="7" t="s">
        <v>4496</v>
      </c>
      <c r="C1505" s="7" t="s">
        <v>46</v>
      </c>
      <c r="D1505" s="8">
        <v>44804</v>
      </c>
      <c r="E1505" s="8" t="s">
        <v>0</v>
      </c>
      <c r="F1505" s="16" t="s">
        <v>4497</v>
      </c>
      <c r="G1505" s="7" t="s">
        <v>4498</v>
      </c>
      <c r="H1505" s="7" t="s">
        <v>7590</v>
      </c>
      <c r="I1505" s="7" t="s">
        <v>0</v>
      </c>
      <c r="J1505" s="7" t="s">
        <v>51</v>
      </c>
      <c r="K1505" s="7" t="s">
        <v>47</v>
      </c>
      <c r="L1505" s="7" t="s">
        <v>48</v>
      </c>
      <c r="M1505" s="7" t="s">
        <v>0</v>
      </c>
      <c r="N1505" s="7" t="s">
        <v>7813</v>
      </c>
      <c r="O1505" s="7" t="s">
        <v>0</v>
      </c>
      <c r="P1505" s="7" t="s">
        <v>7814</v>
      </c>
      <c r="Q1505" s="7" t="s">
        <v>4489</v>
      </c>
      <c r="R1505" s="7" t="s">
        <v>1199</v>
      </c>
      <c r="S1505" s="7" t="s">
        <v>1199</v>
      </c>
      <c r="T1505" s="7" t="s">
        <v>54</v>
      </c>
      <c r="U1505" s="7" t="s">
        <v>605</v>
      </c>
      <c r="V1505" s="7" t="s">
        <v>382</v>
      </c>
      <c r="W1505" s="7" t="s">
        <v>57</v>
      </c>
      <c r="X1505" s="7" t="s">
        <v>103</v>
      </c>
      <c r="Y1505" s="8">
        <v>44804</v>
      </c>
      <c r="Z1505" s="8">
        <v>44925</v>
      </c>
      <c r="AA1505" s="7" t="s">
        <v>383</v>
      </c>
      <c r="AB1505" s="7" t="s">
        <v>2985</v>
      </c>
      <c r="AC1505" s="7" t="s">
        <v>79</v>
      </c>
      <c r="AD1505" s="7" t="s">
        <v>80</v>
      </c>
      <c r="AE1505" s="7" t="s">
        <v>82</v>
      </c>
      <c r="AF1505" s="7" t="s">
        <v>0</v>
      </c>
      <c r="AG1505" s="7" t="s">
        <v>0</v>
      </c>
      <c r="AH1505" s="9" t="s">
        <v>13332</v>
      </c>
      <c r="AI1505" s="9" t="s">
        <v>13333</v>
      </c>
      <c r="AJ1505" s="9" t="s">
        <v>13334</v>
      </c>
      <c r="AK1505" s="7" t="s">
        <v>61</v>
      </c>
      <c r="AL1505" s="7" t="s">
        <v>61</v>
      </c>
      <c r="AM1505" s="7" t="s">
        <v>0</v>
      </c>
      <c r="AN1505" s="7" t="s">
        <v>0</v>
      </c>
      <c r="AO1505" s="7" t="s">
        <v>0</v>
      </c>
      <c r="AP1505" s="7" t="s">
        <v>0</v>
      </c>
      <c r="AQ1505" s="7" t="s">
        <v>61</v>
      </c>
      <c r="AR1505" s="7" t="s">
        <v>0</v>
      </c>
      <c r="AS1505" s="10" t="str">
        <f>HYPERLINK("https://tessa.gazprom-neft.local/edo/card/ed907342-7c5e-4754-8440-243d99f052f9", "https://tessa.gazprom-neft.local/edo/card/ed907342-7c5e-4754-8440-243d99f052f9")</f>
        <v>https://tessa.gazprom-neft.local/edo/card/ed907342-7c5e-4754-8440-243d99f052f9</v>
      </c>
    </row>
    <row r="1506" spans="1:45" x14ac:dyDescent="0.25">
      <c r="A1506" s="6" t="s">
        <v>44</v>
      </c>
      <c r="B1506" s="7" t="s">
        <v>1200</v>
      </c>
      <c r="C1506" s="7" t="s">
        <v>46</v>
      </c>
      <c r="D1506" s="8">
        <v>44804</v>
      </c>
      <c r="E1506" s="8" t="s">
        <v>0</v>
      </c>
      <c r="F1506" s="16" t="s">
        <v>1201</v>
      </c>
      <c r="G1506" s="7" t="s">
        <v>1202</v>
      </c>
      <c r="H1506" s="7" t="s">
        <v>7310</v>
      </c>
      <c r="I1506" s="7" t="s">
        <v>0</v>
      </c>
      <c r="J1506" s="7" t="s">
        <v>51</v>
      </c>
      <c r="K1506" s="7" t="s">
        <v>47</v>
      </c>
      <c r="L1506" s="7" t="s">
        <v>48</v>
      </c>
      <c r="M1506" s="7" t="s">
        <v>0</v>
      </c>
      <c r="N1506" s="7" t="s">
        <v>7829</v>
      </c>
      <c r="O1506" s="7" t="s">
        <v>0</v>
      </c>
      <c r="P1506" s="7" t="s">
        <v>7830</v>
      </c>
      <c r="Q1506" s="7" t="s">
        <v>4489</v>
      </c>
      <c r="R1506" s="7" t="s">
        <v>1199</v>
      </c>
      <c r="S1506" s="7" t="s">
        <v>1199</v>
      </c>
      <c r="T1506" s="7" t="s">
        <v>54</v>
      </c>
      <c r="U1506" s="7" t="s">
        <v>605</v>
      </c>
      <c r="V1506" s="7" t="s">
        <v>382</v>
      </c>
      <c r="W1506" s="7" t="s">
        <v>57</v>
      </c>
      <c r="X1506" s="7" t="s">
        <v>103</v>
      </c>
      <c r="Y1506" s="8">
        <v>44804</v>
      </c>
      <c r="Z1506" s="8">
        <v>44925</v>
      </c>
      <c r="AA1506" s="7" t="s">
        <v>383</v>
      </c>
      <c r="AB1506" s="7" t="s">
        <v>1203</v>
      </c>
      <c r="AC1506" s="7" t="s">
        <v>79</v>
      </c>
      <c r="AD1506" s="7" t="s">
        <v>80</v>
      </c>
      <c r="AE1506" s="7" t="s">
        <v>82</v>
      </c>
      <c r="AF1506" s="7" t="s">
        <v>0</v>
      </c>
      <c r="AG1506" s="7" t="s">
        <v>0</v>
      </c>
      <c r="AH1506" s="9" t="s">
        <v>13343</v>
      </c>
      <c r="AI1506" s="9" t="s">
        <v>13344</v>
      </c>
      <c r="AJ1506" s="9" t="s">
        <v>13345</v>
      </c>
      <c r="AK1506" s="7" t="s">
        <v>61</v>
      </c>
      <c r="AL1506" s="7" t="s">
        <v>61</v>
      </c>
      <c r="AM1506" s="7" t="s">
        <v>0</v>
      </c>
      <c r="AN1506" s="7" t="s">
        <v>0</v>
      </c>
      <c r="AO1506" s="7" t="s">
        <v>0</v>
      </c>
      <c r="AP1506" s="7" t="s">
        <v>0</v>
      </c>
      <c r="AQ1506" s="7" t="s">
        <v>61</v>
      </c>
      <c r="AR1506" s="7" t="s">
        <v>0</v>
      </c>
      <c r="AS1506" s="10" t="str">
        <f>HYPERLINK("https://tessa.gazprom-neft.local/edo/card/3f87831c-c733-4321-9da9-79ff71338b05", "https://tessa.gazprom-neft.local/edo/card/3f87831c-c733-4321-9da9-79ff71338b05")</f>
        <v>https://tessa.gazprom-neft.local/edo/card/3f87831c-c733-4321-9da9-79ff71338b05</v>
      </c>
    </row>
    <row r="1507" spans="1:45" x14ac:dyDescent="0.25">
      <c r="A1507" s="6" t="s">
        <v>44</v>
      </c>
      <c r="B1507" s="7" t="s">
        <v>1435</v>
      </c>
      <c r="C1507" s="7" t="s">
        <v>67</v>
      </c>
      <c r="D1507" s="8">
        <v>44804</v>
      </c>
      <c r="E1507" s="8" t="s">
        <v>0</v>
      </c>
      <c r="F1507" s="16" t="s">
        <v>1436</v>
      </c>
      <c r="G1507" s="7" t="s">
        <v>1437</v>
      </c>
      <c r="H1507" s="7" t="s">
        <v>5488</v>
      </c>
      <c r="I1507" s="7" t="s">
        <v>0</v>
      </c>
      <c r="J1507" s="7" t="s">
        <v>355</v>
      </c>
      <c r="K1507" s="7" t="s">
        <v>47</v>
      </c>
      <c r="L1507" s="7" t="s">
        <v>48</v>
      </c>
      <c r="M1507" s="7" t="s">
        <v>0</v>
      </c>
      <c r="N1507" s="7" t="s">
        <v>8509</v>
      </c>
      <c r="O1507" s="7" t="s">
        <v>0</v>
      </c>
      <c r="P1507" s="7" t="s">
        <v>5489</v>
      </c>
      <c r="Q1507" s="7" t="s">
        <v>5490</v>
      </c>
      <c r="R1507" s="7" t="s">
        <v>1523</v>
      </c>
      <c r="S1507" s="7" t="s">
        <v>187</v>
      </c>
      <c r="T1507" s="7" t="s">
        <v>54</v>
      </c>
      <c r="U1507" s="7" t="s">
        <v>188</v>
      </c>
      <c r="V1507" s="7" t="s">
        <v>137</v>
      </c>
      <c r="W1507" s="7" t="s">
        <v>57</v>
      </c>
      <c r="X1507" s="7" t="s">
        <v>103</v>
      </c>
      <c r="Y1507" s="8">
        <v>44805</v>
      </c>
      <c r="Z1507" s="8">
        <v>44926</v>
      </c>
      <c r="AA1507" s="7" t="s">
        <v>0</v>
      </c>
      <c r="AB1507" s="7" t="s">
        <v>64</v>
      </c>
      <c r="AC1507" s="7" t="s">
        <v>65</v>
      </c>
      <c r="AD1507" s="7" t="s">
        <v>0</v>
      </c>
      <c r="AE1507" s="7" t="s">
        <v>0</v>
      </c>
      <c r="AF1507" s="7" t="s">
        <v>0</v>
      </c>
      <c r="AG1507" s="7" t="s">
        <v>0</v>
      </c>
      <c r="AH1507" s="9" t="s">
        <v>0</v>
      </c>
      <c r="AI1507" s="9" t="s">
        <v>0</v>
      </c>
      <c r="AJ1507" s="9" t="s">
        <v>0</v>
      </c>
      <c r="AK1507" s="7" t="s">
        <v>61</v>
      </c>
      <c r="AL1507" s="7" t="s">
        <v>61</v>
      </c>
      <c r="AM1507" s="7" t="s">
        <v>0</v>
      </c>
      <c r="AN1507" s="7" t="s">
        <v>0</v>
      </c>
      <c r="AO1507" s="7" t="s">
        <v>0</v>
      </c>
      <c r="AP1507" s="7" t="s">
        <v>0</v>
      </c>
      <c r="AQ1507" s="7" t="s">
        <v>61</v>
      </c>
      <c r="AR1507" s="7" t="s">
        <v>0</v>
      </c>
      <c r="AS1507" s="10" t="str">
        <f>HYPERLINK("https://tessa.gazprom-neft.local/edo/card/c5f0258f-a0dd-45e8-be24-b66cea359543", "https://tessa.gazprom-neft.local/edo/card/c5f0258f-a0dd-45e8-be24-b66cea359543")</f>
        <v>https://tessa.gazprom-neft.local/edo/card/c5f0258f-a0dd-45e8-be24-b66cea359543</v>
      </c>
    </row>
    <row r="1508" spans="1:45" x14ac:dyDescent="0.25">
      <c r="A1508" s="6" t="s">
        <v>44</v>
      </c>
      <c r="B1508" s="7" t="s">
        <v>8952</v>
      </c>
      <c r="C1508" s="7" t="s">
        <v>67</v>
      </c>
      <c r="D1508" s="8">
        <v>44803</v>
      </c>
      <c r="E1508" s="8" t="s">
        <v>0</v>
      </c>
      <c r="F1508" s="16" t="s">
        <v>8953</v>
      </c>
      <c r="G1508" s="7" t="s">
        <v>8954</v>
      </c>
      <c r="H1508" s="7" t="s">
        <v>3224</v>
      </c>
      <c r="I1508" s="7" t="s">
        <v>0</v>
      </c>
      <c r="J1508" s="7" t="s">
        <v>51</v>
      </c>
      <c r="K1508" s="7" t="s">
        <v>47</v>
      </c>
      <c r="L1508" s="7" t="s">
        <v>48</v>
      </c>
      <c r="M1508" s="7" t="s">
        <v>0</v>
      </c>
      <c r="N1508" s="7" t="s">
        <v>8949</v>
      </c>
      <c r="O1508" s="7" t="s">
        <v>51</v>
      </c>
      <c r="P1508" s="7" t="s">
        <v>8950</v>
      </c>
      <c r="Q1508" s="7" t="s">
        <v>8951</v>
      </c>
      <c r="R1508" s="7" t="s">
        <v>198</v>
      </c>
      <c r="S1508" s="7" t="s">
        <v>198</v>
      </c>
      <c r="T1508" s="7" t="s">
        <v>54</v>
      </c>
      <c r="U1508" s="7" t="s">
        <v>199</v>
      </c>
      <c r="V1508" s="7" t="s">
        <v>126</v>
      </c>
      <c r="W1508" s="7" t="s">
        <v>57</v>
      </c>
      <c r="X1508" s="7" t="s">
        <v>58</v>
      </c>
      <c r="Y1508" s="8">
        <v>44495</v>
      </c>
      <c r="Z1508" s="8" t="s">
        <v>0</v>
      </c>
      <c r="AA1508" s="7" t="s">
        <v>224</v>
      </c>
      <c r="AB1508" s="7" t="s">
        <v>3227</v>
      </c>
      <c r="AC1508" s="7" t="s">
        <v>65</v>
      </c>
      <c r="AD1508" s="7" t="s">
        <v>80</v>
      </c>
      <c r="AE1508" s="7" t="s">
        <v>0</v>
      </c>
      <c r="AF1508" s="7" t="s">
        <v>0</v>
      </c>
      <c r="AG1508" s="7" t="s">
        <v>0</v>
      </c>
      <c r="AH1508" s="9" t="s">
        <v>0</v>
      </c>
      <c r="AI1508" s="9" t="s">
        <v>0</v>
      </c>
      <c r="AJ1508" s="9" t="s">
        <v>0</v>
      </c>
      <c r="AK1508" s="7" t="s">
        <v>61</v>
      </c>
      <c r="AL1508" s="7" t="s">
        <v>61</v>
      </c>
      <c r="AM1508" s="7" t="s">
        <v>0</v>
      </c>
      <c r="AN1508" s="7" t="s">
        <v>0</v>
      </c>
      <c r="AO1508" s="7" t="s">
        <v>0</v>
      </c>
      <c r="AP1508" s="7" t="s">
        <v>0</v>
      </c>
      <c r="AQ1508" s="7" t="s">
        <v>61</v>
      </c>
      <c r="AR1508" s="7" t="s">
        <v>0</v>
      </c>
      <c r="AS1508" s="10" t="str">
        <f>HYPERLINK("https://tessa.gazprom-neft.local/edo/card/7f6e55d9-efa8-4250-8a64-23db0a636e35", "https://tessa.gazprom-neft.local/edo/card/7f6e55d9-efa8-4250-8a64-23db0a636e35")</f>
        <v>https://tessa.gazprom-neft.local/edo/card/7f6e55d9-efa8-4250-8a64-23db0a636e35</v>
      </c>
    </row>
    <row r="1509" spans="1:45" x14ac:dyDescent="0.25">
      <c r="A1509" s="6" t="s">
        <v>44</v>
      </c>
      <c r="B1509" s="7" t="s">
        <v>813</v>
      </c>
      <c r="C1509" s="7" t="s">
        <v>67</v>
      </c>
      <c r="D1509" s="8">
        <v>44798</v>
      </c>
      <c r="E1509" s="8" t="s">
        <v>0</v>
      </c>
      <c r="F1509" s="16" t="s">
        <v>814</v>
      </c>
      <c r="G1509" s="7" t="s">
        <v>815</v>
      </c>
      <c r="H1509" s="7" t="s">
        <v>809</v>
      </c>
      <c r="I1509" s="7" t="s">
        <v>0</v>
      </c>
      <c r="J1509" s="7" t="s">
        <v>355</v>
      </c>
      <c r="K1509" s="7" t="s">
        <v>47</v>
      </c>
      <c r="L1509" s="7" t="s">
        <v>48</v>
      </c>
      <c r="M1509" s="7" t="s">
        <v>0</v>
      </c>
      <c r="N1509" s="7" t="s">
        <v>8441</v>
      </c>
      <c r="O1509" s="7" t="s">
        <v>0</v>
      </c>
      <c r="P1509" s="7" t="s">
        <v>8442</v>
      </c>
      <c r="Q1509" s="7" t="s">
        <v>4088</v>
      </c>
      <c r="R1509" s="7" t="s">
        <v>812</v>
      </c>
      <c r="S1509" s="7" t="s">
        <v>812</v>
      </c>
      <c r="T1509" s="7" t="s">
        <v>54</v>
      </c>
      <c r="U1509" s="7" t="s">
        <v>1534</v>
      </c>
      <c r="V1509" s="7" t="s">
        <v>56</v>
      </c>
      <c r="W1509" s="7" t="s">
        <v>57</v>
      </c>
      <c r="X1509" s="7" t="s">
        <v>103</v>
      </c>
      <c r="Y1509" s="8">
        <v>44798</v>
      </c>
      <c r="Z1509" s="8">
        <v>46387</v>
      </c>
      <c r="AA1509" s="7" t="s">
        <v>59</v>
      </c>
      <c r="AB1509" s="7" t="s">
        <v>256</v>
      </c>
      <c r="AC1509" s="7" t="s">
        <v>65</v>
      </c>
      <c r="AD1509" s="7" t="s">
        <v>80</v>
      </c>
      <c r="AE1509" s="7" t="s">
        <v>0</v>
      </c>
      <c r="AF1509" s="7" t="s">
        <v>0</v>
      </c>
      <c r="AG1509" s="7" t="s">
        <v>0</v>
      </c>
      <c r="AH1509" s="9" t="s">
        <v>0</v>
      </c>
      <c r="AI1509" s="9" t="s">
        <v>0</v>
      </c>
      <c r="AJ1509" s="9" t="s">
        <v>0</v>
      </c>
      <c r="AK1509" s="7" t="s">
        <v>61</v>
      </c>
      <c r="AL1509" s="7" t="s">
        <v>61</v>
      </c>
      <c r="AM1509" s="7" t="s">
        <v>0</v>
      </c>
      <c r="AN1509" s="7" t="s">
        <v>0</v>
      </c>
      <c r="AO1509" s="7" t="s">
        <v>0</v>
      </c>
      <c r="AP1509" s="7" t="s">
        <v>0</v>
      </c>
      <c r="AQ1509" s="7" t="s">
        <v>61</v>
      </c>
      <c r="AR1509" s="7" t="s">
        <v>0</v>
      </c>
      <c r="AS1509" s="10" t="str">
        <f>HYPERLINK("https://tessa.gazprom-neft.local/edo/card/6db1bf51-145f-43f3-851f-b1a9e221df08", "https://tessa.gazprom-neft.local/edo/card/6db1bf51-145f-43f3-851f-b1a9e221df08")</f>
        <v>https://tessa.gazprom-neft.local/edo/card/6db1bf51-145f-43f3-851f-b1a9e221df08</v>
      </c>
    </row>
    <row r="1510" spans="1:45" hidden="1" x14ac:dyDescent="0.25">
      <c r="A1510" s="6" t="s">
        <v>44</v>
      </c>
      <c r="B1510" s="7" t="s">
        <v>813</v>
      </c>
      <c r="C1510" s="7" t="s">
        <v>67</v>
      </c>
      <c r="D1510" s="8">
        <v>44798</v>
      </c>
      <c r="E1510" s="8" t="s">
        <v>0</v>
      </c>
      <c r="F1510" s="16" t="s">
        <v>814</v>
      </c>
      <c r="G1510" s="7" t="s">
        <v>815</v>
      </c>
      <c r="H1510" s="7" t="s">
        <v>809</v>
      </c>
      <c r="I1510" s="7" t="s">
        <v>0</v>
      </c>
      <c r="J1510" s="7" t="s">
        <v>156</v>
      </c>
      <c r="K1510" s="7" t="s">
        <v>47</v>
      </c>
      <c r="L1510" s="7" t="s">
        <v>709</v>
      </c>
      <c r="M1510" s="7" t="s">
        <v>0</v>
      </c>
      <c r="N1510" s="7" t="s">
        <v>8612</v>
      </c>
      <c r="O1510" s="7" t="s">
        <v>0</v>
      </c>
      <c r="P1510" s="7" t="s">
        <v>8613</v>
      </c>
      <c r="Q1510" s="7" t="s">
        <v>8614</v>
      </c>
      <c r="R1510" s="7" t="s">
        <v>812</v>
      </c>
      <c r="S1510" s="7" t="s">
        <v>812</v>
      </c>
      <c r="T1510" s="7" t="s">
        <v>54</v>
      </c>
      <c r="U1510" s="7" t="s">
        <v>1534</v>
      </c>
      <c r="V1510" s="7" t="s">
        <v>56</v>
      </c>
      <c r="W1510" s="7" t="s">
        <v>57</v>
      </c>
      <c r="X1510" s="7" t="s">
        <v>103</v>
      </c>
      <c r="Y1510" s="8">
        <v>44798</v>
      </c>
      <c r="Z1510" s="8">
        <v>44895</v>
      </c>
      <c r="AA1510" s="7" t="s">
        <v>59</v>
      </c>
      <c r="AB1510" s="7" t="s">
        <v>256</v>
      </c>
      <c r="AC1510" s="7" t="s">
        <v>79</v>
      </c>
      <c r="AD1510" s="7" t="s">
        <v>80</v>
      </c>
      <c r="AE1510" s="7" t="s">
        <v>82</v>
      </c>
      <c r="AF1510" s="7" t="s">
        <v>0</v>
      </c>
      <c r="AG1510" s="7" t="s">
        <v>0</v>
      </c>
      <c r="AH1510" s="9" t="s">
        <v>13619</v>
      </c>
      <c r="AI1510" s="9" t="s">
        <v>13620</v>
      </c>
      <c r="AJ1510" s="9" t="s">
        <v>13621</v>
      </c>
      <c r="AK1510" s="7" t="s">
        <v>61</v>
      </c>
      <c r="AL1510" s="7" t="s">
        <v>61</v>
      </c>
      <c r="AM1510" s="7" t="s">
        <v>0</v>
      </c>
      <c r="AN1510" s="7" t="s">
        <v>0</v>
      </c>
      <c r="AO1510" s="7" t="s">
        <v>0</v>
      </c>
      <c r="AP1510" s="7" t="s">
        <v>0</v>
      </c>
      <c r="AQ1510" s="7" t="s">
        <v>61</v>
      </c>
      <c r="AR1510" s="7" t="s">
        <v>0</v>
      </c>
      <c r="AS1510" s="10" t="str">
        <f>HYPERLINK("https://tessa.gazprom-neft.local/edo/card/1c34d4db-5d3c-4e96-b75f-4226ef362279", "https://tessa.gazprom-neft.local/edo/card/1c34d4db-5d3c-4e96-b75f-4226ef362279")</f>
        <v>https://tessa.gazprom-neft.local/edo/card/1c34d4db-5d3c-4e96-b75f-4226ef362279</v>
      </c>
    </row>
    <row r="1511" spans="1:45" hidden="1" x14ac:dyDescent="0.25">
      <c r="A1511" s="6" t="s">
        <v>44</v>
      </c>
      <c r="B1511" s="7" t="s">
        <v>813</v>
      </c>
      <c r="C1511" s="7" t="s">
        <v>67</v>
      </c>
      <c r="D1511" s="8">
        <v>44798</v>
      </c>
      <c r="E1511" s="8" t="s">
        <v>0</v>
      </c>
      <c r="F1511" s="16" t="s">
        <v>814</v>
      </c>
      <c r="G1511" s="7" t="s">
        <v>815</v>
      </c>
      <c r="H1511" s="7" t="s">
        <v>809</v>
      </c>
      <c r="I1511" s="7" t="s">
        <v>0</v>
      </c>
      <c r="J1511" s="7" t="s">
        <v>355</v>
      </c>
      <c r="K1511" s="7" t="s">
        <v>47</v>
      </c>
      <c r="L1511" s="7" t="s">
        <v>709</v>
      </c>
      <c r="M1511" s="7" t="s">
        <v>0</v>
      </c>
      <c r="N1511" s="7" t="s">
        <v>8621</v>
      </c>
      <c r="O1511" s="7" t="s">
        <v>0</v>
      </c>
      <c r="P1511" s="7" t="s">
        <v>8622</v>
      </c>
      <c r="Q1511" s="7" t="s">
        <v>8623</v>
      </c>
      <c r="R1511" s="7" t="s">
        <v>812</v>
      </c>
      <c r="S1511" s="7" t="s">
        <v>812</v>
      </c>
      <c r="T1511" s="7" t="s">
        <v>54</v>
      </c>
      <c r="U1511" s="7" t="s">
        <v>1534</v>
      </c>
      <c r="V1511" s="7" t="s">
        <v>56</v>
      </c>
      <c r="W1511" s="7" t="s">
        <v>57</v>
      </c>
      <c r="X1511" s="7" t="s">
        <v>103</v>
      </c>
      <c r="Y1511" s="8">
        <v>44798</v>
      </c>
      <c r="Z1511" s="8">
        <v>44829</v>
      </c>
      <c r="AA1511" s="7" t="s">
        <v>59</v>
      </c>
      <c r="AB1511" s="7" t="s">
        <v>256</v>
      </c>
      <c r="AC1511" s="7" t="s">
        <v>79</v>
      </c>
      <c r="AD1511" s="7" t="s">
        <v>80</v>
      </c>
      <c r="AE1511" s="7" t="s">
        <v>82</v>
      </c>
      <c r="AF1511" s="7" t="s">
        <v>0</v>
      </c>
      <c r="AG1511" s="7" t="s">
        <v>0</v>
      </c>
      <c r="AH1511" s="9" t="s">
        <v>13623</v>
      </c>
      <c r="AI1511" s="9" t="s">
        <v>13624</v>
      </c>
      <c r="AJ1511" s="9" t="s">
        <v>13625</v>
      </c>
      <c r="AK1511" s="7" t="s">
        <v>61</v>
      </c>
      <c r="AL1511" s="7" t="s">
        <v>61</v>
      </c>
      <c r="AM1511" s="7" t="s">
        <v>0</v>
      </c>
      <c r="AN1511" s="7" t="s">
        <v>0</v>
      </c>
      <c r="AO1511" s="7" t="s">
        <v>0</v>
      </c>
      <c r="AP1511" s="7" t="s">
        <v>0</v>
      </c>
      <c r="AQ1511" s="7" t="s">
        <v>61</v>
      </c>
      <c r="AR1511" s="7" t="s">
        <v>0</v>
      </c>
      <c r="AS1511" s="10" t="str">
        <f>HYPERLINK("https://tessa.gazprom-neft.local/edo/card/1e117058-c442-4f84-a98c-b1a503fb2313", "https://tessa.gazprom-neft.local/edo/card/1e117058-c442-4f84-a98c-b1a503fb2313")</f>
        <v>https://tessa.gazprom-neft.local/edo/card/1e117058-c442-4f84-a98c-b1a503fb2313</v>
      </c>
    </row>
    <row r="1512" spans="1:45" x14ac:dyDescent="0.25">
      <c r="A1512" s="6" t="s">
        <v>44</v>
      </c>
      <c r="B1512" s="7" t="s">
        <v>488</v>
      </c>
      <c r="C1512" s="7" t="s">
        <v>67</v>
      </c>
      <c r="D1512" s="8">
        <v>44797</v>
      </c>
      <c r="E1512" s="8" t="s">
        <v>0</v>
      </c>
      <c r="F1512" s="16" t="s">
        <v>489</v>
      </c>
      <c r="G1512" s="7" t="s">
        <v>490</v>
      </c>
      <c r="H1512" s="7" t="s">
        <v>2173</v>
      </c>
      <c r="I1512" s="7" t="s">
        <v>0</v>
      </c>
      <c r="J1512" s="7" t="s">
        <v>355</v>
      </c>
      <c r="K1512" s="7" t="s">
        <v>47</v>
      </c>
      <c r="L1512" s="7" t="s">
        <v>48</v>
      </c>
      <c r="M1512" s="7" t="s">
        <v>0</v>
      </c>
      <c r="N1512" s="7" t="s">
        <v>8497</v>
      </c>
      <c r="O1512" s="7" t="s">
        <v>0</v>
      </c>
      <c r="P1512" s="7" t="s">
        <v>8498</v>
      </c>
      <c r="Q1512" s="7" t="s">
        <v>8499</v>
      </c>
      <c r="R1512" s="7" t="s">
        <v>282</v>
      </c>
      <c r="S1512" s="7" t="s">
        <v>0</v>
      </c>
      <c r="T1512" s="7" t="s">
        <v>54</v>
      </c>
      <c r="U1512" s="7" t="s">
        <v>55</v>
      </c>
      <c r="V1512" s="7" t="s">
        <v>56</v>
      </c>
      <c r="W1512" s="7" t="s">
        <v>57</v>
      </c>
      <c r="X1512" s="7" t="s">
        <v>103</v>
      </c>
      <c r="Y1512" s="8">
        <v>44797</v>
      </c>
      <c r="Z1512" s="8">
        <v>45657</v>
      </c>
      <c r="AA1512" s="7" t="s">
        <v>0</v>
      </c>
      <c r="AB1512" s="7" t="s">
        <v>874</v>
      </c>
      <c r="AC1512" s="7" t="s">
        <v>65</v>
      </c>
      <c r="AD1512" s="7" t="s">
        <v>144</v>
      </c>
      <c r="AE1512" s="7" t="s">
        <v>0</v>
      </c>
      <c r="AF1512" s="7" t="s">
        <v>0</v>
      </c>
      <c r="AG1512" s="7" t="s">
        <v>0</v>
      </c>
      <c r="AH1512" s="9" t="s">
        <v>0</v>
      </c>
      <c r="AI1512" s="9" t="s">
        <v>0</v>
      </c>
      <c r="AJ1512" s="9" t="s">
        <v>0</v>
      </c>
      <c r="AK1512" s="7" t="s">
        <v>61</v>
      </c>
      <c r="AL1512" s="7" t="s">
        <v>61</v>
      </c>
      <c r="AM1512" s="7" t="s">
        <v>0</v>
      </c>
      <c r="AN1512" s="7" t="s">
        <v>0</v>
      </c>
      <c r="AO1512" s="7" t="s">
        <v>0</v>
      </c>
      <c r="AP1512" s="7" t="s">
        <v>0</v>
      </c>
      <c r="AQ1512" s="7" t="s">
        <v>61</v>
      </c>
      <c r="AR1512" s="7" t="s">
        <v>0</v>
      </c>
      <c r="AS1512" s="10" t="str">
        <f>HYPERLINK("https://tessa.gazprom-neft.local/edo/card/da8f47a9-19b7-43f3-ac96-8c852d421de4", "https://tessa.gazprom-neft.local/edo/card/da8f47a9-19b7-43f3-ac96-8c852d421de4")</f>
        <v>https://tessa.gazprom-neft.local/edo/card/da8f47a9-19b7-43f3-ac96-8c852d421de4</v>
      </c>
    </row>
    <row r="1513" spans="1:45" hidden="1" x14ac:dyDescent="0.25">
      <c r="A1513" s="6" t="s">
        <v>44</v>
      </c>
      <c r="B1513" s="7" t="s">
        <v>542</v>
      </c>
      <c r="C1513" s="7" t="s">
        <v>67</v>
      </c>
      <c r="D1513" s="8">
        <v>44797</v>
      </c>
      <c r="E1513" s="8" t="s">
        <v>0</v>
      </c>
      <c r="F1513" s="16" t="s">
        <v>543</v>
      </c>
      <c r="G1513" s="7" t="s">
        <v>544</v>
      </c>
      <c r="H1513" s="7" t="s">
        <v>2668</v>
      </c>
      <c r="I1513" s="7" t="s">
        <v>0</v>
      </c>
      <c r="J1513" s="7" t="s">
        <v>4356</v>
      </c>
      <c r="K1513" s="7" t="s">
        <v>47</v>
      </c>
      <c r="L1513" s="7" t="s">
        <v>239</v>
      </c>
      <c r="M1513" s="7" t="s">
        <v>0</v>
      </c>
      <c r="N1513" s="7" t="s">
        <v>8549</v>
      </c>
      <c r="O1513" s="7" t="s">
        <v>0</v>
      </c>
      <c r="P1513" s="7" t="s">
        <v>8550</v>
      </c>
      <c r="Q1513" s="7" t="s">
        <v>8551</v>
      </c>
      <c r="R1513" s="7" t="s">
        <v>244</v>
      </c>
      <c r="S1513" s="7" t="s">
        <v>8552</v>
      </c>
      <c r="T1513" s="7" t="s">
        <v>54</v>
      </c>
      <c r="U1513" s="7" t="s">
        <v>55</v>
      </c>
      <c r="V1513" s="7" t="s">
        <v>56</v>
      </c>
      <c r="W1513" s="7" t="s">
        <v>57</v>
      </c>
      <c r="X1513" s="7" t="s">
        <v>103</v>
      </c>
      <c r="Y1513" s="8">
        <v>44797</v>
      </c>
      <c r="Z1513" s="8">
        <v>44834</v>
      </c>
      <c r="AA1513" s="7" t="s">
        <v>59</v>
      </c>
      <c r="AB1513" s="7" t="s">
        <v>256</v>
      </c>
      <c r="AC1513" s="7" t="s">
        <v>79</v>
      </c>
      <c r="AD1513" s="7" t="s">
        <v>144</v>
      </c>
      <c r="AE1513" s="7" t="s">
        <v>82</v>
      </c>
      <c r="AF1513" s="7" t="s">
        <v>0</v>
      </c>
      <c r="AG1513" s="7" t="s">
        <v>0</v>
      </c>
      <c r="AH1513" s="9" t="s">
        <v>13591</v>
      </c>
      <c r="AI1513" s="9" t="s">
        <v>13592</v>
      </c>
      <c r="AJ1513" s="9" t="s">
        <v>13593</v>
      </c>
      <c r="AK1513" s="7" t="s">
        <v>61</v>
      </c>
      <c r="AL1513" s="7" t="s">
        <v>61</v>
      </c>
      <c r="AM1513" s="7" t="s">
        <v>0</v>
      </c>
      <c r="AN1513" s="7" t="s">
        <v>0</v>
      </c>
      <c r="AO1513" s="7" t="s">
        <v>0</v>
      </c>
      <c r="AP1513" s="7" t="s">
        <v>0</v>
      </c>
      <c r="AQ1513" s="7" t="s">
        <v>61</v>
      </c>
      <c r="AR1513" s="7" t="s">
        <v>0</v>
      </c>
      <c r="AS1513" s="10" t="str">
        <f>HYPERLINK("https://tessa.gazprom-neft.local/edo/card/b6be50fa-40db-479e-9791-381bada81e57", "https://tessa.gazprom-neft.local/edo/card/b6be50fa-40db-479e-9791-381bada81e57")</f>
        <v>https://tessa.gazprom-neft.local/edo/card/b6be50fa-40db-479e-9791-381bada81e57</v>
      </c>
    </row>
    <row r="1514" spans="1:45" x14ac:dyDescent="0.25">
      <c r="A1514" s="6" t="s">
        <v>44</v>
      </c>
      <c r="B1514" s="7" t="s">
        <v>2132</v>
      </c>
      <c r="C1514" s="7" t="s">
        <v>67</v>
      </c>
      <c r="D1514" s="8">
        <v>44796</v>
      </c>
      <c r="E1514" s="8" t="s">
        <v>0</v>
      </c>
      <c r="F1514" s="16" t="s">
        <v>2133</v>
      </c>
      <c r="G1514" s="7" t="s">
        <v>739</v>
      </c>
      <c r="H1514" s="7" t="s">
        <v>2130</v>
      </c>
      <c r="I1514" s="7" t="s">
        <v>0</v>
      </c>
      <c r="J1514" s="7" t="s">
        <v>51</v>
      </c>
      <c r="K1514" s="7" t="s">
        <v>47</v>
      </c>
      <c r="L1514" s="7" t="s">
        <v>48</v>
      </c>
      <c r="M1514" s="7" t="s">
        <v>0</v>
      </c>
      <c r="N1514" s="7" t="s">
        <v>8463</v>
      </c>
      <c r="O1514" s="7" t="s">
        <v>0</v>
      </c>
      <c r="P1514" s="7" t="s">
        <v>8464</v>
      </c>
      <c r="Q1514" s="7" t="s">
        <v>8465</v>
      </c>
      <c r="R1514" s="7" t="s">
        <v>338</v>
      </c>
      <c r="S1514" s="7" t="s">
        <v>8003</v>
      </c>
      <c r="T1514" s="7" t="s">
        <v>54</v>
      </c>
      <c r="U1514" s="7" t="s">
        <v>307</v>
      </c>
      <c r="V1514" s="7" t="s">
        <v>382</v>
      </c>
      <c r="W1514" s="7" t="s">
        <v>57</v>
      </c>
      <c r="X1514" s="7" t="s">
        <v>103</v>
      </c>
      <c r="Y1514" s="8">
        <v>44796</v>
      </c>
      <c r="Z1514" s="8">
        <v>45291</v>
      </c>
      <c r="AA1514" s="7" t="s">
        <v>383</v>
      </c>
      <c r="AB1514" s="7" t="s">
        <v>130</v>
      </c>
      <c r="AC1514" s="7" t="s">
        <v>65</v>
      </c>
      <c r="AD1514" s="7" t="s">
        <v>80</v>
      </c>
      <c r="AE1514" s="7" t="s">
        <v>0</v>
      </c>
      <c r="AF1514" s="7" t="s">
        <v>0</v>
      </c>
      <c r="AG1514" s="7" t="s">
        <v>0</v>
      </c>
      <c r="AH1514" s="9" t="s">
        <v>0</v>
      </c>
      <c r="AI1514" s="9" t="s">
        <v>0</v>
      </c>
      <c r="AJ1514" s="9" t="s">
        <v>0</v>
      </c>
      <c r="AK1514" s="7" t="s">
        <v>61</v>
      </c>
      <c r="AL1514" s="7" t="s">
        <v>61</v>
      </c>
      <c r="AM1514" s="7" t="s">
        <v>0</v>
      </c>
      <c r="AN1514" s="7" t="s">
        <v>0</v>
      </c>
      <c r="AO1514" s="7" t="s">
        <v>0</v>
      </c>
      <c r="AP1514" s="7" t="s">
        <v>0</v>
      </c>
      <c r="AQ1514" s="7" t="s">
        <v>61</v>
      </c>
      <c r="AR1514" s="7" t="s">
        <v>0</v>
      </c>
      <c r="AS1514" s="10" t="str">
        <f>HYPERLINK("https://tessa.gazprom-neft.local/edo/card/6a6bf506-01f8-49d0-a309-a55be09387d5", "https://tessa.gazprom-neft.local/edo/card/6a6bf506-01f8-49d0-a309-a55be09387d5")</f>
        <v>https://tessa.gazprom-neft.local/edo/card/6a6bf506-01f8-49d0-a309-a55be09387d5</v>
      </c>
    </row>
    <row r="1515" spans="1:45" hidden="1" x14ac:dyDescent="0.25">
      <c r="A1515" s="6" t="s">
        <v>44</v>
      </c>
      <c r="B1515" s="7" t="s">
        <v>1351</v>
      </c>
      <c r="C1515" s="7" t="s">
        <v>67</v>
      </c>
      <c r="D1515" s="8">
        <v>44795</v>
      </c>
      <c r="E1515" s="8" t="s">
        <v>0</v>
      </c>
      <c r="F1515" s="16" t="s">
        <v>1352</v>
      </c>
      <c r="G1515" s="7" t="s">
        <v>1353</v>
      </c>
      <c r="H1515" s="7" t="s">
        <v>0</v>
      </c>
      <c r="I1515" s="7" t="s">
        <v>8375</v>
      </c>
      <c r="J1515" s="7" t="s">
        <v>8375</v>
      </c>
      <c r="K1515" s="7" t="s">
        <v>47</v>
      </c>
      <c r="L1515" s="7" t="s">
        <v>86</v>
      </c>
      <c r="M1515" s="7" t="s">
        <v>0</v>
      </c>
      <c r="N1515" s="7" t="s">
        <v>8374</v>
      </c>
      <c r="O1515" s="7" t="s">
        <v>0</v>
      </c>
      <c r="P1515" s="7" t="s">
        <v>8376</v>
      </c>
      <c r="Q1515" s="7" t="s">
        <v>8360</v>
      </c>
      <c r="R1515" s="7" t="s">
        <v>1551</v>
      </c>
      <c r="S1515" s="7" t="s">
        <v>0</v>
      </c>
      <c r="T1515" s="7" t="s">
        <v>54</v>
      </c>
      <c r="U1515" s="7" t="s">
        <v>210</v>
      </c>
      <c r="V1515" s="7" t="s">
        <v>91</v>
      </c>
      <c r="W1515" s="7" t="s">
        <v>57</v>
      </c>
      <c r="X1515" s="7" t="s">
        <v>103</v>
      </c>
      <c r="Y1515" s="8">
        <v>44795</v>
      </c>
      <c r="Z1515" s="8">
        <v>46022</v>
      </c>
      <c r="AA1515" s="7" t="s">
        <v>92</v>
      </c>
      <c r="AB1515" s="7" t="s">
        <v>130</v>
      </c>
      <c r="AC1515" s="7" t="s">
        <v>65</v>
      </c>
      <c r="AD1515" s="7" t="s">
        <v>80</v>
      </c>
      <c r="AE1515" s="7" t="s">
        <v>0</v>
      </c>
      <c r="AF1515" s="7" t="s">
        <v>0</v>
      </c>
      <c r="AG1515" s="7" t="s">
        <v>0</v>
      </c>
      <c r="AH1515" s="9" t="s">
        <v>0</v>
      </c>
      <c r="AI1515" s="9" t="s">
        <v>0</v>
      </c>
      <c r="AJ1515" s="9" t="s">
        <v>0</v>
      </c>
      <c r="AK1515" s="7" t="s">
        <v>61</v>
      </c>
      <c r="AL1515" s="7" t="s">
        <v>61</v>
      </c>
      <c r="AM1515" s="7" t="s">
        <v>0</v>
      </c>
      <c r="AN1515" s="7" t="s">
        <v>0</v>
      </c>
      <c r="AO1515" s="7" t="s">
        <v>0</v>
      </c>
      <c r="AP1515" s="7" t="s">
        <v>0</v>
      </c>
      <c r="AQ1515" s="7" t="s">
        <v>61</v>
      </c>
      <c r="AR1515" s="7" t="s">
        <v>0</v>
      </c>
      <c r="AS1515" s="10" t="str">
        <f>HYPERLINK("https://tessa.gazprom-neft.local/edo/card/541a7524-24b7-4df3-8b1d-171a427f5c46", "https://tessa.gazprom-neft.local/edo/card/541a7524-24b7-4df3-8b1d-171a427f5c46")</f>
        <v>https://tessa.gazprom-neft.local/edo/card/541a7524-24b7-4df3-8b1d-171a427f5c46</v>
      </c>
    </row>
    <row r="1516" spans="1:45" hidden="1" x14ac:dyDescent="0.25">
      <c r="A1516" s="6" t="s">
        <v>44</v>
      </c>
      <c r="B1516" s="7" t="s">
        <v>3273</v>
      </c>
      <c r="C1516" s="7" t="s">
        <v>67</v>
      </c>
      <c r="D1516" s="8">
        <v>44795</v>
      </c>
      <c r="E1516" s="8" t="s">
        <v>0</v>
      </c>
      <c r="F1516" s="16" t="s">
        <v>3274</v>
      </c>
      <c r="G1516" s="7" t="s">
        <v>3275</v>
      </c>
      <c r="H1516" s="7" t="s">
        <v>0</v>
      </c>
      <c r="I1516" s="7" t="s">
        <v>3565</v>
      </c>
      <c r="J1516" s="7" t="s">
        <v>3565</v>
      </c>
      <c r="K1516" s="7" t="s">
        <v>47</v>
      </c>
      <c r="L1516" s="7" t="s">
        <v>96</v>
      </c>
      <c r="M1516" s="7" t="s">
        <v>0</v>
      </c>
      <c r="N1516" s="7" t="s">
        <v>8415</v>
      </c>
      <c r="O1516" s="7" t="s">
        <v>0</v>
      </c>
      <c r="P1516" s="7" t="s">
        <v>8416</v>
      </c>
      <c r="Q1516" s="7" t="s">
        <v>8417</v>
      </c>
      <c r="R1516" s="7" t="s">
        <v>1551</v>
      </c>
      <c r="S1516" s="7" t="s">
        <v>1551</v>
      </c>
      <c r="T1516" s="7" t="s">
        <v>54</v>
      </c>
      <c r="U1516" s="7" t="s">
        <v>210</v>
      </c>
      <c r="V1516" s="7" t="s">
        <v>917</v>
      </c>
      <c r="W1516" s="7" t="s">
        <v>74</v>
      </c>
      <c r="X1516" s="7" t="s">
        <v>103</v>
      </c>
      <c r="Y1516" s="8">
        <v>44795</v>
      </c>
      <c r="Z1516" s="8">
        <v>45291</v>
      </c>
      <c r="AA1516" s="7" t="s">
        <v>1278</v>
      </c>
      <c r="AB1516" s="7" t="s">
        <v>130</v>
      </c>
      <c r="AC1516" s="7" t="s">
        <v>79</v>
      </c>
      <c r="AD1516" s="7" t="s">
        <v>80</v>
      </c>
      <c r="AE1516" s="7" t="s">
        <v>82</v>
      </c>
      <c r="AF1516" s="7" t="s">
        <v>0</v>
      </c>
      <c r="AG1516" s="7" t="s">
        <v>0</v>
      </c>
      <c r="AH1516" s="9" t="s">
        <v>13539</v>
      </c>
      <c r="AI1516" s="9" t="s">
        <v>13540</v>
      </c>
      <c r="AJ1516" s="9" t="s">
        <v>13541</v>
      </c>
      <c r="AK1516" s="7" t="s">
        <v>61</v>
      </c>
      <c r="AL1516" s="7" t="s">
        <v>61</v>
      </c>
      <c r="AM1516" s="7" t="s">
        <v>0</v>
      </c>
      <c r="AN1516" s="7" t="s">
        <v>0</v>
      </c>
      <c r="AO1516" s="7" t="s">
        <v>0</v>
      </c>
      <c r="AP1516" s="7" t="s">
        <v>0</v>
      </c>
      <c r="AQ1516" s="7" t="s">
        <v>61</v>
      </c>
      <c r="AR1516" s="7" t="s">
        <v>0</v>
      </c>
      <c r="AS1516" s="10" t="str">
        <f>HYPERLINK("https://tessa.gazprom-neft.local/edo/card/d3e6e4e5-0781-46ad-9376-3282cde34e1a", "https://tessa.gazprom-neft.local/edo/card/d3e6e4e5-0781-46ad-9376-3282cde34e1a")</f>
        <v>https://tessa.gazprom-neft.local/edo/card/d3e6e4e5-0781-46ad-9376-3282cde34e1a</v>
      </c>
    </row>
    <row r="1517" spans="1:45" hidden="1" x14ac:dyDescent="0.25">
      <c r="A1517" s="6" t="s">
        <v>44</v>
      </c>
      <c r="B1517" s="7" t="s">
        <v>3273</v>
      </c>
      <c r="C1517" s="7" t="s">
        <v>67</v>
      </c>
      <c r="D1517" s="8">
        <v>44795</v>
      </c>
      <c r="E1517" s="8" t="s">
        <v>0</v>
      </c>
      <c r="F1517" s="16" t="s">
        <v>3274</v>
      </c>
      <c r="G1517" s="7" t="s">
        <v>3275</v>
      </c>
      <c r="H1517" s="7" t="s">
        <v>0</v>
      </c>
      <c r="I1517" s="7" t="s">
        <v>8449</v>
      </c>
      <c r="J1517" s="7" t="s">
        <v>8449</v>
      </c>
      <c r="K1517" s="7" t="s">
        <v>85</v>
      </c>
      <c r="L1517" s="7" t="s">
        <v>86</v>
      </c>
      <c r="M1517" s="7" t="s">
        <v>83</v>
      </c>
      <c r="N1517" s="7" t="s">
        <v>8448</v>
      </c>
      <c r="O1517" s="7" t="s">
        <v>0</v>
      </c>
      <c r="P1517" s="7" t="s">
        <v>83</v>
      </c>
      <c r="Q1517" s="7" t="s">
        <v>8279</v>
      </c>
      <c r="R1517" s="7" t="s">
        <v>1551</v>
      </c>
      <c r="S1517" s="7" t="s">
        <v>1551</v>
      </c>
      <c r="T1517" s="7" t="s">
        <v>54</v>
      </c>
      <c r="U1517" s="7" t="s">
        <v>303</v>
      </c>
      <c r="V1517" s="7" t="s">
        <v>91</v>
      </c>
      <c r="W1517" s="7" t="s">
        <v>74</v>
      </c>
      <c r="X1517" s="7" t="s">
        <v>103</v>
      </c>
      <c r="Y1517" s="8">
        <v>45291</v>
      </c>
      <c r="Z1517" s="8">
        <v>47118</v>
      </c>
      <c r="AA1517" s="7" t="s">
        <v>92</v>
      </c>
      <c r="AB1517" s="7" t="s">
        <v>94</v>
      </c>
      <c r="AC1517" s="7" t="s">
        <v>65</v>
      </c>
      <c r="AD1517" s="7" t="s">
        <v>0</v>
      </c>
      <c r="AE1517" s="7" t="s">
        <v>0</v>
      </c>
      <c r="AF1517" s="7" t="s">
        <v>0</v>
      </c>
      <c r="AG1517" s="7" t="s">
        <v>0</v>
      </c>
      <c r="AH1517" s="9" t="s">
        <v>0</v>
      </c>
      <c r="AI1517" s="9" t="s">
        <v>0</v>
      </c>
      <c r="AJ1517" s="9" t="s">
        <v>0</v>
      </c>
      <c r="AK1517" s="7" t="s">
        <v>61</v>
      </c>
      <c r="AL1517" s="7" t="s">
        <v>61</v>
      </c>
      <c r="AM1517" s="7" t="s">
        <v>0</v>
      </c>
      <c r="AN1517" s="7" t="s">
        <v>0</v>
      </c>
      <c r="AO1517" s="7" t="s">
        <v>0</v>
      </c>
      <c r="AP1517" s="7" t="s">
        <v>0</v>
      </c>
      <c r="AQ1517" s="7" t="s">
        <v>61</v>
      </c>
      <c r="AR1517" s="7" t="s">
        <v>0</v>
      </c>
      <c r="AS1517" s="10" t="str">
        <f>HYPERLINK("https://tessa.gazprom-neft.local/edo/card/5b2da9ab-93e5-4f1c-9a15-5a3e59898e8b", "https://tessa.gazprom-neft.local/edo/card/5b2da9ab-93e5-4f1c-9a15-5a3e59898e8b")</f>
        <v>https://tessa.gazprom-neft.local/edo/card/5b2da9ab-93e5-4f1c-9a15-5a3e59898e8b</v>
      </c>
    </row>
    <row r="1518" spans="1:45" hidden="1" x14ac:dyDescent="0.25">
      <c r="A1518" s="6" t="s">
        <v>44</v>
      </c>
      <c r="B1518" s="7" t="s">
        <v>3273</v>
      </c>
      <c r="C1518" s="7" t="s">
        <v>67</v>
      </c>
      <c r="D1518" s="8">
        <v>44795</v>
      </c>
      <c r="E1518" s="8" t="s">
        <v>0</v>
      </c>
      <c r="F1518" s="16" t="s">
        <v>3274</v>
      </c>
      <c r="G1518" s="7" t="s">
        <v>3275</v>
      </c>
      <c r="H1518" s="7" t="s">
        <v>0</v>
      </c>
      <c r="I1518" s="7" t="s">
        <v>6141</v>
      </c>
      <c r="J1518" s="7" t="s">
        <v>6141</v>
      </c>
      <c r="K1518" s="7" t="s">
        <v>85</v>
      </c>
      <c r="L1518" s="7" t="s">
        <v>86</v>
      </c>
      <c r="M1518" s="7" t="s">
        <v>216</v>
      </c>
      <c r="N1518" s="7" t="s">
        <v>8456</v>
      </c>
      <c r="O1518" s="7" t="s">
        <v>0</v>
      </c>
      <c r="P1518" s="7" t="s">
        <v>216</v>
      </c>
      <c r="Q1518" s="7" t="s">
        <v>8457</v>
      </c>
      <c r="R1518" s="7" t="s">
        <v>1551</v>
      </c>
      <c r="S1518" s="7" t="s">
        <v>1551</v>
      </c>
      <c r="T1518" s="7" t="s">
        <v>54</v>
      </c>
      <c r="U1518" s="7" t="s">
        <v>283</v>
      </c>
      <c r="V1518" s="7" t="s">
        <v>102</v>
      </c>
      <c r="W1518" s="7" t="s">
        <v>74</v>
      </c>
      <c r="X1518" s="7" t="s">
        <v>223</v>
      </c>
      <c r="Y1518" s="8">
        <v>44795</v>
      </c>
      <c r="Z1518" s="8" t="s">
        <v>0</v>
      </c>
      <c r="AA1518" s="7" t="s">
        <v>104</v>
      </c>
      <c r="AB1518" s="7" t="s">
        <v>228</v>
      </c>
      <c r="AC1518" s="7" t="s">
        <v>65</v>
      </c>
      <c r="AD1518" s="7" t="s">
        <v>0</v>
      </c>
      <c r="AE1518" s="7" t="s">
        <v>0</v>
      </c>
      <c r="AF1518" s="7" t="s">
        <v>0</v>
      </c>
      <c r="AG1518" s="7" t="s">
        <v>0</v>
      </c>
      <c r="AH1518" s="9" t="s">
        <v>0</v>
      </c>
      <c r="AI1518" s="9" t="s">
        <v>0</v>
      </c>
      <c r="AJ1518" s="9" t="s">
        <v>0</v>
      </c>
      <c r="AK1518" s="7" t="s">
        <v>61</v>
      </c>
      <c r="AL1518" s="7" t="s">
        <v>61</v>
      </c>
      <c r="AM1518" s="7" t="s">
        <v>0</v>
      </c>
      <c r="AN1518" s="7" t="s">
        <v>0</v>
      </c>
      <c r="AO1518" s="7" t="s">
        <v>0</v>
      </c>
      <c r="AP1518" s="7" t="s">
        <v>0</v>
      </c>
      <c r="AQ1518" s="7" t="s">
        <v>61</v>
      </c>
      <c r="AR1518" s="7" t="s">
        <v>0</v>
      </c>
      <c r="AS1518" s="10" t="str">
        <f>HYPERLINK("https://tessa.gazprom-neft.local/edo/card/e6a733e4-e89a-430b-9735-b6e76dd701d4", "https://tessa.gazprom-neft.local/edo/card/e6a733e4-e89a-430b-9735-b6e76dd701d4")</f>
        <v>https://tessa.gazprom-neft.local/edo/card/e6a733e4-e89a-430b-9735-b6e76dd701d4</v>
      </c>
    </row>
    <row r="1519" spans="1:45" hidden="1" x14ac:dyDescent="0.25">
      <c r="A1519" s="6" t="s">
        <v>44</v>
      </c>
      <c r="B1519" s="7" t="s">
        <v>2193</v>
      </c>
      <c r="C1519" s="7" t="s">
        <v>67</v>
      </c>
      <c r="D1519" s="8">
        <v>44792</v>
      </c>
      <c r="E1519" s="8" t="s">
        <v>0</v>
      </c>
      <c r="F1519" s="16" t="s">
        <v>2194</v>
      </c>
      <c r="G1519" s="7" t="s">
        <v>2195</v>
      </c>
      <c r="H1519" s="7" t="s">
        <v>2191</v>
      </c>
      <c r="I1519" s="7" t="s">
        <v>0</v>
      </c>
      <c r="J1519" s="7" t="s">
        <v>872</v>
      </c>
      <c r="K1519" s="7" t="s">
        <v>47</v>
      </c>
      <c r="L1519" s="7" t="s">
        <v>389</v>
      </c>
      <c r="M1519" s="7" t="s">
        <v>0</v>
      </c>
      <c r="N1519" s="7" t="s">
        <v>8295</v>
      </c>
      <c r="O1519" s="7" t="s">
        <v>872</v>
      </c>
      <c r="P1519" s="7" t="s">
        <v>8296</v>
      </c>
      <c r="Q1519" s="7" t="s">
        <v>7662</v>
      </c>
      <c r="R1519" s="7" t="s">
        <v>1066</v>
      </c>
      <c r="S1519" s="7" t="s">
        <v>0</v>
      </c>
      <c r="T1519" s="7" t="s">
        <v>54</v>
      </c>
      <c r="U1519" s="7" t="s">
        <v>136</v>
      </c>
      <c r="V1519" s="7" t="s">
        <v>102</v>
      </c>
      <c r="W1519" s="7" t="s">
        <v>57</v>
      </c>
      <c r="X1519" s="7" t="s">
        <v>103</v>
      </c>
      <c r="Y1519" s="8">
        <v>44792</v>
      </c>
      <c r="Z1519" s="8">
        <v>44849</v>
      </c>
      <c r="AA1519" s="7" t="s">
        <v>104</v>
      </c>
      <c r="AB1519" s="7" t="s">
        <v>64</v>
      </c>
      <c r="AC1519" s="7" t="s">
        <v>65</v>
      </c>
      <c r="AD1519" s="7" t="s">
        <v>0</v>
      </c>
      <c r="AE1519" s="7" t="s">
        <v>0</v>
      </c>
      <c r="AF1519" s="7" t="s">
        <v>0</v>
      </c>
      <c r="AG1519" s="7" t="s">
        <v>0</v>
      </c>
      <c r="AH1519" s="9" t="s">
        <v>0</v>
      </c>
      <c r="AI1519" s="9" t="s">
        <v>0</v>
      </c>
      <c r="AJ1519" s="9" t="s">
        <v>0</v>
      </c>
      <c r="AK1519" s="7" t="s">
        <v>61</v>
      </c>
      <c r="AL1519" s="7" t="s">
        <v>61</v>
      </c>
      <c r="AM1519" s="7" t="s">
        <v>0</v>
      </c>
      <c r="AN1519" s="7" t="s">
        <v>0</v>
      </c>
      <c r="AO1519" s="7" t="s">
        <v>0</v>
      </c>
      <c r="AP1519" s="7" t="s">
        <v>0</v>
      </c>
      <c r="AQ1519" s="7" t="s">
        <v>61</v>
      </c>
      <c r="AR1519" s="7" t="s">
        <v>0</v>
      </c>
      <c r="AS1519" s="10" t="str">
        <f>HYPERLINK("https://tessa.gazprom-neft.local/edo/card/c801a5f0-17cf-42f0-9aff-6830c3a0d332", "https://tessa.gazprom-neft.local/edo/card/c801a5f0-17cf-42f0-9aff-6830c3a0d332")</f>
        <v>https://tessa.gazprom-neft.local/edo/card/c801a5f0-17cf-42f0-9aff-6830c3a0d332</v>
      </c>
    </row>
    <row r="1520" spans="1:45" hidden="1" x14ac:dyDescent="0.25">
      <c r="A1520" s="6" t="s">
        <v>44</v>
      </c>
      <c r="B1520" s="7" t="s">
        <v>0</v>
      </c>
      <c r="C1520" s="7" t="s">
        <v>67</v>
      </c>
      <c r="D1520" s="8">
        <v>44791</v>
      </c>
      <c r="E1520" s="8" t="s">
        <v>0</v>
      </c>
      <c r="F1520" s="16" t="s">
        <v>8400</v>
      </c>
      <c r="G1520" s="7" t="s">
        <v>0</v>
      </c>
      <c r="H1520" s="7" t="s">
        <v>0</v>
      </c>
      <c r="I1520" s="7" t="s">
        <v>8397</v>
      </c>
      <c r="J1520" s="7" t="s">
        <v>8397</v>
      </c>
      <c r="K1520" s="7" t="s">
        <v>47</v>
      </c>
      <c r="L1520" s="7" t="s">
        <v>96</v>
      </c>
      <c r="M1520" s="7" t="s">
        <v>0</v>
      </c>
      <c r="N1520" s="7" t="s">
        <v>8396</v>
      </c>
      <c r="O1520" s="7" t="s">
        <v>0</v>
      </c>
      <c r="P1520" s="7" t="s">
        <v>8398</v>
      </c>
      <c r="Q1520" s="7" t="s">
        <v>8399</v>
      </c>
      <c r="R1520" s="7" t="s">
        <v>1610</v>
      </c>
      <c r="S1520" s="7" t="s">
        <v>1610</v>
      </c>
      <c r="T1520" s="7" t="s">
        <v>54</v>
      </c>
      <c r="U1520" s="7" t="s">
        <v>101</v>
      </c>
      <c r="V1520" s="7" t="s">
        <v>102</v>
      </c>
      <c r="W1520" s="7" t="s">
        <v>57</v>
      </c>
      <c r="X1520" s="7" t="s">
        <v>103</v>
      </c>
      <c r="Y1520" s="8">
        <v>44805</v>
      </c>
      <c r="Z1520" s="8">
        <v>45169</v>
      </c>
      <c r="AA1520" s="7" t="s">
        <v>104</v>
      </c>
      <c r="AB1520" s="7" t="s">
        <v>64</v>
      </c>
      <c r="AC1520" s="7" t="s">
        <v>79</v>
      </c>
      <c r="AD1520" s="7" t="s">
        <v>80</v>
      </c>
      <c r="AE1520" s="7" t="s">
        <v>118</v>
      </c>
      <c r="AF1520" s="7" t="s">
        <v>0</v>
      </c>
      <c r="AG1520" s="7" t="s">
        <v>0</v>
      </c>
      <c r="AH1520" s="9" t="s">
        <v>13531</v>
      </c>
      <c r="AI1520" s="9" t="s">
        <v>13531</v>
      </c>
      <c r="AJ1520" s="9">
        <v>0</v>
      </c>
      <c r="AK1520" s="7" t="s">
        <v>61</v>
      </c>
      <c r="AL1520" s="7" t="s">
        <v>61</v>
      </c>
      <c r="AM1520" s="7" t="s">
        <v>0</v>
      </c>
      <c r="AN1520" s="7" t="s">
        <v>0</v>
      </c>
      <c r="AO1520" s="7" t="s">
        <v>0</v>
      </c>
      <c r="AP1520" s="7" t="s">
        <v>0</v>
      </c>
      <c r="AQ1520" s="7" t="s">
        <v>61</v>
      </c>
      <c r="AR1520" s="7" t="s">
        <v>0</v>
      </c>
      <c r="AS1520" s="10" t="str">
        <f>HYPERLINK("https://tessa.gazprom-neft.local/edo/card/f81acc79-fe08-4896-9e4c-409ca1ece8be", "https://tessa.gazprom-neft.local/edo/card/f81acc79-fe08-4896-9e4c-409ca1ece8be")</f>
        <v>https://tessa.gazprom-neft.local/edo/card/f81acc79-fe08-4896-9e4c-409ca1ece8be</v>
      </c>
    </row>
    <row r="1521" spans="1:45" hidden="1" x14ac:dyDescent="0.25">
      <c r="A1521" s="6" t="s">
        <v>44</v>
      </c>
      <c r="B1521" s="7" t="s">
        <v>0</v>
      </c>
      <c r="C1521" s="7" t="s">
        <v>67</v>
      </c>
      <c r="D1521" s="8">
        <v>44791</v>
      </c>
      <c r="E1521" s="8" t="s">
        <v>0</v>
      </c>
      <c r="F1521" s="16" t="s">
        <v>8471</v>
      </c>
      <c r="G1521" s="7" t="s">
        <v>0</v>
      </c>
      <c r="H1521" s="7" t="s">
        <v>0</v>
      </c>
      <c r="I1521" s="7" t="s">
        <v>502</v>
      </c>
      <c r="J1521" s="7" t="s">
        <v>502</v>
      </c>
      <c r="K1521" s="7" t="s">
        <v>85</v>
      </c>
      <c r="L1521" s="7" t="s">
        <v>96</v>
      </c>
      <c r="M1521" s="7" t="s">
        <v>8468</v>
      </c>
      <c r="N1521" s="7" t="s">
        <v>8469</v>
      </c>
      <c r="O1521" s="7" t="s">
        <v>0</v>
      </c>
      <c r="P1521" s="7" t="s">
        <v>8468</v>
      </c>
      <c r="Q1521" s="7" t="s">
        <v>8470</v>
      </c>
      <c r="R1521" s="7" t="s">
        <v>338</v>
      </c>
      <c r="S1521" s="7" t="s">
        <v>506</v>
      </c>
      <c r="T1521" s="7" t="s">
        <v>54</v>
      </c>
      <c r="U1521" s="7" t="s">
        <v>55</v>
      </c>
      <c r="V1521" s="7" t="s">
        <v>56</v>
      </c>
      <c r="W1521" s="7" t="s">
        <v>57</v>
      </c>
      <c r="X1521" s="7" t="s">
        <v>103</v>
      </c>
      <c r="Y1521" s="8">
        <v>44896</v>
      </c>
      <c r="Z1521" s="8">
        <v>46022</v>
      </c>
      <c r="AA1521" s="7" t="s">
        <v>59</v>
      </c>
      <c r="AB1521" s="7" t="s">
        <v>507</v>
      </c>
      <c r="AC1521" s="7" t="s">
        <v>79</v>
      </c>
      <c r="AD1521" s="7" t="s">
        <v>80</v>
      </c>
      <c r="AE1521" s="7" t="s">
        <v>82</v>
      </c>
      <c r="AF1521" s="7" t="s">
        <v>0</v>
      </c>
      <c r="AG1521" s="7" t="s">
        <v>8472</v>
      </c>
      <c r="AH1521" s="9" t="s">
        <v>11471</v>
      </c>
      <c r="AI1521" s="9" t="s">
        <v>11472</v>
      </c>
      <c r="AJ1521" s="9" t="s">
        <v>11473</v>
      </c>
      <c r="AK1521" s="7" t="s">
        <v>81</v>
      </c>
      <c r="AL1521" s="7" t="s">
        <v>61</v>
      </c>
      <c r="AM1521" s="7" t="s">
        <v>0</v>
      </c>
      <c r="AN1521" s="7" t="s">
        <v>0</v>
      </c>
      <c r="AO1521" s="7" t="s">
        <v>0</v>
      </c>
      <c r="AP1521" s="7" t="s">
        <v>0</v>
      </c>
      <c r="AQ1521" s="7" t="s">
        <v>61</v>
      </c>
      <c r="AR1521" s="7" t="s">
        <v>0</v>
      </c>
      <c r="AS1521" s="10" t="str">
        <f>HYPERLINK("https://tessa.gazprom-neft.local/edo/card/86fc01a9-70c3-41bd-b2a0-9fdc15d68887", "https://tessa.gazprom-neft.local/edo/card/86fc01a9-70c3-41bd-b2a0-9fdc15d68887")</f>
        <v>https://tessa.gazprom-neft.local/edo/card/86fc01a9-70c3-41bd-b2a0-9fdc15d68887</v>
      </c>
    </row>
    <row r="1522" spans="1:45" hidden="1" x14ac:dyDescent="0.25">
      <c r="A1522" s="6" t="s">
        <v>44</v>
      </c>
      <c r="B1522" s="7" t="s">
        <v>0</v>
      </c>
      <c r="C1522" s="7" t="s">
        <v>67</v>
      </c>
      <c r="D1522" s="8">
        <v>44791</v>
      </c>
      <c r="E1522" s="8" t="s">
        <v>0</v>
      </c>
      <c r="F1522" s="16" t="s">
        <v>8484</v>
      </c>
      <c r="G1522" s="7" t="s">
        <v>0</v>
      </c>
      <c r="H1522" s="7" t="s">
        <v>0</v>
      </c>
      <c r="I1522" s="7" t="s">
        <v>3863</v>
      </c>
      <c r="J1522" s="7" t="s">
        <v>3863</v>
      </c>
      <c r="K1522" s="7" t="s">
        <v>85</v>
      </c>
      <c r="L1522" s="7" t="s">
        <v>86</v>
      </c>
      <c r="M1522" s="7" t="s">
        <v>216</v>
      </c>
      <c r="N1522" s="7" t="s">
        <v>8483</v>
      </c>
      <c r="O1522" s="7" t="s">
        <v>0</v>
      </c>
      <c r="P1522" s="7" t="s">
        <v>216</v>
      </c>
      <c r="Q1522" s="7" t="s">
        <v>8074</v>
      </c>
      <c r="R1522" s="7" t="s">
        <v>338</v>
      </c>
      <c r="S1522" s="7" t="s">
        <v>506</v>
      </c>
      <c r="T1522" s="7" t="s">
        <v>54</v>
      </c>
      <c r="U1522" s="7" t="s">
        <v>55</v>
      </c>
      <c r="V1522" s="7" t="s">
        <v>102</v>
      </c>
      <c r="W1522" s="7" t="s">
        <v>57</v>
      </c>
      <c r="X1522" s="7" t="s">
        <v>103</v>
      </c>
      <c r="Y1522" s="8">
        <v>44791</v>
      </c>
      <c r="Z1522" s="8">
        <v>46022</v>
      </c>
      <c r="AA1522" s="7" t="s">
        <v>104</v>
      </c>
      <c r="AB1522" s="7" t="s">
        <v>228</v>
      </c>
      <c r="AC1522" s="7" t="s">
        <v>65</v>
      </c>
      <c r="AD1522" s="7" t="s">
        <v>0</v>
      </c>
      <c r="AE1522" s="7" t="s">
        <v>0</v>
      </c>
      <c r="AF1522" s="7" t="s">
        <v>0</v>
      </c>
      <c r="AG1522" s="7" t="s">
        <v>0</v>
      </c>
      <c r="AH1522" s="9" t="s">
        <v>0</v>
      </c>
      <c r="AI1522" s="9" t="s">
        <v>0</v>
      </c>
      <c r="AJ1522" s="9" t="s">
        <v>0</v>
      </c>
      <c r="AK1522" s="7" t="s">
        <v>61</v>
      </c>
      <c r="AL1522" s="7" t="s">
        <v>61</v>
      </c>
      <c r="AM1522" s="7" t="s">
        <v>0</v>
      </c>
      <c r="AN1522" s="7" t="s">
        <v>0</v>
      </c>
      <c r="AO1522" s="7" t="s">
        <v>0</v>
      </c>
      <c r="AP1522" s="7" t="s">
        <v>0</v>
      </c>
      <c r="AQ1522" s="7" t="s">
        <v>61</v>
      </c>
      <c r="AR1522" s="7" t="s">
        <v>0</v>
      </c>
      <c r="AS1522" s="10" t="str">
        <f>HYPERLINK("https://tessa.gazprom-neft.local/edo/card/f858f642-1c1e-482d-95ed-d699d1e6ac68", "https://tessa.gazprom-neft.local/edo/card/f858f642-1c1e-482d-95ed-d699d1e6ac68")</f>
        <v>https://tessa.gazprom-neft.local/edo/card/f858f642-1c1e-482d-95ed-d699d1e6ac68</v>
      </c>
    </row>
    <row r="1523" spans="1:45" hidden="1" x14ac:dyDescent="0.25">
      <c r="A1523" s="6" t="s">
        <v>44</v>
      </c>
      <c r="B1523" s="7" t="s">
        <v>0</v>
      </c>
      <c r="C1523" s="7" t="s">
        <v>67</v>
      </c>
      <c r="D1523" s="8">
        <v>44790</v>
      </c>
      <c r="E1523" s="8" t="s">
        <v>0</v>
      </c>
      <c r="F1523" s="16" t="s">
        <v>8412</v>
      </c>
      <c r="G1523" s="7" t="s">
        <v>0</v>
      </c>
      <c r="H1523" s="7" t="s">
        <v>0</v>
      </c>
      <c r="I1523" s="7" t="s">
        <v>8408</v>
      </c>
      <c r="J1523" s="7" t="s">
        <v>8408</v>
      </c>
      <c r="K1523" s="7" t="s">
        <v>47</v>
      </c>
      <c r="L1523" s="7" t="s">
        <v>96</v>
      </c>
      <c r="M1523" s="7" t="s">
        <v>0</v>
      </c>
      <c r="N1523" s="7" t="s">
        <v>8407</v>
      </c>
      <c r="O1523" s="7" t="s">
        <v>0</v>
      </c>
      <c r="P1523" s="7" t="s">
        <v>8409</v>
      </c>
      <c r="Q1523" s="7" t="s">
        <v>8410</v>
      </c>
      <c r="R1523" s="7" t="s">
        <v>2079</v>
      </c>
      <c r="S1523" s="7" t="s">
        <v>2079</v>
      </c>
      <c r="T1523" s="7" t="s">
        <v>54</v>
      </c>
      <c r="U1523" s="7" t="s">
        <v>8411</v>
      </c>
      <c r="V1523" s="7" t="s">
        <v>56</v>
      </c>
      <c r="W1523" s="7" t="s">
        <v>57</v>
      </c>
      <c r="X1523" s="7" t="s">
        <v>58</v>
      </c>
      <c r="Y1523" s="8">
        <v>44790</v>
      </c>
      <c r="Z1523" s="8" t="s">
        <v>0</v>
      </c>
      <c r="AA1523" s="7" t="s">
        <v>59</v>
      </c>
      <c r="AB1523" s="7" t="s">
        <v>1408</v>
      </c>
      <c r="AC1523" s="7" t="s">
        <v>79</v>
      </c>
      <c r="AD1523" s="7" t="s">
        <v>514</v>
      </c>
      <c r="AE1523" s="7" t="s">
        <v>82</v>
      </c>
      <c r="AF1523" s="7" t="s">
        <v>0</v>
      </c>
      <c r="AG1523" s="7" t="s">
        <v>0</v>
      </c>
      <c r="AH1523" s="9" t="s">
        <v>13533</v>
      </c>
      <c r="AI1523" s="9" t="s">
        <v>13534</v>
      </c>
      <c r="AJ1523" s="9" t="s">
        <v>13535</v>
      </c>
      <c r="AK1523" s="7" t="s">
        <v>61</v>
      </c>
      <c r="AL1523" s="7" t="s">
        <v>61</v>
      </c>
      <c r="AM1523" s="7" t="s">
        <v>0</v>
      </c>
      <c r="AN1523" s="7" t="s">
        <v>0</v>
      </c>
      <c r="AO1523" s="7" t="s">
        <v>0</v>
      </c>
      <c r="AP1523" s="7" t="s">
        <v>0</v>
      </c>
      <c r="AQ1523" s="7" t="s">
        <v>61</v>
      </c>
      <c r="AR1523" s="7" t="s">
        <v>0</v>
      </c>
      <c r="AS1523" s="10" t="str">
        <f>HYPERLINK("https://tessa.gazprom-neft.local/edo/card/1c49cab6-6fb8-4a93-994d-993fdbeec77c", "https://tessa.gazprom-neft.local/edo/card/1c49cab6-6fb8-4a93-994d-993fdbeec77c")</f>
        <v>https://tessa.gazprom-neft.local/edo/card/1c49cab6-6fb8-4a93-994d-993fdbeec77c</v>
      </c>
    </row>
    <row r="1524" spans="1:45" hidden="1" x14ac:dyDescent="0.25">
      <c r="A1524" s="6" t="s">
        <v>44</v>
      </c>
      <c r="B1524" s="7" t="s">
        <v>0</v>
      </c>
      <c r="C1524" s="7" t="s">
        <v>67</v>
      </c>
      <c r="D1524" s="8">
        <v>44789</v>
      </c>
      <c r="E1524" s="8" t="s">
        <v>0</v>
      </c>
      <c r="F1524" s="16" t="s">
        <v>7988</v>
      </c>
      <c r="G1524" s="7" t="s">
        <v>0</v>
      </c>
      <c r="H1524" s="7" t="s">
        <v>0</v>
      </c>
      <c r="I1524" s="7" t="s">
        <v>7985</v>
      </c>
      <c r="J1524" s="7" t="s">
        <v>7985</v>
      </c>
      <c r="K1524" s="7" t="s">
        <v>47</v>
      </c>
      <c r="L1524" s="7" t="s">
        <v>96</v>
      </c>
      <c r="M1524" s="7" t="s">
        <v>0</v>
      </c>
      <c r="N1524" s="7" t="s">
        <v>7984</v>
      </c>
      <c r="O1524" s="7" t="s">
        <v>0</v>
      </c>
      <c r="P1524" s="7" t="s">
        <v>7986</v>
      </c>
      <c r="Q1524" s="7" t="s">
        <v>7987</v>
      </c>
      <c r="R1524" s="7" t="s">
        <v>273</v>
      </c>
      <c r="S1524" s="7" t="s">
        <v>273</v>
      </c>
      <c r="T1524" s="7" t="s">
        <v>54</v>
      </c>
      <c r="U1524" s="7" t="s">
        <v>274</v>
      </c>
      <c r="V1524" s="7" t="s">
        <v>137</v>
      </c>
      <c r="W1524" s="7" t="s">
        <v>57</v>
      </c>
      <c r="X1524" s="7" t="s">
        <v>103</v>
      </c>
      <c r="Y1524" s="8">
        <v>44789</v>
      </c>
      <c r="Z1524" s="8">
        <v>45884</v>
      </c>
      <c r="AA1524" s="7" t="s">
        <v>0</v>
      </c>
      <c r="AB1524" s="7" t="s">
        <v>64</v>
      </c>
      <c r="AC1524" s="7" t="s">
        <v>278</v>
      </c>
      <c r="AD1524" s="7" t="s">
        <v>80</v>
      </c>
      <c r="AE1524" s="7" t="s">
        <v>82</v>
      </c>
      <c r="AF1524" s="7" t="s">
        <v>0</v>
      </c>
      <c r="AG1524" s="7" t="s">
        <v>0</v>
      </c>
      <c r="AH1524" s="9" t="s">
        <v>13177</v>
      </c>
      <c r="AI1524" s="9" t="s">
        <v>13388</v>
      </c>
      <c r="AJ1524" s="9" t="s">
        <v>11248</v>
      </c>
      <c r="AK1524" s="7" t="s">
        <v>61</v>
      </c>
      <c r="AL1524" s="7" t="s">
        <v>61</v>
      </c>
      <c r="AM1524" s="7" t="s">
        <v>0</v>
      </c>
      <c r="AN1524" s="7" t="s">
        <v>0</v>
      </c>
      <c r="AO1524" s="7" t="s">
        <v>0</v>
      </c>
      <c r="AP1524" s="7" t="s">
        <v>0</v>
      </c>
      <c r="AQ1524" s="7" t="s">
        <v>61</v>
      </c>
      <c r="AR1524" s="7" t="s">
        <v>0</v>
      </c>
      <c r="AS1524" s="10" t="str">
        <f>HYPERLINK("https://tessa.gazprom-neft.local/edo/card/accaea22-6a12-43ab-b263-d49c8e787675", "https://tessa.gazprom-neft.local/edo/card/accaea22-6a12-43ab-b263-d49c8e787675")</f>
        <v>https://tessa.gazprom-neft.local/edo/card/accaea22-6a12-43ab-b263-d49c8e787675</v>
      </c>
    </row>
    <row r="1525" spans="1:45" hidden="1" x14ac:dyDescent="0.25">
      <c r="A1525" s="6" t="s">
        <v>44</v>
      </c>
      <c r="B1525" s="7" t="s">
        <v>0</v>
      </c>
      <c r="C1525" s="7" t="s">
        <v>46</v>
      </c>
      <c r="D1525" s="8">
        <v>44789</v>
      </c>
      <c r="E1525" s="8" t="s">
        <v>0</v>
      </c>
      <c r="F1525" s="16" t="s">
        <v>7988</v>
      </c>
      <c r="G1525" s="7" t="s">
        <v>0</v>
      </c>
      <c r="H1525" s="7" t="s">
        <v>0</v>
      </c>
      <c r="I1525" s="7" t="s">
        <v>8184</v>
      </c>
      <c r="J1525" s="7" t="s">
        <v>8184</v>
      </c>
      <c r="K1525" s="7" t="s">
        <v>47</v>
      </c>
      <c r="L1525" s="7" t="s">
        <v>96</v>
      </c>
      <c r="M1525" s="7" t="s">
        <v>0</v>
      </c>
      <c r="N1525" s="7" t="s">
        <v>8183</v>
      </c>
      <c r="O1525" s="7" t="s">
        <v>0</v>
      </c>
      <c r="P1525" s="7" t="s">
        <v>5889</v>
      </c>
      <c r="Q1525" s="7" t="s">
        <v>8185</v>
      </c>
      <c r="R1525" s="7" t="s">
        <v>187</v>
      </c>
      <c r="S1525" s="7" t="s">
        <v>187</v>
      </c>
      <c r="T1525" s="7" t="s">
        <v>54</v>
      </c>
      <c r="U1525" s="7" t="s">
        <v>188</v>
      </c>
      <c r="V1525" s="7" t="s">
        <v>137</v>
      </c>
      <c r="W1525" s="7" t="s">
        <v>57</v>
      </c>
      <c r="X1525" s="7" t="s">
        <v>103</v>
      </c>
      <c r="Y1525" s="8">
        <v>44805</v>
      </c>
      <c r="Z1525" s="8">
        <v>44895</v>
      </c>
      <c r="AA1525" s="7" t="s">
        <v>0</v>
      </c>
      <c r="AB1525" s="7" t="s">
        <v>2985</v>
      </c>
      <c r="AC1525" s="7" t="s">
        <v>278</v>
      </c>
      <c r="AD1525" s="7" t="s">
        <v>80</v>
      </c>
      <c r="AE1525" s="7" t="s">
        <v>82</v>
      </c>
      <c r="AF1525" s="7" t="s">
        <v>0</v>
      </c>
      <c r="AG1525" s="7" t="s">
        <v>0</v>
      </c>
      <c r="AH1525" s="9" t="s">
        <v>13465</v>
      </c>
      <c r="AI1525" s="9" t="s">
        <v>13466</v>
      </c>
      <c r="AJ1525" s="9" t="s">
        <v>13467</v>
      </c>
      <c r="AK1525" s="7" t="s">
        <v>61</v>
      </c>
      <c r="AL1525" s="7" t="s">
        <v>61</v>
      </c>
      <c r="AM1525" s="7" t="s">
        <v>0</v>
      </c>
      <c r="AN1525" s="7" t="s">
        <v>0</v>
      </c>
      <c r="AO1525" s="7" t="s">
        <v>0</v>
      </c>
      <c r="AP1525" s="7" t="s">
        <v>0</v>
      </c>
      <c r="AQ1525" s="7" t="s">
        <v>61</v>
      </c>
      <c r="AR1525" s="7" t="s">
        <v>0</v>
      </c>
      <c r="AS1525" s="10" t="str">
        <f>HYPERLINK("https://tessa.gazprom-neft.local/edo/card/ea21bf6e-cfea-4500-b2a4-64cd8849d7a7", "https://tessa.gazprom-neft.local/edo/card/ea21bf6e-cfea-4500-b2a4-64cd8849d7a7")</f>
        <v>https://tessa.gazprom-neft.local/edo/card/ea21bf6e-cfea-4500-b2a4-64cd8849d7a7</v>
      </c>
    </row>
    <row r="1526" spans="1:45" hidden="1" x14ac:dyDescent="0.25">
      <c r="A1526" s="6" t="s">
        <v>44</v>
      </c>
      <c r="B1526" s="7" t="s">
        <v>8102</v>
      </c>
      <c r="C1526" s="7" t="s">
        <v>67</v>
      </c>
      <c r="D1526" s="8">
        <v>44788</v>
      </c>
      <c r="E1526" s="8" t="s">
        <v>0</v>
      </c>
      <c r="F1526" s="16" t="s">
        <v>8103</v>
      </c>
      <c r="G1526" s="7" t="s">
        <v>3789</v>
      </c>
      <c r="H1526" s="7" t="s">
        <v>0</v>
      </c>
      <c r="I1526" s="7" t="s">
        <v>8100</v>
      </c>
      <c r="J1526" s="7" t="s">
        <v>8100</v>
      </c>
      <c r="K1526" s="7" t="s">
        <v>47</v>
      </c>
      <c r="L1526" s="7" t="s">
        <v>96</v>
      </c>
      <c r="M1526" s="7" t="s">
        <v>0</v>
      </c>
      <c r="N1526" s="7" t="s">
        <v>8099</v>
      </c>
      <c r="O1526" s="7" t="s">
        <v>0</v>
      </c>
      <c r="P1526" s="7" t="s">
        <v>3785</v>
      </c>
      <c r="Q1526" s="7" t="s">
        <v>8101</v>
      </c>
      <c r="R1526" s="7" t="s">
        <v>53</v>
      </c>
      <c r="S1526" s="7" t="s">
        <v>53</v>
      </c>
      <c r="T1526" s="7" t="s">
        <v>54</v>
      </c>
      <c r="U1526" s="7" t="s">
        <v>55</v>
      </c>
      <c r="V1526" s="7" t="s">
        <v>56</v>
      </c>
      <c r="W1526" s="7" t="s">
        <v>57</v>
      </c>
      <c r="X1526" s="7" t="s">
        <v>103</v>
      </c>
      <c r="Y1526" s="8">
        <v>44788</v>
      </c>
      <c r="Z1526" s="8">
        <v>46387</v>
      </c>
      <c r="AA1526" s="7" t="s">
        <v>59</v>
      </c>
      <c r="AB1526" s="7" t="s">
        <v>64</v>
      </c>
      <c r="AC1526" s="7" t="s">
        <v>79</v>
      </c>
      <c r="AD1526" s="7" t="s">
        <v>80</v>
      </c>
      <c r="AE1526" s="7" t="s">
        <v>82</v>
      </c>
      <c r="AF1526" s="7" t="s">
        <v>0</v>
      </c>
      <c r="AG1526" s="7" t="s">
        <v>0</v>
      </c>
      <c r="AH1526" s="9" t="s">
        <v>13437</v>
      </c>
      <c r="AI1526" s="9" t="s">
        <v>13392</v>
      </c>
      <c r="AJ1526" s="9" t="s">
        <v>13438</v>
      </c>
      <c r="AK1526" s="7" t="s">
        <v>61</v>
      </c>
      <c r="AL1526" s="7" t="s">
        <v>61</v>
      </c>
      <c r="AM1526" s="7" t="s">
        <v>0</v>
      </c>
      <c r="AN1526" s="7" t="s">
        <v>0</v>
      </c>
      <c r="AO1526" s="7" t="s">
        <v>0</v>
      </c>
      <c r="AP1526" s="7" t="s">
        <v>0</v>
      </c>
      <c r="AQ1526" s="7" t="s">
        <v>61</v>
      </c>
      <c r="AR1526" s="7" t="s">
        <v>0</v>
      </c>
      <c r="AS1526" s="10" t="str">
        <f>HYPERLINK("https://tessa.gazprom-neft.local/edo/card/7ba5aac8-f686-4c9e-921c-4e3c779f3dd9", "https://tessa.gazprom-neft.local/edo/card/7ba5aac8-f686-4c9e-921c-4e3c779f3dd9")</f>
        <v>https://tessa.gazprom-neft.local/edo/card/7ba5aac8-f686-4c9e-921c-4e3c779f3dd9</v>
      </c>
    </row>
    <row r="1527" spans="1:45" hidden="1" x14ac:dyDescent="0.25">
      <c r="A1527" s="6" t="s">
        <v>44</v>
      </c>
      <c r="B1527" s="7" t="s">
        <v>1657</v>
      </c>
      <c r="C1527" s="7" t="s">
        <v>67</v>
      </c>
      <c r="D1527" s="8">
        <v>44788</v>
      </c>
      <c r="E1527" s="8" t="s">
        <v>0</v>
      </c>
      <c r="F1527" s="16" t="s">
        <v>1658</v>
      </c>
      <c r="G1527" s="7" t="s">
        <v>1659</v>
      </c>
      <c r="H1527" s="7" t="s">
        <v>0</v>
      </c>
      <c r="I1527" s="7" t="s">
        <v>1826</v>
      </c>
      <c r="J1527" s="7" t="s">
        <v>1826</v>
      </c>
      <c r="K1527" s="7" t="s">
        <v>47</v>
      </c>
      <c r="L1527" s="7" t="s">
        <v>96</v>
      </c>
      <c r="M1527" s="7" t="s">
        <v>0</v>
      </c>
      <c r="N1527" s="7" t="s">
        <v>8132</v>
      </c>
      <c r="O1527" s="7" t="s">
        <v>0</v>
      </c>
      <c r="P1527" s="7" t="s">
        <v>5057</v>
      </c>
      <c r="Q1527" s="7" t="s">
        <v>8133</v>
      </c>
      <c r="R1527" s="7" t="s">
        <v>338</v>
      </c>
      <c r="S1527" s="7" t="s">
        <v>8134</v>
      </c>
      <c r="T1527" s="7" t="s">
        <v>54</v>
      </c>
      <c r="U1527" s="7" t="s">
        <v>4736</v>
      </c>
      <c r="V1527" s="7" t="s">
        <v>382</v>
      </c>
      <c r="W1527" s="7" t="s">
        <v>74</v>
      </c>
      <c r="X1527" s="7" t="s">
        <v>103</v>
      </c>
      <c r="Y1527" s="8">
        <v>44785</v>
      </c>
      <c r="Z1527" s="8">
        <v>45291</v>
      </c>
      <c r="AA1527" s="7" t="s">
        <v>383</v>
      </c>
      <c r="AB1527" s="7" t="s">
        <v>130</v>
      </c>
      <c r="AC1527" s="7" t="s">
        <v>79</v>
      </c>
      <c r="AD1527" s="7" t="s">
        <v>80</v>
      </c>
      <c r="AE1527" s="7" t="s">
        <v>82</v>
      </c>
      <c r="AF1527" s="7" t="s">
        <v>0</v>
      </c>
      <c r="AG1527" s="7" t="s">
        <v>8135</v>
      </c>
      <c r="AH1527" s="9" t="s">
        <v>13452</v>
      </c>
      <c r="AI1527" s="9" t="s">
        <v>13453</v>
      </c>
      <c r="AJ1527" s="9" t="s">
        <v>13454</v>
      </c>
      <c r="AK1527" s="7" t="s">
        <v>81</v>
      </c>
      <c r="AL1527" s="7" t="s">
        <v>61</v>
      </c>
      <c r="AM1527" s="7" t="s">
        <v>0</v>
      </c>
      <c r="AN1527" s="7" t="s">
        <v>0</v>
      </c>
      <c r="AO1527" s="7" t="s">
        <v>0</v>
      </c>
      <c r="AP1527" s="7" t="s">
        <v>0</v>
      </c>
      <c r="AQ1527" s="7" t="s">
        <v>61</v>
      </c>
      <c r="AR1527" s="7" t="s">
        <v>0</v>
      </c>
      <c r="AS1527" s="10" t="str">
        <f>HYPERLINK("https://tessa.gazprom-neft.local/edo/card/df3a0a4a-a4af-4df8-8182-db08b4bb085d", "https://tessa.gazprom-neft.local/edo/card/df3a0a4a-a4af-4df8-8182-db08b4bb085d")</f>
        <v>https://tessa.gazprom-neft.local/edo/card/df3a0a4a-a4af-4df8-8182-db08b4bb085d</v>
      </c>
    </row>
    <row r="1528" spans="1:45" hidden="1" x14ac:dyDescent="0.25">
      <c r="A1528" s="6" t="s">
        <v>44</v>
      </c>
      <c r="B1528" s="7" t="s">
        <v>661</v>
      </c>
      <c r="C1528" s="7" t="s">
        <v>67</v>
      </c>
      <c r="D1528" s="8">
        <v>44788</v>
      </c>
      <c r="E1528" s="8" t="s">
        <v>0</v>
      </c>
      <c r="F1528" s="16" t="s">
        <v>662</v>
      </c>
      <c r="G1528" s="7" t="s">
        <v>663</v>
      </c>
      <c r="H1528" s="7" t="s">
        <v>0</v>
      </c>
      <c r="I1528" s="7" t="s">
        <v>8241</v>
      </c>
      <c r="J1528" s="7" t="s">
        <v>8241</v>
      </c>
      <c r="K1528" s="7" t="s">
        <v>47</v>
      </c>
      <c r="L1528" s="7" t="s">
        <v>86</v>
      </c>
      <c r="M1528" s="7" t="s">
        <v>0</v>
      </c>
      <c r="N1528" s="7" t="s">
        <v>8240</v>
      </c>
      <c r="O1528" s="7" t="s">
        <v>0</v>
      </c>
      <c r="P1528" s="7" t="s">
        <v>237</v>
      </c>
      <c r="Q1528" s="7" t="s">
        <v>8242</v>
      </c>
      <c r="R1528" s="7" t="s">
        <v>659</v>
      </c>
      <c r="S1528" s="7" t="s">
        <v>714</v>
      </c>
      <c r="T1528" s="7" t="s">
        <v>54</v>
      </c>
      <c r="U1528" s="7" t="s">
        <v>283</v>
      </c>
      <c r="V1528" s="7" t="s">
        <v>102</v>
      </c>
      <c r="W1528" s="7" t="s">
        <v>74</v>
      </c>
      <c r="X1528" s="7" t="s">
        <v>103</v>
      </c>
      <c r="Y1528" s="8">
        <v>44788</v>
      </c>
      <c r="Z1528" s="8">
        <v>45657</v>
      </c>
      <c r="AA1528" s="7" t="s">
        <v>104</v>
      </c>
      <c r="AB1528" s="7" t="s">
        <v>139</v>
      </c>
      <c r="AC1528" s="7" t="s">
        <v>65</v>
      </c>
      <c r="AD1528" s="7" t="s">
        <v>0</v>
      </c>
      <c r="AE1528" s="7" t="s">
        <v>0</v>
      </c>
      <c r="AF1528" s="7" t="s">
        <v>0</v>
      </c>
      <c r="AG1528" s="7" t="s">
        <v>0</v>
      </c>
      <c r="AH1528" s="9" t="s">
        <v>0</v>
      </c>
      <c r="AI1528" s="9" t="s">
        <v>0</v>
      </c>
      <c r="AJ1528" s="9" t="s">
        <v>0</v>
      </c>
      <c r="AK1528" s="7" t="s">
        <v>61</v>
      </c>
      <c r="AL1528" s="7" t="s">
        <v>61</v>
      </c>
      <c r="AM1528" s="7" t="s">
        <v>0</v>
      </c>
      <c r="AN1528" s="7" t="s">
        <v>0</v>
      </c>
      <c r="AO1528" s="7" t="s">
        <v>0</v>
      </c>
      <c r="AP1528" s="7" t="s">
        <v>0</v>
      </c>
      <c r="AQ1528" s="7" t="s">
        <v>61</v>
      </c>
      <c r="AR1528" s="7" t="s">
        <v>0</v>
      </c>
      <c r="AS1528" s="10" t="str">
        <f>HYPERLINK("https://tessa.gazprom-neft.local/edo/card/e8c7fd8e-01aa-46a8-b3da-ec6160747662", "https://tessa.gazprom-neft.local/edo/card/e8c7fd8e-01aa-46a8-b3da-ec6160747662")</f>
        <v>https://tessa.gazprom-neft.local/edo/card/e8c7fd8e-01aa-46a8-b3da-ec6160747662</v>
      </c>
    </row>
    <row r="1529" spans="1:45" x14ac:dyDescent="0.25">
      <c r="A1529" s="6" t="s">
        <v>44</v>
      </c>
      <c r="B1529" s="7" t="s">
        <v>2350</v>
      </c>
      <c r="C1529" s="7" t="s">
        <v>67</v>
      </c>
      <c r="D1529" s="8">
        <v>44788</v>
      </c>
      <c r="E1529" s="8" t="s">
        <v>0</v>
      </c>
      <c r="F1529" s="16" t="s">
        <v>2351</v>
      </c>
      <c r="G1529" s="7" t="s">
        <v>2352</v>
      </c>
      <c r="H1529" s="7" t="s">
        <v>2370</v>
      </c>
      <c r="I1529" s="7" t="s">
        <v>0</v>
      </c>
      <c r="J1529" s="7" t="s">
        <v>156</v>
      </c>
      <c r="K1529" s="7" t="s">
        <v>47</v>
      </c>
      <c r="L1529" s="7" t="s">
        <v>48</v>
      </c>
      <c r="M1529" s="7" t="s">
        <v>0</v>
      </c>
      <c r="N1529" s="7" t="s">
        <v>8262</v>
      </c>
      <c r="O1529" s="7" t="s">
        <v>0</v>
      </c>
      <c r="P1529" s="7" t="s">
        <v>8263</v>
      </c>
      <c r="Q1529" s="7" t="s">
        <v>8264</v>
      </c>
      <c r="R1529" s="7" t="s">
        <v>6771</v>
      </c>
      <c r="S1529" s="7" t="s">
        <v>2349</v>
      </c>
      <c r="T1529" s="7" t="s">
        <v>54</v>
      </c>
      <c r="U1529" s="7" t="s">
        <v>362</v>
      </c>
      <c r="V1529" s="7" t="s">
        <v>295</v>
      </c>
      <c r="W1529" s="7" t="s">
        <v>74</v>
      </c>
      <c r="X1529" s="7" t="s">
        <v>58</v>
      </c>
      <c r="Y1529" s="8">
        <v>44788</v>
      </c>
      <c r="Z1529" s="8" t="s">
        <v>0</v>
      </c>
      <c r="AA1529" s="7" t="s">
        <v>296</v>
      </c>
      <c r="AB1529" s="7" t="s">
        <v>1748</v>
      </c>
      <c r="AC1529" s="7" t="s">
        <v>65</v>
      </c>
      <c r="AD1529" s="7" t="s">
        <v>144</v>
      </c>
      <c r="AE1529" s="7" t="s">
        <v>0</v>
      </c>
      <c r="AF1529" s="7" t="s">
        <v>0</v>
      </c>
      <c r="AG1529" s="7" t="s">
        <v>0</v>
      </c>
      <c r="AH1529" s="9" t="s">
        <v>0</v>
      </c>
      <c r="AI1529" s="9" t="s">
        <v>0</v>
      </c>
      <c r="AJ1529" s="9" t="s">
        <v>0</v>
      </c>
      <c r="AK1529" s="7" t="s">
        <v>61</v>
      </c>
      <c r="AL1529" s="7" t="s">
        <v>61</v>
      </c>
      <c r="AM1529" s="7" t="s">
        <v>0</v>
      </c>
      <c r="AN1529" s="7" t="s">
        <v>0</v>
      </c>
      <c r="AO1529" s="7" t="s">
        <v>0</v>
      </c>
      <c r="AP1529" s="7" t="s">
        <v>0</v>
      </c>
      <c r="AQ1529" s="7" t="s">
        <v>61</v>
      </c>
      <c r="AR1529" s="7" t="s">
        <v>0</v>
      </c>
      <c r="AS1529" s="10" t="str">
        <f>HYPERLINK("https://tessa.gazprom-neft.local/edo/card/4abd78f6-93be-47e7-9b92-1e950201e6ef", "https://tessa.gazprom-neft.local/edo/card/4abd78f6-93be-47e7-9b92-1e950201e6ef")</f>
        <v>https://tessa.gazprom-neft.local/edo/card/4abd78f6-93be-47e7-9b92-1e950201e6ef</v>
      </c>
    </row>
    <row r="1530" spans="1:45" hidden="1" x14ac:dyDescent="0.25">
      <c r="A1530" s="6" t="s">
        <v>44</v>
      </c>
      <c r="B1530" s="7" t="s">
        <v>1657</v>
      </c>
      <c r="C1530" s="7" t="s">
        <v>67</v>
      </c>
      <c r="D1530" s="8">
        <v>44788</v>
      </c>
      <c r="E1530" s="8" t="s">
        <v>0</v>
      </c>
      <c r="F1530" s="16" t="s">
        <v>1658</v>
      </c>
      <c r="G1530" s="7" t="s">
        <v>1659</v>
      </c>
      <c r="H1530" s="7" t="s">
        <v>0</v>
      </c>
      <c r="I1530" s="7" t="s">
        <v>8324</v>
      </c>
      <c r="J1530" s="7" t="s">
        <v>8324</v>
      </c>
      <c r="K1530" s="7" t="s">
        <v>85</v>
      </c>
      <c r="L1530" s="7" t="s">
        <v>86</v>
      </c>
      <c r="M1530" s="7" t="s">
        <v>216</v>
      </c>
      <c r="N1530" s="7" t="s">
        <v>8323</v>
      </c>
      <c r="O1530" s="7" t="s">
        <v>0</v>
      </c>
      <c r="P1530" s="7" t="s">
        <v>216</v>
      </c>
      <c r="Q1530" s="7" t="s">
        <v>8074</v>
      </c>
      <c r="R1530" s="7" t="s">
        <v>338</v>
      </c>
      <c r="S1530" s="7" t="s">
        <v>8134</v>
      </c>
      <c r="T1530" s="7" t="s">
        <v>54</v>
      </c>
      <c r="U1530" s="7" t="s">
        <v>4736</v>
      </c>
      <c r="V1530" s="7" t="s">
        <v>102</v>
      </c>
      <c r="W1530" s="7" t="s">
        <v>74</v>
      </c>
      <c r="X1530" s="7" t="s">
        <v>103</v>
      </c>
      <c r="Y1530" s="8">
        <v>44788</v>
      </c>
      <c r="Z1530" s="8">
        <v>45291</v>
      </c>
      <c r="AA1530" s="7" t="s">
        <v>104</v>
      </c>
      <c r="AB1530" s="7" t="s">
        <v>228</v>
      </c>
      <c r="AC1530" s="7" t="s">
        <v>65</v>
      </c>
      <c r="AD1530" s="7" t="s">
        <v>0</v>
      </c>
      <c r="AE1530" s="7" t="s">
        <v>0</v>
      </c>
      <c r="AF1530" s="7" t="s">
        <v>0</v>
      </c>
      <c r="AG1530" s="7" t="s">
        <v>0</v>
      </c>
      <c r="AH1530" s="9" t="s">
        <v>0</v>
      </c>
      <c r="AI1530" s="9" t="s">
        <v>0</v>
      </c>
      <c r="AJ1530" s="9" t="s">
        <v>0</v>
      </c>
      <c r="AK1530" s="7" t="s">
        <v>61</v>
      </c>
      <c r="AL1530" s="7" t="s">
        <v>61</v>
      </c>
      <c r="AM1530" s="7" t="s">
        <v>0</v>
      </c>
      <c r="AN1530" s="7" t="s">
        <v>0</v>
      </c>
      <c r="AO1530" s="7" t="s">
        <v>0</v>
      </c>
      <c r="AP1530" s="7" t="s">
        <v>0</v>
      </c>
      <c r="AQ1530" s="7" t="s">
        <v>61</v>
      </c>
      <c r="AR1530" s="7" t="s">
        <v>0</v>
      </c>
      <c r="AS1530" s="10" t="str">
        <f>HYPERLINK("https://tessa.gazprom-neft.local/edo/card/e53fb7ac-a125-45d2-8210-b94e289a0ced", "https://tessa.gazprom-neft.local/edo/card/e53fb7ac-a125-45d2-8210-b94e289a0ced")</f>
        <v>https://tessa.gazprom-neft.local/edo/card/e53fb7ac-a125-45d2-8210-b94e289a0ced</v>
      </c>
    </row>
    <row r="1531" spans="1:45" hidden="1" x14ac:dyDescent="0.25">
      <c r="A1531" s="6" t="s">
        <v>44</v>
      </c>
      <c r="B1531" s="7" t="s">
        <v>488</v>
      </c>
      <c r="C1531" s="7" t="s">
        <v>67</v>
      </c>
      <c r="D1531" s="8">
        <v>44788</v>
      </c>
      <c r="E1531" s="8" t="s">
        <v>0</v>
      </c>
      <c r="F1531" s="16" t="s">
        <v>489</v>
      </c>
      <c r="G1531" s="7" t="s">
        <v>490</v>
      </c>
      <c r="H1531" s="7" t="s">
        <v>0</v>
      </c>
      <c r="I1531" s="7" t="s">
        <v>8365</v>
      </c>
      <c r="J1531" s="7" t="s">
        <v>8365</v>
      </c>
      <c r="K1531" s="7" t="s">
        <v>47</v>
      </c>
      <c r="L1531" s="7" t="s">
        <v>86</v>
      </c>
      <c r="M1531" s="7" t="s">
        <v>0</v>
      </c>
      <c r="N1531" s="7" t="s">
        <v>8364</v>
      </c>
      <c r="O1531" s="7" t="s">
        <v>0</v>
      </c>
      <c r="P1531" s="7" t="s">
        <v>237</v>
      </c>
      <c r="Q1531" s="7" t="s">
        <v>8366</v>
      </c>
      <c r="R1531" s="7" t="s">
        <v>282</v>
      </c>
      <c r="S1531" s="7" t="s">
        <v>0</v>
      </c>
      <c r="T1531" s="7" t="s">
        <v>54</v>
      </c>
      <c r="U1531" s="7" t="s">
        <v>55</v>
      </c>
      <c r="V1531" s="7" t="s">
        <v>56</v>
      </c>
      <c r="W1531" s="7" t="s">
        <v>57</v>
      </c>
      <c r="X1531" s="7" t="s">
        <v>103</v>
      </c>
      <c r="Y1531" s="8">
        <v>44788</v>
      </c>
      <c r="Z1531" s="8">
        <v>46022</v>
      </c>
      <c r="AA1531" s="7" t="s">
        <v>0</v>
      </c>
      <c r="AB1531" s="7" t="s">
        <v>64</v>
      </c>
      <c r="AC1531" s="7" t="s">
        <v>65</v>
      </c>
      <c r="AD1531" s="7" t="s">
        <v>0</v>
      </c>
      <c r="AE1531" s="7" t="s">
        <v>0</v>
      </c>
      <c r="AF1531" s="7" t="s">
        <v>0</v>
      </c>
      <c r="AG1531" s="7" t="s">
        <v>0</v>
      </c>
      <c r="AH1531" s="9" t="s">
        <v>0</v>
      </c>
      <c r="AI1531" s="9" t="s">
        <v>0</v>
      </c>
      <c r="AJ1531" s="9" t="s">
        <v>0</v>
      </c>
      <c r="AK1531" s="7" t="s">
        <v>61</v>
      </c>
      <c r="AL1531" s="7" t="s">
        <v>61</v>
      </c>
      <c r="AM1531" s="7" t="s">
        <v>0</v>
      </c>
      <c r="AN1531" s="7" t="s">
        <v>0</v>
      </c>
      <c r="AO1531" s="7" t="s">
        <v>0</v>
      </c>
      <c r="AP1531" s="7" t="s">
        <v>0</v>
      </c>
      <c r="AQ1531" s="7" t="s">
        <v>61</v>
      </c>
      <c r="AR1531" s="7" t="s">
        <v>0</v>
      </c>
      <c r="AS1531" s="10" t="str">
        <f>HYPERLINK("https://tessa.gazprom-neft.local/edo/card/4cf7d608-e24f-47e4-b33c-fde6d8f0b2c9", "https://tessa.gazprom-neft.local/edo/card/4cf7d608-e24f-47e4-b33c-fde6d8f0b2c9")</f>
        <v>https://tessa.gazprom-neft.local/edo/card/4cf7d608-e24f-47e4-b33c-fde6d8f0b2c9</v>
      </c>
    </row>
    <row r="1532" spans="1:45" hidden="1" x14ac:dyDescent="0.25">
      <c r="A1532" s="6" t="s">
        <v>44</v>
      </c>
      <c r="B1532" s="7" t="s">
        <v>1843</v>
      </c>
      <c r="C1532" s="7" t="s">
        <v>67</v>
      </c>
      <c r="D1532" s="8">
        <v>44785</v>
      </c>
      <c r="E1532" s="8" t="s">
        <v>0</v>
      </c>
      <c r="F1532" s="16" t="s">
        <v>1844</v>
      </c>
      <c r="G1532" s="7" t="s">
        <v>1845</v>
      </c>
      <c r="H1532" s="7" t="s">
        <v>0</v>
      </c>
      <c r="I1532" s="7" t="s">
        <v>3215</v>
      </c>
      <c r="J1532" s="7" t="s">
        <v>3215</v>
      </c>
      <c r="K1532" s="7" t="s">
        <v>85</v>
      </c>
      <c r="L1532" s="7" t="s">
        <v>96</v>
      </c>
      <c r="M1532" s="7" t="s">
        <v>8315</v>
      </c>
      <c r="N1532" s="7" t="s">
        <v>8316</v>
      </c>
      <c r="O1532" s="7" t="s">
        <v>0</v>
      </c>
      <c r="P1532" s="7" t="s">
        <v>8315</v>
      </c>
      <c r="Q1532" s="7" t="s">
        <v>8317</v>
      </c>
      <c r="R1532" s="7" t="s">
        <v>4734</v>
      </c>
      <c r="S1532" s="7" t="s">
        <v>1066</v>
      </c>
      <c r="T1532" s="7" t="s">
        <v>54</v>
      </c>
      <c r="U1532" s="7" t="s">
        <v>4736</v>
      </c>
      <c r="V1532" s="7" t="s">
        <v>102</v>
      </c>
      <c r="W1532" s="7" t="s">
        <v>74</v>
      </c>
      <c r="X1532" s="7" t="s">
        <v>103</v>
      </c>
      <c r="Y1532" s="8">
        <v>44785</v>
      </c>
      <c r="Z1532" s="8">
        <v>45565</v>
      </c>
      <c r="AA1532" s="7" t="s">
        <v>104</v>
      </c>
      <c r="AB1532" s="7" t="s">
        <v>1143</v>
      </c>
      <c r="AC1532" s="7" t="s">
        <v>79</v>
      </c>
      <c r="AD1532" s="7" t="s">
        <v>80</v>
      </c>
      <c r="AE1532" s="7" t="s">
        <v>82</v>
      </c>
      <c r="AF1532" s="7" t="s">
        <v>0</v>
      </c>
      <c r="AG1532" s="7" t="s">
        <v>8318</v>
      </c>
      <c r="AH1532" s="9" t="s">
        <v>13507</v>
      </c>
      <c r="AI1532" s="9" t="s">
        <v>13508</v>
      </c>
      <c r="AJ1532" s="9" t="s">
        <v>13509</v>
      </c>
      <c r="AK1532" s="7" t="s">
        <v>81</v>
      </c>
      <c r="AL1532" s="7" t="s">
        <v>61</v>
      </c>
      <c r="AM1532" s="7" t="s">
        <v>0</v>
      </c>
      <c r="AN1532" s="7" t="s">
        <v>0</v>
      </c>
      <c r="AO1532" s="7" t="s">
        <v>0</v>
      </c>
      <c r="AP1532" s="7" t="s">
        <v>0</v>
      </c>
      <c r="AQ1532" s="7" t="s">
        <v>61</v>
      </c>
      <c r="AR1532" s="7" t="s">
        <v>0</v>
      </c>
      <c r="AS1532" s="10" t="str">
        <f>HYPERLINK("https://tessa.gazprom-neft.local/edo/card/af115267-3037-4b91-afa8-046d596d79d9", "https://tessa.gazprom-neft.local/edo/card/af115267-3037-4b91-afa8-046d596d79d9")</f>
        <v>https://tessa.gazprom-neft.local/edo/card/af115267-3037-4b91-afa8-046d596d79d9</v>
      </c>
    </row>
    <row r="1533" spans="1:45" hidden="1" x14ac:dyDescent="0.25">
      <c r="A1533" s="6" t="s">
        <v>44</v>
      </c>
      <c r="B1533" s="7" t="s">
        <v>1657</v>
      </c>
      <c r="C1533" s="7" t="s">
        <v>67</v>
      </c>
      <c r="D1533" s="8">
        <v>44785</v>
      </c>
      <c r="E1533" s="8" t="s">
        <v>0</v>
      </c>
      <c r="F1533" s="16" t="s">
        <v>1658</v>
      </c>
      <c r="G1533" s="7" t="s">
        <v>1659</v>
      </c>
      <c r="H1533" s="7" t="s">
        <v>0</v>
      </c>
      <c r="I1533" s="7" t="s">
        <v>8326</v>
      </c>
      <c r="J1533" s="7" t="s">
        <v>8326</v>
      </c>
      <c r="K1533" s="7" t="s">
        <v>85</v>
      </c>
      <c r="L1533" s="7" t="s">
        <v>86</v>
      </c>
      <c r="M1533" s="7" t="s">
        <v>83</v>
      </c>
      <c r="N1533" s="7" t="s">
        <v>8325</v>
      </c>
      <c r="O1533" s="7" t="s">
        <v>0</v>
      </c>
      <c r="P1533" s="7" t="s">
        <v>83</v>
      </c>
      <c r="Q1533" s="7" t="s">
        <v>8327</v>
      </c>
      <c r="R1533" s="7" t="s">
        <v>338</v>
      </c>
      <c r="S1533" s="7" t="s">
        <v>8134</v>
      </c>
      <c r="T1533" s="7" t="s">
        <v>54</v>
      </c>
      <c r="U1533" s="7" t="s">
        <v>4736</v>
      </c>
      <c r="V1533" s="7" t="s">
        <v>91</v>
      </c>
      <c r="W1533" s="7" t="s">
        <v>74</v>
      </c>
      <c r="X1533" s="7" t="s">
        <v>103</v>
      </c>
      <c r="Y1533" s="8">
        <v>44785</v>
      </c>
      <c r="Z1533" s="8">
        <v>45291</v>
      </c>
      <c r="AA1533" s="7" t="s">
        <v>92</v>
      </c>
      <c r="AB1533" s="7" t="s">
        <v>94</v>
      </c>
      <c r="AC1533" s="7" t="s">
        <v>65</v>
      </c>
      <c r="AD1533" s="7" t="s">
        <v>0</v>
      </c>
      <c r="AE1533" s="7" t="s">
        <v>0</v>
      </c>
      <c r="AF1533" s="7" t="s">
        <v>0</v>
      </c>
      <c r="AG1533" s="7" t="s">
        <v>0</v>
      </c>
      <c r="AH1533" s="9" t="s">
        <v>0</v>
      </c>
      <c r="AI1533" s="9" t="s">
        <v>0</v>
      </c>
      <c r="AJ1533" s="9" t="s">
        <v>0</v>
      </c>
      <c r="AK1533" s="7" t="s">
        <v>61</v>
      </c>
      <c r="AL1533" s="7" t="s">
        <v>61</v>
      </c>
      <c r="AM1533" s="7" t="s">
        <v>0</v>
      </c>
      <c r="AN1533" s="7" t="s">
        <v>0</v>
      </c>
      <c r="AO1533" s="7" t="s">
        <v>0</v>
      </c>
      <c r="AP1533" s="7" t="s">
        <v>0</v>
      </c>
      <c r="AQ1533" s="7" t="s">
        <v>61</v>
      </c>
      <c r="AR1533" s="7" t="s">
        <v>0</v>
      </c>
      <c r="AS1533" s="10" t="str">
        <f>HYPERLINK("https://tessa.gazprom-neft.local/edo/card/57001829-96a8-42e9-9ba5-ac7333325fe3", "https://tessa.gazprom-neft.local/edo/card/57001829-96a8-42e9-9ba5-ac7333325fe3")</f>
        <v>https://tessa.gazprom-neft.local/edo/card/57001829-96a8-42e9-9ba5-ac7333325fe3</v>
      </c>
    </row>
    <row r="1534" spans="1:45" hidden="1" x14ac:dyDescent="0.25">
      <c r="A1534" s="6" t="s">
        <v>44</v>
      </c>
      <c r="B1534" s="7" t="s">
        <v>1843</v>
      </c>
      <c r="C1534" s="7" t="s">
        <v>67</v>
      </c>
      <c r="D1534" s="8">
        <v>44785</v>
      </c>
      <c r="E1534" s="8" t="s">
        <v>0</v>
      </c>
      <c r="F1534" s="16" t="s">
        <v>1844</v>
      </c>
      <c r="G1534" s="7" t="s">
        <v>1845</v>
      </c>
      <c r="H1534" s="7" t="s">
        <v>0</v>
      </c>
      <c r="I1534" s="7" t="s">
        <v>6267</v>
      </c>
      <c r="J1534" s="7" t="s">
        <v>6267</v>
      </c>
      <c r="K1534" s="7" t="s">
        <v>85</v>
      </c>
      <c r="L1534" s="7" t="s">
        <v>86</v>
      </c>
      <c r="M1534" s="7" t="s">
        <v>216</v>
      </c>
      <c r="N1534" s="7" t="s">
        <v>8328</v>
      </c>
      <c r="O1534" s="7" t="s">
        <v>0</v>
      </c>
      <c r="P1534" s="7" t="s">
        <v>216</v>
      </c>
      <c r="Q1534" s="7" t="s">
        <v>8074</v>
      </c>
      <c r="R1534" s="7" t="s">
        <v>338</v>
      </c>
      <c r="S1534" s="7" t="s">
        <v>8329</v>
      </c>
      <c r="T1534" s="7" t="s">
        <v>54</v>
      </c>
      <c r="U1534" s="7" t="s">
        <v>4736</v>
      </c>
      <c r="V1534" s="7" t="s">
        <v>102</v>
      </c>
      <c r="W1534" s="7" t="s">
        <v>74</v>
      </c>
      <c r="X1534" s="7" t="s">
        <v>103</v>
      </c>
      <c r="Y1534" s="8">
        <v>44785</v>
      </c>
      <c r="Z1534" s="8">
        <v>45565</v>
      </c>
      <c r="AA1534" s="7" t="s">
        <v>104</v>
      </c>
      <c r="AB1534" s="7" t="s">
        <v>228</v>
      </c>
      <c r="AC1534" s="7" t="s">
        <v>65</v>
      </c>
      <c r="AD1534" s="7" t="s">
        <v>0</v>
      </c>
      <c r="AE1534" s="7" t="s">
        <v>0</v>
      </c>
      <c r="AF1534" s="7" t="s">
        <v>0</v>
      </c>
      <c r="AG1534" s="7" t="s">
        <v>0</v>
      </c>
      <c r="AH1534" s="9" t="s">
        <v>0</v>
      </c>
      <c r="AI1534" s="9" t="s">
        <v>0</v>
      </c>
      <c r="AJ1534" s="9" t="s">
        <v>0</v>
      </c>
      <c r="AK1534" s="7" t="s">
        <v>61</v>
      </c>
      <c r="AL1534" s="7" t="s">
        <v>61</v>
      </c>
      <c r="AM1534" s="7" t="s">
        <v>0</v>
      </c>
      <c r="AN1534" s="7" t="s">
        <v>0</v>
      </c>
      <c r="AO1534" s="7" t="s">
        <v>0</v>
      </c>
      <c r="AP1534" s="7" t="s">
        <v>0</v>
      </c>
      <c r="AQ1534" s="7" t="s">
        <v>61</v>
      </c>
      <c r="AR1534" s="7" t="s">
        <v>0</v>
      </c>
      <c r="AS1534" s="10" t="str">
        <f>HYPERLINK("https://tessa.gazprom-neft.local/edo/card/68278842-19fa-4be4-b8a6-e5b9600775cb", "https://tessa.gazprom-neft.local/edo/card/68278842-19fa-4be4-b8a6-e5b9600775cb")</f>
        <v>https://tessa.gazprom-neft.local/edo/card/68278842-19fa-4be4-b8a6-e5b9600775cb</v>
      </c>
    </row>
    <row r="1535" spans="1:45" hidden="1" x14ac:dyDescent="0.25">
      <c r="A1535" s="6" t="s">
        <v>44</v>
      </c>
      <c r="B1535" s="7" t="s">
        <v>1240</v>
      </c>
      <c r="C1535" s="7" t="s">
        <v>67</v>
      </c>
      <c r="D1535" s="8">
        <v>44784</v>
      </c>
      <c r="E1535" s="8" t="s">
        <v>0</v>
      </c>
      <c r="F1535" s="16" t="s">
        <v>1241</v>
      </c>
      <c r="G1535" s="7" t="s">
        <v>1242</v>
      </c>
      <c r="H1535" s="7" t="s">
        <v>0</v>
      </c>
      <c r="I1535" s="7" t="s">
        <v>8288</v>
      </c>
      <c r="J1535" s="7" t="s">
        <v>8288</v>
      </c>
      <c r="K1535" s="7" t="s">
        <v>47</v>
      </c>
      <c r="L1535" s="7" t="s">
        <v>86</v>
      </c>
      <c r="M1535" s="7" t="s">
        <v>0</v>
      </c>
      <c r="N1535" s="7" t="s">
        <v>8287</v>
      </c>
      <c r="O1535" s="7" t="s">
        <v>0</v>
      </c>
      <c r="P1535" s="7" t="s">
        <v>237</v>
      </c>
      <c r="Q1535" s="7" t="s">
        <v>8242</v>
      </c>
      <c r="R1535" s="7" t="s">
        <v>659</v>
      </c>
      <c r="S1535" s="7" t="s">
        <v>1261</v>
      </c>
      <c r="T1535" s="7" t="s">
        <v>54</v>
      </c>
      <c r="U1535" s="7" t="s">
        <v>125</v>
      </c>
      <c r="V1535" s="7" t="s">
        <v>382</v>
      </c>
      <c r="W1535" s="7" t="s">
        <v>74</v>
      </c>
      <c r="X1535" s="7" t="s">
        <v>103</v>
      </c>
      <c r="Y1535" s="8">
        <v>44784</v>
      </c>
      <c r="Z1535" s="8">
        <v>46022</v>
      </c>
      <c r="AA1535" s="7" t="s">
        <v>383</v>
      </c>
      <c r="AB1535" s="7" t="s">
        <v>139</v>
      </c>
      <c r="AC1535" s="7" t="s">
        <v>65</v>
      </c>
      <c r="AD1535" s="7" t="s">
        <v>0</v>
      </c>
      <c r="AE1535" s="7" t="s">
        <v>0</v>
      </c>
      <c r="AF1535" s="7" t="s">
        <v>0</v>
      </c>
      <c r="AG1535" s="7" t="s">
        <v>0</v>
      </c>
      <c r="AH1535" s="9" t="s">
        <v>0</v>
      </c>
      <c r="AI1535" s="9" t="s">
        <v>0</v>
      </c>
      <c r="AJ1535" s="9" t="s">
        <v>0</v>
      </c>
      <c r="AK1535" s="7" t="s">
        <v>61</v>
      </c>
      <c r="AL1535" s="7" t="s">
        <v>61</v>
      </c>
      <c r="AM1535" s="7" t="s">
        <v>0</v>
      </c>
      <c r="AN1535" s="7" t="s">
        <v>0</v>
      </c>
      <c r="AO1535" s="7" t="s">
        <v>0</v>
      </c>
      <c r="AP1535" s="7" t="s">
        <v>0</v>
      </c>
      <c r="AQ1535" s="7" t="s">
        <v>61</v>
      </c>
      <c r="AR1535" s="7" t="s">
        <v>0</v>
      </c>
      <c r="AS1535" s="10" t="str">
        <f>HYPERLINK("https://tessa.gazprom-neft.local/edo/card/8377ba73-ee42-4754-b1cc-d17850bde99c", "https://tessa.gazprom-neft.local/edo/card/8377ba73-ee42-4754-b1cc-d17850bde99c")</f>
        <v>https://tessa.gazprom-neft.local/edo/card/8377ba73-ee42-4754-b1cc-d17850bde99c</v>
      </c>
    </row>
    <row r="1536" spans="1:45" x14ac:dyDescent="0.25">
      <c r="A1536" s="6" t="s">
        <v>44</v>
      </c>
      <c r="B1536" s="7" t="s">
        <v>2108</v>
      </c>
      <c r="C1536" s="7" t="s">
        <v>67</v>
      </c>
      <c r="D1536" s="8">
        <v>44783</v>
      </c>
      <c r="E1536" s="8" t="s">
        <v>0</v>
      </c>
      <c r="F1536" s="16" t="s">
        <v>2109</v>
      </c>
      <c r="G1536" s="7" t="s">
        <v>2110</v>
      </c>
      <c r="H1536" s="7" t="s">
        <v>2107</v>
      </c>
      <c r="I1536" s="7" t="s">
        <v>0</v>
      </c>
      <c r="J1536" s="7" t="s">
        <v>271</v>
      </c>
      <c r="K1536" s="7" t="s">
        <v>85</v>
      </c>
      <c r="L1536" s="7" t="s">
        <v>48</v>
      </c>
      <c r="M1536" s="7" t="s">
        <v>3833</v>
      </c>
      <c r="N1536" s="7" t="s">
        <v>8150</v>
      </c>
      <c r="O1536" s="7" t="s">
        <v>0</v>
      </c>
      <c r="P1536" s="7" t="s">
        <v>3833</v>
      </c>
      <c r="Q1536" s="7" t="s">
        <v>426</v>
      </c>
      <c r="R1536" s="7" t="s">
        <v>2594</v>
      </c>
      <c r="S1536" s="7" t="s">
        <v>0</v>
      </c>
      <c r="T1536" s="7" t="s">
        <v>54</v>
      </c>
      <c r="U1536" s="7" t="s">
        <v>199</v>
      </c>
      <c r="V1536" s="7" t="s">
        <v>6640</v>
      </c>
      <c r="W1536" s="7" t="s">
        <v>57</v>
      </c>
      <c r="X1536" s="7" t="s">
        <v>103</v>
      </c>
      <c r="Y1536" s="8">
        <v>44778</v>
      </c>
      <c r="Z1536" s="8">
        <v>45000</v>
      </c>
      <c r="AA1536" s="7" t="s">
        <v>7479</v>
      </c>
      <c r="AB1536" s="7" t="s">
        <v>130</v>
      </c>
      <c r="AC1536" s="7" t="s">
        <v>65</v>
      </c>
      <c r="AD1536" s="7" t="s">
        <v>80</v>
      </c>
      <c r="AE1536" s="7" t="s">
        <v>0</v>
      </c>
      <c r="AF1536" s="7" t="s">
        <v>0</v>
      </c>
      <c r="AG1536" s="7" t="s">
        <v>0</v>
      </c>
      <c r="AH1536" s="9" t="s">
        <v>0</v>
      </c>
      <c r="AI1536" s="9" t="s">
        <v>0</v>
      </c>
      <c r="AJ1536" s="9" t="s">
        <v>0</v>
      </c>
      <c r="AK1536" s="7" t="s">
        <v>61</v>
      </c>
      <c r="AL1536" s="7" t="s">
        <v>61</v>
      </c>
      <c r="AM1536" s="7" t="s">
        <v>0</v>
      </c>
      <c r="AN1536" s="7" t="s">
        <v>0</v>
      </c>
      <c r="AO1536" s="7" t="s">
        <v>0</v>
      </c>
      <c r="AP1536" s="7" t="s">
        <v>0</v>
      </c>
      <c r="AQ1536" s="7" t="s">
        <v>61</v>
      </c>
      <c r="AR1536" s="7" t="s">
        <v>0</v>
      </c>
      <c r="AS1536" s="10" t="str">
        <f>HYPERLINK("https://tessa.gazprom-neft.local/edo/card/208b288f-6996-4da3-8ddb-15f5c04f3b46", "https://tessa.gazprom-neft.local/edo/card/208b288f-6996-4da3-8ddb-15f5c04f3b46")</f>
        <v>https://tessa.gazprom-neft.local/edo/card/208b288f-6996-4da3-8ddb-15f5c04f3b46</v>
      </c>
    </row>
    <row r="1537" spans="1:45" hidden="1" x14ac:dyDescent="0.25">
      <c r="A1537" s="6" t="s">
        <v>44</v>
      </c>
      <c r="B1537" s="7" t="s">
        <v>0</v>
      </c>
      <c r="C1537" s="7" t="s">
        <v>67</v>
      </c>
      <c r="D1537" s="8">
        <v>44783</v>
      </c>
      <c r="E1537" s="8" t="s">
        <v>0</v>
      </c>
      <c r="F1537" s="16" t="s">
        <v>8256</v>
      </c>
      <c r="G1537" s="7" t="s">
        <v>0</v>
      </c>
      <c r="H1537" s="7" t="s">
        <v>0</v>
      </c>
      <c r="I1537" s="7" t="s">
        <v>825</v>
      </c>
      <c r="J1537" s="7" t="s">
        <v>825</v>
      </c>
      <c r="K1537" s="7" t="s">
        <v>47</v>
      </c>
      <c r="L1537" s="7" t="s">
        <v>96</v>
      </c>
      <c r="M1537" s="7" t="s">
        <v>0</v>
      </c>
      <c r="N1537" s="7" t="s">
        <v>8253</v>
      </c>
      <c r="O1537" s="7" t="s">
        <v>0</v>
      </c>
      <c r="P1537" s="7" t="s">
        <v>8254</v>
      </c>
      <c r="Q1537" s="7" t="s">
        <v>8255</v>
      </c>
      <c r="R1537" s="7" t="s">
        <v>1125</v>
      </c>
      <c r="S1537" s="7" t="s">
        <v>1125</v>
      </c>
      <c r="T1537" s="7" t="s">
        <v>54</v>
      </c>
      <c r="U1537" s="7" t="s">
        <v>188</v>
      </c>
      <c r="V1537" s="7" t="s">
        <v>187</v>
      </c>
      <c r="W1537" s="7" t="s">
        <v>57</v>
      </c>
      <c r="X1537" s="7" t="s">
        <v>103</v>
      </c>
      <c r="Y1537" s="8">
        <v>44783</v>
      </c>
      <c r="Z1537" s="8">
        <v>45291</v>
      </c>
      <c r="AA1537" s="7" t="s">
        <v>922</v>
      </c>
      <c r="AB1537" s="7" t="s">
        <v>64</v>
      </c>
      <c r="AC1537" s="7" t="s">
        <v>79</v>
      </c>
      <c r="AD1537" s="7" t="s">
        <v>80</v>
      </c>
      <c r="AE1537" s="7" t="s">
        <v>82</v>
      </c>
      <c r="AF1537" s="7" t="s">
        <v>0</v>
      </c>
      <c r="AG1537" s="7" t="s">
        <v>0</v>
      </c>
      <c r="AH1537" s="9" t="s">
        <v>13495</v>
      </c>
      <c r="AI1537" s="9" t="s">
        <v>13496</v>
      </c>
      <c r="AJ1537" s="9" t="s">
        <v>13497</v>
      </c>
      <c r="AK1537" s="7" t="s">
        <v>61</v>
      </c>
      <c r="AL1537" s="7" t="s">
        <v>81</v>
      </c>
      <c r="AM1537" s="7" t="s">
        <v>872</v>
      </c>
      <c r="AN1537" s="7" t="s">
        <v>8257</v>
      </c>
      <c r="AO1537" s="7" t="s">
        <v>0</v>
      </c>
      <c r="AP1537" s="7" t="s">
        <v>0</v>
      </c>
      <c r="AQ1537" s="7" t="s">
        <v>61</v>
      </c>
      <c r="AR1537" s="7" t="s">
        <v>0</v>
      </c>
      <c r="AS1537" s="10" t="str">
        <f>HYPERLINK("https://tessa.gazprom-neft.local/edo/card/b5bcb5a1-ebe6-41f7-a13e-c62c677750f9", "https://tessa.gazprom-neft.local/edo/card/b5bcb5a1-ebe6-41f7-a13e-c62c677750f9")</f>
        <v>https://tessa.gazprom-neft.local/edo/card/b5bcb5a1-ebe6-41f7-a13e-c62c677750f9</v>
      </c>
    </row>
    <row r="1538" spans="1:45" x14ac:dyDescent="0.25">
      <c r="A1538" s="6" t="s">
        <v>44</v>
      </c>
      <c r="B1538" s="7" t="s">
        <v>350</v>
      </c>
      <c r="C1538" s="7" t="s">
        <v>67</v>
      </c>
      <c r="D1538" s="8">
        <v>44783</v>
      </c>
      <c r="E1538" s="8" t="s">
        <v>0</v>
      </c>
      <c r="F1538" s="16" t="s">
        <v>1027</v>
      </c>
      <c r="G1538" s="7" t="s">
        <v>352</v>
      </c>
      <c r="H1538" s="7" t="s">
        <v>8308</v>
      </c>
      <c r="I1538" s="7" t="s">
        <v>0</v>
      </c>
      <c r="J1538" s="7" t="s">
        <v>156</v>
      </c>
      <c r="K1538" s="7" t="s">
        <v>47</v>
      </c>
      <c r="L1538" s="7" t="s">
        <v>48</v>
      </c>
      <c r="M1538" s="7" t="s">
        <v>0</v>
      </c>
      <c r="N1538" s="7" t="s">
        <v>8307</v>
      </c>
      <c r="O1538" s="7" t="s">
        <v>0</v>
      </c>
      <c r="P1538" s="7" t="s">
        <v>8309</v>
      </c>
      <c r="Q1538" s="7" t="s">
        <v>8310</v>
      </c>
      <c r="R1538" s="7" t="s">
        <v>1286</v>
      </c>
      <c r="S1538" s="7" t="s">
        <v>168</v>
      </c>
      <c r="T1538" s="7" t="s">
        <v>54</v>
      </c>
      <c r="U1538" s="7" t="s">
        <v>101</v>
      </c>
      <c r="V1538" s="7" t="s">
        <v>102</v>
      </c>
      <c r="W1538" s="7" t="s">
        <v>57</v>
      </c>
      <c r="X1538" s="7" t="s">
        <v>103</v>
      </c>
      <c r="Y1538" s="8">
        <v>44783</v>
      </c>
      <c r="Z1538" s="8">
        <v>45657</v>
      </c>
      <c r="AA1538" s="7" t="s">
        <v>104</v>
      </c>
      <c r="AB1538" s="7" t="s">
        <v>64</v>
      </c>
      <c r="AC1538" s="7" t="s">
        <v>79</v>
      </c>
      <c r="AD1538" s="7" t="s">
        <v>80</v>
      </c>
      <c r="AE1538" s="7" t="s">
        <v>118</v>
      </c>
      <c r="AF1538" s="7" t="s">
        <v>0</v>
      </c>
      <c r="AG1538" s="7" t="s">
        <v>0</v>
      </c>
      <c r="AH1538" s="9" t="s">
        <v>10983</v>
      </c>
      <c r="AI1538" s="9" t="s">
        <v>10983</v>
      </c>
      <c r="AJ1538" s="9">
        <v>0</v>
      </c>
      <c r="AK1538" s="7" t="s">
        <v>61</v>
      </c>
      <c r="AL1538" s="7" t="s">
        <v>61</v>
      </c>
      <c r="AM1538" s="7" t="s">
        <v>0</v>
      </c>
      <c r="AN1538" s="7" t="s">
        <v>0</v>
      </c>
      <c r="AO1538" s="7" t="s">
        <v>0</v>
      </c>
      <c r="AP1538" s="7" t="s">
        <v>0</v>
      </c>
      <c r="AQ1538" s="7" t="s">
        <v>61</v>
      </c>
      <c r="AR1538" s="7" t="s">
        <v>0</v>
      </c>
      <c r="AS1538" s="10" t="str">
        <f>HYPERLINK("https://tessa.gazprom-neft.local/edo/card/57f5974f-6e5a-4887-b0a9-5e3824695b8b", "https://tessa.gazprom-neft.local/edo/card/57f5974f-6e5a-4887-b0a9-5e3824695b8b")</f>
        <v>https://tessa.gazprom-neft.local/edo/card/57f5974f-6e5a-4887-b0a9-5e3824695b8b</v>
      </c>
    </row>
    <row r="1539" spans="1:45" hidden="1" x14ac:dyDescent="0.25">
      <c r="A1539" s="6" t="s">
        <v>44</v>
      </c>
      <c r="B1539" s="7" t="s">
        <v>3031</v>
      </c>
      <c r="C1539" s="7" t="s">
        <v>67</v>
      </c>
      <c r="D1539" s="8">
        <v>44783</v>
      </c>
      <c r="E1539" s="8" t="s">
        <v>0</v>
      </c>
      <c r="F1539" s="16" t="s">
        <v>3032</v>
      </c>
      <c r="G1539" s="7" t="s">
        <v>3033</v>
      </c>
      <c r="H1539" s="7" t="s">
        <v>0</v>
      </c>
      <c r="I1539" s="7" t="s">
        <v>8528</v>
      </c>
      <c r="J1539" s="7" t="s">
        <v>8528</v>
      </c>
      <c r="K1539" s="7" t="s">
        <v>47</v>
      </c>
      <c r="L1539" s="7" t="s">
        <v>86</v>
      </c>
      <c r="M1539" s="7" t="s">
        <v>0</v>
      </c>
      <c r="N1539" s="7" t="s">
        <v>8527</v>
      </c>
      <c r="O1539" s="7" t="s">
        <v>0</v>
      </c>
      <c r="P1539" s="7" t="s">
        <v>8529</v>
      </c>
      <c r="Q1539" s="7" t="s">
        <v>8366</v>
      </c>
      <c r="R1539" s="7" t="s">
        <v>282</v>
      </c>
      <c r="S1539" s="7" t="s">
        <v>1829</v>
      </c>
      <c r="T1539" s="7" t="s">
        <v>54</v>
      </c>
      <c r="U1539" s="7" t="s">
        <v>125</v>
      </c>
      <c r="V1539" s="7" t="s">
        <v>382</v>
      </c>
      <c r="W1539" s="7" t="s">
        <v>57</v>
      </c>
      <c r="X1539" s="7" t="s">
        <v>103</v>
      </c>
      <c r="Y1539" s="8">
        <v>44783</v>
      </c>
      <c r="Z1539" s="8">
        <v>46022</v>
      </c>
      <c r="AA1539" s="7" t="s">
        <v>383</v>
      </c>
      <c r="AB1539" s="7" t="s">
        <v>64</v>
      </c>
      <c r="AC1539" s="7" t="s">
        <v>65</v>
      </c>
      <c r="AD1539" s="7" t="s">
        <v>0</v>
      </c>
      <c r="AE1539" s="7" t="s">
        <v>0</v>
      </c>
      <c r="AF1539" s="7" t="s">
        <v>0</v>
      </c>
      <c r="AG1539" s="7" t="s">
        <v>0</v>
      </c>
      <c r="AH1539" s="9" t="s">
        <v>0</v>
      </c>
      <c r="AI1539" s="9" t="s">
        <v>0</v>
      </c>
      <c r="AJ1539" s="9" t="s">
        <v>0</v>
      </c>
      <c r="AK1539" s="7" t="s">
        <v>61</v>
      </c>
      <c r="AL1539" s="7" t="s">
        <v>61</v>
      </c>
      <c r="AM1539" s="7" t="s">
        <v>0</v>
      </c>
      <c r="AN1539" s="7" t="s">
        <v>0</v>
      </c>
      <c r="AO1539" s="7" t="s">
        <v>0</v>
      </c>
      <c r="AP1539" s="7" t="s">
        <v>0</v>
      </c>
      <c r="AQ1539" s="7" t="s">
        <v>61</v>
      </c>
      <c r="AR1539" s="7" t="s">
        <v>0</v>
      </c>
      <c r="AS1539" s="10" t="str">
        <f>HYPERLINK("https://tessa.gazprom-neft.local/edo/card/122e870f-f2f6-4f7a-b20f-3bd484fa23c0", "https://tessa.gazprom-neft.local/edo/card/122e870f-f2f6-4f7a-b20f-3bd484fa23c0")</f>
        <v>https://tessa.gazprom-neft.local/edo/card/122e870f-f2f6-4f7a-b20f-3bd484fa23c0</v>
      </c>
    </row>
    <row r="1540" spans="1:45" hidden="1" x14ac:dyDescent="0.25">
      <c r="A1540" s="6" t="s">
        <v>44</v>
      </c>
      <c r="B1540" s="7" t="s">
        <v>436</v>
      </c>
      <c r="C1540" s="7" t="s">
        <v>67</v>
      </c>
      <c r="D1540" s="8">
        <v>44783</v>
      </c>
      <c r="E1540" s="8" t="s">
        <v>0</v>
      </c>
      <c r="F1540" s="16" t="s">
        <v>437</v>
      </c>
      <c r="G1540" s="7" t="s">
        <v>438</v>
      </c>
      <c r="H1540" s="7" t="s">
        <v>0</v>
      </c>
      <c r="I1540" s="7" t="s">
        <v>8741</v>
      </c>
      <c r="J1540" s="7" t="s">
        <v>8741</v>
      </c>
      <c r="K1540" s="7" t="s">
        <v>47</v>
      </c>
      <c r="L1540" s="7" t="s">
        <v>96</v>
      </c>
      <c r="M1540" s="7" t="s">
        <v>0</v>
      </c>
      <c r="N1540" s="7" t="s">
        <v>8740</v>
      </c>
      <c r="O1540" s="7" t="s">
        <v>0</v>
      </c>
      <c r="P1540" s="7" t="s">
        <v>8742</v>
      </c>
      <c r="Q1540" s="7" t="s">
        <v>8743</v>
      </c>
      <c r="R1540" s="7" t="s">
        <v>2079</v>
      </c>
      <c r="S1540" s="7" t="s">
        <v>2079</v>
      </c>
      <c r="T1540" s="7" t="s">
        <v>54</v>
      </c>
      <c r="U1540" s="7" t="s">
        <v>8411</v>
      </c>
      <c r="V1540" s="7" t="s">
        <v>56</v>
      </c>
      <c r="W1540" s="7" t="s">
        <v>57</v>
      </c>
      <c r="X1540" s="7" t="s">
        <v>58</v>
      </c>
      <c r="Y1540" s="8">
        <v>44783</v>
      </c>
      <c r="Z1540" s="8" t="s">
        <v>0</v>
      </c>
      <c r="AA1540" s="7" t="s">
        <v>59</v>
      </c>
      <c r="AB1540" s="7" t="s">
        <v>1408</v>
      </c>
      <c r="AC1540" s="7" t="s">
        <v>79</v>
      </c>
      <c r="AD1540" s="7" t="s">
        <v>80</v>
      </c>
      <c r="AE1540" s="7" t="s">
        <v>118</v>
      </c>
      <c r="AF1540" s="7" t="s">
        <v>0</v>
      </c>
      <c r="AG1540" s="7" t="s">
        <v>0</v>
      </c>
      <c r="AH1540" s="9" t="s">
        <v>13674</v>
      </c>
      <c r="AI1540" s="9" t="s">
        <v>13674</v>
      </c>
      <c r="AJ1540" s="9">
        <v>0</v>
      </c>
      <c r="AK1540" s="7" t="s">
        <v>61</v>
      </c>
      <c r="AL1540" s="7" t="s">
        <v>61</v>
      </c>
      <c r="AM1540" s="7" t="s">
        <v>0</v>
      </c>
      <c r="AN1540" s="7" t="s">
        <v>0</v>
      </c>
      <c r="AO1540" s="7" t="s">
        <v>0</v>
      </c>
      <c r="AP1540" s="7" t="s">
        <v>0</v>
      </c>
      <c r="AQ1540" s="7" t="s">
        <v>61</v>
      </c>
      <c r="AR1540" s="7" t="s">
        <v>0</v>
      </c>
      <c r="AS1540" s="10" t="str">
        <f>HYPERLINK("https://tessa.gazprom-neft.local/edo/card/aca5c39a-45b6-4a28-9c5c-e8f36dc7ea86", "https://tessa.gazprom-neft.local/edo/card/aca5c39a-45b6-4a28-9c5c-e8f36dc7ea86")</f>
        <v>https://tessa.gazprom-neft.local/edo/card/aca5c39a-45b6-4a28-9c5c-e8f36dc7ea86</v>
      </c>
    </row>
    <row r="1541" spans="1:45" hidden="1" x14ac:dyDescent="0.25">
      <c r="A1541" s="6" t="s">
        <v>44</v>
      </c>
      <c r="B1541" s="7" t="s">
        <v>436</v>
      </c>
      <c r="C1541" s="7" t="s">
        <v>46</v>
      </c>
      <c r="D1541" s="8">
        <v>44781</v>
      </c>
      <c r="E1541" s="8" t="s">
        <v>0</v>
      </c>
      <c r="F1541" s="16" t="s">
        <v>437</v>
      </c>
      <c r="G1541" s="7" t="s">
        <v>438</v>
      </c>
      <c r="H1541" s="7" t="s">
        <v>0</v>
      </c>
      <c r="I1541" s="7" t="s">
        <v>7706</v>
      </c>
      <c r="J1541" s="7" t="s">
        <v>7706</v>
      </c>
      <c r="K1541" s="7" t="s">
        <v>47</v>
      </c>
      <c r="L1541" s="7" t="s">
        <v>96</v>
      </c>
      <c r="M1541" s="7" t="s">
        <v>0</v>
      </c>
      <c r="N1541" s="7" t="s">
        <v>7705</v>
      </c>
      <c r="O1541" s="7" t="s">
        <v>0</v>
      </c>
      <c r="P1541" s="7" t="s">
        <v>2618</v>
      </c>
      <c r="Q1541" s="7" t="s">
        <v>7707</v>
      </c>
      <c r="R1541" s="7" t="s">
        <v>1586</v>
      </c>
      <c r="S1541" s="7" t="s">
        <v>1586</v>
      </c>
      <c r="T1541" s="7" t="s">
        <v>54</v>
      </c>
      <c r="U1541" s="7" t="s">
        <v>428</v>
      </c>
      <c r="V1541" s="7" t="s">
        <v>340</v>
      </c>
      <c r="W1541" s="7" t="s">
        <v>57</v>
      </c>
      <c r="X1541" s="7" t="s">
        <v>103</v>
      </c>
      <c r="Y1541" s="8">
        <v>44778</v>
      </c>
      <c r="Z1541" s="8">
        <v>45874</v>
      </c>
      <c r="AA1541" s="7" t="s">
        <v>341</v>
      </c>
      <c r="AB1541" s="7" t="s">
        <v>2618</v>
      </c>
      <c r="AC1541" s="7" t="s">
        <v>79</v>
      </c>
      <c r="AD1541" s="7" t="s">
        <v>80</v>
      </c>
      <c r="AE1541" s="7" t="s">
        <v>118</v>
      </c>
      <c r="AF1541" s="7" t="s">
        <v>0</v>
      </c>
      <c r="AG1541" s="7" t="s">
        <v>0</v>
      </c>
      <c r="AH1541" s="9" t="s">
        <v>13283</v>
      </c>
      <c r="AI1541" s="9" t="s">
        <v>13283</v>
      </c>
      <c r="AJ1541" s="9">
        <v>0</v>
      </c>
      <c r="AK1541" s="7" t="s">
        <v>61</v>
      </c>
      <c r="AL1541" s="7" t="s">
        <v>61</v>
      </c>
      <c r="AM1541" s="7" t="s">
        <v>0</v>
      </c>
      <c r="AN1541" s="7" t="s">
        <v>0</v>
      </c>
      <c r="AO1541" s="7" t="s">
        <v>0</v>
      </c>
      <c r="AP1541" s="7" t="s">
        <v>0</v>
      </c>
      <c r="AQ1541" s="7" t="s">
        <v>61</v>
      </c>
      <c r="AR1541" s="7" t="s">
        <v>0</v>
      </c>
      <c r="AS1541" s="10" t="str">
        <f>HYPERLINK("https://tessa.gazprom-neft.local/edo/card/a11da5c4-5574-4677-8556-8f02a9209596", "https://tessa.gazprom-neft.local/edo/card/a11da5c4-5574-4677-8556-8f02a9209596")</f>
        <v>https://tessa.gazprom-neft.local/edo/card/a11da5c4-5574-4677-8556-8f02a9209596</v>
      </c>
    </row>
    <row r="1542" spans="1:45" hidden="1" x14ac:dyDescent="0.25">
      <c r="A1542" s="6" t="s">
        <v>44</v>
      </c>
      <c r="B1542" s="7" t="s">
        <v>8215</v>
      </c>
      <c r="C1542" s="7" t="s">
        <v>67</v>
      </c>
      <c r="D1542" s="8">
        <v>44781</v>
      </c>
      <c r="E1542" s="8" t="s">
        <v>0</v>
      </c>
      <c r="F1542" s="16" t="s">
        <v>8216</v>
      </c>
      <c r="G1542" s="7" t="s">
        <v>8217</v>
      </c>
      <c r="H1542" s="7" t="s">
        <v>0</v>
      </c>
      <c r="I1542" s="7" t="s">
        <v>8213</v>
      </c>
      <c r="J1542" s="7" t="s">
        <v>8213</v>
      </c>
      <c r="K1542" s="7" t="s">
        <v>47</v>
      </c>
      <c r="L1542" s="7" t="s">
        <v>86</v>
      </c>
      <c r="M1542" s="7" t="s">
        <v>0</v>
      </c>
      <c r="N1542" s="7" t="s">
        <v>8212</v>
      </c>
      <c r="O1542" s="7" t="s">
        <v>0</v>
      </c>
      <c r="P1542" s="7" t="s">
        <v>8214</v>
      </c>
      <c r="Q1542" s="7" t="s">
        <v>8214</v>
      </c>
      <c r="R1542" s="7" t="s">
        <v>799</v>
      </c>
      <c r="S1542" s="7" t="s">
        <v>0</v>
      </c>
      <c r="T1542" s="7" t="s">
        <v>54</v>
      </c>
      <c r="U1542" s="7" t="s">
        <v>303</v>
      </c>
      <c r="V1542" s="7" t="s">
        <v>91</v>
      </c>
      <c r="W1542" s="7" t="s">
        <v>57</v>
      </c>
      <c r="X1542" s="7" t="s">
        <v>103</v>
      </c>
      <c r="Y1542" s="8">
        <v>44781</v>
      </c>
      <c r="Z1542" s="8">
        <v>45291</v>
      </c>
      <c r="AA1542" s="7" t="s">
        <v>92</v>
      </c>
      <c r="AB1542" s="7" t="s">
        <v>139</v>
      </c>
      <c r="AC1542" s="7" t="s">
        <v>65</v>
      </c>
      <c r="AD1542" s="7" t="s">
        <v>0</v>
      </c>
      <c r="AE1542" s="7" t="s">
        <v>0</v>
      </c>
      <c r="AF1542" s="7" t="s">
        <v>0</v>
      </c>
      <c r="AG1542" s="7" t="s">
        <v>0</v>
      </c>
      <c r="AH1542" s="9" t="s">
        <v>0</v>
      </c>
      <c r="AI1542" s="9" t="s">
        <v>0</v>
      </c>
      <c r="AJ1542" s="9" t="s">
        <v>0</v>
      </c>
      <c r="AK1542" s="7" t="s">
        <v>61</v>
      </c>
      <c r="AL1542" s="7" t="s">
        <v>61</v>
      </c>
      <c r="AM1542" s="7" t="s">
        <v>0</v>
      </c>
      <c r="AN1542" s="7" t="s">
        <v>0</v>
      </c>
      <c r="AO1542" s="7" t="s">
        <v>0</v>
      </c>
      <c r="AP1542" s="7" t="s">
        <v>0</v>
      </c>
      <c r="AQ1542" s="7" t="s">
        <v>61</v>
      </c>
      <c r="AR1542" s="7" t="s">
        <v>0</v>
      </c>
      <c r="AS1542" s="10" t="str">
        <f>HYPERLINK("https://tessa.gazprom-neft.local/edo/card/9ce5b994-c33f-4141-b512-dd35ee901bc3", "https://tessa.gazprom-neft.local/edo/card/9ce5b994-c33f-4141-b512-dd35ee901bc3")</f>
        <v>https://tessa.gazprom-neft.local/edo/card/9ce5b994-c33f-4141-b512-dd35ee901bc3</v>
      </c>
    </row>
    <row r="1543" spans="1:45" hidden="1" x14ac:dyDescent="0.25">
      <c r="A1543" s="6" t="s">
        <v>44</v>
      </c>
      <c r="B1543" s="7" t="s">
        <v>170</v>
      </c>
      <c r="C1543" s="7" t="s">
        <v>67</v>
      </c>
      <c r="D1543" s="8">
        <v>44781</v>
      </c>
      <c r="E1543" s="8" t="s">
        <v>0</v>
      </c>
      <c r="F1543" s="16" t="s">
        <v>171</v>
      </c>
      <c r="G1543" s="7" t="s">
        <v>172</v>
      </c>
      <c r="H1543" s="7" t="s">
        <v>0</v>
      </c>
      <c r="I1543" s="7" t="s">
        <v>8339</v>
      </c>
      <c r="J1543" s="7" t="s">
        <v>8339</v>
      </c>
      <c r="K1543" s="7" t="s">
        <v>47</v>
      </c>
      <c r="L1543" s="7" t="s">
        <v>86</v>
      </c>
      <c r="M1543" s="7" t="s">
        <v>0</v>
      </c>
      <c r="N1543" s="7" t="s">
        <v>8338</v>
      </c>
      <c r="O1543" s="7" t="s">
        <v>0</v>
      </c>
      <c r="P1543" s="7" t="s">
        <v>2017</v>
      </c>
      <c r="Q1543" s="7" t="s">
        <v>8340</v>
      </c>
      <c r="R1543" s="7" t="s">
        <v>166</v>
      </c>
      <c r="S1543" s="7" t="s">
        <v>166</v>
      </c>
      <c r="T1543" s="7" t="s">
        <v>54</v>
      </c>
      <c r="U1543" s="7" t="s">
        <v>167</v>
      </c>
      <c r="V1543" s="7" t="s">
        <v>102</v>
      </c>
      <c r="W1543" s="7" t="s">
        <v>57</v>
      </c>
      <c r="X1543" s="7" t="s">
        <v>58</v>
      </c>
      <c r="Y1543" s="8">
        <v>44805</v>
      </c>
      <c r="Z1543" s="8" t="s">
        <v>0</v>
      </c>
      <c r="AA1543" s="7" t="s">
        <v>104</v>
      </c>
      <c r="AB1543" s="7" t="s">
        <v>139</v>
      </c>
      <c r="AC1543" s="7" t="s">
        <v>65</v>
      </c>
      <c r="AD1543" s="7" t="s">
        <v>0</v>
      </c>
      <c r="AE1543" s="7" t="s">
        <v>0</v>
      </c>
      <c r="AF1543" s="7" t="s">
        <v>0</v>
      </c>
      <c r="AG1543" s="7" t="s">
        <v>0</v>
      </c>
      <c r="AH1543" s="9" t="s">
        <v>0</v>
      </c>
      <c r="AI1543" s="9" t="s">
        <v>0</v>
      </c>
      <c r="AJ1543" s="9" t="s">
        <v>0</v>
      </c>
      <c r="AK1543" s="7" t="s">
        <v>61</v>
      </c>
      <c r="AL1543" s="7" t="s">
        <v>61</v>
      </c>
      <c r="AM1543" s="7" t="s">
        <v>0</v>
      </c>
      <c r="AN1543" s="7" t="s">
        <v>0</v>
      </c>
      <c r="AO1543" s="7" t="s">
        <v>0</v>
      </c>
      <c r="AP1543" s="7" t="s">
        <v>0</v>
      </c>
      <c r="AQ1543" s="7" t="s">
        <v>61</v>
      </c>
      <c r="AR1543" s="7" t="s">
        <v>0</v>
      </c>
      <c r="AS1543" s="10" t="str">
        <f>HYPERLINK("https://tessa.gazprom-neft.local/edo/card/f2ad306d-156d-4f70-952e-2ed23f97e6bb", "https://tessa.gazprom-neft.local/edo/card/f2ad306d-156d-4f70-952e-2ed23f97e6bb")</f>
        <v>https://tessa.gazprom-neft.local/edo/card/f2ad306d-156d-4f70-952e-2ed23f97e6bb</v>
      </c>
    </row>
    <row r="1544" spans="1:45" x14ac:dyDescent="0.25">
      <c r="A1544" s="6" t="s">
        <v>44</v>
      </c>
      <c r="B1544" s="7" t="s">
        <v>342</v>
      </c>
      <c r="C1544" s="7" t="s">
        <v>67</v>
      </c>
      <c r="D1544" s="8">
        <v>44778</v>
      </c>
      <c r="E1544" s="8" t="s">
        <v>0</v>
      </c>
      <c r="F1544" s="16" t="s">
        <v>343</v>
      </c>
      <c r="G1544" s="7" t="s">
        <v>344</v>
      </c>
      <c r="H1544" s="7" t="s">
        <v>7965</v>
      </c>
      <c r="I1544" s="7" t="s">
        <v>0</v>
      </c>
      <c r="J1544" s="7" t="s">
        <v>1098</v>
      </c>
      <c r="K1544" s="7" t="s">
        <v>47</v>
      </c>
      <c r="L1544" s="7" t="s">
        <v>48</v>
      </c>
      <c r="M1544" s="7" t="s">
        <v>0</v>
      </c>
      <c r="N1544" s="7" t="s">
        <v>7964</v>
      </c>
      <c r="O1544" s="7" t="s">
        <v>0</v>
      </c>
      <c r="P1544" s="7" t="s">
        <v>510</v>
      </c>
      <c r="Q1544" s="7" t="s">
        <v>7966</v>
      </c>
      <c r="R1544" s="7" t="s">
        <v>513</v>
      </c>
      <c r="S1544" s="7" t="s">
        <v>513</v>
      </c>
      <c r="T1544" s="7" t="s">
        <v>54</v>
      </c>
      <c r="U1544" s="7" t="s">
        <v>303</v>
      </c>
      <c r="V1544" s="7" t="s">
        <v>917</v>
      </c>
      <c r="W1544" s="7" t="s">
        <v>74</v>
      </c>
      <c r="X1544" s="7" t="s">
        <v>103</v>
      </c>
      <c r="Y1544" s="8">
        <v>44866</v>
      </c>
      <c r="Z1544" s="8">
        <v>45291</v>
      </c>
      <c r="AA1544" s="7" t="s">
        <v>1278</v>
      </c>
      <c r="AB1544" s="7" t="s">
        <v>64</v>
      </c>
      <c r="AC1544" s="7" t="s">
        <v>79</v>
      </c>
      <c r="AD1544" s="7" t="s">
        <v>80</v>
      </c>
      <c r="AE1544" s="7" t="s">
        <v>82</v>
      </c>
      <c r="AF1544" s="7" t="s">
        <v>0</v>
      </c>
      <c r="AG1544" s="7" t="s">
        <v>0</v>
      </c>
      <c r="AH1544" s="9" t="s">
        <v>13376</v>
      </c>
      <c r="AI1544" s="9" t="s">
        <v>13377</v>
      </c>
      <c r="AJ1544" s="9" t="s">
        <v>13378</v>
      </c>
      <c r="AK1544" s="7" t="s">
        <v>61</v>
      </c>
      <c r="AL1544" s="7" t="s">
        <v>61</v>
      </c>
      <c r="AM1544" s="7" t="s">
        <v>0</v>
      </c>
      <c r="AN1544" s="7" t="s">
        <v>0</v>
      </c>
      <c r="AO1544" s="7" t="s">
        <v>0</v>
      </c>
      <c r="AP1544" s="7" t="s">
        <v>0</v>
      </c>
      <c r="AQ1544" s="7" t="s">
        <v>61</v>
      </c>
      <c r="AR1544" s="7" t="s">
        <v>0</v>
      </c>
      <c r="AS1544" s="10" t="str">
        <f>HYPERLINK("https://tessa.gazprom-neft.local/edo/card/9708efb2-1a02-4ab3-b95a-9fca6301336e", "https://tessa.gazprom-neft.local/edo/card/9708efb2-1a02-4ab3-b95a-9fca6301336e")</f>
        <v>https://tessa.gazprom-neft.local/edo/card/9708efb2-1a02-4ab3-b95a-9fca6301336e</v>
      </c>
    </row>
    <row r="1545" spans="1:45" hidden="1" x14ac:dyDescent="0.25">
      <c r="A1545" s="6" t="s">
        <v>44</v>
      </c>
      <c r="B1545" s="7" t="s">
        <v>2001</v>
      </c>
      <c r="C1545" s="7" t="s">
        <v>67</v>
      </c>
      <c r="D1545" s="8">
        <v>44778</v>
      </c>
      <c r="E1545" s="8" t="s">
        <v>0</v>
      </c>
      <c r="F1545" s="16" t="s">
        <v>2002</v>
      </c>
      <c r="G1545" s="7" t="s">
        <v>2003</v>
      </c>
      <c r="H1545" s="7" t="s">
        <v>8054</v>
      </c>
      <c r="I1545" s="7" t="s">
        <v>0</v>
      </c>
      <c r="J1545" s="7" t="s">
        <v>271</v>
      </c>
      <c r="K1545" s="7" t="s">
        <v>47</v>
      </c>
      <c r="L1545" s="7" t="s">
        <v>239</v>
      </c>
      <c r="M1545" s="7" t="s">
        <v>0</v>
      </c>
      <c r="N1545" s="7" t="s">
        <v>8053</v>
      </c>
      <c r="O1545" s="7" t="s">
        <v>0</v>
      </c>
      <c r="P1545" s="7" t="s">
        <v>8055</v>
      </c>
      <c r="Q1545" s="7" t="s">
        <v>8056</v>
      </c>
      <c r="R1545" s="7" t="s">
        <v>1503</v>
      </c>
      <c r="S1545" s="7" t="s">
        <v>1503</v>
      </c>
      <c r="T1545" s="7" t="s">
        <v>54</v>
      </c>
      <c r="U1545" s="7" t="s">
        <v>167</v>
      </c>
      <c r="V1545" s="7" t="s">
        <v>102</v>
      </c>
      <c r="W1545" s="7" t="s">
        <v>74</v>
      </c>
      <c r="X1545" s="7" t="s">
        <v>103</v>
      </c>
      <c r="Y1545" s="8">
        <v>44788</v>
      </c>
      <c r="Z1545" s="8">
        <v>44926</v>
      </c>
      <c r="AA1545" s="7" t="s">
        <v>104</v>
      </c>
      <c r="AB1545" s="7" t="s">
        <v>64</v>
      </c>
      <c r="AC1545" s="7" t="s">
        <v>79</v>
      </c>
      <c r="AD1545" s="7" t="s">
        <v>144</v>
      </c>
      <c r="AE1545" s="7" t="s">
        <v>82</v>
      </c>
      <c r="AF1545" s="7" t="s">
        <v>0</v>
      </c>
      <c r="AG1545" s="7" t="s">
        <v>0</v>
      </c>
      <c r="AH1545" s="9" t="s">
        <v>13416</v>
      </c>
      <c r="AI1545" s="9" t="s">
        <v>13417</v>
      </c>
      <c r="AJ1545" s="9" t="s">
        <v>13418</v>
      </c>
      <c r="AK1545" s="7" t="s">
        <v>61</v>
      </c>
      <c r="AL1545" s="7" t="s">
        <v>61</v>
      </c>
      <c r="AM1545" s="7" t="s">
        <v>0</v>
      </c>
      <c r="AN1545" s="7" t="s">
        <v>0</v>
      </c>
      <c r="AO1545" s="7" t="s">
        <v>0</v>
      </c>
      <c r="AP1545" s="7" t="s">
        <v>0</v>
      </c>
      <c r="AQ1545" s="7" t="s">
        <v>61</v>
      </c>
      <c r="AR1545" s="7" t="s">
        <v>0</v>
      </c>
      <c r="AS1545" s="10" t="str">
        <f>HYPERLINK("https://tessa.gazprom-neft.local/edo/card/6c512495-ad4b-47c6-a642-516f135550c9", "https://tessa.gazprom-neft.local/edo/card/6c512495-ad4b-47c6-a642-516f135550c9")</f>
        <v>https://tessa.gazprom-neft.local/edo/card/6c512495-ad4b-47c6-a642-516f135550c9</v>
      </c>
    </row>
    <row r="1546" spans="1:45" hidden="1" x14ac:dyDescent="0.25">
      <c r="A1546" s="6" t="s">
        <v>44</v>
      </c>
      <c r="B1546" s="7" t="s">
        <v>2001</v>
      </c>
      <c r="C1546" s="7" t="s">
        <v>67</v>
      </c>
      <c r="D1546" s="8">
        <v>44778</v>
      </c>
      <c r="E1546" s="8" t="s">
        <v>0</v>
      </c>
      <c r="F1546" s="16" t="s">
        <v>2002</v>
      </c>
      <c r="G1546" s="7" t="s">
        <v>2003</v>
      </c>
      <c r="H1546" s="7" t="s">
        <v>1998</v>
      </c>
      <c r="I1546" s="7" t="s">
        <v>0</v>
      </c>
      <c r="J1546" s="7" t="s">
        <v>51</v>
      </c>
      <c r="K1546" s="7" t="s">
        <v>47</v>
      </c>
      <c r="L1546" s="7" t="s">
        <v>239</v>
      </c>
      <c r="M1546" s="7" t="s">
        <v>0</v>
      </c>
      <c r="N1546" s="7" t="s">
        <v>8064</v>
      </c>
      <c r="O1546" s="7" t="s">
        <v>0</v>
      </c>
      <c r="P1546" s="7" t="s">
        <v>8065</v>
      </c>
      <c r="Q1546" s="7" t="s">
        <v>2000</v>
      </c>
      <c r="R1546" s="7" t="s">
        <v>1503</v>
      </c>
      <c r="S1546" s="7" t="s">
        <v>1503</v>
      </c>
      <c r="T1546" s="7" t="s">
        <v>54</v>
      </c>
      <c r="U1546" s="7" t="s">
        <v>167</v>
      </c>
      <c r="V1546" s="7" t="s">
        <v>102</v>
      </c>
      <c r="W1546" s="7" t="s">
        <v>74</v>
      </c>
      <c r="X1546" s="7" t="s">
        <v>103</v>
      </c>
      <c r="Y1546" s="8">
        <v>44788</v>
      </c>
      <c r="Z1546" s="8">
        <v>45107</v>
      </c>
      <c r="AA1546" s="7" t="s">
        <v>104</v>
      </c>
      <c r="AB1546" s="7" t="s">
        <v>130</v>
      </c>
      <c r="AC1546" s="7" t="s">
        <v>79</v>
      </c>
      <c r="AD1546" s="7" t="s">
        <v>144</v>
      </c>
      <c r="AE1546" s="7" t="s">
        <v>82</v>
      </c>
      <c r="AF1546" s="7" t="s">
        <v>0</v>
      </c>
      <c r="AG1546" s="7" t="s">
        <v>0</v>
      </c>
      <c r="AH1546" s="9" t="s">
        <v>13422</v>
      </c>
      <c r="AI1546" s="9" t="s">
        <v>13423</v>
      </c>
      <c r="AJ1546" s="9" t="s">
        <v>13424</v>
      </c>
      <c r="AK1546" s="7" t="s">
        <v>61</v>
      </c>
      <c r="AL1546" s="7" t="s">
        <v>61</v>
      </c>
      <c r="AM1546" s="7" t="s">
        <v>0</v>
      </c>
      <c r="AN1546" s="7" t="s">
        <v>0</v>
      </c>
      <c r="AO1546" s="7" t="s">
        <v>0</v>
      </c>
      <c r="AP1546" s="7" t="s">
        <v>0</v>
      </c>
      <c r="AQ1546" s="7" t="s">
        <v>61</v>
      </c>
      <c r="AR1546" s="7" t="s">
        <v>0</v>
      </c>
      <c r="AS1546" s="10" t="str">
        <f>HYPERLINK("https://tessa.gazprom-neft.local/edo/card/ed491f4a-84d3-47c5-817d-74164cba87e8", "https://tessa.gazprom-neft.local/edo/card/ed491f4a-84d3-47c5-817d-74164cba87e8")</f>
        <v>https://tessa.gazprom-neft.local/edo/card/ed491f4a-84d3-47c5-817d-74164cba87e8</v>
      </c>
    </row>
    <row r="1547" spans="1:45" hidden="1" x14ac:dyDescent="0.25">
      <c r="A1547" s="6" t="s">
        <v>44</v>
      </c>
      <c r="B1547" s="7" t="s">
        <v>275</v>
      </c>
      <c r="C1547" s="7" t="s">
        <v>46</v>
      </c>
      <c r="D1547" s="8">
        <v>44777</v>
      </c>
      <c r="E1547" s="8" t="s">
        <v>0</v>
      </c>
      <c r="F1547" s="16" t="s">
        <v>276</v>
      </c>
      <c r="G1547" s="7" t="s">
        <v>277</v>
      </c>
      <c r="H1547" s="7" t="s">
        <v>2920</v>
      </c>
      <c r="I1547" s="7" t="s">
        <v>0</v>
      </c>
      <c r="J1547" s="7" t="s">
        <v>271</v>
      </c>
      <c r="K1547" s="7" t="s">
        <v>47</v>
      </c>
      <c r="L1547" s="7" t="s">
        <v>239</v>
      </c>
      <c r="M1547" s="7" t="s">
        <v>0</v>
      </c>
      <c r="N1547" s="7" t="s">
        <v>7894</v>
      </c>
      <c r="O1547" s="7" t="s">
        <v>0</v>
      </c>
      <c r="P1547" s="7" t="s">
        <v>7895</v>
      </c>
      <c r="Q1547" s="7" t="s">
        <v>7895</v>
      </c>
      <c r="R1547" s="7" t="s">
        <v>273</v>
      </c>
      <c r="S1547" s="7" t="s">
        <v>273</v>
      </c>
      <c r="T1547" s="7" t="s">
        <v>54</v>
      </c>
      <c r="U1547" s="7" t="s">
        <v>274</v>
      </c>
      <c r="V1547" s="7" t="s">
        <v>723</v>
      </c>
      <c r="W1547" s="7" t="s">
        <v>57</v>
      </c>
      <c r="X1547" s="7" t="s">
        <v>103</v>
      </c>
      <c r="Y1547" s="8">
        <v>44655</v>
      </c>
      <c r="Z1547" s="8">
        <v>44834</v>
      </c>
      <c r="AA1547" s="7" t="s">
        <v>1031</v>
      </c>
      <c r="AB1547" s="7" t="s">
        <v>64</v>
      </c>
      <c r="AC1547" s="7" t="s">
        <v>278</v>
      </c>
      <c r="AD1547" s="7" t="s">
        <v>80</v>
      </c>
      <c r="AE1547" s="7" t="s">
        <v>82</v>
      </c>
      <c r="AF1547" s="7" t="s">
        <v>0</v>
      </c>
      <c r="AG1547" s="7" t="s">
        <v>0</v>
      </c>
      <c r="AH1547" s="9" t="s">
        <v>13357</v>
      </c>
      <c r="AI1547" s="9" t="s">
        <v>13358</v>
      </c>
      <c r="AJ1547" s="9" t="s">
        <v>13359</v>
      </c>
      <c r="AK1547" s="7" t="s">
        <v>61</v>
      </c>
      <c r="AL1547" s="7" t="s">
        <v>61</v>
      </c>
      <c r="AM1547" s="7" t="s">
        <v>0</v>
      </c>
      <c r="AN1547" s="7" t="s">
        <v>0</v>
      </c>
      <c r="AO1547" s="7" t="s">
        <v>0</v>
      </c>
      <c r="AP1547" s="7" t="s">
        <v>0</v>
      </c>
      <c r="AQ1547" s="7" t="s">
        <v>61</v>
      </c>
      <c r="AR1547" s="7" t="s">
        <v>0</v>
      </c>
      <c r="AS1547" s="10" t="str">
        <f>HYPERLINK("https://tessa.gazprom-neft.local/edo/card/f63c02e4-adbf-4868-afa1-2f00299e82bd", "https://tessa.gazprom-neft.local/edo/card/f63c02e4-adbf-4868-afa1-2f00299e82bd")</f>
        <v>https://tessa.gazprom-neft.local/edo/card/f63c02e4-adbf-4868-afa1-2f00299e82bd</v>
      </c>
    </row>
    <row r="1548" spans="1:45" x14ac:dyDescent="0.25">
      <c r="A1548" s="6" t="s">
        <v>44</v>
      </c>
      <c r="B1548" s="7" t="s">
        <v>429</v>
      </c>
      <c r="C1548" s="7" t="s">
        <v>67</v>
      </c>
      <c r="D1548" s="8">
        <v>44776</v>
      </c>
      <c r="E1548" s="8" t="s">
        <v>0</v>
      </c>
      <c r="F1548" s="16" t="s">
        <v>430</v>
      </c>
      <c r="G1548" s="7" t="s">
        <v>431</v>
      </c>
      <c r="H1548" s="7" t="s">
        <v>7736</v>
      </c>
      <c r="I1548" s="7" t="s">
        <v>0</v>
      </c>
      <c r="J1548" s="7" t="s">
        <v>271</v>
      </c>
      <c r="K1548" s="7" t="s">
        <v>47</v>
      </c>
      <c r="L1548" s="7" t="s">
        <v>48</v>
      </c>
      <c r="M1548" s="7" t="s">
        <v>0</v>
      </c>
      <c r="N1548" s="7" t="s">
        <v>7735</v>
      </c>
      <c r="O1548" s="7" t="s">
        <v>0</v>
      </c>
      <c r="P1548" s="7" t="s">
        <v>7737</v>
      </c>
      <c r="Q1548" s="7" t="s">
        <v>7738</v>
      </c>
      <c r="R1548" s="7" t="s">
        <v>1586</v>
      </c>
      <c r="S1548" s="7" t="s">
        <v>1586</v>
      </c>
      <c r="T1548" s="7" t="s">
        <v>54</v>
      </c>
      <c r="U1548" s="7" t="s">
        <v>428</v>
      </c>
      <c r="V1548" s="7" t="s">
        <v>340</v>
      </c>
      <c r="W1548" s="7" t="s">
        <v>57</v>
      </c>
      <c r="X1548" s="7" t="s">
        <v>223</v>
      </c>
      <c r="Y1548" s="8">
        <v>44761</v>
      </c>
      <c r="Z1548" s="8" t="s">
        <v>0</v>
      </c>
      <c r="AA1548" s="7" t="s">
        <v>341</v>
      </c>
      <c r="AB1548" s="7" t="s">
        <v>7739</v>
      </c>
      <c r="AC1548" s="7" t="s">
        <v>65</v>
      </c>
      <c r="AD1548" s="7" t="s">
        <v>0</v>
      </c>
      <c r="AE1548" s="7" t="s">
        <v>0</v>
      </c>
      <c r="AF1548" s="7" t="s">
        <v>0</v>
      </c>
      <c r="AG1548" s="7" t="s">
        <v>0</v>
      </c>
      <c r="AH1548" s="9" t="s">
        <v>0</v>
      </c>
      <c r="AI1548" s="9" t="s">
        <v>0</v>
      </c>
      <c r="AJ1548" s="9" t="s">
        <v>0</v>
      </c>
      <c r="AK1548" s="7" t="s">
        <v>61</v>
      </c>
      <c r="AL1548" s="7" t="s">
        <v>61</v>
      </c>
      <c r="AM1548" s="7" t="s">
        <v>0</v>
      </c>
      <c r="AN1548" s="7" t="s">
        <v>0</v>
      </c>
      <c r="AO1548" s="7" t="s">
        <v>0</v>
      </c>
      <c r="AP1548" s="7" t="s">
        <v>0</v>
      </c>
      <c r="AQ1548" s="7" t="s">
        <v>61</v>
      </c>
      <c r="AR1548" s="7" t="s">
        <v>0</v>
      </c>
      <c r="AS1548" s="10" t="str">
        <f>HYPERLINK("https://tessa.gazprom-neft.local/edo/card/ac2e0e68-1d57-4a87-a2b3-d1d60441e75a", "https://tessa.gazprom-neft.local/edo/card/ac2e0e68-1d57-4a87-a2b3-d1d60441e75a")</f>
        <v>https://tessa.gazprom-neft.local/edo/card/ac2e0e68-1d57-4a87-a2b3-d1d60441e75a</v>
      </c>
    </row>
    <row r="1549" spans="1:45" x14ac:dyDescent="0.25">
      <c r="A1549" s="6" t="s">
        <v>44</v>
      </c>
      <c r="B1549" s="7" t="s">
        <v>1101</v>
      </c>
      <c r="C1549" s="7" t="s">
        <v>67</v>
      </c>
      <c r="D1549" s="8">
        <v>44776</v>
      </c>
      <c r="E1549" s="8" t="s">
        <v>0</v>
      </c>
      <c r="F1549" s="16" t="s">
        <v>1102</v>
      </c>
      <c r="G1549" s="7" t="s">
        <v>1103</v>
      </c>
      <c r="H1549" s="7" t="s">
        <v>7933</v>
      </c>
      <c r="I1549" s="7" t="s">
        <v>0</v>
      </c>
      <c r="J1549" s="7" t="s">
        <v>156</v>
      </c>
      <c r="K1549" s="7" t="s">
        <v>47</v>
      </c>
      <c r="L1549" s="7" t="s">
        <v>48</v>
      </c>
      <c r="M1549" s="7" t="s">
        <v>0</v>
      </c>
      <c r="N1549" s="7" t="s">
        <v>7932</v>
      </c>
      <c r="O1549" s="7" t="s">
        <v>0</v>
      </c>
      <c r="P1549" s="7" t="s">
        <v>7934</v>
      </c>
      <c r="Q1549" s="7" t="s">
        <v>7935</v>
      </c>
      <c r="R1549" s="7" t="s">
        <v>339</v>
      </c>
      <c r="S1549" s="7" t="s">
        <v>339</v>
      </c>
      <c r="T1549" s="7" t="s">
        <v>54</v>
      </c>
      <c r="U1549" s="7" t="s">
        <v>303</v>
      </c>
      <c r="V1549" s="7" t="s">
        <v>137</v>
      </c>
      <c r="W1549" s="7" t="s">
        <v>57</v>
      </c>
      <c r="X1549" s="7" t="s">
        <v>58</v>
      </c>
      <c r="Y1549" s="8">
        <v>44776</v>
      </c>
      <c r="Z1549" s="8" t="s">
        <v>0</v>
      </c>
      <c r="AA1549" s="7" t="s">
        <v>0</v>
      </c>
      <c r="AB1549" s="7" t="s">
        <v>64</v>
      </c>
      <c r="AC1549" s="7" t="s">
        <v>65</v>
      </c>
      <c r="AD1549" s="7" t="s">
        <v>0</v>
      </c>
      <c r="AE1549" s="7" t="s">
        <v>0</v>
      </c>
      <c r="AF1549" s="7" t="s">
        <v>0</v>
      </c>
      <c r="AG1549" s="7" t="s">
        <v>0</v>
      </c>
      <c r="AH1549" s="9" t="s">
        <v>0</v>
      </c>
      <c r="AI1549" s="9" t="s">
        <v>0</v>
      </c>
      <c r="AJ1549" s="9" t="s">
        <v>0</v>
      </c>
      <c r="AK1549" s="7" t="s">
        <v>61</v>
      </c>
      <c r="AL1549" s="7" t="s">
        <v>61</v>
      </c>
      <c r="AM1549" s="7" t="s">
        <v>0</v>
      </c>
      <c r="AN1549" s="7" t="s">
        <v>0</v>
      </c>
      <c r="AO1549" s="7" t="s">
        <v>0</v>
      </c>
      <c r="AP1549" s="7" t="s">
        <v>0</v>
      </c>
      <c r="AQ1549" s="7" t="s">
        <v>61</v>
      </c>
      <c r="AR1549" s="7" t="s">
        <v>0</v>
      </c>
      <c r="AS1549" s="10" t="str">
        <f>HYPERLINK("https://tessa.gazprom-neft.local/edo/card/8095b6ab-fe33-468e-815b-e98bc3438d16", "https://tessa.gazprom-neft.local/edo/card/8095b6ab-fe33-468e-815b-e98bc3438d16")</f>
        <v>https://tessa.gazprom-neft.local/edo/card/8095b6ab-fe33-468e-815b-e98bc3438d16</v>
      </c>
    </row>
    <row r="1550" spans="1:45" hidden="1" x14ac:dyDescent="0.25">
      <c r="A1550" s="6" t="s">
        <v>44</v>
      </c>
      <c r="B1550" s="7" t="s">
        <v>2132</v>
      </c>
      <c r="C1550" s="7" t="s">
        <v>67</v>
      </c>
      <c r="D1550" s="8">
        <v>44776</v>
      </c>
      <c r="E1550" s="8" t="s">
        <v>0</v>
      </c>
      <c r="F1550" s="16" t="s">
        <v>2133</v>
      </c>
      <c r="G1550" s="7" t="s">
        <v>739</v>
      </c>
      <c r="H1550" s="7" t="s">
        <v>0</v>
      </c>
      <c r="I1550" s="7" t="s">
        <v>2130</v>
      </c>
      <c r="J1550" s="7" t="s">
        <v>2130</v>
      </c>
      <c r="K1550" s="7" t="s">
        <v>85</v>
      </c>
      <c r="L1550" s="7" t="s">
        <v>96</v>
      </c>
      <c r="M1550" s="7" t="s">
        <v>4277</v>
      </c>
      <c r="N1550" s="7" t="s">
        <v>8001</v>
      </c>
      <c r="O1550" s="7" t="s">
        <v>0</v>
      </c>
      <c r="P1550" s="7" t="s">
        <v>4277</v>
      </c>
      <c r="Q1550" s="7" t="s">
        <v>8002</v>
      </c>
      <c r="R1550" s="7" t="s">
        <v>338</v>
      </c>
      <c r="S1550" s="7" t="s">
        <v>8003</v>
      </c>
      <c r="T1550" s="7" t="s">
        <v>54</v>
      </c>
      <c r="U1550" s="7" t="s">
        <v>4736</v>
      </c>
      <c r="V1550" s="7" t="s">
        <v>382</v>
      </c>
      <c r="W1550" s="7" t="s">
        <v>57</v>
      </c>
      <c r="X1550" s="7" t="s">
        <v>103</v>
      </c>
      <c r="Y1550" s="8">
        <v>44774</v>
      </c>
      <c r="Z1550" s="8">
        <v>45291</v>
      </c>
      <c r="AA1550" s="7" t="s">
        <v>383</v>
      </c>
      <c r="AB1550" s="7" t="s">
        <v>130</v>
      </c>
      <c r="AC1550" s="7" t="s">
        <v>79</v>
      </c>
      <c r="AD1550" s="7" t="s">
        <v>80</v>
      </c>
      <c r="AE1550" s="7" t="s">
        <v>82</v>
      </c>
      <c r="AF1550" s="7" t="s">
        <v>0</v>
      </c>
      <c r="AG1550" s="7" t="s">
        <v>0</v>
      </c>
      <c r="AH1550" s="9" t="s">
        <v>13389</v>
      </c>
      <c r="AI1550" s="9" t="s">
        <v>13390</v>
      </c>
      <c r="AJ1550" s="9" t="s">
        <v>13391</v>
      </c>
      <c r="AK1550" s="7" t="s">
        <v>61</v>
      </c>
      <c r="AL1550" s="7" t="s">
        <v>61</v>
      </c>
      <c r="AM1550" s="7" t="s">
        <v>0</v>
      </c>
      <c r="AN1550" s="7" t="s">
        <v>0</v>
      </c>
      <c r="AO1550" s="7" t="s">
        <v>0</v>
      </c>
      <c r="AP1550" s="7" t="s">
        <v>0</v>
      </c>
      <c r="AQ1550" s="7" t="s">
        <v>61</v>
      </c>
      <c r="AR1550" s="7" t="s">
        <v>0</v>
      </c>
      <c r="AS1550" s="10" t="str">
        <f>HYPERLINK("https://tessa.gazprom-neft.local/edo/card/7f2f1014-085d-4da4-9bea-683d048bec80", "https://tessa.gazprom-neft.local/edo/card/7f2f1014-085d-4da4-9bea-683d048bec80")</f>
        <v>https://tessa.gazprom-neft.local/edo/card/7f2f1014-085d-4da4-9bea-683d048bec80</v>
      </c>
    </row>
    <row r="1551" spans="1:45" x14ac:dyDescent="0.25">
      <c r="A1551" s="6" t="s">
        <v>44</v>
      </c>
      <c r="B1551" s="7" t="s">
        <v>2291</v>
      </c>
      <c r="C1551" s="7" t="s">
        <v>67</v>
      </c>
      <c r="D1551" s="8">
        <v>44776</v>
      </c>
      <c r="E1551" s="8" t="s">
        <v>0</v>
      </c>
      <c r="F1551" s="16" t="s">
        <v>2292</v>
      </c>
      <c r="G1551" s="7" t="s">
        <v>2293</v>
      </c>
      <c r="H1551" s="7" t="s">
        <v>2288</v>
      </c>
      <c r="I1551" s="7" t="s">
        <v>0</v>
      </c>
      <c r="J1551" s="7" t="s">
        <v>872</v>
      </c>
      <c r="K1551" s="7" t="s">
        <v>47</v>
      </c>
      <c r="L1551" s="7" t="s">
        <v>48</v>
      </c>
      <c r="M1551" s="7" t="s">
        <v>0</v>
      </c>
      <c r="N1551" s="7" t="s">
        <v>8142</v>
      </c>
      <c r="O1551" s="7" t="s">
        <v>0</v>
      </c>
      <c r="P1551" s="7" t="s">
        <v>7410</v>
      </c>
      <c r="Q1551" s="7" t="s">
        <v>8143</v>
      </c>
      <c r="R1551" s="7" t="s">
        <v>1829</v>
      </c>
      <c r="S1551" s="7" t="s">
        <v>1829</v>
      </c>
      <c r="T1551" s="7" t="s">
        <v>54</v>
      </c>
      <c r="U1551" s="7" t="s">
        <v>307</v>
      </c>
      <c r="V1551" s="7" t="s">
        <v>382</v>
      </c>
      <c r="W1551" s="7" t="s">
        <v>74</v>
      </c>
      <c r="X1551" s="7" t="s">
        <v>103</v>
      </c>
      <c r="Y1551" s="8">
        <v>44776</v>
      </c>
      <c r="Z1551" s="8">
        <v>45291</v>
      </c>
      <c r="AA1551" s="7" t="s">
        <v>383</v>
      </c>
      <c r="AB1551" s="7" t="s">
        <v>130</v>
      </c>
      <c r="AC1551" s="7" t="s">
        <v>65</v>
      </c>
      <c r="AD1551" s="7" t="s">
        <v>0</v>
      </c>
      <c r="AE1551" s="7" t="s">
        <v>0</v>
      </c>
      <c r="AF1551" s="7" t="s">
        <v>0</v>
      </c>
      <c r="AG1551" s="7" t="s">
        <v>0</v>
      </c>
      <c r="AH1551" s="9" t="s">
        <v>0</v>
      </c>
      <c r="AI1551" s="9" t="s">
        <v>0</v>
      </c>
      <c r="AJ1551" s="9" t="s">
        <v>0</v>
      </c>
      <c r="AK1551" s="7" t="s">
        <v>61</v>
      </c>
      <c r="AL1551" s="7" t="s">
        <v>61</v>
      </c>
      <c r="AM1551" s="7" t="s">
        <v>0</v>
      </c>
      <c r="AN1551" s="7" t="s">
        <v>0</v>
      </c>
      <c r="AO1551" s="7" t="s">
        <v>0</v>
      </c>
      <c r="AP1551" s="7" t="s">
        <v>0</v>
      </c>
      <c r="AQ1551" s="7" t="s">
        <v>61</v>
      </c>
      <c r="AR1551" s="7" t="s">
        <v>0</v>
      </c>
      <c r="AS1551" s="10" t="str">
        <f>HYPERLINK("https://tessa.gazprom-neft.local/edo/card/c04c1431-bb9c-4e2b-91cd-37169f55721f", "https://tessa.gazprom-neft.local/edo/card/c04c1431-bb9c-4e2b-91cd-37169f55721f")</f>
        <v>https://tessa.gazprom-neft.local/edo/card/c04c1431-bb9c-4e2b-91cd-37169f55721f</v>
      </c>
    </row>
    <row r="1552" spans="1:45" hidden="1" x14ac:dyDescent="0.25">
      <c r="A1552" s="6" t="s">
        <v>44</v>
      </c>
      <c r="B1552" s="7" t="s">
        <v>1495</v>
      </c>
      <c r="C1552" s="7" t="s">
        <v>67</v>
      </c>
      <c r="D1552" s="8">
        <v>44776</v>
      </c>
      <c r="E1552" s="8" t="s">
        <v>0</v>
      </c>
      <c r="F1552" s="16" t="s">
        <v>1496</v>
      </c>
      <c r="G1552" s="7" t="s">
        <v>1497</v>
      </c>
      <c r="H1552" s="7" t="s">
        <v>0</v>
      </c>
      <c r="I1552" s="7" t="s">
        <v>1492</v>
      </c>
      <c r="J1552" s="7" t="s">
        <v>1492</v>
      </c>
      <c r="K1552" s="7" t="s">
        <v>85</v>
      </c>
      <c r="L1552" s="7" t="s">
        <v>96</v>
      </c>
      <c r="M1552" s="7" t="s">
        <v>8194</v>
      </c>
      <c r="N1552" s="7" t="s">
        <v>8195</v>
      </c>
      <c r="O1552" s="7" t="s">
        <v>0</v>
      </c>
      <c r="P1552" s="7" t="s">
        <v>8194</v>
      </c>
      <c r="Q1552" s="7" t="s">
        <v>8196</v>
      </c>
      <c r="R1552" s="7" t="s">
        <v>1551</v>
      </c>
      <c r="S1552" s="7" t="s">
        <v>1551</v>
      </c>
      <c r="T1552" s="7" t="s">
        <v>54</v>
      </c>
      <c r="U1552" s="7" t="s">
        <v>210</v>
      </c>
      <c r="V1552" s="7" t="s">
        <v>917</v>
      </c>
      <c r="W1552" s="7" t="s">
        <v>74</v>
      </c>
      <c r="X1552" s="7" t="s">
        <v>103</v>
      </c>
      <c r="Y1552" s="8">
        <v>44776</v>
      </c>
      <c r="Z1552" s="8">
        <v>45657</v>
      </c>
      <c r="AA1552" s="7" t="s">
        <v>1278</v>
      </c>
      <c r="AB1552" s="7" t="s">
        <v>1498</v>
      </c>
      <c r="AC1552" s="7" t="s">
        <v>79</v>
      </c>
      <c r="AD1552" s="7" t="s">
        <v>80</v>
      </c>
      <c r="AE1552" s="7" t="s">
        <v>82</v>
      </c>
      <c r="AF1552" s="7" t="s">
        <v>0</v>
      </c>
      <c r="AG1552" s="7" t="s">
        <v>0</v>
      </c>
      <c r="AH1552" s="9" t="s">
        <v>12995</v>
      </c>
      <c r="AI1552" s="9" t="s">
        <v>12996</v>
      </c>
      <c r="AJ1552" s="9" t="s">
        <v>12997</v>
      </c>
      <c r="AK1552" s="7" t="s">
        <v>61</v>
      </c>
      <c r="AL1552" s="7" t="s">
        <v>61</v>
      </c>
      <c r="AM1552" s="7" t="s">
        <v>0</v>
      </c>
      <c r="AN1552" s="7" t="s">
        <v>0</v>
      </c>
      <c r="AO1552" s="7" t="s">
        <v>0</v>
      </c>
      <c r="AP1552" s="7" t="s">
        <v>0</v>
      </c>
      <c r="AQ1552" s="7" t="s">
        <v>61</v>
      </c>
      <c r="AR1552" s="7" t="s">
        <v>0</v>
      </c>
      <c r="AS1552" s="10" t="str">
        <f>HYPERLINK("https://tessa.gazprom-neft.local/edo/card/8cff7dd2-ec77-4090-af5b-d4ace93dae2e", "https://tessa.gazprom-neft.local/edo/card/8cff7dd2-ec77-4090-af5b-d4ace93dae2e")</f>
        <v>https://tessa.gazprom-neft.local/edo/card/8cff7dd2-ec77-4090-af5b-d4ace93dae2e</v>
      </c>
    </row>
    <row r="1553" spans="1:45" hidden="1" x14ac:dyDescent="0.25">
      <c r="A1553" s="6" t="s">
        <v>44</v>
      </c>
      <c r="B1553" s="7" t="s">
        <v>1495</v>
      </c>
      <c r="C1553" s="7" t="s">
        <v>67</v>
      </c>
      <c r="D1553" s="8">
        <v>44776</v>
      </c>
      <c r="E1553" s="8" t="s">
        <v>0</v>
      </c>
      <c r="F1553" s="16" t="s">
        <v>1496</v>
      </c>
      <c r="G1553" s="7" t="s">
        <v>1497</v>
      </c>
      <c r="H1553" s="7" t="s">
        <v>0</v>
      </c>
      <c r="I1553" s="7" t="s">
        <v>6482</v>
      </c>
      <c r="J1553" s="7" t="s">
        <v>6482</v>
      </c>
      <c r="K1553" s="7" t="s">
        <v>85</v>
      </c>
      <c r="L1553" s="7" t="s">
        <v>86</v>
      </c>
      <c r="M1553" s="7" t="s">
        <v>216</v>
      </c>
      <c r="N1553" s="7" t="s">
        <v>8268</v>
      </c>
      <c r="O1553" s="7" t="s">
        <v>0</v>
      </c>
      <c r="P1553" s="7" t="s">
        <v>216</v>
      </c>
      <c r="Q1553" s="7" t="s">
        <v>8269</v>
      </c>
      <c r="R1553" s="7" t="s">
        <v>1551</v>
      </c>
      <c r="S1553" s="7" t="s">
        <v>1551</v>
      </c>
      <c r="T1553" s="7" t="s">
        <v>54</v>
      </c>
      <c r="U1553" s="7" t="s">
        <v>283</v>
      </c>
      <c r="V1553" s="7" t="s">
        <v>102</v>
      </c>
      <c r="W1553" s="7" t="s">
        <v>74</v>
      </c>
      <c r="X1553" s="7" t="s">
        <v>223</v>
      </c>
      <c r="Y1553" s="8">
        <v>44776</v>
      </c>
      <c r="Z1553" s="8" t="s">
        <v>0</v>
      </c>
      <c r="AA1553" s="7" t="s">
        <v>104</v>
      </c>
      <c r="AB1553" s="7" t="s">
        <v>228</v>
      </c>
      <c r="AC1553" s="7" t="s">
        <v>65</v>
      </c>
      <c r="AD1553" s="7" t="s">
        <v>0</v>
      </c>
      <c r="AE1553" s="7" t="s">
        <v>0</v>
      </c>
      <c r="AF1553" s="7" t="s">
        <v>0</v>
      </c>
      <c r="AG1553" s="7" t="s">
        <v>0</v>
      </c>
      <c r="AH1553" s="9" t="s">
        <v>0</v>
      </c>
      <c r="AI1553" s="9" t="s">
        <v>0</v>
      </c>
      <c r="AJ1553" s="9" t="s">
        <v>0</v>
      </c>
      <c r="AK1553" s="7" t="s">
        <v>61</v>
      </c>
      <c r="AL1553" s="7" t="s">
        <v>61</v>
      </c>
      <c r="AM1553" s="7" t="s">
        <v>0</v>
      </c>
      <c r="AN1553" s="7" t="s">
        <v>0</v>
      </c>
      <c r="AO1553" s="7" t="s">
        <v>0</v>
      </c>
      <c r="AP1553" s="7" t="s">
        <v>0</v>
      </c>
      <c r="AQ1553" s="7" t="s">
        <v>61</v>
      </c>
      <c r="AR1553" s="7" t="s">
        <v>0</v>
      </c>
      <c r="AS1553" s="10" t="str">
        <f>HYPERLINK("https://tessa.gazprom-neft.local/edo/card/d76ba621-c3f3-4202-be23-4581eda56e71", "https://tessa.gazprom-neft.local/edo/card/d76ba621-c3f3-4202-be23-4581eda56e71")</f>
        <v>https://tessa.gazprom-neft.local/edo/card/d76ba621-c3f3-4202-be23-4581eda56e71</v>
      </c>
    </row>
    <row r="1554" spans="1:45" hidden="1" x14ac:dyDescent="0.25">
      <c r="A1554" s="6" t="s">
        <v>44</v>
      </c>
      <c r="B1554" s="7" t="s">
        <v>1495</v>
      </c>
      <c r="C1554" s="7" t="s">
        <v>67</v>
      </c>
      <c r="D1554" s="8">
        <v>44776</v>
      </c>
      <c r="E1554" s="8" t="s">
        <v>0</v>
      </c>
      <c r="F1554" s="16" t="s">
        <v>1496</v>
      </c>
      <c r="G1554" s="7" t="s">
        <v>1497</v>
      </c>
      <c r="H1554" s="7" t="s">
        <v>0</v>
      </c>
      <c r="I1554" s="7" t="s">
        <v>8278</v>
      </c>
      <c r="J1554" s="7" t="s">
        <v>8278</v>
      </c>
      <c r="K1554" s="7" t="s">
        <v>85</v>
      </c>
      <c r="L1554" s="7" t="s">
        <v>86</v>
      </c>
      <c r="M1554" s="7" t="s">
        <v>83</v>
      </c>
      <c r="N1554" s="7" t="s">
        <v>8277</v>
      </c>
      <c r="O1554" s="7" t="s">
        <v>0</v>
      </c>
      <c r="P1554" s="7" t="s">
        <v>83</v>
      </c>
      <c r="Q1554" s="7" t="s">
        <v>8279</v>
      </c>
      <c r="R1554" s="7" t="s">
        <v>1551</v>
      </c>
      <c r="S1554" s="7" t="s">
        <v>1551</v>
      </c>
      <c r="T1554" s="7" t="s">
        <v>54</v>
      </c>
      <c r="U1554" s="7" t="s">
        <v>303</v>
      </c>
      <c r="V1554" s="7" t="s">
        <v>91</v>
      </c>
      <c r="W1554" s="7" t="s">
        <v>74</v>
      </c>
      <c r="X1554" s="7" t="s">
        <v>103</v>
      </c>
      <c r="Y1554" s="8">
        <v>44776</v>
      </c>
      <c r="Z1554" s="8">
        <v>47483</v>
      </c>
      <c r="AA1554" s="7" t="s">
        <v>92</v>
      </c>
      <c r="AB1554" s="7" t="s">
        <v>94</v>
      </c>
      <c r="AC1554" s="7" t="s">
        <v>65</v>
      </c>
      <c r="AD1554" s="7" t="s">
        <v>0</v>
      </c>
      <c r="AE1554" s="7" t="s">
        <v>0</v>
      </c>
      <c r="AF1554" s="7" t="s">
        <v>0</v>
      </c>
      <c r="AG1554" s="7" t="s">
        <v>0</v>
      </c>
      <c r="AH1554" s="9" t="s">
        <v>0</v>
      </c>
      <c r="AI1554" s="9" t="s">
        <v>0</v>
      </c>
      <c r="AJ1554" s="9" t="s">
        <v>0</v>
      </c>
      <c r="AK1554" s="7" t="s">
        <v>61</v>
      </c>
      <c r="AL1554" s="7" t="s">
        <v>61</v>
      </c>
      <c r="AM1554" s="7" t="s">
        <v>0</v>
      </c>
      <c r="AN1554" s="7" t="s">
        <v>0</v>
      </c>
      <c r="AO1554" s="7" t="s">
        <v>0</v>
      </c>
      <c r="AP1554" s="7" t="s">
        <v>0</v>
      </c>
      <c r="AQ1554" s="7" t="s">
        <v>61</v>
      </c>
      <c r="AR1554" s="7" t="s">
        <v>0</v>
      </c>
      <c r="AS1554" s="10" t="str">
        <f>HYPERLINK("https://tessa.gazprom-neft.local/edo/card/9596a76d-4119-446f-bca3-6a85fbd8290e", "https://tessa.gazprom-neft.local/edo/card/9596a76d-4119-446f-bca3-6a85fbd8290e")</f>
        <v>https://tessa.gazprom-neft.local/edo/card/9596a76d-4119-446f-bca3-6a85fbd8290e</v>
      </c>
    </row>
    <row r="1555" spans="1:45" hidden="1" x14ac:dyDescent="0.25">
      <c r="A1555" s="6" t="s">
        <v>44</v>
      </c>
      <c r="B1555" s="7" t="s">
        <v>2291</v>
      </c>
      <c r="C1555" s="7" t="s">
        <v>67</v>
      </c>
      <c r="D1555" s="8">
        <v>44776</v>
      </c>
      <c r="E1555" s="8" t="s">
        <v>0</v>
      </c>
      <c r="F1555" s="16" t="s">
        <v>2292</v>
      </c>
      <c r="G1555" s="7" t="s">
        <v>2293</v>
      </c>
      <c r="H1555" s="7" t="s">
        <v>0</v>
      </c>
      <c r="I1555" s="7" t="s">
        <v>8488</v>
      </c>
      <c r="J1555" s="7" t="s">
        <v>8488</v>
      </c>
      <c r="K1555" s="7" t="s">
        <v>47</v>
      </c>
      <c r="L1555" s="7" t="s">
        <v>86</v>
      </c>
      <c r="M1555" s="7" t="s">
        <v>0</v>
      </c>
      <c r="N1555" s="7" t="s">
        <v>8487</v>
      </c>
      <c r="O1555" s="7" t="s">
        <v>0</v>
      </c>
      <c r="P1555" s="7" t="s">
        <v>8489</v>
      </c>
      <c r="Q1555" s="7" t="s">
        <v>8490</v>
      </c>
      <c r="R1555" s="7" t="s">
        <v>1829</v>
      </c>
      <c r="S1555" s="7" t="s">
        <v>1829</v>
      </c>
      <c r="T1555" s="7" t="s">
        <v>54</v>
      </c>
      <c r="U1555" s="7" t="s">
        <v>307</v>
      </c>
      <c r="V1555" s="7" t="s">
        <v>382</v>
      </c>
      <c r="W1555" s="7" t="s">
        <v>57</v>
      </c>
      <c r="X1555" s="7" t="s">
        <v>103</v>
      </c>
      <c r="Y1555" s="8">
        <v>44805</v>
      </c>
      <c r="Z1555" s="8">
        <v>46022</v>
      </c>
      <c r="AA1555" s="7" t="s">
        <v>383</v>
      </c>
      <c r="AB1555" s="7" t="s">
        <v>130</v>
      </c>
      <c r="AC1555" s="7" t="s">
        <v>65</v>
      </c>
      <c r="AD1555" s="7" t="s">
        <v>0</v>
      </c>
      <c r="AE1555" s="7" t="s">
        <v>0</v>
      </c>
      <c r="AF1555" s="7" t="s">
        <v>0</v>
      </c>
      <c r="AG1555" s="7" t="s">
        <v>0</v>
      </c>
      <c r="AH1555" s="9" t="s">
        <v>0</v>
      </c>
      <c r="AI1555" s="9" t="s">
        <v>0</v>
      </c>
      <c r="AJ1555" s="9" t="s">
        <v>0</v>
      </c>
      <c r="AK1555" s="7" t="s">
        <v>61</v>
      </c>
      <c r="AL1555" s="7" t="s">
        <v>61</v>
      </c>
      <c r="AM1555" s="7" t="s">
        <v>0</v>
      </c>
      <c r="AN1555" s="7" t="s">
        <v>0</v>
      </c>
      <c r="AO1555" s="7" t="s">
        <v>0</v>
      </c>
      <c r="AP1555" s="7" t="s">
        <v>0</v>
      </c>
      <c r="AQ1555" s="7" t="s">
        <v>61</v>
      </c>
      <c r="AR1555" s="7" t="s">
        <v>0</v>
      </c>
      <c r="AS1555" s="10" t="str">
        <f>HYPERLINK("https://tessa.gazprom-neft.local/edo/card/10cad8f5-5928-417b-b870-c8fcf7225675", "https://tessa.gazprom-neft.local/edo/card/10cad8f5-5928-417b-b870-c8fcf7225675")</f>
        <v>https://tessa.gazprom-neft.local/edo/card/10cad8f5-5928-417b-b870-c8fcf7225675</v>
      </c>
    </row>
    <row r="1556" spans="1:45" hidden="1" x14ac:dyDescent="0.25">
      <c r="A1556" s="6" t="s">
        <v>44</v>
      </c>
      <c r="B1556" s="7" t="s">
        <v>7625</v>
      </c>
      <c r="C1556" s="7" t="s">
        <v>67</v>
      </c>
      <c r="D1556" s="8">
        <v>44774</v>
      </c>
      <c r="E1556" s="8" t="s">
        <v>0</v>
      </c>
      <c r="F1556" s="16" t="s">
        <v>7626</v>
      </c>
      <c r="G1556" s="7" t="s">
        <v>7627</v>
      </c>
      <c r="H1556" s="7" t="s">
        <v>0</v>
      </c>
      <c r="I1556" s="7" t="s">
        <v>7622</v>
      </c>
      <c r="J1556" s="7" t="s">
        <v>7622</v>
      </c>
      <c r="K1556" s="7" t="s">
        <v>47</v>
      </c>
      <c r="L1556" s="7" t="s">
        <v>96</v>
      </c>
      <c r="M1556" s="7" t="s">
        <v>0</v>
      </c>
      <c r="N1556" s="7" t="s">
        <v>7621</v>
      </c>
      <c r="O1556" s="7" t="s">
        <v>0</v>
      </c>
      <c r="P1556" s="7" t="s">
        <v>7623</v>
      </c>
      <c r="Q1556" s="7" t="s">
        <v>7624</v>
      </c>
      <c r="R1556" s="7" t="s">
        <v>1011</v>
      </c>
      <c r="S1556" s="7" t="s">
        <v>1011</v>
      </c>
      <c r="T1556" s="7" t="s">
        <v>54</v>
      </c>
      <c r="U1556" s="7" t="s">
        <v>1012</v>
      </c>
      <c r="V1556" s="7" t="s">
        <v>137</v>
      </c>
      <c r="W1556" s="7" t="s">
        <v>57</v>
      </c>
      <c r="X1556" s="7" t="s">
        <v>103</v>
      </c>
      <c r="Y1556" s="8">
        <v>44774</v>
      </c>
      <c r="Z1556" s="8">
        <v>45170</v>
      </c>
      <c r="AA1556" s="7" t="s">
        <v>0</v>
      </c>
      <c r="AB1556" s="7" t="s">
        <v>64</v>
      </c>
      <c r="AC1556" s="7" t="s">
        <v>79</v>
      </c>
      <c r="AD1556" s="7" t="s">
        <v>80</v>
      </c>
      <c r="AE1556" s="7" t="s">
        <v>118</v>
      </c>
      <c r="AF1556" s="7" t="s">
        <v>0</v>
      </c>
      <c r="AG1556" s="7" t="s">
        <v>0</v>
      </c>
      <c r="AH1556" s="9" t="s">
        <v>13240</v>
      </c>
      <c r="AI1556" s="9" t="s">
        <v>13240</v>
      </c>
      <c r="AJ1556" s="9">
        <v>0</v>
      </c>
      <c r="AK1556" s="7" t="s">
        <v>61</v>
      </c>
      <c r="AL1556" s="7" t="s">
        <v>61</v>
      </c>
      <c r="AM1556" s="7" t="s">
        <v>0</v>
      </c>
      <c r="AN1556" s="7" t="s">
        <v>0</v>
      </c>
      <c r="AO1556" s="7" t="s">
        <v>0</v>
      </c>
      <c r="AP1556" s="7" t="s">
        <v>0</v>
      </c>
      <c r="AQ1556" s="7" t="s">
        <v>61</v>
      </c>
      <c r="AR1556" s="7" t="s">
        <v>0</v>
      </c>
      <c r="AS1556" s="10" t="str">
        <f>HYPERLINK("https://tessa.gazprom-neft.local/edo/card/440c24f4-4a2b-4888-ba11-e546b4ec9393", "https://tessa.gazprom-neft.local/edo/card/440c24f4-4a2b-4888-ba11-e546b4ec9393")</f>
        <v>https://tessa.gazprom-neft.local/edo/card/440c24f4-4a2b-4888-ba11-e546b4ec9393</v>
      </c>
    </row>
    <row r="1557" spans="1:45" hidden="1" x14ac:dyDescent="0.25">
      <c r="A1557" s="6" t="s">
        <v>44</v>
      </c>
      <c r="B1557" s="7" t="s">
        <v>7682</v>
      </c>
      <c r="C1557" s="7" t="s">
        <v>67</v>
      </c>
      <c r="D1557" s="8">
        <v>44774</v>
      </c>
      <c r="E1557" s="8" t="s">
        <v>0</v>
      </c>
      <c r="F1557" s="16" t="s">
        <v>7683</v>
      </c>
      <c r="G1557" s="7" t="s">
        <v>7684</v>
      </c>
      <c r="H1557" s="7" t="s">
        <v>0</v>
      </c>
      <c r="I1557" s="7" t="s">
        <v>7679</v>
      </c>
      <c r="J1557" s="7" t="s">
        <v>7679</v>
      </c>
      <c r="K1557" s="7" t="s">
        <v>47</v>
      </c>
      <c r="L1557" s="7" t="s">
        <v>96</v>
      </c>
      <c r="M1557" s="7" t="s">
        <v>0</v>
      </c>
      <c r="N1557" s="7" t="s">
        <v>7678</v>
      </c>
      <c r="O1557" s="7" t="s">
        <v>0</v>
      </c>
      <c r="P1557" s="7" t="s">
        <v>7680</v>
      </c>
      <c r="Q1557" s="7" t="s">
        <v>7681</v>
      </c>
      <c r="R1557" s="7" t="s">
        <v>1011</v>
      </c>
      <c r="S1557" s="7" t="s">
        <v>1011</v>
      </c>
      <c r="T1557" s="7" t="s">
        <v>54</v>
      </c>
      <c r="U1557" s="7" t="s">
        <v>1012</v>
      </c>
      <c r="V1557" s="7" t="s">
        <v>137</v>
      </c>
      <c r="W1557" s="7" t="s">
        <v>57</v>
      </c>
      <c r="X1557" s="7" t="s">
        <v>103</v>
      </c>
      <c r="Y1557" s="8">
        <v>44774</v>
      </c>
      <c r="Z1557" s="8">
        <v>45047</v>
      </c>
      <c r="AA1557" s="7" t="s">
        <v>0</v>
      </c>
      <c r="AB1557" s="7" t="s">
        <v>192</v>
      </c>
      <c r="AC1557" s="7" t="s">
        <v>79</v>
      </c>
      <c r="AD1557" s="7" t="s">
        <v>80</v>
      </c>
      <c r="AE1557" s="7" t="s">
        <v>193</v>
      </c>
      <c r="AF1557" s="7" t="s">
        <v>0</v>
      </c>
      <c r="AG1557" s="7" t="s">
        <v>0</v>
      </c>
      <c r="AH1557" s="9" t="s">
        <v>13271</v>
      </c>
      <c r="AI1557" s="9" t="s">
        <v>13272</v>
      </c>
      <c r="AJ1557" s="9" t="s">
        <v>13273</v>
      </c>
      <c r="AK1557" s="7" t="s">
        <v>61</v>
      </c>
      <c r="AL1557" s="7" t="s">
        <v>61</v>
      </c>
      <c r="AM1557" s="7" t="s">
        <v>0</v>
      </c>
      <c r="AN1557" s="7" t="s">
        <v>0</v>
      </c>
      <c r="AO1557" s="7" t="s">
        <v>0</v>
      </c>
      <c r="AP1557" s="7" t="s">
        <v>0</v>
      </c>
      <c r="AQ1557" s="7" t="s">
        <v>61</v>
      </c>
      <c r="AR1557" s="7" t="s">
        <v>0</v>
      </c>
      <c r="AS1557" s="10" t="str">
        <f>HYPERLINK("https://tessa.gazprom-neft.local/edo/card/00cfeb99-a75f-4c5e-9e94-479c9300e3d9", "https://tessa.gazprom-neft.local/edo/card/00cfeb99-a75f-4c5e-9e94-479c9300e3d9")</f>
        <v>https://tessa.gazprom-neft.local/edo/card/00cfeb99-a75f-4c5e-9e94-479c9300e3d9</v>
      </c>
    </row>
    <row r="1558" spans="1:45" x14ac:dyDescent="0.25">
      <c r="A1558" s="6" t="s">
        <v>44</v>
      </c>
      <c r="B1558" s="7" t="s">
        <v>4293</v>
      </c>
      <c r="C1558" s="7" t="s">
        <v>67</v>
      </c>
      <c r="D1558" s="8">
        <v>44774</v>
      </c>
      <c r="E1558" s="8" t="s">
        <v>0</v>
      </c>
      <c r="F1558" s="16" t="s">
        <v>4294</v>
      </c>
      <c r="G1558" s="7" t="s">
        <v>4295</v>
      </c>
      <c r="H1558" s="7" t="s">
        <v>4290</v>
      </c>
      <c r="I1558" s="7" t="s">
        <v>0</v>
      </c>
      <c r="J1558" s="7" t="s">
        <v>51</v>
      </c>
      <c r="K1558" s="7" t="s">
        <v>47</v>
      </c>
      <c r="L1558" s="7" t="s">
        <v>48</v>
      </c>
      <c r="M1558" s="7" t="s">
        <v>0</v>
      </c>
      <c r="N1558" s="7" t="s">
        <v>8017</v>
      </c>
      <c r="O1558" s="7" t="s">
        <v>0</v>
      </c>
      <c r="P1558" s="7" t="s">
        <v>8018</v>
      </c>
      <c r="Q1558" s="7" t="s">
        <v>8019</v>
      </c>
      <c r="R1558" s="7" t="s">
        <v>2349</v>
      </c>
      <c r="S1558" s="7" t="s">
        <v>2349</v>
      </c>
      <c r="T1558" s="7" t="s">
        <v>54</v>
      </c>
      <c r="U1558" s="7" t="s">
        <v>362</v>
      </c>
      <c r="V1558" s="7" t="s">
        <v>295</v>
      </c>
      <c r="W1558" s="7" t="s">
        <v>57</v>
      </c>
      <c r="X1558" s="7" t="s">
        <v>103</v>
      </c>
      <c r="Y1558" s="8">
        <v>44774</v>
      </c>
      <c r="Z1558" s="8">
        <v>45657</v>
      </c>
      <c r="AA1558" s="7" t="s">
        <v>296</v>
      </c>
      <c r="AB1558" s="7" t="s">
        <v>64</v>
      </c>
      <c r="AC1558" s="7" t="s">
        <v>65</v>
      </c>
      <c r="AD1558" s="7" t="s">
        <v>80</v>
      </c>
      <c r="AE1558" s="7" t="s">
        <v>0</v>
      </c>
      <c r="AF1558" s="7" t="s">
        <v>0</v>
      </c>
      <c r="AG1558" s="7" t="s">
        <v>0</v>
      </c>
      <c r="AH1558" s="9" t="s">
        <v>0</v>
      </c>
      <c r="AI1558" s="9" t="s">
        <v>0</v>
      </c>
      <c r="AJ1558" s="9" t="s">
        <v>0</v>
      </c>
      <c r="AK1558" s="7" t="s">
        <v>61</v>
      </c>
      <c r="AL1558" s="7" t="s">
        <v>61</v>
      </c>
      <c r="AM1558" s="7" t="s">
        <v>0</v>
      </c>
      <c r="AN1558" s="7" t="s">
        <v>0</v>
      </c>
      <c r="AO1558" s="7" t="s">
        <v>0</v>
      </c>
      <c r="AP1558" s="7" t="s">
        <v>0</v>
      </c>
      <c r="AQ1558" s="7" t="s">
        <v>61</v>
      </c>
      <c r="AR1558" s="7" t="s">
        <v>0</v>
      </c>
      <c r="AS1558" s="10" t="str">
        <f>HYPERLINK("https://tessa.gazprom-neft.local/edo/card/31df57d1-7c48-4d5f-a7af-5d800edcc7e6", "https://tessa.gazprom-neft.local/edo/card/31df57d1-7c48-4d5f-a7af-5d800edcc7e6")</f>
        <v>https://tessa.gazprom-neft.local/edo/card/31df57d1-7c48-4d5f-a7af-5d800edcc7e6</v>
      </c>
    </row>
    <row r="1559" spans="1:45" x14ac:dyDescent="0.25">
      <c r="A1559" s="6" t="s">
        <v>44</v>
      </c>
      <c r="B1559" s="7" t="s">
        <v>813</v>
      </c>
      <c r="C1559" s="7" t="s">
        <v>67</v>
      </c>
      <c r="D1559" s="8">
        <v>44774</v>
      </c>
      <c r="E1559" s="8" t="s">
        <v>0</v>
      </c>
      <c r="F1559" s="16" t="s">
        <v>814</v>
      </c>
      <c r="G1559" s="7" t="s">
        <v>815</v>
      </c>
      <c r="H1559" s="7" t="s">
        <v>809</v>
      </c>
      <c r="I1559" s="7" t="s">
        <v>0</v>
      </c>
      <c r="J1559" s="7" t="s">
        <v>156</v>
      </c>
      <c r="K1559" s="7" t="s">
        <v>85</v>
      </c>
      <c r="L1559" s="7" t="s">
        <v>48</v>
      </c>
      <c r="M1559" s="7" t="s">
        <v>2128</v>
      </c>
      <c r="N1559" s="7" t="s">
        <v>8038</v>
      </c>
      <c r="O1559" s="7" t="s">
        <v>0</v>
      </c>
      <c r="P1559" s="7" t="s">
        <v>2128</v>
      </c>
      <c r="Q1559" s="7" t="s">
        <v>2177</v>
      </c>
      <c r="R1559" s="7" t="s">
        <v>812</v>
      </c>
      <c r="S1559" s="7" t="s">
        <v>812</v>
      </c>
      <c r="T1559" s="7" t="s">
        <v>54</v>
      </c>
      <c r="U1559" s="7" t="s">
        <v>1534</v>
      </c>
      <c r="V1559" s="7" t="s">
        <v>56</v>
      </c>
      <c r="W1559" s="7" t="s">
        <v>57</v>
      </c>
      <c r="X1559" s="7" t="s">
        <v>103</v>
      </c>
      <c r="Y1559" s="8">
        <v>44774</v>
      </c>
      <c r="Z1559" s="8">
        <v>46387</v>
      </c>
      <c r="AA1559" s="7" t="s">
        <v>59</v>
      </c>
      <c r="AB1559" s="7" t="s">
        <v>256</v>
      </c>
      <c r="AC1559" s="7" t="s">
        <v>65</v>
      </c>
      <c r="AD1559" s="7" t="s">
        <v>80</v>
      </c>
      <c r="AE1559" s="7" t="s">
        <v>0</v>
      </c>
      <c r="AF1559" s="7" t="s">
        <v>0</v>
      </c>
      <c r="AG1559" s="7" t="s">
        <v>0</v>
      </c>
      <c r="AH1559" s="9" t="s">
        <v>0</v>
      </c>
      <c r="AI1559" s="9" t="s">
        <v>0</v>
      </c>
      <c r="AJ1559" s="9" t="s">
        <v>0</v>
      </c>
      <c r="AK1559" s="7" t="s">
        <v>61</v>
      </c>
      <c r="AL1559" s="7" t="s">
        <v>61</v>
      </c>
      <c r="AM1559" s="7" t="s">
        <v>0</v>
      </c>
      <c r="AN1559" s="7" t="s">
        <v>0</v>
      </c>
      <c r="AO1559" s="7" t="s">
        <v>0</v>
      </c>
      <c r="AP1559" s="7" t="s">
        <v>0</v>
      </c>
      <c r="AQ1559" s="7" t="s">
        <v>61</v>
      </c>
      <c r="AR1559" s="7" t="s">
        <v>0</v>
      </c>
      <c r="AS1559" s="10" t="str">
        <f>HYPERLINK("https://tessa.gazprom-neft.local/edo/card/a17d2db4-cfd1-4737-90df-688361679719", "https://tessa.gazprom-neft.local/edo/card/a17d2db4-cfd1-4737-90df-688361679719")</f>
        <v>https://tessa.gazprom-neft.local/edo/card/a17d2db4-cfd1-4737-90df-688361679719</v>
      </c>
    </row>
    <row r="1560" spans="1:45" hidden="1" x14ac:dyDescent="0.25">
      <c r="A1560" s="6" t="s">
        <v>44</v>
      </c>
      <c r="B1560" s="7" t="s">
        <v>2132</v>
      </c>
      <c r="C1560" s="7" t="s">
        <v>67</v>
      </c>
      <c r="D1560" s="8">
        <v>44774</v>
      </c>
      <c r="E1560" s="8" t="s">
        <v>0</v>
      </c>
      <c r="F1560" s="16" t="s">
        <v>2133</v>
      </c>
      <c r="G1560" s="7" t="s">
        <v>739</v>
      </c>
      <c r="H1560" s="7" t="s">
        <v>0</v>
      </c>
      <c r="I1560" s="7" t="s">
        <v>8073</v>
      </c>
      <c r="J1560" s="7" t="s">
        <v>8073</v>
      </c>
      <c r="K1560" s="7" t="s">
        <v>85</v>
      </c>
      <c r="L1560" s="7" t="s">
        <v>86</v>
      </c>
      <c r="M1560" s="7" t="s">
        <v>216</v>
      </c>
      <c r="N1560" s="7" t="s">
        <v>8072</v>
      </c>
      <c r="O1560" s="7" t="s">
        <v>0</v>
      </c>
      <c r="P1560" s="7" t="s">
        <v>216</v>
      </c>
      <c r="Q1560" s="7" t="s">
        <v>8074</v>
      </c>
      <c r="R1560" s="7" t="s">
        <v>338</v>
      </c>
      <c r="S1560" s="7" t="s">
        <v>8003</v>
      </c>
      <c r="T1560" s="7" t="s">
        <v>54</v>
      </c>
      <c r="U1560" s="7" t="s">
        <v>4736</v>
      </c>
      <c r="V1560" s="7" t="s">
        <v>102</v>
      </c>
      <c r="W1560" s="7" t="s">
        <v>57</v>
      </c>
      <c r="X1560" s="7" t="s">
        <v>103</v>
      </c>
      <c r="Y1560" s="8">
        <v>44774</v>
      </c>
      <c r="Z1560" s="8">
        <v>45291</v>
      </c>
      <c r="AA1560" s="7" t="s">
        <v>104</v>
      </c>
      <c r="AB1560" s="7" t="s">
        <v>228</v>
      </c>
      <c r="AC1560" s="7" t="s">
        <v>65</v>
      </c>
      <c r="AD1560" s="7" t="s">
        <v>0</v>
      </c>
      <c r="AE1560" s="7" t="s">
        <v>0</v>
      </c>
      <c r="AF1560" s="7" t="s">
        <v>0</v>
      </c>
      <c r="AG1560" s="7" t="s">
        <v>0</v>
      </c>
      <c r="AH1560" s="9" t="s">
        <v>0</v>
      </c>
      <c r="AI1560" s="9" t="s">
        <v>0</v>
      </c>
      <c r="AJ1560" s="9" t="s">
        <v>0</v>
      </c>
      <c r="AK1560" s="7" t="s">
        <v>61</v>
      </c>
      <c r="AL1560" s="7" t="s">
        <v>61</v>
      </c>
      <c r="AM1560" s="7" t="s">
        <v>0</v>
      </c>
      <c r="AN1560" s="7" t="s">
        <v>0</v>
      </c>
      <c r="AO1560" s="7" t="s">
        <v>0</v>
      </c>
      <c r="AP1560" s="7" t="s">
        <v>0</v>
      </c>
      <c r="AQ1560" s="7" t="s">
        <v>61</v>
      </c>
      <c r="AR1560" s="7" t="s">
        <v>0</v>
      </c>
      <c r="AS1560" s="10" t="str">
        <f>HYPERLINK("https://tessa.gazprom-neft.local/edo/card/24ed245d-de9d-40eb-9011-618a1033019a", "https://tessa.gazprom-neft.local/edo/card/24ed245d-de9d-40eb-9011-618a1033019a")</f>
        <v>https://tessa.gazprom-neft.local/edo/card/24ed245d-de9d-40eb-9011-618a1033019a</v>
      </c>
    </row>
    <row r="1561" spans="1:45" hidden="1" x14ac:dyDescent="0.25">
      <c r="A1561" s="6" t="s">
        <v>44</v>
      </c>
      <c r="B1561" s="7" t="s">
        <v>8083</v>
      </c>
      <c r="C1561" s="7" t="s">
        <v>67</v>
      </c>
      <c r="D1561" s="8">
        <v>44774</v>
      </c>
      <c r="E1561" s="8" t="s">
        <v>0</v>
      </c>
      <c r="F1561" s="16" t="s">
        <v>8084</v>
      </c>
      <c r="G1561" s="7" t="s">
        <v>8085</v>
      </c>
      <c r="H1561" s="7" t="s">
        <v>0</v>
      </c>
      <c r="I1561" s="7" t="s">
        <v>8082</v>
      </c>
      <c r="J1561" s="7" t="s">
        <v>8082</v>
      </c>
      <c r="K1561" s="7" t="s">
        <v>47</v>
      </c>
      <c r="L1561" s="7" t="s">
        <v>86</v>
      </c>
      <c r="M1561" s="7" t="s">
        <v>0</v>
      </c>
      <c r="N1561" s="7" t="s">
        <v>8081</v>
      </c>
      <c r="O1561" s="7" t="s">
        <v>0</v>
      </c>
      <c r="P1561" s="7" t="s">
        <v>3729</v>
      </c>
      <c r="Q1561" s="7" t="s">
        <v>426</v>
      </c>
      <c r="R1561" s="7" t="s">
        <v>53</v>
      </c>
      <c r="S1561" s="7" t="s">
        <v>0</v>
      </c>
      <c r="T1561" s="7" t="s">
        <v>54</v>
      </c>
      <c r="U1561" s="7" t="s">
        <v>55</v>
      </c>
      <c r="V1561" s="7" t="s">
        <v>56</v>
      </c>
      <c r="W1561" s="7" t="s">
        <v>57</v>
      </c>
      <c r="X1561" s="7" t="s">
        <v>223</v>
      </c>
      <c r="Y1561" s="8">
        <v>44774</v>
      </c>
      <c r="Z1561" s="8" t="s">
        <v>0</v>
      </c>
      <c r="AA1561" s="7" t="s">
        <v>59</v>
      </c>
      <c r="AB1561" s="7" t="s">
        <v>300</v>
      </c>
      <c r="AC1561" s="7" t="s">
        <v>65</v>
      </c>
      <c r="AD1561" s="7" t="s">
        <v>0</v>
      </c>
      <c r="AE1561" s="7" t="s">
        <v>0</v>
      </c>
      <c r="AF1561" s="7" t="s">
        <v>0</v>
      </c>
      <c r="AG1561" s="7" t="s">
        <v>0</v>
      </c>
      <c r="AH1561" s="9" t="s">
        <v>0</v>
      </c>
      <c r="AI1561" s="9" t="s">
        <v>0</v>
      </c>
      <c r="AJ1561" s="9" t="s">
        <v>0</v>
      </c>
      <c r="AK1561" s="7" t="s">
        <v>61</v>
      </c>
      <c r="AL1561" s="7" t="s">
        <v>61</v>
      </c>
      <c r="AM1561" s="7" t="s">
        <v>0</v>
      </c>
      <c r="AN1561" s="7" t="s">
        <v>0</v>
      </c>
      <c r="AO1561" s="7" t="s">
        <v>0</v>
      </c>
      <c r="AP1561" s="7" t="s">
        <v>0</v>
      </c>
      <c r="AQ1561" s="7" t="s">
        <v>61</v>
      </c>
      <c r="AR1561" s="7" t="s">
        <v>0</v>
      </c>
      <c r="AS1561" s="10" t="str">
        <f>HYPERLINK("https://tessa.gazprom-neft.local/edo/card/322fba92-cc1f-499c-bd3d-ed3228a47e98", "https://tessa.gazprom-neft.local/edo/card/322fba92-cc1f-499c-bd3d-ed3228a47e98")</f>
        <v>https://tessa.gazprom-neft.local/edo/card/322fba92-cc1f-499c-bd3d-ed3228a47e98</v>
      </c>
    </row>
    <row r="1562" spans="1:45" hidden="1" x14ac:dyDescent="0.25">
      <c r="A1562" s="6" t="s">
        <v>44</v>
      </c>
      <c r="B1562" s="7" t="s">
        <v>1453</v>
      </c>
      <c r="C1562" s="7" t="s">
        <v>67</v>
      </c>
      <c r="D1562" s="8">
        <v>44774</v>
      </c>
      <c r="E1562" s="8" t="s">
        <v>0</v>
      </c>
      <c r="F1562" s="16" t="s">
        <v>1454</v>
      </c>
      <c r="G1562" s="7" t="s">
        <v>1455</v>
      </c>
      <c r="H1562" s="7" t="s">
        <v>0</v>
      </c>
      <c r="I1562" s="7" t="s">
        <v>8115</v>
      </c>
      <c r="J1562" s="7" t="s">
        <v>8115</v>
      </c>
      <c r="K1562" s="7" t="s">
        <v>85</v>
      </c>
      <c r="L1562" s="7" t="s">
        <v>86</v>
      </c>
      <c r="M1562" s="7" t="s">
        <v>289</v>
      </c>
      <c r="N1562" s="7" t="s">
        <v>8114</v>
      </c>
      <c r="O1562" s="7" t="s">
        <v>0</v>
      </c>
      <c r="P1562" s="7" t="s">
        <v>289</v>
      </c>
      <c r="Q1562" s="7" t="s">
        <v>1310</v>
      </c>
      <c r="R1562" s="7" t="s">
        <v>1083</v>
      </c>
      <c r="S1562" s="7" t="s">
        <v>540</v>
      </c>
      <c r="T1562" s="7" t="s">
        <v>54</v>
      </c>
      <c r="U1562" s="7" t="s">
        <v>274</v>
      </c>
      <c r="V1562" s="7" t="s">
        <v>56</v>
      </c>
      <c r="W1562" s="7" t="s">
        <v>57</v>
      </c>
      <c r="X1562" s="7" t="s">
        <v>223</v>
      </c>
      <c r="Y1562" s="8">
        <v>44774</v>
      </c>
      <c r="Z1562" s="8" t="s">
        <v>0</v>
      </c>
      <c r="AA1562" s="7" t="s">
        <v>0</v>
      </c>
      <c r="AB1562" s="7" t="s">
        <v>300</v>
      </c>
      <c r="AC1562" s="7" t="s">
        <v>65</v>
      </c>
      <c r="AD1562" s="7" t="s">
        <v>0</v>
      </c>
      <c r="AE1562" s="7" t="s">
        <v>0</v>
      </c>
      <c r="AF1562" s="7" t="s">
        <v>0</v>
      </c>
      <c r="AG1562" s="7" t="s">
        <v>0</v>
      </c>
      <c r="AH1562" s="9" t="s">
        <v>0</v>
      </c>
      <c r="AI1562" s="9" t="s">
        <v>0</v>
      </c>
      <c r="AJ1562" s="9" t="s">
        <v>0</v>
      </c>
      <c r="AK1562" s="7" t="s">
        <v>61</v>
      </c>
      <c r="AL1562" s="7" t="s">
        <v>61</v>
      </c>
      <c r="AM1562" s="7" t="s">
        <v>0</v>
      </c>
      <c r="AN1562" s="7" t="s">
        <v>0</v>
      </c>
      <c r="AO1562" s="7" t="s">
        <v>0</v>
      </c>
      <c r="AP1562" s="7" t="s">
        <v>0</v>
      </c>
      <c r="AQ1562" s="7" t="s">
        <v>61</v>
      </c>
      <c r="AR1562" s="7" t="s">
        <v>0</v>
      </c>
      <c r="AS1562" s="10" t="str">
        <f>HYPERLINK("https://tessa.gazprom-neft.local/edo/card/128cbedf-aa4c-4de6-8b08-27cc0a766d2d", "https://tessa.gazprom-neft.local/edo/card/128cbedf-aa4c-4de6-8b08-27cc0a766d2d")</f>
        <v>https://tessa.gazprom-neft.local/edo/card/128cbedf-aa4c-4de6-8b08-27cc0a766d2d</v>
      </c>
    </row>
    <row r="1563" spans="1:45" hidden="1" x14ac:dyDescent="0.25">
      <c r="A1563" s="6" t="s">
        <v>44</v>
      </c>
      <c r="B1563" s="7" t="s">
        <v>1552</v>
      </c>
      <c r="C1563" s="7" t="s">
        <v>67</v>
      </c>
      <c r="D1563" s="8">
        <v>44774</v>
      </c>
      <c r="E1563" s="8" t="s">
        <v>0</v>
      </c>
      <c r="F1563" s="16" t="s">
        <v>1553</v>
      </c>
      <c r="G1563" s="7" t="s">
        <v>1554</v>
      </c>
      <c r="H1563" s="7" t="s">
        <v>0</v>
      </c>
      <c r="I1563" s="7" t="s">
        <v>8358</v>
      </c>
      <c r="J1563" s="7" t="s">
        <v>8358</v>
      </c>
      <c r="K1563" s="7" t="s">
        <v>47</v>
      </c>
      <c r="L1563" s="7" t="s">
        <v>86</v>
      </c>
      <c r="M1563" s="7" t="s">
        <v>0</v>
      </c>
      <c r="N1563" s="7" t="s">
        <v>8357</v>
      </c>
      <c r="O1563" s="7" t="s">
        <v>0</v>
      </c>
      <c r="P1563" s="7" t="s">
        <v>8359</v>
      </c>
      <c r="Q1563" s="7" t="s">
        <v>8360</v>
      </c>
      <c r="R1563" s="7" t="s">
        <v>1551</v>
      </c>
      <c r="S1563" s="7" t="s">
        <v>1551</v>
      </c>
      <c r="T1563" s="7" t="s">
        <v>54</v>
      </c>
      <c r="U1563" s="7" t="s">
        <v>210</v>
      </c>
      <c r="V1563" s="7" t="s">
        <v>6640</v>
      </c>
      <c r="W1563" s="7" t="s">
        <v>57</v>
      </c>
      <c r="X1563" s="7" t="s">
        <v>103</v>
      </c>
      <c r="Y1563" s="8">
        <v>44774</v>
      </c>
      <c r="Z1563" s="8">
        <v>46022</v>
      </c>
      <c r="AA1563" s="7" t="s">
        <v>7479</v>
      </c>
      <c r="AB1563" s="7" t="s">
        <v>130</v>
      </c>
      <c r="AC1563" s="7" t="s">
        <v>65</v>
      </c>
      <c r="AD1563" s="7" t="s">
        <v>80</v>
      </c>
      <c r="AE1563" s="7" t="s">
        <v>0</v>
      </c>
      <c r="AF1563" s="7" t="s">
        <v>0</v>
      </c>
      <c r="AG1563" s="7" t="s">
        <v>0</v>
      </c>
      <c r="AH1563" s="9" t="s">
        <v>0</v>
      </c>
      <c r="AI1563" s="9" t="s">
        <v>0</v>
      </c>
      <c r="AJ1563" s="9" t="s">
        <v>0</v>
      </c>
      <c r="AK1563" s="7" t="s">
        <v>61</v>
      </c>
      <c r="AL1563" s="7" t="s">
        <v>61</v>
      </c>
      <c r="AM1563" s="7" t="s">
        <v>0</v>
      </c>
      <c r="AN1563" s="7" t="s">
        <v>0</v>
      </c>
      <c r="AO1563" s="7" t="s">
        <v>0</v>
      </c>
      <c r="AP1563" s="7" t="s">
        <v>0</v>
      </c>
      <c r="AQ1563" s="7" t="s">
        <v>61</v>
      </c>
      <c r="AR1563" s="7" t="s">
        <v>0</v>
      </c>
      <c r="AS1563" s="10" t="str">
        <f>HYPERLINK("https://tessa.gazprom-neft.local/edo/card/58025b9d-75ae-46e8-ad57-9c1ee8ad9b8f", "https://tessa.gazprom-neft.local/edo/card/58025b9d-75ae-46e8-ad57-9c1ee8ad9b8f")</f>
        <v>https://tessa.gazprom-neft.local/edo/card/58025b9d-75ae-46e8-ad57-9c1ee8ad9b8f</v>
      </c>
    </row>
    <row r="1564" spans="1:45" hidden="1" x14ac:dyDescent="0.25">
      <c r="A1564" s="6" t="s">
        <v>44</v>
      </c>
      <c r="B1564" s="7" t="s">
        <v>127</v>
      </c>
      <c r="C1564" s="7" t="s">
        <v>67</v>
      </c>
      <c r="D1564" s="8">
        <v>44774</v>
      </c>
      <c r="E1564" s="8" t="s">
        <v>0</v>
      </c>
      <c r="F1564" s="16" t="s">
        <v>128</v>
      </c>
      <c r="G1564" s="7" t="s">
        <v>129</v>
      </c>
      <c r="H1564" s="7" t="s">
        <v>0</v>
      </c>
      <c r="I1564" s="7" t="s">
        <v>8386</v>
      </c>
      <c r="J1564" s="7" t="s">
        <v>8386</v>
      </c>
      <c r="K1564" s="7" t="s">
        <v>47</v>
      </c>
      <c r="L1564" s="7" t="s">
        <v>86</v>
      </c>
      <c r="M1564" s="7" t="s">
        <v>0</v>
      </c>
      <c r="N1564" s="7" t="s">
        <v>8385</v>
      </c>
      <c r="O1564" s="7" t="s">
        <v>0</v>
      </c>
      <c r="P1564" s="7" t="s">
        <v>8387</v>
      </c>
      <c r="Q1564" s="7" t="s">
        <v>8360</v>
      </c>
      <c r="R1564" s="7" t="s">
        <v>1551</v>
      </c>
      <c r="S1564" s="7" t="s">
        <v>1551</v>
      </c>
      <c r="T1564" s="7" t="s">
        <v>54</v>
      </c>
      <c r="U1564" s="7" t="s">
        <v>210</v>
      </c>
      <c r="V1564" s="7" t="s">
        <v>6640</v>
      </c>
      <c r="W1564" s="7" t="s">
        <v>57</v>
      </c>
      <c r="X1564" s="7" t="s">
        <v>103</v>
      </c>
      <c r="Y1564" s="8">
        <v>44774</v>
      </c>
      <c r="Z1564" s="8">
        <v>46022</v>
      </c>
      <c r="AA1564" s="7" t="s">
        <v>7479</v>
      </c>
      <c r="AB1564" s="7" t="s">
        <v>130</v>
      </c>
      <c r="AC1564" s="7" t="s">
        <v>65</v>
      </c>
      <c r="AD1564" s="7" t="s">
        <v>80</v>
      </c>
      <c r="AE1564" s="7" t="s">
        <v>0</v>
      </c>
      <c r="AF1564" s="7" t="s">
        <v>0</v>
      </c>
      <c r="AG1564" s="7" t="s">
        <v>0</v>
      </c>
      <c r="AH1564" s="9" t="s">
        <v>0</v>
      </c>
      <c r="AI1564" s="9" t="s">
        <v>0</v>
      </c>
      <c r="AJ1564" s="9" t="s">
        <v>0</v>
      </c>
      <c r="AK1564" s="7" t="s">
        <v>61</v>
      </c>
      <c r="AL1564" s="7" t="s">
        <v>61</v>
      </c>
      <c r="AM1564" s="7" t="s">
        <v>0</v>
      </c>
      <c r="AN1564" s="7" t="s">
        <v>0</v>
      </c>
      <c r="AO1564" s="7" t="s">
        <v>0</v>
      </c>
      <c r="AP1564" s="7" t="s">
        <v>0</v>
      </c>
      <c r="AQ1564" s="7" t="s">
        <v>61</v>
      </c>
      <c r="AR1564" s="7" t="s">
        <v>0</v>
      </c>
      <c r="AS1564" s="10" t="str">
        <f>HYPERLINK("https://tessa.gazprom-neft.local/edo/card/ffd9ff20-3387-4705-9211-f72f07e9856f", "https://tessa.gazprom-neft.local/edo/card/ffd9ff20-3387-4705-9211-f72f07e9856f")</f>
        <v>https://tessa.gazprom-neft.local/edo/card/ffd9ff20-3387-4705-9211-f72f07e9856f</v>
      </c>
    </row>
    <row r="1565" spans="1:45" hidden="1" x14ac:dyDescent="0.25">
      <c r="A1565" s="6" t="s">
        <v>44</v>
      </c>
      <c r="B1565" s="7" t="s">
        <v>9676</v>
      </c>
      <c r="C1565" s="7" t="s">
        <v>46</v>
      </c>
      <c r="D1565" s="8">
        <v>44774</v>
      </c>
      <c r="E1565" s="8" t="s">
        <v>0</v>
      </c>
      <c r="F1565" s="16" t="s">
        <v>9677</v>
      </c>
      <c r="G1565" s="7" t="s">
        <v>9678</v>
      </c>
      <c r="H1565" s="7" t="s">
        <v>0</v>
      </c>
      <c r="I1565" s="7" t="s">
        <v>9673</v>
      </c>
      <c r="J1565" s="7" t="s">
        <v>9673</v>
      </c>
      <c r="K1565" s="7" t="s">
        <v>47</v>
      </c>
      <c r="L1565" s="7" t="s">
        <v>96</v>
      </c>
      <c r="M1565" s="7" t="s">
        <v>0</v>
      </c>
      <c r="N1565" s="7" t="s">
        <v>9672</v>
      </c>
      <c r="O1565" s="7" t="s">
        <v>0</v>
      </c>
      <c r="P1565" s="7" t="s">
        <v>9674</v>
      </c>
      <c r="Q1565" s="7" t="s">
        <v>9675</v>
      </c>
      <c r="R1565" s="7" t="s">
        <v>459</v>
      </c>
      <c r="S1565" s="7" t="s">
        <v>0</v>
      </c>
      <c r="T1565" s="7" t="s">
        <v>54</v>
      </c>
      <c r="U1565" s="7" t="s">
        <v>111</v>
      </c>
      <c r="V1565" s="7" t="s">
        <v>56</v>
      </c>
      <c r="W1565" s="7" t="s">
        <v>57</v>
      </c>
      <c r="X1565" s="7" t="s">
        <v>58</v>
      </c>
      <c r="Y1565" s="8">
        <v>44774</v>
      </c>
      <c r="Z1565" s="8" t="s">
        <v>0</v>
      </c>
      <c r="AA1565" s="7" t="s">
        <v>59</v>
      </c>
      <c r="AB1565" s="7" t="s">
        <v>366</v>
      </c>
      <c r="AC1565" s="7" t="s">
        <v>79</v>
      </c>
      <c r="AD1565" s="7" t="s">
        <v>80</v>
      </c>
      <c r="AE1565" s="7" t="s">
        <v>193</v>
      </c>
      <c r="AF1565" s="7" t="s">
        <v>0</v>
      </c>
      <c r="AG1565" s="7" t="s">
        <v>0</v>
      </c>
      <c r="AH1565" s="9" t="s">
        <v>14029</v>
      </c>
      <c r="AI1565" s="9" t="s">
        <v>14030</v>
      </c>
      <c r="AJ1565" s="9" t="s">
        <v>14031</v>
      </c>
      <c r="AK1565" s="7" t="s">
        <v>61</v>
      </c>
      <c r="AL1565" s="7" t="s">
        <v>61</v>
      </c>
      <c r="AM1565" s="7" t="s">
        <v>0</v>
      </c>
      <c r="AN1565" s="7" t="s">
        <v>0</v>
      </c>
      <c r="AO1565" s="7" t="s">
        <v>0</v>
      </c>
      <c r="AP1565" s="7" t="s">
        <v>0</v>
      </c>
      <c r="AQ1565" s="7" t="s">
        <v>61</v>
      </c>
      <c r="AR1565" s="7" t="s">
        <v>0</v>
      </c>
      <c r="AS1565" s="10" t="str">
        <f>HYPERLINK("https://tessa.gazprom-neft.local/edo/card/a3109065-f4e9-417a-86b0-d4ced7390110", "https://tessa.gazprom-neft.local/edo/card/a3109065-f4e9-417a-86b0-d4ced7390110")</f>
        <v>https://tessa.gazprom-neft.local/edo/card/a3109065-f4e9-417a-86b0-d4ced7390110</v>
      </c>
    </row>
    <row r="1566" spans="1:45" hidden="1" x14ac:dyDescent="0.25">
      <c r="A1566" s="6" t="s">
        <v>44</v>
      </c>
      <c r="B1566" s="7" t="s">
        <v>9685</v>
      </c>
      <c r="C1566" s="7" t="s">
        <v>46</v>
      </c>
      <c r="D1566" s="8">
        <v>44774</v>
      </c>
      <c r="E1566" s="8" t="s">
        <v>0</v>
      </c>
      <c r="F1566" s="16" t="s">
        <v>9686</v>
      </c>
      <c r="G1566" s="7" t="s">
        <v>9687</v>
      </c>
      <c r="H1566" s="7" t="s">
        <v>0</v>
      </c>
      <c r="I1566" s="7" t="s">
        <v>9684</v>
      </c>
      <c r="J1566" s="7" t="s">
        <v>9684</v>
      </c>
      <c r="K1566" s="7" t="s">
        <v>47</v>
      </c>
      <c r="L1566" s="7" t="s">
        <v>96</v>
      </c>
      <c r="M1566" s="7" t="s">
        <v>0</v>
      </c>
      <c r="N1566" s="7" t="s">
        <v>9683</v>
      </c>
      <c r="O1566" s="7" t="s">
        <v>0</v>
      </c>
      <c r="P1566" s="7" t="s">
        <v>9674</v>
      </c>
      <c r="Q1566" s="7" t="s">
        <v>9675</v>
      </c>
      <c r="R1566" s="7" t="s">
        <v>459</v>
      </c>
      <c r="S1566" s="7" t="s">
        <v>0</v>
      </c>
      <c r="T1566" s="7" t="s">
        <v>54</v>
      </c>
      <c r="U1566" s="7" t="s">
        <v>111</v>
      </c>
      <c r="V1566" s="7" t="s">
        <v>56</v>
      </c>
      <c r="W1566" s="7" t="s">
        <v>57</v>
      </c>
      <c r="X1566" s="7" t="s">
        <v>58</v>
      </c>
      <c r="Y1566" s="8">
        <v>44774</v>
      </c>
      <c r="Z1566" s="8" t="s">
        <v>0</v>
      </c>
      <c r="AA1566" s="7" t="s">
        <v>59</v>
      </c>
      <c r="AB1566" s="7" t="s">
        <v>366</v>
      </c>
      <c r="AC1566" s="7" t="s">
        <v>79</v>
      </c>
      <c r="AD1566" s="7" t="s">
        <v>80</v>
      </c>
      <c r="AE1566" s="7" t="s">
        <v>193</v>
      </c>
      <c r="AF1566" s="7" t="s">
        <v>0</v>
      </c>
      <c r="AG1566" s="7" t="s">
        <v>0</v>
      </c>
      <c r="AH1566" s="9" t="s">
        <v>14029</v>
      </c>
      <c r="AI1566" s="9" t="s">
        <v>14030</v>
      </c>
      <c r="AJ1566" s="9" t="s">
        <v>14031</v>
      </c>
      <c r="AK1566" s="7" t="s">
        <v>61</v>
      </c>
      <c r="AL1566" s="7" t="s">
        <v>61</v>
      </c>
      <c r="AM1566" s="7" t="s">
        <v>0</v>
      </c>
      <c r="AN1566" s="7" t="s">
        <v>0</v>
      </c>
      <c r="AO1566" s="7" t="s">
        <v>0</v>
      </c>
      <c r="AP1566" s="7" t="s">
        <v>0</v>
      </c>
      <c r="AQ1566" s="7" t="s">
        <v>61</v>
      </c>
      <c r="AR1566" s="7" t="s">
        <v>0</v>
      </c>
      <c r="AS1566" s="10" t="str">
        <f>HYPERLINK("https://tessa.gazprom-neft.local/edo/card/0640348c-0954-4ddc-9b61-83a622925131", "https://tessa.gazprom-neft.local/edo/card/0640348c-0954-4ddc-9b61-83a622925131")</f>
        <v>https://tessa.gazprom-neft.local/edo/card/0640348c-0954-4ddc-9b61-83a622925131</v>
      </c>
    </row>
    <row r="1567" spans="1:45" hidden="1" x14ac:dyDescent="0.25">
      <c r="A1567" s="6" t="s">
        <v>44</v>
      </c>
      <c r="B1567" s="7" t="s">
        <v>964</v>
      </c>
      <c r="C1567" s="7" t="s">
        <v>67</v>
      </c>
      <c r="D1567" s="8">
        <v>44772</v>
      </c>
      <c r="E1567" s="8" t="s">
        <v>0</v>
      </c>
      <c r="F1567" s="16" t="s">
        <v>965</v>
      </c>
      <c r="G1567" s="7" t="s">
        <v>966</v>
      </c>
      <c r="H1567" s="7" t="s">
        <v>1060</v>
      </c>
      <c r="I1567" s="7" t="s">
        <v>0</v>
      </c>
      <c r="J1567" s="7" t="s">
        <v>955</v>
      </c>
      <c r="K1567" s="7" t="s">
        <v>47</v>
      </c>
      <c r="L1567" s="7" t="s">
        <v>2719</v>
      </c>
      <c r="M1567" s="7" t="s">
        <v>0</v>
      </c>
      <c r="N1567" s="7" t="s">
        <v>5563</v>
      </c>
      <c r="O1567" s="7" t="s">
        <v>0</v>
      </c>
      <c r="P1567" s="7" t="s">
        <v>5564</v>
      </c>
      <c r="Q1567" s="7" t="s">
        <v>5565</v>
      </c>
      <c r="R1567" s="7" t="s">
        <v>1062</v>
      </c>
      <c r="S1567" s="7" t="s">
        <v>1062</v>
      </c>
      <c r="T1567" s="7" t="s">
        <v>54</v>
      </c>
      <c r="U1567" s="7" t="s">
        <v>294</v>
      </c>
      <c r="V1567" s="7" t="s">
        <v>295</v>
      </c>
      <c r="W1567" s="7" t="s">
        <v>57</v>
      </c>
      <c r="X1567" s="7" t="s">
        <v>58</v>
      </c>
      <c r="Y1567" s="8">
        <v>44772</v>
      </c>
      <c r="Z1567" s="8" t="s">
        <v>0</v>
      </c>
      <c r="AA1567" s="7" t="s">
        <v>296</v>
      </c>
      <c r="AB1567" s="7" t="s">
        <v>500</v>
      </c>
      <c r="AC1567" s="7" t="s">
        <v>79</v>
      </c>
      <c r="AD1567" s="7" t="s">
        <v>80</v>
      </c>
      <c r="AE1567" s="7" t="s">
        <v>82</v>
      </c>
      <c r="AF1567" s="7" t="s">
        <v>0</v>
      </c>
      <c r="AG1567" s="7" t="s">
        <v>0</v>
      </c>
      <c r="AH1567" s="9" t="s">
        <v>12534</v>
      </c>
      <c r="AI1567" s="9" t="s">
        <v>12535</v>
      </c>
      <c r="AJ1567" s="9" t="s">
        <v>12536</v>
      </c>
      <c r="AK1567" s="7" t="s">
        <v>61</v>
      </c>
      <c r="AL1567" s="7" t="s">
        <v>61</v>
      </c>
      <c r="AM1567" s="7" t="s">
        <v>0</v>
      </c>
      <c r="AN1567" s="7" t="s">
        <v>0</v>
      </c>
      <c r="AO1567" s="7" t="s">
        <v>0</v>
      </c>
      <c r="AP1567" s="7" t="s">
        <v>0</v>
      </c>
      <c r="AQ1567" s="7" t="s">
        <v>61</v>
      </c>
      <c r="AR1567" s="7" t="s">
        <v>0</v>
      </c>
      <c r="AS1567" s="10" t="str">
        <f>HYPERLINK("https://tessa.gazprom-neft.local/edo/card/4beea207-ae54-4a20-b93c-8223870f4b90", "https://tessa.gazprom-neft.local/edo/card/4beea207-ae54-4a20-b93c-8223870f4b90")</f>
        <v>https://tessa.gazprom-neft.local/edo/card/4beea207-ae54-4a20-b93c-8223870f4b90</v>
      </c>
    </row>
    <row r="1568" spans="1:45" hidden="1" x14ac:dyDescent="0.25">
      <c r="A1568" s="6" t="s">
        <v>44</v>
      </c>
      <c r="B1568" s="7" t="s">
        <v>988</v>
      </c>
      <c r="C1568" s="7" t="s">
        <v>67</v>
      </c>
      <c r="D1568" s="8">
        <v>44771</v>
      </c>
      <c r="E1568" s="8" t="s">
        <v>0</v>
      </c>
      <c r="F1568" s="16" t="s">
        <v>989</v>
      </c>
      <c r="G1568" s="7" t="s">
        <v>990</v>
      </c>
      <c r="H1568" s="7" t="s">
        <v>0</v>
      </c>
      <c r="I1568" s="7" t="s">
        <v>2826</v>
      </c>
      <c r="J1568" s="7" t="s">
        <v>2826</v>
      </c>
      <c r="K1568" s="7" t="s">
        <v>85</v>
      </c>
      <c r="L1568" s="7" t="s">
        <v>96</v>
      </c>
      <c r="M1568" s="7" t="s">
        <v>7764</v>
      </c>
      <c r="N1568" s="7" t="s">
        <v>7765</v>
      </c>
      <c r="O1568" s="7" t="s">
        <v>0</v>
      </c>
      <c r="P1568" s="7" t="s">
        <v>7764</v>
      </c>
      <c r="Q1568" s="7" t="s">
        <v>7766</v>
      </c>
      <c r="R1568" s="7" t="s">
        <v>659</v>
      </c>
      <c r="S1568" s="7" t="s">
        <v>1179</v>
      </c>
      <c r="T1568" s="7" t="s">
        <v>54</v>
      </c>
      <c r="U1568" s="7" t="s">
        <v>283</v>
      </c>
      <c r="V1568" s="7" t="s">
        <v>102</v>
      </c>
      <c r="W1568" s="7" t="s">
        <v>74</v>
      </c>
      <c r="X1568" s="7" t="s">
        <v>103</v>
      </c>
      <c r="Y1568" s="8">
        <v>44771</v>
      </c>
      <c r="Z1568" s="8">
        <v>46022</v>
      </c>
      <c r="AA1568" s="7" t="s">
        <v>104</v>
      </c>
      <c r="AB1568" s="7" t="s">
        <v>2546</v>
      </c>
      <c r="AC1568" s="7" t="s">
        <v>79</v>
      </c>
      <c r="AD1568" s="7" t="s">
        <v>144</v>
      </c>
      <c r="AE1568" s="7" t="s">
        <v>82</v>
      </c>
      <c r="AF1568" s="7" t="s">
        <v>0</v>
      </c>
      <c r="AG1568" s="7" t="s">
        <v>0</v>
      </c>
      <c r="AH1568" s="9" t="s">
        <v>13293</v>
      </c>
      <c r="AI1568" s="9" t="s">
        <v>13294</v>
      </c>
      <c r="AJ1568" s="9" t="s">
        <v>13295</v>
      </c>
      <c r="AK1568" s="7" t="s">
        <v>61</v>
      </c>
      <c r="AL1568" s="7" t="s">
        <v>61</v>
      </c>
      <c r="AM1568" s="7" t="s">
        <v>0</v>
      </c>
      <c r="AN1568" s="7" t="s">
        <v>0</v>
      </c>
      <c r="AO1568" s="7" t="s">
        <v>0</v>
      </c>
      <c r="AP1568" s="7" t="s">
        <v>0</v>
      </c>
      <c r="AQ1568" s="7" t="s">
        <v>61</v>
      </c>
      <c r="AR1568" s="7" t="s">
        <v>0</v>
      </c>
      <c r="AS1568" s="10" t="str">
        <f>HYPERLINK("https://tessa.gazprom-neft.local/edo/card/f9bb2f2f-b887-4ced-8891-2f588c741be9", "https://tessa.gazprom-neft.local/edo/card/f9bb2f2f-b887-4ced-8891-2f588c741be9")</f>
        <v>https://tessa.gazprom-neft.local/edo/card/f9bb2f2f-b887-4ced-8891-2f588c741be9</v>
      </c>
    </row>
    <row r="1569" spans="1:45" hidden="1" x14ac:dyDescent="0.25">
      <c r="A1569" s="6" t="s">
        <v>44</v>
      </c>
      <c r="B1569" s="7" t="s">
        <v>988</v>
      </c>
      <c r="C1569" s="7" t="s">
        <v>67</v>
      </c>
      <c r="D1569" s="8">
        <v>44771</v>
      </c>
      <c r="E1569" s="8" t="s">
        <v>0</v>
      </c>
      <c r="F1569" s="16" t="s">
        <v>989</v>
      </c>
      <c r="G1569" s="7" t="s">
        <v>990</v>
      </c>
      <c r="H1569" s="7" t="s">
        <v>0</v>
      </c>
      <c r="I1569" s="7" t="s">
        <v>7858</v>
      </c>
      <c r="J1569" s="7" t="s">
        <v>7858</v>
      </c>
      <c r="K1569" s="7" t="s">
        <v>85</v>
      </c>
      <c r="L1569" s="7" t="s">
        <v>86</v>
      </c>
      <c r="M1569" s="7" t="s">
        <v>216</v>
      </c>
      <c r="N1569" s="7" t="s">
        <v>7857</v>
      </c>
      <c r="O1569" s="7" t="s">
        <v>0</v>
      </c>
      <c r="P1569" s="7" t="s">
        <v>216</v>
      </c>
      <c r="Q1569" s="7" t="s">
        <v>1065</v>
      </c>
      <c r="R1569" s="7" t="s">
        <v>659</v>
      </c>
      <c r="S1569" s="7" t="s">
        <v>1179</v>
      </c>
      <c r="T1569" s="7" t="s">
        <v>54</v>
      </c>
      <c r="U1569" s="7" t="s">
        <v>283</v>
      </c>
      <c r="V1569" s="7" t="s">
        <v>102</v>
      </c>
      <c r="W1569" s="7" t="s">
        <v>57</v>
      </c>
      <c r="X1569" s="7" t="s">
        <v>223</v>
      </c>
      <c r="Y1569" s="8">
        <v>44771</v>
      </c>
      <c r="Z1569" s="8" t="s">
        <v>0</v>
      </c>
      <c r="AA1569" s="7" t="s">
        <v>104</v>
      </c>
      <c r="AB1569" s="7" t="s">
        <v>228</v>
      </c>
      <c r="AC1569" s="7" t="s">
        <v>65</v>
      </c>
      <c r="AD1569" s="7" t="s">
        <v>0</v>
      </c>
      <c r="AE1569" s="7" t="s">
        <v>0</v>
      </c>
      <c r="AF1569" s="7" t="s">
        <v>0</v>
      </c>
      <c r="AG1569" s="7" t="s">
        <v>0</v>
      </c>
      <c r="AH1569" s="9" t="s">
        <v>0</v>
      </c>
      <c r="AI1569" s="9" t="s">
        <v>0</v>
      </c>
      <c r="AJ1569" s="9" t="s">
        <v>0</v>
      </c>
      <c r="AK1569" s="7" t="s">
        <v>61</v>
      </c>
      <c r="AL1569" s="7" t="s">
        <v>61</v>
      </c>
      <c r="AM1569" s="7" t="s">
        <v>0</v>
      </c>
      <c r="AN1569" s="7" t="s">
        <v>0</v>
      </c>
      <c r="AO1569" s="7" t="s">
        <v>0</v>
      </c>
      <c r="AP1569" s="7" t="s">
        <v>0</v>
      </c>
      <c r="AQ1569" s="7" t="s">
        <v>61</v>
      </c>
      <c r="AR1569" s="7" t="s">
        <v>0</v>
      </c>
      <c r="AS1569" s="10" t="str">
        <f>HYPERLINK("https://tessa.gazprom-neft.local/edo/card/94abd36a-9637-4f38-97af-315deec0aa60", "https://tessa.gazprom-neft.local/edo/card/94abd36a-9637-4f38-97af-315deec0aa60")</f>
        <v>https://tessa.gazprom-neft.local/edo/card/94abd36a-9637-4f38-97af-315deec0aa60</v>
      </c>
    </row>
    <row r="1570" spans="1:45" hidden="1" x14ac:dyDescent="0.25">
      <c r="A1570" s="6" t="s">
        <v>44</v>
      </c>
      <c r="B1570" s="7" t="s">
        <v>988</v>
      </c>
      <c r="C1570" s="7" t="s">
        <v>67</v>
      </c>
      <c r="D1570" s="8">
        <v>44771</v>
      </c>
      <c r="E1570" s="8" t="s">
        <v>0</v>
      </c>
      <c r="F1570" s="16" t="s">
        <v>989</v>
      </c>
      <c r="G1570" s="7" t="s">
        <v>990</v>
      </c>
      <c r="H1570" s="7" t="s">
        <v>0</v>
      </c>
      <c r="I1570" s="7" t="s">
        <v>7867</v>
      </c>
      <c r="J1570" s="7" t="s">
        <v>7867</v>
      </c>
      <c r="K1570" s="7" t="s">
        <v>85</v>
      </c>
      <c r="L1570" s="7" t="s">
        <v>86</v>
      </c>
      <c r="M1570" s="7" t="s">
        <v>289</v>
      </c>
      <c r="N1570" s="7" t="s">
        <v>7866</v>
      </c>
      <c r="O1570" s="7" t="s">
        <v>0</v>
      </c>
      <c r="P1570" s="7" t="s">
        <v>289</v>
      </c>
      <c r="Q1570" s="7" t="s">
        <v>7868</v>
      </c>
      <c r="R1570" s="7" t="s">
        <v>659</v>
      </c>
      <c r="S1570" s="7" t="s">
        <v>7869</v>
      </c>
      <c r="T1570" s="7" t="s">
        <v>54</v>
      </c>
      <c r="U1570" s="7" t="s">
        <v>1587</v>
      </c>
      <c r="V1570" s="7" t="s">
        <v>340</v>
      </c>
      <c r="W1570" s="7" t="s">
        <v>74</v>
      </c>
      <c r="X1570" s="7" t="s">
        <v>223</v>
      </c>
      <c r="Y1570" s="8">
        <v>44771</v>
      </c>
      <c r="Z1570" s="8" t="s">
        <v>0</v>
      </c>
      <c r="AA1570" s="7" t="s">
        <v>341</v>
      </c>
      <c r="AB1570" s="7" t="s">
        <v>300</v>
      </c>
      <c r="AC1570" s="7" t="s">
        <v>65</v>
      </c>
      <c r="AD1570" s="7" t="s">
        <v>0</v>
      </c>
      <c r="AE1570" s="7" t="s">
        <v>0</v>
      </c>
      <c r="AF1570" s="7" t="s">
        <v>0</v>
      </c>
      <c r="AG1570" s="7" t="s">
        <v>0</v>
      </c>
      <c r="AH1570" s="9" t="s">
        <v>0</v>
      </c>
      <c r="AI1570" s="9" t="s">
        <v>0</v>
      </c>
      <c r="AJ1570" s="9" t="s">
        <v>0</v>
      </c>
      <c r="AK1570" s="7" t="s">
        <v>61</v>
      </c>
      <c r="AL1570" s="7" t="s">
        <v>61</v>
      </c>
      <c r="AM1570" s="7" t="s">
        <v>0</v>
      </c>
      <c r="AN1570" s="7" t="s">
        <v>0</v>
      </c>
      <c r="AO1570" s="7" t="s">
        <v>0</v>
      </c>
      <c r="AP1570" s="7" t="s">
        <v>0</v>
      </c>
      <c r="AQ1570" s="7" t="s">
        <v>61</v>
      </c>
      <c r="AR1570" s="7" t="s">
        <v>0</v>
      </c>
      <c r="AS1570" s="10" t="str">
        <f>HYPERLINK("https://tessa.gazprom-neft.local/edo/card/323cc20c-b39d-4485-9674-d58cbfb3c0f0", "https://tessa.gazprom-neft.local/edo/card/323cc20c-b39d-4485-9674-d58cbfb3c0f0")</f>
        <v>https://tessa.gazprom-neft.local/edo/card/323cc20c-b39d-4485-9674-d58cbfb3c0f0</v>
      </c>
    </row>
    <row r="1571" spans="1:45" hidden="1" x14ac:dyDescent="0.25">
      <c r="A1571" s="6" t="s">
        <v>44</v>
      </c>
      <c r="B1571" s="7" t="s">
        <v>988</v>
      </c>
      <c r="C1571" s="7" t="s">
        <v>67</v>
      </c>
      <c r="D1571" s="8">
        <v>44771</v>
      </c>
      <c r="E1571" s="8" t="s">
        <v>0</v>
      </c>
      <c r="F1571" s="16" t="s">
        <v>989</v>
      </c>
      <c r="G1571" s="7" t="s">
        <v>990</v>
      </c>
      <c r="H1571" s="7" t="s">
        <v>0</v>
      </c>
      <c r="I1571" s="7" t="s">
        <v>7886</v>
      </c>
      <c r="J1571" s="7" t="s">
        <v>7886</v>
      </c>
      <c r="K1571" s="7" t="s">
        <v>85</v>
      </c>
      <c r="L1571" s="7" t="s">
        <v>86</v>
      </c>
      <c r="M1571" s="7" t="s">
        <v>83</v>
      </c>
      <c r="N1571" s="7" t="s">
        <v>7885</v>
      </c>
      <c r="O1571" s="7" t="s">
        <v>0</v>
      </c>
      <c r="P1571" s="7" t="s">
        <v>83</v>
      </c>
      <c r="Q1571" s="7" t="s">
        <v>94</v>
      </c>
      <c r="R1571" s="7" t="s">
        <v>659</v>
      </c>
      <c r="S1571" s="7" t="s">
        <v>7887</v>
      </c>
      <c r="T1571" s="7" t="s">
        <v>54</v>
      </c>
      <c r="U1571" s="7" t="s">
        <v>303</v>
      </c>
      <c r="V1571" s="7" t="s">
        <v>917</v>
      </c>
      <c r="W1571" s="7" t="s">
        <v>74</v>
      </c>
      <c r="X1571" s="7" t="s">
        <v>223</v>
      </c>
      <c r="Y1571" s="8">
        <v>44771</v>
      </c>
      <c r="Z1571" s="8" t="s">
        <v>0</v>
      </c>
      <c r="AA1571" s="7" t="s">
        <v>0</v>
      </c>
      <c r="AB1571" s="7" t="s">
        <v>94</v>
      </c>
      <c r="AC1571" s="7" t="s">
        <v>65</v>
      </c>
      <c r="AD1571" s="7" t="s">
        <v>0</v>
      </c>
      <c r="AE1571" s="7" t="s">
        <v>0</v>
      </c>
      <c r="AF1571" s="7" t="s">
        <v>0</v>
      </c>
      <c r="AG1571" s="7" t="s">
        <v>0</v>
      </c>
      <c r="AH1571" s="9" t="s">
        <v>0</v>
      </c>
      <c r="AI1571" s="9" t="s">
        <v>0</v>
      </c>
      <c r="AJ1571" s="9" t="s">
        <v>0</v>
      </c>
      <c r="AK1571" s="7" t="s">
        <v>61</v>
      </c>
      <c r="AL1571" s="7" t="s">
        <v>61</v>
      </c>
      <c r="AM1571" s="7" t="s">
        <v>0</v>
      </c>
      <c r="AN1571" s="7" t="s">
        <v>0</v>
      </c>
      <c r="AO1571" s="7" t="s">
        <v>0</v>
      </c>
      <c r="AP1571" s="7" t="s">
        <v>0</v>
      </c>
      <c r="AQ1571" s="7" t="s">
        <v>61</v>
      </c>
      <c r="AR1571" s="7" t="s">
        <v>0</v>
      </c>
      <c r="AS1571" s="10" t="str">
        <f>HYPERLINK("https://tessa.gazprom-neft.local/edo/card/4651580f-4386-4feb-aa50-166c79fd1c0e", "https://tessa.gazprom-neft.local/edo/card/4651580f-4386-4feb-aa50-166c79fd1c0e")</f>
        <v>https://tessa.gazprom-neft.local/edo/card/4651580f-4386-4feb-aa50-166c79fd1c0e</v>
      </c>
    </row>
    <row r="1572" spans="1:45" hidden="1" x14ac:dyDescent="0.25">
      <c r="A1572" s="6" t="s">
        <v>44</v>
      </c>
      <c r="B1572" s="7" t="s">
        <v>0</v>
      </c>
      <c r="C1572" s="7" t="s">
        <v>67</v>
      </c>
      <c r="D1572" s="8">
        <v>44769</v>
      </c>
      <c r="E1572" s="8" t="s">
        <v>0</v>
      </c>
      <c r="F1572" s="16" t="s">
        <v>7728</v>
      </c>
      <c r="G1572" s="7" t="s">
        <v>0</v>
      </c>
      <c r="H1572" s="7" t="s">
        <v>0</v>
      </c>
      <c r="I1572" s="7" t="s">
        <v>7725</v>
      </c>
      <c r="J1572" s="7" t="s">
        <v>7725</v>
      </c>
      <c r="K1572" s="7" t="s">
        <v>47</v>
      </c>
      <c r="L1572" s="7" t="s">
        <v>86</v>
      </c>
      <c r="M1572" s="7" t="s">
        <v>0</v>
      </c>
      <c r="N1572" s="7" t="s">
        <v>7724</v>
      </c>
      <c r="O1572" s="7" t="s">
        <v>0</v>
      </c>
      <c r="P1572" s="7" t="s">
        <v>7726</v>
      </c>
      <c r="Q1572" s="7" t="s">
        <v>7727</v>
      </c>
      <c r="R1572" s="7" t="s">
        <v>1286</v>
      </c>
      <c r="S1572" s="7" t="s">
        <v>168</v>
      </c>
      <c r="T1572" s="7" t="s">
        <v>54</v>
      </c>
      <c r="U1572" s="7" t="s">
        <v>101</v>
      </c>
      <c r="V1572" s="7" t="s">
        <v>137</v>
      </c>
      <c r="W1572" s="7" t="s">
        <v>57</v>
      </c>
      <c r="X1572" s="7" t="s">
        <v>103</v>
      </c>
      <c r="Y1572" s="8">
        <v>44774</v>
      </c>
      <c r="Z1572" s="8">
        <v>45016</v>
      </c>
      <c r="AA1572" s="7" t="s">
        <v>0</v>
      </c>
      <c r="AB1572" s="7" t="s">
        <v>256</v>
      </c>
      <c r="AC1572" s="7" t="s">
        <v>65</v>
      </c>
      <c r="AD1572" s="7" t="s">
        <v>0</v>
      </c>
      <c r="AE1572" s="7" t="s">
        <v>0</v>
      </c>
      <c r="AF1572" s="7" t="s">
        <v>0</v>
      </c>
      <c r="AG1572" s="7" t="s">
        <v>0</v>
      </c>
      <c r="AH1572" s="9" t="s">
        <v>0</v>
      </c>
      <c r="AI1572" s="9" t="s">
        <v>0</v>
      </c>
      <c r="AJ1572" s="9" t="s">
        <v>0</v>
      </c>
      <c r="AK1572" s="7" t="s">
        <v>61</v>
      </c>
      <c r="AL1572" s="7" t="s">
        <v>61</v>
      </c>
      <c r="AM1572" s="7" t="s">
        <v>0</v>
      </c>
      <c r="AN1572" s="7" t="s">
        <v>0</v>
      </c>
      <c r="AO1572" s="7" t="s">
        <v>0</v>
      </c>
      <c r="AP1572" s="7" t="s">
        <v>0</v>
      </c>
      <c r="AQ1572" s="7" t="s">
        <v>61</v>
      </c>
      <c r="AR1572" s="7" t="s">
        <v>0</v>
      </c>
      <c r="AS1572" s="10" t="str">
        <f>HYPERLINK("https://tessa.gazprom-neft.local/edo/card/708ba65d-79e0-4b74-adab-8caaf178f0bd", "https://tessa.gazprom-neft.local/edo/card/708ba65d-79e0-4b74-adab-8caaf178f0bd")</f>
        <v>https://tessa.gazprom-neft.local/edo/card/708ba65d-79e0-4b74-adab-8caaf178f0bd</v>
      </c>
    </row>
    <row r="1573" spans="1:45" hidden="1" x14ac:dyDescent="0.25">
      <c r="A1573" s="6" t="s">
        <v>44</v>
      </c>
      <c r="B1573" s="7" t="s">
        <v>7325</v>
      </c>
      <c r="C1573" s="7" t="s">
        <v>67</v>
      </c>
      <c r="D1573" s="8">
        <v>44769</v>
      </c>
      <c r="E1573" s="8" t="s">
        <v>0</v>
      </c>
      <c r="F1573" s="16" t="s">
        <v>7326</v>
      </c>
      <c r="G1573" s="7" t="s">
        <v>7327</v>
      </c>
      <c r="H1573" s="7" t="s">
        <v>7959</v>
      </c>
      <c r="I1573" s="7" t="s">
        <v>0</v>
      </c>
      <c r="J1573" s="7" t="s">
        <v>355</v>
      </c>
      <c r="K1573" s="7" t="s">
        <v>47</v>
      </c>
      <c r="L1573" s="7" t="s">
        <v>239</v>
      </c>
      <c r="M1573" s="7" t="s">
        <v>0</v>
      </c>
      <c r="N1573" s="7" t="s">
        <v>7958</v>
      </c>
      <c r="O1573" s="7" t="s">
        <v>0</v>
      </c>
      <c r="P1573" s="7" t="s">
        <v>7960</v>
      </c>
      <c r="Q1573" s="7" t="s">
        <v>7961</v>
      </c>
      <c r="R1573" s="7" t="s">
        <v>135</v>
      </c>
      <c r="S1573" s="7" t="s">
        <v>135</v>
      </c>
      <c r="T1573" s="7" t="s">
        <v>54</v>
      </c>
      <c r="U1573" s="7" t="s">
        <v>136</v>
      </c>
      <c r="V1573" s="7" t="s">
        <v>102</v>
      </c>
      <c r="W1573" s="7" t="s">
        <v>57</v>
      </c>
      <c r="X1573" s="7" t="s">
        <v>103</v>
      </c>
      <c r="Y1573" s="8">
        <v>44769</v>
      </c>
      <c r="Z1573" s="8">
        <v>44835</v>
      </c>
      <c r="AA1573" s="7" t="s">
        <v>104</v>
      </c>
      <c r="AB1573" s="7" t="s">
        <v>64</v>
      </c>
      <c r="AC1573" s="7" t="s">
        <v>65</v>
      </c>
      <c r="AD1573" s="7" t="s">
        <v>0</v>
      </c>
      <c r="AE1573" s="7" t="s">
        <v>0</v>
      </c>
      <c r="AF1573" s="7" t="s">
        <v>0</v>
      </c>
      <c r="AG1573" s="7" t="s">
        <v>0</v>
      </c>
      <c r="AH1573" s="9" t="s">
        <v>0</v>
      </c>
      <c r="AI1573" s="9" t="s">
        <v>0</v>
      </c>
      <c r="AJ1573" s="9" t="s">
        <v>0</v>
      </c>
      <c r="AK1573" s="7" t="s">
        <v>61</v>
      </c>
      <c r="AL1573" s="7" t="s">
        <v>61</v>
      </c>
      <c r="AM1573" s="7" t="s">
        <v>0</v>
      </c>
      <c r="AN1573" s="7" t="s">
        <v>0</v>
      </c>
      <c r="AO1573" s="7" t="s">
        <v>0</v>
      </c>
      <c r="AP1573" s="7" t="s">
        <v>0</v>
      </c>
      <c r="AQ1573" s="7" t="s">
        <v>61</v>
      </c>
      <c r="AR1573" s="7" t="s">
        <v>0</v>
      </c>
      <c r="AS1573" s="10" t="str">
        <f>HYPERLINK("https://tessa.gazprom-neft.local/edo/card/9dc8d9b5-82a7-49cc-b774-134771c26f96", "https://tessa.gazprom-neft.local/edo/card/9dc8d9b5-82a7-49cc-b774-134771c26f96")</f>
        <v>https://tessa.gazprom-neft.local/edo/card/9dc8d9b5-82a7-49cc-b774-134771c26f96</v>
      </c>
    </row>
    <row r="1574" spans="1:45" hidden="1" x14ac:dyDescent="0.25">
      <c r="A1574" s="6" t="s">
        <v>44</v>
      </c>
      <c r="B1574" s="7" t="s">
        <v>1240</v>
      </c>
      <c r="C1574" s="7" t="s">
        <v>67</v>
      </c>
      <c r="D1574" s="8">
        <v>44769</v>
      </c>
      <c r="E1574" s="8" t="s">
        <v>0</v>
      </c>
      <c r="F1574" s="16" t="s">
        <v>1241</v>
      </c>
      <c r="G1574" s="7" t="s">
        <v>1242</v>
      </c>
      <c r="H1574" s="7" t="s">
        <v>3083</v>
      </c>
      <c r="I1574" s="7" t="s">
        <v>0</v>
      </c>
      <c r="J1574" s="7" t="s">
        <v>51</v>
      </c>
      <c r="K1574" s="7" t="s">
        <v>47</v>
      </c>
      <c r="L1574" s="7" t="s">
        <v>239</v>
      </c>
      <c r="M1574" s="7" t="s">
        <v>0</v>
      </c>
      <c r="N1574" s="7" t="s">
        <v>8229</v>
      </c>
      <c r="O1574" s="7" t="s">
        <v>0</v>
      </c>
      <c r="P1574" s="7" t="s">
        <v>8230</v>
      </c>
      <c r="Q1574" s="7" t="s">
        <v>7824</v>
      </c>
      <c r="R1574" s="7" t="s">
        <v>505</v>
      </c>
      <c r="S1574" s="7" t="s">
        <v>505</v>
      </c>
      <c r="T1574" s="7" t="s">
        <v>54</v>
      </c>
      <c r="U1574" s="7" t="s">
        <v>362</v>
      </c>
      <c r="V1574" s="7" t="s">
        <v>382</v>
      </c>
      <c r="W1574" s="7" t="s">
        <v>74</v>
      </c>
      <c r="X1574" s="7" t="s">
        <v>103</v>
      </c>
      <c r="Y1574" s="8">
        <v>44767</v>
      </c>
      <c r="Z1574" s="8">
        <v>45026</v>
      </c>
      <c r="AA1574" s="7" t="s">
        <v>383</v>
      </c>
      <c r="AB1574" s="7" t="s">
        <v>1243</v>
      </c>
      <c r="AC1574" s="7" t="s">
        <v>79</v>
      </c>
      <c r="AD1574" s="7" t="s">
        <v>144</v>
      </c>
      <c r="AE1574" s="7" t="s">
        <v>82</v>
      </c>
      <c r="AF1574" s="7" t="s">
        <v>0</v>
      </c>
      <c r="AG1574" s="7" t="s">
        <v>0</v>
      </c>
      <c r="AH1574" s="9" t="s">
        <v>13483</v>
      </c>
      <c r="AI1574" s="9" t="s">
        <v>13484</v>
      </c>
      <c r="AJ1574" s="9" t="s">
        <v>13485</v>
      </c>
      <c r="AK1574" s="7" t="s">
        <v>61</v>
      </c>
      <c r="AL1574" s="7" t="s">
        <v>61</v>
      </c>
      <c r="AM1574" s="7" t="s">
        <v>0</v>
      </c>
      <c r="AN1574" s="7" t="s">
        <v>0</v>
      </c>
      <c r="AO1574" s="7" t="s">
        <v>0</v>
      </c>
      <c r="AP1574" s="7" t="s">
        <v>0</v>
      </c>
      <c r="AQ1574" s="7" t="s">
        <v>61</v>
      </c>
      <c r="AR1574" s="7" t="s">
        <v>0</v>
      </c>
      <c r="AS1574" s="10" t="str">
        <f>HYPERLINK("https://tessa.gazprom-neft.local/edo/card/8db5e3a8-9f35-4367-a8ea-7bfadb41d33d", "https://tessa.gazprom-neft.local/edo/card/8db5e3a8-9f35-4367-a8ea-7bfadb41d33d")</f>
        <v>https://tessa.gazprom-neft.local/edo/card/8db5e3a8-9f35-4367-a8ea-7bfadb41d33d</v>
      </c>
    </row>
    <row r="1575" spans="1:45" hidden="1" x14ac:dyDescent="0.25">
      <c r="A1575" s="6" t="s">
        <v>44</v>
      </c>
      <c r="B1575" s="7" t="s">
        <v>0</v>
      </c>
      <c r="C1575" s="7" t="s">
        <v>67</v>
      </c>
      <c r="D1575" s="8">
        <v>44767</v>
      </c>
      <c r="E1575" s="8" t="s">
        <v>0</v>
      </c>
      <c r="F1575" s="16" t="s">
        <v>7803</v>
      </c>
      <c r="G1575" s="7" t="s">
        <v>0</v>
      </c>
      <c r="H1575" s="7" t="s">
        <v>0</v>
      </c>
      <c r="I1575" s="7" t="s">
        <v>1237</v>
      </c>
      <c r="J1575" s="7" t="s">
        <v>1237</v>
      </c>
      <c r="K1575" s="7" t="s">
        <v>85</v>
      </c>
      <c r="L1575" s="7" t="s">
        <v>96</v>
      </c>
      <c r="M1575" s="7" t="s">
        <v>7799</v>
      </c>
      <c r="N1575" s="7" t="s">
        <v>7800</v>
      </c>
      <c r="O1575" s="7" t="s">
        <v>0</v>
      </c>
      <c r="P1575" s="7" t="s">
        <v>7799</v>
      </c>
      <c r="Q1575" s="7" t="s">
        <v>7801</v>
      </c>
      <c r="R1575" s="7" t="s">
        <v>338</v>
      </c>
      <c r="S1575" s="7" t="s">
        <v>7802</v>
      </c>
      <c r="T1575" s="7" t="s">
        <v>54</v>
      </c>
      <c r="U1575" s="7" t="s">
        <v>4736</v>
      </c>
      <c r="V1575" s="7" t="s">
        <v>382</v>
      </c>
      <c r="W1575" s="7" t="s">
        <v>57</v>
      </c>
      <c r="X1575" s="7" t="s">
        <v>103</v>
      </c>
      <c r="Y1575" s="8">
        <v>44767</v>
      </c>
      <c r="Z1575" s="8">
        <v>46022</v>
      </c>
      <c r="AA1575" s="7" t="s">
        <v>383</v>
      </c>
      <c r="AB1575" s="7" t="s">
        <v>1243</v>
      </c>
      <c r="AC1575" s="7" t="s">
        <v>79</v>
      </c>
      <c r="AD1575" s="7" t="s">
        <v>144</v>
      </c>
      <c r="AE1575" s="7" t="s">
        <v>82</v>
      </c>
      <c r="AF1575" s="7" t="s">
        <v>0</v>
      </c>
      <c r="AG1575" s="7" t="s">
        <v>0</v>
      </c>
      <c r="AH1575" s="9" t="s">
        <v>13320</v>
      </c>
      <c r="AI1575" s="9" t="s">
        <v>13321</v>
      </c>
      <c r="AJ1575" s="9" t="s">
        <v>13322</v>
      </c>
      <c r="AK1575" s="7" t="s">
        <v>61</v>
      </c>
      <c r="AL1575" s="7" t="s">
        <v>61</v>
      </c>
      <c r="AM1575" s="7" t="s">
        <v>0</v>
      </c>
      <c r="AN1575" s="7" t="s">
        <v>0</v>
      </c>
      <c r="AO1575" s="7" t="s">
        <v>0</v>
      </c>
      <c r="AP1575" s="7" t="s">
        <v>0</v>
      </c>
      <c r="AQ1575" s="7" t="s">
        <v>61</v>
      </c>
      <c r="AR1575" s="7" t="s">
        <v>0</v>
      </c>
      <c r="AS1575" s="10" t="str">
        <f>HYPERLINK("https://tessa.gazprom-neft.local/edo/card/8f61109b-2649-466e-b8ee-4b93faee8f95", "https://tessa.gazprom-neft.local/edo/card/8f61109b-2649-466e-b8ee-4b93faee8f95")</f>
        <v>https://tessa.gazprom-neft.local/edo/card/8f61109b-2649-466e-b8ee-4b93faee8f95</v>
      </c>
    </row>
    <row r="1576" spans="1:45" hidden="1" x14ac:dyDescent="0.25">
      <c r="A1576" s="6" t="s">
        <v>44</v>
      </c>
      <c r="B1576" s="7" t="s">
        <v>0</v>
      </c>
      <c r="C1576" s="7" t="s">
        <v>67</v>
      </c>
      <c r="D1576" s="8">
        <v>44767</v>
      </c>
      <c r="E1576" s="8" t="s">
        <v>0</v>
      </c>
      <c r="F1576" s="16" t="s">
        <v>7803</v>
      </c>
      <c r="G1576" s="7" t="s">
        <v>0</v>
      </c>
      <c r="H1576" s="7" t="s">
        <v>0</v>
      </c>
      <c r="I1576" s="7" t="s">
        <v>3083</v>
      </c>
      <c r="J1576" s="7" t="s">
        <v>3083</v>
      </c>
      <c r="K1576" s="7" t="s">
        <v>85</v>
      </c>
      <c r="L1576" s="7" t="s">
        <v>96</v>
      </c>
      <c r="M1576" s="7" t="s">
        <v>7799</v>
      </c>
      <c r="N1576" s="7" t="s">
        <v>7823</v>
      </c>
      <c r="O1576" s="7" t="s">
        <v>0</v>
      </c>
      <c r="P1576" s="7" t="s">
        <v>7799</v>
      </c>
      <c r="Q1576" s="7" t="s">
        <v>7824</v>
      </c>
      <c r="R1576" s="7" t="s">
        <v>338</v>
      </c>
      <c r="S1576" s="7" t="s">
        <v>7802</v>
      </c>
      <c r="T1576" s="7" t="s">
        <v>54</v>
      </c>
      <c r="U1576" s="7" t="s">
        <v>4736</v>
      </c>
      <c r="V1576" s="7" t="s">
        <v>382</v>
      </c>
      <c r="W1576" s="7" t="s">
        <v>57</v>
      </c>
      <c r="X1576" s="7" t="s">
        <v>103</v>
      </c>
      <c r="Y1576" s="8">
        <v>44767</v>
      </c>
      <c r="Z1576" s="8">
        <v>45657</v>
      </c>
      <c r="AA1576" s="7" t="s">
        <v>383</v>
      </c>
      <c r="AB1576" s="7" t="s">
        <v>1243</v>
      </c>
      <c r="AC1576" s="7" t="s">
        <v>79</v>
      </c>
      <c r="AD1576" s="7" t="s">
        <v>144</v>
      </c>
      <c r="AE1576" s="7" t="s">
        <v>82</v>
      </c>
      <c r="AF1576" s="7" t="s">
        <v>0</v>
      </c>
      <c r="AG1576" s="7" t="s">
        <v>0</v>
      </c>
      <c r="AH1576" s="9" t="s">
        <v>13337</v>
      </c>
      <c r="AI1576" s="9" t="s">
        <v>13338</v>
      </c>
      <c r="AJ1576" s="9" t="s">
        <v>13339</v>
      </c>
      <c r="AK1576" s="7" t="s">
        <v>61</v>
      </c>
      <c r="AL1576" s="7" t="s">
        <v>61</v>
      </c>
      <c r="AM1576" s="7" t="s">
        <v>0</v>
      </c>
      <c r="AN1576" s="7" t="s">
        <v>0</v>
      </c>
      <c r="AO1576" s="7" t="s">
        <v>0</v>
      </c>
      <c r="AP1576" s="7" t="s">
        <v>0</v>
      </c>
      <c r="AQ1576" s="7" t="s">
        <v>61</v>
      </c>
      <c r="AR1576" s="7" t="s">
        <v>0</v>
      </c>
      <c r="AS1576" s="10" t="str">
        <f>HYPERLINK("https://tessa.gazprom-neft.local/edo/card/0347b109-c375-4242-bf02-68f716ec3302", "https://tessa.gazprom-neft.local/edo/card/0347b109-c375-4242-bf02-68f716ec3302")</f>
        <v>https://tessa.gazprom-neft.local/edo/card/0347b109-c375-4242-bf02-68f716ec3302</v>
      </c>
    </row>
    <row r="1577" spans="1:45" x14ac:dyDescent="0.25">
      <c r="A1577" s="6" t="s">
        <v>44</v>
      </c>
      <c r="B1577" s="7" t="s">
        <v>2706</v>
      </c>
      <c r="C1577" s="7" t="s">
        <v>67</v>
      </c>
      <c r="D1577" s="8">
        <v>44767</v>
      </c>
      <c r="E1577" s="8" t="s">
        <v>0</v>
      </c>
      <c r="F1577" s="16" t="s">
        <v>2707</v>
      </c>
      <c r="G1577" s="7" t="s">
        <v>2708</v>
      </c>
      <c r="H1577" s="7" t="s">
        <v>2704</v>
      </c>
      <c r="I1577" s="7" t="s">
        <v>0</v>
      </c>
      <c r="J1577" s="7" t="s">
        <v>156</v>
      </c>
      <c r="K1577" s="7" t="s">
        <v>47</v>
      </c>
      <c r="L1577" s="7" t="s">
        <v>48</v>
      </c>
      <c r="M1577" s="7" t="s">
        <v>0</v>
      </c>
      <c r="N1577" s="7" t="s">
        <v>7849</v>
      </c>
      <c r="O1577" s="7" t="s">
        <v>0</v>
      </c>
      <c r="P1577" s="7" t="s">
        <v>7850</v>
      </c>
      <c r="Q1577" s="7" t="s">
        <v>7851</v>
      </c>
      <c r="R1577" s="7" t="s">
        <v>2594</v>
      </c>
      <c r="S1577" s="7" t="s">
        <v>2594</v>
      </c>
      <c r="T1577" s="7" t="s">
        <v>54</v>
      </c>
      <c r="U1577" s="7" t="s">
        <v>199</v>
      </c>
      <c r="V1577" s="7" t="s">
        <v>917</v>
      </c>
      <c r="W1577" s="7" t="s">
        <v>74</v>
      </c>
      <c r="X1577" s="7" t="s">
        <v>103</v>
      </c>
      <c r="Y1577" s="8">
        <v>44767</v>
      </c>
      <c r="Z1577" s="8">
        <v>45000</v>
      </c>
      <c r="AA1577" s="7" t="s">
        <v>1278</v>
      </c>
      <c r="AB1577" s="7" t="s">
        <v>64</v>
      </c>
      <c r="AC1577" s="7" t="s">
        <v>65</v>
      </c>
      <c r="AD1577" s="7" t="s">
        <v>80</v>
      </c>
      <c r="AE1577" s="7" t="s">
        <v>0</v>
      </c>
      <c r="AF1577" s="7" t="s">
        <v>0</v>
      </c>
      <c r="AG1577" s="7" t="s">
        <v>0</v>
      </c>
      <c r="AH1577" s="9" t="s">
        <v>0</v>
      </c>
      <c r="AI1577" s="9" t="s">
        <v>0</v>
      </c>
      <c r="AJ1577" s="9" t="s">
        <v>0</v>
      </c>
      <c r="AK1577" s="7" t="s">
        <v>61</v>
      </c>
      <c r="AL1577" s="7" t="s">
        <v>61</v>
      </c>
      <c r="AM1577" s="7" t="s">
        <v>0</v>
      </c>
      <c r="AN1577" s="7" t="s">
        <v>0</v>
      </c>
      <c r="AO1577" s="7" t="s">
        <v>0</v>
      </c>
      <c r="AP1577" s="7" t="s">
        <v>0</v>
      </c>
      <c r="AQ1577" s="7" t="s">
        <v>61</v>
      </c>
      <c r="AR1577" s="7" t="s">
        <v>0</v>
      </c>
      <c r="AS1577" s="10" t="str">
        <f>HYPERLINK("https://tessa.gazprom-neft.local/edo/card/66069b88-8d52-4511-826f-5522f1573354", "https://tessa.gazprom-neft.local/edo/card/66069b88-8d52-4511-826f-5522f1573354")</f>
        <v>https://tessa.gazprom-neft.local/edo/card/66069b88-8d52-4511-826f-5522f1573354</v>
      </c>
    </row>
    <row r="1578" spans="1:45" x14ac:dyDescent="0.25">
      <c r="A1578" s="6" t="s">
        <v>44</v>
      </c>
      <c r="B1578" s="7" t="s">
        <v>1754</v>
      </c>
      <c r="C1578" s="7" t="s">
        <v>67</v>
      </c>
      <c r="D1578" s="8">
        <v>44767</v>
      </c>
      <c r="E1578" s="8" t="s">
        <v>0</v>
      </c>
      <c r="F1578" s="16" t="s">
        <v>1755</v>
      </c>
      <c r="G1578" s="7" t="s">
        <v>1756</v>
      </c>
      <c r="H1578" s="7" t="s">
        <v>1751</v>
      </c>
      <c r="I1578" s="7" t="s">
        <v>0</v>
      </c>
      <c r="J1578" s="7" t="s">
        <v>51</v>
      </c>
      <c r="K1578" s="7" t="s">
        <v>85</v>
      </c>
      <c r="L1578" s="7" t="s">
        <v>48</v>
      </c>
      <c r="M1578" s="7" t="s">
        <v>3833</v>
      </c>
      <c r="N1578" s="7" t="s">
        <v>7878</v>
      </c>
      <c r="O1578" s="7" t="s">
        <v>0</v>
      </c>
      <c r="P1578" s="7" t="s">
        <v>3833</v>
      </c>
      <c r="Q1578" s="7" t="s">
        <v>372</v>
      </c>
      <c r="R1578" s="7" t="s">
        <v>2594</v>
      </c>
      <c r="S1578" s="7" t="s">
        <v>2594</v>
      </c>
      <c r="T1578" s="7" t="s">
        <v>54</v>
      </c>
      <c r="U1578" s="7" t="s">
        <v>199</v>
      </c>
      <c r="V1578" s="7" t="s">
        <v>6640</v>
      </c>
      <c r="W1578" s="7" t="s">
        <v>57</v>
      </c>
      <c r="X1578" s="7" t="s">
        <v>103</v>
      </c>
      <c r="Y1578" s="8">
        <v>44767</v>
      </c>
      <c r="Z1578" s="8">
        <v>45000</v>
      </c>
      <c r="AA1578" s="7" t="s">
        <v>6641</v>
      </c>
      <c r="AB1578" s="7" t="s">
        <v>423</v>
      </c>
      <c r="AC1578" s="7" t="s">
        <v>65</v>
      </c>
      <c r="AD1578" s="7" t="s">
        <v>80</v>
      </c>
      <c r="AE1578" s="7" t="s">
        <v>0</v>
      </c>
      <c r="AF1578" s="7" t="s">
        <v>0</v>
      </c>
      <c r="AG1578" s="7" t="s">
        <v>0</v>
      </c>
      <c r="AH1578" s="9" t="s">
        <v>0</v>
      </c>
      <c r="AI1578" s="9" t="s">
        <v>0</v>
      </c>
      <c r="AJ1578" s="9" t="s">
        <v>0</v>
      </c>
      <c r="AK1578" s="7" t="s">
        <v>61</v>
      </c>
      <c r="AL1578" s="7" t="s">
        <v>61</v>
      </c>
      <c r="AM1578" s="7" t="s">
        <v>0</v>
      </c>
      <c r="AN1578" s="7" t="s">
        <v>0</v>
      </c>
      <c r="AO1578" s="7" t="s">
        <v>0</v>
      </c>
      <c r="AP1578" s="7" t="s">
        <v>0</v>
      </c>
      <c r="AQ1578" s="7" t="s">
        <v>61</v>
      </c>
      <c r="AR1578" s="7" t="s">
        <v>0</v>
      </c>
      <c r="AS1578" s="10" t="str">
        <f>HYPERLINK("https://tessa.gazprom-neft.local/edo/card/7a3b5390-5670-4f87-b0f7-1590d3398a07", "https://tessa.gazprom-neft.local/edo/card/7a3b5390-5670-4f87-b0f7-1590d3398a07")</f>
        <v>https://tessa.gazprom-neft.local/edo/card/7a3b5390-5670-4f87-b0f7-1590d3398a07</v>
      </c>
    </row>
    <row r="1579" spans="1:45" hidden="1" x14ac:dyDescent="0.25">
      <c r="A1579" s="6" t="s">
        <v>44</v>
      </c>
      <c r="B1579" s="7" t="s">
        <v>1302</v>
      </c>
      <c r="C1579" s="7" t="s">
        <v>46</v>
      </c>
      <c r="D1579" s="8">
        <v>44767</v>
      </c>
      <c r="E1579" s="8" t="s">
        <v>0</v>
      </c>
      <c r="F1579" s="16" t="s">
        <v>1303</v>
      </c>
      <c r="G1579" s="7" t="s">
        <v>1304</v>
      </c>
      <c r="H1579" s="7" t="s">
        <v>0</v>
      </c>
      <c r="I1579" s="7" t="s">
        <v>7903</v>
      </c>
      <c r="J1579" s="7" t="s">
        <v>7903</v>
      </c>
      <c r="K1579" s="7" t="s">
        <v>47</v>
      </c>
      <c r="L1579" s="7" t="s">
        <v>96</v>
      </c>
      <c r="M1579" s="7" t="s">
        <v>0</v>
      </c>
      <c r="N1579" s="7" t="s">
        <v>7902</v>
      </c>
      <c r="O1579" s="7" t="s">
        <v>0</v>
      </c>
      <c r="P1579" s="7" t="s">
        <v>1558</v>
      </c>
      <c r="Q1579" s="7" t="s">
        <v>7904</v>
      </c>
      <c r="R1579" s="7" t="s">
        <v>187</v>
      </c>
      <c r="S1579" s="7" t="s">
        <v>187</v>
      </c>
      <c r="T1579" s="7" t="s">
        <v>54</v>
      </c>
      <c r="U1579" s="7" t="s">
        <v>188</v>
      </c>
      <c r="V1579" s="7" t="s">
        <v>723</v>
      </c>
      <c r="W1579" s="7" t="s">
        <v>74</v>
      </c>
      <c r="X1579" s="7" t="s">
        <v>103</v>
      </c>
      <c r="Y1579" s="8">
        <v>44767</v>
      </c>
      <c r="Z1579" s="8">
        <v>44804</v>
      </c>
      <c r="AA1579" s="7" t="s">
        <v>1031</v>
      </c>
      <c r="AB1579" s="7" t="s">
        <v>64</v>
      </c>
      <c r="AC1579" s="7" t="s">
        <v>79</v>
      </c>
      <c r="AD1579" s="7" t="s">
        <v>80</v>
      </c>
      <c r="AE1579" s="7" t="s">
        <v>118</v>
      </c>
      <c r="AF1579" s="7" t="s">
        <v>0</v>
      </c>
      <c r="AG1579" s="7" t="s">
        <v>0</v>
      </c>
      <c r="AH1579" s="9" t="s">
        <v>11787</v>
      </c>
      <c r="AI1579" s="9" t="s">
        <v>11787</v>
      </c>
      <c r="AJ1579" s="9">
        <v>0</v>
      </c>
      <c r="AK1579" s="7" t="s">
        <v>61</v>
      </c>
      <c r="AL1579" s="7" t="s">
        <v>61</v>
      </c>
      <c r="AM1579" s="7" t="s">
        <v>0</v>
      </c>
      <c r="AN1579" s="7" t="s">
        <v>0</v>
      </c>
      <c r="AO1579" s="7" t="s">
        <v>0</v>
      </c>
      <c r="AP1579" s="7" t="s">
        <v>0</v>
      </c>
      <c r="AQ1579" s="7" t="s">
        <v>61</v>
      </c>
      <c r="AR1579" s="7" t="s">
        <v>0</v>
      </c>
      <c r="AS1579" s="10" t="str">
        <f>HYPERLINK("https://tessa.gazprom-neft.local/edo/card/a1d6c9d3-9b41-4f6a-a725-07a976302152", "https://tessa.gazprom-neft.local/edo/card/a1d6c9d3-9b41-4f6a-a725-07a976302152")</f>
        <v>https://tessa.gazprom-neft.local/edo/card/a1d6c9d3-9b41-4f6a-a725-07a976302152</v>
      </c>
    </row>
    <row r="1580" spans="1:45" x14ac:dyDescent="0.25">
      <c r="A1580" s="6" t="s">
        <v>44</v>
      </c>
      <c r="B1580" s="7" t="s">
        <v>395</v>
      </c>
      <c r="C1580" s="7" t="s">
        <v>67</v>
      </c>
      <c r="D1580" s="8">
        <v>44767</v>
      </c>
      <c r="E1580" s="8" t="s">
        <v>0</v>
      </c>
      <c r="F1580" s="16" t="s">
        <v>396</v>
      </c>
      <c r="G1580" s="7" t="s">
        <v>397</v>
      </c>
      <c r="H1580" s="7" t="s">
        <v>1233</v>
      </c>
      <c r="I1580" s="7" t="s">
        <v>0</v>
      </c>
      <c r="J1580" s="7" t="s">
        <v>271</v>
      </c>
      <c r="K1580" s="7" t="s">
        <v>85</v>
      </c>
      <c r="L1580" s="7" t="s">
        <v>48</v>
      </c>
      <c r="M1580" s="7" t="s">
        <v>2128</v>
      </c>
      <c r="N1580" s="7" t="s">
        <v>7927</v>
      </c>
      <c r="O1580" s="7" t="s">
        <v>0</v>
      </c>
      <c r="P1580" s="7" t="s">
        <v>2128</v>
      </c>
      <c r="Q1580" s="7" t="s">
        <v>7072</v>
      </c>
      <c r="R1580" s="7" t="s">
        <v>590</v>
      </c>
      <c r="S1580" s="7" t="s">
        <v>394</v>
      </c>
      <c r="T1580" s="7" t="s">
        <v>54</v>
      </c>
      <c r="U1580" s="7" t="s">
        <v>591</v>
      </c>
      <c r="V1580" s="7" t="s">
        <v>382</v>
      </c>
      <c r="W1580" s="7" t="s">
        <v>57</v>
      </c>
      <c r="X1580" s="7" t="s">
        <v>58</v>
      </c>
      <c r="Y1580" s="8">
        <v>44767</v>
      </c>
      <c r="Z1580" s="8" t="s">
        <v>0</v>
      </c>
      <c r="AA1580" s="7" t="s">
        <v>383</v>
      </c>
      <c r="AB1580" s="7" t="s">
        <v>387</v>
      </c>
      <c r="AC1580" s="7" t="s">
        <v>65</v>
      </c>
      <c r="AD1580" s="7" t="s">
        <v>144</v>
      </c>
      <c r="AE1580" s="7" t="s">
        <v>0</v>
      </c>
      <c r="AF1580" s="7" t="s">
        <v>0</v>
      </c>
      <c r="AG1580" s="7" t="s">
        <v>0</v>
      </c>
      <c r="AH1580" s="9" t="s">
        <v>0</v>
      </c>
      <c r="AI1580" s="9" t="s">
        <v>0</v>
      </c>
      <c r="AJ1580" s="9" t="s">
        <v>0</v>
      </c>
      <c r="AK1580" s="7" t="s">
        <v>61</v>
      </c>
      <c r="AL1580" s="7" t="s">
        <v>61</v>
      </c>
      <c r="AM1580" s="7" t="s">
        <v>0</v>
      </c>
      <c r="AN1580" s="7" t="s">
        <v>0</v>
      </c>
      <c r="AO1580" s="7" t="s">
        <v>0</v>
      </c>
      <c r="AP1580" s="7" t="s">
        <v>0</v>
      </c>
      <c r="AQ1580" s="7" t="s">
        <v>61</v>
      </c>
      <c r="AR1580" s="7" t="s">
        <v>0</v>
      </c>
      <c r="AS1580" s="10" t="str">
        <f>HYPERLINK("https://tessa.gazprom-neft.local/edo/card/8aa52e21-0e89-4751-ad7b-a1c9ca6601a8", "https://tessa.gazprom-neft.local/edo/card/8aa52e21-0e89-4751-ad7b-a1c9ca6601a8")</f>
        <v>https://tessa.gazprom-neft.local/edo/card/8aa52e21-0e89-4751-ad7b-a1c9ca6601a8</v>
      </c>
    </row>
    <row r="1581" spans="1:45" x14ac:dyDescent="0.25">
      <c r="A1581" s="6" t="s">
        <v>44</v>
      </c>
      <c r="B1581" s="7" t="s">
        <v>0</v>
      </c>
      <c r="C1581" s="7" t="s">
        <v>67</v>
      </c>
      <c r="D1581" s="8">
        <v>44767</v>
      </c>
      <c r="E1581" s="8" t="s">
        <v>0</v>
      </c>
      <c r="F1581" s="16" t="s">
        <v>8159</v>
      </c>
      <c r="G1581" s="7" t="s">
        <v>0</v>
      </c>
      <c r="H1581" s="7" t="s">
        <v>1237</v>
      </c>
      <c r="I1581" s="7" t="s">
        <v>0</v>
      </c>
      <c r="J1581" s="7" t="s">
        <v>271</v>
      </c>
      <c r="K1581" s="7" t="s">
        <v>85</v>
      </c>
      <c r="L1581" s="7" t="s">
        <v>48</v>
      </c>
      <c r="M1581" s="7" t="s">
        <v>3833</v>
      </c>
      <c r="N1581" s="7" t="s">
        <v>8157</v>
      </c>
      <c r="O1581" s="7" t="s">
        <v>0</v>
      </c>
      <c r="P1581" s="7" t="s">
        <v>3833</v>
      </c>
      <c r="Q1581" s="7" t="s">
        <v>8158</v>
      </c>
      <c r="R1581" s="7" t="s">
        <v>505</v>
      </c>
      <c r="S1581" s="7" t="s">
        <v>505</v>
      </c>
      <c r="T1581" s="7" t="s">
        <v>54</v>
      </c>
      <c r="U1581" s="7" t="s">
        <v>362</v>
      </c>
      <c r="V1581" s="7" t="s">
        <v>137</v>
      </c>
      <c r="W1581" s="7" t="s">
        <v>57</v>
      </c>
      <c r="X1581" s="7" t="s">
        <v>103</v>
      </c>
      <c r="Y1581" s="8">
        <v>44767</v>
      </c>
      <c r="Z1581" s="8">
        <v>45392</v>
      </c>
      <c r="AA1581" s="7" t="s">
        <v>0</v>
      </c>
      <c r="AB1581" s="7" t="s">
        <v>1243</v>
      </c>
      <c r="AC1581" s="7" t="s">
        <v>65</v>
      </c>
      <c r="AD1581" s="7" t="s">
        <v>144</v>
      </c>
      <c r="AE1581" s="7" t="s">
        <v>0</v>
      </c>
      <c r="AF1581" s="7" t="s">
        <v>0</v>
      </c>
      <c r="AG1581" s="7" t="s">
        <v>0</v>
      </c>
      <c r="AH1581" s="9" t="s">
        <v>0</v>
      </c>
      <c r="AI1581" s="9" t="s">
        <v>0</v>
      </c>
      <c r="AJ1581" s="9" t="s">
        <v>0</v>
      </c>
      <c r="AK1581" s="7" t="s">
        <v>61</v>
      </c>
      <c r="AL1581" s="7" t="s">
        <v>61</v>
      </c>
      <c r="AM1581" s="7" t="s">
        <v>0</v>
      </c>
      <c r="AN1581" s="7" t="s">
        <v>0</v>
      </c>
      <c r="AO1581" s="7" t="s">
        <v>0</v>
      </c>
      <c r="AP1581" s="7" t="s">
        <v>0</v>
      </c>
      <c r="AQ1581" s="7" t="s">
        <v>61</v>
      </c>
      <c r="AR1581" s="7" t="s">
        <v>0</v>
      </c>
      <c r="AS1581" s="10" t="str">
        <f>HYPERLINK("https://tessa.gazprom-neft.local/edo/card/bbb6b216-664d-4524-9885-3c6fceffd9aa", "https://tessa.gazprom-neft.local/edo/card/bbb6b216-664d-4524-9885-3c6fceffd9aa")</f>
        <v>https://tessa.gazprom-neft.local/edo/card/bbb6b216-664d-4524-9885-3c6fceffd9aa</v>
      </c>
    </row>
    <row r="1582" spans="1:45" x14ac:dyDescent="0.25">
      <c r="A1582" s="6" t="s">
        <v>44</v>
      </c>
      <c r="B1582" s="7" t="s">
        <v>0</v>
      </c>
      <c r="C1582" s="7" t="s">
        <v>67</v>
      </c>
      <c r="D1582" s="8">
        <v>44767</v>
      </c>
      <c r="E1582" s="8" t="s">
        <v>0</v>
      </c>
      <c r="F1582" s="16" t="s">
        <v>8159</v>
      </c>
      <c r="G1582" s="7" t="s">
        <v>0</v>
      </c>
      <c r="H1582" s="7" t="s">
        <v>3083</v>
      </c>
      <c r="I1582" s="7" t="s">
        <v>0</v>
      </c>
      <c r="J1582" s="7" t="s">
        <v>271</v>
      </c>
      <c r="K1582" s="7" t="s">
        <v>85</v>
      </c>
      <c r="L1582" s="7" t="s">
        <v>48</v>
      </c>
      <c r="M1582" s="7" t="s">
        <v>3833</v>
      </c>
      <c r="N1582" s="7" t="s">
        <v>8176</v>
      </c>
      <c r="O1582" s="7" t="s">
        <v>0</v>
      </c>
      <c r="P1582" s="7" t="s">
        <v>3833</v>
      </c>
      <c r="Q1582" s="7" t="s">
        <v>8158</v>
      </c>
      <c r="R1582" s="7" t="s">
        <v>505</v>
      </c>
      <c r="S1582" s="7" t="s">
        <v>505</v>
      </c>
      <c r="T1582" s="7" t="s">
        <v>54</v>
      </c>
      <c r="U1582" s="7" t="s">
        <v>362</v>
      </c>
      <c r="V1582" s="7" t="s">
        <v>137</v>
      </c>
      <c r="W1582" s="7" t="s">
        <v>57</v>
      </c>
      <c r="X1582" s="7" t="s">
        <v>103</v>
      </c>
      <c r="Y1582" s="8">
        <v>44767</v>
      </c>
      <c r="Z1582" s="8">
        <v>45392</v>
      </c>
      <c r="AA1582" s="7" t="s">
        <v>0</v>
      </c>
      <c r="AB1582" s="7" t="s">
        <v>1243</v>
      </c>
      <c r="AC1582" s="7" t="s">
        <v>65</v>
      </c>
      <c r="AD1582" s="7" t="s">
        <v>144</v>
      </c>
      <c r="AE1582" s="7" t="s">
        <v>0</v>
      </c>
      <c r="AF1582" s="7" t="s">
        <v>0</v>
      </c>
      <c r="AG1582" s="7" t="s">
        <v>0</v>
      </c>
      <c r="AH1582" s="9" t="s">
        <v>0</v>
      </c>
      <c r="AI1582" s="9" t="s">
        <v>0</v>
      </c>
      <c r="AJ1582" s="9" t="s">
        <v>0</v>
      </c>
      <c r="AK1582" s="7" t="s">
        <v>61</v>
      </c>
      <c r="AL1582" s="7" t="s">
        <v>61</v>
      </c>
      <c r="AM1582" s="7" t="s">
        <v>0</v>
      </c>
      <c r="AN1582" s="7" t="s">
        <v>0</v>
      </c>
      <c r="AO1582" s="7" t="s">
        <v>0</v>
      </c>
      <c r="AP1582" s="7" t="s">
        <v>0</v>
      </c>
      <c r="AQ1582" s="7" t="s">
        <v>61</v>
      </c>
      <c r="AR1582" s="7" t="s">
        <v>0</v>
      </c>
      <c r="AS1582" s="10" t="str">
        <f>HYPERLINK("https://tessa.gazprom-neft.local/edo/card/1ac4cf78-9f0f-4952-9693-614a56d635a9", "https://tessa.gazprom-neft.local/edo/card/1ac4cf78-9f0f-4952-9693-614a56d635a9")</f>
        <v>https://tessa.gazprom-neft.local/edo/card/1ac4cf78-9f0f-4952-9693-614a56d635a9</v>
      </c>
    </row>
    <row r="1583" spans="1:45" hidden="1" x14ac:dyDescent="0.25">
      <c r="A1583" s="6" t="s">
        <v>44</v>
      </c>
      <c r="B1583" s="7" t="s">
        <v>1240</v>
      </c>
      <c r="C1583" s="7" t="s">
        <v>67</v>
      </c>
      <c r="D1583" s="8">
        <v>44767</v>
      </c>
      <c r="E1583" s="8" t="s">
        <v>0</v>
      </c>
      <c r="F1583" s="16" t="s">
        <v>1241</v>
      </c>
      <c r="G1583" s="7" t="s">
        <v>1242</v>
      </c>
      <c r="H1583" s="7" t="s">
        <v>1237</v>
      </c>
      <c r="I1583" s="7" t="s">
        <v>0</v>
      </c>
      <c r="J1583" s="7" t="s">
        <v>51</v>
      </c>
      <c r="K1583" s="7" t="s">
        <v>47</v>
      </c>
      <c r="L1583" s="7" t="s">
        <v>239</v>
      </c>
      <c r="M1583" s="7" t="s">
        <v>0</v>
      </c>
      <c r="N1583" s="7" t="s">
        <v>8222</v>
      </c>
      <c r="O1583" s="7" t="s">
        <v>0</v>
      </c>
      <c r="P1583" s="7" t="s">
        <v>8223</v>
      </c>
      <c r="Q1583" s="7" t="s">
        <v>7801</v>
      </c>
      <c r="R1583" s="7" t="s">
        <v>505</v>
      </c>
      <c r="S1583" s="7" t="s">
        <v>505</v>
      </c>
      <c r="T1583" s="7" t="s">
        <v>54</v>
      </c>
      <c r="U1583" s="7" t="s">
        <v>362</v>
      </c>
      <c r="V1583" s="7" t="s">
        <v>382</v>
      </c>
      <c r="W1583" s="7" t="s">
        <v>74</v>
      </c>
      <c r="X1583" s="7" t="s">
        <v>103</v>
      </c>
      <c r="Y1583" s="8">
        <v>44767</v>
      </c>
      <c r="Z1583" s="8">
        <v>45026</v>
      </c>
      <c r="AA1583" s="7" t="s">
        <v>383</v>
      </c>
      <c r="AB1583" s="7" t="s">
        <v>1243</v>
      </c>
      <c r="AC1583" s="7" t="s">
        <v>79</v>
      </c>
      <c r="AD1583" s="7" t="s">
        <v>144</v>
      </c>
      <c r="AE1583" s="7" t="s">
        <v>82</v>
      </c>
      <c r="AF1583" s="7" t="s">
        <v>0</v>
      </c>
      <c r="AG1583" s="7" t="s">
        <v>0</v>
      </c>
      <c r="AH1583" s="9" t="s">
        <v>13477</v>
      </c>
      <c r="AI1583" s="9" t="s">
        <v>13478</v>
      </c>
      <c r="AJ1583" s="9" t="s">
        <v>13479</v>
      </c>
      <c r="AK1583" s="7" t="s">
        <v>61</v>
      </c>
      <c r="AL1583" s="7" t="s">
        <v>61</v>
      </c>
      <c r="AM1583" s="7" t="s">
        <v>0</v>
      </c>
      <c r="AN1583" s="7" t="s">
        <v>0</v>
      </c>
      <c r="AO1583" s="7" t="s">
        <v>0</v>
      </c>
      <c r="AP1583" s="7" t="s">
        <v>0</v>
      </c>
      <c r="AQ1583" s="7" t="s">
        <v>61</v>
      </c>
      <c r="AR1583" s="7" t="s">
        <v>0</v>
      </c>
      <c r="AS1583" s="10" t="str">
        <f>HYPERLINK("https://tessa.gazprom-neft.local/edo/card/2337a7ba-fc21-4e96-8505-46e1d25e9d5f", "https://tessa.gazprom-neft.local/edo/card/2337a7ba-fc21-4e96-8505-46e1d25e9d5f")</f>
        <v>https://tessa.gazprom-neft.local/edo/card/2337a7ba-fc21-4e96-8505-46e1d25e9d5f</v>
      </c>
    </row>
    <row r="1584" spans="1:45" hidden="1" x14ac:dyDescent="0.25">
      <c r="A1584" s="6" t="s">
        <v>44</v>
      </c>
      <c r="B1584" s="7" t="s">
        <v>0</v>
      </c>
      <c r="C1584" s="7" t="s">
        <v>67</v>
      </c>
      <c r="D1584" s="8">
        <v>44763</v>
      </c>
      <c r="E1584" s="8" t="s">
        <v>0</v>
      </c>
      <c r="F1584" s="16" t="s">
        <v>7803</v>
      </c>
      <c r="G1584" s="7" t="s">
        <v>0</v>
      </c>
      <c r="H1584" s="7" t="s">
        <v>0</v>
      </c>
      <c r="I1584" s="7" t="s">
        <v>3181</v>
      </c>
      <c r="J1584" s="7" t="s">
        <v>3181</v>
      </c>
      <c r="K1584" s="7" t="s">
        <v>85</v>
      </c>
      <c r="L1584" s="7" t="s">
        <v>86</v>
      </c>
      <c r="M1584" s="7" t="s">
        <v>216</v>
      </c>
      <c r="N1584" s="7" t="s">
        <v>7834</v>
      </c>
      <c r="O1584" s="7" t="s">
        <v>0</v>
      </c>
      <c r="P1584" s="7" t="s">
        <v>216</v>
      </c>
      <c r="Q1584" s="7" t="s">
        <v>7835</v>
      </c>
      <c r="R1584" s="7" t="s">
        <v>338</v>
      </c>
      <c r="S1584" s="7" t="s">
        <v>7836</v>
      </c>
      <c r="T1584" s="7" t="s">
        <v>54</v>
      </c>
      <c r="U1584" s="7" t="s">
        <v>4736</v>
      </c>
      <c r="V1584" s="7" t="s">
        <v>102</v>
      </c>
      <c r="W1584" s="7" t="s">
        <v>57</v>
      </c>
      <c r="X1584" s="7" t="s">
        <v>103</v>
      </c>
      <c r="Y1584" s="8">
        <v>44763</v>
      </c>
      <c r="Z1584" s="8">
        <v>46022</v>
      </c>
      <c r="AA1584" s="7" t="s">
        <v>104</v>
      </c>
      <c r="AB1584" s="7" t="s">
        <v>228</v>
      </c>
      <c r="AC1584" s="7" t="s">
        <v>65</v>
      </c>
      <c r="AD1584" s="7" t="s">
        <v>0</v>
      </c>
      <c r="AE1584" s="7" t="s">
        <v>0</v>
      </c>
      <c r="AF1584" s="7" t="s">
        <v>0</v>
      </c>
      <c r="AG1584" s="7" t="s">
        <v>0</v>
      </c>
      <c r="AH1584" s="9" t="s">
        <v>0</v>
      </c>
      <c r="AI1584" s="9" t="s">
        <v>0</v>
      </c>
      <c r="AJ1584" s="9" t="s">
        <v>0</v>
      </c>
      <c r="AK1584" s="7" t="s">
        <v>61</v>
      </c>
      <c r="AL1584" s="7" t="s">
        <v>61</v>
      </c>
      <c r="AM1584" s="7" t="s">
        <v>0</v>
      </c>
      <c r="AN1584" s="7" t="s">
        <v>0</v>
      </c>
      <c r="AO1584" s="7" t="s">
        <v>0</v>
      </c>
      <c r="AP1584" s="7" t="s">
        <v>0</v>
      </c>
      <c r="AQ1584" s="7" t="s">
        <v>61</v>
      </c>
      <c r="AR1584" s="7" t="s">
        <v>0</v>
      </c>
      <c r="AS1584" s="10" t="str">
        <f>HYPERLINK("https://tessa.gazprom-neft.local/edo/card/4724690e-7474-4033-b6c6-1bedd275c525", "https://tessa.gazprom-neft.local/edo/card/4724690e-7474-4033-b6c6-1bedd275c525")</f>
        <v>https://tessa.gazprom-neft.local/edo/card/4724690e-7474-4033-b6c6-1bedd275c525</v>
      </c>
    </row>
    <row r="1585" spans="1:45" x14ac:dyDescent="0.25">
      <c r="A1585" s="6" t="s">
        <v>44</v>
      </c>
      <c r="B1585" s="7" t="s">
        <v>3009</v>
      </c>
      <c r="C1585" s="7" t="s">
        <v>67</v>
      </c>
      <c r="D1585" s="8">
        <v>44762</v>
      </c>
      <c r="E1585" s="8" t="s">
        <v>0</v>
      </c>
      <c r="F1585" s="16" t="s">
        <v>3010</v>
      </c>
      <c r="G1585" s="7" t="s">
        <v>3011</v>
      </c>
      <c r="H1585" s="7" t="s">
        <v>3006</v>
      </c>
      <c r="I1585" s="7" t="s">
        <v>0</v>
      </c>
      <c r="J1585" s="7" t="s">
        <v>51</v>
      </c>
      <c r="K1585" s="7" t="s">
        <v>85</v>
      </c>
      <c r="L1585" s="7" t="s">
        <v>48</v>
      </c>
      <c r="M1585" s="7" t="s">
        <v>3833</v>
      </c>
      <c r="N1585" s="7" t="s">
        <v>7746</v>
      </c>
      <c r="O1585" s="7" t="s">
        <v>0</v>
      </c>
      <c r="P1585" s="7" t="s">
        <v>3833</v>
      </c>
      <c r="Q1585" s="7" t="s">
        <v>426</v>
      </c>
      <c r="R1585" s="7" t="s">
        <v>2594</v>
      </c>
      <c r="S1585" s="7" t="s">
        <v>2594</v>
      </c>
      <c r="T1585" s="7" t="s">
        <v>54</v>
      </c>
      <c r="U1585" s="7" t="s">
        <v>199</v>
      </c>
      <c r="V1585" s="7" t="s">
        <v>6640</v>
      </c>
      <c r="W1585" s="7" t="s">
        <v>57</v>
      </c>
      <c r="X1585" s="7" t="s">
        <v>103</v>
      </c>
      <c r="Y1585" s="8">
        <v>44640</v>
      </c>
      <c r="Z1585" s="8">
        <v>45078</v>
      </c>
      <c r="AA1585" s="7" t="s">
        <v>6641</v>
      </c>
      <c r="AB1585" s="7" t="s">
        <v>130</v>
      </c>
      <c r="AC1585" s="7" t="s">
        <v>65</v>
      </c>
      <c r="AD1585" s="7" t="s">
        <v>80</v>
      </c>
      <c r="AE1585" s="7" t="s">
        <v>0</v>
      </c>
      <c r="AF1585" s="7" t="s">
        <v>0</v>
      </c>
      <c r="AG1585" s="7" t="s">
        <v>0</v>
      </c>
      <c r="AH1585" s="9" t="s">
        <v>0</v>
      </c>
      <c r="AI1585" s="9" t="s">
        <v>0</v>
      </c>
      <c r="AJ1585" s="9" t="s">
        <v>0</v>
      </c>
      <c r="AK1585" s="7" t="s">
        <v>61</v>
      </c>
      <c r="AL1585" s="7" t="s">
        <v>61</v>
      </c>
      <c r="AM1585" s="7" t="s">
        <v>0</v>
      </c>
      <c r="AN1585" s="7" t="s">
        <v>0</v>
      </c>
      <c r="AO1585" s="7" t="s">
        <v>0</v>
      </c>
      <c r="AP1585" s="7" t="s">
        <v>0</v>
      </c>
      <c r="AQ1585" s="7" t="s">
        <v>61</v>
      </c>
      <c r="AR1585" s="7" t="s">
        <v>0</v>
      </c>
      <c r="AS1585" s="10" t="str">
        <f>HYPERLINK("https://tessa.gazprom-neft.local/edo/card/c409e1a4-3f4f-473b-b9df-cc8235ba03a6", "https://tessa.gazprom-neft.local/edo/card/c409e1a4-3f4f-473b-b9df-cc8235ba03a6")</f>
        <v>https://tessa.gazprom-neft.local/edo/card/c409e1a4-3f4f-473b-b9df-cc8235ba03a6</v>
      </c>
    </row>
    <row r="1586" spans="1:45" x14ac:dyDescent="0.25">
      <c r="A1586" s="6" t="s">
        <v>44</v>
      </c>
      <c r="B1586" s="7" t="s">
        <v>225</v>
      </c>
      <c r="C1586" s="7" t="s">
        <v>67</v>
      </c>
      <c r="D1586" s="8">
        <v>44762</v>
      </c>
      <c r="E1586" s="8" t="s">
        <v>0</v>
      </c>
      <c r="F1586" s="16" t="s">
        <v>226</v>
      </c>
      <c r="G1586" s="7" t="s">
        <v>227</v>
      </c>
      <c r="H1586" s="7" t="s">
        <v>3289</v>
      </c>
      <c r="I1586" s="7" t="s">
        <v>0</v>
      </c>
      <c r="J1586" s="7" t="s">
        <v>156</v>
      </c>
      <c r="K1586" s="7" t="s">
        <v>47</v>
      </c>
      <c r="L1586" s="7" t="s">
        <v>48</v>
      </c>
      <c r="M1586" s="7" t="s">
        <v>0</v>
      </c>
      <c r="N1586" s="7" t="s">
        <v>7784</v>
      </c>
      <c r="O1586" s="7" t="s">
        <v>0</v>
      </c>
      <c r="P1586" s="7" t="s">
        <v>7785</v>
      </c>
      <c r="Q1586" s="7" t="s">
        <v>7786</v>
      </c>
      <c r="R1586" s="7" t="s">
        <v>1575</v>
      </c>
      <c r="S1586" s="7" t="s">
        <v>221</v>
      </c>
      <c r="T1586" s="7" t="s">
        <v>54</v>
      </c>
      <c r="U1586" s="7" t="s">
        <v>222</v>
      </c>
      <c r="V1586" s="7" t="s">
        <v>382</v>
      </c>
      <c r="W1586" s="7" t="s">
        <v>57</v>
      </c>
      <c r="X1586" s="7" t="s">
        <v>58</v>
      </c>
      <c r="Y1586" s="8">
        <v>44762</v>
      </c>
      <c r="Z1586" s="8" t="s">
        <v>0</v>
      </c>
      <c r="AA1586" s="7" t="s">
        <v>383</v>
      </c>
      <c r="AB1586" s="7" t="s">
        <v>387</v>
      </c>
      <c r="AC1586" s="7" t="s">
        <v>79</v>
      </c>
      <c r="AD1586" s="7" t="s">
        <v>80</v>
      </c>
      <c r="AE1586" s="7" t="s">
        <v>82</v>
      </c>
      <c r="AF1586" s="7" t="s">
        <v>0</v>
      </c>
      <c r="AG1586" s="7" t="s">
        <v>0</v>
      </c>
      <c r="AH1586" s="9" t="s">
        <v>13308</v>
      </c>
      <c r="AI1586" s="9" t="s">
        <v>13309</v>
      </c>
      <c r="AJ1586" s="9" t="s">
        <v>13310</v>
      </c>
      <c r="AK1586" s="7" t="s">
        <v>61</v>
      </c>
      <c r="AL1586" s="7" t="s">
        <v>61</v>
      </c>
      <c r="AM1586" s="7" t="s">
        <v>0</v>
      </c>
      <c r="AN1586" s="7" t="s">
        <v>0</v>
      </c>
      <c r="AO1586" s="7" t="s">
        <v>0</v>
      </c>
      <c r="AP1586" s="7" t="s">
        <v>0</v>
      </c>
      <c r="AQ1586" s="7" t="s">
        <v>61</v>
      </c>
      <c r="AR1586" s="7" t="s">
        <v>0</v>
      </c>
      <c r="AS1586" s="10" t="str">
        <f>HYPERLINK("https://tessa.gazprom-neft.local/edo/card/8ce1739e-3050-4154-9dc5-9ece49055121", "https://tessa.gazprom-neft.local/edo/card/8ce1739e-3050-4154-9dc5-9ece49055121")</f>
        <v>https://tessa.gazprom-neft.local/edo/card/8ce1739e-3050-4154-9dc5-9ece49055121</v>
      </c>
    </row>
    <row r="1587" spans="1:45" hidden="1" x14ac:dyDescent="0.25">
      <c r="A1587" s="6" t="s">
        <v>44</v>
      </c>
      <c r="B1587" s="7" t="s">
        <v>1925</v>
      </c>
      <c r="C1587" s="7" t="s">
        <v>46</v>
      </c>
      <c r="D1587" s="8">
        <v>44761</v>
      </c>
      <c r="E1587" s="8" t="s">
        <v>0</v>
      </c>
      <c r="F1587" s="16" t="s">
        <v>1926</v>
      </c>
      <c r="G1587" s="7" t="s">
        <v>1927</v>
      </c>
      <c r="H1587" s="7" t="s">
        <v>0</v>
      </c>
      <c r="I1587" s="7" t="s">
        <v>5449</v>
      </c>
      <c r="J1587" s="7" t="s">
        <v>5449</v>
      </c>
      <c r="K1587" s="7" t="s">
        <v>47</v>
      </c>
      <c r="L1587" s="7" t="s">
        <v>96</v>
      </c>
      <c r="M1587" s="7" t="s">
        <v>0</v>
      </c>
      <c r="N1587" s="7" t="s">
        <v>5448</v>
      </c>
      <c r="O1587" s="7" t="s">
        <v>0</v>
      </c>
      <c r="P1587" s="7" t="s">
        <v>5450</v>
      </c>
      <c r="Q1587" s="7" t="s">
        <v>5451</v>
      </c>
      <c r="R1587" s="7" t="s">
        <v>1924</v>
      </c>
      <c r="S1587" s="7" t="s">
        <v>1924</v>
      </c>
      <c r="T1587" s="7" t="s">
        <v>54</v>
      </c>
      <c r="U1587" s="7" t="s">
        <v>73</v>
      </c>
      <c r="V1587" s="7" t="s">
        <v>56</v>
      </c>
      <c r="W1587" s="7" t="s">
        <v>57</v>
      </c>
      <c r="X1587" s="7" t="s">
        <v>103</v>
      </c>
      <c r="Y1587" s="8">
        <v>44682</v>
      </c>
      <c r="Z1587" s="8">
        <v>44926</v>
      </c>
      <c r="AA1587" s="7" t="s">
        <v>0</v>
      </c>
      <c r="AB1587" s="7" t="s">
        <v>64</v>
      </c>
      <c r="AC1587" s="7" t="s">
        <v>278</v>
      </c>
      <c r="AD1587" s="7" t="s">
        <v>144</v>
      </c>
      <c r="AE1587" s="7" t="s">
        <v>82</v>
      </c>
      <c r="AF1587" s="7" t="s">
        <v>0</v>
      </c>
      <c r="AG1587" s="7" t="s">
        <v>0</v>
      </c>
      <c r="AH1587" s="9" t="s">
        <v>12491</v>
      </c>
      <c r="AI1587" s="9" t="s">
        <v>12492</v>
      </c>
      <c r="AJ1587" s="9" t="s">
        <v>12493</v>
      </c>
      <c r="AK1587" s="7" t="s">
        <v>61</v>
      </c>
      <c r="AL1587" s="7" t="s">
        <v>61</v>
      </c>
      <c r="AM1587" s="7" t="s">
        <v>0</v>
      </c>
      <c r="AN1587" s="7" t="s">
        <v>0</v>
      </c>
      <c r="AO1587" s="7" t="s">
        <v>0</v>
      </c>
      <c r="AP1587" s="7" t="s">
        <v>0</v>
      </c>
      <c r="AQ1587" s="7" t="s">
        <v>61</v>
      </c>
      <c r="AR1587" s="7" t="s">
        <v>0</v>
      </c>
      <c r="AS1587" s="10" t="str">
        <f>HYPERLINK("https://tessa.gazprom-neft.local/edo/card/e5a3ede8-7308-4976-827c-35858f5d35f3", "https://tessa.gazprom-neft.local/edo/card/e5a3ede8-7308-4976-827c-35858f5d35f3")</f>
        <v>https://tessa.gazprom-neft.local/edo/card/e5a3ede8-7308-4976-827c-35858f5d35f3</v>
      </c>
    </row>
    <row r="1588" spans="1:45" hidden="1" x14ac:dyDescent="0.25">
      <c r="A1588" s="6" t="s">
        <v>44</v>
      </c>
      <c r="B1588" s="7" t="s">
        <v>1925</v>
      </c>
      <c r="C1588" s="7" t="s">
        <v>46</v>
      </c>
      <c r="D1588" s="8">
        <v>44760</v>
      </c>
      <c r="E1588" s="8" t="s">
        <v>0</v>
      </c>
      <c r="F1588" s="16" t="s">
        <v>1926</v>
      </c>
      <c r="G1588" s="7" t="s">
        <v>1927</v>
      </c>
      <c r="H1588" s="7" t="s">
        <v>0</v>
      </c>
      <c r="I1588" s="7" t="s">
        <v>1921</v>
      </c>
      <c r="J1588" s="7" t="s">
        <v>1921</v>
      </c>
      <c r="K1588" s="7" t="s">
        <v>47</v>
      </c>
      <c r="L1588" s="7" t="s">
        <v>96</v>
      </c>
      <c r="M1588" s="7" t="s">
        <v>0</v>
      </c>
      <c r="N1588" s="7" t="s">
        <v>1920</v>
      </c>
      <c r="O1588" s="7" t="s">
        <v>0</v>
      </c>
      <c r="P1588" s="7" t="s">
        <v>1922</v>
      </c>
      <c r="Q1588" s="7" t="s">
        <v>1923</v>
      </c>
      <c r="R1588" s="7" t="s">
        <v>1924</v>
      </c>
      <c r="S1588" s="7" t="s">
        <v>1924</v>
      </c>
      <c r="T1588" s="7" t="s">
        <v>54</v>
      </c>
      <c r="U1588" s="7" t="s">
        <v>73</v>
      </c>
      <c r="V1588" s="7" t="s">
        <v>56</v>
      </c>
      <c r="W1588" s="7" t="s">
        <v>57</v>
      </c>
      <c r="X1588" s="7" t="s">
        <v>103</v>
      </c>
      <c r="Y1588" s="8">
        <v>44613</v>
      </c>
      <c r="Z1588" s="8">
        <v>44803</v>
      </c>
      <c r="AA1588" s="7" t="s">
        <v>0</v>
      </c>
      <c r="AB1588" s="7" t="s">
        <v>366</v>
      </c>
      <c r="AC1588" s="7" t="s">
        <v>278</v>
      </c>
      <c r="AD1588" s="7" t="s">
        <v>367</v>
      </c>
      <c r="AE1588" s="7" t="s">
        <v>82</v>
      </c>
      <c r="AF1588" s="7" t="s">
        <v>0</v>
      </c>
      <c r="AG1588" s="7" t="s">
        <v>0</v>
      </c>
      <c r="AH1588" s="9" t="s">
        <v>11179</v>
      </c>
      <c r="AI1588" s="9" t="s">
        <v>11180</v>
      </c>
      <c r="AJ1588" s="9" t="s">
        <v>11181</v>
      </c>
      <c r="AK1588" s="7" t="s">
        <v>61</v>
      </c>
      <c r="AL1588" s="7" t="s">
        <v>61</v>
      </c>
      <c r="AM1588" s="7" t="s">
        <v>0</v>
      </c>
      <c r="AN1588" s="7" t="s">
        <v>0</v>
      </c>
      <c r="AO1588" s="7" t="s">
        <v>0</v>
      </c>
      <c r="AP1588" s="7" t="s">
        <v>0</v>
      </c>
      <c r="AQ1588" s="7" t="s">
        <v>61</v>
      </c>
      <c r="AR1588" s="7" t="s">
        <v>0</v>
      </c>
      <c r="AS1588" s="10" t="str">
        <f>HYPERLINK("https://tessa.gazprom-neft.local/edo/card/955997b5-d5aa-49cd-8ec7-2fa978d98ed8", "https://tessa.gazprom-neft.local/edo/card/955997b5-d5aa-49cd-8ec7-2fa978d98ed8")</f>
        <v>https://tessa.gazprom-neft.local/edo/card/955997b5-d5aa-49cd-8ec7-2fa978d98ed8</v>
      </c>
    </row>
    <row r="1589" spans="1:45" hidden="1" x14ac:dyDescent="0.25">
      <c r="A1589" s="6" t="s">
        <v>44</v>
      </c>
      <c r="B1589" s="7" t="s">
        <v>245</v>
      </c>
      <c r="C1589" s="7" t="s">
        <v>67</v>
      </c>
      <c r="D1589" s="8">
        <v>44760</v>
      </c>
      <c r="E1589" s="8" t="s">
        <v>0</v>
      </c>
      <c r="F1589" s="16" t="s">
        <v>246</v>
      </c>
      <c r="G1589" s="7" t="s">
        <v>247</v>
      </c>
      <c r="H1589" s="7" t="s">
        <v>1808</v>
      </c>
      <c r="I1589" s="7" t="s">
        <v>0</v>
      </c>
      <c r="J1589" s="7" t="s">
        <v>7665</v>
      </c>
      <c r="K1589" s="7" t="s">
        <v>47</v>
      </c>
      <c r="L1589" s="7" t="s">
        <v>239</v>
      </c>
      <c r="M1589" s="7" t="s">
        <v>0</v>
      </c>
      <c r="N1589" s="7" t="s">
        <v>7663</v>
      </c>
      <c r="O1589" s="7" t="s">
        <v>0</v>
      </c>
      <c r="P1589" s="7" t="s">
        <v>7664</v>
      </c>
      <c r="Q1589" s="7" t="s">
        <v>7666</v>
      </c>
      <c r="R1589" s="7" t="s">
        <v>915</v>
      </c>
      <c r="S1589" s="7" t="s">
        <v>0</v>
      </c>
      <c r="T1589" s="7" t="s">
        <v>54</v>
      </c>
      <c r="U1589" s="7" t="s">
        <v>916</v>
      </c>
      <c r="V1589" s="7" t="s">
        <v>917</v>
      </c>
      <c r="W1589" s="7" t="s">
        <v>57</v>
      </c>
      <c r="X1589" s="7" t="s">
        <v>103</v>
      </c>
      <c r="Y1589" s="8">
        <v>44760</v>
      </c>
      <c r="Z1589" s="8">
        <v>44925</v>
      </c>
      <c r="AA1589" s="7" t="s">
        <v>1278</v>
      </c>
      <c r="AB1589" s="7" t="s">
        <v>256</v>
      </c>
      <c r="AC1589" s="7" t="s">
        <v>79</v>
      </c>
      <c r="AD1589" s="7" t="s">
        <v>367</v>
      </c>
      <c r="AE1589" s="7" t="s">
        <v>82</v>
      </c>
      <c r="AF1589" s="7" t="s">
        <v>0</v>
      </c>
      <c r="AG1589" s="7" t="s">
        <v>0</v>
      </c>
      <c r="AH1589" s="9" t="s">
        <v>13259</v>
      </c>
      <c r="AI1589" s="9" t="s">
        <v>13260</v>
      </c>
      <c r="AJ1589" s="9" t="s">
        <v>13261</v>
      </c>
      <c r="AK1589" s="7" t="s">
        <v>61</v>
      </c>
      <c r="AL1589" s="7" t="s">
        <v>61</v>
      </c>
      <c r="AM1589" s="7" t="s">
        <v>0</v>
      </c>
      <c r="AN1589" s="7" t="s">
        <v>0</v>
      </c>
      <c r="AO1589" s="7" t="s">
        <v>0</v>
      </c>
      <c r="AP1589" s="7" t="s">
        <v>0</v>
      </c>
      <c r="AQ1589" s="7" t="s">
        <v>61</v>
      </c>
      <c r="AR1589" s="7" t="s">
        <v>0</v>
      </c>
      <c r="AS1589" s="10" t="str">
        <f>HYPERLINK("https://tessa.gazprom-neft.local/edo/card/a3735aae-9eb4-4489-8cc4-c924842e4075", "https://tessa.gazprom-neft.local/edo/card/a3735aae-9eb4-4489-8cc4-c924842e4075")</f>
        <v>https://tessa.gazprom-neft.local/edo/card/a3735aae-9eb4-4489-8cc4-c924842e4075</v>
      </c>
    </row>
    <row r="1590" spans="1:45" x14ac:dyDescent="0.25">
      <c r="A1590" s="6" t="s">
        <v>44</v>
      </c>
      <c r="B1590" s="7" t="s">
        <v>1101</v>
      </c>
      <c r="C1590" s="7" t="s">
        <v>67</v>
      </c>
      <c r="D1590" s="8">
        <v>44759</v>
      </c>
      <c r="E1590" s="8" t="s">
        <v>0</v>
      </c>
      <c r="F1590" s="16" t="s">
        <v>1102</v>
      </c>
      <c r="G1590" s="7" t="s">
        <v>1103</v>
      </c>
      <c r="H1590" s="7" t="s">
        <v>6361</v>
      </c>
      <c r="I1590" s="7" t="s">
        <v>0</v>
      </c>
      <c r="J1590" s="7" t="s">
        <v>355</v>
      </c>
      <c r="K1590" s="7" t="s">
        <v>47</v>
      </c>
      <c r="L1590" s="7" t="s">
        <v>48</v>
      </c>
      <c r="M1590" s="7" t="s">
        <v>0</v>
      </c>
      <c r="N1590" s="7" t="s">
        <v>6360</v>
      </c>
      <c r="O1590" s="7" t="s">
        <v>0</v>
      </c>
      <c r="P1590" s="7" t="s">
        <v>6362</v>
      </c>
      <c r="Q1590" s="7" t="s">
        <v>6363</v>
      </c>
      <c r="R1590" s="7" t="s">
        <v>339</v>
      </c>
      <c r="S1590" s="7" t="s">
        <v>339</v>
      </c>
      <c r="T1590" s="7" t="s">
        <v>54</v>
      </c>
      <c r="U1590" s="7" t="s">
        <v>303</v>
      </c>
      <c r="V1590" s="7" t="s">
        <v>137</v>
      </c>
      <c r="W1590" s="7" t="s">
        <v>57</v>
      </c>
      <c r="X1590" s="7" t="s">
        <v>103</v>
      </c>
      <c r="Y1590" s="8">
        <v>44759</v>
      </c>
      <c r="Z1590" s="8">
        <v>44865</v>
      </c>
      <c r="AA1590" s="7" t="s">
        <v>0</v>
      </c>
      <c r="AB1590" s="7" t="s">
        <v>64</v>
      </c>
      <c r="AC1590" s="7" t="s">
        <v>65</v>
      </c>
      <c r="AD1590" s="7" t="s">
        <v>0</v>
      </c>
      <c r="AE1590" s="7" t="s">
        <v>0</v>
      </c>
      <c r="AF1590" s="7" t="s">
        <v>0</v>
      </c>
      <c r="AG1590" s="7" t="s">
        <v>0</v>
      </c>
      <c r="AH1590" s="9" t="s">
        <v>0</v>
      </c>
      <c r="AI1590" s="9" t="s">
        <v>0</v>
      </c>
      <c r="AJ1590" s="9" t="s">
        <v>0</v>
      </c>
      <c r="AK1590" s="7" t="s">
        <v>61</v>
      </c>
      <c r="AL1590" s="7" t="s">
        <v>61</v>
      </c>
      <c r="AM1590" s="7" t="s">
        <v>0</v>
      </c>
      <c r="AN1590" s="7" t="s">
        <v>0</v>
      </c>
      <c r="AO1590" s="7" t="s">
        <v>0</v>
      </c>
      <c r="AP1590" s="7" t="s">
        <v>0</v>
      </c>
      <c r="AQ1590" s="7" t="s">
        <v>61</v>
      </c>
      <c r="AR1590" s="7" t="s">
        <v>0</v>
      </c>
      <c r="AS1590" s="10" t="str">
        <f>HYPERLINK("https://tessa.gazprom-neft.local/edo/card/aafd7155-2252-4506-b80d-f94d0d6c7170", "https://tessa.gazprom-neft.local/edo/card/aafd7155-2252-4506-b80d-f94d0d6c7170")</f>
        <v>https://tessa.gazprom-neft.local/edo/card/aafd7155-2252-4506-b80d-f94d0d6c7170</v>
      </c>
    </row>
    <row r="1591" spans="1:45" hidden="1" x14ac:dyDescent="0.25">
      <c r="A1591" s="6" t="s">
        <v>44</v>
      </c>
      <c r="B1591" s="7" t="s">
        <v>964</v>
      </c>
      <c r="C1591" s="7" t="s">
        <v>67</v>
      </c>
      <c r="D1591" s="8">
        <v>44757</v>
      </c>
      <c r="E1591" s="8" t="s">
        <v>0</v>
      </c>
      <c r="F1591" s="16" t="s">
        <v>965</v>
      </c>
      <c r="G1591" s="7" t="s">
        <v>966</v>
      </c>
      <c r="H1591" s="7" t="s">
        <v>4760</v>
      </c>
      <c r="I1591" s="7" t="s">
        <v>0</v>
      </c>
      <c r="J1591" s="7" t="s">
        <v>4838</v>
      </c>
      <c r="K1591" s="7" t="s">
        <v>47</v>
      </c>
      <c r="L1591" s="7" t="s">
        <v>2719</v>
      </c>
      <c r="M1591" s="7" t="s">
        <v>0</v>
      </c>
      <c r="N1591" s="7" t="s">
        <v>7466</v>
      </c>
      <c r="O1591" s="7" t="s">
        <v>0</v>
      </c>
      <c r="P1591" s="7" t="s">
        <v>7467</v>
      </c>
      <c r="Q1591" s="7" t="s">
        <v>7468</v>
      </c>
      <c r="R1591" s="7" t="s">
        <v>1062</v>
      </c>
      <c r="S1591" s="7" t="s">
        <v>0</v>
      </c>
      <c r="T1591" s="7" t="s">
        <v>54</v>
      </c>
      <c r="U1591" s="7" t="s">
        <v>294</v>
      </c>
      <c r="V1591" s="7" t="s">
        <v>295</v>
      </c>
      <c r="W1591" s="7" t="s">
        <v>57</v>
      </c>
      <c r="X1591" s="7" t="s">
        <v>103</v>
      </c>
      <c r="Y1591" s="8">
        <v>44757</v>
      </c>
      <c r="Z1591" s="8">
        <v>45107</v>
      </c>
      <c r="AA1591" s="7" t="s">
        <v>296</v>
      </c>
      <c r="AB1591" s="7" t="s">
        <v>366</v>
      </c>
      <c r="AC1591" s="7" t="s">
        <v>79</v>
      </c>
      <c r="AD1591" s="7" t="s">
        <v>367</v>
      </c>
      <c r="AE1591" s="7" t="s">
        <v>82</v>
      </c>
      <c r="AF1591" s="7" t="s">
        <v>0</v>
      </c>
      <c r="AG1591" s="7" t="s">
        <v>0</v>
      </c>
      <c r="AH1591" s="9" t="s">
        <v>13187</v>
      </c>
      <c r="AI1591" s="9" t="s">
        <v>13188</v>
      </c>
      <c r="AJ1591" s="9" t="s">
        <v>13189</v>
      </c>
      <c r="AK1591" s="7" t="s">
        <v>61</v>
      </c>
      <c r="AL1591" s="7" t="s">
        <v>61</v>
      </c>
      <c r="AM1591" s="7" t="s">
        <v>0</v>
      </c>
      <c r="AN1591" s="7" t="s">
        <v>0</v>
      </c>
      <c r="AO1591" s="7" t="s">
        <v>0</v>
      </c>
      <c r="AP1591" s="7" t="s">
        <v>0</v>
      </c>
      <c r="AQ1591" s="7" t="s">
        <v>61</v>
      </c>
      <c r="AR1591" s="7" t="s">
        <v>0</v>
      </c>
      <c r="AS1591" s="10" t="str">
        <f>HYPERLINK("https://tessa.gazprom-neft.local/edo/card/13eb81c6-15ef-47fe-8f4a-cd39e3826edf", "https://tessa.gazprom-neft.local/edo/card/13eb81c6-15ef-47fe-8f4a-cd39e3826edf")</f>
        <v>https://tessa.gazprom-neft.local/edo/card/13eb81c6-15ef-47fe-8f4a-cd39e3826edf</v>
      </c>
    </row>
    <row r="1592" spans="1:45" hidden="1" x14ac:dyDescent="0.25">
      <c r="A1592" s="6" t="s">
        <v>44</v>
      </c>
      <c r="B1592" s="7" t="s">
        <v>1200</v>
      </c>
      <c r="C1592" s="7" t="s">
        <v>46</v>
      </c>
      <c r="D1592" s="8">
        <v>44757</v>
      </c>
      <c r="E1592" s="8" t="s">
        <v>0</v>
      </c>
      <c r="F1592" s="16" t="s">
        <v>1201</v>
      </c>
      <c r="G1592" s="7" t="s">
        <v>1202</v>
      </c>
      <c r="H1592" s="7" t="s">
        <v>0</v>
      </c>
      <c r="I1592" s="7" t="s">
        <v>7700</v>
      </c>
      <c r="J1592" s="7" t="s">
        <v>7700</v>
      </c>
      <c r="K1592" s="7" t="s">
        <v>85</v>
      </c>
      <c r="L1592" s="7" t="s">
        <v>96</v>
      </c>
      <c r="M1592" s="7" t="s">
        <v>1931</v>
      </c>
      <c r="N1592" s="7" t="s">
        <v>7699</v>
      </c>
      <c r="O1592" s="7" t="s">
        <v>0</v>
      </c>
      <c r="P1592" s="7" t="s">
        <v>1931</v>
      </c>
      <c r="Q1592" s="7" t="s">
        <v>4480</v>
      </c>
      <c r="R1592" s="7" t="s">
        <v>1199</v>
      </c>
      <c r="S1592" s="7" t="s">
        <v>1199</v>
      </c>
      <c r="T1592" s="7" t="s">
        <v>54</v>
      </c>
      <c r="U1592" s="7" t="s">
        <v>605</v>
      </c>
      <c r="V1592" s="7" t="s">
        <v>382</v>
      </c>
      <c r="W1592" s="7" t="s">
        <v>57</v>
      </c>
      <c r="X1592" s="7" t="s">
        <v>103</v>
      </c>
      <c r="Y1592" s="8">
        <v>44773</v>
      </c>
      <c r="Z1592" s="8">
        <v>44925</v>
      </c>
      <c r="AA1592" s="7" t="s">
        <v>383</v>
      </c>
      <c r="AB1592" s="7" t="s">
        <v>1203</v>
      </c>
      <c r="AC1592" s="7" t="s">
        <v>79</v>
      </c>
      <c r="AD1592" s="7" t="s">
        <v>80</v>
      </c>
      <c r="AE1592" s="7" t="s">
        <v>82</v>
      </c>
      <c r="AF1592" s="7" t="s">
        <v>0</v>
      </c>
      <c r="AG1592" s="7" t="s">
        <v>0</v>
      </c>
      <c r="AH1592" s="9" t="s">
        <v>13277</v>
      </c>
      <c r="AI1592" s="9" t="s">
        <v>13278</v>
      </c>
      <c r="AJ1592" s="9" t="s">
        <v>13279</v>
      </c>
      <c r="AK1592" s="7" t="s">
        <v>61</v>
      </c>
      <c r="AL1592" s="7" t="s">
        <v>61</v>
      </c>
      <c r="AM1592" s="7" t="s">
        <v>0</v>
      </c>
      <c r="AN1592" s="7" t="s">
        <v>0</v>
      </c>
      <c r="AO1592" s="7" t="s">
        <v>0</v>
      </c>
      <c r="AP1592" s="7" t="s">
        <v>0</v>
      </c>
      <c r="AQ1592" s="7" t="s">
        <v>61</v>
      </c>
      <c r="AR1592" s="7" t="s">
        <v>0</v>
      </c>
      <c r="AS1592" s="10" t="str">
        <f>HYPERLINK("https://tessa.gazprom-neft.local/edo/card/8500412d-7d65-465e-8c68-b52e26a0652b", "https://tessa.gazprom-neft.local/edo/card/8500412d-7d65-465e-8c68-b52e26a0652b")</f>
        <v>https://tessa.gazprom-neft.local/edo/card/8500412d-7d65-465e-8c68-b52e26a0652b</v>
      </c>
    </row>
    <row r="1593" spans="1:45" x14ac:dyDescent="0.25">
      <c r="A1593" s="6" t="s">
        <v>44</v>
      </c>
      <c r="B1593" s="7" t="s">
        <v>374</v>
      </c>
      <c r="C1593" s="7" t="s">
        <v>67</v>
      </c>
      <c r="D1593" s="8">
        <v>44757</v>
      </c>
      <c r="E1593" s="8" t="s">
        <v>0</v>
      </c>
      <c r="F1593" s="16" t="s">
        <v>375</v>
      </c>
      <c r="G1593" s="7" t="s">
        <v>376</v>
      </c>
      <c r="H1593" s="7" t="s">
        <v>7716</v>
      </c>
      <c r="I1593" s="7" t="s">
        <v>0</v>
      </c>
      <c r="J1593" s="7" t="s">
        <v>51</v>
      </c>
      <c r="K1593" s="7" t="s">
        <v>85</v>
      </c>
      <c r="L1593" s="7" t="s">
        <v>48</v>
      </c>
      <c r="M1593" s="7" t="s">
        <v>2128</v>
      </c>
      <c r="N1593" s="7" t="s">
        <v>7715</v>
      </c>
      <c r="O1593" s="7" t="s">
        <v>0</v>
      </c>
      <c r="P1593" s="7" t="s">
        <v>2128</v>
      </c>
      <c r="Q1593" s="7" t="s">
        <v>7717</v>
      </c>
      <c r="R1593" s="7" t="s">
        <v>198</v>
      </c>
      <c r="S1593" s="7" t="s">
        <v>198</v>
      </c>
      <c r="T1593" s="7" t="s">
        <v>54</v>
      </c>
      <c r="U1593" s="7" t="s">
        <v>199</v>
      </c>
      <c r="V1593" s="7" t="s">
        <v>6640</v>
      </c>
      <c r="W1593" s="7" t="s">
        <v>57</v>
      </c>
      <c r="X1593" s="7" t="s">
        <v>103</v>
      </c>
      <c r="Y1593" s="8">
        <v>44788</v>
      </c>
      <c r="Z1593" s="8">
        <v>45657</v>
      </c>
      <c r="AA1593" s="7" t="s">
        <v>6641</v>
      </c>
      <c r="AB1593" s="7" t="s">
        <v>64</v>
      </c>
      <c r="AC1593" s="7" t="s">
        <v>65</v>
      </c>
      <c r="AD1593" s="7" t="s">
        <v>80</v>
      </c>
      <c r="AE1593" s="7" t="s">
        <v>0</v>
      </c>
      <c r="AF1593" s="7" t="s">
        <v>0</v>
      </c>
      <c r="AG1593" s="7" t="s">
        <v>0</v>
      </c>
      <c r="AH1593" s="9" t="s">
        <v>0</v>
      </c>
      <c r="AI1593" s="9" t="s">
        <v>0</v>
      </c>
      <c r="AJ1593" s="9" t="s">
        <v>0</v>
      </c>
      <c r="AK1593" s="7" t="s">
        <v>61</v>
      </c>
      <c r="AL1593" s="7" t="s">
        <v>61</v>
      </c>
      <c r="AM1593" s="7" t="s">
        <v>0</v>
      </c>
      <c r="AN1593" s="7" t="s">
        <v>0</v>
      </c>
      <c r="AO1593" s="7" t="s">
        <v>0</v>
      </c>
      <c r="AP1593" s="7" t="s">
        <v>0</v>
      </c>
      <c r="AQ1593" s="7" t="s">
        <v>61</v>
      </c>
      <c r="AR1593" s="7" t="s">
        <v>0</v>
      </c>
      <c r="AS1593" s="10" t="str">
        <f>HYPERLINK("https://tessa.gazprom-neft.local/edo/card/27a14f98-857e-4281-877c-304c4c408ebb", "https://tessa.gazprom-neft.local/edo/card/27a14f98-857e-4281-877c-304c4c408ebb")</f>
        <v>https://tessa.gazprom-neft.local/edo/card/27a14f98-857e-4281-877c-304c4c408ebb</v>
      </c>
    </row>
    <row r="1594" spans="1:45" x14ac:dyDescent="0.25">
      <c r="A1594" s="6" t="s">
        <v>44</v>
      </c>
      <c r="B1594" s="7" t="s">
        <v>3172</v>
      </c>
      <c r="C1594" s="7" t="s">
        <v>67</v>
      </c>
      <c r="D1594" s="8">
        <v>44757</v>
      </c>
      <c r="E1594" s="8" t="s">
        <v>0</v>
      </c>
      <c r="F1594" s="16" t="s">
        <v>3173</v>
      </c>
      <c r="G1594" s="7" t="s">
        <v>3174</v>
      </c>
      <c r="H1594" s="7" t="s">
        <v>7654</v>
      </c>
      <c r="I1594" s="7" t="s">
        <v>0</v>
      </c>
      <c r="J1594" s="7" t="s">
        <v>156</v>
      </c>
      <c r="K1594" s="7" t="s">
        <v>85</v>
      </c>
      <c r="L1594" s="7" t="s">
        <v>48</v>
      </c>
      <c r="M1594" s="7" t="s">
        <v>2128</v>
      </c>
      <c r="N1594" s="7" t="s">
        <v>7907</v>
      </c>
      <c r="O1594" s="7" t="s">
        <v>0</v>
      </c>
      <c r="P1594" s="7" t="s">
        <v>2128</v>
      </c>
      <c r="Q1594" s="7" t="s">
        <v>7072</v>
      </c>
      <c r="R1594" s="7" t="s">
        <v>590</v>
      </c>
      <c r="S1594" s="7" t="s">
        <v>394</v>
      </c>
      <c r="T1594" s="7" t="s">
        <v>54</v>
      </c>
      <c r="U1594" s="7" t="s">
        <v>591</v>
      </c>
      <c r="V1594" s="7" t="s">
        <v>382</v>
      </c>
      <c r="W1594" s="7" t="s">
        <v>57</v>
      </c>
      <c r="X1594" s="7" t="s">
        <v>58</v>
      </c>
      <c r="Y1594" s="8">
        <v>44757</v>
      </c>
      <c r="Z1594" s="8" t="s">
        <v>0</v>
      </c>
      <c r="AA1594" s="7" t="s">
        <v>383</v>
      </c>
      <c r="AB1594" s="7" t="s">
        <v>387</v>
      </c>
      <c r="AC1594" s="7" t="s">
        <v>65</v>
      </c>
      <c r="AD1594" s="7" t="s">
        <v>80</v>
      </c>
      <c r="AE1594" s="7" t="s">
        <v>0</v>
      </c>
      <c r="AF1594" s="7" t="s">
        <v>0</v>
      </c>
      <c r="AG1594" s="7" t="s">
        <v>0</v>
      </c>
      <c r="AH1594" s="9" t="s">
        <v>0</v>
      </c>
      <c r="AI1594" s="9" t="s">
        <v>0</v>
      </c>
      <c r="AJ1594" s="9" t="s">
        <v>0</v>
      </c>
      <c r="AK1594" s="7" t="s">
        <v>61</v>
      </c>
      <c r="AL1594" s="7" t="s">
        <v>61</v>
      </c>
      <c r="AM1594" s="7" t="s">
        <v>0</v>
      </c>
      <c r="AN1594" s="7" t="s">
        <v>0</v>
      </c>
      <c r="AO1594" s="7" t="s">
        <v>0</v>
      </c>
      <c r="AP1594" s="7" t="s">
        <v>0</v>
      </c>
      <c r="AQ1594" s="7" t="s">
        <v>61</v>
      </c>
      <c r="AR1594" s="7" t="s">
        <v>0</v>
      </c>
      <c r="AS1594" s="10" t="str">
        <f>HYPERLINK("https://tessa.gazprom-neft.local/edo/card/2a6215da-3edb-45b4-8b01-b68e18cf6311", "https://tessa.gazprom-neft.local/edo/card/2a6215da-3edb-45b4-8b01-b68e18cf6311")</f>
        <v>https://tessa.gazprom-neft.local/edo/card/2a6215da-3edb-45b4-8b01-b68e18cf6311</v>
      </c>
    </row>
    <row r="1595" spans="1:45" x14ac:dyDescent="0.25">
      <c r="A1595" s="6" t="s">
        <v>44</v>
      </c>
      <c r="B1595" s="7" t="s">
        <v>3172</v>
      </c>
      <c r="C1595" s="7" t="s">
        <v>67</v>
      </c>
      <c r="D1595" s="8">
        <v>44757</v>
      </c>
      <c r="E1595" s="8" t="s">
        <v>0</v>
      </c>
      <c r="F1595" s="16" t="s">
        <v>3173</v>
      </c>
      <c r="G1595" s="7" t="s">
        <v>3174</v>
      </c>
      <c r="H1595" s="7" t="s">
        <v>5071</v>
      </c>
      <c r="I1595" s="7" t="s">
        <v>0</v>
      </c>
      <c r="J1595" s="7" t="s">
        <v>51</v>
      </c>
      <c r="K1595" s="7" t="s">
        <v>85</v>
      </c>
      <c r="L1595" s="7" t="s">
        <v>48</v>
      </c>
      <c r="M1595" s="7" t="s">
        <v>2128</v>
      </c>
      <c r="N1595" s="7" t="s">
        <v>7918</v>
      </c>
      <c r="O1595" s="7" t="s">
        <v>0</v>
      </c>
      <c r="P1595" s="7" t="s">
        <v>2128</v>
      </c>
      <c r="Q1595" s="7" t="s">
        <v>7072</v>
      </c>
      <c r="R1595" s="7" t="s">
        <v>590</v>
      </c>
      <c r="S1595" s="7" t="s">
        <v>394</v>
      </c>
      <c r="T1595" s="7" t="s">
        <v>54</v>
      </c>
      <c r="U1595" s="7" t="s">
        <v>591</v>
      </c>
      <c r="V1595" s="7" t="s">
        <v>382</v>
      </c>
      <c r="W1595" s="7" t="s">
        <v>57</v>
      </c>
      <c r="X1595" s="7" t="s">
        <v>58</v>
      </c>
      <c r="Y1595" s="8">
        <v>44757</v>
      </c>
      <c r="Z1595" s="8" t="s">
        <v>0</v>
      </c>
      <c r="AA1595" s="7" t="s">
        <v>383</v>
      </c>
      <c r="AB1595" s="7" t="s">
        <v>387</v>
      </c>
      <c r="AC1595" s="7" t="s">
        <v>65</v>
      </c>
      <c r="AD1595" s="7" t="s">
        <v>80</v>
      </c>
      <c r="AE1595" s="7" t="s">
        <v>0</v>
      </c>
      <c r="AF1595" s="7" t="s">
        <v>0</v>
      </c>
      <c r="AG1595" s="7" t="s">
        <v>0</v>
      </c>
      <c r="AH1595" s="9" t="s">
        <v>0</v>
      </c>
      <c r="AI1595" s="9" t="s">
        <v>0</v>
      </c>
      <c r="AJ1595" s="9" t="s">
        <v>0</v>
      </c>
      <c r="AK1595" s="7" t="s">
        <v>61</v>
      </c>
      <c r="AL1595" s="7" t="s">
        <v>61</v>
      </c>
      <c r="AM1595" s="7" t="s">
        <v>0</v>
      </c>
      <c r="AN1595" s="7" t="s">
        <v>0</v>
      </c>
      <c r="AO1595" s="7" t="s">
        <v>0</v>
      </c>
      <c r="AP1595" s="7" t="s">
        <v>0</v>
      </c>
      <c r="AQ1595" s="7" t="s">
        <v>61</v>
      </c>
      <c r="AR1595" s="7" t="s">
        <v>0</v>
      </c>
      <c r="AS1595" s="10" t="str">
        <f>HYPERLINK("https://tessa.gazprom-neft.local/edo/card/9aa4148d-8107-412b-b6f3-d9abb46f5bb2", "https://tessa.gazprom-neft.local/edo/card/9aa4148d-8107-412b-b6f3-d9abb46f5bb2")</f>
        <v>https://tessa.gazprom-neft.local/edo/card/9aa4148d-8107-412b-b6f3-d9abb46f5bb2</v>
      </c>
    </row>
    <row r="1596" spans="1:45" x14ac:dyDescent="0.25">
      <c r="A1596" s="6" t="s">
        <v>44</v>
      </c>
      <c r="B1596" s="7" t="s">
        <v>3172</v>
      </c>
      <c r="C1596" s="7" t="s">
        <v>67</v>
      </c>
      <c r="D1596" s="8">
        <v>44757</v>
      </c>
      <c r="E1596" s="8" t="s">
        <v>0</v>
      </c>
      <c r="F1596" s="16" t="s">
        <v>3173</v>
      </c>
      <c r="G1596" s="7" t="s">
        <v>3174</v>
      </c>
      <c r="H1596" s="7" t="s">
        <v>5086</v>
      </c>
      <c r="I1596" s="7" t="s">
        <v>0</v>
      </c>
      <c r="J1596" s="7" t="s">
        <v>51</v>
      </c>
      <c r="K1596" s="7" t="s">
        <v>85</v>
      </c>
      <c r="L1596" s="7" t="s">
        <v>48</v>
      </c>
      <c r="M1596" s="7" t="s">
        <v>2128</v>
      </c>
      <c r="N1596" s="7" t="s">
        <v>7923</v>
      </c>
      <c r="O1596" s="7" t="s">
        <v>0</v>
      </c>
      <c r="P1596" s="7" t="s">
        <v>2128</v>
      </c>
      <c r="Q1596" s="7" t="s">
        <v>4125</v>
      </c>
      <c r="R1596" s="7" t="s">
        <v>590</v>
      </c>
      <c r="S1596" s="7" t="s">
        <v>394</v>
      </c>
      <c r="T1596" s="7" t="s">
        <v>54</v>
      </c>
      <c r="U1596" s="7" t="s">
        <v>591</v>
      </c>
      <c r="V1596" s="7" t="s">
        <v>382</v>
      </c>
      <c r="W1596" s="7" t="s">
        <v>57</v>
      </c>
      <c r="X1596" s="7" t="s">
        <v>58</v>
      </c>
      <c r="Y1596" s="8">
        <v>44757</v>
      </c>
      <c r="Z1596" s="8" t="s">
        <v>0</v>
      </c>
      <c r="AA1596" s="7" t="s">
        <v>383</v>
      </c>
      <c r="AB1596" s="7" t="s">
        <v>387</v>
      </c>
      <c r="AC1596" s="7" t="s">
        <v>65</v>
      </c>
      <c r="AD1596" s="7" t="s">
        <v>80</v>
      </c>
      <c r="AE1596" s="7" t="s">
        <v>0</v>
      </c>
      <c r="AF1596" s="7" t="s">
        <v>0</v>
      </c>
      <c r="AG1596" s="7" t="s">
        <v>0</v>
      </c>
      <c r="AH1596" s="9" t="s">
        <v>0</v>
      </c>
      <c r="AI1596" s="9" t="s">
        <v>0</v>
      </c>
      <c r="AJ1596" s="9" t="s">
        <v>0</v>
      </c>
      <c r="AK1596" s="7" t="s">
        <v>61</v>
      </c>
      <c r="AL1596" s="7" t="s">
        <v>61</v>
      </c>
      <c r="AM1596" s="7" t="s">
        <v>0</v>
      </c>
      <c r="AN1596" s="7" t="s">
        <v>0</v>
      </c>
      <c r="AO1596" s="7" t="s">
        <v>0</v>
      </c>
      <c r="AP1596" s="7" t="s">
        <v>0</v>
      </c>
      <c r="AQ1596" s="7" t="s">
        <v>61</v>
      </c>
      <c r="AR1596" s="7" t="s">
        <v>0</v>
      </c>
      <c r="AS1596" s="10" t="str">
        <f>HYPERLINK("https://tessa.gazprom-neft.local/edo/card/22163572-be0e-4c40-a922-566def1026e7", "https://tessa.gazprom-neft.local/edo/card/22163572-be0e-4c40-a922-566def1026e7")</f>
        <v>https://tessa.gazprom-neft.local/edo/card/22163572-be0e-4c40-a922-566def1026e7</v>
      </c>
    </row>
    <row r="1597" spans="1:45" x14ac:dyDescent="0.25">
      <c r="A1597" s="6" t="s">
        <v>44</v>
      </c>
      <c r="B1597" s="7" t="s">
        <v>275</v>
      </c>
      <c r="C1597" s="7" t="s">
        <v>67</v>
      </c>
      <c r="D1597" s="8">
        <v>44756</v>
      </c>
      <c r="E1597" s="8" t="s">
        <v>0</v>
      </c>
      <c r="F1597" s="16" t="s">
        <v>276</v>
      </c>
      <c r="G1597" s="7" t="s">
        <v>277</v>
      </c>
      <c r="H1597" s="7" t="s">
        <v>4939</v>
      </c>
      <c r="I1597" s="7" t="s">
        <v>0</v>
      </c>
      <c r="J1597" s="7" t="s">
        <v>355</v>
      </c>
      <c r="K1597" s="7" t="s">
        <v>47</v>
      </c>
      <c r="L1597" s="7" t="s">
        <v>48</v>
      </c>
      <c r="M1597" s="7" t="s">
        <v>0</v>
      </c>
      <c r="N1597" s="7" t="s">
        <v>7969</v>
      </c>
      <c r="O1597" s="7" t="s">
        <v>0</v>
      </c>
      <c r="P1597" s="7" t="s">
        <v>7970</v>
      </c>
      <c r="Q1597" s="7" t="s">
        <v>7971</v>
      </c>
      <c r="R1597" s="7" t="s">
        <v>273</v>
      </c>
      <c r="S1597" s="7" t="s">
        <v>273</v>
      </c>
      <c r="T1597" s="7" t="s">
        <v>54</v>
      </c>
      <c r="U1597" s="7" t="s">
        <v>274</v>
      </c>
      <c r="V1597" s="7" t="s">
        <v>137</v>
      </c>
      <c r="W1597" s="7" t="s">
        <v>57</v>
      </c>
      <c r="X1597" s="7" t="s">
        <v>103</v>
      </c>
      <c r="Y1597" s="8">
        <v>44756</v>
      </c>
      <c r="Z1597" s="8">
        <v>44926</v>
      </c>
      <c r="AA1597" s="7" t="s">
        <v>0</v>
      </c>
      <c r="AB1597" s="7" t="s">
        <v>64</v>
      </c>
      <c r="AC1597" s="7" t="s">
        <v>278</v>
      </c>
      <c r="AD1597" s="7" t="s">
        <v>80</v>
      </c>
      <c r="AE1597" s="7" t="s">
        <v>82</v>
      </c>
      <c r="AF1597" s="7" t="s">
        <v>0</v>
      </c>
      <c r="AG1597" s="7" t="s">
        <v>0</v>
      </c>
      <c r="AH1597" s="9" t="s">
        <v>13379</v>
      </c>
      <c r="AI1597" s="9" t="s">
        <v>13380</v>
      </c>
      <c r="AJ1597" s="9" t="s">
        <v>13381</v>
      </c>
      <c r="AK1597" s="7" t="s">
        <v>61</v>
      </c>
      <c r="AL1597" s="7" t="s">
        <v>61</v>
      </c>
      <c r="AM1597" s="7" t="s">
        <v>0</v>
      </c>
      <c r="AN1597" s="7" t="s">
        <v>0</v>
      </c>
      <c r="AO1597" s="7" t="s">
        <v>0</v>
      </c>
      <c r="AP1597" s="7" t="s">
        <v>0</v>
      </c>
      <c r="AQ1597" s="7" t="s">
        <v>61</v>
      </c>
      <c r="AR1597" s="7" t="s">
        <v>0</v>
      </c>
      <c r="AS1597" s="10" t="str">
        <f>HYPERLINK("https://tessa.gazprom-neft.local/edo/card/fd1fbfef-b806-4f27-b993-fb7058c5d5c0", "https://tessa.gazprom-neft.local/edo/card/fd1fbfef-b806-4f27-b993-fb7058c5d5c0")</f>
        <v>https://tessa.gazprom-neft.local/edo/card/fd1fbfef-b806-4f27-b993-fb7058c5d5c0</v>
      </c>
    </row>
    <row r="1598" spans="1:45" hidden="1" x14ac:dyDescent="0.25">
      <c r="A1598" s="6" t="s">
        <v>44</v>
      </c>
      <c r="B1598" s="7" t="s">
        <v>964</v>
      </c>
      <c r="C1598" s="7" t="s">
        <v>67</v>
      </c>
      <c r="D1598" s="8">
        <v>44754</v>
      </c>
      <c r="E1598" s="8" t="s">
        <v>0</v>
      </c>
      <c r="F1598" s="16" t="s">
        <v>965</v>
      </c>
      <c r="G1598" s="7" t="s">
        <v>966</v>
      </c>
      <c r="H1598" s="7" t="s">
        <v>0</v>
      </c>
      <c r="I1598" s="7" t="s">
        <v>7608</v>
      </c>
      <c r="J1598" s="7" t="s">
        <v>7608</v>
      </c>
      <c r="K1598" s="7" t="s">
        <v>47</v>
      </c>
      <c r="L1598" s="7" t="s">
        <v>96</v>
      </c>
      <c r="M1598" s="7" t="s">
        <v>0</v>
      </c>
      <c r="N1598" s="7" t="s">
        <v>7607</v>
      </c>
      <c r="O1598" s="7" t="s">
        <v>0</v>
      </c>
      <c r="P1598" s="7" t="s">
        <v>7609</v>
      </c>
      <c r="Q1598" s="7" t="s">
        <v>7610</v>
      </c>
      <c r="R1598" s="7" t="s">
        <v>7611</v>
      </c>
      <c r="S1598" s="7" t="s">
        <v>7611</v>
      </c>
      <c r="T1598" s="7" t="s">
        <v>54</v>
      </c>
      <c r="U1598" s="7" t="s">
        <v>294</v>
      </c>
      <c r="V1598" s="7" t="s">
        <v>295</v>
      </c>
      <c r="W1598" s="7" t="s">
        <v>57</v>
      </c>
      <c r="X1598" s="7" t="s">
        <v>103</v>
      </c>
      <c r="Y1598" s="8">
        <v>44757</v>
      </c>
      <c r="Z1598" s="8">
        <v>45291</v>
      </c>
      <c r="AA1598" s="7" t="s">
        <v>296</v>
      </c>
      <c r="AB1598" s="7" t="s">
        <v>1419</v>
      </c>
      <c r="AC1598" s="7" t="s">
        <v>79</v>
      </c>
      <c r="AD1598" s="7" t="s">
        <v>514</v>
      </c>
      <c r="AE1598" s="7" t="s">
        <v>82</v>
      </c>
      <c r="AF1598" s="7" t="s">
        <v>0</v>
      </c>
      <c r="AG1598" s="7" t="s">
        <v>0</v>
      </c>
      <c r="AH1598" s="9" t="s">
        <v>13236</v>
      </c>
      <c r="AI1598" s="9" t="s">
        <v>13237</v>
      </c>
      <c r="AJ1598" s="9" t="s">
        <v>13238</v>
      </c>
      <c r="AK1598" s="7" t="s">
        <v>61</v>
      </c>
      <c r="AL1598" s="7" t="s">
        <v>61</v>
      </c>
      <c r="AM1598" s="7" t="s">
        <v>0</v>
      </c>
      <c r="AN1598" s="7" t="s">
        <v>0</v>
      </c>
      <c r="AO1598" s="7" t="s">
        <v>0</v>
      </c>
      <c r="AP1598" s="7" t="s">
        <v>0</v>
      </c>
      <c r="AQ1598" s="7" t="s">
        <v>61</v>
      </c>
      <c r="AR1598" s="7" t="s">
        <v>0</v>
      </c>
      <c r="AS1598" s="10" t="str">
        <f>HYPERLINK("https://tessa.gazprom-neft.local/edo/card/88d102a2-0af0-4826-a032-1f4a8db8ab47", "https://tessa.gazprom-neft.local/edo/card/88d102a2-0af0-4826-a032-1f4a8db8ab47")</f>
        <v>https://tessa.gazprom-neft.local/edo/card/88d102a2-0af0-4826-a032-1f4a8db8ab47</v>
      </c>
    </row>
    <row r="1599" spans="1:45" x14ac:dyDescent="0.25">
      <c r="A1599" s="6" t="s">
        <v>44</v>
      </c>
      <c r="B1599" s="7" t="s">
        <v>1084</v>
      </c>
      <c r="C1599" s="7" t="s">
        <v>67</v>
      </c>
      <c r="D1599" s="8">
        <v>44754</v>
      </c>
      <c r="E1599" s="8" t="s">
        <v>0</v>
      </c>
      <c r="F1599" s="16" t="s">
        <v>1085</v>
      </c>
      <c r="G1599" s="7" t="s">
        <v>1086</v>
      </c>
      <c r="H1599" s="7" t="s">
        <v>5768</v>
      </c>
      <c r="I1599" s="7" t="s">
        <v>0</v>
      </c>
      <c r="J1599" s="7" t="s">
        <v>955</v>
      </c>
      <c r="K1599" s="7" t="s">
        <v>47</v>
      </c>
      <c r="L1599" s="7" t="s">
        <v>48</v>
      </c>
      <c r="M1599" s="7" t="s">
        <v>0</v>
      </c>
      <c r="N1599" s="7" t="s">
        <v>7751</v>
      </c>
      <c r="O1599" s="7" t="s">
        <v>0</v>
      </c>
      <c r="P1599" s="7" t="s">
        <v>7752</v>
      </c>
      <c r="Q1599" s="7" t="s">
        <v>7753</v>
      </c>
      <c r="R1599" s="7" t="s">
        <v>1924</v>
      </c>
      <c r="S1599" s="7" t="s">
        <v>1924</v>
      </c>
      <c r="T1599" s="7" t="s">
        <v>54</v>
      </c>
      <c r="U1599" s="7" t="s">
        <v>73</v>
      </c>
      <c r="V1599" s="7" t="s">
        <v>56</v>
      </c>
      <c r="W1599" s="7" t="s">
        <v>57</v>
      </c>
      <c r="X1599" s="7" t="s">
        <v>103</v>
      </c>
      <c r="Y1599" s="8">
        <v>44754</v>
      </c>
      <c r="Z1599" s="8">
        <v>45657</v>
      </c>
      <c r="AA1599" s="7" t="s">
        <v>0</v>
      </c>
      <c r="AB1599" s="7" t="s">
        <v>366</v>
      </c>
      <c r="AC1599" s="7" t="s">
        <v>278</v>
      </c>
      <c r="AD1599" s="7" t="s">
        <v>367</v>
      </c>
      <c r="AE1599" s="7" t="s">
        <v>82</v>
      </c>
      <c r="AF1599" s="7" t="s">
        <v>0</v>
      </c>
      <c r="AG1599" s="7" t="s">
        <v>0</v>
      </c>
      <c r="AH1599" s="9" t="s">
        <v>13290</v>
      </c>
      <c r="AI1599" s="9" t="s">
        <v>13291</v>
      </c>
      <c r="AJ1599" s="9" t="s">
        <v>13292</v>
      </c>
      <c r="AK1599" s="7" t="s">
        <v>61</v>
      </c>
      <c r="AL1599" s="7" t="s">
        <v>61</v>
      </c>
      <c r="AM1599" s="7" t="s">
        <v>0</v>
      </c>
      <c r="AN1599" s="7" t="s">
        <v>0</v>
      </c>
      <c r="AO1599" s="7" t="s">
        <v>0</v>
      </c>
      <c r="AP1599" s="7" t="s">
        <v>0</v>
      </c>
      <c r="AQ1599" s="7" t="s">
        <v>61</v>
      </c>
      <c r="AR1599" s="7" t="s">
        <v>0</v>
      </c>
      <c r="AS1599" s="10" t="str">
        <f>HYPERLINK("https://tessa.gazprom-neft.local/edo/card/d8e0492c-cacb-4c20-a77a-364bd81f32a8", "https://tessa.gazprom-neft.local/edo/card/d8e0492c-cacb-4c20-a77a-364bd81f32a8")</f>
        <v>https://tessa.gazprom-neft.local/edo/card/d8e0492c-cacb-4c20-a77a-364bd81f32a8</v>
      </c>
    </row>
    <row r="1600" spans="1:45" hidden="1" x14ac:dyDescent="0.25">
      <c r="A1600" s="6" t="s">
        <v>44</v>
      </c>
      <c r="B1600" s="7" t="s">
        <v>7535</v>
      </c>
      <c r="C1600" s="7" t="s">
        <v>67</v>
      </c>
      <c r="D1600" s="8">
        <v>44753</v>
      </c>
      <c r="E1600" s="8" t="s">
        <v>0</v>
      </c>
      <c r="F1600" s="16" t="s">
        <v>7536</v>
      </c>
      <c r="G1600" s="7" t="s">
        <v>7537</v>
      </c>
      <c r="H1600" s="7" t="s">
        <v>0</v>
      </c>
      <c r="I1600" s="7" t="s">
        <v>7532</v>
      </c>
      <c r="J1600" s="7" t="s">
        <v>7532</v>
      </c>
      <c r="K1600" s="7" t="s">
        <v>47</v>
      </c>
      <c r="L1600" s="7" t="s">
        <v>96</v>
      </c>
      <c r="M1600" s="7" t="s">
        <v>0</v>
      </c>
      <c r="N1600" s="7" t="s">
        <v>7531</v>
      </c>
      <c r="O1600" s="7" t="s">
        <v>0</v>
      </c>
      <c r="P1600" s="7" t="s">
        <v>7533</v>
      </c>
      <c r="Q1600" s="7" t="s">
        <v>7534</v>
      </c>
      <c r="R1600" s="7" t="s">
        <v>4203</v>
      </c>
      <c r="S1600" s="7" t="s">
        <v>1256</v>
      </c>
      <c r="T1600" s="7" t="s">
        <v>54</v>
      </c>
      <c r="U1600" s="7" t="s">
        <v>591</v>
      </c>
      <c r="V1600" s="7" t="s">
        <v>382</v>
      </c>
      <c r="W1600" s="7" t="s">
        <v>57</v>
      </c>
      <c r="X1600" s="7" t="s">
        <v>103</v>
      </c>
      <c r="Y1600" s="8">
        <v>44753</v>
      </c>
      <c r="Z1600" s="8">
        <v>44926</v>
      </c>
      <c r="AA1600" s="7" t="s">
        <v>383</v>
      </c>
      <c r="AB1600" s="7" t="s">
        <v>387</v>
      </c>
      <c r="AC1600" s="7" t="s">
        <v>79</v>
      </c>
      <c r="AD1600" s="7" t="s">
        <v>80</v>
      </c>
      <c r="AE1600" s="7" t="s">
        <v>82</v>
      </c>
      <c r="AF1600" s="7" t="s">
        <v>0</v>
      </c>
      <c r="AG1600" s="7" t="s">
        <v>0</v>
      </c>
      <c r="AH1600" s="9" t="s">
        <v>13212</v>
      </c>
      <c r="AI1600" s="9" t="s">
        <v>13213</v>
      </c>
      <c r="AJ1600" s="9" t="s">
        <v>13214</v>
      </c>
      <c r="AK1600" s="7" t="s">
        <v>61</v>
      </c>
      <c r="AL1600" s="7" t="s">
        <v>61</v>
      </c>
      <c r="AM1600" s="7" t="s">
        <v>0</v>
      </c>
      <c r="AN1600" s="7" t="s">
        <v>0</v>
      </c>
      <c r="AO1600" s="7" t="s">
        <v>0</v>
      </c>
      <c r="AP1600" s="7" t="s">
        <v>0</v>
      </c>
      <c r="AQ1600" s="7" t="s">
        <v>61</v>
      </c>
      <c r="AR1600" s="7" t="s">
        <v>0</v>
      </c>
      <c r="AS1600" s="10" t="str">
        <f>HYPERLINK("https://tessa.gazprom-neft.local/edo/card/c7941eca-b494-475f-ada1-f518f5870c71", "https://tessa.gazprom-neft.local/edo/card/c7941eca-b494-475f-ada1-f518f5870c71")</f>
        <v>https://tessa.gazprom-neft.local/edo/card/c7941eca-b494-475f-ada1-f518f5870c71</v>
      </c>
    </row>
    <row r="1601" spans="1:45" x14ac:dyDescent="0.25">
      <c r="A1601" s="6" t="s">
        <v>44</v>
      </c>
      <c r="B1601" s="7" t="s">
        <v>2461</v>
      </c>
      <c r="C1601" s="7" t="s">
        <v>67</v>
      </c>
      <c r="D1601" s="8">
        <v>44753</v>
      </c>
      <c r="E1601" s="8" t="s">
        <v>0</v>
      </c>
      <c r="F1601" s="16" t="s">
        <v>2462</v>
      </c>
      <c r="G1601" s="7" t="s">
        <v>739</v>
      </c>
      <c r="H1601" s="7" t="s">
        <v>2459</v>
      </c>
      <c r="I1601" s="7" t="s">
        <v>0</v>
      </c>
      <c r="J1601" s="7" t="s">
        <v>271</v>
      </c>
      <c r="K1601" s="7" t="s">
        <v>47</v>
      </c>
      <c r="L1601" s="7" t="s">
        <v>48</v>
      </c>
      <c r="M1601" s="7" t="s">
        <v>0</v>
      </c>
      <c r="N1601" s="7" t="s">
        <v>7552</v>
      </c>
      <c r="O1601" s="7" t="s">
        <v>0</v>
      </c>
      <c r="P1601" s="7" t="s">
        <v>7553</v>
      </c>
      <c r="Q1601" s="7" t="s">
        <v>7554</v>
      </c>
      <c r="R1601" s="7" t="s">
        <v>198</v>
      </c>
      <c r="S1601" s="7" t="s">
        <v>198</v>
      </c>
      <c r="T1601" s="7" t="s">
        <v>54</v>
      </c>
      <c r="U1601" s="7" t="s">
        <v>199</v>
      </c>
      <c r="V1601" s="7" t="s">
        <v>137</v>
      </c>
      <c r="W1601" s="7" t="s">
        <v>57</v>
      </c>
      <c r="X1601" s="7" t="s">
        <v>103</v>
      </c>
      <c r="Y1601" s="8">
        <v>44621</v>
      </c>
      <c r="Z1601" s="8">
        <v>45747</v>
      </c>
      <c r="AA1601" s="7" t="s">
        <v>0</v>
      </c>
      <c r="AB1601" s="7" t="s">
        <v>690</v>
      </c>
      <c r="AC1601" s="7" t="s">
        <v>79</v>
      </c>
      <c r="AD1601" s="7" t="s">
        <v>80</v>
      </c>
      <c r="AE1601" s="7" t="s">
        <v>82</v>
      </c>
      <c r="AF1601" s="7" t="s">
        <v>0</v>
      </c>
      <c r="AG1601" s="7" t="s">
        <v>0</v>
      </c>
      <c r="AH1601" s="9" t="s">
        <v>13220</v>
      </c>
      <c r="AI1601" s="9" t="s">
        <v>13221</v>
      </c>
      <c r="AJ1601" s="9" t="s">
        <v>13222</v>
      </c>
      <c r="AK1601" s="7" t="s">
        <v>61</v>
      </c>
      <c r="AL1601" s="7" t="s">
        <v>61</v>
      </c>
      <c r="AM1601" s="7" t="s">
        <v>0</v>
      </c>
      <c r="AN1601" s="7" t="s">
        <v>0</v>
      </c>
      <c r="AO1601" s="7" t="s">
        <v>0</v>
      </c>
      <c r="AP1601" s="7" t="s">
        <v>0</v>
      </c>
      <c r="AQ1601" s="7" t="s">
        <v>61</v>
      </c>
      <c r="AR1601" s="7" t="s">
        <v>0</v>
      </c>
      <c r="AS1601" s="10" t="str">
        <f>HYPERLINK("https://tessa.gazprom-neft.local/edo/card/60413e2d-6172-4cda-a452-1bb4247e06c6", "https://tessa.gazprom-neft.local/edo/card/60413e2d-6172-4cda-a452-1bb4247e06c6")</f>
        <v>https://tessa.gazprom-neft.local/edo/card/60413e2d-6172-4cda-a452-1bb4247e06c6</v>
      </c>
    </row>
    <row r="1602" spans="1:45" hidden="1" x14ac:dyDescent="0.25">
      <c r="A1602" s="6" t="s">
        <v>44</v>
      </c>
      <c r="B1602" s="7" t="s">
        <v>395</v>
      </c>
      <c r="C1602" s="7" t="s">
        <v>67</v>
      </c>
      <c r="D1602" s="8">
        <v>44750</v>
      </c>
      <c r="E1602" s="8" t="s">
        <v>0</v>
      </c>
      <c r="F1602" s="16" t="s">
        <v>396</v>
      </c>
      <c r="G1602" s="7" t="s">
        <v>397</v>
      </c>
      <c r="H1602" s="7" t="s">
        <v>1233</v>
      </c>
      <c r="I1602" s="7" t="s">
        <v>0</v>
      </c>
      <c r="J1602" s="7" t="s">
        <v>5392</v>
      </c>
      <c r="K1602" s="7" t="s">
        <v>85</v>
      </c>
      <c r="L1602" s="7" t="s">
        <v>389</v>
      </c>
      <c r="M1602" s="7" t="s">
        <v>1252</v>
      </c>
      <c r="N1602" s="7" t="s">
        <v>7631</v>
      </c>
      <c r="O1602" s="7" t="s">
        <v>51</v>
      </c>
      <c r="P1602" s="7" t="s">
        <v>1252</v>
      </c>
      <c r="Q1602" s="7" t="s">
        <v>7632</v>
      </c>
      <c r="R1602" s="7" t="s">
        <v>590</v>
      </c>
      <c r="S1602" s="7" t="s">
        <v>394</v>
      </c>
      <c r="T1602" s="7" t="s">
        <v>54</v>
      </c>
      <c r="U1602" s="7" t="s">
        <v>591</v>
      </c>
      <c r="V1602" s="7" t="s">
        <v>382</v>
      </c>
      <c r="W1602" s="7" t="s">
        <v>57</v>
      </c>
      <c r="X1602" s="7" t="s">
        <v>58</v>
      </c>
      <c r="Y1602" s="8">
        <v>44606</v>
      </c>
      <c r="Z1602" s="8" t="s">
        <v>0</v>
      </c>
      <c r="AA1602" s="7" t="s">
        <v>383</v>
      </c>
      <c r="AB1602" s="7" t="s">
        <v>387</v>
      </c>
      <c r="AC1602" s="7" t="s">
        <v>79</v>
      </c>
      <c r="AD1602" s="7" t="s">
        <v>144</v>
      </c>
      <c r="AE1602" s="7" t="s">
        <v>82</v>
      </c>
      <c r="AF1602" s="7" t="s">
        <v>0</v>
      </c>
      <c r="AG1602" s="7" t="s">
        <v>0</v>
      </c>
      <c r="AH1602" s="9" t="s">
        <v>13244</v>
      </c>
      <c r="AI1602" s="9" t="s">
        <v>13245</v>
      </c>
      <c r="AJ1602" s="9" t="s">
        <v>13246</v>
      </c>
      <c r="AK1602" s="7" t="s">
        <v>61</v>
      </c>
      <c r="AL1602" s="7" t="s">
        <v>61</v>
      </c>
      <c r="AM1602" s="7" t="s">
        <v>0</v>
      </c>
      <c r="AN1602" s="7" t="s">
        <v>0</v>
      </c>
      <c r="AO1602" s="7" t="s">
        <v>0</v>
      </c>
      <c r="AP1602" s="7" t="s">
        <v>0</v>
      </c>
      <c r="AQ1602" s="7" t="s">
        <v>61</v>
      </c>
      <c r="AR1602" s="7" t="s">
        <v>0</v>
      </c>
      <c r="AS1602" s="10" t="str">
        <f>HYPERLINK("https://tessa.gazprom-neft.local/edo/card/6dccab10-986a-4383-a919-4ea7e23a826c", "https://tessa.gazprom-neft.local/edo/card/6dccab10-986a-4383-a919-4ea7e23a826c")</f>
        <v>https://tessa.gazprom-neft.local/edo/card/6dccab10-986a-4383-a919-4ea7e23a826c</v>
      </c>
    </row>
    <row r="1603" spans="1:45" hidden="1" x14ac:dyDescent="0.25">
      <c r="A1603" s="6" t="s">
        <v>44</v>
      </c>
      <c r="B1603" s="7" t="s">
        <v>114</v>
      </c>
      <c r="C1603" s="7" t="s">
        <v>67</v>
      </c>
      <c r="D1603" s="8">
        <v>44750</v>
      </c>
      <c r="E1603" s="8" t="s">
        <v>0</v>
      </c>
      <c r="F1603" s="16" t="s">
        <v>115</v>
      </c>
      <c r="G1603" s="7" t="s">
        <v>116</v>
      </c>
      <c r="H1603" s="7" t="s">
        <v>0</v>
      </c>
      <c r="I1603" s="7" t="s">
        <v>7645</v>
      </c>
      <c r="J1603" s="7" t="s">
        <v>7645</v>
      </c>
      <c r="K1603" s="7" t="s">
        <v>47</v>
      </c>
      <c r="L1603" s="7" t="s">
        <v>96</v>
      </c>
      <c r="M1603" s="7" t="s">
        <v>0</v>
      </c>
      <c r="N1603" s="7" t="s">
        <v>7644</v>
      </c>
      <c r="O1603" s="7" t="s">
        <v>0</v>
      </c>
      <c r="P1603" s="7" t="s">
        <v>117</v>
      </c>
      <c r="Q1603" s="7" t="s">
        <v>7646</v>
      </c>
      <c r="R1603" s="7" t="s">
        <v>1575</v>
      </c>
      <c r="S1603" s="7" t="s">
        <v>1575</v>
      </c>
      <c r="T1603" s="7" t="s">
        <v>54</v>
      </c>
      <c r="U1603" s="7" t="s">
        <v>222</v>
      </c>
      <c r="V1603" s="7" t="s">
        <v>382</v>
      </c>
      <c r="W1603" s="7" t="s">
        <v>57</v>
      </c>
      <c r="X1603" s="7" t="s">
        <v>103</v>
      </c>
      <c r="Y1603" s="8">
        <v>44750</v>
      </c>
      <c r="Z1603" s="8">
        <v>45135</v>
      </c>
      <c r="AA1603" s="7" t="s">
        <v>383</v>
      </c>
      <c r="AB1603" s="7" t="s">
        <v>117</v>
      </c>
      <c r="AC1603" s="7" t="s">
        <v>79</v>
      </c>
      <c r="AD1603" s="7" t="s">
        <v>80</v>
      </c>
      <c r="AE1603" s="7" t="s">
        <v>118</v>
      </c>
      <c r="AF1603" s="7" t="s">
        <v>0</v>
      </c>
      <c r="AG1603" s="7" t="s">
        <v>0</v>
      </c>
      <c r="AH1603" s="9" t="s">
        <v>12067</v>
      </c>
      <c r="AI1603" s="9" t="s">
        <v>12067</v>
      </c>
      <c r="AJ1603" s="9">
        <v>0</v>
      </c>
      <c r="AK1603" s="7" t="s">
        <v>61</v>
      </c>
      <c r="AL1603" s="7" t="s">
        <v>61</v>
      </c>
      <c r="AM1603" s="7" t="s">
        <v>0</v>
      </c>
      <c r="AN1603" s="7" t="s">
        <v>0</v>
      </c>
      <c r="AO1603" s="7" t="s">
        <v>0</v>
      </c>
      <c r="AP1603" s="7" t="s">
        <v>0</v>
      </c>
      <c r="AQ1603" s="7" t="s">
        <v>61</v>
      </c>
      <c r="AR1603" s="7" t="s">
        <v>0</v>
      </c>
      <c r="AS1603" s="10" t="str">
        <f>HYPERLINK("https://tessa.gazprom-neft.local/edo/card/7a5ead83-6e3e-47fe-9b66-1347f6b14de5", "https://tessa.gazprom-neft.local/edo/card/7a5ead83-6e3e-47fe-9b66-1347f6b14de5")</f>
        <v>https://tessa.gazprom-neft.local/edo/card/7a5ead83-6e3e-47fe-9b66-1347f6b14de5</v>
      </c>
    </row>
    <row r="1604" spans="1:45" hidden="1" x14ac:dyDescent="0.25">
      <c r="A1604" s="6" t="s">
        <v>44</v>
      </c>
      <c r="B1604" s="7" t="s">
        <v>3172</v>
      </c>
      <c r="C1604" s="7" t="s">
        <v>67</v>
      </c>
      <c r="D1604" s="8">
        <v>44750</v>
      </c>
      <c r="E1604" s="8" t="s">
        <v>0</v>
      </c>
      <c r="F1604" s="16" t="s">
        <v>3173</v>
      </c>
      <c r="G1604" s="7" t="s">
        <v>3174</v>
      </c>
      <c r="H1604" s="7" t="s">
        <v>7654</v>
      </c>
      <c r="I1604" s="7" t="s">
        <v>0</v>
      </c>
      <c r="J1604" s="7" t="s">
        <v>955</v>
      </c>
      <c r="K1604" s="7" t="s">
        <v>85</v>
      </c>
      <c r="L1604" s="7" t="s">
        <v>239</v>
      </c>
      <c r="M1604" s="7" t="s">
        <v>1252</v>
      </c>
      <c r="N1604" s="7" t="s">
        <v>7653</v>
      </c>
      <c r="O1604" s="7" t="s">
        <v>0</v>
      </c>
      <c r="P1604" s="7" t="s">
        <v>1252</v>
      </c>
      <c r="Q1604" s="7" t="s">
        <v>7655</v>
      </c>
      <c r="R1604" s="7" t="s">
        <v>4203</v>
      </c>
      <c r="S1604" s="7" t="s">
        <v>394</v>
      </c>
      <c r="T1604" s="7" t="s">
        <v>54</v>
      </c>
      <c r="U1604" s="7" t="s">
        <v>591</v>
      </c>
      <c r="V1604" s="7" t="s">
        <v>382</v>
      </c>
      <c r="W1604" s="7" t="s">
        <v>57</v>
      </c>
      <c r="X1604" s="7" t="s">
        <v>58</v>
      </c>
      <c r="Y1604" s="8">
        <v>44750</v>
      </c>
      <c r="Z1604" s="8" t="s">
        <v>0</v>
      </c>
      <c r="AA1604" s="7" t="s">
        <v>383</v>
      </c>
      <c r="AB1604" s="7" t="s">
        <v>387</v>
      </c>
      <c r="AC1604" s="7" t="s">
        <v>79</v>
      </c>
      <c r="AD1604" s="7" t="s">
        <v>144</v>
      </c>
      <c r="AE1604" s="7" t="s">
        <v>82</v>
      </c>
      <c r="AF1604" s="7" t="s">
        <v>0</v>
      </c>
      <c r="AG1604" s="7" t="s">
        <v>0</v>
      </c>
      <c r="AH1604" s="9" t="s">
        <v>13255</v>
      </c>
      <c r="AI1604" s="9" t="s">
        <v>13256</v>
      </c>
      <c r="AJ1604" s="9" t="s">
        <v>13257</v>
      </c>
      <c r="AK1604" s="7" t="s">
        <v>61</v>
      </c>
      <c r="AL1604" s="7" t="s">
        <v>61</v>
      </c>
      <c r="AM1604" s="7" t="s">
        <v>0</v>
      </c>
      <c r="AN1604" s="7" t="s">
        <v>0</v>
      </c>
      <c r="AO1604" s="7" t="s">
        <v>0</v>
      </c>
      <c r="AP1604" s="7" t="s">
        <v>0</v>
      </c>
      <c r="AQ1604" s="7" t="s">
        <v>61</v>
      </c>
      <c r="AR1604" s="7" t="s">
        <v>0</v>
      </c>
      <c r="AS1604" s="10" t="str">
        <f>HYPERLINK("https://tessa.gazprom-neft.local/edo/card/40aaba58-817b-49f5-a23d-bec881ec2422", "https://tessa.gazprom-neft.local/edo/card/40aaba58-817b-49f5-a23d-bec881ec2422")</f>
        <v>https://tessa.gazprom-neft.local/edo/card/40aaba58-817b-49f5-a23d-bec881ec2422</v>
      </c>
    </row>
    <row r="1605" spans="1:45" hidden="1" x14ac:dyDescent="0.25">
      <c r="A1605" s="6" t="s">
        <v>44</v>
      </c>
      <c r="B1605" s="7" t="s">
        <v>3172</v>
      </c>
      <c r="C1605" s="7" t="s">
        <v>67</v>
      </c>
      <c r="D1605" s="8">
        <v>44750</v>
      </c>
      <c r="E1605" s="8" t="s">
        <v>0</v>
      </c>
      <c r="F1605" s="16" t="s">
        <v>3173</v>
      </c>
      <c r="G1605" s="7" t="s">
        <v>3174</v>
      </c>
      <c r="H1605" s="7" t="s">
        <v>7654</v>
      </c>
      <c r="I1605" s="7" t="s">
        <v>0</v>
      </c>
      <c r="J1605" s="7" t="s">
        <v>1098</v>
      </c>
      <c r="K1605" s="7" t="s">
        <v>85</v>
      </c>
      <c r="L1605" s="7" t="s">
        <v>239</v>
      </c>
      <c r="M1605" s="7" t="s">
        <v>1252</v>
      </c>
      <c r="N1605" s="7" t="s">
        <v>7669</v>
      </c>
      <c r="O1605" s="7" t="s">
        <v>0</v>
      </c>
      <c r="P1605" s="7" t="s">
        <v>1252</v>
      </c>
      <c r="Q1605" s="7" t="s">
        <v>7670</v>
      </c>
      <c r="R1605" s="7" t="s">
        <v>4203</v>
      </c>
      <c r="S1605" s="7" t="s">
        <v>394</v>
      </c>
      <c r="T1605" s="7" t="s">
        <v>54</v>
      </c>
      <c r="U1605" s="7" t="s">
        <v>591</v>
      </c>
      <c r="V1605" s="7" t="s">
        <v>382</v>
      </c>
      <c r="W1605" s="7" t="s">
        <v>57</v>
      </c>
      <c r="X1605" s="7" t="s">
        <v>58</v>
      </c>
      <c r="Y1605" s="8">
        <v>44750</v>
      </c>
      <c r="Z1605" s="8" t="s">
        <v>0</v>
      </c>
      <c r="AA1605" s="7" t="s">
        <v>383</v>
      </c>
      <c r="AB1605" s="7" t="s">
        <v>387</v>
      </c>
      <c r="AC1605" s="7" t="s">
        <v>79</v>
      </c>
      <c r="AD1605" s="7" t="s">
        <v>144</v>
      </c>
      <c r="AE1605" s="7" t="s">
        <v>82</v>
      </c>
      <c r="AF1605" s="7" t="s">
        <v>0</v>
      </c>
      <c r="AG1605" s="7" t="s">
        <v>0</v>
      </c>
      <c r="AH1605" s="9" t="s">
        <v>13265</v>
      </c>
      <c r="AI1605" s="9" t="s">
        <v>13266</v>
      </c>
      <c r="AJ1605" s="9" t="s">
        <v>13267</v>
      </c>
      <c r="AK1605" s="7" t="s">
        <v>61</v>
      </c>
      <c r="AL1605" s="7" t="s">
        <v>61</v>
      </c>
      <c r="AM1605" s="7" t="s">
        <v>0</v>
      </c>
      <c r="AN1605" s="7" t="s">
        <v>0</v>
      </c>
      <c r="AO1605" s="7" t="s">
        <v>0</v>
      </c>
      <c r="AP1605" s="7" t="s">
        <v>0</v>
      </c>
      <c r="AQ1605" s="7" t="s">
        <v>61</v>
      </c>
      <c r="AR1605" s="7" t="s">
        <v>0</v>
      </c>
      <c r="AS1605" s="10" t="str">
        <f>HYPERLINK("https://tessa.gazprom-neft.local/edo/card/c9dcb306-c6a6-4fe9-a2a9-f2faf9df078b", "https://tessa.gazprom-neft.local/edo/card/c9dcb306-c6a6-4fe9-a2a9-f2faf9df078b")</f>
        <v>https://tessa.gazprom-neft.local/edo/card/c9dcb306-c6a6-4fe9-a2a9-f2faf9df078b</v>
      </c>
    </row>
    <row r="1606" spans="1:45" x14ac:dyDescent="0.25">
      <c r="A1606" s="6" t="s">
        <v>44</v>
      </c>
      <c r="B1606" s="7" t="s">
        <v>801</v>
      </c>
      <c r="C1606" s="7" t="s">
        <v>67</v>
      </c>
      <c r="D1606" s="8">
        <v>44749</v>
      </c>
      <c r="E1606" s="8" t="s">
        <v>0</v>
      </c>
      <c r="F1606" s="16" t="s">
        <v>802</v>
      </c>
      <c r="G1606" s="7" t="s">
        <v>803</v>
      </c>
      <c r="H1606" s="7" t="s">
        <v>7582</v>
      </c>
      <c r="I1606" s="7" t="s">
        <v>0</v>
      </c>
      <c r="J1606" s="7" t="s">
        <v>51</v>
      </c>
      <c r="K1606" s="7" t="s">
        <v>47</v>
      </c>
      <c r="L1606" s="7" t="s">
        <v>48</v>
      </c>
      <c r="M1606" s="7" t="s">
        <v>0</v>
      </c>
      <c r="N1606" s="7" t="s">
        <v>7581</v>
      </c>
      <c r="O1606" s="7" t="s">
        <v>0</v>
      </c>
      <c r="P1606" s="7" t="s">
        <v>7583</v>
      </c>
      <c r="Q1606" s="7" t="s">
        <v>7584</v>
      </c>
      <c r="R1606" s="7" t="s">
        <v>1503</v>
      </c>
      <c r="S1606" s="7" t="s">
        <v>1503</v>
      </c>
      <c r="T1606" s="7" t="s">
        <v>54</v>
      </c>
      <c r="U1606" s="7" t="s">
        <v>167</v>
      </c>
      <c r="V1606" s="7" t="s">
        <v>102</v>
      </c>
      <c r="W1606" s="7" t="s">
        <v>57</v>
      </c>
      <c r="X1606" s="7" t="s">
        <v>103</v>
      </c>
      <c r="Y1606" s="8">
        <v>44749</v>
      </c>
      <c r="Z1606" s="8">
        <v>45504</v>
      </c>
      <c r="AA1606" s="7" t="s">
        <v>104</v>
      </c>
      <c r="AB1606" s="7" t="s">
        <v>64</v>
      </c>
      <c r="AC1606" s="7" t="s">
        <v>65</v>
      </c>
      <c r="AD1606" s="7" t="s">
        <v>144</v>
      </c>
      <c r="AE1606" s="7" t="s">
        <v>0</v>
      </c>
      <c r="AF1606" s="7" t="s">
        <v>0</v>
      </c>
      <c r="AG1606" s="7" t="s">
        <v>0</v>
      </c>
      <c r="AH1606" s="9" t="s">
        <v>0</v>
      </c>
      <c r="AI1606" s="9" t="s">
        <v>0</v>
      </c>
      <c r="AJ1606" s="9" t="s">
        <v>0</v>
      </c>
      <c r="AK1606" s="7" t="s">
        <v>61</v>
      </c>
      <c r="AL1606" s="7" t="s">
        <v>61</v>
      </c>
      <c r="AM1606" s="7" t="s">
        <v>0</v>
      </c>
      <c r="AN1606" s="7" t="s">
        <v>0</v>
      </c>
      <c r="AO1606" s="7" t="s">
        <v>0</v>
      </c>
      <c r="AP1606" s="7" t="s">
        <v>0</v>
      </c>
      <c r="AQ1606" s="7" t="s">
        <v>61</v>
      </c>
      <c r="AR1606" s="7" t="s">
        <v>0</v>
      </c>
      <c r="AS1606" s="10" t="str">
        <f>HYPERLINK("https://tessa.gazprom-neft.local/edo/card/5dffac1e-98a2-4b63-9cbe-07a8b46bb000", "https://tessa.gazprom-neft.local/edo/card/5dffac1e-98a2-4b63-9cbe-07a8b46bb000")</f>
        <v>https://tessa.gazprom-neft.local/edo/card/5dffac1e-98a2-4b63-9cbe-07a8b46bb000</v>
      </c>
    </row>
    <row r="1607" spans="1:45" hidden="1" x14ac:dyDescent="0.25">
      <c r="A1607" s="6" t="s">
        <v>44</v>
      </c>
      <c r="B1607" s="7" t="s">
        <v>1101</v>
      </c>
      <c r="C1607" s="7" t="s">
        <v>67</v>
      </c>
      <c r="D1607" s="8">
        <v>44748</v>
      </c>
      <c r="E1607" s="8" t="s">
        <v>0</v>
      </c>
      <c r="F1607" s="16" t="s">
        <v>1102</v>
      </c>
      <c r="G1607" s="7" t="s">
        <v>1103</v>
      </c>
      <c r="H1607" s="7" t="s">
        <v>2522</v>
      </c>
      <c r="I1607" s="7" t="s">
        <v>0</v>
      </c>
      <c r="J1607" s="7" t="s">
        <v>271</v>
      </c>
      <c r="K1607" s="7" t="s">
        <v>47</v>
      </c>
      <c r="L1607" s="7" t="s">
        <v>239</v>
      </c>
      <c r="M1607" s="7" t="s">
        <v>0</v>
      </c>
      <c r="N1607" s="7" t="s">
        <v>7103</v>
      </c>
      <c r="O1607" s="7" t="s">
        <v>0</v>
      </c>
      <c r="P1607" s="7" t="s">
        <v>7104</v>
      </c>
      <c r="Q1607" s="7" t="s">
        <v>7105</v>
      </c>
      <c r="R1607" s="7" t="s">
        <v>339</v>
      </c>
      <c r="S1607" s="7" t="s">
        <v>339</v>
      </c>
      <c r="T1607" s="7" t="s">
        <v>54</v>
      </c>
      <c r="U1607" s="7" t="s">
        <v>303</v>
      </c>
      <c r="V1607" s="7" t="s">
        <v>91</v>
      </c>
      <c r="W1607" s="7" t="s">
        <v>74</v>
      </c>
      <c r="X1607" s="7" t="s">
        <v>103</v>
      </c>
      <c r="Y1607" s="8">
        <v>44759</v>
      </c>
      <c r="Z1607" s="8">
        <v>44865</v>
      </c>
      <c r="AA1607" s="7" t="s">
        <v>92</v>
      </c>
      <c r="AB1607" s="7" t="s">
        <v>64</v>
      </c>
      <c r="AC1607" s="7" t="s">
        <v>79</v>
      </c>
      <c r="AD1607" s="7" t="s">
        <v>144</v>
      </c>
      <c r="AE1607" s="7" t="s">
        <v>118</v>
      </c>
      <c r="AF1607" s="7" t="s">
        <v>0</v>
      </c>
      <c r="AG1607" s="7" t="s">
        <v>0</v>
      </c>
      <c r="AH1607" s="9" t="s">
        <v>13064</v>
      </c>
      <c r="AI1607" s="9" t="s">
        <v>13064</v>
      </c>
      <c r="AJ1607" s="9">
        <v>0</v>
      </c>
      <c r="AK1607" s="7" t="s">
        <v>61</v>
      </c>
      <c r="AL1607" s="7" t="s">
        <v>61</v>
      </c>
      <c r="AM1607" s="7" t="s">
        <v>0</v>
      </c>
      <c r="AN1607" s="7" t="s">
        <v>0</v>
      </c>
      <c r="AO1607" s="7" t="s">
        <v>0</v>
      </c>
      <c r="AP1607" s="7" t="s">
        <v>0</v>
      </c>
      <c r="AQ1607" s="7" t="s">
        <v>61</v>
      </c>
      <c r="AR1607" s="7" t="s">
        <v>0</v>
      </c>
      <c r="AS1607" s="10" t="str">
        <f>HYPERLINK("https://tessa.gazprom-neft.local/edo/card/d3ea13e8-29a1-4cec-842f-df8a95fad951", "https://tessa.gazprom-neft.local/edo/card/d3ea13e8-29a1-4cec-842f-df8a95fad951")</f>
        <v>https://tessa.gazprom-neft.local/edo/card/d3ea13e8-29a1-4cec-842f-df8a95fad951</v>
      </c>
    </row>
    <row r="1608" spans="1:45" x14ac:dyDescent="0.25">
      <c r="A1608" s="6" t="s">
        <v>44</v>
      </c>
      <c r="B1608" s="7" t="s">
        <v>793</v>
      </c>
      <c r="C1608" s="7" t="s">
        <v>67</v>
      </c>
      <c r="D1608" s="8">
        <v>44748</v>
      </c>
      <c r="E1608" s="8" t="s">
        <v>0</v>
      </c>
      <c r="F1608" s="16" t="s">
        <v>794</v>
      </c>
      <c r="G1608" s="7" t="s">
        <v>795</v>
      </c>
      <c r="H1608" s="7" t="s">
        <v>1367</v>
      </c>
      <c r="I1608" s="7" t="s">
        <v>0</v>
      </c>
      <c r="J1608" s="7" t="s">
        <v>156</v>
      </c>
      <c r="K1608" s="7" t="s">
        <v>47</v>
      </c>
      <c r="L1608" s="7" t="s">
        <v>48</v>
      </c>
      <c r="M1608" s="7" t="s">
        <v>0</v>
      </c>
      <c r="N1608" s="7" t="s">
        <v>7593</v>
      </c>
      <c r="O1608" s="7" t="s">
        <v>0</v>
      </c>
      <c r="P1608" s="7" t="s">
        <v>7594</v>
      </c>
      <c r="Q1608" s="7" t="s">
        <v>7595</v>
      </c>
      <c r="R1608" s="7" t="s">
        <v>282</v>
      </c>
      <c r="S1608" s="7" t="s">
        <v>0</v>
      </c>
      <c r="T1608" s="7" t="s">
        <v>54</v>
      </c>
      <c r="U1608" s="7" t="s">
        <v>55</v>
      </c>
      <c r="V1608" s="7" t="s">
        <v>56</v>
      </c>
      <c r="W1608" s="7" t="s">
        <v>57</v>
      </c>
      <c r="X1608" s="7" t="s">
        <v>103</v>
      </c>
      <c r="Y1608" s="8">
        <v>44748</v>
      </c>
      <c r="Z1608" s="8">
        <v>45291</v>
      </c>
      <c r="AA1608" s="7" t="s">
        <v>0</v>
      </c>
      <c r="AB1608" s="7" t="s">
        <v>64</v>
      </c>
      <c r="AC1608" s="7" t="s">
        <v>65</v>
      </c>
      <c r="AD1608" s="7" t="s">
        <v>0</v>
      </c>
      <c r="AE1608" s="7" t="s">
        <v>0</v>
      </c>
      <c r="AF1608" s="7" t="s">
        <v>0</v>
      </c>
      <c r="AG1608" s="7" t="s">
        <v>0</v>
      </c>
      <c r="AH1608" s="9" t="s">
        <v>0</v>
      </c>
      <c r="AI1608" s="9" t="s">
        <v>0</v>
      </c>
      <c r="AJ1608" s="9" t="s">
        <v>0</v>
      </c>
      <c r="AK1608" s="7" t="s">
        <v>61</v>
      </c>
      <c r="AL1608" s="7" t="s">
        <v>61</v>
      </c>
      <c r="AM1608" s="7" t="s">
        <v>0</v>
      </c>
      <c r="AN1608" s="7" t="s">
        <v>0</v>
      </c>
      <c r="AO1608" s="7" t="s">
        <v>0</v>
      </c>
      <c r="AP1608" s="7" t="s">
        <v>0</v>
      </c>
      <c r="AQ1608" s="7" t="s">
        <v>61</v>
      </c>
      <c r="AR1608" s="7" t="s">
        <v>0</v>
      </c>
      <c r="AS1608" s="10" t="str">
        <f>HYPERLINK("https://tessa.gazprom-neft.local/edo/card/36380b1d-6a43-4eda-8572-d5a15b103ce2", "https://tessa.gazprom-neft.local/edo/card/36380b1d-6a43-4eda-8572-d5a15b103ce2")</f>
        <v>https://tessa.gazprom-neft.local/edo/card/36380b1d-6a43-4eda-8572-d5a15b103ce2</v>
      </c>
    </row>
    <row r="1609" spans="1:45" hidden="1" x14ac:dyDescent="0.25">
      <c r="A1609" s="6" t="s">
        <v>44</v>
      </c>
      <c r="B1609" s="7" t="s">
        <v>2050</v>
      </c>
      <c r="C1609" s="7" t="s">
        <v>67</v>
      </c>
      <c r="D1609" s="8">
        <v>44748</v>
      </c>
      <c r="E1609" s="8" t="s">
        <v>0</v>
      </c>
      <c r="F1609" s="16" t="s">
        <v>2051</v>
      </c>
      <c r="G1609" s="7" t="s">
        <v>2052</v>
      </c>
      <c r="H1609" s="7" t="s">
        <v>7808</v>
      </c>
      <c r="I1609" s="7" t="s">
        <v>0</v>
      </c>
      <c r="J1609" s="7" t="s">
        <v>1098</v>
      </c>
      <c r="K1609" s="7" t="s">
        <v>85</v>
      </c>
      <c r="L1609" s="7" t="s">
        <v>239</v>
      </c>
      <c r="M1609" s="7" t="s">
        <v>1252</v>
      </c>
      <c r="N1609" s="7" t="s">
        <v>7807</v>
      </c>
      <c r="O1609" s="7" t="s">
        <v>0</v>
      </c>
      <c r="P1609" s="7" t="s">
        <v>1252</v>
      </c>
      <c r="Q1609" s="7" t="s">
        <v>7809</v>
      </c>
      <c r="R1609" s="7" t="s">
        <v>590</v>
      </c>
      <c r="S1609" s="7" t="s">
        <v>394</v>
      </c>
      <c r="T1609" s="7" t="s">
        <v>54</v>
      </c>
      <c r="U1609" s="7" t="s">
        <v>591</v>
      </c>
      <c r="V1609" s="7" t="s">
        <v>382</v>
      </c>
      <c r="W1609" s="7" t="s">
        <v>57</v>
      </c>
      <c r="X1609" s="7" t="s">
        <v>58</v>
      </c>
      <c r="Y1609" s="8">
        <v>44748</v>
      </c>
      <c r="Z1609" s="8" t="s">
        <v>0</v>
      </c>
      <c r="AA1609" s="7" t="s">
        <v>383</v>
      </c>
      <c r="AB1609" s="7" t="s">
        <v>387</v>
      </c>
      <c r="AC1609" s="7" t="s">
        <v>79</v>
      </c>
      <c r="AD1609" s="7" t="s">
        <v>144</v>
      </c>
      <c r="AE1609" s="7" t="s">
        <v>82</v>
      </c>
      <c r="AF1609" s="7" t="s">
        <v>0</v>
      </c>
      <c r="AG1609" s="7" t="s">
        <v>0</v>
      </c>
      <c r="AH1609" s="9" t="s">
        <v>13326</v>
      </c>
      <c r="AI1609" s="9" t="s">
        <v>13327</v>
      </c>
      <c r="AJ1609" s="9" t="s">
        <v>13328</v>
      </c>
      <c r="AK1609" s="7" t="s">
        <v>61</v>
      </c>
      <c r="AL1609" s="7" t="s">
        <v>61</v>
      </c>
      <c r="AM1609" s="7" t="s">
        <v>0</v>
      </c>
      <c r="AN1609" s="7" t="s">
        <v>0</v>
      </c>
      <c r="AO1609" s="7" t="s">
        <v>0</v>
      </c>
      <c r="AP1609" s="7" t="s">
        <v>0</v>
      </c>
      <c r="AQ1609" s="7" t="s">
        <v>61</v>
      </c>
      <c r="AR1609" s="7" t="s">
        <v>0</v>
      </c>
      <c r="AS1609" s="10" t="str">
        <f>HYPERLINK("https://tessa.gazprom-neft.local/edo/card/c7db098a-3f12-4b65-9472-aed613983261", "https://tessa.gazprom-neft.local/edo/card/c7db098a-3f12-4b65-9472-aed613983261")</f>
        <v>https://tessa.gazprom-neft.local/edo/card/c7db098a-3f12-4b65-9472-aed613983261</v>
      </c>
    </row>
    <row r="1610" spans="1:45" x14ac:dyDescent="0.25">
      <c r="A1610" s="6" t="s">
        <v>44</v>
      </c>
      <c r="B1610" s="7" t="s">
        <v>813</v>
      </c>
      <c r="C1610" s="7" t="s">
        <v>67</v>
      </c>
      <c r="D1610" s="8">
        <v>44747</v>
      </c>
      <c r="E1610" s="8" t="s">
        <v>0</v>
      </c>
      <c r="F1610" s="16" t="s">
        <v>814</v>
      </c>
      <c r="G1610" s="7" t="s">
        <v>815</v>
      </c>
      <c r="H1610" s="7" t="s">
        <v>809</v>
      </c>
      <c r="I1610" s="7" t="s">
        <v>0</v>
      </c>
      <c r="J1610" s="7" t="s">
        <v>271</v>
      </c>
      <c r="K1610" s="7" t="s">
        <v>47</v>
      </c>
      <c r="L1610" s="7" t="s">
        <v>48</v>
      </c>
      <c r="M1610" s="7" t="s">
        <v>0</v>
      </c>
      <c r="N1610" s="7" t="s">
        <v>7448</v>
      </c>
      <c r="O1610" s="7" t="s">
        <v>0</v>
      </c>
      <c r="P1610" s="7" t="s">
        <v>7449</v>
      </c>
      <c r="Q1610" s="7" t="s">
        <v>4088</v>
      </c>
      <c r="R1610" s="7" t="s">
        <v>812</v>
      </c>
      <c r="S1610" s="7" t="s">
        <v>812</v>
      </c>
      <c r="T1610" s="7" t="s">
        <v>54</v>
      </c>
      <c r="U1610" s="7" t="s">
        <v>1534</v>
      </c>
      <c r="V1610" s="7" t="s">
        <v>56</v>
      </c>
      <c r="W1610" s="7" t="s">
        <v>57</v>
      </c>
      <c r="X1610" s="7" t="s">
        <v>103</v>
      </c>
      <c r="Y1610" s="8">
        <v>44747</v>
      </c>
      <c r="Z1610" s="8">
        <v>46387</v>
      </c>
      <c r="AA1610" s="7" t="s">
        <v>59</v>
      </c>
      <c r="AB1610" s="7" t="s">
        <v>256</v>
      </c>
      <c r="AC1610" s="7" t="s">
        <v>65</v>
      </c>
      <c r="AD1610" s="7" t="s">
        <v>80</v>
      </c>
      <c r="AE1610" s="7" t="s">
        <v>0</v>
      </c>
      <c r="AF1610" s="7" t="s">
        <v>0</v>
      </c>
      <c r="AG1610" s="7" t="s">
        <v>0</v>
      </c>
      <c r="AH1610" s="9" t="s">
        <v>0</v>
      </c>
      <c r="AI1610" s="9" t="s">
        <v>0</v>
      </c>
      <c r="AJ1610" s="9" t="s">
        <v>0</v>
      </c>
      <c r="AK1610" s="7" t="s">
        <v>61</v>
      </c>
      <c r="AL1610" s="7" t="s">
        <v>61</v>
      </c>
      <c r="AM1610" s="7" t="s">
        <v>0</v>
      </c>
      <c r="AN1610" s="7" t="s">
        <v>0</v>
      </c>
      <c r="AO1610" s="7" t="s">
        <v>0</v>
      </c>
      <c r="AP1610" s="7" t="s">
        <v>0</v>
      </c>
      <c r="AQ1610" s="7" t="s">
        <v>61</v>
      </c>
      <c r="AR1610" s="7" t="s">
        <v>0</v>
      </c>
      <c r="AS1610" s="10" t="str">
        <f>HYPERLINK("https://tessa.gazprom-neft.local/edo/card/43f4e9c5-9333-4054-aa0e-1dc42e5bbe8a", "https://tessa.gazprom-neft.local/edo/card/43f4e9c5-9333-4054-aa0e-1dc42e5bbe8a")</f>
        <v>https://tessa.gazprom-neft.local/edo/card/43f4e9c5-9333-4054-aa0e-1dc42e5bbe8a</v>
      </c>
    </row>
    <row r="1611" spans="1:45" hidden="1" x14ac:dyDescent="0.25">
      <c r="A1611" s="6" t="s">
        <v>44</v>
      </c>
      <c r="B1611" s="7" t="s">
        <v>813</v>
      </c>
      <c r="C1611" s="7" t="s">
        <v>67</v>
      </c>
      <c r="D1611" s="8">
        <v>44747</v>
      </c>
      <c r="E1611" s="8" t="s">
        <v>0</v>
      </c>
      <c r="F1611" s="16" t="s">
        <v>814</v>
      </c>
      <c r="G1611" s="7" t="s">
        <v>815</v>
      </c>
      <c r="H1611" s="7" t="s">
        <v>809</v>
      </c>
      <c r="I1611" s="7" t="s">
        <v>0</v>
      </c>
      <c r="J1611" s="7" t="s">
        <v>271</v>
      </c>
      <c r="K1611" s="7" t="s">
        <v>47</v>
      </c>
      <c r="L1611" s="7" t="s">
        <v>709</v>
      </c>
      <c r="M1611" s="7" t="s">
        <v>0</v>
      </c>
      <c r="N1611" s="7" t="s">
        <v>7454</v>
      </c>
      <c r="O1611" s="7" t="s">
        <v>0</v>
      </c>
      <c r="P1611" s="7" t="s">
        <v>7455</v>
      </c>
      <c r="Q1611" s="7" t="s">
        <v>7456</v>
      </c>
      <c r="R1611" s="7" t="s">
        <v>812</v>
      </c>
      <c r="S1611" s="7" t="s">
        <v>812</v>
      </c>
      <c r="T1611" s="7" t="s">
        <v>54</v>
      </c>
      <c r="U1611" s="7" t="s">
        <v>1534</v>
      </c>
      <c r="V1611" s="7" t="s">
        <v>56</v>
      </c>
      <c r="W1611" s="7" t="s">
        <v>57</v>
      </c>
      <c r="X1611" s="7" t="s">
        <v>103</v>
      </c>
      <c r="Y1611" s="8">
        <v>44747</v>
      </c>
      <c r="Z1611" s="8">
        <v>44926</v>
      </c>
      <c r="AA1611" s="7" t="s">
        <v>59</v>
      </c>
      <c r="AB1611" s="7" t="s">
        <v>256</v>
      </c>
      <c r="AC1611" s="7" t="s">
        <v>79</v>
      </c>
      <c r="AD1611" s="7" t="s">
        <v>80</v>
      </c>
      <c r="AE1611" s="7" t="s">
        <v>82</v>
      </c>
      <c r="AF1611" s="7" t="s">
        <v>0</v>
      </c>
      <c r="AG1611" s="7" t="s">
        <v>0</v>
      </c>
      <c r="AH1611" s="9" t="s">
        <v>13184</v>
      </c>
      <c r="AI1611" s="9" t="s">
        <v>13185</v>
      </c>
      <c r="AJ1611" s="9" t="s">
        <v>13186</v>
      </c>
      <c r="AK1611" s="7" t="s">
        <v>61</v>
      </c>
      <c r="AL1611" s="7" t="s">
        <v>61</v>
      </c>
      <c r="AM1611" s="7" t="s">
        <v>0</v>
      </c>
      <c r="AN1611" s="7" t="s">
        <v>0</v>
      </c>
      <c r="AO1611" s="7" t="s">
        <v>0</v>
      </c>
      <c r="AP1611" s="7" t="s">
        <v>0</v>
      </c>
      <c r="AQ1611" s="7" t="s">
        <v>61</v>
      </c>
      <c r="AR1611" s="7" t="s">
        <v>0</v>
      </c>
      <c r="AS1611" s="10" t="str">
        <f>HYPERLINK("https://tessa.gazprom-neft.local/edo/card/93401348-7c2d-4dc5-80be-f7f5a3c0e0c5", "https://tessa.gazprom-neft.local/edo/card/93401348-7c2d-4dc5-80be-f7f5a3c0e0c5")</f>
        <v>https://tessa.gazprom-neft.local/edo/card/93401348-7c2d-4dc5-80be-f7f5a3c0e0c5</v>
      </c>
    </row>
    <row r="1612" spans="1:45" hidden="1" x14ac:dyDescent="0.25">
      <c r="A1612" s="6" t="s">
        <v>44</v>
      </c>
      <c r="B1612" s="7" t="s">
        <v>0</v>
      </c>
      <c r="C1612" s="7" t="s">
        <v>46</v>
      </c>
      <c r="D1612" s="8">
        <v>44747</v>
      </c>
      <c r="E1612" s="8" t="s">
        <v>0</v>
      </c>
      <c r="F1612" s="16" t="s">
        <v>7471</v>
      </c>
      <c r="G1612" s="7" t="s">
        <v>0</v>
      </c>
      <c r="H1612" s="7" t="s">
        <v>0</v>
      </c>
      <c r="I1612" s="7" t="s">
        <v>7470</v>
      </c>
      <c r="J1612" s="7" t="s">
        <v>7470</v>
      </c>
      <c r="K1612" s="7" t="s">
        <v>85</v>
      </c>
      <c r="L1612" s="7" t="s">
        <v>96</v>
      </c>
      <c r="M1612" s="7" t="s">
        <v>183</v>
      </c>
      <c r="N1612" s="7" t="s">
        <v>7469</v>
      </c>
      <c r="O1612" s="7" t="s">
        <v>0</v>
      </c>
      <c r="P1612" s="7" t="s">
        <v>183</v>
      </c>
      <c r="Q1612" s="7" t="s">
        <v>6742</v>
      </c>
      <c r="R1612" s="7" t="s">
        <v>659</v>
      </c>
      <c r="S1612" s="7" t="s">
        <v>659</v>
      </c>
      <c r="T1612" s="7" t="s">
        <v>54</v>
      </c>
      <c r="U1612" s="7" t="s">
        <v>362</v>
      </c>
      <c r="V1612" s="7" t="s">
        <v>295</v>
      </c>
      <c r="W1612" s="7" t="s">
        <v>57</v>
      </c>
      <c r="X1612" s="7" t="s">
        <v>103</v>
      </c>
      <c r="Y1612" s="8">
        <v>44757</v>
      </c>
      <c r="Z1612" s="8">
        <v>44788</v>
      </c>
      <c r="AA1612" s="7" t="s">
        <v>296</v>
      </c>
      <c r="AB1612" s="7" t="s">
        <v>192</v>
      </c>
      <c r="AC1612" s="7" t="s">
        <v>79</v>
      </c>
      <c r="AD1612" s="7" t="s">
        <v>80</v>
      </c>
      <c r="AE1612" s="7" t="s">
        <v>193</v>
      </c>
      <c r="AF1612" s="7" t="s">
        <v>0</v>
      </c>
      <c r="AG1612" s="7" t="s">
        <v>0</v>
      </c>
      <c r="AH1612" s="9" t="s">
        <v>12096</v>
      </c>
      <c r="AI1612" s="9" t="s">
        <v>12097</v>
      </c>
      <c r="AJ1612" s="9" t="s">
        <v>12098</v>
      </c>
      <c r="AK1612" s="7" t="s">
        <v>61</v>
      </c>
      <c r="AL1612" s="7" t="s">
        <v>61</v>
      </c>
      <c r="AM1612" s="7" t="s">
        <v>0</v>
      </c>
      <c r="AN1612" s="7" t="s">
        <v>0</v>
      </c>
      <c r="AO1612" s="7" t="s">
        <v>0</v>
      </c>
      <c r="AP1612" s="7" t="s">
        <v>0</v>
      </c>
      <c r="AQ1612" s="7" t="s">
        <v>61</v>
      </c>
      <c r="AR1612" s="7" t="s">
        <v>0</v>
      </c>
      <c r="AS1612" s="10" t="str">
        <f>HYPERLINK("https://tessa.gazprom-neft.local/edo/card/1a7f6a79-022f-4ab6-9bc0-090cf17544a7", "https://tessa.gazprom-neft.local/edo/card/1a7f6a79-022f-4ab6-9bc0-090cf17544a7")</f>
        <v>https://tessa.gazprom-neft.local/edo/card/1a7f6a79-022f-4ab6-9bc0-090cf17544a7</v>
      </c>
    </row>
    <row r="1613" spans="1:45" hidden="1" x14ac:dyDescent="0.25">
      <c r="A1613" s="6" t="s">
        <v>44</v>
      </c>
      <c r="B1613" s="7" t="s">
        <v>0</v>
      </c>
      <c r="C1613" s="7" t="s">
        <v>67</v>
      </c>
      <c r="D1613" s="8">
        <v>44747</v>
      </c>
      <c r="E1613" s="8" t="s">
        <v>0</v>
      </c>
      <c r="F1613" s="16" t="s">
        <v>7471</v>
      </c>
      <c r="G1613" s="7" t="s">
        <v>0</v>
      </c>
      <c r="H1613" s="7" t="s">
        <v>0</v>
      </c>
      <c r="I1613" s="7" t="s">
        <v>7481</v>
      </c>
      <c r="J1613" s="7" t="s">
        <v>7481</v>
      </c>
      <c r="K1613" s="7" t="s">
        <v>85</v>
      </c>
      <c r="L1613" s="7" t="s">
        <v>86</v>
      </c>
      <c r="M1613" s="7" t="s">
        <v>523</v>
      </c>
      <c r="N1613" s="7" t="s">
        <v>7480</v>
      </c>
      <c r="O1613" s="7" t="s">
        <v>0</v>
      </c>
      <c r="P1613" s="7" t="s">
        <v>523</v>
      </c>
      <c r="Q1613" s="7" t="s">
        <v>526</v>
      </c>
      <c r="R1613" s="7" t="s">
        <v>659</v>
      </c>
      <c r="S1613" s="7" t="s">
        <v>659</v>
      </c>
      <c r="T1613" s="7" t="s">
        <v>54</v>
      </c>
      <c r="U1613" s="7" t="s">
        <v>303</v>
      </c>
      <c r="V1613" s="7" t="s">
        <v>91</v>
      </c>
      <c r="W1613" s="7" t="s">
        <v>57</v>
      </c>
      <c r="X1613" s="7" t="s">
        <v>223</v>
      </c>
      <c r="Y1613" s="8">
        <v>44747</v>
      </c>
      <c r="Z1613" s="8" t="s">
        <v>0</v>
      </c>
      <c r="AA1613" s="7" t="s">
        <v>92</v>
      </c>
      <c r="AB1613" s="7" t="s">
        <v>94</v>
      </c>
      <c r="AC1613" s="7" t="s">
        <v>65</v>
      </c>
      <c r="AD1613" s="7" t="s">
        <v>0</v>
      </c>
      <c r="AE1613" s="7" t="s">
        <v>0</v>
      </c>
      <c r="AF1613" s="7" t="s">
        <v>0</v>
      </c>
      <c r="AG1613" s="7" t="s">
        <v>0</v>
      </c>
      <c r="AH1613" s="9" t="s">
        <v>0</v>
      </c>
      <c r="AI1613" s="9" t="s">
        <v>0</v>
      </c>
      <c r="AJ1613" s="9" t="s">
        <v>0</v>
      </c>
      <c r="AK1613" s="7" t="s">
        <v>61</v>
      </c>
      <c r="AL1613" s="7" t="s">
        <v>61</v>
      </c>
      <c r="AM1613" s="7" t="s">
        <v>0</v>
      </c>
      <c r="AN1613" s="7" t="s">
        <v>0</v>
      </c>
      <c r="AO1613" s="7" t="s">
        <v>0</v>
      </c>
      <c r="AP1613" s="7" t="s">
        <v>0</v>
      </c>
      <c r="AQ1613" s="7" t="s">
        <v>61</v>
      </c>
      <c r="AR1613" s="7" t="s">
        <v>0</v>
      </c>
      <c r="AS1613" s="10" t="str">
        <f>HYPERLINK("https://tessa.gazprom-neft.local/edo/card/172a863f-9377-4f51-a591-b1508fbe6dd9", "https://tessa.gazprom-neft.local/edo/card/172a863f-9377-4f51-a591-b1508fbe6dd9")</f>
        <v>https://tessa.gazprom-neft.local/edo/card/172a863f-9377-4f51-a591-b1508fbe6dd9</v>
      </c>
    </row>
    <row r="1614" spans="1:45" x14ac:dyDescent="0.25">
      <c r="A1614" s="6" t="s">
        <v>44</v>
      </c>
      <c r="B1614" s="7" t="s">
        <v>661</v>
      </c>
      <c r="C1614" s="7" t="s">
        <v>67</v>
      </c>
      <c r="D1614" s="8">
        <v>44747</v>
      </c>
      <c r="E1614" s="8" t="s">
        <v>0</v>
      </c>
      <c r="F1614" s="16" t="s">
        <v>662</v>
      </c>
      <c r="G1614" s="7" t="s">
        <v>663</v>
      </c>
      <c r="H1614" s="7" t="s">
        <v>1426</v>
      </c>
      <c r="I1614" s="7" t="s">
        <v>0</v>
      </c>
      <c r="J1614" s="7" t="s">
        <v>936</v>
      </c>
      <c r="K1614" s="7" t="s">
        <v>47</v>
      </c>
      <c r="L1614" s="7" t="s">
        <v>48</v>
      </c>
      <c r="M1614" s="7" t="s">
        <v>0</v>
      </c>
      <c r="N1614" s="7" t="s">
        <v>7515</v>
      </c>
      <c r="O1614" s="7" t="s">
        <v>0</v>
      </c>
      <c r="P1614" s="7" t="s">
        <v>7516</v>
      </c>
      <c r="Q1614" s="7" t="s">
        <v>7517</v>
      </c>
      <c r="R1614" s="7" t="s">
        <v>659</v>
      </c>
      <c r="S1614" s="7" t="s">
        <v>7518</v>
      </c>
      <c r="T1614" s="7" t="s">
        <v>54</v>
      </c>
      <c r="U1614" s="7" t="s">
        <v>283</v>
      </c>
      <c r="V1614" s="7" t="s">
        <v>102</v>
      </c>
      <c r="W1614" s="7" t="s">
        <v>74</v>
      </c>
      <c r="X1614" s="7" t="s">
        <v>103</v>
      </c>
      <c r="Y1614" s="8">
        <v>44747</v>
      </c>
      <c r="Z1614" s="8">
        <v>45657</v>
      </c>
      <c r="AA1614" s="7" t="s">
        <v>104</v>
      </c>
      <c r="AB1614" s="7" t="s">
        <v>130</v>
      </c>
      <c r="AC1614" s="7" t="s">
        <v>79</v>
      </c>
      <c r="AD1614" s="7" t="s">
        <v>514</v>
      </c>
      <c r="AE1614" s="7" t="s">
        <v>82</v>
      </c>
      <c r="AF1614" s="7" t="s">
        <v>0</v>
      </c>
      <c r="AG1614" s="7" t="s">
        <v>0</v>
      </c>
      <c r="AH1614" s="9">
        <v>0.01</v>
      </c>
      <c r="AI1614" s="9">
        <v>0.01</v>
      </c>
      <c r="AJ1614" s="9">
        <v>0</v>
      </c>
      <c r="AK1614" s="7" t="s">
        <v>61</v>
      </c>
      <c r="AL1614" s="7" t="s">
        <v>61</v>
      </c>
      <c r="AM1614" s="7" t="s">
        <v>0</v>
      </c>
      <c r="AN1614" s="7" t="s">
        <v>0</v>
      </c>
      <c r="AO1614" s="7" t="s">
        <v>0</v>
      </c>
      <c r="AP1614" s="7" t="s">
        <v>0</v>
      </c>
      <c r="AQ1614" s="7" t="s">
        <v>61</v>
      </c>
      <c r="AR1614" s="7" t="s">
        <v>0</v>
      </c>
      <c r="AS1614" s="10" t="str">
        <f>HYPERLINK("https://tessa.gazprom-neft.local/edo/card/ee6960f2-a487-445a-a2d4-e8dbbd10c98a", "https://tessa.gazprom-neft.local/edo/card/ee6960f2-a487-445a-a2d4-e8dbbd10c98a")</f>
        <v>https://tessa.gazprom-neft.local/edo/card/ee6960f2-a487-445a-a2d4-e8dbbd10c98a</v>
      </c>
    </row>
    <row r="1615" spans="1:45" hidden="1" x14ac:dyDescent="0.25">
      <c r="A1615" s="6" t="s">
        <v>44</v>
      </c>
      <c r="B1615" s="7" t="s">
        <v>4519</v>
      </c>
      <c r="C1615" s="7" t="s">
        <v>67</v>
      </c>
      <c r="D1615" s="8">
        <v>44747</v>
      </c>
      <c r="E1615" s="8" t="s">
        <v>0</v>
      </c>
      <c r="F1615" s="16" t="s">
        <v>4520</v>
      </c>
      <c r="G1615" s="7" t="s">
        <v>4521</v>
      </c>
      <c r="H1615" s="7" t="s">
        <v>0</v>
      </c>
      <c r="I1615" s="7" t="s">
        <v>7527</v>
      </c>
      <c r="J1615" s="7" t="s">
        <v>7527</v>
      </c>
      <c r="K1615" s="7" t="s">
        <v>47</v>
      </c>
      <c r="L1615" s="7" t="s">
        <v>96</v>
      </c>
      <c r="M1615" s="7" t="s">
        <v>0</v>
      </c>
      <c r="N1615" s="7" t="s">
        <v>7526</v>
      </c>
      <c r="O1615" s="7" t="s">
        <v>0</v>
      </c>
      <c r="P1615" s="7" t="s">
        <v>6313</v>
      </c>
      <c r="Q1615" s="7" t="s">
        <v>1934</v>
      </c>
      <c r="R1615" s="7" t="s">
        <v>1199</v>
      </c>
      <c r="S1615" s="7" t="s">
        <v>1199</v>
      </c>
      <c r="T1615" s="7" t="s">
        <v>54</v>
      </c>
      <c r="U1615" s="7" t="s">
        <v>605</v>
      </c>
      <c r="V1615" s="7" t="s">
        <v>382</v>
      </c>
      <c r="W1615" s="7" t="s">
        <v>57</v>
      </c>
      <c r="X1615" s="7" t="s">
        <v>103</v>
      </c>
      <c r="Y1615" s="8">
        <v>44747</v>
      </c>
      <c r="Z1615" s="8">
        <v>45081</v>
      </c>
      <c r="AA1615" s="7" t="s">
        <v>383</v>
      </c>
      <c r="AB1615" s="7" t="s">
        <v>2985</v>
      </c>
      <c r="AC1615" s="7" t="s">
        <v>79</v>
      </c>
      <c r="AD1615" s="7" t="s">
        <v>80</v>
      </c>
      <c r="AE1615" s="7" t="s">
        <v>193</v>
      </c>
      <c r="AF1615" s="7" t="s">
        <v>0</v>
      </c>
      <c r="AG1615" s="7" t="s">
        <v>0</v>
      </c>
      <c r="AH1615" s="9" t="s">
        <v>12099</v>
      </c>
      <c r="AI1615" s="9" t="s">
        <v>12100</v>
      </c>
      <c r="AJ1615" s="9" t="s">
        <v>12101</v>
      </c>
      <c r="AK1615" s="7" t="s">
        <v>61</v>
      </c>
      <c r="AL1615" s="7" t="s">
        <v>61</v>
      </c>
      <c r="AM1615" s="7" t="s">
        <v>0</v>
      </c>
      <c r="AN1615" s="7" t="s">
        <v>0</v>
      </c>
      <c r="AO1615" s="7" t="s">
        <v>0</v>
      </c>
      <c r="AP1615" s="7" t="s">
        <v>0</v>
      </c>
      <c r="AQ1615" s="7" t="s">
        <v>61</v>
      </c>
      <c r="AR1615" s="7" t="s">
        <v>0</v>
      </c>
      <c r="AS1615" s="10" t="str">
        <f>HYPERLINK("https://tessa.gazprom-neft.local/edo/card/f6c737fc-7a47-4150-a6b3-2e32e2c3ca74", "https://tessa.gazprom-neft.local/edo/card/f6c737fc-7a47-4150-a6b3-2e32e2c3ca74")</f>
        <v>https://tessa.gazprom-neft.local/edo/card/f6c737fc-7a47-4150-a6b3-2e32e2c3ca74</v>
      </c>
    </row>
    <row r="1616" spans="1:45" hidden="1" x14ac:dyDescent="0.25">
      <c r="A1616" s="6" t="s">
        <v>44</v>
      </c>
      <c r="B1616" s="7" t="s">
        <v>4519</v>
      </c>
      <c r="C1616" s="7" t="s">
        <v>46</v>
      </c>
      <c r="D1616" s="8">
        <v>44747</v>
      </c>
      <c r="E1616" s="8" t="s">
        <v>0</v>
      </c>
      <c r="F1616" s="16" t="s">
        <v>4520</v>
      </c>
      <c r="G1616" s="7" t="s">
        <v>4521</v>
      </c>
      <c r="H1616" s="7" t="s">
        <v>0</v>
      </c>
      <c r="I1616" s="7" t="s">
        <v>7545</v>
      </c>
      <c r="J1616" s="7" t="s">
        <v>7545</v>
      </c>
      <c r="K1616" s="7" t="s">
        <v>47</v>
      </c>
      <c r="L1616" s="7" t="s">
        <v>86</v>
      </c>
      <c r="M1616" s="7" t="s">
        <v>0</v>
      </c>
      <c r="N1616" s="7" t="s">
        <v>7544</v>
      </c>
      <c r="O1616" s="7" t="s">
        <v>0</v>
      </c>
      <c r="P1616" s="7" t="s">
        <v>5794</v>
      </c>
      <c r="Q1616" s="7" t="s">
        <v>5795</v>
      </c>
      <c r="R1616" s="7" t="s">
        <v>1199</v>
      </c>
      <c r="S1616" s="7" t="s">
        <v>1199</v>
      </c>
      <c r="T1616" s="7" t="s">
        <v>54</v>
      </c>
      <c r="U1616" s="7" t="s">
        <v>605</v>
      </c>
      <c r="V1616" s="7" t="s">
        <v>382</v>
      </c>
      <c r="W1616" s="7" t="s">
        <v>57</v>
      </c>
      <c r="X1616" s="7" t="s">
        <v>58</v>
      </c>
      <c r="Y1616" s="8">
        <v>44747</v>
      </c>
      <c r="Z1616" s="8" t="s">
        <v>0</v>
      </c>
      <c r="AA1616" s="7" t="s">
        <v>383</v>
      </c>
      <c r="AB1616" s="7" t="s">
        <v>2985</v>
      </c>
      <c r="AC1616" s="7" t="s">
        <v>79</v>
      </c>
      <c r="AD1616" s="7" t="s">
        <v>80</v>
      </c>
      <c r="AE1616" s="7" t="s">
        <v>472</v>
      </c>
      <c r="AF1616" s="7" t="s">
        <v>5796</v>
      </c>
      <c r="AG1616" s="7" t="s">
        <v>0</v>
      </c>
      <c r="AH1616" s="9" t="s">
        <v>13218</v>
      </c>
      <c r="AI1616" s="9" t="s">
        <v>13219</v>
      </c>
      <c r="AJ1616" s="9">
        <v>904.8</v>
      </c>
      <c r="AK1616" s="7" t="s">
        <v>61</v>
      </c>
      <c r="AL1616" s="7" t="s">
        <v>61</v>
      </c>
      <c r="AM1616" s="7" t="s">
        <v>0</v>
      </c>
      <c r="AN1616" s="7" t="s">
        <v>0</v>
      </c>
      <c r="AO1616" s="7" t="s">
        <v>0</v>
      </c>
      <c r="AP1616" s="7" t="s">
        <v>0</v>
      </c>
      <c r="AQ1616" s="7" t="s">
        <v>61</v>
      </c>
      <c r="AR1616" s="7" t="s">
        <v>0</v>
      </c>
      <c r="AS1616" s="10" t="str">
        <f>HYPERLINK("https://tessa.gazprom-neft.local/edo/card/97d5cbb4-f6c7-47b0-8bbd-df866a950ffa", "https://tessa.gazprom-neft.local/edo/card/97d5cbb4-f6c7-47b0-8bbd-df866a950ffa")</f>
        <v>https://tessa.gazprom-neft.local/edo/card/97d5cbb4-f6c7-47b0-8bbd-df866a950ffa</v>
      </c>
    </row>
    <row r="1617" spans="1:45" hidden="1" x14ac:dyDescent="0.25">
      <c r="A1617" s="6" t="s">
        <v>44</v>
      </c>
      <c r="B1617" s="7" t="s">
        <v>6037</v>
      </c>
      <c r="C1617" s="7" t="s">
        <v>67</v>
      </c>
      <c r="D1617" s="8">
        <v>44743</v>
      </c>
      <c r="E1617" s="8" t="s">
        <v>0</v>
      </c>
      <c r="F1617" s="16" t="s">
        <v>6038</v>
      </c>
      <c r="G1617" s="7" t="s">
        <v>6039</v>
      </c>
      <c r="H1617" s="7" t="s">
        <v>0</v>
      </c>
      <c r="I1617" s="7" t="s">
        <v>6034</v>
      </c>
      <c r="J1617" s="7" t="s">
        <v>6034</v>
      </c>
      <c r="K1617" s="7" t="s">
        <v>47</v>
      </c>
      <c r="L1617" s="7" t="s">
        <v>86</v>
      </c>
      <c r="M1617" s="7" t="s">
        <v>0</v>
      </c>
      <c r="N1617" s="7" t="s">
        <v>6033</v>
      </c>
      <c r="O1617" s="7" t="s">
        <v>0</v>
      </c>
      <c r="P1617" s="7" t="s">
        <v>6035</v>
      </c>
      <c r="Q1617" s="7" t="s">
        <v>6036</v>
      </c>
      <c r="R1617" s="7" t="s">
        <v>1199</v>
      </c>
      <c r="S1617" s="7" t="s">
        <v>1199</v>
      </c>
      <c r="T1617" s="7" t="s">
        <v>54</v>
      </c>
      <c r="U1617" s="7" t="s">
        <v>605</v>
      </c>
      <c r="V1617" s="7" t="s">
        <v>382</v>
      </c>
      <c r="W1617" s="7" t="s">
        <v>57</v>
      </c>
      <c r="X1617" s="7" t="s">
        <v>103</v>
      </c>
      <c r="Y1617" s="8">
        <v>44743</v>
      </c>
      <c r="Z1617" s="8">
        <v>45077</v>
      </c>
      <c r="AA1617" s="7" t="s">
        <v>383</v>
      </c>
      <c r="AB1617" s="7" t="s">
        <v>1203</v>
      </c>
      <c r="AC1617" s="7" t="s">
        <v>79</v>
      </c>
      <c r="AD1617" s="7" t="s">
        <v>80</v>
      </c>
      <c r="AE1617" s="7" t="s">
        <v>82</v>
      </c>
      <c r="AF1617" s="7" t="s">
        <v>0</v>
      </c>
      <c r="AG1617" s="7" t="s">
        <v>0</v>
      </c>
      <c r="AH1617" s="9">
        <v>0.84</v>
      </c>
      <c r="AI1617" s="9">
        <v>0.7</v>
      </c>
      <c r="AJ1617" s="9">
        <v>0.14000000000000001</v>
      </c>
      <c r="AK1617" s="7" t="s">
        <v>61</v>
      </c>
      <c r="AL1617" s="7" t="s">
        <v>61</v>
      </c>
      <c r="AM1617" s="7" t="s">
        <v>0</v>
      </c>
      <c r="AN1617" s="7" t="s">
        <v>0</v>
      </c>
      <c r="AO1617" s="7" t="s">
        <v>0</v>
      </c>
      <c r="AP1617" s="7" t="s">
        <v>0</v>
      </c>
      <c r="AQ1617" s="7" t="s">
        <v>61</v>
      </c>
      <c r="AR1617" s="7" t="s">
        <v>0</v>
      </c>
      <c r="AS1617" s="10" t="str">
        <f>HYPERLINK("https://tessa.gazprom-neft.local/edo/card/80e6e4d4-3444-4e9f-9803-7a28c282e68e", "https://tessa.gazprom-neft.local/edo/card/80e6e4d4-3444-4e9f-9803-7a28c282e68e")</f>
        <v>https://tessa.gazprom-neft.local/edo/card/80e6e4d4-3444-4e9f-9803-7a28c282e68e</v>
      </c>
    </row>
    <row r="1618" spans="1:45" hidden="1" x14ac:dyDescent="0.25">
      <c r="A1618" s="6" t="s">
        <v>44</v>
      </c>
      <c r="B1618" s="7" t="s">
        <v>374</v>
      </c>
      <c r="C1618" s="7" t="s">
        <v>67</v>
      </c>
      <c r="D1618" s="8">
        <v>44743</v>
      </c>
      <c r="E1618" s="8" t="s">
        <v>0</v>
      </c>
      <c r="F1618" s="16" t="s">
        <v>375</v>
      </c>
      <c r="G1618" s="7" t="s">
        <v>376</v>
      </c>
      <c r="H1618" s="7" t="s">
        <v>0</v>
      </c>
      <c r="I1618" s="7" t="s">
        <v>6914</v>
      </c>
      <c r="J1618" s="7" t="s">
        <v>6914</v>
      </c>
      <c r="K1618" s="7" t="s">
        <v>47</v>
      </c>
      <c r="L1618" s="7" t="s">
        <v>96</v>
      </c>
      <c r="M1618" s="7" t="s">
        <v>0</v>
      </c>
      <c r="N1618" s="7" t="s">
        <v>6913</v>
      </c>
      <c r="O1618" s="7" t="s">
        <v>0</v>
      </c>
      <c r="P1618" s="7" t="s">
        <v>3346</v>
      </c>
      <c r="Q1618" s="7" t="s">
        <v>6915</v>
      </c>
      <c r="R1618" s="7" t="s">
        <v>53</v>
      </c>
      <c r="S1618" s="7" t="s">
        <v>53</v>
      </c>
      <c r="T1618" s="7" t="s">
        <v>54</v>
      </c>
      <c r="U1618" s="7" t="s">
        <v>55</v>
      </c>
      <c r="V1618" s="7" t="s">
        <v>56</v>
      </c>
      <c r="W1618" s="7" t="s">
        <v>57</v>
      </c>
      <c r="X1618" s="7" t="s">
        <v>103</v>
      </c>
      <c r="Y1618" s="8">
        <v>44743</v>
      </c>
      <c r="Z1618" s="8">
        <v>45657</v>
      </c>
      <c r="AA1618" s="7" t="s">
        <v>59</v>
      </c>
      <c r="AB1618" s="7" t="s">
        <v>64</v>
      </c>
      <c r="AC1618" s="7" t="s">
        <v>79</v>
      </c>
      <c r="AD1618" s="7" t="s">
        <v>80</v>
      </c>
      <c r="AE1618" s="7" t="s">
        <v>82</v>
      </c>
      <c r="AF1618" s="7" t="s">
        <v>0</v>
      </c>
      <c r="AG1618" s="7" t="s">
        <v>0</v>
      </c>
      <c r="AH1618" s="9" t="s">
        <v>12998</v>
      </c>
      <c r="AI1618" s="9" t="s">
        <v>12999</v>
      </c>
      <c r="AJ1618" s="9" t="s">
        <v>13000</v>
      </c>
      <c r="AK1618" s="7" t="s">
        <v>61</v>
      </c>
      <c r="AL1618" s="7" t="s">
        <v>61</v>
      </c>
      <c r="AM1618" s="7" t="s">
        <v>0</v>
      </c>
      <c r="AN1618" s="7" t="s">
        <v>0</v>
      </c>
      <c r="AO1618" s="7" t="s">
        <v>0</v>
      </c>
      <c r="AP1618" s="7" t="s">
        <v>0</v>
      </c>
      <c r="AQ1618" s="7" t="s">
        <v>61</v>
      </c>
      <c r="AR1618" s="7" t="s">
        <v>0</v>
      </c>
      <c r="AS1618" s="10" t="str">
        <f>HYPERLINK("https://tessa.gazprom-neft.local/edo/card/c5482580-dabc-4fcb-850d-2348a8251078", "https://tessa.gazprom-neft.local/edo/card/c5482580-dabc-4fcb-850d-2348a8251078")</f>
        <v>https://tessa.gazprom-neft.local/edo/card/c5482580-dabc-4fcb-850d-2348a8251078</v>
      </c>
    </row>
    <row r="1619" spans="1:45" hidden="1" x14ac:dyDescent="0.25">
      <c r="A1619" s="6" t="s">
        <v>44</v>
      </c>
      <c r="B1619" s="7" t="s">
        <v>6961</v>
      </c>
      <c r="C1619" s="7" t="s">
        <v>67</v>
      </c>
      <c r="D1619" s="8">
        <v>44743</v>
      </c>
      <c r="E1619" s="8" t="s">
        <v>0</v>
      </c>
      <c r="F1619" s="16" t="s">
        <v>6962</v>
      </c>
      <c r="G1619" s="7" t="s">
        <v>6963</v>
      </c>
      <c r="H1619" s="7" t="s">
        <v>0</v>
      </c>
      <c r="I1619" s="7" t="s">
        <v>6960</v>
      </c>
      <c r="J1619" s="7" t="s">
        <v>6960</v>
      </c>
      <c r="K1619" s="7" t="s">
        <v>47</v>
      </c>
      <c r="L1619" s="7" t="s">
        <v>86</v>
      </c>
      <c r="M1619" s="7" t="s">
        <v>0</v>
      </c>
      <c r="N1619" s="7" t="s">
        <v>6959</v>
      </c>
      <c r="O1619" s="7" t="s">
        <v>0</v>
      </c>
      <c r="P1619" s="7" t="s">
        <v>3729</v>
      </c>
      <c r="Q1619" s="7" t="s">
        <v>426</v>
      </c>
      <c r="R1619" s="7" t="s">
        <v>53</v>
      </c>
      <c r="S1619" s="7" t="s">
        <v>0</v>
      </c>
      <c r="T1619" s="7" t="s">
        <v>54</v>
      </c>
      <c r="U1619" s="7" t="s">
        <v>55</v>
      </c>
      <c r="V1619" s="7" t="s">
        <v>56</v>
      </c>
      <c r="W1619" s="7" t="s">
        <v>57</v>
      </c>
      <c r="X1619" s="7" t="s">
        <v>223</v>
      </c>
      <c r="Y1619" s="8">
        <v>44743</v>
      </c>
      <c r="Z1619" s="8" t="s">
        <v>0</v>
      </c>
      <c r="AA1619" s="7" t="s">
        <v>59</v>
      </c>
      <c r="AB1619" s="7" t="s">
        <v>300</v>
      </c>
      <c r="AC1619" s="7" t="s">
        <v>65</v>
      </c>
      <c r="AD1619" s="7" t="s">
        <v>0</v>
      </c>
      <c r="AE1619" s="7" t="s">
        <v>0</v>
      </c>
      <c r="AF1619" s="7" t="s">
        <v>0</v>
      </c>
      <c r="AG1619" s="7" t="s">
        <v>0</v>
      </c>
      <c r="AH1619" s="9" t="s">
        <v>0</v>
      </c>
      <c r="AI1619" s="9" t="s">
        <v>0</v>
      </c>
      <c r="AJ1619" s="9" t="s">
        <v>0</v>
      </c>
      <c r="AK1619" s="7" t="s">
        <v>61</v>
      </c>
      <c r="AL1619" s="7" t="s">
        <v>61</v>
      </c>
      <c r="AM1619" s="7" t="s">
        <v>0</v>
      </c>
      <c r="AN1619" s="7" t="s">
        <v>0</v>
      </c>
      <c r="AO1619" s="7" t="s">
        <v>0</v>
      </c>
      <c r="AP1619" s="7" t="s">
        <v>0</v>
      </c>
      <c r="AQ1619" s="7" t="s">
        <v>61</v>
      </c>
      <c r="AR1619" s="7" t="s">
        <v>0</v>
      </c>
      <c r="AS1619" s="10" t="str">
        <f>HYPERLINK("https://tessa.gazprom-neft.local/edo/card/943c4e8f-4ce0-4ab0-a477-6e6f3dfa108e", "https://tessa.gazprom-neft.local/edo/card/943c4e8f-4ce0-4ab0-a477-6e6f3dfa108e")</f>
        <v>https://tessa.gazprom-neft.local/edo/card/943c4e8f-4ce0-4ab0-a477-6e6f3dfa108e</v>
      </c>
    </row>
    <row r="1620" spans="1:45" x14ac:dyDescent="0.25">
      <c r="A1620" s="6" t="s">
        <v>44</v>
      </c>
      <c r="B1620" s="7" t="s">
        <v>0</v>
      </c>
      <c r="C1620" s="7" t="s">
        <v>67</v>
      </c>
      <c r="D1620" s="8">
        <v>44743</v>
      </c>
      <c r="E1620" s="8" t="s">
        <v>0</v>
      </c>
      <c r="F1620" s="16" t="s">
        <v>7180</v>
      </c>
      <c r="G1620" s="7" t="s">
        <v>0</v>
      </c>
      <c r="H1620" s="7" t="s">
        <v>894</v>
      </c>
      <c r="I1620" s="7" t="s">
        <v>0</v>
      </c>
      <c r="J1620" s="7" t="s">
        <v>51</v>
      </c>
      <c r="K1620" s="7" t="s">
        <v>47</v>
      </c>
      <c r="L1620" s="7" t="s">
        <v>48</v>
      </c>
      <c r="M1620" s="7" t="s">
        <v>0</v>
      </c>
      <c r="N1620" s="7" t="s">
        <v>7177</v>
      </c>
      <c r="O1620" s="7" t="s">
        <v>0</v>
      </c>
      <c r="P1620" s="7" t="s">
        <v>7178</v>
      </c>
      <c r="Q1620" s="7" t="s">
        <v>7179</v>
      </c>
      <c r="R1620" s="7" t="s">
        <v>898</v>
      </c>
      <c r="S1620" s="7" t="s">
        <v>898</v>
      </c>
      <c r="T1620" s="7" t="s">
        <v>54</v>
      </c>
      <c r="U1620" s="7" t="s">
        <v>899</v>
      </c>
      <c r="V1620" s="7" t="s">
        <v>137</v>
      </c>
      <c r="W1620" s="7" t="s">
        <v>57</v>
      </c>
      <c r="X1620" s="7" t="s">
        <v>103</v>
      </c>
      <c r="Y1620" s="8">
        <v>44743</v>
      </c>
      <c r="Z1620" s="8">
        <v>45657</v>
      </c>
      <c r="AA1620" s="7" t="s">
        <v>0</v>
      </c>
      <c r="AB1620" s="7" t="s">
        <v>130</v>
      </c>
      <c r="AC1620" s="7" t="s">
        <v>79</v>
      </c>
      <c r="AD1620" s="7" t="s">
        <v>80</v>
      </c>
      <c r="AE1620" s="7" t="s">
        <v>82</v>
      </c>
      <c r="AF1620" s="7" t="s">
        <v>0</v>
      </c>
      <c r="AG1620" s="7" t="s">
        <v>0</v>
      </c>
      <c r="AH1620" s="9" t="s">
        <v>13089</v>
      </c>
      <c r="AI1620" s="9" t="s">
        <v>13090</v>
      </c>
      <c r="AJ1620" s="9" t="s">
        <v>13091</v>
      </c>
      <c r="AK1620" s="7" t="s">
        <v>61</v>
      </c>
      <c r="AL1620" s="7" t="s">
        <v>61</v>
      </c>
      <c r="AM1620" s="7" t="s">
        <v>0</v>
      </c>
      <c r="AN1620" s="7" t="s">
        <v>0</v>
      </c>
      <c r="AO1620" s="7" t="s">
        <v>0</v>
      </c>
      <c r="AP1620" s="7" t="s">
        <v>0</v>
      </c>
      <c r="AQ1620" s="7" t="s">
        <v>61</v>
      </c>
      <c r="AR1620" s="7" t="s">
        <v>0</v>
      </c>
      <c r="AS1620" s="10" t="str">
        <f>HYPERLINK("https://tessa.gazprom-neft.local/edo/card/a9ed9b7a-8460-4442-96d7-e9c8ff411f70", "https://tessa.gazprom-neft.local/edo/card/a9ed9b7a-8460-4442-96d7-e9c8ff411f70")</f>
        <v>https://tessa.gazprom-neft.local/edo/card/a9ed9b7a-8460-4442-96d7-e9c8ff411f70</v>
      </c>
    </row>
    <row r="1621" spans="1:45" hidden="1" x14ac:dyDescent="0.25">
      <c r="A1621" s="6" t="s">
        <v>44</v>
      </c>
      <c r="B1621" s="7" t="s">
        <v>7208</v>
      </c>
      <c r="C1621" s="7" t="s">
        <v>67</v>
      </c>
      <c r="D1621" s="8">
        <v>44743</v>
      </c>
      <c r="E1621" s="8" t="s">
        <v>0</v>
      </c>
      <c r="F1621" s="16" t="s">
        <v>7209</v>
      </c>
      <c r="G1621" s="7" t="s">
        <v>7210</v>
      </c>
      <c r="H1621" s="7" t="s">
        <v>0</v>
      </c>
      <c r="I1621" s="7" t="s">
        <v>7206</v>
      </c>
      <c r="J1621" s="7" t="s">
        <v>7206</v>
      </c>
      <c r="K1621" s="7" t="s">
        <v>85</v>
      </c>
      <c r="L1621" s="7" t="s">
        <v>96</v>
      </c>
      <c r="M1621" s="7" t="s">
        <v>183</v>
      </c>
      <c r="N1621" s="7" t="s">
        <v>7205</v>
      </c>
      <c r="O1621" s="7" t="s">
        <v>0</v>
      </c>
      <c r="P1621" s="7" t="s">
        <v>183</v>
      </c>
      <c r="Q1621" s="7" t="s">
        <v>7207</v>
      </c>
      <c r="R1621" s="7" t="s">
        <v>604</v>
      </c>
      <c r="S1621" s="7" t="s">
        <v>604</v>
      </c>
      <c r="T1621" s="7" t="s">
        <v>54</v>
      </c>
      <c r="U1621" s="7" t="s">
        <v>605</v>
      </c>
      <c r="V1621" s="7" t="s">
        <v>137</v>
      </c>
      <c r="W1621" s="7" t="s">
        <v>57</v>
      </c>
      <c r="X1621" s="7" t="s">
        <v>103</v>
      </c>
      <c r="Y1621" s="8">
        <v>44743</v>
      </c>
      <c r="Z1621" s="8">
        <v>45291</v>
      </c>
      <c r="AA1621" s="7" t="s">
        <v>0</v>
      </c>
      <c r="AB1621" s="7" t="s">
        <v>192</v>
      </c>
      <c r="AC1621" s="7" t="s">
        <v>79</v>
      </c>
      <c r="AD1621" s="7" t="s">
        <v>80</v>
      </c>
      <c r="AE1621" s="7" t="s">
        <v>193</v>
      </c>
      <c r="AF1621" s="7" t="s">
        <v>0</v>
      </c>
      <c r="AG1621" s="7" t="s">
        <v>0</v>
      </c>
      <c r="AH1621" s="9" t="s">
        <v>13104</v>
      </c>
      <c r="AI1621" s="9" t="s">
        <v>13105</v>
      </c>
      <c r="AJ1621" s="9" t="s">
        <v>13106</v>
      </c>
      <c r="AK1621" s="7" t="s">
        <v>61</v>
      </c>
      <c r="AL1621" s="7" t="s">
        <v>61</v>
      </c>
      <c r="AM1621" s="7" t="s">
        <v>0</v>
      </c>
      <c r="AN1621" s="7" t="s">
        <v>0</v>
      </c>
      <c r="AO1621" s="7" t="s">
        <v>0</v>
      </c>
      <c r="AP1621" s="7" t="s">
        <v>0</v>
      </c>
      <c r="AQ1621" s="7" t="s">
        <v>61</v>
      </c>
      <c r="AR1621" s="7" t="s">
        <v>0</v>
      </c>
      <c r="AS1621" s="10" t="str">
        <f>HYPERLINK("https://tessa.gazprom-neft.local/edo/card/116b24ac-eba9-4585-b1e7-34cc0863db86", "https://tessa.gazprom-neft.local/edo/card/116b24ac-eba9-4585-b1e7-34cc0863db86")</f>
        <v>https://tessa.gazprom-neft.local/edo/card/116b24ac-eba9-4585-b1e7-34cc0863db86</v>
      </c>
    </row>
    <row r="1622" spans="1:45" hidden="1" x14ac:dyDescent="0.25">
      <c r="A1622" s="6" t="s">
        <v>44</v>
      </c>
      <c r="B1622" s="7" t="s">
        <v>7208</v>
      </c>
      <c r="C1622" s="7" t="s">
        <v>67</v>
      </c>
      <c r="D1622" s="8">
        <v>44743</v>
      </c>
      <c r="E1622" s="8" t="s">
        <v>0</v>
      </c>
      <c r="F1622" s="16" t="s">
        <v>7209</v>
      </c>
      <c r="G1622" s="7" t="s">
        <v>7210</v>
      </c>
      <c r="H1622" s="7" t="s">
        <v>0</v>
      </c>
      <c r="I1622" s="7" t="s">
        <v>7223</v>
      </c>
      <c r="J1622" s="7" t="s">
        <v>7223</v>
      </c>
      <c r="K1622" s="7" t="s">
        <v>85</v>
      </c>
      <c r="L1622" s="7" t="s">
        <v>86</v>
      </c>
      <c r="M1622" s="7" t="s">
        <v>523</v>
      </c>
      <c r="N1622" s="7" t="s">
        <v>7222</v>
      </c>
      <c r="O1622" s="7" t="s">
        <v>0</v>
      </c>
      <c r="P1622" s="7" t="s">
        <v>523</v>
      </c>
      <c r="Q1622" s="7" t="s">
        <v>7224</v>
      </c>
      <c r="R1622" s="7" t="s">
        <v>604</v>
      </c>
      <c r="S1622" s="7" t="s">
        <v>604</v>
      </c>
      <c r="T1622" s="7" t="s">
        <v>54</v>
      </c>
      <c r="U1622" s="7" t="s">
        <v>605</v>
      </c>
      <c r="V1622" s="7" t="s">
        <v>137</v>
      </c>
      <c r="W1622" s="7" t="s">
        <v>57</v>
      </c>
      <c r="X1622" s="7" t="s">
        <v>103</v>
      </c>
      <c r="Y1622" s="8">
        <v>44743</v>
      </c>
      <c r="Z1622" s="8">
        <v>45291</v>
      </c>
      <c r="AA1622" s="7" t="s">
        <v>0</v>
      </c>
      <c r="AB1622" s="7" t="s">
        <v>94</v>
      </c>
      <c r="AC1622" s="7" t="s">
        <v>65</v>
      </c>
      <c r="AD1622" s="7" t="s">
        <v>80</v>
      </c>
      <c r="AE1622" s="7" t="s">
        <v>0</v>
      </c>
      <c r="AF1622" s="7" t="s">
        <v>0</v>
      </c>
      <c r="AG1622" s="7" t="s">
        <v>0</v>
      </c>
      <c r="AH1622" s="9" t="s">
        <v>0</v>
      </c>
      <c r="AI1622" s="9" t="s">
        <v>0</v>
      </c>
      <c r="AJ1622" s="9" t="s">
        <v>0</v>
      </c>
      <c r="AK1622" s="7" t="s">
        <v>61</v>
      </c>
      <c r="AL1622" s="7" t="s">
        <v>61</v>
      </c>
      <c r="AM1622" s="7" t="s">
        <v>0</v>
      </c>
      <c r="AN1622" s="7" t="s">
        <v>0</v>
      </c>
      <c r="AO1622" s="7" t="s">
        <v>0</v>
      </c>
      <c r="AP1622" s="7" t="s">
        <v>0</v>
      </c>
      <c r="AQ1622" s="7" t="s">
        <v>61</v>
      </c>
      <c r="AR1622" s="7" t="s">
        <v>0</v>
      </c>
      <c r="AS1622" s="10" t="str">
        <f>HYPERLINK("https://tessa.gazprom-neft.local/edo/card/5770eb80-4537-4af1-a589-c3a27d813b03", "https://tessa.gazprom-neft.local/edo/card/5770eb80-4537-4af1-a589-c3a27d813b03")</f>
        <v>https://tessa.gazprom-neft.local/edo/card/5770eb80-4537-4af1-a589-c3a27d813b03</v>
      </c>
    </row>
    <row r="1623" spans="1:45" hidden="1" x14ac:dyDescent="0.25">
      <c r="A1623" s="6" t="s">
        <v>44</v>
      </c>
      <c r="B1623" s="7" t="s">
        <v>7237</v>
      </c>
      <c r="C1623" s="7" t="s">
        <v>67</v>
      </c>
      <c r="D1623" s="8">
        <v>44743</v>
      </c>
      <c r="E1623" s="8" t="s">
        <v>0</v>
      </c>
      <c r="F1623" s="16" t="s">
        <v>7238</v>
      </c>
      <c r="G1623" s="7" t="s">
        <v>7239</v>
      </c>
      <c r="H1623" s="7" t="s">
        <v>0</v>
      </c>
      <c r="I1623" s="7" t="s">
        <v>7235</v>
      </c>
      <c r="J1623" s="7" t="s">
        <v>7235</v>
      </c>
      <c r="K1623" s="7" t="s">
        <v>47</v>
      </c>
      <c r="L1623" s="7" t="s">
        <v>96</v>
      </c>
      <c r="M1623" s="7" t="s">
        <v>0</v>
      </c>
      <c r="N1623" s="7" t="s">
        <v>7234</v>
      </c>
      <c r="O1623" s="7" t="s">
        <v>0</v>
      </c>
      <c r="P1623" s="7" t="s">
        <v>1118</v>
      </c>
      <c r="Q1623" s="7" t="s">
        <v>7236</v>
      </c>
      <c r="R1623" s="7" t="s">
        <v>1120</v>
      </c>
      <c r="S1623" s="7" t="s">
        <v>1120</v>
      </c>
      <c r="T1623" s="7" t="s">
        <v>54</v>
      </c>
      <c r="U1623" s="7" t="s">
        <v>294</v>
      </c>
      <c r="V1623" s="7" t="s">
        <v>295</v>
      </c>
      <c r="W1623" s="7" t="s">
        <v>74</v>
      </c>
      <c r="X1623" s="7" t="s">
        <v>103</v>
      </c>
      <c r="Y1623" s="8">
        <v>44743</v>
      </c>
      <c r="Z1623" s="8">
        <v>44926</v>
      </c>
      <c r="AA1623" s="7" t="s">
        <v>296</v>
      </c>
      <c r="AB1623" s="7" t="s">
        <v>500</v>
      </c>
      <c r="AC1623" s="7" t="s">
        <v>278</v>
      </c>
      <c r="AD1623" s="7" t="s">
        <v>80</v>
      </c>
      <c r="AE1623" s="7" t="s">
        <v>82</v>
      </c>
      <c r="AF1623" s="7" t="s">
        <v>0</v>
      </c>
      <c r="AG1623" s="7" t="s">
        <v>0</v>
      </c>
      <c r="AH1623" s="9" t="s">
        <v>13114</v>
      </c>
      <c r="AI1623" s="9" t="s">
        <v>13115</v>
      </c>
      <c r="AJ1623" s="9" t="s">
        <v>13116</v>
      </c>
      <c r="AK1623" s="7" t="s">
        <v>61</v>
      </c>
      <c r="AL1623" s="7" t="s">
        <v>61</v>
      </c>
      <c r="AM1623" s="7" t="s">
        <v>0</v>
      </c>
      <c r="AN1623" s="7" t="s">
        <v>0</v>
      </c>
      <c r="AO1623" s="7" t="s">
        <v>0</v>
      </c>
      <c r="AP1623" s="7" t="s">
        <v>0</v>
      </c>
      <c r="AQ1623" s="7" t="s">
        <v>61</v>
      </c>
      <c r="AR1623" s="7" t="s">
        <v>0</v>
      </c>
      <c r="AS1623" s="10" t="str">
        <f>HYPERLINK("https://tessa.gazprom-neft.local/edo/card/26d2d77b-20bb-45f7-a7ac-64c71d2b9214", "https://tessa.gazprom-neft.local/edo/card/26d2d77b-20bb-45f7-a7ac-64c71d2b9214")</f>
        <v>https://tessa.gazprom-neft.local/edo/card/26d2d77b-20bb-45f7-a7ac-64c71d2b9214</v>
      </c>
    </row>
    <row r="1624" spans="1:45" hidden="1" x14ac:dyDescent="0.25">
      <c r="A1624" s="6" t="s">
        <v>44</v>
      </c>
      <c r="B1624" s="7" t="s">
        <v>7253</v>
      </c>
      <c r="C1624" s="7" t="s">
        <v>67</v>
      </c>
      <c r="D1624" s="8">
        <v>44743</v>
      </c>
      <c r="E1624" s="8" t="s">
        <v>0</v>
      </c>
      <c r="F1624" s="16" t="s">
        <v>7254</v>
      </c>
      <c r="G1624" s="7" t="s">
        <v>7255</v>
      </c>
      <c r="H1624" s="7" t="s">
        <v>0</v>
      </c>
      <c r="I1624" s="7" t="s">
        <v>7252</v>
      </c>
      <c r="J1624" s="7" t="s">
        <v>7252</v>
      </c>
      <c r="K1624" s="7" t="s">
        <v>85</v>
      </c>
      <c r="L1624" s="7" t="s">
        <v>86</v>
      </c>
      <c r="M1624" s="7" t="s">
        <v>289</v>
      </c>
      <c r="N1624" s="7" t="s">
        <v>7251</v>
      </c>
      <c r="O1624" s="7" t="s">
        <v>0</v>
      </c>
      <c r="P1624" s="7" t="s">
        <v>289</v>
      </c>
      <c r="Q1624" s="7" t="s">
        <v>426</v>
      </c>
      <c r="R1624" s="7" t="s">
        <v>349</v>
      </c>
      <c r="S1624" s="7" t="s">
        <v>349</v>
      </c>
      <c r="T1624" s="7" t="s">
        <v>54</v>
      </c>
      <c r="U1624" s="7" t="s">
        <v>101</v>
      </c>
      <c r="V1624" s="7" t="s">
        <v>137</v>
      </c>
      <c r="W1624" s="7" t="s">
        <v>57</v>
      </c>
      <c r="X1624" s="7" t="s">
        <v>223</v>
      </c>
      <c r="Y1624" s="8">
        <v>44743</v>
      </c>
      <c r="Z1624" s="8" t="s">
        <v>0</v>
      </c>
      <c r="AA1624" s="7" t="s">
        <v>0</v>
      </c>
      <c r="AB1624" s="7" t="s">
        <v>300</v>
      </c>
      <c r="AC1624" s="7" t="s">
        <v>65</v>
      </c>
      <c r="AD1624" s="7" t="s">
        <v>0</v>
      </c>
      <c r="AE1624" s="7" t="s">
        <v>0</v>
      </c>
      <c r="AF1624" s="7" t="s">
        <v>0</v>
      </c>
      <c r="AG1624" s="7" t="s">
        <v>0</v>
      </c>
      <c r="AH1624" s="9" t="s">
        <v>0</v>
      </c>
      <c r="AI1624" s="9" t="s">
        <v>0</v>
      </c>
      <c r="AJ1624" s="9" t="s">
        <v>0</v>
      </c>
      <c r="AK1624" s="7" t="s">
        <v>61</v>
      </c>
      <c r="AL1624" s="7" t="s">
        <v>61</v>
      </c>
      <c r="AM1624" s="7" t="s">
        <v>0</v>
      </c>
      <c r="AN1624" s="7" t="s">
        <v>0</v>
      </c>
      <c r="AO1624" s="7" t="s">
        <v>0</v>
      </c>
      <c r="AP1624" s="7" t="s">
        <v>0</v>
      </c>
      <c r="AQ1624" s="7" t="s">
        <v>61</v>
      </c>
      <c r="AR1624" s="7" t="s">
        <v>0</v>
      </c>
      <c r="AS1624" s="10" t="str">
        <f>HYPERLINK("https://tessa.gazprom-neft.local/edo/card/196181f7-6342-4636-a2d6-6a76f6c902c4", "https://tessa.gazprom-neft.local/edo/card/196181f7-6342-4636-a2d6-6a76f6c902c4")</f>
        <v>https://tessa.gazprom-neft.local/edo/card/196181f7-6342-4636-a2d6-6a76f6c902c4</v>
      </c>
    </row>
    <row r="1625" spans="1:45" hidden="1" x14ac:dyDescent="0.25">
      <c r="A1625" s="6" t="s">
        <v>44</v>
      </c>
      <c r="B1625" s="7" t="s">
        <v>0</v>
      </c>
      <c r="C1625" s="7" t="s">
        <v>67</v>
      </c>
      <c r="D1625" s="8">
        <v>44743</v>
      </c>
      <c r="E1625" s="8" t="s">
        <v>0</v>
      </c>
      <c r="F1625" s="16" t="s">
        <v>7304</v>
      </c>
      <c r="G1625" s="7" t="s">
        <v>0</v>
      </c>
      <c r="H1625" s="7" t="s">
        <v>0</v>
      </c>
      <c r="I1625" s="7" t="s">
        <v>4330</v>
      </c>
      <c r="J1625" s="7" t="s">
        <v>4330</v>
      </c>
      <c r="K1625" s="7" t="s">
        <v>47</v>
      </c>
      <c r="L1625" s="7" t="s">
        <v>96</v>
      </c>
      <c r="M1625" s="7" t="s">
        <v>0</v>
      </c>
      <c r="N1625" s="7" t="s">
        <v>7300</v>
      </c>
      <c r="O1625" s="7" t="s">
        <v>0</v>
      </c>
      <c r="P1625" s="7" t="s">
        <v>7301</v>
      </c>
      <c r="Q1625" s="7" t="s">
        <v>7302</v>
      </c>
      <c r="R1625" s="7" t="s">
        <v>338</v>
      </c>
      <c r="S1625" s="7" t="s">
        <v>7303</v>
      </c>
      <c r="T1625" s="7" t="s">
        <v>54</v>
      </c>
      <c r="U1625" s="7" t="s">
        <v>4736</v>
      </c>
      <c r="V1625" s="7" t="s">
        <v>102</v>
      </c>
      <c r="W1625" s="7" t="s">
        <v>57</v>
      </c>
      <c r="X1625" s="7" t="s">
        <v>103</v>
      </c>
      <c r="Y1625" s="8">
        <v>44743</v>
      </c>
      <c r="Z1625" s="8">
        <v>45777</v>
      </c>
      <c r="AA1625" s="7" t="s">
        <v>104</v>
      </c>
      <c r="AB1625" s="7" t="s">
        <v>130</v>
      </c>
      <c r="AC1625" s="7" t="s">
        <v>79</v>
      </c>
      <c r="AD1625" s="7" t="s">
        <v>80</v>
      </c>
      <c r="AE1625" s="7" t="s">
        <v>82</v>
      </c>
      <c r="AF1625" s="7" t="s">
        <v>0</v>
      </c>
      <c r="AG1625" s="7" t="s">
        <v>7305</v>
      </c>
      <c r="AH1625" s="9" t="s">
        <v>13138</v>
      </c>
      <c r="AI1625" s="9" t="s">
        <v>13139</v>
      </c>
      <c r="AJ1625" s="9" t="s">
        <v>13140</v>
      </c>
      <c r="AK1625" s="7" t="s">
        <v>81</v>
      </c>
      <c r="AL1625" s="7" t="s">
        <v>61</v>
      </c>
      <c r="AM1625" s="7" t="s">
        <v>0</v>
      </c>
      <c r="AN1625" s="7" t="s">
        <v>0</v>
      </c>
      <c r="AO1625" s="7" t="s">
        <v>0</v>
      </c>
      <c r="AP1625" s="7" t="s">
        <v>0</v>
      </c>
      <c r="AQ1625" s="7" t="s">
        <v>61</v>
      </c>
      <c r="AR1625" s="7" t="s">
        <v>0</v>
      </c>
      <c r="AS1625" s="10" t="str">
        <f>HYPERLINK("https://tessa.gazprom-neft.local/edo/card/e2a7e766-ba88-492e-8ca3-cd18002f3b37", "https://tessa.gazprom-neft.local/edo/card/e2a7e766-ba88-492e-8ca3-cd18002f3b37")</f>
        <v>https://tessa.gazprom-neft.local/edo/card/e2a7e766-ba88-492e-8ca3-cd18002f3b37</v>
      </c>
    </row>
    <row r="1626" spans="1:45" x14ac:dyDescent="0.25">
      <c r="A1626" s="6" t="s">
        <v>44</v>
      </c>
      <c r="B1626" s="7" t="s">
        <v>4071</v>
      </c>
      <c r="C1626" s="7" t="s">
        <v>67</v>
      </c>
      <c r="D1626" s="8">
        <v>44743</v>
      </c>
      <c r="E1626" s="8" t="s">
        <v>0</v>
      </c>
      <c r="F1626" s="16" t="s">
        <v>4072</v>
      </c>
      <c r="G1626" s="7" t="s">
        <v>4073</v>
      </c>
      <c r="H1626" s="7" t="s">
        <v>4580</v>
      </c>
      <c r="I1626" s="7" t="s">
        <v>0</v>
      </c>
      <c r="J1626" s="7" t="s">
        <v>70</v>
      </c>
      <c r="K1626" s="7" t="s">
        <v>47</v>
      </c>
      <c r="L1626" s="7" t="s">
        <v>48</v>
      </c>
      <c r="M1626" s="7" t="s">
        <v>0</v>
      </c>
      <c r="N1626" s="7" t="s">
        <v>7403</v>
      </c>
      <c r="O1626" s="7" t="s">
        <v>0</v>
      </c>
      <c r="P1626" s="7" t="s">
        <v>7404</v>
      </c>
      <c r="Q1626" s="7" t="s">
        <v>7405</v>
      </c>
      <c r="R1626" s="7" t="s">
        <v>519</v>
      </c>
      <c r="S1626" s="7" t="s">
        <v>519</v>
      </c>
      <c r="T1626" s="7" t="s">
        <v>54</v>
      </c>
      <c r="U1626" s="7" t="s">
        <v>362</v>
      </c>
      <c r="V1626" s="7" t="s">
        <v>295</v>
      </c>
      <c r="W1626" s="7" t="s">
        <v>74</v>
      </c>
      <c r="X1626" s="7" t="s">
        <v>58</v>
      </c>
      <c r="Y1626" s="8">
        <v>44743</v>
      </c>
      <c r="Z1626" s="8" t="s">
        <v>0</v>
      </c>
      <c r="AA1626" s="7" t="s">
        <v>296</v>
      </c>
      <c r="AB1626" s="7" t="s">
        <v>130</v>
      </c>
      <c r="AC1626" s="7" t="s">
        <v>65</v>
      </c>
      <c r="AD1626" s="7" t="s">
        <v>514</v>
      </c>
      <c r="AE1626" s="7" t="s">
        <v>0</v>
      </c>
      <c r="AF1626" s="7" t="s">
        <v>0</v>
      </c>
      <c r="AG1626" s="7" t="s">
        <v>0</v>
      </c>
      <c r="AH1626" s="9" t="s">
        <v>0</v>
      </c>
      <c r="AI1626" s="9" t="s">
        <v>0</v>
      </c>
      <c r="AJ1626" s="9" t="s">
        <v>0</v>
      </c>
      <c r="AK1626" s="7" t="s">
        <v>61</v>
      </c>
      <c r="AL1626" s="7" t="s">
        <v>61</v>
      </c>
      <c r="AM1626" s="7" t="s">
        <v>0</v>
      </c>
      <c r="AN1626" s="7" t="s">
        <v>0</v>
      </c>
      <c r="AO1626" s="7" t="s">
        <v>0</v>
      </c>
      <c r="AP1626" s="7" t="s">
        <v>0</v>
      </c>
      <c r="AQ1626" s="7" t="s">
        <v>61</v>
      </c>
      <c r="AR1626" s="7" t="s">
        <v>0</v>
      </c>
      <c r="AS1626" s="10" t="str">
        <f>HYPERLINK("https://tessa.gazprom-neft.local/edo/card/5cd6942d-c095-4783-aaf0-4331db6792fe", "https://tessa.gazprom-neft.local/edo/card/5cd6942d-c095-4783-aaf0-4331db6792fe")</f>
        <v>https://tessa.gazprom-neft.local/edo/card/5cd6942d-c095-4783-aaf0-4331db6792fe</v>
      </c>
    </row>
    <row r="1627" spans="1:45" x14ac:dyDescent="0.25">
      <c r="A1627" s="6" t="s">
        <v>44</v>
      </c>
      <c r="B1627" s="7" t="s">
        <v>927</v>
      </c>
      <c r="C1627" s="7" t="s">
        <v>67</v>
      </c>
      <c r="D1627" s="8">
        <v>44743</v>
      </c>
      <c r="E1627" s="8" t="s">
        <v>0</v>
      </c>
      <c r="F1627" s="16" t="s">
        <v>928</v>
      </c>
      <c r="G1627" s="7" t="s">
        <v>929</v>
      </c>
      <c r="H1627" s="7" t="s">
        <v>3224</v>
      </c>
      <c r="I1627" s="7" t="s">
        <v>0</v>
      </c>
      <c r="J1627" s="7" t="s">
        <v>51</v>
      </c>
      <c r="K1627" s="7" t="s">
        <v>47</v>
      </c>
      <c r="L1627" s="7" t="s">
        <v>48</v>
      </c>
      <c r="M1627" s="7" t="s">
        <v>0</v>
      </c>
      <c r="N1627" s="7" t="s">
        <v>7437</v>
      </c>
      <c r="O1627" s="7" t="s">
        <v>0</v>
      </c>
      <c r="P1627" s="7" t="s">
        <v>7438</v>
      </c>
      <c r="Q1627" s="7" t="s">
        <v>7439</v>
      </c>
      <c r="R1627" s="7" t="s">
        <v>198</v>
      </c>
      <c r="S1627" s="7" t="s">
        <v>198</v>
      </c>
      <c r="T1627" s="7" t="s">
        <v>54</v>
      </c>
      <c r="U1627" s="7" t="s">
        <v>199</v>
      </c>
      <c r="V1627" s="7" t="s">
        <v>6640</v>
      </c>
      <c r="W1627" s="7" t="s">
        <v>57</v>
      </c>
      <c r="X1627" s="7" t="s">
        <v>103</v>
      </c>
      <c r="Y1627" s="8">
        <v>44743</v>
      </c>
      <c r="Z1627" s="8">
        <v>45657</v>
      </c>
      <c r="AA1627" s="7" t="s">
        <v>6641</v>
      </c>
      <c r="AB1627" s="7" t="s">
        <v>3227</v>
      </c>
      <c r="AC1627" s="7" t="s">
        <v>65</v>
      </c>
      <c r="AD1627" s="7" t="s">
        <v>80</v>
      </c>
      <c r="AE1627" s="7" t="s">
        <v>0</v>
      </c>
      <c r="AF1627" s="7" t="s">
        <v>0</v>
      </c>
      <c r="AG1627" s="7" t="s">
        <v>0</v>
      </c>
      <c r="AH1627" s="9" t="s">
        <v>0</v>
      </c>
      <c r="AI1627" s="9" t="s">
        <v>0</v>
      </c>
      <c r="AJ1627" s="9" t="s">
        <v>0</v>
      </c>
      <c r="AK1627" s="7" t="s">
        <v>61</v>
      </c>
      <c r="AL1627" s="7" t="s">
        <v>61</v>
      </c>
      <c r="AM1627" s="7" t="s">
        <v>0</v>
      </c>
      <c r="AN1627" s="7" t="s">
        <v>0</v>
      </c>
      <c r="AO1627" s="7" t="s">
        <v>0</v>
      </c>
      <c r="AP1627" s="7" t="s">
        <v>0</v>
      </c>
      <c r="AQ1627" s="7" t="s">
        <v>61</v>
      </c>
      <c r="AR1627" s="7" t="s">
        <v>0</v>
      </c>
      <c r="AS1627" s="10" t="str">
        <f>HYPERLINK("https://tessa.gazprom-neft.local/edo/card/8209d27e-3483-4ef5-a768-fd1e8116acb0", "https://tessa.gazprom-neft.local/edo/card/8209d27e-3483-4ef5-a768-fd1e8116acb0")</f>
        <v>https://tessa.gazprom-neft.local/edo/card/8209d27e-3483-4ef5-a768-fd1e8116acb0</v>
      </c>
    </row>
    <row r="1628" spans="1:45" x14ac:dyDescent="0.25">
      <c r="A1628" s="6" t="s">
        <v>44</v>
      </c>
      <c r="B1628" s="7" t="s">
        <v>225</v>
      </c>
      <c r="C1628" s="7" t="s">
        <v>46</v>
      </c>
      <c r="D1628" s="8">
        <v>44743</v>
      </c>
      <c r="E1628" s="8" t="s">
        <v>0</v>
      </c>
      <c r="F1628" s="16" t="s">
        <v>226</v>
      </c>
      <c r="G1628" s="7" t="s">
        <v>227</v>
      </c>
      <c r="H1628" s="7" t="s">
        <v>1088</v>
      </c>
      <c r="I1628" s="7" t="s">
        <v>0</v>
      </c>
      <c r="J1628" s="7" t="s">
        <v>51</v>
      </c>
      <c r="K1628" s="7" t="s">
        <v>47</v>
      </c>
      <c r="L1628" s="7" t="s">
        <v>48</v>
      </c>
      <c r="M1628" s="7" t="s">
        <v>0</v>
      </c>
      <c r="N1628" s="7" t="s">
        <v>7942</v>
      </c>
      <c r="O1628" s="7" t="s">
        <v>0</v>
      </c>
      <c r="P1628" s="7" t="s">
        <v>7943</v>
      </c>
      <c r="Q1628" s="7" t="s">
        <v>4664</v>
      </c>
      <c r="R1628" s="7" t="s">
        <v>361</v>
      </c>
      <c r="S1628" s="7" t="s">
        <v>361</v>
      </c>
      <c r="T1628" s="7" t="s">
        <v>54</v>
      </c>
      <c r="U1628" s="7" t="s">
        <v>362</v>
      </c>
      <c r="V1628" s="7" t="s">
        <v>295</v>
      </c>
      <c r="W1628" s="7" t="s">
        <v>57</v>
      </c>
      <c r="X1628" s="7" t="s">
        <v>103</v>
      </c>
      <c r="Y1628" s="8">
        <v>44743</v>
      </c>
      <c r="Z1628" s="8">
        <v>44926</v>
      </c>
      <c r="AA1628" s="7" t="s">
        <v>296</v>
      </c>
      <c r="AB1628" s="7" t="s">
        <v>366</v>
      </c>
      <c r="AC1628" s="7" t="s">
        <v>278</v>
      </c>
      <c r="AD1628" s="7" t="s">
        <v>367</v>
      </c>
      <c r="AE1628" s="7" t="s">
        <v>82</v>
      </c>
      <c r="AF1628" s="7" t="s">
        <v>0</v>
      </c>
      <c r="AG1628" s="7" t="s">
        <v>0</v>
      </c>
      <c r="AH1628" s="9" t="s">
        <v>13369</v>
      </c>
      <c r="AI1628" s="9" t="s">
        <v>13370</v>
      </c>
      <c r="AJ1628" s="9" t="s">
        <v>13371</v>
      </c>
      <c r="AK1628" s="7" t="s">
        <v>61</v>
      </c>
      <c r="AL1628" s="7" t="s">
        <v>61</v>
      </c>
      <c r="AM1628" s="7" t="s">
        <v>0</v>
      </c>
      <c r="AN1628" s="7" t="s">
        <v>0</v>
      </c>
      <c r="AO1628" s="7" t="s">
        <v>0</v>
      </c>
      <c r="AP1628" s="7" t="s">
        <v>0</v>
      </c>
      <c r="AQ1628" s="7" t="s">
        <v>61</v>
      </c>
      <c r="AR1628" s="7" t="s">
        <v>0</v>
      </c>
      <c r="AS1628" s="10" t="str">
        <f>HYPERLINK("https://tessa.gazprom-neft.local/edo/card/abbfbf70-1663-45de-a71d-1e6b3c9d2a50", "https://tessa.gazprom-neft.local/edo/card/abbfbf70-1663-45de-a71d-1e6b3c9d2a50")</f>
        <v>https://tessa.gazprom-neft.local/edo/card/abbfbf70-1663-45de-a71d-1e6b3c9d2a50</v>
      </c>
    </row>
    <row r="1629" spans="1:45" hidden="1" x14ac:dyDescent="0.25">
      <c r="A1629" s="6" t="s">
        <v>44</v>
      </c>
      <c r="B1629" s="7" t="s">
        <v>4333</v>
      </c>
      <c r="C1629" s="7" t="s">
        <v>67</v>
      </c>
      <c r="D1629" s="8">
        <v>44743</v>
      </c>
      <c r="E1629" s="8" t="s">
        <v>0</v>
      </c>
      <c r="F1629" s="16" t="s">
        <v>4334</v>
      </c>
      <c r="G1629" s="7" t="s">
        <v>4335</v>
      </c>
      <c r="H1629" s="7" t="s">
        <v>0</v>
      </c>
      <c r="I1629" s="7" t="s">
        <v>8031</v>
      </c>
      <c r="J1629" s="7" t="s">
        <v>8031</v>
      </c>
      <c r="K1629" s="7" t="s">
        <v>85</v>
      </c>
      <c r="L1629" s="7" t="s">
        <v>86</v>
      </c>
      <c r="M1629" s="7" t="s">
        <v>83</v>
      </c>
      <c r="N1629" s="7" t="s">
        <v>8030</v>
      </c>
      <c r="O1629" s="7" t="s">
        <v>0</v>
      </c>
      <c r="P1629" s="7" t="s">
        <v>83</v>
      </c>
      <c r="Q1629" s="7" t="s">
        <v>8032</v>
      </c>
      <c r="R1629" s="7" t="s">
        <v>1610</v>
      </c>
      <c r="S1629" s="7" t="s">
        <v>1610</v>
      </c>
      <c r="T1629" s="7" t="s">
        <v>54</v>
      </c>
      <c r="U1629" s="7" t="s">
        <v>101</v>
      </c>
      <c r="V1629" s="7" t="s">
        <v>137</v>
      </c>
      <c r="W1629" s="7" t="s">
        <v>57</v>
      </c>
      <c r="X1629" s="7" t="s">
        <v>103</v>
      </c>
      <c r="Y1629" s="8">
        <v>44743</v>
      </c>
      <c r="Z1629" s="8">
        <v>45777</v>
      </c>
      <c r="AA1629" s="7" t="s">
        <v>0</v>
      </c>
      <c r="AB1629" s="7" t="s">
        <v>94</v>
      </c>
      <c r="AC1629" s="7" t="s">
        <v>65</v>
      </c>
      <c r="AD1629" s="7" t="s">
        <v>0</v>
      </c>
      <c r="AE1629" s="7" t="s">
        <v>0</v>
      </c>
      <c r="AF1629" s="7" t="s">
        <v>0</v>
      </c>
      <c r="AG1629" s="7" t="s">
        <v>0</v>
      </c>
      <c r="AH1629" s="9" t="s">
        <v>0</v>
      </c>
      <c r="AI1629" s="9" t="s">
        <v>0</v>
      </c>
      <c r="AJ1629" s="9" t="s">
        <v>0</v>
      </c>
      <c r="AK1629" s="7" t="s">
        <v>61</v>
      </c>
      <c r="AL1629" s="7" t="s">
        <v>61</v>
      </c>
      <c r="AM1629" s="7" t="s">
        <v>0</v>
      </c>
      <c r="AN1629" s="7" t="s">
        <v>0</v>
      </c>
      <c r="AO1629" s="7" t="s">
        <v>0</v>
      </c>
      <c r="AP1629" s="7" t="s">
        <v>0</v>
      </c>
      <c r="AQ1629" s="7" t="s">
        <v>61</v>
      </c>
      <c r="AR1629" s="7" t="s">
        <v>0</v>
      </c>
      <c r="AS1629" s="10" t="str">
        <f>HYPERLINK("https://tessa.gazprom-neft.local/edo/card/6fbfcd67-587e-479c-a303-573bf9e095df", "https://tessa.gazprom-neft.local/edo/card/6fbfcd67-587e-479c-a303-573bf9e095df")</f>
        <v>https://tessa.gazprom-neft.local/edo/card/6fbfcd67-587e-479c-a303-573bf9e095df</v>
      </c>
    </row>
    <row r="1630" spans="1:45" x14ac:dyDescent="0.25">
      <c r="A1630" s="6" t="s">
        <v>44</v>
      </c>
      <c r="B1630" s="7" t="s">
        <v>384</v>
      </c>
      <c r="C1630" s="7" t="s">
        <v>67</v>
      </c>
      <c r="D1630" s="8">
        <v>44742</v>
      </c>
      <c r="E1630" s="8" t="s">
        <v>0</v>
      </c>
      <c r="F1630" s="16" t="s">
        <v>385</v>
      </c>
      <c r="G1630" s="7" t="s">
        <v>386</v>
      </c>
      <c r="H1630" s="7" t="s">
        <v>378</v>
      </c>
      <c r="I1630" s="7" t="s">
        <v>0</v>
      </c>
      <c r="J1630" s="7" t="s">
        <v>156</v>
      </c>
      <c r="K1630" s="7" t="s">
        <v>47</v>
      </c>
      <c r="L1630" s="7" t="s">
        <v>48</v>
      </c>
      <c r="M1630" s="7" t="s">
        <v>0</v>
      </c>
      <c r="N1630" s="7" t="s">
        <v>377</v>
      </c>
      <c r="O1630" s="7" t="s">
        <v>0</v>
      </c>
      <c r="P1630" s="7" t="s">
        <v>379</v>
      </c>
      <c r="Q1630" s="7" t="s">
        <v>380</v>
      </c>
      <c r="R1630" s="7" t="s">
        <v>220</v>
      </c>
      <c r="S1630" s="7" t="s">
        <v>381</v>
      </c>
      <c r="T1630" s="7" t="s">
        <v>54</v>
      </c>
      <c r="U1630" s="7" t="s">
        <v>222</v>
      </c>
      <c r="V1630" s="7" t="s">
        <v>382</v>
      </c>
      <c r="W1630" s="7" t="s">
        <v>74</v>
      </c>
      <c r="X1630" s="7" t="s">
        <v>58</v>
      </c>
      <c r="Y1630" s="8">
        <v>44377</v>
      </c>
      <c r="Z1630" s="8" t="s">
        <v>0</v>
      </c>
      <c r="AA1630" s="7" t="s">
        <v>383</v>
      </c>
      <c r="AB1630" s="7" t="s">
        <v>387</v>
      </c>
      <c r="AC1630" s="7" t="s">
        <v>79</v>
      </c>
      <c r="AD1630" s="7" t="s">
        <v>80</v>
      </c>
      <c r="AE1630" s="7" t="s">
        <v>82</v>
      </c>
      <c r="AF1630" s="7" t="s">
        <v>0</v>
      </c>
      <c r="AG1630" s="7" t="s">
        <v>0</v>
      </c>
      <c r="AH1630" s="9">
        <v>0</v>
      </c>
      <c r="AI1630" s="9">
        <v>0</v>
      </c>
      <c r="AJ1630" s="9">
        <v>0</v>
      </c>
      <c r="AK1630" s="7" t="s">
        <v>61</v>
      </c>
      <c r="AL1630" s="7" t="s">
        <v>61</v>
      </c>
      <c r="AM1630" s="7" t="s">
        <v>0</v>
      </c>
      <c r="AN1630" s="7" t="s">
        <v>0</v>
      </c>
      <c r="AO1630" s="7" t="s">
        <v>0</v>
      </c>
      <c r="AP1630" s="7" t="s">
        <v>0</v>
      </c>
      <c r="AQ1630" s="7" t="s">
        <v>61</v>
      </c>
      <c r="AR1630" s="7" t="s">
        <v>0</v>
      </c>
      <c r="AS1630" s="10" t="str">
        <f>HYPERLINK("https://tessa.gazprom-neft.local/edo/card/77a4dda0-290e-457b-999a-1347db2e3275", "https://tessa.gazprom-neft.local/edo/card/77a4dda0-290e-457b-999a-1347db2e3275")</f>
        <v>https://tessa.gazprom-neft.local/edo/card/77a4dda0-290e-457b-999a-1347db2e3275</v>
      </c>
    </row>
    <row r="1631" spans="1:45" x14ac:dyDescent="0.25">
      <c r="A1631" s="6" t="s">
        <v>44</v>
      </c>
      <c r="B1631" s="7" t="s">
        <v>7013</v>
      </c>
      <c r="C1631" s="7" t="s">
        <v>67</v>
      </c>
      <c r="D1631" s="8">
        <v>44742</v>
      </c>
      <c r="E1631" s="8" t="s">
        <v>0</v>
      </c>
      <c r="F1631" s="16" t="s">
        <v>7014</v>
      </c>
      <c r="G1631" s="7" t="s">
        <v>7015</v>
      </c>
      <c r="H1631" s="7" t="s">
        <v>7364</v>
      </c>
      <c r="I1631" s="7" t="s">
        <v>0</v>
      </c>
      <c r="J1631" s="7" t="s">
        <v>51</v>
      </c>
      <c r="K1631" s="7" t="s">
        <v>85</v>
      </c>
      <c r="L1631" s="7" t="s">
        <v>48</v>
      </c>
      <c r="M1631" s="7" t="s">
        <v>2128</v>
      </c>
      <c r="N1631" s="7" t="s">
        <v>7363</v>
      </c>
      <c r="O1631" s="7" t="s">
        <v>0</v>
      </c>
      <c r="P1631" s="7" t="s">
        <v>2128</v>
      </c>
      <c r="Q1631" s="7" t="s">
        <v>2177</v>
      </c>
      <c r="R1631" s="7" t="s">
        <v>1610</v>
      </c>
      <c r="S1631" s="7" t="s">
        <v>1610</v>
      </c>
      <c r="T1631" s="7" t="s">
        <v>54</v>
      </c>
      <c r="U1631" s="7" t="s">
        <v>101</v>
      </c>
      <c r="V1631" s="7" t="s">
        <v>137</v>
      </c>
      <c r="W1631" s="7" t="s">
        <v>57</v>
      </c>
      <c r="X1631" s="7" t="s">
        <v>103</v>
      </c>
      <c r="Y1631" s="8">
        <v>44742</v>
      </c>
      <c r="Z1631" s="8">
        <v>44926</v>
      </c>
      <c r="AA1631" s="7" t="s">
        <v>0</v>
      </c>
      <c r="AB1631" s="7" t="s">
        <v>64</v>
      </c>
      <c r="AC1631" s="7" t="s">
        <v>65</v>
      </c>
      <c r="AD1631" s="7" t="s">
        <v>0</v>
      </c>
      <c r="AE1631" s="7" t="s">
        <v>0</v>
      </c>
      <c r="AF1631" s="7" t="s">
        <v>0</v>
      </c>
      <c r="AG1631" s="7" t="s">
        <v>0</v>
      </c>
      <c r="AH1631" s="9" t="s">
        <v>0</v>
      </c>
      <c r="AI1631" s="9" t="s">
        <v>0</v>
      </c>
      <c r="AJ1631" s="9" t="s">
        <v>0</v>
      </c>
      <c r="AK1631" s="7" t="s">
        <v>61</v>
      </c>
      <c r="AL1631" s="7" t="s">
        <v>61</v>
      </c>
      <c r="AM1631" s="7" t="s">
        <v>0</v>
      </c>
      <c r="AN1631" s="7" t="s">
        <v>0</v>
      </c>
      <c r="AO1631" s="7" t="s">
        <v>0</v>
      </c>
      <c r="AP1631" s="7" t="s">
        <v>0</v>
      </c>
      <c r="AQ1631" s="7" t="s">
        <v>61</v>
      </c>
      <c r="AR1631" s="7" t="s">
        <v>0</v>
      </c>
      <c r="AS1631" s="10" t="str">
        <f>HYPERLINK("https://tessa.gazprom-neft.local/edo/card/95a4682b-657e-4c82-b053-fd55c3eb341a", "https://tessa.gazprom-neft.local/edo/card/95a4682b-657e-4c82-b053-fd55c3eb341a")</f>
        <v>https://tessa.gazprom-neft.local/edo/card/95a4682b-657e-4c82-b053-fd55c3eb341a</v>
      </c>
    </row>
    <row r="1632" spans="1:45" x14ac:dyDescent="0.25">
      <c r="A1632" s="6" t="s">
        <v>44</v>
      </c>
      <c r="B1632" s="7" t="s">
        <v>1593</v>
      </c>
      <c r="C1632" s="7" t="s">
        <v>67</v>
      </c>
      <c r="D1632" s="8">
        <v>44741</v>
      </c>
      <c r="E1632" s="8" t="s">
        <v>0</v>
      </c>
      <c r="F1632" s="16" t="s">
        <v>1594</v>
      </c>
      <c r="G1632" s="7" t="s">
        <v>1595</v>
      </c>
      <c r="H1632" s="7" t="s">
        <v>3521</v>
      </c>
      <c r="I1632" s="7" t="s">
        <v>0</v>
      </c>
      <c r="J1632" s="7" t="s">
        <v>355</v>
      </c>
      <c r="K1632" s="7" t="s">
        <v>85</v>
      </c>
      <c r="L1632" s="7" t="s">
        <v>48</v>
      </c>
      <c r="M1632" s="7" t="s">
        <v>2128</v>
      </c>
      <c r="N1632" s="7" t="s">
        <v>7393</v>
      </c>
      <c r="O1632" s="7" t="s">
        <v>0</v>
      </c>
      <c r="P1632" s="7" t="s">
        <v>2128</v>
      </c>
      <c r="Q1632" s="7" t="s">
        <v>7394</v>
      </c>
      <c r="R1632" s="7" t="s">
        <v>1575</v>
      </c>
      <c r="S1632" s="7" t="s">
        <v>1575</v>
      </c>
      <c r="T1632" s="7" t="s">
        <v>54</v>
      </c>
      <c r="U1632" s="7" t="s">
        <v>222</v>
      </c>
      <c r="V1632" s="7" t="s">
        <v>382</v>
      </c>
      <c r="W1632" s="7" t="s">
        <v>57</v>
      </c>
      <c r="X1632" s="7" t="s">
        <v>58</v>
      </c>
      <c r="Y1632" s="8">
        <v>44741</v>
      </c>
      <c r="Z1632" s="8" t="s">
        <v>0</v>
      </c>
      <c r="AA1632" s="7" t="s">
        <v>383</v>
      </c>
      <c r="AB1632" s="7" t="s">
        <v>387</v>
      </c>
      <c r="AC1632" s="7" t="s">
        <v>65</v>
      </c>
      <c r="AD1632" s="7" t="s">
        <v>0</v>
      </c>
      <c r="AE1632" s="7" t="s">
        <v>0</v>
      </c>
      <c r="AF1632" s="7" t="s">
        <v>0</v>
      </c>
      <c r="AG1632" s="7" t="s">
        <v>0</v>
      </c>
      <c r="AH1632" s="9" t="s">
        <v>0</v>
      </c>
      <c r="AI1632" s="9" t="s">
        <v>0</v>
      </c>
      <c r="AJ1632" s="9" t="s">
        <v>0</v>
      </c>
      <c r="AK1632" s="7" t="s">
        <v>61</v>
      </c>
      <c r="AL1632" s="7" t="s">
        <v>61</v>
      </c>
      <c r="AM1632" s="7" t="s">
        <v>0</v>
      </c>
      <c r="AN1632" s="7" t="s">
        <v>0</v>
      </c>
      <c r="AO1632" s="7" t="s">
        <v>0</v>
      </c>
      <c r="AP1632" s="7" t="s">
        <v>0</v>
      </c>
      <c r="AQ1632" s="7" t="s">
        <v>61</v>
      </c>
      <c r="AR1632" s="7" t="s">
        <v>0</v>
      </c>
      <c r="AS1632" s="10" t="str">
        <f>HYPERLINK("https://tessa.gazprom-neft.local/edo/card/40450b19-91a2-447d-806a-d6273732a5e1", "https://tessa.gazprom-neft.local/edo/card/40450b19-91a2-447d-806a-d6273732a5e1")</f>
        <v>https://tessa.gazprom-neft.local/edo/card/40450b19-91a2-447d-806a-d6273732a5e1</v>
      </c>
    </row>
    <row r="1633" spans="1:45" x14ac:dyDescent="0.25">
      <c r="A1633" s="6" t="s">
        <v>44</v>
      </c>
      <c r="B1633" s="7" t="s">
        <v>2001</v>
      </c>
      <c r="C1633" s="7" t="s">
        <v>67</v>
      </c>
      <c r="D1633" s="8">
        <v>44740</v>
      </c>
      <c r="E1633" s="8" t="s">
        <v>0</v>
      </c>
      <c r="F1633" s="16" t="s">
        <v>2002</v>
      </c>
      <c r="G1633" s="7" t="s">
        <v>2003</v>
      </c>
      <c r="H1633" s="7" t="s">
        <v>1998</v>
      </c>
      <c r="I1633" s="7" t="s">
        <v>0</v>
      </c>
      <c r="J1633" s="7" t="s">
        <v>51</v>
      </c>
      <c r="K1633" s="7" t="s">
        <v>85</v>
      </c>
      <c r="L1633" s="7" t="s">
        <v>48</v>
      </c>
      <c r="M1633" s="7" t="s">
        <v>3833</v>
      </c>
      <c r="N1633" s="7" t="s">
        <v>7338</v>
      </c>
      <c r="O1633" s="7" t="s">
        <v>0</v>
      </c>
      <c r="P1633" s="7" t="s">
        <v>3833</v>
      </c>
      <c r="Q1633" s="7" t="s">
        <v>4318</v>
      </c>
      <c r="R1633" s="7" t="s">
        <v>659</v>
      </c>
      <c r="S1633" s="7" t="s">
        <v>1179</v>
      </c>
      <c r="T1633" s="7" t="s">
        <v>54</v>
      </c>
      <c r="U1633" s="7" t="s">
        <v>283</v>
      </c>
      <c r="V1633" s="7" t="s">
        <v>102</v>
      </c>
      <c r="W1633" s="7" t="s">
        <v>57</v>
      </c>
      <c r="X1633" s="7" t="s">
        <v>103</v>
      </c>
      <c r="Y1633" s="8">
        <v>44740</v>
      </c>
      <c r="Z1633" s="8">
        <v>46387</v>
      </c>
      <c r="AA1633" s="7" t="s">
        <v>104</v>
      </c>
      <c r="AB1633" s="7" t="s">
        <v>130</v>
      </c>
      <c r="AC1633" s="7" t="s">
        <v>65</v>
      </c>
      <c r="AD1633" s="7" t="s">
        <v>0</v>
      </c>
      <c r="AE1633" s="7" t="s">
        <v>0</v>
      </c>
      <c r="AF1633" s="7" t="s">
        <v>0</v>
      </c>
      <c r="AG1633" s="7" t="s">
        <v>0</v>
      </c>
      <c r="AH1633" s="9" t="s">
        <v>0</v>
      </c>
      <c r="AI1633" s="9" t="s">
        <v>0</v>
      </c>
      <c r="AJ1633" s="9" t="s">
        <v>0</v>
      </c>
      <c r="AK1633" s="7" t="s">
        <v>61</v>
      </c>
      <c r="AL1633" s="7" t="s">
        <v>61</v>
      </c>
      <c r="AM1633" s="7" t="s">
        <v>0</v>
      </c>
      <c r="AN1633" s="7" t="s">
        <v>0</v>
      </c>
      <c r="AO1633" s="7" t="s">
        <v>0</v>
      </c>
      <c r="AP1633" s="7" t="s">
        <v>0</v>
      </c>
      <c r="AQ1633" s="7" t="s">
        <v>61</v>
      </c>
      <c r="AR1633" s="7" t="s">
        <v>0</v>
      </c>
      <c r="AS1633" s="10" t="str">
        <f>HYPERLINK("https://tessa.gazprom-neft.local/edo/card/7bc654ab-e33d-4e30-8128-3195069fadbe", "https://tessa.gazprom-neft.local/edo/card/7bc654ab-e33d-4e30-8128-3195069fadbe")</f>
        <v>https://tessa.gazprom-neft.local/edo/card/7bc654ab-e33d-4e30-8128-3195069fadbe</v>
      </c>
    </row>
    <row r="1634" spans="1:45" hidden="1" x14ac:dyDescent="0.25">
      <c r="A1634" s="6" t="s">
        <v>44</v>
      </c>
      <c r="B1634" s="7" t="s">
        <v>0</v>
      </c>
      <c r="C1634" s="7" t="s">
        <v>46</v>
      </c>
      <c r="D1634" s="8">
        <v>44739</v>
      </c>
      <c r="E1634" s="8" t="s">
        <v>0</v>
      </c>
      <c r="F1634" s="16" t="s">
        <v>6743</v>
      </c>
      <c r="G1634" s="7" t="s">
        <v>0</v>
      </c>
      <c r="H1634" s="7" t="s">
        <v>0</v>
      </c>
      <c r="I1634" s="7" t="s">
        <v>6741</v>
      </c>
      <c r="J1634" s="7" t="s">
        <v>6741</v>
      </c>
      <c r="K1634" s="7" t="s">
        <v>85</v>
      </c>
      <c r="L1634" s="7" t="s">
        <v>96</v>
      </c>
      <c r="M1634" s="7" t="s">
        <v>183</v>
      </c>
      <c r="N1634" s="7" t="s">
        <v>6740</v>
      </c>
      <c r="O1634" s="7" t="s">
        <v>0</v>
      </c>
      <c r="P1634" s="7" t="s">
        <v>183</v>
      </c>
      <c r="Q1634" s="7" t="s">
        <v>6742</v>
      </c>
      <c r="R1634" s="7" t="s">
        <v>659</v>
      </c>
      <c r="S1634" s="7" t="s">
        <v>0</v>
      </c>
      <c r="T1634" s="7" t="s">
        <v>54</v>
      </c>
      <c r="U1634" s="7" t="s">
        <v>362</v>
      </c>
      <c r="V1634" s="7" t="s">
        <v>295</v>
      </c>
      <c r="W1634" s="7" t="s">
        <v>57</v>
      </c>
      <c r="X1634" s="7" t="s">
        <v>103</v>
      </c>
      <c r="Y1634" s="8">
        <v>44739</v>
      </c>
      <c r="Z1634" s="8">
        <v>44768</v>
      </c>
      <c r="AA1634" s="7" t="s">
        <v>296</v>
      </c>
      <c r="AB1634" s="7" t="s">
        <v>192</v>
      </c>
      <c r="AC1634" s="7" t="s">
        <v>79</v>
      </c>
      <c r="AD1634" s="7" t="s">
        <v>80</v>
      </c>
      <c r="AE1634" s="7" t="s">
        <v>193</v>
      </c>
      <c r="AF1634" s="7" t="s">
        <v>0</v>
      </c>
      <c r="AG1634" s="7" t="s">
        <v>0</v>
      </c>
      <c r="AH1634" s="9" t="s">
        <v>12096</v>
      </c>
      <c r="AI1634" s="9" t="s">
        <v>12097</v>
      </c>
      <c r="AJ1634" s="9" t="s">
        <v>12098</v>
      </c>
      <c r="AK1634" s="7" t="s">
        <v>61</v>
      </c>
      <c r="AL1634" s="7" t="s">
        <v>61</v>
      </c>
      <c r="AM1634" s="7" t="s">
        <v>0</v>
      </c>
      <c r="AN1634" s="7" t="s">
        <v>0</v>
      </c>
      <c r="AO1634" s="7" t="s">
        <v>0</v>
      </c>
      <c r="AP1634" s="7" t="s">
        <v>0</v>
      </c>
      <c r="AQ1634" s="7" t="s">
        <v>61</v>
      </c>
      <c r="AR1634" s="7" t="s">
        <v>0</v>
      </c>
      <c r="AS1634" s="10" t="str">
        <f>HYPERLINK("https://tessa.gazprom-neft.local/edo/card/bd17933f-9367-421b-9013-712b814b6fe4", "https://tessa.gazprom-neft.local/edo/card/bd17933f-9367-421b-9013-712b814b6fe4")</f>
        <v>https://tessa.gazprom-neft.local/edo/card/bd17933f-9367-421b-9013-712b814b6fe4</v>
      </c>
    </row>
    <row r="1635" spans="1:45" hidden="1" x14ac:dyDescent="0.25">
      <c r="A1635" s="6" t="s">
        <v>44</v>
      </c>
      <c r="B1635" s="7" t="s">
        <v>1754</v>
      </c>
      <c r="C1635" s="7" t="s">
        <v>67</v>
      </c>
      <c r="D1635" s="8">
        <v>44739</v>
      </c>
      <c r="E1635" s="8" t="s">
        <v>0</v>
      </c>
      <c r="F1635" s="16" t="s">
        <v>1755</v>
      </c>
      <c r="G1635" s="7" t="s">
        <v>1756</v>
      </c>
      <c r="H1635" s="7" t="s">
        <v>0</v>
      </c>
      <c r="I1635" s="7" t="s">
        <v>2843</v>
      </c>
      <c r="J1635" s="7" t="s">
        <v>2843</v>
      </c>
      <c r="K1635" s="7" t="s">
        <v>47</v>
      </c>
      <c r="L1635" s="7" t="s">
        <v>96</v>
      </c>
      <c r="M1635" s="7" t="s">
        <v>0</v>
      </c>
      <c r="N1635" s="7" t="s">
        <v>6828</v>
      </c>
      <c r="O1635" s="7" t="s">
        <v>0</v>
      </c>
      <c r="P1635" s="7" t="s">
        <v>6829</v>
      </c>
      <c r="Q1635" s="7" t="s">
        <v>402</v>
      </c>
      <c r="R1635" s="7" t="s">
        <v>361</v>
      </c>
      <c r="S1635" s="7" t="s">
        <v>361</v>
      </c>
      <c r="T1635" s="7" t="s">
        <v>54</v>
      </c>
      <c r="U1635" s="7" t="s">
        <v>362</v>
      </c>
      <c r="V1635" s="7" t="s">
        <v>917</v>
      </c>
      <c r="W1635" s="7" t="s">
        <v>74</v>
      </c>
      <c r="X1635" s="7" t="s">
        <v>103</v>
      </c>
      <c r="Y1635" s="8">
        <v>44743</v>
      </c>
      <c r="Z1635" s="8">
        <v>45000</v>
      </c>
      <c r="AA1635" s="7" t="s">
        <v>1278</v>
      </c>
      <c r="AB1635" s="7" t="s">
        <v>366</v>
      </c>
      <c r="AC1635" s="7" t="s">
        <v>278</v>
      </c>
      <c r="AD1635" s="7" t="s">
        <v>367</v>
      </c>
      <c r="AE1635" s="7" t="s">
        <v>82</v>
      </c>
      <c r="AF1635" s="7" t="s">
        <v>0</v>
      </c>
      <c r="AG1635" s="7" t="s">
        <v>0</v>
      </c>
      <c r="AH1635" s="9" t="s">
        <v>12962</v>
      </c>
      <c r="AI1635" s="9" t="s">
        <v>12963</v>
      </c>
      <c r="AJ1635" s="9" t="s">
        <v>12964</v>
      </c>
      <c r="AK1635" s="7" t="s">
        <v>61</v>
      </c>
      <c r="AL1635" s="7" t="s">
        <v>61</v>
      </c>
      <c r="AM1635" s="7" t="s">
        <v>0</v>
      </c>
      <c r="AN1635" s="7" t="s">
        <v>0</v>
      </c>
      <c r="AO1635" s="7" t="s">
        <v>0</v>
      </c>
      <c r="AP1635" s="7" t="s">
        <v>0</v>
      </c>
      <c r="AQ1635" s="7" t="s">
        <v>61</v>
      </c>
      <c r="AR1635" s="7" t="s">
        <v>0</v>
      </c>
      <c r="AS1635" s="10" t="str">
        <f>HYPERLINK("https://tessa.gazprom-neft.local/edo/card/067dcf7a-f129-4f27-9fd9-f0f599b34203", "https://tessa.gazprom-neft.local/edo/card/067dcf7a-f129-4f27-9fd9-f0f599b34203")</f>
        <v>https://tessa.gazprom-neft.local/edo/card/067dcf7a-f129-4f27-9fd9-f0f599b34203</v>
      </c>
    </row>
    <row r="1636" spans="1:45" hidden="1" x14ac:dyDescent="0.25">
      <c r="A1636" s="6" t="s">
        <v>44</v>
      </c>
      <c r="B1636" s="7" t="s">
        <v>2001</v>
      </c>
      <c r="C1636" s="7" t="s">
        <v>67</v>
      </c>
      <c r="D1636" s="8">
        <v>44739</v>
      </c>
      <c r="E1636" s="8" t="s">
        <v>0</v>
      </c>
      <c r="F1636" s="16" t="s">
        <v>2002</v>
      </c>
      <c r="G1636" s="7" t="s">
        <v>2003</v>
      </c>
      <c r="H1636" s="7" t="s">
        <v>0</v>
      </c>
      <c r="I1636" s="7" t="s">
        <v>1998</v>
      </c>
      <c r="J1636" s="7" t="s">
        <v>1998</v>
      </c>
      <c r="K1636" s="7" t="s">
        <v>85</v>
      </c>
      <c r="L1636" s="7" t="s">
        <v>96</v>
      </c>
      <c r="M1636" s="7" t="s">
        <v>6841</v>
      </c>
      <c r="N1636" s="7" t="s">
        <v>6842</v>
      </c>
      <c r="O1636" s="7" t="s">
        <v>0</v>
      </c>
      <c r="P1636" s="7" t="s">
        <v>6841</v>
      </c>
      <c r="Q1636" s="7" t="s">
        <v>6843</v>
      </c>
      <c r="R1636" s="7" t="s">
        <v>338</v>
      </c>
      <c r="S1636" s="7" t="s">
        <v>6844</v>
      </c>
      <c r="T1636" s="7" t="s">
        <v>54</v>
      </c>
      <c r="U1636" s="7" t="s">
        <v>4736</v>
      </c>
      <c r="V1636" s="7" t="s">
        <v>102</v>
      </c>
      <c r="W1636" s="7" t="s">
        <v>57</v>
      </c>
      <c r="X1636" s="7" t="s">
        <v>103</v>
      </c>
      <c r="Y1636" s="8">
        <v>44739</v>
      </c>
      <c r="Z1636" s="8">
        <v>46387</v>
      </c>
      <c r="AA1636" s="7" t="s">
        <v>104</v>
      </c>
      <c r="AB1636" s="7" t="s">
        <v>130</v>
      </c>
      <c r="AC1636" s="7" t="s">
        <v>79</v>
      </c>
      <c r="AD1636" s="7" t="s">
        <v>144</v>
      </c>
      <c r="AE1636" s="7" t="s">
        <v>82</v>
      </c>
      <c r="AF1636" s="7" t="s">
        <v>0</v>
      </c>
      <c r="AG1636" s="7" t="s">
        <v>182</v>
      </c>
      <c r="AH1636" s="9" t="s">
        <v>12968</v>
      </c>
      <c r="AI1636" s="9" t="s">
        <v>12969</v>
      </c>
      <c r="AJ1636" s="9" t="s">
        <v>12970</v>
      </c>
      <c r="AK1636" s="7" t="s">
        <v>81</v>
      </c>
      <c r="AL1636" s="7" t="s">
        <v>61</v>
      </c>
      <c r="AM1636" s="7" t="s">
        <v>0</v>
      </c>
      <c r="AN1636" s="7" t="s">
        <v>0</v>
      </c>
      <c r="AO1636" s="7" t="s">
        <v>0</v>
      </c>
      <c r="AP1636" s="7" t="s">
        <v>0</v>
      </c>
      <c r="AQ1636" s="7" t="s">
        <v>61</v>
      </c>
      <c r="AR1636" s="7" t="s">
        <v>0</v>
      </c>
      <c r="AS1636" s="10" t="str">
        <f>HYPERLINK("https://tessa.gazprom-neft.local/edo/card/cd5ecb70-6dd6-4384-a45a-012c99a734f9", "https://tessa.gazprom-neft.local/edo/card/cd5ecb70-6dd6-4384-a45a-012c99a734f9")</f>
        <v>https://tessa.gazprom-neft.local/edo/card/cd5ecb70-6dd6-4384-a45a-012c99a734f9</v>
      </c>
    </row>
    <row r="1637" spans="1:45" hidden="1" x14ac:dyDescent="0.25">
      <c r="A1637" s="6" t="s">
        <v>44</v>
      </c>
      <c r="B1637" s="7" t="s">
        <v>0</v>
      </c>
      <c r="C1637" s="7" t="s">
        <v>46</v>
      </c>
      <c r="D1637" s="8">
        <v>44739</v>
      </c>
      <c r="E1637" s="8" t="s">
        <v>0</v>
      </c>
      <c r="F1637" s="16" t="s">
        <v>6743</v>
      </c>
      <c r="G1637" s="7" t="s">
        <v>0</v>
      </c>
      <c r="H1637" s="7" t="s">
        <v>0</v>
      </c>
      <c r="I1637" s="7" t="s">
        <v>6856</v>
      </c>
      <c r="J1637" s="7" t="s">
        <v>6856</v>
      </c>
      <c r="K1637" s="7" t="s">
        <v>85</v>
      </c>
      <c r="L1637" s="7" t="s">
        <v>86</v>
      </c>
      <c r="M1637" s="7" t="s">
        <v>523</v>
      </c>
      <c r="N1637" s="7" t="s">
        <v>6855</v>
      </c>
      <c r="O1637" s="7" t="s">
        <v>0</v>
      </c>
      <c r="P1637" s="7" t="s">
        <v>523</v>
      </c>
      <c r="Q1637" s="7" t="s">
        <v>526</v>
      </c>
      <c r="R1637" s="7" t="s">
        <v>338</v>
      </c>
      <c r="S1637" s="7" t="s">
        <v>6857</v>
      </c>
      <c r="T1637" s="7" t="s">
        <v>54</v>
      </c>
      <c r="U1637" s="7" t="s">
        <v>4736</v>
      </c>
      <c r="V1637" s="7" t="s">
        <v>91</v>
      </c>
      <c r="W1637" s="7" t="s">
        <v>57</v>
      </c>
      <c r="X1637" s="7" t="s">
        <v>103</v>
      </c>
      <c r="Y1637" s="8">
        <v>44739</v>
      </c>
      <c r="Z1637" s="8">
        <v>44768</v>
      </c>
      <c r="AA1637" s="7" t="s">
        <v>92</v>
      </c>
      <c r="AB1637" s="7" t="s">
        <v>94</v>
      </c>
      <c r="AC1637" s="7" t="s">
        <v>65</v>
      </c>
      <c r="AD1637" s="7" t="s">
        <v>0</v>
      </c>
      <c r="AE1637" s="7" t="s">
        <v>0</v>
      </c>
      <c r="AF1637" s="7" t="s">
        <v>0</v>
      </c>
      <c r="AG1637" s="7" t="s">
        <v>0</v>
      </c>
      <c r="AH1637" s="9" t="s">
        <v>0</v>
      </c>
      <c r="AI1637" s="9" t="s">
        <v>0</v>
      </c>
      <c r="AJ1637" s="9" t="s">
        <v>0</v>
      </c>
      <c r="AK1637" s="7" t="s">
        <v>61</v>
      </c>
      <c r="AL1637" s="7" t="s">
        <v>61</v>
      </c>
      <c r="AM1637" s="7" t="s">
        <v>0</v>
      </c>
      <c r="AN1637" s="7" t="s">
        <v>0</v>
      </c>
      <c r="AO1637" s="7" t="s">
        <v>0</v>
      </c>
      <c r="AP1637" s="7" t="s">
        <v>0</v>
      </c>
      <c r="AQ1637" s="7" t="s">
        <v>61</v>
      </c>
      <c r="AR1637" s="7" t="s">
        <v>0</v>
      </c>
      <c r="AS1637" s="10" t="str">
        <f>HYPERLINK("https://tessa.gazprom-neft.local/edo/card/3b5c61bc-7266-4907-8996-4224cec159d3", "https://tessa.gazprom-neft.local/edo/card/3b5c61bc-7266-4907-8996-4224cec159d3")</f>
        <v>https://tessa.gazprom-neft.local/edo/card/3b5c61bc-7266-4907-8996-4224cec159d3</v>
      </c>
    </row>
    <row r="1638" spans="1:45" hidden="1" x14ac:dyDescent="0.25">
      <c r="A1638" s="6" t="s">
        <v>44</v>
      </c>
      <c r="B1638" s="7" t="s">
        <v>2001</v>
      </c>
      <c r="C1638" s="7" t="s">
        <v>67</v>
      </c>
      <c r="D1638" s="8">
        <v>44739</v>
      </c>
      <c r="E1638" s="8" t="s">
        <v>0</v>
      </c>
      <c r="F1638" s="16" t="s">
        <v>2002</v>
      </c>
      <c r="G1638" s="7" t="s">
        <v>2003</v>
      </c>
      <c r="H1638" s="7" t="s">
        <v>0</v>
      </c>
      <c r="I1638" s="7" t="s">
        <v>3898</v>
      </c>
      <c r="J1638" s="7" t="s">
        <v>3898</v>
      </c>
      <c r="K1638" s="7" t="s">
        <v>85</v>
      </c>
      <c r="L1638" s="7" t="s">
        <v>86</v>
      </c>
      <c r="M1638" s="7" t="s">
        <v>216</v>
      </c>
      <c r="N1638" s="7" t="s">
        <v>7196</v>
      </c>
      <c r="O1638" s="7" t="s">
        <v>0</v>
      </c>
      <c r="P1638" s="7" t="s">
        <v>216</v>
      </c>
      <c r="Q1638" s="7" t="s">
        <v>7197</v>
      </c>
      <c r="R1638" s="7" t="s">
        <v>338</v>
      </c>
      <c r="S1638" s="7" t="s">
        <v>7198</v>
      </c>
      <c r="T1638" s="7" t="s">
        <v>54</v>
      </c>
      <c r="U1638" s="7" t="s">
        <v>4736</v>
      </c>
      <c r="V1638" s="7" t="s">
        <v>102</v>
      </c>
      <c r="W1638" s="7" t="s">
        <v>57</v>
      </c>
      <c r="X1638" s="7" t="s">
        <v>103</v>
      </c>
      <c r="Y1638" s="8">
        <v>44739</v>
      </c>
      <c r="Z1638" s="8">
        <v>46234</v>
      </c>
      <c r="AA1638" s="7" t="s">
        <v>104</v>
      </c>
      <c r="AB1638" s="7" t="s">
        <v>228</v>
      </c>
      <c r="AC1638" s="7" t="s">
        <v>65</v>
      </c>
      <c r="AD1638" s="7" t="s">
        <v>0</v>
      </c>
      <c r="AE1638" s="7" t="s">
        <v>0</v>
      </c>
      <c r="AF1638" s="7" t="s">
        <v>0</v>
      </c>
      <c r="AG1638" s="7" t="s">
        <v>0</v>
      </c>
      <c r="AH1638" s="9" t="s">
        <v>0</v>
      </c>
      <c r="AI1638" s="9" t="s">
        <v>0</v>
      </c>
      <c r="AJ1638" s="9" t="s">
        <v>0</v>
      </c>
      <c r="AK1638" s="7" t="s">
        <v>61</v>
      </c>
      <c r="AL1638" s="7" t="s">
        <v>61</v>
      </c>
      <c r="AM1638" s="7" t="s">
        <v>0</v>
      </c>
      <c r="AN1638" s="7" t="s">
        <v>0</v>
      </c>
      <c r="AO1638" s="7" t="s">
        <v>0</v>
      </c>
      <c r="AP1638" s="7" t="s">
        <v>0</v>
      </c>
      <c r="AQ1638" s="7" t="s">
        <v>61</v>
      </c>
      <c r="AR1638" s="7" t="s">
        <v>0</v>
      </c>
      <c r="AS1638" s="10" t="str">
        <f>HYPERLINK("https://tessa.gazprom-neft.local/edo/card/1c02828e-dac9-4b1b-b20e-8a33842f005c", "https://tessa.gazprom-neft.local/edo/card/1c02828e-dac9-4b1b-b20e-8a33842f005c")</f>
        <v>https://tessa.gazprom-neft.local/edo/card/1c02828e-dac9-4b1b-b20e-8a33842f005c</v>
      </c>
    </row>
    <row r="1639" spans="1:45" hidden="1" x14ac:dyDescent="0.25">
      <c r="A1639" s="6" t="s">
        <v>44</v>
      </c>
      <c r="B1639" s="7" t="s">
        <v>3031</v>
      </c>
      <c r="C1639" s="7" t="s">
        <v>67</v>
      </c>
      <c r="D1639" s="8">
        <v>44739</v>
      </c>
      <c r="E1639" s="8" t="s">
        <v>0</v>
      </c>
      <c r="F1639" s="16" t="s">
        <v>3032</v>
      </c>
      <c r="G1639" s="7" t="s">
        <v>3033</v>
      </c>
      <c r="H1639" s="7" t="s">
        <v>0</v>
      </c>
      <c r="I1639" s="7" t="s">
        <v>7265</v>
      </c>
      <c r="J1639" s="7" t="s">
        <v>7265</v>
      </c>
      <c r="K1639" s="7" t="s">
        <v>47</v>
      </c>
      <c r="L1639" s="7" t="s">
        <v>96</v>
      </c>
      <c r="M1639" s="7" t="s">
        <v>0</v>
      </c>
      <c r="N1639" s="7" t="s">
        <v>7264</v>
      </c>
      <c r="O1639" s="7" t="s">
        <v>0</v>
      </c>
      <c r="P1639" s="7" t="s">
        <v>7266</v>
      </c>
      <c r="Q1639" s="7" t="s">
        <v>7267</v>
      </c>
      <c r="R1639" s="7" t="s">
        <v>1829</v>
      </c>
      <c r="S1639" s="7" t="s">
        <v>1829</v>
      </c>
      <c r="T1639" s="7" t="s">
        <v>54</v>
      </c>
      <c r="U1639" s="7" t="s">
        <v>307</v>
      </c>
      <c r="V1639" s="7" t="s">
        <v>382</v>
      </c>
      <c r="W1639" s="7" t="s">
        <v>74</v>
      </c>
      <c r="X1639" s="7" t="s">
        <v>103</v>
      </c>
      <c r="Y1639" s="8">
        <v>44739</v>
      </c>
      <c r="Z1639" s="8">
        <v>44926</v>
      </c>
      <c r="AA1639" s="7" t="s">
        <v>383</v>
      </c>
      <c r="AB1639" s="7" t="s">
        <v>130</v>
      </c>
      <c r="AC1639" s="7" t="s">
        <v>79</v>
      </c>
      <c r="AD1639" s="7" t="s">
        <v>514</v>
      </c>
      <c r="AE1639" s="7" t="s">
        <v>82</v>
      </c>
      <c r="AF1639" s="7" t="s">
        <v>0</v>
      </c>
      <c r="AG1639" s="7" t="s">
        <v>0</v>
      </c>
      <c r="AH1639" s="9" t="s">
        <v>13121</v>
      </c>
      <c r="AI1639" s="9" t="s">
        <v>13122</v>
      </c>
      <c r="AJ1639" s="9" t="s">
        <v>13123</v>
      </c>
      <c r="AK1639" s="7" t="s">
        <v>61</v>
      </c>
      <c r="AL1639" s="7" t="s">
        <v>61</v>
      </c>
      <c r="AM1639" s="7" t="s">
        <v>0</v>
      </c>
      <c r="AN1639" s="7" t="s">
        <v>0</v>
      </c>
      <c r="AO1639" s="7" t="s">
        <v>0</v>
      </c>
      <c r="AP1639" s="7" t="s">
        <v>0</v>
      </c>
      <c r="AQ1639" s="7" t="s">
        <v>61</v>
      </c>
      <c r="AR1639" s="7" t="s">
        <v>0</v>
      </c>
      <c r="AS1639" s="10" t="str">
        <f>HYPERLINK("https://tessa.gazprom-neft.local/edo/card/aa78240c-8908-4cf0-b9cc-875d586c8b10", "https://tessa.gazprom-neft.local/edo/card/aa78240c-8908-4cf0-b9cc-875d586c8b10")</f>
        <v>https://tessa.gazprom-neft.local/edo/card/aa78240c-8908-4cf0-b9cc-875d586c8b10</v>
      </c>
    </row>
    <row r="1640" spans="1:45" hidden="1" x14ac:dyDescent="0.25">
      <c r="A1640" s="6" t="s">
        <v>44</v>
      </c>
      <c r="B1640" s="7" t="s">
        <v>2050</v>
      </c>
      <c r="C1640" s="7" t="s">
        <v>67</v>
      </c>
      <c r="D1640" s="8">
        <v>44739</v>
      </c>
      <c r="E1640" s="8" t="s">
        <v>0</v>
      </c>
      <c r="F1640" s="16" t="s">
        <v>2051</v>
      </c>
      <c r="G1640" s="7" t="s">
        <v>2052</v>
      </c>
      <c r="H1640" s="7" t="s">
        <v>2047</v>
      </c>
      <c r="I1640" s="7" t="s">
        <v>0</v>
      </c>
      <c r="J1640" s="7" t="s">
        <v>955</v>
      </c>
      <c r="K1640" s="7" t="s">
        <v>85</v>
      </c>
      <c r="L1640" s="7" t="s">
        <v>239</v>
      </c>
      <c r="M1640" s="7" t="s">
        <v>2045</v>
      </c>
      <c r="N1640" s="7" t="s">
        <v>7374</v>
      </c>
      <c r="O1640" s="7" t="s">
        <v>0</v>
      </c>
      <c r="P1640" s="7" t="s">
        <v>2045</v>
      </c>
      <c r="Q1640" s="7" t="s">
        <v>7375</v>
      </c>
      <c r="R1640" s="7" t="s">
        <v>1256</v>
      </c>
      <c r="S1640" s="7" t="s">
        <v>1256</v>
      </c>
      <c r="T1640" s="7" t="s">
        <v>54</v>
      </c>
      <c r="U1640" s="7" t="s">
        <v>591</v>
      </c>
      <c r="V1640" s="7" t="s">
        <v>382</v>
      </c>
      <c r="W1640" s="7" t="s">
        <v>57</v>
      </c>
      <c r="X1640" s="7" t="s">
        <v>103</v>
      </c>
      <c r="Y1640" s="8">
        <v>44739</v>
      </c>
      <c r="Z1640" s="8">
        <v>44788</v>
      </c>
      <c r="AA1640" s="7" t="s">
        <v>0</v>
      </c>
      <c r="AB1640" s="7" t="s">
        <v>2053</v>
      </c>
      <c r="AC1640" s="7" t="s">
        <v>79</v>
      </c>
      <c r="AD1640" s="7" t="s">
        <v>144</v>
      </c>
      <c r="AE1640" s="7" t="s">
        <v>82</v>
      </c>
      <c r="AF1640" s="7" t="s">
        <v>0</v>
      </c>
      <c r="AG1640" s="7" t="s">
        <v>0</v>
      </c>
      <c r="AH1640" s="9" t="s">
        <v>13166</v>
      </c>
      <c r="AI1640" s="9" t="s">
        <v>13167</v>
      </c>
      <c r="AJ1640" s="9" t="s">
        <v>13168</v>
      </c>
      <c r="AK1640" s="7" t="s">
        <v>61</v>
      </c>
      <c r="AL1640" s="7" t="s">
        <v>61</v>
      </c>
      <c r="AM1640" s="7" t="s">
        <v>0</v>
      </c>
      <c r="AN1640" s="7" t="s">
        <v>0</v>
      </c>
      <c r="AO1640" s="7" t="s">
        <v>0</v>
      </c>
      <c r="AP1640" s="7" t="s">
        <v>0</v>
      </c>
      <c r="AQ1640" s="7" t="s">
        <v>61</v>
      </c>
      <c r="AR1640" s="7" t="s">
        <v>0</v>
      </c>
      <c r="AS1640" s="10" t="str">
        <f>HYPERLINK("https://tessa.gazprom-neft.local/edo/card/f89e1aab-494d-4409-ad5d-2d0e011b1b86", "https://tessa.gazprom-neft.local/edo/card/f89e1aab-494d-4409-ad5d-2d0e011b1b86")</f>
        <v>https://tessa.gazprom-neft.local/edo/card/f89e1aab-494d-4409-ad5d-2d0e011b1b86</v>
      </c>
    </row>
    <row r="1641" spans="1:45" hidden="1" x14ac:dyDescent="0.25">
      <c r="A1641" s="6" t="s">
        <v>44</v>
      </c>
      <c r="B1641" s="7" t="s">
        <v>245</v>
      </c>
      <c r="C1641" s="7" t="s">
        <v>67</v>
      </c>
      <c r="D1641" s="8">
        <v>44739</v>
      </c>
      <c r="E1641" s="8" t="s">
        <v>0</v>
      </c>
      <c r="F1641" s="16" t="s">
        <v>246</v>
      </c>
      <c r="G1641" s="7" t="s">
        <v>247</v>
      </c>
      <c r="H1641" s="7" t="s">
        <v>574</v>
      </c>
      <c r="I1641" s="7" t="s">
        <v>0</v>
      </c>
      <c r="J1641" s="7" t="s">
        <v>51</v>
      </c>
      <c r="K1641" s="7" t="s">
        <v>47</v>
      </c>
      <c r="L1641" s="7" t="s">
        <v>389</v>
      </c>
      <c r="M1641" s="7" t="s">
        <v>0</v>
      </c>
      <c r="N1641" s="7" t="s">
        <v>7485</v>
      </c>
      <c r="O1641" s="7" t="s">
        <v>1823</v>
      </c>
      <c r="P1641" s="7" t="s">
        <v>7486</v>
      </c>
      <c r="Q1641" s="7" t="s">
        <v>7487</v>
      </c>
      <c r="R1641" s="7" t="s">
        <v>540</v>
      </c>
      <c r="S1641" s="7" t="s">
        <v>0</v>
      </c>
      <c r="T1641" s="7" t="s">
        <v>54</v>
      </c>
      <c r="U1641" s="7" t="s">
        <v>541</v>
      </c>
      <c r="V1641" s="7" t="s">
        <v>56</v>
      </c>
      <c r="W1641" s="7" t="s">
        <v>57</v>
      </c>
      <c r="X1641" s="7" t="s">
        <v>103</v>
      </c>
      <c r="Y1641" s="8">
        <v>44739</v>
      </c>
      <c r="Z1641" s="8">
        <v>44925</v>
      </c>
      <c r="AA1641" s="7" t="s">
        <v>59</v>
      </c>
      <c r="AB1641" s="7" t="s">
        <v>256</v>
      </c>
      <c r="AC1641" s="7" t="s">
        <v>79</v>
      </c>
      <c r="AD1641" s="7" t="s">
        <v>144</v>
      </c>
      <c r="AE1641" s="7" t="s">
        <v>82</v>
      </c>
      <c r="AF1641" s="7" t="s">
        <v>0</v>
      </c>
      <c r="AG1641" s="7" t="s">
        <v>0</v>
      </c>
      <c r="AH1641" s="9" t="s">
        <v>13193</v>
      </c>
      <c r="AI1641" s="9" t="s">
        <v>13194</v>
      </c>
      <c r="AJ1641" s="9" t="s">
        <v>13195</v>
      </c>
      <c r="AK1641" s="7" t="s">
        <v>61</v>
      </c>
      <c r="AL1641" s="7" t="s">
        <v>61</v>
      </c>
      <c r="AM1641" s="7" t="s">
        <v>0</v>
      </c>
      <c r="AN1641" s="7" t="s">
        <v>0</v>
      </c>
      <c r="AO1641" s="7" t="s">
        <v>0</v>
      </c>
      <c r="AP1641" s="7" t="s">
        <v>0</v>
      </c>
      <c r="AQ1641" s="7" t="s">
        <v>61</v>
      </c>
      <c r="AR1641" s="7" t="s">
        <v>0</v>
      </c>
      <c r="AS1641" s="10" t="str">
        <f>HYPERLINK("https://tessa.gazprom-neft.local/edo/card/ecd3f9fc-8373-40dc-8228-cbabd6849f41", "https://tessa.gazprom-neft.local/edo/card/ecd3f9fc-8373-40dc-8228-cbabd6849f41")</f>
        <v>https://tessa.gazprom-neft.local/edo/card/ecd3f9fc-8373-40dc-8228-cbabd6849f41</v>
      </c>
    </row>
    <row r="1642" spans="1:45" hidden="1" x14ac:dyDescent="0.25">
      <c r="A1642" s="6" t="s">
        <v>44</v>
      </c>
      <c r="B1642" s="7" t="s">
        <v>1165</v>
      </c>
      <c r="C1642" s="7" t="s">
        <v>67</v>
      </c>
      <c r="D1642" s="8">
        <v>44739</v>
      </c>
      <c r="E1642" s="8" t="s">
        <v>0</v>
      </c>
      <c r="F1642" s="16" t="s">
        <v>1166</v>
      </c>
      <c r="G1642" s="7" t="s">
        <v>1167</v>
      </c>
      <c r="H1642" s="7" t="s">
        <v>1847</v>
      </c>
      <c r="I1642" s="7" t="s">
        <v>0</v>
      </c>
      <c r="J1642" s="7" t="s">
        <v>7495</v>
      </c>
      <c r="K1642" s="7" t="s">
        <v>47</v>
      </c>
      <c r="L1642" s="7" t="s">
        <v>239</v>
      </c>
      <c r="M1642" s="7" t="s">
        <v>0</v>
      </c>
      <c r="N1642" s="7" t="s">
        <v>7493</v>
      </c>
      <c r="O1642" s="7" t="s">
        <v>0</v>
      </c>
      <c r="P1642" s="7" t="s">
        <v>7494</v>
      </c>
      <c r="Q1642" s="7" t="s">
        <v>7496</v>
      </c>
      <c r="R1642" s="7" t="s">
        <v>540</v>
      </c>
      <c r="S1642" s="7" t="s">
        <v>0</v>
      </c>
      <c r="T1642" s="7" t="s">
        <v>54</v>
      </c>
      <c r="U1642" s="7" t="s">
        <v>541</v>
      </c>
      <c r="V1642" s="7" t="s">
        <v>56</v>
      </c>
      <c r="W1642" s="7" t="s">
        <v>57</v>
      </c>
      <c r="X1642" s="7" t="s">
        <v>103</v>
      </c>
      <c r="Y1642" s="8">
        <v>44739</v>
      </c>
      <c r="Z1642" s="8">
        <v>44771</v>
      </c>
      <c r="AA1642" s="7" t="s">
        <v>59</v>
      </c>
      <c r="AB1642" s="7" t="s">
        <v>256</v>
      </c>
      <c r="AC1642" s="7" t="s">
        <v>79</v>
      </c>
      <c r="AD1642" s="7" t="s">
        <v>144</v>
      </c>
      <c r="AE1642" s="7" t="s">
        <v>82</v>
      </c>
      <c r="AF1642" s="7" t="s">
        <v>0</v>
      </c>
      <c r="AG1642" s="7" t="s">
        <v>0</v>
      </c>
      <c r="AH1642" s="9" t="s">
        <v>13199</v>
      </c>
      <c r="AI1642" s="9" t="s">
        <v>13200</v>
      </c>
      <c r="AJ1642" s="9" t="s">
        <v>13201</v>
      </c>
      <c r="AK1642" s="7" t="s">
        <v>61</v>
      </c>
      <c r="AL1642" s="7" t="s">
        <v>61</v>
      </c>
      <c r="AM1642" s="7" t="s">
        <v>0</v>
      </c>
      <c r="AN1642" s="7" t="s">
        <v>0</v>
      </c>
      <c r="AO1642" s="7" t="s">
        <v>0</v>
      </c>
      <c r="AP1642" s="7" t="s">
        <v>0</v>
      </c>
      <c r="AQ1642" s="7" t="s">
        <v>61</v>
      </c>
      <c r="AR1642" s="7" t="s">
        <v>0</v>
      </c>
      <c r="AS1642" s="10" t="str">
        <f>HYPERLINK("https://tessa.gazprom-neft.local/edo/card/a2d46609-8993-4940-80db-892e8d044066", "https://tessa.gazprom-neft.local/edo/card/a2d46609-8993-4940-80db-892e8d044066")</f>
        <v>https://tessa.gazprom-neft.local/edo/card/a2d46609-8993-4940-80db-892e8d044066</v>
      </c>
    </row>
    <row r="1643" spans="1:45" hidden="1" x14ac:dyDescent="0.25">
      <c r="A1643" s="6" t="s">
        <v>44</v>
      </c>
      <c r="B1643" s="7" t="s">
        <v>1165</v>
      </c>
      <c r="C1643" s="7" t="s">
        <v>67</v>
      </c>
      <c r="D1643" s="8">
        <v>44739</v>
      </c>
      <c r="E1643" s="8" t="s">
        <v>0</v>
      </c>
      <c r="F1643" s="16" t="s">
        <v>1166</v>
      </c>
      <c r="G1643" s="7" t="s">
        <v>1167</v>
      </c>
      <c r="H1643" s="7" t="s">
        <v>1847</v>
      </c>
      <c r="I1643" s="7" t="s">
        <v>0</v>
      </c>
      <c r="J1643" s="7" t="s">
        <v>7505</v>
      </c>
      <c r="K1643" s="7" t="s">
        <v>47</v>
      </c>
      <c r="L1643" s="7" t="s">
        <v>239</v>
      </c>
      <c r="M1643" s="7" t="s">
        <v>0</v>
      </c>
      <c r="N1643" s="7" t="s">
        <v>7503</v>
      </c>
      <c r="O1643" s="7" t="s">
        <v>0</v>
      </c>
      <c r="P1643" s="7" t="s">
        <v>7504</v>
      </c>
      <c r="Q1643" s="7" t="s">
        <v>7506</v>
      </c>
      <c r="R1643" s="7" t="s">
        <v>540</v>
      </c>
      <c r="S1643" s="7" t="s">
        <v>0</v>
      </c>
      <c r="T1643" s="7" t="s">
        <v>54</v>
      </c>
      <c r="U1643" s="7" t="s">
        <v>541</v>
      </c>
      <c r="V1643" s="7" t="s">
        <v>56</v>
      </c>
      <c r="W1643" s="7" t="s">
        <v>57</v>
      </c>
      <c r="X1643" s="7" t="s">
        <v>103</v>
      </c>
      <c r="Y1643" s="8">
        <v>44739</v>
      </c>
      <c r="Z1643" s="8">
        <v>44771</v>
      </c>
      <c r="AA1643" s="7" t="s">
        <v>59</v>
      </c>
      <c r="AB1643" s="7" t="s">
        <v>256</v>
      </c>
      <c r="AC1643" s="7" t="s">
        <v>79</v>
      </c>
      <c r="AD1643" s="7" t="s">
        <v>144</v>
      </c>
      <c r="AE1643" s="7" t="s">
        <v>82</v>
      </c>
      <c r="AF1643" s="7" t="s">
        <v>0</v>
      </c>
      <c r="AG1643" s="7" t="s">
        <v>0</v>
      </c>
      <c r="AH1643" s="9" t="s">
        <v>13203</v>
      </c>
      <c r="AI1643" s="9" t="s">
        <v>13204</v>
      </c>
      <c r="AJ1643" s="9" t="s">
        <v>13205</v>
      </c>
      <c r="AK1643" s="7" t="s">
        <v>61</v>
      </c>
      <c r="AL1643" s="7" t="s">
        <v>61</v>
      </c>
      <c r="AM1643" s="7" t="s">
        <v>0</v>
      </c>
      <c r="AN1643" s="7" t="s">
        <v>0</v>
      </c>
      <c r="AO1643" s="7" t="s">
        <v>0</v>
      </c>
      <c r="AP1643" s="7" t="s">
        <v>0</v>
      </c>
      <c r="AQ1643" s="7" t="s">
        <v>61</v>
      </c>
      <c r="AR1643" s="7" t="s">
        <v>0</v>
      </c>
      <c r="AS1643" s="10" t="str">
        <f>HYPERLINK("https://tessa.gazprom-neft.local/edo/card/97d763bf-97fe-4571-9c63-25ce6919b437", "https://tessa.gazprom-neft.local/edo/card/97d763bf-97fe-4571-9c63-25ce6919b437")</f>
        <v>https://tessa.gazprom-neft.local/edo/card/97d763bf-97fe-4571-9c63-25ce6919b437</v>
      </c>
    </row>
    <row r="1644" spans="1:45" hidden="1" x14ac:dyDescent="0.25">
      <c r="A1644" s="6" t="s">
        <v>44</v>
      </c>
      <c r="B1644" s="7" t="s">
        <v>2001</v>
      </c>
      <c r="C1644" s="7" t="s">
        <v>67</v>
      </c>
      <c r="D1644" s="8">
        <v>44739</v>
      </c>
      <c r="E1644" s="8" t="s">
        <v>0</v>
      </c>
      <c r="F1644" s="16" t="s">
        <v>2002</v>
      </c>
      <c r="G1644" s="7" t="s">
        <v>2003</v>
      </c>
      <c r="H1644" s="7" t="s">
        <v>0</v>
      </c>
      <c r="I1644" s="7" t="s">
        <v>7692</v>
      </c>
      <c r="J1644" s="7" t="s">
        <v>7692</v>
      </c>
      <c r="K1644" s="7" t="s">
        <v>85</v>
      </c>
      <c r="L1644" s="7" t="s">
        <v>86</v>
      </c>
      <c r="M1644" s="7" t="s">
        <v>83</v>
      </c>
      <c r="N1644" s="7" t="s">
        <v>7691</v>
      </c>
      <c r="O1644" s="7" t="s">
        <v>0</v>
      </c>
      <c r="P1644" s="7" t="s">
        <v>83</v>
      </c>
      <c r="Q1644" s="7" t="s">
        <v>7693</v>
      </c>
      <c r="R1644" s="7" t="s">
        <v>659</v>
      </c>
      <c r="S1644" s="7" t="s">
        <v>7694</v>
      </c>
      <c r="T1644" s="7" t="s">
        <v>54</v>
      </c>
      <c r="U1644" s="7" t="s">
        <v>303</v>
      </c>
      <c r="V1644" s="7" t="s">
        <v>91</v>
      </c>
      <c r="W1644" s="7" t="s">
        <v>74</v>
      </c>
      <c r="X1644" s="7" t="s">
        <v>223</v>
      </c>
      <c r="Y1644" s="8">
        <v>44739</v>
      </c>
      <c r="Z1644" s="8" t="s">
        <v>0</v>
      </c>
      <c r="AA1644" s="7" t="s">
        <v>92</v>
      </c>
      <c r="AB1644" s="7" t="s">
        <v>94</v>
      </c>
      <c r="AC1644" s="7" t="s">
        <v>65</v>
      </c>
      <c r="AD1644" s="7" t="s">
        <v>0</v>
      </c>
      <c r="AE1644" s="7" t="s">
        <v>0</v>
      </c>
      <c r="AF1644" s="7" t="s">
        <v>0</v>
      </c>
      <c r="AG1644" s="7" t="s">
        <v>0</v>
      </c>
      <c r="AH1644" s="9" t="s">
        <v>0</v>
      </c>
      <c r="AI1644" s="9" t="s">
        <v>0</v>
      </c>
      <c r="AJ1644" s="9" t="s">
        <v>0</v>
      </c>
      <c r="AK1644" s="7" t="s">
        <v>61</v>
      </c>
      <c r="AL1644" s="7" t="s">
        <v>61</v>
      </c>
      <c r="AM1644" s="7" t="s">
        <v>0</v>
      </c>
      <c r="AN1644" s="7" t="s">
        <v>0</v>
      </c>
      <c r="AO1644" s="7" t="s">
        <v>0</v>
      </c>
      <c r="AP1644" s="7" t="s">
        <v>0</v>
      </c>
      <c r="AQ1644" s="7" t="s">
        <v>61</v>
      </c>
      <c r="AR1644" s="7" t="s">
        <v>0</v>
      </c>
      <c r="AS1644" s="10" t="str">
        <f>HYPERLINK("https://tessa.gazprom-neft.local/edo/card/275c1954-f7f3-4376-9180-708330ead7a4", "https://tessa.gazprom-neft.local/edo/card/275c1954-f7f3-4376-9180-708330ead7a4")</f>
        <v>https://tessa.gazprom-neft.local/edo/card/275c1954-f7f3-4376-9180-708330ead7a4</v>
      </c>
    </row>
    <row r="1645" spans="1:45" x14ac:dyDescent="0.25">
      <c r="A1645" s="6" t="s">
        <v>44</v>
      </c>
      <c r="B1645" s="7" t="s">
        <v>1351</v>
      </c>
      <c r="C1645" s="7" t="s">
        <v>67</v>
      </c>
      <c r="D1645" s="8">
        <v>44735</v>
      </c>
      <c r="E1645" s="8" t="s">
        <v>0</v>
      </c>
      <c r="F1645" s="16" t="s">
        <v>1352</v>
      </c>
      <c r="G1645" s="7" t="s">
        <v>1353</v>
      </c>
      <c r="H1645" s="7" t="s">
        <v>1818</v>
      </c>
      <c r="I1645" s="7" t="s">
        <v>0</v>
      </c>
      <c r="J1645" s="7" t="s">
        <v>271</v>
      </c>
      <c r="K1645" s="7" t="s">
        <v>85</v>
      </c>
      <c r="L1645" s="7" t="s">
        <v>48</v>
      </c>
      <c r="M1645" s="7" t="s">
        <v>2128</v>
      </c>
      <c r="N1645" s="7" t="s">
        <v>5911</v>
      </c>
      <c r="O1645" s="7" t="s">
        <v>0</v>
      </c>
      <c r="P1645" s="7" t="s">
        <v>2128</v>
      </c>
      <c r="Q1645" s="7" t="s">
        <v>5912</v>
      </c>
      <c r="R1645" s="7" t="s">
        <v>2594</v>
      </c>
      <c r="S1645" s="7" t="s">
        <v>2594</v>
      </c>
      <c r="T1645" s="7" t="s">
        <v>54</v>
      </c>
      <c r="U1645" s="7" t="s">
        <v>199</v>
      </c>
      <c r="V1645" s="7" t="s">
        <v>917</v>
      </c>
      <c r="W1645" s="7" t="s">
        <v>74</v>
      </c>
      <c r="X1645" s="7" t="s">
        <v>58</v>
      </c>
      <c r="Y1645" s="8">
        <v>44735</v>
      </c>
      <c r="Z1645" s="8" t="s">
        <v>0</v>
      </c>
      <c r="AA1645" s="7" t="s">
        <v>1278</v>
      </c>
      <c r="AB1645" s="7" t="s">
        <v>804</v>
      </c>
      <c r="AC1645" s="7" t="s">
        <v>65</v>
      </c>
      <c r="AD1645" s="7" t="s">
        <v>144</v>
      </c>
      <c r="AE1645" s="7" t="s">
        <v>0</v>
      </c>
      <c r="AF1645" s="7" t="s">
        <v>0</v>
      </c>
      <c r="AG1645" s="7" t="s">
        <v>0</v>
      </c>
      <c r="AH1645" s="9" t="s">
        <v>0</v>
      </c>
      <c r="AI1645" s="9" t="s">
        <v>0</v>
      </c>
      <c r="AJ1645" s="9" t="s">
        <v>0</v>
      </c>
      <c r="AK1645" s="7" t="s">
        <v>61</v>
      </c>
      <c r="AL1645" s="7" t="s">
        <v>61</v>
      </c>
      <c r="AM1645" s="7" t="s">
        <v>0</v>
      </c>
      <c r="AN1645" s="7" t="s">
        <v>0</v>
      </c>
      <c r="AO1645" s="7" t="s">
        <v>0</v>
      </c>
      <c r="AP1645" s="7" t="s">
        <v>0</v>
      </c>
      <c r="AQ1645" s="7" t="s">
        <v>61</v>
      </c>
      <c r="AR1645" s="7" t="s">
        <v>0</v>
      </c>
      <c r="AS1645" s="10" t="str">
        <f>HYPERLINK("https://tessa.gazprom-neft.local/edo/card/70b78a88-c052-418d-82e4-c479360f2fb4", "https://tessa.gazprom-neft.local/edo/card/70b78a88-c052-418d-82e4-c479360f2fb4")</f>
        <v>https://tessa.gazprom-neft.local/edo/card/70b78a88-c052-418d-82e4-c479360f2fb4</v>
      </c>
    </row>
    <row r="1646" spans="1:45" x14ac:dyDescent="0.25">
      <c r="A1646" s="6" t="s">
        <v>44</v>
      </c>
      <c r="B1646" s="7" t="s">
        <v>350</v>
      </c>
      <c r="C1646" s="7" t="s">
        <v>67</v>
      </c>
      <c r="D1646" s="8">
        <v>44735</v>
      </c>
      <c r="E1646" s="8" t="s">
        <v>0</v>
      </c>
      <c r="F1646" s="16" t="s">
        <v>351</v>
      </c>
      <c r="G1646" s="7" t="s">
        <v>352</v>
      </c>
      <c r="H1646" s="7" t="s">
        <v>1854</v>
      </c>
      <c r="I1646" s="7" t="s">
        <v>0</v>
      </c>
      <c r="J1646" s="7" t="s">
        <v>271</v>
      </c>
      <c r="K1646" s="7" t="s">
        <v>85</v>
      </c>
      <c r="L1646" s="7" t="s">
        <v>48</v>
      </c>
      <c r="M1646" s="7" t="s">
        <v>5649</v>
      </c>
      <c r="N1646" s="7" t="s">
        <v>7033</v>
      </c>
      <c r="O1646" s="7" t="s">
        <v>0</v>
      </c>
      <c r="P1646" s="7" t="s">
        <v>5649</v>
      </c>
      <c r="Q1646" s="7" t="s">
        <v>426</v>
      </c>
      <c r="R1646" s="7" t="s">
        <v>349</v>
      </c>
      <c r="S1646" s="7" t="s">
        <v>349</v>
      </c>
      <c r="T1646" s="7" t="s">
        <v>54</v>
      </c>
      <c r="U1646" s="7" t="s">
        <v>101</v>
      </c>
      <c r="V1646" s="7" t="s">
        <v>137</v>
      </c>
      <c r="W1646" s="7" t="s">
        <v>57</v>
      </c>
      <c r="X1646" s="7" t="s">
        <v>58</v>
      </c>
      <c r="Y1646" s="8">
        <v>44735</v>
      </c>
      <c r="Z1646" s="8" t="s">
        <v>0</v>
      </c>
      <c r="AA1646" s="7" t="s">
        <v>0</v>
      </c>
      <c r="AB1646" s="7" t="s">
        <v>1419</v>
      </c>
      <c r="AC1646" s="7" t="s">
        <v>65</v>
      </c>
      <c r="AD1646" s="7" t="s">
        <v>0</v>
      </c>
      <c r="AE1646" s="7" t="s">
        <v>0</v>
      </c>
      <c r="AF1646" s="7" t="s">
        <v>0</v>
      </c>
      <c r="AG1646" s="7" t="s">
        <v>0</v>
      </c>
      <c r="AH1646" s="9" t="s">
        <v>0</v>
      </c>
      <c r="AI1646" s="9" t="s">
        <v>0</v>
      </c>
      <c r="AJ1646" s="9" t="s">
        <v>0</v>
      </c>
      <c r="AK1646" s="7" t="s">
        <v>61</v>
      </c>
      <c r="AL1646" s="7" t="s">
        <v>61</v>
      </c>
      <c r="AM1646" s="7" t="s">
        <v>0</v>
      </c>
      <c r="AN1646" s="7" t="s">
        <v>0</v>
      </c>
      <c r="AO1646" s="7" t="s">
        <v>0</v>
      </c>
      <c r="AP1646" s="7" t="s">
        <v>0</v>
      </c>
      <c r="AQ1646" s="7" t="s">
        <v>61</v>
      </c>
      <c r="AR1646" s="7" t="s">
        <v>0</v>
      </c>
      <c r="AS1646" s="10" t="str">
        <f>HYPERLINK("https://tessa.gazprom-neft.local/edo/card/622606b9-83b1-4fb1-82e1-daaf62a98d1d", "https://tessa.gazprom-neft.local/edo/card/622606b9-83b1-4fb1-82e1-daaf62a98d1d")</f>
        <v>https://tessa.gazprom-neft.local/edo/card/622606b9-83b1-4fb1-82e1-daaf62a98d1d</v>
      </c>
    </row>
    <row r="1647" spans="1:45" hidden="1" x14ac:dyDescent="0.25">
      <c r="A1647" s="6" t="s">
        <v>44</v>
      </c>
      <c r="B1647" s="7" t="s">
        <v>350</v>
      </c>
      <c r="C1647" s="7" t="s">
        <v>67</v>
      </c>
      <c r="D1647" s="8">
        <v>44735</v>
      </c>
      <c r="E1647" s="8" t="s">
        <v>0</v>
      </c>
      <c r="F1647" s="16" t="s">
        <v>351</v>
      </c>
      <c r="G1647" s="7" t="s">
        <v>352</v>
      </c>
      <c r="H1647" s="7" t="s">
        <v>0</v>
      </c>
      <c r="I1647" s="7" t="s">
        <v>7069</v>
      </c>
      <c r="J1647" s="7" t="s">
        <v>7069</v>
      </c>
      <c r="K1647" s="7" t="s">
        <v>85</v>
      </c>
      <c r="L1647" s="7" t="s">
        <v>86</v>
      </c>
      <c r="M1647" s="7" t="s">
        <v>289</v>
      </c>
      <c r="N1647" s="7" t="s">
        <v>7068</v>
      </c>
      <c r="O1647" s="7" t="s">
        <v>0</v>
      </c>
      <c r="P1647" s="7" t="s">
        <v>289</v>
      </c>
      <c r="Q1647" s="7" t="s">
        <v>7070</v>
      </c>
      <c r="R1647" s="7" t="s">
        <v>349</v>
      </c>
      <c r="S1647" s="7" t="s">
        <v>349</v>
      </c>
      <c r="T1647" s="7" t="s">
        <v>54</v>
      </c>
      <c r="U1647" s="7" t="s">
        <v>101</v>
      </c>
      <c r="V1647" s="7" t="s">
        <v>137</v>
      </c>
      <c r="W1647" s="7" t="s">
        <v>57</v>
      </c>
      <c r="X1647" s="7" t="s">
        <v>58</v>
      </c>
      <c r="Y1647" s="8">
        <v>44735</v>
      </c>
      <c r="Z1647" s="8" t="s">
        <v>0</v>
      </c>
      <c r="AA1647" s="7" t="s">
        <v>0</v>
      </c>
      <c r="AB1647" s="7" t="s">
        <v>300</v>
      </c>
      <c r="AC1647" s="7" t="s">
        <v>65</v>
      </c>
      <c r="AD1647" s="7" t="s">
        <v>0</v>
      </c>
      <c r="AE1647" s="7" t="s">
        <v>0</v>
      </c>
      <c r="AF1647" s="7" t="s">
        <v>0</v>
      </c>
      <c r="AG1647" s="7" t="s">
        <v>0</v>
      </c>
      <c r="AH1647" s="9" t="s">
        <v>0</v>
      </c>
      <c r="AI1647" s="9" t="s">
        <v>0</v>
      </c>
      <c r="AJ1647" s="9" t="s">
        <v>0</v>
      </c>
      <c r="AK1647" s="7" t="s">
        <v>61</v>
      </c>
      <c r="AL1647" s="7" t="s">
        <v>61</v>
      </c>
      <c r="AM1647" s="7" t="s">
        <v>0</v>
      </c>
      <c r="AN1647" s="7" t="s">
        <v>0</v>
      </c>
      <c r="AO1647" s="7" t="s">
        <v>0</v>
      </c>
      <c r="AP1647" s="7" t="s">
        <v>0</v>
      </c>
      <c r="AQ1647" s="7" t="s">
        <v>61</v>
      </c>
      <c r="AR1647" s="7" t="s">
        <v>0</v>
      </c>
      <c r="AS1647" s="10" t="str">
        <f>HYPERLINK("https://tessa.gazprom-neft.local/edo/card/f6211bab-f4d0-4b61-89f5-2d9203baf48c", "https://tessa.gazprom-neft.local/edo/card/f6211bab-f4d0-4b61-89f5-2d9203baf48c")</f>
        <v>https://tessa.gazprom-neft.local/edo/card/f6211bab-f4d0-4b61-89f5-2d9203baf48c</v>
      </c>
    </row>
    <row r="1648" spans="1:45" hidden="1" x14ac:dyDescent="0.25">
      <c r="A1648" s="6" t="s">
        <v>44</v>
      </c>
      <c r="B1648" s="7" t="s">
        <v>2898</v>
      </c>
      <c r="C1648" s="7" t="s">
        <v>67</v>
      </c>
      <c r="D1648" s="8">
        <v>44735</v>
      </c>
      <c r="E1648" s="8" t="s">
        <v>0</v>
      </c>
      <c r="F1648" s="16" t="s">
        <v>2899</v>
      </c>
      <c r="G1648" s="7" t="s">
        <v>2900</v>
      </c>
      <c r="H1648" s="7" t="s">
        <v>3508</v>
      </c>
      <c r="I1648" s="7" t="s">
        <v>0</v>
      </c>
      <c r="J1648" s="7" t="s">
        <v>936</v>
      </c>
      <c r="K1648" s="7" t="s">
        <v>85</v>
      </c>
      <c r="L1648" s="7" t="s">
        <v>239</v>
      </c>
      <c r="M1648" s="7" t="s">
        <v>1252</v>
      </c>
      <c r="N1648" s="7" t="s">
        <v>7230</v>
      </c>
      <c r="O1648" s="7" t="s">
        <v>0</v>
      </c>
      <c r="P1648" s="7" t="s">
        <v>1252</v>
      </c>
      <c r="Q1648" s="7" t="s">
        <v>5354</v>
      </c>
      <c r="R1648" s="7" t="s">
        <v>1256</v>
      </c>
      <c r="S1648" s="7" t="s">
        <v>1256</v>
      </c>
      <c r="T1648" s="7" t="s">
        <v>54</v>
      </c>
      <c r="U1648" s="7" t="s">
        <v>591</v>
      </c>
      <c r="V1648" s="7" t="s">
        <v>382</v>
      </c>
      <c r="W1648" s="7" t="s">
        <v>57</v>
      </c>
      <c r="X1648" s="7" t="s">
        <v>103</v>
      </c>
      <c r="Y1648" s="8">
        <v>44774</v>
      </c>
      <c r="Z1648" s="8">
        <v>44925</v>
      </c>
      <c r="AA1648" s="7" t="s">
        <v>383</v>
      </c>
      <c r="AB1648" s="7" t="s">
        <v>387</v>
      </c>
      <c r="AC1648" s="7" t="s">
        <v>79</v>
      </c>
      <c r="AD1648" s="7" t="s">
        <v>144</v>
      </c>
      <c r="AE1648" s="7" t="s">
        <v>82</v>
      </c>
      <c r="AF1648" s="7" t="s">
        <v>0</v>
      </c>
      <c r="AG1648" s="7" t="s">
        <v>0</v>
      </c>
      <c r="AH1648" s="9" t="s">
        <v>13110</v>
      </c>
      <c r="AI1648" s="9" t="s">
        <v>13111</v>
      </c>
      <c r="AJ1648" s="9" t="s">
        <v>13112</v>
      </c>
      <c r="AK1648" s="7" t="s">
        <v>61</v>
      </c>
      <c r="AL1648" s="7" t="s">
        <v>61</v>
      </c>
      <c r="AM1648" s="7" t="s">
        <v>0</v>
      </c>
      <c r="AN1648" s="7" t="s">
        <v>0</v>
      </c>
      <c r="AO1648" s="7" t="s">
        <v>0</v>
      </c>
      <c r="AP1648" s="7" t="s">
        <v>0</v>
      </c>
      <c r="AQ1648" s="7" t="s">
        <v>61</v>
      </c>
      <c r="AR1648" s="7" t="s">
        <v>0</v>
      </c>
      <c r="AS1648" s="10" t="str">
        <f>HYPERLINK("https://tessa.gazprom-neft.local/edo/card/05f5d6fb-6840-4ce3-aa16-d3d4de9c4856", "https://tessa.gazprom-neft.local/edo/card/05f5d6fb-6840-4ce3-aa16-d3d4de9c4856")</f>
        <v>https://tessa.gazprom-neft.local/edo/card/05f5d6fb-6840-4ce3-aa16-d3d4de9c4856</v>
      </c>
    </row>
    <row r="1649" spans="1:45" hidden="1" x14ac:dyDescent="0.25">
      <c r="A1649" s="6" t="s">
        <v>44</v>
      </c>
      <c r="B1649" s="7" t="s">
        <v>245</v>
      </c>
      <c r="C1649" s="7" t="s">
        <v>67</v>
      </c>
      <c r="D1649" s="8">
        <v>44733</v>
      </c>
      <c r="E1649" s="8" t="s">
        <v>0</v>
      </c>
      <c r="F1649" s="16" t="s">
        <v>246</v>
      </c>
      <c r="G1649" s="7" t="s">
        <v>247</v>
      </c>
      <c r="H1649" s="7" t="s">
        <v>574</v>
      </c>
      <c r="I1649" s="7" t="s">
        <v>0</v>
      </c>
      <c r="J1649" s="7" t="s">
        <v>6883</v>
      </c>
      <c r="K1649" s="7" t="s">
        <v>47</v>
      </c>
      <c r="L1649" s="7" t="s">
        <v>239</v>
      </c>
      <c r="M1649" s="7" t="s">
        <v>0</v>
      </c>
      <c r="N1649" s="7" t="s">
        <v>6881</v>
      </c>
      <c r="O1649" s="7" t="s">
        <v>0</v>
      </c>
      <c r="P1649" s="7" t="s">
        <v>6882</v>
      </c>
      <c r="Q1649" s="7" t="s">
        <v>6884</v>
      </c>
      <c r="R1649" s="7" t="s">
        <v>540</v>
      </c>
      <c r="S1649" s="7" t="s">
        <v>0</v>
      </c>
      <c r="T1649" s="7" t="s">
        <v>54</v>
      </c>
      <c r="U1649" s="7" t="s">
        <v>541</v>
      </c>
      <c r="V1649" s="7" t="s">
        <v>56</v>
      </c>
      <c r="W1649" s="7" t="s">
        <v>57</v>
      </c>
      <c r="X1649" s="7" t="s">
        <v>103</v>
      </c>
      <c r="Y1649" s="8">
        <v>44733</v>
      </c>
      <c r="Z1649" s="8">
        <v>44890</v>
      </c>
      <c r="AA1649" s="7" t="s">
        <v>59</v>
      </c>
      <c r="AB1649" s="7" t="s">
        <v>256</v>
      </c>
      <c r="AC1649" s="7" t="s">
        <v>79</v>
      </c>
      <c r="AD1649" s="7" t="s">
        <v>144</v>
      </c>
      <c r="AE1649" s="7" t="s">
        <v>82</v>
      </c>
      <c r="AF1649" s="7" t="s">
        <v>0</v>
      </c>
      <c r="AG1649" s="7" t="s">
        <v>0</v>
      </c>
      <c r="AH1649" s="9" t="s">
        <v>12980</v>
      </c>
      <c r="AI1649" s="9" t="s">
        <v>12981</v>
      </c>
      <c r="AJ1649" s="9" t="s">
        <v>12982</v>
      </c>
      <c r="AK1649" s="7" t="s">
        <v>61</v>
      </c>
      <c r="AL1649" s="7" t="s">
        <v>61</v>
      </c>
      <c r="AM1649" s="7" t="s">
        <v>0</v>
      </c>
      <c r="AN1649" s="7" t="s">
        <v>0</v>
      </c>
      <c r="AO1649" s="7" t="s">
        <v>0</v>
      </c>
      <c r="AP1649" s="7" t="s">
        <v>0</v>
      </c>
      <c r="AQ1649" s="7" t="s">
        <v>61</v>
      </c>
      <c r="AR1649" s="7" t="s">
        <v>0</v>
      </c>
      <c r="AS1649" s="10" t="str">
        <f>HYPERLINK("https://tessa.gazprom-neft.local/edo/card/b86a799e-cdef-464f-b6ec-6b5590d7f2c7", "https://tessa.gazprom-neft.local/edo/card/b86a799e-cdef-464f-b6ec-6b5590d7f2c7")</f>
        <v>https://tessa.gazprom-neft.local/edo/card/b86a799e-cdef-464f-b6ec-6b5590d7f2c7</v>
      </c>
    </row>
    <row r="1650" spans="1:45" hidden="1" x14ac:dyDescent="0.25">
      <c r="A1650" s="6" t="s">
        <v>44</v>
      </c>
      <c r="B1650" s="7" t="s">
        <v>2898</v>
      </c>
      <c r="C1650" s="7" t="s">
        <v>67</v>
      </c>
      <c r="D1650" s="8">
        <v>44733</v>
      </c>
      <c r="E1650" s="8" t="s">
        <v>0</v>
      </c>
      <c r="F1650" s="16" t="s">
        <v>2899</v>
      </c>
      <c r="G1650" s="7" t="s">
        <v>2900</v>
      </c>
      <c r="H1650" s="7" t="s">
        <v>3508</v>
      </c>
      <c r="I1650" s="7" t="s">
        <v>0</v>
      </c>
      <c r="J1650" s="7" t="s">
        <v>1098</v>
      </c>
      <c r="K1650" s="7" t="s">
        <v>85</v>
      </c>
      <c r="L1650" s="7" t="s">
        <v>239</v>
      </c>
      <c r="M1650" s="7" t="s">
        <v>1252</v>
      </c>
      <c r="N1650" s="7" t="s">
        <v>6925</v>
      </c>
      <c r="O1650" s="7" t="s">
        <v>0</v>
      </c>
      <c r="P1650" s="7" t="s">
        <v>1252</v>
      </c>
      <c r="Q1650" s="7" t="s">
        <v>3509</v>
      </c>
      <c r="R1650" s="7" t="s">
        <v>1256</v>
      </c>
      <c r="S1650" s="7" t="s">
        <v>1256</v>
      </c>
      <c r="T1650" s="7" t="s">
        <v>54</v>
      </c>
      <c r="U1650" s="7" t="s">
        <v>591</v>
      </c>
      <c r="V1650" s="7" t="s">
        <v>382</v>
      </c>
      <c r="W1650" s="7" t="s">
        <v>57</v>
      </c>
      <c r="X1650" s="7" t="s">
        <v>103</v>
      </c>
      <c r="Y1650" s="8">
        <v>44733</v>
      </c>
      <c r="Z1650" s="8">
        <v>44925</v>
      </c>
      <c r="AA1650" s="7" t="s">
        <v>383</v>
      </c>
      <c r="AB1650" s="7" t="s">
        <v>387</v>
      </c>
      <c r="AC1650" s="7" t="s">
        <v>79</v>
      </c>
      <c r="AD1650" s="7" t="s">
        <v>144</v>
      </c>
      <c r="AE1650" s="7" t="s">
        <v>82</v>
      </c>
      <c r="AF1650" s="7" t="s">
        <v>0</v>
      </c>
      <c r="AG1650" s="7" t="s">
        <v>0</v>
      </c>
      <c r="AH1650" s="9" t="s">
        <v>13004</v>
      </c>
      <c r="AI1650" s="9" t="s">
        <v>13005</v>
      </c>
      <c r="AJ1650" s="9" t="s">
        <v>13006</v>
      </c>
      <c r="AK1650" s="7" t="s">
        <v>61</v>
      </c>
      <c r="AL1650" s="7" t="s">
        <v>61</v>
      </c>
      <c r="AM1650" s="7" t="s">
        <v>0</v>
      </c>
      <c r="AN1650" s="7" t="s">
        <v>0</v>
      </c>
      <c r="AO1650" s="7" t="s">
        <v>0</v>
      </c>
      <c r="AP1650" s="7" t="s">
        <v>0</v>
      </c>
      <c r="AQ1650" s="7" t="s">
        <v>61</v>
      </c>
      <c r="AR1650" s="7" t="s">
        <v>0</v>
      </c>
      <c r="AS1650" s="10" t="str">
        <f>HYPERLINK("https://tessa.gazprom-neft.local/edo/card/3f57123b-06b5-49b4-b311-6355a098583b", "https://tessa.gazprom-neft.local/edo/card/3f57123b-06b5-49b4-b311-6355a098583b")</f>
        <v>https://tessa.gazprom-neft.local/edo/card/3f57123b-06b5-49b4-b311-6355a098583b</v>
      </c>
    </row>
    <row r="1651" spans="1:45" x14ac:dyDescent="0.25">
      <c r="A1651" s="6" t="s">
        <v>44</v>
      </c>
      <c r="B1651" s="7" t="s">
        <v>900</v>
      </c>
      <c r="C1651" s="7" t="s">
        <v>67</v>
      </c>
      <c r="D1651" s="8">
        <v>44732</v>
      </c>
      <c r="E1651" s="8" t="s">
        <v>0</v>
      </c>
      <c r="F1651" s="16" t="s">
        <v>901</v>
      </c>
      <c r="G1651" s="7" t="s">
        <v>902</v>
      </c>
      <c r="H1651" s="7" t="s">
        <v>894</v>
      </c>
      <c r="I1651" s="7" t="s">
        <v>0</v>
      </c>
      <c r="J1651" s="7" t="s">
        <v>271</v>
      </c>
      <c r="K1651" s="7" t="s">
        <v>85</v>
      </c>
      <c r="L1651" s="7" t="s">
        <v>48</v>
      </c>
      <c r="M1651" s="7" t="s">
        <v>3833</v>
      </c>
      <c r="N1651" s="7" t="s">
        <v>6639</v>
      </c>
      <c r="O1651" s="7" t="s">
        <v>0</v>
      </c>
      <c r="P1651" s="7" t="s">
        <v>3833</v>
      </c>
      <c r="Q1651" s="7" t="s">
        <v>3835</v>
      </c>
      <c r="R1651" s="7" t="s">
        <v>198</v>
      </c>
      <c r="S1651" s="7" t="s">
        <v>198</v>
      </c>
      <c r="T1651" s="7" t="s">
        <v>54</v>
      </c>
      <c r="U1651" s="7" t="s">
        <v>199</v>
      </c>
      <c r="V1651" s="7" t="s">
        <v>6640</v>
      </c>
      <c r="W1651" s="7" t="s">
        <v>57</v>
      </c>
      <c r="X1651" s="7" t="s">
        <v>58</v>
      </c>
      <c r="Y1651" s="8">
        <v>44732</v>
      </c>
      <c r="Z1651" s="8" t="s">
        <v>0</v>
      </c>
      <c r="AA1651" s="7" t="s">
        <v>6641</v>
      </c>
      <c r="AB1651" s="7" t="s">
        <v>130</v>
      </c>
      <c r="AC1651" s="7" t="s">
        <v>65</v>
      </c>
      <c r="AD1651" s="7" t="s">
        <v>80</v>
      </c>
      <c r="AE1651" s="7" t="s">
        <v>0</v>
      </c>
      <c r="AF1651" s="7" t="s">
        <v>0</v>
      </c>
      <c r="AG1651" s="7" t="s">
        <v>0</v>
      </c>
      <c r="AH1651" s="9" t="s">
        <v>0</v>
      </c>
      <c r="AI1651" s="9" t="s">
        <v>0</v>
      </c>
      <c r="AJ1651" s="9" t="s">
        <v>0</v>
      </c>
      <c r="AK1651" s="7" t="s">
        <v>61</v>
      </c>
      <c r="AL1651" s="7" t="s">
        <v>61</v>
      </c>
      <c r="AM1651" s="7" t="s">
        <v>0</v>
      </c>
      <c r="AN1651" s="7" t="s">
        <v>0</v>
      </c>
      <c r="AO1651" s="7" t="s">
        <v>0</v>
      </c>
      <c r="AP1651" s="7" t="s">
        <v>0</v>
      </c>
      <c r="AQ1651" s="7" t="s">
        <v>61</v>
      </c>
      <c r="AR1651" s="7" t="s">
        <v>0</v>
      </c>
      <c r="AS1651" s="10" t="str">
        <f>HYPERLINK("https://tessa.gazprom-neft.local/edo/card/269e357c-ad33-409b-b364-6593b36af2e3", "https://tessa.gazprom-neft.local/edo/card/269e357c-ad33-409b-b364-6593b36af2e3")</f>
        <v>https://tessa.gazprom-neft.local/edo/card/269e357c-ad33-409b-b364-6593b36af2e3</v>
      </c>
    </row>
    <row r="1652" spans="1:45" x14ac:dyDescent="0.25">
      <c r="A1652" s="6" t="s">
        <v>44</v>
      </c>
      <c r="B1652" s="7" t="s">
        <v>927</v>
      </c>
      <c r="C1652" s="7" t="s">
        <v>67</v>
      </c>
      <c r="D1652" s="8">
        <v>44729</v>
      </c>
      <c r="E1652" s="8" t="s">
        <v>0</v>
      </c>
      <c r="F1652" s="16" t="s">
        <v>928</v>
      </c>
      <c r="G1652" s="7" t="s">
        <v>929</v>
      </c>
      <c r="H1652" s="7" t="s">
        <v>3224</v>
      </c>
      <c r="I1652" s="7" t="s">
        <v>0</v>
      </c>
      <c r="J1652" s="7" t="s">
        <v>271</v>
      </c>
      <c r="K1652" s="7" t="s">
        <v>85</v>
      </c>
      <c r="L1652" s="7" t="s">
        <v>48</v>
      </c>
      <c r="M1652" s="7" t="s">
        <v>3833</v>
      </c>
      <c r="N1652" s="7" t="s">
        <v>6632</v>
      </c>
      <c r="O1652" s="7" t="s">
        <v>0</v>
      </c>
      <c r="P1652" s="7" t="s">
        <v>3833</v>
      </c>
      <c r="Q1652" s="7" t="s">
        <v>3835</v>
      </c>
      <c r="R1652" s="7" t="s">
        <v>198</v>
      </c>
      <c r="S1652" s="7" t="s">
        <v>198</v>
      </c>
      <c r="T1652" s="7" t="s">
        <v>54</v>
      </c>
      <c r="U1652" s="7" t="s">
        <v>199</v>
      </c>
      <c r="V1652" s="7" t="s">
        <v>211</v>
      </c>
      <c r="W1652" s="7" t="s">
        <v>57</v>
      </c>
      <c r="X1652" s="7" t="s">
        <v>58</v>
      </c>
      <c r="Y1652" s="8">
        <v>44729</v>
      </c>
      <c r="Z1652" s="8" t="s">
        <v>0</v>
      </c>
      <c r="AA1652" s="7" t="s">
        <v>212</v>
      </c>
      <c r="AB1652" s="7" t="s">
        <v>3227</v>
      </c>
      <c r="AC1652" s="7" t="s">
        <v>65</v>
      </c>
      <c r="AD1652" s="7" t="s">
        <v>80</v>
      </c>
      <c r="AE1652" s="7" t="s">
        <v>0</v>
      </c>
      <c r="AF1652" s="7" t="s">
        <v>0</v>
      </c>
      <c r="AG1652" s="7" t="s">
        <v>0</v>
      </c>
      <c r="AH1652" s="9" t="s">
        <v>0</v>
      </c>
      <c r="AI1652" s="9" t="s">
        <v>0</v>
      </c>
      <c r="AJ1652" s="9" t="s">
        <v>0</v>
      </c>
      <c r="AK1652" s="7" t="s">
        <v>61</v>
      </c>
      <c r="AL1652" s="7" t="s">
        <v>61</v>
      </c>
      <c r="AM1652" s="7" t="s">
        <v>0</v>
      </c>
      <c r="AN1652" s="7" t="s">
        <v>0</v>
      </c>
      <c r="AO1652" s="7" t="s">
        <v>0</v>
      </c>
      <c r="AP1652" s="7" t="s">
        <v>0</v>
      </c>
      <c r="AQ1652" s="7" t="s">
        <v>61</v>
      </c>
      <c r="AR1652" s="7" t="s">
        <v>0</v>
      </c>
      <c r="AS1652" s="10" t="str">
        <f>HYPERLINK("https://tessa.gazprom-neft.local/edo/card/242f5456-e1e4-414c-9306-6b1917a1d993", "https://tessa.gazprom-neft.local/edo/card/242f5456-e1e4-414c-9306-6b1917a1d993")</f>
        <v>https://tessa.gazprom-neft.local/edo/card/242f5456-e1e4-414c-9306-6b1917a1d993</v>
      </c>
    </row>
    <row r="1653" spans="1:45" hidden="1" x14ac:dyDescent="0.25">
      <c r="A1653" s="6" t="s">
        <v>44</v>
      </c>
      <c r="B1653" s="7" t="s">
        <v>245</v>
      </c>
      <c r="C1653" s="7" t="s">
        <v>67</v>
      </c>
      <c r="D1653" s="8">
        <v>44729</v>
      </c>
      <c r="E1653" s="8" t="s">
        <v>0</v>
      </c>
      <c r="F1653" s="16" t="s">
        <v>246</v>
      </c>
      <c r="G1653" s="7" t="s">
        <v>247</v>
      </c>
      <c r="H1653" s="7" t="s">
        <v>574</v>
      </c>
      <c r="I1653" s="7" t="s">
        <v>0</v>
      </c>
      <c r="J1653" s="7" t="s">
        <v>6870</v>
      </c>
      <c r="K1653" s="7" t="s">
        <v>47</v>
      </c>
      <c r="L1653" s="7" t="s">
        <v>239</v>
      </c>
      <c r="M1653" s="7" t="s">
        <v>0</v>
      </c>
      <c r="N1653" s="7" t="s">
        <v>6868</v>
      </c>
      <c r="O1653" s="7" t="s">
        <v>0</v>
      </c>
      <c r="P1653" s="7" t="s">
        <v>6869</v>
      </c>
      <c r="Q1653" s="7" t="s">
        <v>6871</v>
      </c>
      <c r="R1653" s="7" t="s">
        <v>540</v>
      </c>
      <c r="S1653" s="7" t="s">
        <v>0</v>
      </c>
      <c r="T1653" s="7" t="s">
        <v>54</v>
      </c>
      <c r="U1653" s="7" t="s">
        <v>541</v>
      </c>
      <c r="V1653" s="7" t="s">
        <v>56</v>
      </c>
      <c r="W1653" s="7" t="s">
        <v>57</v>
      </c>
      <c r="X1653" s="7" t="s">
        <v>103</v>
      </c>
      <c r="Y1653" s="8">
        <v>44729</v>
      </c>
      <c r="Z1653" s="8">
        <v>44798</v>
      </c>
      <c r="AA1653" s="7" t="s">
        <v>59</v>
      </c>
      <c r="AB1653" s="7" t="s">
        <v>256</v>
      </c>
      <c r="AC1653" s="7" t="s">
        <v>79</v>
      </c>
      <c r="AD1653" s="7" t="s">
        <v>144</v>
      </c>
      <c r="AE1653" s="7" t="s">
        <v>82</v>
      </c>
      <c r="AF1653" s="7" t="s">
        <v>0</v>
      </c>
      <c r="AG1653" s="7" t="s">
        <v>0</v>
      </c>
      <c r="AH1653" s="9" t="s">
        <v>12974</v>
      </c>
      <c r="AI1653" s="9" t="s">
        <v>12975</v>
      </c>
      <c r="AJ1653" s="9" t="s">
        <v>12976</v>
      </c>
      <c r="AK1653" s="7" t="s">
        <v>61</v>
      </c>
      <c r="AL1653" s="7" t="s">
        <v>61</v>
      </c>
      <c r="AM1653" s="7" t="s">
        <v>0</v>
      </c>
      <c r="AN1653" s="7" t="s">
        <v>0</v>
      </c>
      <c r="AO1653" s="7" t="s">
        <v>0</v>
      </c>
      <c r="AP1653" s="7" t="s">
        <v>0</v>
      </c>
      <c r="AQ1653" s="7" t="s">
        <v>61</v>
      </c>
      <c r="AR1653" s="7" t="s">
        <v>0</v>
      </c>
      <c r="AS1653" s="10" t="str">
        <f>HYPERLINK("https://tessa.gazprom-neft.local/edo/card/5429b90f-a459-4951-8edf-eea467d3a932", "https://tessa.gazprom-neft.local/edo/card/5429b90f-a459-4951-8edf-eea467d3a932")</f>
        <v>https://tessa.gazprom-neft.local/edo/card/5429b90f-a459-4951-8edf-eea467d3a932</v>
      </c>
    </row>
    <row r="1654" spans="1:45" hidden="1" x14ac:dyDescent="0.25">
      <c r="A1654" s="6" t="s">
        <v>44</v>
      </c>
      <c r="B1654" s="7" t="s">
        <v>1684</v>
      </c>
      <c r="C1654" s="7" t="s">
        <v>46</v>
      </c>
      <c r="D1654" s="8">
        <v>44728</v>
      </c>
      <c r="E1654" s="8" t="s">
        <v>0</v>
      </c>
      <c r="F1654" s="16" t="s">
        <v>1685</v>
      </c>
      <c r="G1654" s="7" t="s">
        <v>1686</v>
      </c>
      <c r="H1654" s="7" t="s">
        <v>0</v>
      </c>
      <c r="I1654" s="7" t="s">
        <v>6195</v>
      </c>
      <c r="J1654" s="7" t="s">
        <v>6195</v>
      </c>
      <c r="K1654" s="7" t="s">
        <v>47</v>
      </c>
      <c r="L1654" s="7" t="s">
        <v>96</v>
      </c>
      <c r="M1654" s="7" t="s">
        <v>0</v>
      </c>
      <c r="N1654" s="7" t="s">
        <v>6194</v>
      </c>
      <c r="O1654" s="7" t="s">
        <v>0</v>
      </c>
      <c r="P1654" s="7" t="s">
        <v>6196</v>
      </c>
      <c r="Q1654" s="7" t="s">
        <v>6197</v>
      </c>
      <c r="R1654" s="7" t="s">
        <v>1083</v>
      </c>
      <c r="S1654" s="7" t="s">
        <v>1638</v>
      </c>
      <c r="T1654" s="7" t="s">
        <v>54</v>
      </c>
      <c r="U1654" s="7" t="s">
        <v>274</v>
      </c>
      <c r="V1654" s="7" t="s">
        <v>846</v>
      </c>
      <c r="W1654" s="7" t="s">
        <v>57</v>
      </c>
      <c r="X1654" s="7" t="s">
        <v>103</v>
      </c>
      <c r="Y1654" s="8">
        <v>44713</v>
      </c>
      <c r="Z1654" s="8">
        <v>44986</v>
      </c>
      <c r="AA1654" s="7" t="s">
        <v>847</v>
      </c>
      <c r="AB1654" s="7" t="s">
        <v>64</v>
      </c>
      <c r="AC1654" s="7" t="s">
        <v>278</v>
      </c>
      <c r="AD1654" s="7" t="s">
        <v>80</v>
      </c>
      <c r="AE1654" s="7" t="s">
        <v>82</v>
      </c>
      <c r="AF1654" s="7" t="s">
        <v>0</v>
      </c>
      <c r="AG1654" s="7" t="s">
        <v>0</v>
      </c>
      <c r="AH1654" s="9" t="s">
        <v>12747</v>
      </c>
      <c r="AI1654" s="9" t="s">
        <v>12748</v>
      </c>
      <c r="AJ1654" s="9" t="s">
        <v>12749</v>
      </c>
      <c r="AK1654" s="7" t="s">
        <v>61</v>
      </c>
      <c r="AL1654" s="7" t="s">
        <v>61</v>
      </c>
      <c r="AM1654" s="7" t="s">
        <v>0</v>
      </c>
      <c r="AN1654" s="7" t="s">
        <v>0</v>
      </c>
      <c r="AO1654" s="7" t="s">
        <v>0</v>
      </c>
      <c r="AP1654" s="7" t="s">
        <v>0</v>
      </c>
      <c r="AQ1654" s="7" t="s">
        <v>61</v>
      </c>
      <c r="AR1654" s="7" t="s">
        <v>0</v>
      </c>
      <c r="AS1654" s="10" t="str">
        <f>HYPERLINK("https://tessa.gazprom-neft.local/edo/card/caf3fac6-b6d3-4992-ac30-0f9b4d38ec58", "https://tessa.gazprom-neft.local/edo/card/caf3fac6-b6d3-4992-ac30-0f9b4d38ec58")</f>
        <v>https://tessa.gazprom-neft.local/edo/card/caf3fac6-b6d3-4992-ac30-0f9b4d38ec58</v>
      </c>
    </row>
    <row r="1655" spans="1:45" hidden="1" x14ac:dyDescent="0.25">
      <c r="A1655" s="6" t="s">
        <v>44</v>
      </c>
      <c r="B1655" s="7" t="s">
        <v>245</v>
      </c>
      <c r="C1655" s="7" t="s">
        <v>67</v>
      </c>
      <c r="D1655" s="8">
        <v>44727</v>
      </c>
      <c r="E1655" s="8" t="s">
        <v>0</v>
      </c>
      <c r="F1655" s="16" t="s">
        <v>246</v>
      </c>
      <c r="G1655" s="7" t="s">
        <v>247</v>
      </c>
      <c r="H1655" s="7" t="s">
        <v>574</v>
      </c>
      <c r="I1655" s="7" t="s">
        <v>0</v>
      </c>
      <c r="J1655" s="7" t="s">
        <v>6465</v>
      </c>
      <c r="K1655" s="7" t="s">
        <v>47</v>
      </c>
      <c r="L1655" s="7" t="s">
        <v>239</v>
      </c>
      <c r="M1655" s="7" t="s">
        <v>0</v>
      </c>
      <c r="N1655" s="7" t="s">
        <v>6464</v>
      </c>
      <c r="O1655" s="7" t="s">
        <v>0</v>
      </c>
      <c r="P1655" s="7" t="s">
        <v>239</v>
      </c>
      <c r="Q1655" s="7" t="s">
        <v>6466</v>
      </c>
      <c r="R1655" s="7" t="s">
        <v>110</v>
      </c>
      <c r="S1655" s="7" t="s">
        <v>0</v>
      </c>
      <c r="T1655" s="7" t="s">
        <v>54</v>
      </c>
      <c r="U1655" s="7" t="s">
        <v>111</v>
      </c>
      <c r="V1655" s="7" t="s">
        <v>112</v>
      </c>
      <c r="W1655" s="7" t="s">
        <v>57</v>
      </c>
      <c r="X1655" s="7" t="s">
        <v>58</v>
      </c>
      <c r="Y1655" s="8">
        <v>44727</v>
      </c>
      <c r="Z1655" s="8" t="s">
        <v>0</v>
      </c>
      <c r="AA1655" s="7" t="s">
        <v>113</v>
      </c>
      <c r="AB1655" s="7" t="s">
        <v>161</v>
      </c>
      <c r="AC1655" s="7" t="s">
        <v>79</v>
      </c>
      <c r="AD1655" s="7" t="s">
        <v>144</v>
      </c>
      <c r="AE1655" s="7" t="s">
        <v>82</v>
      </c>
      <c r="AF1655" s="7" t="s">
        <v>0</v>
      </c>
      <c r="AG1655" s="7" t="s">
        <v>0</v>
      </c>
      <c r="AH1655" s="9" t="s">
        <v>12849</v>
      </c>
      <c r="AI1655" s="9" t="s">
        <v>12850</v>
      </c>
      <c r="AJ1655" s="9" t="s">
        <v>12851</v>
      </c>
      <c r="AK1655" s="7" t="s">
        <v>61</v>
      </c>
      <c r="AL1655" s="7" t="s">
        <v>61</v>
      </c>
      <c r="AM1655" s="7" t="s">
        <v>0</v>
      </c>
      <c r="AN1655" s="7" t="s">
        <v>0</v>
      </c>
      <c r="AO1655" s="7" t="s">
        <v>0</v>
      </c>
      <c r="AP1655" s="7" t="s">
        <v>0</v>
      </c>
      <c r="AQ1655" s="7" t="s">
        <v>61</v>
      </c>
      <c r="AR1655" s="7" t="s">
        <v>0</v>
      </c>
      <c r="AS1655" s="10" t="str">
        <f>HYPERLINK("https://tessa.gazprom-neft.local/edo/card/8f908567-0def-4916-ba69-b38e9ceb62fd", "https://tessa.gazprom-neft.local/edo/card/8f908567-0def-4916-ba69-b38e9ceb62fd")</f>
        <v>https://tessa.gazprom-neft.local/edo/card/8f908567-0def-4916-ba69-b38e9ceb62fd</v>
      </c>
    </row>
    <row r="1656" spans="1:45" hidden="1" x14ac:dyDescent="0.25">
      <c r="A1656" s="6" t="s">
        <v>44</v>
      </c>
      <c r="B1656" s="7" t="s">
        <v>661</v>
      </c>
      <c r="C1656" s="7" t="s">
        <v>67</v>
      </c>
      <c r="D1656" s="8">
        <v>44726</v>
      </c>
      <c r="E1656" s="8" t="s">
        <v>0</v>
      </c>
      <c r="F1656" s="16" t="s">
        <v>662</v>
      </c>
      <c r="G1656" s="7" t="s">
        <v>663</v>
      </c>
      <c r="H1656" s="7" t="s">
        <v>2637</v>
      </c>
      <c r="I1656" s="7" t="s">
        <v>0</v>
      </c>
      <c r="J1656" s="7" t="s">
        <v>4356</v>
      </c>
      <c r="K1656" s="7" t="s">
        <v>47</v>
      </c>
      <c r="L1656" s="7" t="s">
        <v>239</v>
      </c>
      <c r="M1656" s="7" t="s">
        <v>0</v>
      </c>
      <c r="N1656" s="7" t="s">
        <v>6697</v>
      </c>
      <c r="O1656" s="7" t="s">
        <v>0</v>
      </c>
      <c r="P1656" s="7" t="s">
        <v>6698</v>
      </c>
      <c r="Q1656" s="7" t="s">
        <v>6699</v>
      </c>
      <c r="R1656" s="7" t="s">
        <v>659</v>
      </c>
      <c r="S1656" s="7" t="s">
        <v>714</v>
      </c>
      <c r="T1656" s="7" t="s">
        <v>54</v>
      </c>
      <c r="U1656" s="7" t="s">
        <v>283</v>
      </c>
      <c r="V1656" s="7" t="s">
        <v>102</v>
      </c>
      <c r="W1656" s="7" t="s">
        <v>74</v>
      </c>
      <c r="X1656" s="7" t="s">
        <v>103</v>
      </c>
      <c r="Y1656" s="8">
        <v>44760</v>
      </c>
      <c r="Z1656" s="8">
        <v>44926</v>
      </c>
      <c r="AA1656" s="7" t="s">
        <v>104</v>
      </c>
      <c r="AB1656" s="7" t="s">
        <v>130</v>
      </c>
      <c r="AC1656" s="7" t="s">
        <v>79</v>
      </c>
      <c r="AD1656" s="7" t="s">
        <v>514</v>
      </c>
      <c r="AE1656" s="7" t="s">
        <v>82</v>
      </c>
      <c r="AF1656" s="7" t="s">
        <v>0</v>
      </c>
      <c r="AG1656" s="7" t="s">
        <v>0</v>
      </c>
      <c r="AH1656" s="9" t="s">
        <v>12924</v>
      </c>
      <c r="AI1656" s="9" t="s">
        <v>12925</v>
      </c>
      <c r="AJ1656" s="9" t="s">
        <v>12926</v>
      </c>
      <c r="AK1656" s="7" t="s">
        <v>61</v>
      </c>
      <c r="AL1656" s="7" t="s">
        <v>61</v>
      </c>
      <c r="AM1656" s="7" t="s">
        <v>0</v>
      </c>
      <c r="AN1656" s="7" t="s">
        <v>0</v>
      </c>
      <c r="AO1656" s="7" t="s">
        <v>0</v>
      </c>
      <c r="AP1656" s="7" t="s">
        <v>0</v>
      </c>
      <c r="AQ1656" s="7" t="s">
        <v>61</v>
      </c>
      <c r="AR1656" s="7" t="s">
        <v>0</v>
      </c>
      <c r="AS1656" s="10" t="str">
        <f>HYPERLINK("https://tessa.gazprom-neft.local/edo/card/42efb149-3b3e-465c-ae09-6018f5def5e6", "https://tessa.gazprom-neft.local/edo/card/42efb149-3b3e-465c-ae09-6018f5def5e6")</f>
        <v>https://tessa.gazprom-neft.local/edo/card/42efb149-3b3e-465c-ae09-6018f5def5e6</v>
      </c>
    </row>
    <row r="1657" spans="1:45" x14ac:dyDescent="0.25">
      <c r="A1657" s="6" t="s">
        <v>44</v>
      </c>
      <c r="B1657" s="7" t="s">
        <v>1712</v>
      </c>
      <c r="C1657" s="7" t="s">
        <v>67</v>
      </c>
      <c r="D1657" s="8">
        <v>44726</v>
      </c>
      <c r="E1657" s="8" t="s">
        <v>0</v>
      </c>
      <c r="F1657" s="16" t="s">
        <v>1713</v>
      </c>
      <c r="G1657" s="7" t="s">
        <v>1714</v>
      </c>
      <c r="H1657" s="7" t="s">
        <v>1707</v>
      </c>
      <c r="I1657" s="7" t="s">
        <v>0</v>
      </c>
      <c r="J1657" s="7" t="s">
        <v>355</v>
      </c>
      <c r="K1657" s="7" t="s">
        <v>85</v>
      </c>
      <c r="L1657" s="7" t="s">
        <v>48</v>
      </c>
      <c r="M1657" s="7" t="s">
        <v>3833</v>
      </c>
      <c r="N1657" s="7" t="s">
        <v>6729</v>
      </c>
      <c r="O1657" s="7" t="s">
        <v>0</v>
      </c>
      <c r="P1657" s="7" t="s">
        <v>3833</v>
      </c>
      <c r="Q1657" s="7" t="s">
        <v>3833</v>
      </c>
      <c r="R1657" s="7" t="s">
        <v>604</v>
      </c>
      <c r="S1657" s="7" t="s">
        <v>1711</v>
      </c>
      <c r="T1657" s="7" t="s">
        <v>54</v>
      </c>
      <c r="U1657" s="7" t="s">
        <v>605</v>
      </c>
      <c r="V1657" s="7" t="s">
        <v>382</v>
      </c>
      <c r="W1657" s="7" t="s">
        <v>57</v>
      </c>
      <c r="X1657" s="7" t="s">
        <v>103</v>
      </c>
      <c r="Y1657" s="8">
        <v>44726</v>
      </c>
      <c r="Z1657" s="8">
        <v>45291</v>
      </c>
      <c r="AA1657" s="7" t="s">
        <v>383</v>
      </c>
      <c r="AB1657" s="7" t="s">
        <v>64</v>
      </c>
      <c r="AC1657" s="7" t="s">
        <v>65</v>
      </c>
      <c r="AD1657" s="7" t="s">
        <v>0</v>
      </c>
      <c r="AE1657" s="7" t="s">
        <v>0</v>
      </c>
      <c r="AF1657" s="7" t="s">
        <v>0</v>
      </c>
      <c r="AG1657" s="7" t="s">
        <v>0</v>
      </c>
      <c r="AH1657" s="9" t="s">
        <v>0</v>
      </c>
      <c r="AI1657" s="9" t="s">
        <v>0</v>
      </c>
      <c r="AJ1657" s="9" t="s">
        <v>0</v>
      </c>
      <c r="AK1657" s="7" t="s">
        <v>61</v>
      </c>
      <c r="AL1657" s="7" t="s">
        <v>61</v>
      </c>
      <c r="AM1657" s="7" t="s">
        <v>0</v>
      </c>
      <c r="AN1657" s="7" t="s">
        <v>0</v>
      </c>
      <c r="AO1657" s="7" t="s">
        <v>0</v>
      </c>
      <c r="AP1657" s="7" t="s">
        <v>0</v>
      </c>
      <c r="AQ1657" s="7" t="s">
        <v>61</v>
      </c>
      <c r="AR1657" s="7" t="s">
        <v>0</v>
      </c>
      <c r="AS1657" s="10" t="str">
        <f>HYPERLINK("https://tessa.gazprom-neft.local/edo/card/584cdb59-d131-41ff-8666-7de19721319d", "https://tessa.gazprom-neft.local/edo/card/584cdb59-d131-41ff-8666-7de19721319d")</f>
        <v>https://tessa.gazprom-neft.local/edo/card/584cdb59-d131-41ff-8666-7de19721319d</v>
      </c>
    </row>
    <row r="1658" spans="1:45" hidden="1" x14ac:dyDescent="0.25">
      <c r="A1658" s="6" t="s">
        <v>44</v>
      </c>
      <c r="B1658" s="7" t="s">
        <v>245</v>
      </c>
      <c r="C1658" s="7" t="s">
        <v>67</v>
      </c>
      <c r="D1658" s="8">
        <v>44725</v>
      </c>
      <c r="E1658" s="8" t="s">
        <v>0</v>
      </c>
      <c r="F1658" s="16" t="s">
        <v>246</v>
      </c>
      <c r="G1658" s="7" t="s">
        <v>247</v>
      </c>
      <c r="H1658" s="7" t="s">
        <v>1808</v>
      </c>
      <c r="I1658" s="7" t="s">
        <v>0</v>
      </c>
      <c r="J1658" s="7" t="s">
        <v>6593</v>
      </c>
      <c r="K1658" s="7" t="s">
        <v>47</v>
      </c>
      <c r="L1658" s="7" t="s">
        <v>239</v>
      </c>
      <c r="M1658" s="7" t="s">
        <v>0</v>
      </c>
      <c r="N1658" s="7" t="s">
        <v>6591</v>
      </c>
      <c r="O1658" s="7" t="s">
        <v>0</v>
      </c>
      <c r="P1658" s="7" t="s">
        <v>6592</v>
      </c>
      <c r="Q1658" s="7" t="s">
        <v>6594</v>
      </c>
      <c r="R1658" s="7" t="s">
        <v>915</v>
      </c>
      <c r="S1658" s="7" t="s">
        <v>0</v>
      </c>
      <c r="T1658" s="7" t="s">
        <v>54</v>
      </c>
      <c r="U1658" s="7" t="s">
        <v>916</v>
      </c>
      <c r="V1658" s="7" t="s">
        <v>917</v>
      </c>
      <c r="W1658" s="7" t="s">
        <v>57</v>
      </c>
      <c r="X1658" s="7" t="s">
        <v>103</v>
      </c>
      <c r="Y1658" s="8">
        <v>44725</v>
      </c>
      <c r="Z1658" s="8">
        <v>44773</v>
      </c>
      <c r="AA1658" s="7" t="s">
        <v>1278</v>
      </c>
      <c r="AB1658" s="7" t="s">
        <v>256</v>
      </c>
      <c r="AC1658" s="7" t="s">
        <v>79</v>
      </c>
      <c r="AD1658" s="7" t="s">
        <v>144</v>
      </c>
      <c r="AE1658" s="7" t="s">
        <v>82</v>
      </c>
      <c r="AF1658" s="7" t="s">
        <v>0</v>
      </c>
      <c r="AG1658" s="7" t="s">
        <v>0</v>
      </c>
      <c r="AH1658" s="9" t="s">
        <v>12903</v>
      </c>
      <c r="AI1658" s="9" t="s">
        <v>12904</v>
      </c>
      <c r="AJ1658" s="9" t="s">
        <v>12905</v>
      </c>
      <c r="AK1658" s="7" t="s">
        <v>61</v>
      </c>
      <c r="AL1658" s="7" t="s">
        <v>61</v>
      </c>
      <c r="AM1658" s="7" t="s">
        <v>0</v>
      </c>
      <c r="AN1658" s="7" t="s">
        <v>0</v>
      </c>
      <c r="AO1658" s="7" t="s">
        <v>0</v>
      </c>
      <c r="AP1658" s="7" t="s">
        <v>0</v>
      </c>
      <c r="AQ1658" s="7" t="s">
        <v>61</v>
      </c>
      <c r="AR1658" s="7" t="s">
        <v>0</v>
      </c>
      <c r="AS1658" s="10" t="str">
        <f>HYPERLINK("https://tessa.gazprom-neft.local/edo/card/33790dfc-0058-4e80-8b08-cb670e064b9e", "https://tessa.gazprom-neft.local/edo/card/33790dfc-0058-4e80-8b08-cb670e064b9e")</f>
        <v>https://tessa.gazprom-neft.local/edo/card/33790dfc-0058-4e80-8b08-cb670e064b9e</v>
      </c>
    </row>
    <row r="1659" spans="1:45" x14ac:dyDescent="0.25">
      <c r="A1659" s="6" t="s">
        <v>44</v>
      </c>
      <c r="B1659" s="7" t="s">
        <v>2706</v>
      </c>
      <c r="C1659" s="7" t="s">
        <v>67</v>
      </c>
      <c r="D1659" s="8">
        <v>44722</v>
      </c>
      <c r="E1659" s="8" t="s">
        <v>0</v>
      </c>
      <c r="F1659" s="16" t="s">
        <v>2707</v>
      </c>
      <c r="G1659" s="7" t="s">
        <v>2708</v>
      </c>
      <c r="H1659" s="7" t="s">
        <v>2704</v>
      </c>
      <c r="I1659" s="7" t="s">
        <v>0</v>
      </c>
      <c r="J1659" s="7" t="s">
        <v>271</v>
      </c>
      <c r="K1659" s="7" t="s">
        <v>85</v>
      </c>
      <c r="L1659" s="7" t="s">
        <v>48</v>
      </c>
      <c r="M1659" s="7" t="s">
        <v>3833</v>
      </c>
      <c r="N1659" s="7" t="s">
        <v>6508</v>
      </c>
      <c r="O1659" s="7" t="s">
        <v>0</v>
      </c>
      <c r="P1659" s="7" t="s">
        <v>3833</v>
      </c>
      <c r="Q1659" s="7" t="s">
        <v>426</v>
      </c>
      <c r="R1659" s="7" t="s">
        <v>2594</v>
      </c>
      <c r="S1659" s="7" t="s">
        <v>2594</v>
      </c>
      <c r="T1659" s="7" t="s">
        <v>54</v>
      </c>
      <c r="U1659" s="7" t="s">
        <v>199</v>
      </c>
      <c r="V1659" s="7" t="s">
        <v>211</v>
      </c>
      <c r="W1659" s="7" t="s">
        <v>57</v>
      </c>
      <c r="X1659" s="7" t="s">
        <v>103</v>
      </c>
      <c r="Y1659" s="8">
        <v>44722</v>
      </c>
      <c r="Z1659" s="8">
        <v>45000</v>
      </c>
      <c r="AA1659" s="7" t="s">
        <v>212</v>
      </c>
      <c r="AB1659" s="7" t="s">
        <v>64</v>
      </c>
      <c r="AC1659" s="7" t="s">
        <v>65</v>
      </c>
      <c r="AD1659" s="7" t="s">
        <v>80</v>
      </c>
      <c r="AE1659" s="7" t="s">
        <v>0</v>
      </c>
      <c r="AF1659" s="7" t="s">
        <v>0</v>
      </c>
      <c r="AG1659" s="7" t="s">
        <v>0</v>
      </c>
      <c r="AH1659" s="9" t="s">
        <v>0</v>
      </c>
      <c r="AI1659" s="9" t="s">
        <v>0</v>
      </c>
      <c r="AJ1659" s="9" t="s">
        <v>0</v>
      </c>
      <c r="AK1659" s="7" t="s">
        <v>61</v>
      </c>
      <c r="AL1659" s="7" t="s">
        <v>61</v>
      </c>
      <c r="AM1659" s="7" t="s">
        <v>0</v>
      </c>
      <c r="AN1659" s="7" t="s">
        <v>0</v>
      </c>
      <c r="AO1659" s="7" t="s">
        <v>0</v>
      </c>
      <c r="AP1659" s="7" t="s">
        <v>0</v>
      </c>
      <c r="AQ1659" s="7" t="s">
        <v>61</v>
      </c>
      <c r="AR1659" s="7" t="s">
        <v>0</v>
      </c>
      <c r="AS1659" s="10" t="str">
        <f>HYPERLINK("https://tessa.gazprom-neft.local/edo/card/525ed77e-0829-4353-a0dc-303b8266e2e9", "https://tessa.gazprom-neft.local/edo/card/525ed77e-0829-4353-a0dc-303b8266e2e9")</f>
        <v>https://tessa.gazprom-neft.local/edo/card/525ed77e-0829-4353-a0dc-303b8266e2e9</v>
      </c>
    </row>
    <row r="1660" spans="1:45" hidden="1" x14ac:dyDescent="0.25">
      <c r="A1660" s="6" t="s">
        <v>44</v>
      </c>
      <c r="B1660" s="7" t="s">
        <v>1165</v>
      </c>
      <c r="C1660" s="7" t="s">
        <v>67</v>
      </c>
      <c r="D1660" s="8">
        <v>44722</v>
      </c>
      <c r="E1660" s="8" t="s">
        <v>0</v>
      </c>
      <c r="F1660" s="16" t="s">
        <v>1166</v>
      </c>
      <c r="G1660" s="7" t="s">
        <v>1167</v>
      </c>
      <c r="H1660" s="7" t="s">
        <v>3465</v>
      </c>
      <c r="I1660" s="7" t="s">
        <v>0</v>
      </c>
      <c r="J1660" s="7" t="s">
        <v>6896</v>
      </c>
      <c r="K1660" s="7" t="s">
        <v>47</v>
      </c>
      <c r="L1660" s="7" t="s">
        <v>239</v>
      </c>
      <c r="M1660" s="7" t="s">
        <v>0</v>
      </c>
      <c r="N1660" s="7" t="s">
        <v>6894</v>
      </c>
      <c r="O1660" s="7" t="s">
        <v>0</v>
      </c>
      <c r="P1660" s="7" t="s">
        <v>6895</v>
      </c>
      <c r="Q1660" s="7" t="s">
        <v>6897</v>
      </c>
      <c r="R1660" s="7" t="s">
        <v>244</v>
      </c>
      <c r="S1660" s="7" t="s">
        <v>0</v>
      </c>
      <c r="T1660" s="7" t="s">
        <v>54</v>
      </c>
      <c r="U1660" s="7" t="s">
        <v>55</v>
      </c>
      <c r="V1660" s="7" t="s">
        <v>56</v>
      </c>
      <c r="W1660" s="7" t="s">
        <v>57</v>
      </c>
      <c r="X1660" s="7" t="s">
        <v>103</v>
      </c>
      <c r="Y1660" s="8">
        <v>44722</v>
      </c>
      <c r="Z1660" s="8">
        <v>44767</v>
      </c>
      <c r="AA1660" s="7" t="s">
        <v>59</v>
      </c>
      <c r="AB1660" s="7" t="s">
        <v>256</v>
      </c>
      <c r="AC1660" s="7" t="s">
        <v>79</v>
      </c>
      <c r="AD1660" s="7" t="s">
        <v>144</v>
      </c>
      <c r="AE1660" s="7" t="s">
        <v>82</v>
      </c>
      <c r="AF1660" s="7" t="s">
        <v>0</v>
      </c>
      <c r="AG1660" s="7" t="s">
        <v>0</v>
      </c>
      <c r="AH1660" s="9" t="s">
        <v>12986</v>
      </c>
      <c r="AI1660" s="9" t="s">
        <v>12987</v>
      </c>
      <c r="AJ1660" s="9" t="s">
        <v>12988</v>
      </c>
      <c r="AK1660" s="7" t="s">
        <v>61</v>
      </c>
      <c r="AL1660" s="7" t="s">
        <v>61</v>
      </c>
      <c r="AM1660" s="7" t="s">
        <v>0</v>
      </c>
      <c r="AN1660" s="7" t="s">
        <v>0</v>
      </c>
      <c r="AO1660" s="7" t="s">
        <v>0</v>
      </c>
      <c r="AP1660" s="7" t="s">
        <v>0</v>
      </c>
      <c r="AQ1660" s="7" t="s">
        <v>61</v>
      </c>
      <c r="AR1660" s="7" t="s">
        <v>0</v>
      </c>
      <c r="AS1660" s="10" t="str">
        <f>HYPERLINK("https://tessa.gazprom-neft.local/edo/card/915b829d-1b47-4432-bb38-5f55dcaa73a8", "https://tessa.gazprom-neft.local/edo/card/915b829d-1b47-4432-bb38-5f55dcaa73a8")</f>
        <v>https://tessa.gazprom-neft.local/edo/card/915b829d-1b47-4432-bb38-5f55dcaa73a8</v>
      </c>
    </row>
    <row r="1661" spans="1:45" x14ac:dyDescent="0.25">
      <c r="A1661" s="6" t="s">
        <v>44</v>
      </c>
      <c r="B1661" s="7" t="s">
        <v>0</v>
      </c>
      <c r="C1661" s="7" t="s">
        <v>67</v>
      </c>
      <c r="D1661" s="8">
        <v>44721</v>
      </c>
      <c r="E1661" s="8" t="s">
        <v>0</v>
      </c>
      <c r="F1661" s="16" t="s">
        <v>6655</v>
      </c>
      <c r="G1661" s="7" t="s">
        <v>0</v>
      </c>
      <c r="H1661" s="7" t="s">
        <v>6652</v>
      </c>
      <c r="I1661" s="7" t="s">
        <v>0</v>
      </c>
      <c r="J1661" s="7" t="s">
        <v>51</v>
      </c>
      <c r="K1661" s="7" t="s">
        <v>47</v>
      </c>
      <c r="L1661" s="7" t="s">
        <v>48</v>
      </c>
      <c r="M1661" s="7" t="s">
        <v>0</v>
      </c>
      <c r="N1661" s="7" t="s">
        <v>6651</v>
      </c>
      <c r="O1661" s="7" t="s">
        <v>0</v>
      </c>
      <c r="P1661" s="7" t="s">
        <v>6653</v>
      </c>
      <c r="Q1661" s="7" t="s">
        <v>6654</v>
      </c>
      <c r="R1661" s="7" t="s">
        <v>1575</v>
      </c>
      <c r="S1661" s="7" t="s">
        <v>1575</v>
      </c>
      <c r="T1661" s="7" t="s">
        <v>54</v>
      </c>
      <c r="U1661" s="7" t="s">
        <v>222</v>
      </c>
      <c r="V1661" s="7" t="s">
        <v>382</v>
      </c>
      <c r="W1661" s="7" t="s">
        <v>57</v>
      </c>
      <c r="X1661" s="7" t="s">
        <v>58</v>
      </c>
      <c r="Y1661" s="8">
        <v>44721</v>
      </c>
      <c r="Z1661" s="8" t="s">
        <v>0</v>
      </c>
      <c r="AA1661" s="7" t="s">
        <v>383</v>
      </c>
      <c r="AB1661" s="7" t="s">
        <v>387</v>
      </c>
      <c r="AC1661" s="7" t="s">
        <v>65</v>
      </c>
      <c r="AD1661" s="7" t="s">
        <v>514</v>
      </c>
      <c r="AE1661" s="7" t="s">
        <v>0</v>
      </c>
      <c r="AF1661" s="7" t="s">
        <v>0</v>
      </c>
      <c r="AG1661" s="7" t="s">
        <v>0</v>
      </c>
      <c r="AH1661" s="9" t="s">
        <v>0</v>
      </c>
      <c r="AI1661" s="9" t="s">
        <v>0</v>
      </c>
      <c r="AJ1661" s="9" t="s">
        <v>0</v>
      </c>
      <c r="AK1661" s="7" t="s">
        <v>61</v>
      </c>
      <c r="AL1661" s="7" t="s">
        <v>61</v>
      </c>
      <c r="AM1661" s="7" t="s">
        <v>0</v>
      </c>
      <c r="AN1661" s="7" t="s">
        <v>0</v>
      </c>
      <c r="AO1661" s="7" t="s">
        <v>0</v>
      </c>
      <c r="AP1661" s="7" t="s">
        <v>0</v>
      </c>
      <c r="AQ1661" s="7" t="s">
        <v>61</v>
      </c>
      <c r="AR1661" s="7" t="s">
        <v>0</v>
      </c>
      <c r="AS1661" s="10" t="str">
        <f>HYPERLINK("https://tessa.gazprom-neft.local/edo/card/0785b0a8-6db3-4397-b3fb-4667ff3a9fda", "https://tessa.gazprom-neft.local/edo/card/0785b0a8-6db3-4397-b3fb-4667ff3a9fda")</f>
        <v>https://tessa.gazprom-neft.local/edo/card/0785b0a8-6db3-4397-b3fb-4667ff3a9fda</v>
      </c>
    </row>
    <row r="1662" spans="1:45" x14ac:dyDescent="0.25">
      <c r="A1662" s="6" t="s">
        <v>44</v>
      </c>
      <c r="B1662" s="7" t="s">
        <v>2291</v>
      </c>
      <c r="C1662" s="7" t="s">
        <v>67</v>
      </c>
      <c r="D1662" s="8">
        <v>44720</v>
      </c>
      <c r="E1662" s="8" t="s">
        <v>0</v>
      </c>
      <c r="F1662" s="16" t="s">
        <v>2292</v>
      </c>
      <c r="G1662" s="7" t="s">
        <v>2293</v>
      </c>
      <c r="H1662" s="7" t="s">
        <v>6520</v>
      </c>
      <c r="I1662" s="7" t="s">
        <v>0</v>
      </c>
      <c r="J1662" s="7" t="s">
        <v>355</v>
      </c>
      <c r="K1662" s="7" t="s">
        <v>85</v>
      </c>
      <c r="L1662" s="7" t="s">
        <v>48</v>
      </c>
      <c r="M1662" s="7" t="s">
        <v>3833</v>
      </c>
      <c r="N1662" s="7" t="s">
        <v>6519</v>
      </c>
      <c r="O1662" s="7" t="s">
        <v>0</v>
      </c>
      <c r="P1662" s="7" t="s">
        <v>3833</v>
      </c>
      <c r="Q1662" s="7" t="s">
        <v>5183</v>
      </c>
      <c r="R1662" s="7" t="s">
        <v>1829</v>
      </c>
      <c r="S1662" s="7" t="s">
        <v>1829</v>
      </c>
      <c r="T1662" s="7" t="s">
        <v>54</v>
      </c>
      <c r="U1662" s="7" t="s">
        <v>307</v>
      </c>
      <c r="V1662" s="7" t="s">
        <v>382</v>
      </c>
      <c r="W1662" s="7" t="s">
        <v>57</v>
      </c>
      <c r="X1662" s="7" t="s">
        <v>58</v>
      </c>
      <c r="Y1662" s="8">
        <v>44720</v>
      </c>
      <c r="Z1662" s="8" t="s">
        <v>0</v>
      </c>
      <c r="AA1662" s="7" t="s">
        <v>383</v>
      </c>
      <c r="AB1662" s="7" t="s">
        <v>130</v>
      </c>
      <c r="AC1662" s="7" t="s">
        <v>65</v>
      </c>
      <c r="AD1662" s="7" t="s">
        <v>0</v>
      </c>
      <c r="AE1662" s="7" t="s">
        <v>0</v>
      </c>
      <c r="AF1662" s="7" t="s">
        <v>0</v>
      </c>
      <c r="AG1662" s="7" t="s">
        <v>0</v>
      </c>
      <c r="AH1662" s="9" t="s">
        <v>0</v>
      </c>
      <c r="AI1662" s="9" t="s">
        <v>0</v>
      </c>
      <c r="AJ1662" s="9" t="s">
        <v>0</v>
      </c>
      <c r="AK1662" s="7" t="s">
        <v>61</v>
      </c>
      <c r="AL1662" s="7" t="s">
        <v>61</v>
      </c>
      <c r="AM1662" s="7" t="s">
        <v>0</v>
      </c>
      <c r="AN1662" s="7" t="s">
        <v>0</v>
      </c>
      <c r="AO1662" s="7" t="s">
        <v>0</v>
      </c>
      <c r="AP1662" s="7" t="s">
        <v>0</v>
      </c>
      <c r="AQ1662" s="7" t="s">
        <v>61</v>
      </c>
      <c r="AR1662" s="7" t="s">
        <v>0</v>
      </c>
      <c r="AS1662" s="10" t="str">
        <f>HYPERLINK("https://tessa.gazprom-neft.local/edo/card/fb98c42e-ad53-4b6d-9bcd-e98e398c9812", "https://tessa.gazprom-neft.local/edo/card/fb98c42e-ad53-4b6d-9bcd-e98e398c9812")</f>
        <v>https://tessa.gazprom-neft.local/edo/card/fb98c42e-ad53-4b6d-9bcd-e98e398c9812</v>
      </c>
    </row>
    <row r="1663" spans="1:45" x14ac:dyDescent="0.25">
      <c r="A1663" s="6" t="s">
        <v>44</v>
      </c>
      <c r="B1663" s="7" t="s">
        <v>2291</v>
      </c>
      <c r="C1663" s="7" t="s">
        <v>67</v>
      </c>
      <c r="D1663" s="8">
        <v>44720</v>
      </c>
      <c r="E1663" s="8" t="s">
        <v>0</v>
      </c>
      <c r="F1663" s="16" t="s">
        <v>2292</v>
      </c>
      <c r="G1663" s="7" t="s">
        <v>2293</v>
      </c>
      <c r="H1663" s="7" t="s">
        <v>6536</v>
      </c>
      <c r="I1663" s="7" t="s">
        <v>0</v>
      </c>
      <c r="J1663" s="7" t="s">
        <v>355</v>
      </c>
      <c r="K1663" s="7" t="s">
        <v>85</v>
      </c>
      <c r="L1663" s="7" t="s">
        <v>48</v>
      </c>
      <c r="M1663" s="7" t="s">
        <v>3833</v>
      </c>
      <c r="N1663" s="7" t="s">
        <v>6535</v>
      </c>
      <c r="O1663" s="7" t="s">
        <v>0</v>
      </c>
      <c r="P1663" s="7" t="s">
        <v>3833</v>
      </c>
      <c r="Q1663" s="7" t="s">
        <v>5183</v>
      </c>
      <c r="R1663" s="7" t="s">
        <v>1829</v>
      </c>
      <c r="S1663" s="7" t="s">
        <v>1829</v>
      </c>
      <c r="T1663" s="7" t="s">
        <v>54</v>
      </c>
      <c r="U1663" s="7" t="s">
        <v>307</v>
      </c>
      <c r="V1663" s="7" t="s">
        <v>382</v>
      </c>
      <c r="W1663" s="7" t="s">
        <v>57</v>
      </c>
      <c r="X1663" s="7" t="s">
        <v>58</v>
      </c>
      <c r="Y1663" s="8">
        <v>44720</v>
      </c>
      <c r="Z1663" s="8" t="s">
        <v>0</v>
      </c>
      <c r="AA1663" s="7" t="s">
        <v>383</v>
      </c>
      <c r="AB1663" s="7" t="s">
        <v>130</v>
      </c>
      <c r="AC1663" s="7" t="s">
        <v>65</v>
      </c>
      <c r="AD1663" s="7" t="s">
        <v>0</v>
      </c>
      <c r="AE1663" s="7" t="s">
        <v>0</v>
      </c>
      <c r="AF1663" s="7" t="s">
        <v>0</v>
      </c>
      <c r="AG1663" s="7" t="s">
        <v>0</v>
      </c>
      <c r="AH1663" s="9" t="s">
        <v>0</v>
      </c>
      <c r="AI1663" s="9" t="s">
        <v>0</v>
      </c>
      <c r="AJ1663" s="9" t="s">
        <v>0</v>
      </c>
      <c r="AK1663" s="7" t="s">
        <v>61</v>
      </c>
      <c r="AL1663" s="7" t="s">
        <v>61</v>
      </c>
      <c r="AM1663" s="7" t="s">
        <v>0</v>
      </c>
      <c r="AN1663" s="7" t="s">
        <v>0</v>
      </c>
      <c r="AO1663" s="7" t="s">
        <v>0</v>
      </c>
      <c r="AP1663" s="7" t="s">
        <v>0</v>
      </c>
      <c r="AQ1663" s="7" t="s">
        <v>61</v>
      </c>
      <c r="AR1663" s="7" t="s">
        <v>0</v>
      </c>
      <c r="AS1663" s="10" t="str">
        <f>HYPERLINK("https://tessa.gazprom-neft.local/edo/card/87374c36-8c73-4712-ab85-b41989737245", "https://tessa.gazprom-neft.local/edo/card/87374c36-8c73-4712-ab85-b41989737245")</f>
        <v>https://tessa.gazprom-neft.local/edo/card/87374c36-8c73-4712-ab85-b41989737245</v>
      </c>
    </row>
    <row r="1664" spans="1:45" hidden="1" x14ac:dyDescent="0.25">
      <c r="A1664" s="6" t="s">
        <v>44</v>
      </c>
      <c r="B1664" s="7" t="s">
        <v>4647</v>
      </c>
      <c r="C1664" s="7" t="s">
        <v>46</v>
      </c>
      <c r="D1664" s="8">
        <v>44719</v>
      </c>
      <c r="E1664" s="8" t="s">
        <v>0</v>
      </c>
      <c r="F1664" s="16" t="s">
        <v>4648</v>
      </c>
      <c r="G1664" s="7" t="s">
        <v>4649</v>
      </c>
      <c r="H1664" s="7" t="s">
        <v>0</v>
      </c>
      <c r="I1664" s="7" t="s">
        <v>4644</v>
      </c>
      <c r="J1664" s="7" t="s">
        <v>4644</v>
      </c>
      <c r="K1664" s="7" t="s">
        <v>47</v>
      </c>
      <c r="L1664" s="7" t="s">
        <v>96</v>
      </c>
      <c r="M1664" s="7" t="s">
        <v>0</v>
      </c>
      <c r="N1664" s="7" t="s">
        <v>4643</v>
      </c>
      <c r="O1664" s="7" t="s">
        <v>0</v>
      </c>
      <c r="P1664" s="7" t="s">
        <v>4645</v>
      </c>
      <c r="Q1664" s="7" t="s">
        <v>4646</v>
      </c>
      <c r="R1664" s="7" t="s">
        <v>1523</v>
      </c>
      <c r="S1664" s="7" t="s">
        <v>1523</v>
      </c>
      <c r="T1664" s="7" t="s">
        <v>54</v>
      </c>
      <c r="U1664" s="7" t="s">
        <v>188</v>
      </c>
      <c r="V1664" s="7" t="s">
        <v>187</v>
      </c>
      <c r="W1664" s="7" t="s">
        <v>57</v>
      </c>
      <c r="X1664" s="7" t="s">
        <v>103</v>
      </c>
      <c r="Y1664" s="8">
        <v>44700</v>
      </c>
      <c r="Z1664" s="8">
        <v>45291</v>
      </c>
      <c r="AA1664" s="7" t="s">
        <v>922</v>
      </c>
      <c r="AB1664" s="7" t="s">
        <v>64</v>
      </c>
      <c r="AC1664" s="7" t="s">
        <v>79</v>
      </c>
      <c r="AD1664" s="7" t="s">
        <v>514</v>
      </c>
      <c r="AE1664" s="7" t="s">
        <v>118</v>
      </c>
      <c r="AF1664" s="7" t="s">
        <v>0</v>
      </c>
      <c r="AG1664" s="7" t="s">
        <v>0</v>
      </c>
      <c r="AH1664" s="9" t="s">
        <v>12156</v>
      </c>
      <c r="AI1664" s="9" t="s">
        <v>12156</v>
      </c>
      <c r="AJ1664" s="9">
        <v>0</v>
      </c>
      <c r="AK1664" s="7" t="s">
        <v>61</v>
      </c>
      <c r="AL1664" s="7" t="s">
        <v>61</v>
      </c>
      <c r="AM1664" s="7" t="s">
        <v>0</v>
      </c>
      <c r="AN1664" s="7" t="s">
        <v>0</v>
      </c>
      <c r="AO1664" s="7" t="s">
        <v>0</v>
      </c>
      <c r="AP1664" s="7" t="s">
        <v>0</v>
      </c>
      <c r="AQ1664" s="7" t="s">
        <v>61</v>
      </c>
      <c r="AR1664" s="7" t="s">
        <v>0</v>
      </c>
      <c r="AS1664" s="10" t="str">
        <f>HYPERLINK("https://tessa.gazprom-neft.local/edo/card/664978fe-05f7-4977-b4d6-12bd31e45919", "https://tessa.gazprom-neft.local/edo/card/664978fe-05f7-4977-b4d6-12bd31e45919")</f>
        <v>https://tessa.gazprom-neft.local/edo/card/664978fe-05f7-4977-b4d6-12bd31e45919</v>
      </c>
    </row>
    <row r="1665" spans="1:45" hidden="1" x14ac:dyDescent="0.25">
      <c r="A1665" s="6" t="s">
        <v>44</v>
      </c>
      <c r="B1665" s="7" t="s">
        <v>245</v>
      </c>
      <c r="C1665" s="7" t="s">
        <v>46</v>
      </c>
      <c r="D1665" s="8">
        <v>44719</v>
      </c>
      <c r="E1665" s="8" t="s">
        <v>0</v>
      </c>
      <c r="F1665" s="16" t="s">
        <v>246</v>
      </c>
      <c r="G1665" s="7" t="s">
        <v>247</v>
      </c>
      <c r="H1665" s="7" t="s">
        <v>0</v>
      </c>
      <c r="I1665" s="7" t="s">
        <v>5851</v>
      </c>
      <c r="J1665" s="7" t="s">
        <v>5851</v>
      </c>
      <c r="K1665" s="7" t="s">
        <v>47</v>
      </c>
      <c r="L1665" s="7" t="s">
        <v>96</v>
      </c>
      <c r="M1665" s="7" t="s">
        <v>0</v>
      </c>
      <c r="N1665" s="7" t="s">
        <v>5850</v>
      </c>
      <c r="O1665" s="7" t="s">
        <v>0</v>
      </c>
      <c r="P1665" s="7" t="s">
        <v>5852</v>
      </c>
      <c r="Q1665" s="7" t="s">
        <v>5853</v>
      </c>
      <c r="R1665" s="7" t="s">
        <v>540</v>
      </c>
      <c r="S1665" s="7" t="s">
        <v>0</v>
      </c>
      <c r="T1665" s="7" t="s">
        <v>54</v>
      </c>
      <c r="U1665" s="7" t="s">
        <v>541</v>
      </c>
      <c r="V1665" s="7" t="s">
        <v>56</v>
      </c>
      <c r="W1665" s="7" t="s">
        <v>57</v>
      </c>
      <c r="X1665" s="7" t="s">
        <v>58</v>
      </c>
      <c r="Y1665" s="8">
        <v>44719</v>
      </c>
      <c r="Z1665" s="8" t="s">
        <v>0</v>
      </c>
      <c r="AA1665" s="7" t="s">
        <v>59</v>
      </c>
      <c r="AB1665" s="7" t="s">
        <v>256</v>
      </c>
      <c r="AC1665" s="7" t="s">
        <v>79</v>
      </c>
      <c r="AD1665" s="7" t="s">
        <v>80</v>
      </c>
      <c r="AE1665" s="7" t="s">
        <v>472</v>
      </c>
      <c r="AF1665" s="7" t="s">
        <v>2488</v>
      </c>
      <c r="AG1665" s="7" t="s">
        <v>0</v>
      </c>
      <c r="AH1665" s="9" t="s">
        <v>12652</v>
      </c>
      <c r="AI1665" s="9" t="s">
        <v>12653</v>
      </c>
      <c r="AJ1665" s="9" t="s">
        <v>12654</v>
      </c>
      <c r="AK1665" s="7" t="s">
        <v>61</v>
      </c>
      <c r="AL1665" s="7" t="s">
        <v>61</v>
      </c>
      <c r="AM1665" s="7" t="s">
        <v>0</v>
      </c>
      <c r="AN1665" s="7" t="s">
        <v>0</v>
      </c>
      <c r="AO1665" s="7" t="s">
        <v>0</v>
      </c>
      <c r="AP1665" s="7" t="s">
        <v>0</v>
      </c>
      <c r="AQ1665" s="7" t="s">
        <v>61</v>
      </c>
      <c r="AR1665" s="7" t="s">
        <v>0</v>
      </c>
      <c r="AS1665" s="10" t="str">
        <f>HYPERLINK("https://tessa.gazprom-neft.local/edo/card/310a8ce0-bbca-4708-a678-698c1e022cf5", "https://tessa.gazprom-neft.local/edo/card/310a8ce0-bbca-4708-a678-698c1e022cf5")</f>
        <v>https://tessa.gazprom-neft.local/edo/card/310a8ce0-bbca-4708-a678-698c1e022cf5</v>
      </c>
    </row>
    <row r="1666" spans="1:45" hidden="1" x14ac:dyDescent="0.25">
      <c r="A1666" s="6" t="s">
        <v>44</v>
      </c>
      <c r="B1666" s="7" t="s">
        <v>1731</v>
      </c>
      <c r="C1666" s="7" t="s">
        <v>46</v>
      </c>
      <c r="D1666" s="8">
        <v>44719</v>
      </c>
      <c r="E1666" s="8" t="s">
        <v>0</v>
      </c>
      <c r="F1666" s="16" t="s">
        <v>1732</v>
      </c>
      <c r="G1666" s="7" t="s">
        <v>1733</v>
      </c>
      <c r="H1666" s="7" t="s">
        <v>0</v>
      </c>
      <c r="I1666" s="7" t="s">
        <v>6404</v>
      </c>
      <c r="J1666" s="7" t="s">
        <v>6404</v>
      </c>
      <c r="K1666" s="7" t="s">
        <v>47</v>
      </c>
      <c r="L1666" s="7" t="s">
        <v>96</v>
      </c>
      <c r="M1666" s="7" t="s">
        <v>0</v>
      </c>
      <c r="N1666" s="7" t="s">
        <v>6403</v>
      </c>
      <c r="O1666" s="7" t="s">
        <v>0</v>
      </c>
      <c r="P1666" s="7" t="s">
        <v>6405</v>
      </c>
      <c r="Q1666" s="7" t="s">
        <v>6406</v>
      </c>
      <c r="R1666" s="7" t="s">
        <v>53</v>
      </c>
      <c r="S1666" s="7" t="s">
        <v>53</v>
      </c>
      <c r="T1666" s="7" t="s">
        <v>54</v>
      </c>
      <c r="U1666" s="7" t="s">
        <v>55</v>
      </c>
      <c r="V1666" s="7" t="s">
        <v>56</v>
      </c>
      <c r="W1666" s="7" t="s">
        <v>57</v>
      </c>
      <c r="X1666" s="7" t="s">
        <v>58</v>
      </c>
      <c r="Y1666" s="8">
        <v>44719</v>
      </c>
      <c r="Z1666" s="8" t="s">
        <v>0</v>
      </c>
      <c r="AA1666" s="7" t="s">
        <v>59</v>
      </c>
      <c r="AB1666" s="7" t="s">
        <v>500</v>
      </c>
      <c r="AC1666" s="7" t="s">
        <v>79</v>
      </c>
      <c r="AD1666" s="7" t="s">
        <v>80</v>
      </c>
      <c r="AE1666" s="7" t="s">
        <v>118</v>
      </c>
      <c r="AF1666" s="7" t="s">
        <v>0</v>
      </c>
      <c r="AG1666" s="7" t="s">
        <v>0</v>
      </c>
      <c r="AH1666" s="9" t="s">
        <v>12831</v>
      </c>
      <c r="AI1666" s="9" t="s">
        <v>12831</v>
      </c>
      <c r="AJ1666" s="9">
        <v>0</v>
      </c>
      <c r="AK1666" s="7" t="s">
        <v>61</v>
      </c>
      <c r="AL1666" s="7" t="s">
        <v>81</v>
      </c>
      <c r="AM1666" s="7" t="s">
        <v>1410</v>
      </c>
      <c r="AN1666" s="7" t="s">
        <v>6407</v>
      </c>
      <c r="AO1666" s="7" t="s">
        <v>0</v>
      </c>
      <c r="AP1666" s="7" t="s">
        <v>0</v>
      </c>
      <c r="AQ1666" s="7" t="s">
        <v>61</v>
      </c>
      <c r="AR1666" s="7" t="s">
        <v>0</v>
      </c>
      <c r="AS1666" s="10" t="str">
        <f>HYPERLINK("https://tessa.gazprom-neft.local/edo/card/6c3c7bc7-2fcb-4df0-aeb2-82f4656f08f9", "https://tessa.gazprom-neft.local/edo/card/6c3c7bc7-2fcb-4df0-aeb2-82f4656f08f9")</f>
        <v>https://tessa.gazprom-neft.local/edo/card/6c3c7bc7-2fcb-4df0-aeb2-82f4656f08f9</v>
      </c>
    </row>
    <row r="1667" spans="1:45" x14ac:dyDescent="0.25">
      <c r="A1667" s="6" t="s">
        <v>44</v>
      </c>
      <c r="B1667" s="7" t="s">
        <v>5815</v>
      </c>
      <c r="C1667" s="7" t="s">
        <v>67</v>
      </c>
      <c r="D1667" s="8">
        <v>44719</v>
      </c>
      <c r="E1667" s="8" t="s">
        <v>0</v>
      </c>
      <c r="F1667" s="16" t="s">
        <v>5816</v>
      </c>
      <c r="G1667" s="7" t="s">
        <v>5817</v>
      </c>
      <c r="H1667" s="7" t="s">
        <v>5874</v>
      </c>
      <c r="I1667" s="7" t="s">
        <v>0</v>
      </c>
      <c r="J1667" s="7" t="s">
        <v>271</v>
      </c>
      <c r="K1667" s="7" t="s">
        <v>85</v>
      </c>
      <c r="L1667" s="7" t="s">
        <v>48</v>
      </c>
      <c r="M1667" s="7" t="s">
        <v>5649</v>
      </c>
      <c r="N1667" s="7" t="s">
        <v>6438</v>
      </c>
      <c r="O1667" s="7" t="s">
        <v>0</v>
      </c>
      <c r="P1667" s="7" t="s">
        <v>5649</v>
      </c>
      <c r="Q1667" s="7" t="s">
        <v>426</v>
      </c>
      <c r="R1667" s="7" t="s">
        <v>1481</v>
      </c>
      <c r="S1667" s="7" t="s">
        <v>1481</v>
      </c>
      <c r="T1667" s="7" t="s">
        <v>54</v>
      </c>
      <c r="U1667" s="7" t="s">
        <v>777</v>
      </c>
      <c r="V1667" s="7" t="s">
        <v>137</v>
      </c>
      <c r="W1667" s="7" t="s">
        <v>57</v>
      </c>
      <c r="X1667" s="7" t="s">
        <v>58</v>
      </c>
      <c r="Y1667" s="8">
        <v>44719</v>
      </c>
      <c r="Z1667" s="8" t="s">
        <v>0</v>
      </c>
      <c r="AA1667" s="7" t="s">
        <v>0</v>
      </c>
      <c r="AB1667" s="7" t="s">
        <v>64</v>
      </c>
      <c r="AC1667" s="7" t="s">
        <v>65</v>
      </c>
      <c r="AD1667" s="7" t="s">
        <v>0</v>
      </c>
      <c r="AE1667" s="7" t="s">
        <v>0</v>
      </c>
      <c r="AF1667" s="7" t="s">
        <v>0</v>
      </c>
      <c r="AG1667" s="7" t="s">
        <v>0</v>
      </c>
      <c r="AH1667" s="9" t="s">
        <v>0</v>
      </c>
      <c r="AI1667" s="9" t="s">
        <v>0</v>
      </c>
      <c r="AJ1667" s="9" t="s">
        <v>0</v>
      </c>
      <c r="AK1667" s="7" t="s">
        <v>61</v>
      </c>
      <c r="AL1667" s="7" t="s">
        <v>61</v>
      </c>
      <c r="AM1667" s="7" t="s">
        <v>0</v>
      </c>
      <c r="AN1667" s="7" t="s">
        <v>0</v>
      </c>
      <c r="AO1667" s="7" t="s">
        <v>0</v>
      </c>
      <c r="AP1667" s="7" t="s">
        <v>0</v>
      </c>
      <c r="AQ1667" s="7" t="s">
        <v>61</v>
      </c>
      <c r="AR1667" s="7" t="s">
        <v>0</v>
      </c>
      <c r="AS1667" s="10" t="str">
        <f>HYPERLINK("https://tessa.gazprom-neft.local/edo/card/9f56ea02-a6b0-40be-b173-dec1a8306caf", "https://tessa.gazprom-neft.local/edo/card/9f56ea02-a6b0-40be-b173-dec1a8306caf")</f>
        <v>https://tessa.gazprom-neft.local/edo/card/9f56ea02-a6b0-40be-b173-dec1a8306caf</v>
      </c>
    </row>
    <row r="1668" spans="1:45" x14ac:dyDescent="0.25">
      <c r="A1668" s="6" t="s">
        <v>44</v>
      </c>
      <c r="B1668" s="7" t="s">
        <v>6478</v>
      </c>
      <c r="C1668" s="7" t="s">
        <v>46</v>
      </c>
      <c r="D1668" s="8">
        <v>44719</v>
      </c>
      <c r="E1668" s="8" t="s">
        <v>0</v>
      </c>
      <c r="F1668" s="16" t="s">
        <v>6479</v>
      </c>
      <c r="G1668" s="7" t="s">
        <v>6480</v>
      </c>
      <c r="H1668" s="7" t="s">
        <v>6475</v>
      </c>
      <c r="I1668" s="7" t="s">
        <v>0</v>
      </c>
      <c r="J1668" s="7" t="s">
        <v>51</v>
      </c>
      <c r="K1668" s="7" t="s">
        <v>47</v>
      </c>
      <c r="L1668" s="7" t="s">
        <v>48</v>
      </c>
      <c r="M1668" s="7" t="s">
        <v>0</v>
      </c>
      <c r="N1668" s="7" t="s">
        <v>6474</v>
      </c>
      <c r="O1668" s="7" t="s">
        <v>0</v>
      </c>
      <c r="P1668" s="7" t="s">
        <v>6476</v>
      </c>
      <c r="Q1668" s="7" t="s">
        <v>6477</v>
      </c>
      <c r="R1668" s="7" t="s">
        <v>293</v>
      </c>
      <c r="S1668" s="7" t="s">
        <v>293</v>
      </c>
      <c r="T1668" s="7" t="s">
        <v>54</v>
      </c>
      <c r="U1668" s="7" t="s">
        <v>294</v>
      </c>
      <c r="V1668" s="7" t="s">
        <v>56</v>
      </c>
      <c r="W1668" s="7" t="s">
        <v>57</v>
      </c>
      <c r="X1668" s="7" t="s">
        <v>103</v>
      </c>
      <c r="Y1668" s="8">
        <v>44727</v>
      </c>
      <c r="Z1668" s="8">
        <v>44926</v>
      </c>
      <c r="AA1668" s="7" t="s">
        <v>59</v>
      </c>
      <c r="AB1668" s="7" t="s">
        <v>64</v>
      </c>
      <c r="AC1668" s="7" t="s">
        <v>65</v>
      </c>
      <c r="AD1668" s="7" t="s">
        <v>144</v>
      </c>
      <c r="AE1668" s="7" t="s">
        <v>0</v>
      </c>
      <c r="AF1668" s="7" t="s">
        <v>0</v>
      </c>
      <c r="AG1668" s="7" t="s">
        <v>0</v>
      </c>
      <c r="AH1668" s="9" t="s">
        <v>0</v>
      </c>
      <c r="AI1668" s="9" t="s">
        <v>0</v>
      </c>
      <c r="AJ1668" s="9" t="s">
        <v>0</v>
      </c>
      <c r="AK1668" s="7" t="s">
        <v>61</v>
      </c>
      <c r="AL1668" s="7" t="s">
        <v>61</v>
      </c>
      <c r="AM1668" s="7" t="s">
        <v>0</v>
      </c>
      <c r="AN1668" s="7" t="s">
        <v>0</v>
      </c>
      <c r="AO1668" s="7" t="s">
        <v>0</v>
      </c>
      <c r="AP1668" s="7" t="s">
        <v>0</v>
      </c>
      <c r="AQ1668" s="7" t="s">
        <v>61</v>
      </c>
      <c r="AR1668" s="7" t="s">
        <v>0</v>
      </c>
      <c r="AS1668" s="10" t="str">
        <f>HYPERLINK("https://tessa.gazprom-neft.local/edo/card/49d0c222-672b-4545-9582-8769e5656918", "https://tessa.gazprom-neft.local/edo/card/49d0c222-672b-4545-9582-8769e5656918")</f>
        <v>https://tessa.gazprom-neft.local/edo/card/49d0c222-672b-4545-9582-8769e5656918</v>
      </c>
    </row>
    <row r="1669" spans="1:45" hidden="1" x14ac:dyDescent="0.25">
      <c r="A1669" s="6" t="s">
        <v>44</v>
      </c>
      <c r="B1669" s="7" t="s">
        <v>245</v>
      </c>
      <c r="C1669" s="7" t="s">
        <v>67</v>
      </c>
      <c r="D1669" s="8">
        <v>44719</v>
      </c>
      <c r="E1669" s="8" t="s">
        <v>0</v>
      </c>
      <c r="F1669" s="16" t="s">
        <v>246</v>
      </c>
      <c r="G1669" s="7" t="s">
        <v>247</v>
      </c>
      <c r="H1669" s="7" t="s">
        <v>1808</v>
      </c>
      <c r="I1669" s="7" t="s">
        <v>0</v>
      </c>
      <c r="J1669" s="7" t="s">
        <v>6907</v>
      </c>
      <c r="K1669" s="7" t="s">
        <v>47</v>
      </c>
      <c r="L1669" s="7" t="s">
        <v>239</v>
      </c>
      <c r="M1669" s="7" t="s">
        <v>0</v>
      </c>
      <c r="N1669" s="7" t="s">
        <v>6905</v>
      </c>
      <c r="O1669" s="7" t="s">
        <v>0</v>
      </c>
      <c r="P1669" s="7" t="s">
        <v>6906</v>
      </c>
      <c r="Q1669" s="7" t="s">
        <v>6908</v>
      </c>
      <c r="R1669" s="7" t="s">
        <v>244</v>
      </c>
      <c r="S1669" s="7" t="s">
        <v>0</v>
      </c>
      <c r="T1669" s="7" t="s">
        <v>54</v>
      </c>
      <c r="U1669" s="7" t="s">
        <v>55</v>
      </c>
      <c r="V1669" s="7" t="s">
        <v>56</v>
      </c>
      <c r="W1669" s="7" t="s">
        <v>57</v>
      </c>
      <c r="X1669" s="7" t="s">
        <v>103</v>
      </c>
      <c r="Y1669" s="8">
        <v>44719</v>
      </c>
      <c r="Z1669" s="8">
        <v>45289</v>
      </c>
      <c r="AA1669" s="7" t="s">
        <v>59</v>
      </c>
      <c r="AB1669" s="7" t="s">
        <v>256</v>
      </c>
      <c r="AC1669" s="7" t="s">
        <v>79</v>
      </c>
      <c r="AD1669" s="7" t="s">
        <v>144</v>
      </c>
      <c r="AE1669" s="7" t="s">
        <v>82</v>
      </c>
      <c r="AF1669" s="7" t="s">
        <v>0</v>
      </c>
      <c r="AG1669" s="7" t="s">
        <v>0</v>
      </c>
      <c r="AH1669" s="9" t="s">
        <v>12992</v>
      </c>
      <c r="AI1669" s="9" t="s">
        <v>12993</v>
      </c>
      <c r="AJ1669" s="9" t="s">
        <v>12994</v>
      </c>
      <c r="AK1669" s="7" t="s">
        <v>61</v>
      </c>
      <c r="AL1669" s="7" t="s">
        <v>61</v>
      </c>
      <c r="AM1669" s="7" t="s">
        <v>0</v>
      </c>
      <c r="AN1669" s="7" t="s">
        <v>0</v>
      </c>
      <c r="AO1669" s="7" t="s">
        <v>0</v>
      </c>
      <c r="AP1669" s="7" t="s">
        <v>0</v>
      </c>
      <c r="AQ1669" s="7" t="s">
        <v>61</v>
      </c>
      <c r="AR1669" s="7" t="s">
        <v>0</v>
      </c>
      <c r="AS1669" s="10" t="str">
        <f>HYPERLINK("https://tessa.gazprom-neft.local/edo/card/c1113859-6d5e-4b99-a001-28404c535da6", "https://tessa.gazprom-neft.local/edo/card/c1113859-6d5e-4b99-a001-28404c535da6")</f>
        <v>https://tessa.gazprom-neft.local/edo/card/c1113859-6d5e-4b99-a001-28404c535da6</v>
      </c>
    </row>
    <row r="1670" spans="1:45" hidden="1" x14ac:dyDescent="0.25">
      <c r="A1670" s="6" t="s">
        <v>44</v>
      </c>
      <c r="B1670" s="7" t="s">
        <v>606</v>
      </c>
      <c r="C1670" s="7" t="s">
        <v>67</v>
      </c>
      <c r="D1670" s="8">
        <v>44718</v>
      </c>
      <c r="E1670" s="8" t="s">
        <v>0</v>
      </c>
      <c r="F1670" s="16" t="s">
        <v>607</v>
      </c>
      <c r="G1670" s="7" t="s">
        <v>608</v>
      </c>
      <c r="H1670" s="7" t="s">
        <v>600</v>
      </c>
      <c r="I1670" s="7" t="s">
        <v>0</v>
      </c>
      <c r="J1670" s="7" t="s">
        <v>6392</v>
      </c>
      <c r="K1670" s="7" t="s">
        <v>47</v>
      </c>
      <c r="L1670" s="7" t="s">
        <v>239</v>
      </c>
      <c r="M1670" s="7" t="s">
        <v>0</v>
      </c>
      <c r="N1670" s="7" t="s">
        <v>6390</v>
      </c>
      <c r="O1670" s="7" t="s">
        <v>0</v>
      </c>
      <c r="P1670" s="7" t="s">
        <v>6391</v>
      </c>
      <c r="Q1670" s="7" t="s">
        <v>6393</v>
      </c>
      <c r="R1670" s="7" t="s">
        <v>604</v>
      </c>
      <c r="S1670" s="7" t="s">
        <v>604</v>
      </c>
      <c r="T1670" s="7" t="s">
        <v>54</v>
      </c>
      <c r="U1670" s="7" t="s">
        <v>605</v>
      </c>
      <c r="V1670" s="7" t="s">
        <v>382</v>
      </c>
      <c r="W1670" s="7" t="s">
        <v>74</v>
      </c>
      <c r="X1670" s="7" t="s">
        <v>103</v>
      </c>
      <c r="Y1670" s="8">
        <v>44718</v>
      </c>
      <c r="Z1670" s="8">
        <v>45016</v>
      </c>
      <c r="AA1670" s="7" t="s">
        <v>383</v>
      </c>
      <c r="AB1670" s="7" t="s">
        <v>804</v>
      </c>
      <c r="AC1670" s="7" t="s">
        <v>79</v>
      </c>
      <c r="AD1670" s="7" t="s">
        <v>144</v>
      </c>
      <c r="AE1670" s="7" t="s">
        <v>82</v>
      </c>
      <c r="AF1670" s="7" t="s">
        <v>0</v>
      </c>
      <c r="AG1670" s="7" t="s">
        <v>0</v>
      </c>
      <c r="AH1670" s="9" t="s">
        <v>12828</v>
      </c>
      <c r="AI1670" s="9" t="s">
        <v>12829</v>
      </c>
      <c r="AJ1670" s="9" t="s">
        <v>12830</v>
      </c>
      <c r="AK1670" s="7" t="s">
        <v>61</v>
      </c>
      <c r="AL1670" s="7" t="s">
        <v>61</v>
      </c>
      <c r="AM1670" s="7" t="s">
        <v>0</v>
      </c>
      <c r="AN1670" s="7" t="s">
        <v>0</v>
      </c>
      <c r="AO1670" s="7" t="s">
        <v>0</v>
      </c>
      <c r="AP1670" s="7" t="s">
        <v>0</v>
      </c>
      <c r="AQ1670" s="7" t="s">
        <v>61</v>
      </c>
      <c r="AR1670" s="7" t="s">
        <v>0</v>
      </c>
      <c r="AS1670" s="10" t="str">
        <f>HYPERLINK("https://tessa.gazprom-neft.local/edo/card/015dd535-8e31-4191-85cd-a4f4b3aff2dd", "https://tessa.gazprom-neft.local/edo/card/015dd535-8e31-4191-85cd-a4f4b3aff2dd")</f>
        <v>https://tessa.gazprom-neft.local/edo/card/015dd535-8e31-4191-85cd-a4f4b3aff2dd</v>
      </c>
    </row>
    <row r="1671" spans="1:45" x14ac:dyDescent="0.25">
      <c r="A1671" s="6" t="s">
        <v>44</v>
      </c>
      <c r="B1671" s="7" t="s">
        <v>225</v>
      </c>
      <c r="C1671" s="7" t="s">
        <v>67</v>
      </c>
      <c r="D1671" s="8">
        <v>44714</v>
      </c>
      <c r="E1671" s="8" t="s">
        <v>0</v>
      </c>
      <c r="F1671" s="16" t="s">
        <v>226</v>
      </c>
      <c r="G1671" s="7" t="s">
        <v>227</v>
      </c>
      <c r="H1671" s="7" t="s">
        <v>5982</v>
      </c>
      <c r="I1671" s="7" t="s">
        <v>0</v>
      </c>
      <c r="J1671" s="7" t="s">
        <v>271</v>
      </c>
      <c r="K1671" s="7" t="s">
        <v>47</v>
      </c>
      <c r="L1671" s="7" t="s">
        <v>48</v>
      </c>
      <c r="M1671" s="7" t="s">
        <v>0</v>
      </c>
      <c r="N1671" s="7" t="s">
        <v>5981</v>
      </c>
      <c r="O1671" s="7" t="s">
        <v>0</v>
      </c>
      <c r="P1671" s="7" t="s">
        <v>5983</v>
      </c>
      <c r="Q1671" s="7" t="s">
        <v>5984</v>
      </c>
      <c r="R1671" s="7" t="s">
        <v>220</v>
      </c>
      <c r="S1671" s="7" t="s">
        <v>221</v>
      </c>
      <c r="T1671" s="7" t="s">
        <v>54</v>
      </c>
      <c r="U1671" s="7" t="s">
        <v>222</v>
      </c>
      <c r="V1671" s="7" t="s">
        <v>382</v>
      </c>
      <c r="W1671" s="7" t="s">
        <v>57</v>
      </c>
      <c r="X1671" s="7" t="s">
        <v>58</v>
      </c>
      <c r="Y1671" s="8">
        <v>44714</v>
      </c>
      <c r="Z1671" s="8" t="s">
        <v>0</v>
      </c>
      <c r="AA1671" s="7" t="s">
        <v>383</v>
      </c>
      <c r="AB1671" s="7" t="s">
        <v>387</v>
      </c>
      <c r="AC1671" s="7" t="s">
        <v>65</v>
      </c>
      <c r="AD1671" s="7" t="s">
        <v>80</v>
      </c>
      <c r="AE1671" s="7" t="s">
        <v>0</v>
      </c>
      <c r="AF1671" s="7" t="s">
        <v>0</v>
      </c>
      <c r="AG1671" s="7" t="s">
        <v>0</v>
      </c>
      <c r="AH1671" s="9" t="s">
        <v>0</v>
      </c>
      <c r="AI1671" s="9" t="s">
        <v>0</v>
      </c>
      <c r="AJ1671" s="9" t="s">
        <v>0</v>
      </c>
      <c r="AK1671" s="7" t="s">
        <v>61</v>
      </c>
      <c r="AL1671" s="7" t="s">
        <v>61</v>
      </c>
      <c r="AM1671" s="7" t="s">
        <v>0</v>
      </c>
      <c r="AN1671" s="7" t="s">
        <v>0</v>
      </c>
      <c r="AO1671" s="7" t="s">
        <v>0</v>
      </c>
      <c r="AP1671" s="7" t="s">
        <v>0</v>
      </c>
      <c r="AQ1671" s="7" t="s">
        <v>61</v>
      </c>
      <c r="AR1671" s="7" t="s">
        <v>0</v>
      </c>
      <c r="AS1671" s="10" t="str">
        <f>HYPERLINK("https://tessa.gazprom-neft.local/edo/card/fb2adde4-db76-4bad-a784-6a477e118891", "https://tessa.gazprom-neft.local/edo/card/fb2adde4-db76-4bad-a784-6a477e118891")</f>
        <v>https://tessa.gazprom-neft.local/edo/card/fb2adde4-db76-4bad-a784-6a477e118891</v>
      </c>
    </row>
    <row r="1672" spans="1:45" hidden="1" x14ac:dyDescent="0.25">
      <c r="A1672" s="6" t="s">
        <v>44</v>
      </c>
      <c r="B1672" s="7" t="s">
        <v>0</v>
      </c>
      <c r="C1672" s="7" t="s">
        <v>46</v>
      </c>
      <c r="D1672" s="8">
        <v>44713</v>
      </c>
      <c r="E1672" s="8" t="s">
        <v>0</v>
      </c>
      <c r="F1672" s="16" t="s">
        <v>5632</v>
      </c>
      <c r="G1672" s="7" t="s">
        <v>0</v>
      </c>
      <c r="H1672" s="7" t="s">
        <v>0</v>
      </c>
      <c r="I1672" s="7" t="s">
        <v>5629</v>
      </c>
      <c r="J1672" s="7" t="s">
        <v>5629</v>
      </c>
      <c r="K1672" s="7" t="s">
        <v>85</v>
      </c>
      <c r="L1672" s="7" t="s">
        <v>96</v>
      </c>
      <c r="M1672" s="7" t="s">
        <v>183</v>
      </c>
      <c r="N1672" s="7" t="s">
        <v>5628</v>
      </c>
      <c r="O1672" s="7" t="s">
        <v>0</v>
      </c>
      <c r="P1672" s="7" t="s">
        <v>5630</v>
      </c>
      <c r="Q1672" s="7" t="s">
        <v>5631</v>
      </c>
      <c r="R1672" s="7" t="s">
        <v>799</v>
      </c>
      <c r="S1672" s="7" t="s">
        <v>799</v>
      </c>
      <c r="T1672" s="7" t="s">
        <v>54</v>
      </c>
      <c r="U1672" s="7" t="s">
        <v>362</v>
      </c>
      <c r="V1672" s="7" t="s">
        <v>295</v>
      </c>
      <c r="W1672" s="7" t="s">
        <v>57</v>
      </c>
      <c r="X1672" s="7" t="s">
        <v>103</v>
      </c>
      <c r="Y1672" s="8">
        <v>44713</v>
      </c>
      <c r="Z1672" s="8">
        <v>44926</v>
      </c>
      <c r="AA1672" s="7" t="s">
        <v>296</v>
      </c>
      <c r="AB1672" s="7" t="s">
        <v>192</v>
      </c>
      <c r="AC1672" s="7" t="s">
        <v>79</v>
      </c>
      <c r="AD1672" s="7" t="s">
        <v>80</v>
      </c>
      <c r="AE1672" s="7" t="s">
        <v>193</v>
      </c>
      <c r="AF1672" s="7" t="s">
        <v>0</v>
      </c>
      <c r="AG1672" s="7" t="s">
        <v>0</v>
      </c>
      <c r="AH1672" s="9" t="s">
        <v>12557</v>
      </c>
      <c r="AI1672" s="9" t="s">
        <v>12558</v>
      </c>
      <c r="AJ1672" s="9" t="s">
        <v>12559</v>
      </c>
      <c r="AK1672" s="7" t="s">
        <v>61</v>
      </c>
      <c r="AL1672" s="7" t="s">
        <v>61</v>
      </c>
      <c r="AM1672" s="7" t="s">
        <v>0</v>
      </c>
      <c r="AN1672" s="7" t="s">
        <v>0</v>
      </c>
      <c r="AO1672" s="7" t="s">
        <v>0</v>
      </c>
      <c r="AP1672" s="7" t="s">
        <v>0</v>
      </c>
      <c r="AQ1672" s="7" t="s">
        <v>61</v>
      </c>
      <c r="AR1672" s="7" t="s">
        <v>0</v>
      </c>
      <c r="AS1672" s="10" t="str">
        <f>HYPERLINK("https://tessa.gazprom-neft.local/edo/card/5cd3df4a-c4ad-40d6-8ed9-541ab838229c", "https://tessa.gazprom-neft.local/edo/card/5cd3df4a-c4ad-40d6-8ed9-541ab838229c")</f>
        <v>https://tessa.gazprom-neft.local/edo/card/5cd3df4a-c4ad-40d6-8ed9-541ab838229c</v>
      </c>
    </row>
    <row r="1673" spans="1:45" hidden="1" x14ac:dyDescent="0.25">
      <c r="A1673" s="6" t="s">
        <v>44</v>
      </c>
      <c r="B1673" s="7" t="s">
        <v>0</v>
      </c>
      <c r="C1673" s="7" t="s">
        <v>67</v>
      </c>
      <c r="D1673" s="8">
        <v>44713</v>
      </c>
      <c r="E1673" s="8" t="s">
        <v>0</v>
      </c>
      <c r="F1673" s="16" t="s">
        <v>5632</v>
      </c>
      <c r="G1673" s="7" t="s">
        <v>0</v>
      </c>
      <c r="H1673" s="7" t="s">
        <v>0</v>
      </c>
      <c r="I1673" s="7" t="s">
        <v>5640</v>
      </c>
      <c r="J1673" s="7" t="s">
        <v>5640</v>
      </c>
      <c r="K1673" s="7" t="s">
        <v>47</v>
      </c>
      <c r="L1673" s="7" t="s">
        <v>96</v>
      </c>
      <c r="M1673" s="7" t="s">
        <v>0</v>
      </c>
      <c r="N1673" s="7" t="s">
        <v>5639</v>
      </c>
      <c r="O1673" s="7" t="s">
        <v>0</v>
      </c>
      <c r="P1673" s="7" t="s">
        <v>5641</v>
      </c>
      <c r="Q1673" s="7" t="s">
        <v>5641</v>
      </c>
      <c r="R1673" s="7" t="s">
        <v>799</v>
      </c>
      <c r="S1673" s="7" t="s">
        <v>799</v>
      </c>
      <c r="T1673" s="7" t="s">
        <v>54</v>
      </c>
      <c r="U1673" s="7" t="s">
        <v>303</v>
      </c>
      <c r="V1673" s="7" t="s">
        <v>91</v>
      </c>
      <c r="W1673" s="7" t="s">
        <v>57</v>
      </c>
      <c r="X1673" s="7" t="s">
        <v>223</v>
      </c>
      <c r="Y1673" s="8">
        <v>44713</v>
      </c>
      <c r="Z1673" s="8" t="s">
        <v>0</v>
      </c>
      <c r="AA1673" s="7" t="s">
        <v>92</v>
      </c>
      <c r="AB1673" s="7" t="s">
        <v>94</v>
      </c>
      <c r="AC1673" s="7" t="s">
        <v>65</v>
      </c>
      <c r="AD1673" s="7" t="s">
        <v>0</v>
      </c>
      <c r="AE1673" s="7" t="s">
        <v>0</v>
      </c>
      <c r="AF1673" s="7" t="s">
        <v>0</v>
      </c>
      <c r="AG1673" s="7" t="s">
        <v>0</v>
      </c>
      <c r="AH1673" s="9" t="s">
        <v>0</v>
      </c>
      <c r="AI1673" s="9" t="s">
        <v>0</v>
      </c>
      <c r="AJ1673" s="9" t="s">
        <v>0</v>
      </c>
      <c r="AK1673" s="7" t="s">
        <v>61</v>
      </c>
      <c r="AL1673" s="7" t="s">
        <v>61</v>
      </c>
      <c r="AM1673" s="7" t="s">
        <v>0</v>
      </c>
      <c r="AN1673" s="7" t="s">
        <v>0</v>
      </c>
      <c r="AO1673" s="7" t="s">
        <v>0</v>
      </c>
      <c r="AP1673" s="7" t="s">
        <v>0</v>
      </c>
      <c r="AQ1673" s="7" t="s">
        <v>61</v>
      </c>
      <c r="AR1673" s="7" t="s">
        <v>0</v>
      </c>
      <c r="AS1673" s="10" t="str">
        <f>HYPERLINK("https://tessa.gazprom-neft.local/edo/card/faf5b208-0444-4a1b-a1f2-de7ca0d26c3a", "https://tessa.gazprom-neft.local/edo/card/faf5b208-0444-4a1b-a1f2-de7ca0d26c3a")</f>
        <v>https://tessa.gazprom-neft.local/edo/card/faf5b208-0444-4a1b-a1f2-de7ca0d26c3a</v>
      </c>
    </row>
    <row r="1674" spans="1:45" hidden="1" x14ac:dyDescent="0.25">
      <c r="A1674" s="6" t="s">
        <v>44</v>
      </c>
      <c r="B1674" s="7" t="s">
        <v>60</v>
      </c>
      <c r="C1674" s="7" t="s">
        <v>67</v>
      </c>
      <c r="D1674" s="8">
        <v>44713</v>
      </c>
      <c r="E1674" s="8" t="s">
        <v>0</v>
      </c>
      <c r="F1674" s="16" t="s">
        <v>62</v>
      </c>
      <c r="G1674" s="7" t="s">
        <v>63</v>
      </c>
      <c r="H1674" s="7" t="s">
        <v>0</v>
      </c>
      <c r="I1674" s="7" t="s">
        <v>5887</v>
      </c>
      <c r="J1674" s="7" t="s">
        <v>5887</v>
      </c>
      <c r="K1674" s="7" t="s">
        <v>85</v>
      </c>
      <c r="L1674" s="7" t="s">
        <v>86</v>
      </c>
      <c r="M1674" s="7" t="s">
        <v>289</v>
      </c>
      <c r="N1674" s="7" t="s">
        <v>5886</v>
      </c>
      <c r="O1674" s="7" t="s">
        <v>0</v>
      </c>
      <c r="P1674" s="7" t="s">
        <v>289</v>
      </c>
      <c r="Q1674" s="7" t="s">
        <v>426</v>
      </c>
      <c r="R1674" s="7" t="s">
        <v>53</v>
      </c>
      <c r="S1674" s="7" t="s">
        <v>0</v>
      </c>
      <c r="T1674" s="7" t="s">
        <v>54</v>
      </c>
      <c r="U1674" s="7" t="s">
        <v>55</v>
      </c>
      <c r="V1674" s="7" t="s">
        <v>56</v>
      </c>
      <c r="W1674" s="7" t="s">
        <v>57</v>
      </c>
      <c r="X1674" s="7" t="s">
        <v>223</v>
      </c>
      <c r="Y1674" s="8">
        <v>44713</v>
      </c>
      <c r="Z1674" s="8" t="s">
        <v>0</v>
      </c>
      <c r="AA1674" s="7" t="s">
        <v>59</v>
      </c>
      <c r="AB1674" s="7" t="s">
        <v>300</v>
      </c>
      <c r="AC1674" s="7" t="s">
        <v>65</v>
      </c>
      <c r="AD1674" s="7" t="s">
        <v>0</v>
      </c>
      <c r="AE1674" s="7" t="s">
        <v>0</v>
      </c>
      <c r="AF1674" s="7" t="s">
        <v>0</v>
      </c>
      <c r="AG1674" s="7" t="s">
        <v>0</v>
      </c>
      <c r="AH1674" s="9" t="s">
        <v>0</v>
      </c>
      <c r="AI1674" s="9" t="s">
        <v>0</v>
      </c>
      <c r="AJ1674" s="9" t="s">
        <v>0</v>
      </c>
      <c r="AK1674" s="7" t="s">
        <v>61</v>
      </c>
      <c r="AL1674" s="7" t="s">
        <v>61</v>
      </c>
      <c r="AM1674" s="7" t="s">
        <v>0</v>
      </c>
      <c r="AN1674" s="7" t="s">
        <v>0</v>
      </c>
      <c r="AO1674" s="7" t="s">
        <v>0</v>
      </c>
      <c r="AP1674" s="7" t="s">
        <v>0</v>
      </c>
      <c r="AQ1674" s="7" t="s">
        <v>61</v>
      </c>
      <c r="AR1674" s="7" t="s">
        <v>0</v>
      </c>
      <c r="AS1674" s="10" t="str">
        <f>HYPERLINK("https://tessa.gazprom-neft.local/edo/card/14958912-2d69-42c3-be49-c23ca9e1c860", "https://tessa.gazprom-neft.local/edo/card/14958912-2d69-42c3-be49-c23ca9e1c860")</f>
        <v>https://tessa.gazprom-neft.local/edo/card/14958912-2d69-42c3-be49-c23ca9e1c860</v>
      </c>
    </row>
    <row r="1675" spans="1:45" x14ac:dyDescent="0.25">
      <c r="A1675" s="6" t="s">
        <v>44</v>
      </c>
      <c r="B1675" s="7" t="s">
        <v>297</v>
      </c>
      <c r="C1675" s="7" t="s">
        <v>67</v>
      </c>
      <c r="D1675" s="8">
        <v>44713</v>
      </c>
      <c r="E1675" s="8" t="s">
        <v>0</v>
      </c>
      <c r="F1675" s="16" t="s">
        <v>298</v>
      </c>
      <c r="G1675" s="7" t="s">
        <v>299</v>
      </c>
      <c r="H1675" s="7" t="s">
        <v>6074</v>
      </c>
      <c r="I1675" s="7" t="s">
        <v>0</v>
      </c>
      <c r="J1675" s="7" t="s">
        <v>271</v>
      </c>
      <c r="K1675" s="7" t="s">
        <v>85</v>
      </c>
      <c r="L1675" s="7" t="s">
        <v>48</v>
      </c>
      <c r="M1675" s="7" t="s">
        <v>5649</v>
      </c>
      <c r="N1675" s="7" t="s">
        <v>6073</v>
      </c>
      <c r="O1675" s="7" t="s">
        <v>0</v>
      </c>
      <c r="P1675" s="7" t="s">
        <v>5649</v>
      </c>
      <c r="Q1675" s="7" t="s">
        <v>6075</v>
      </c>
      <c r="R1675" s="7" t="s">
        <v>5166</v>
      </c>
      <c r="S1675" s="7" t="s">
        <v>5166</v>
      </c>
      <c r="T1675" s="7" t="s">
        <v>54</v>
      </c>
      <c r="U1675" s="7" t="s">
        <v>307</v>
      </c>
      <c r="V1675" s="7" t="s">
        <v>382</v>
      </c>
      <c r="W1675" s="7" t="s">
        <v>57</v>
      </c>
      <c r="X1675" s="7" t="s">
        <v>58</v>
      </c>
      <c r="Y1675" s="8">
        <v>44713</v>
      </c>
      <c r="Z1675" s="8" t="s">
        <v>0</v>
      </c>
      <c r="AA1675" s="7" t="s">
        <v>383</v>
      </c>
      <c r="AB1675" s="7" t="s">
        <v>130</v>
      </c>
      <c r="AC1675" s="7" t="s">
        <v>65</v>
      </c>
      <c r="AD1675" s="7" t="s">
        <v>0</v>
      </c>
      <c r="AE1675" s="7" t="s">
        <v>0</v>
      </c>
      <c r="AF1675" s="7" t="s">
        <v>0</v>
      </c>
      <c r="AG1675" s="7" t="s">
        <v>0</v>
      </c>
      <c r="AH1675" s="9" t="s">
        <v>0</v>
      </c>
      <c r="AI1675" s="9" t="s">
        <v>0</v>
      </c>
      <c r="AJ1675" s="9" t="s">
        <v>0</v>
      </c>
      <c r="AK1675" s="7" t="s">
        <v>61</v>
      </c>
      <c r="AL1675" s="7" t="s">
        <v>61</v>
      </c>
      <c r="AM1675" s="7" t="s">
        <v>0</v>
      </c>
      <c r="AN1675" s="7" t="s">
        <v>0</v>
      </c>
      <c r="AO1675" s="7" t="s">
        <v>0</v>
      </c>
      <c r="AP1675" s="7" t="s">
        <v>0</v>
      </c>
      <c r="AQ1675" s="7" t="s">
        <v>61</v>
      </c>
      <c r="AR1675" s="7" t="s">
        <v>0</v>
      </c>
      <c r="AS1675" s="10" t="str">
        <f>HYPERLINK("https://tessa.gazprom-neft.local/edo/card/4cbc9cd6-8eb3-429d-ad44-95340ee5521c", "https://tessa.gazprom-neft.local/edo/card/4cbc9cd6-8eb3-429d-ad44-95340ee5521c")</f>
        <v>https://tessa.gazprom-neft.local/edo/card/4cbc9cd6-8eb3-429d-ad44-95340ee5521c</v>
      </c>
    </row>
    <row r="1676" spans="1:45" hidden="1" x14ac:dyDescent="0.25">
      <c r="A1676" s="6" t="s">
        <v>44</v>
      </c>
      <c r="B1676" s="7" t="s">
        <v>753</v>
      </c>
      <c r="C1676" s="7" t="s">
        <v>46</v>
      </c>
      <c r="D1676" s="8">
        <v>44713</v>
      </c>
      <c r="E1676" s="8" t="s">
        <v>0</v>
      </c>
      <c r="F1676" s="16" t="s">
        <v>754</v>
      </c>
      <c r="G1676" s="7" t="s">
        <v>755</v>
      </c>
      <c r="H1676" s="7" t="s">
        <v>0</v>
      </c>
      <c r="I1676" s="7" t="s">
        <v>6092</v>
      </c>
      <c r="J1676" s="7" t="s">
        <v>6092</v>
      </c>
      <c r="K1676" s="7" t="s">
        <v>47</v>
      </c>
      <c r="L1676" s="7" t="s">
        <v>96</v>
      </c>
      <c r="M1676" s="7" t="s">
        <v>0</v>
      </c>
      <c r="N1676" s="7" t="s">
        <v>6091</v>
      </c>
      <c r="O1676" s="7" t="s">
        <v>0</v>
      </c>
      <c r="P1676" s="7" t="s">
        <v>6093</v>
      </c>
      <c r="Q1676" s="7" t="s">
        <v>402</v>
      </c>
      <c r="R1676" s="7" t="s">
        <v>361</v>
      </c>
      <c r="S1676" s="7" t="s">
        <v>361</v>
      </c>
      <c r="T1676" s="7" t="s">
        <v>54</v>
      </c>
      <c r="U1676" s="7" t="s">
        <v>362</v>
      </c>
      <c r="V1676" s="7" t="s">
        <v>295</v>
      </c>
      <c r="W1676" s="7" t="s">
        <v>74</v>
      </c>
      <c r="X1676" s="7" t="s">
        <v>103</v>
      </c>
      <c r="Y1676" s="8">
        <v>44713</v>
      </c>
      <c r="Z1676" s="8">
        <v>44926</v>
      </c>
      <c r="AA1676" s="7" t="s">
        <v>296</v>
      </c>
      <c r="AB1676" s="7" t="s">
        <v>366</v>
      </c>
      <c r="AC1676" s="7" t="s">
        <v>278</v>
      </c>
      <c r="AD1676" s="7" t="s">
        <v>367</v>
      </c>
      <c r="AE1676" s="7" t="s">
        <v>82</v>
      </c>
      <c r="AF1676" s="7" t="s">
        <v>0</v>
      </c>
      <c r="AG1676" s="7" t="s">
        <v>0</v>
      </c>
      <c r="AH1676" s="9" t="s">
        <v>12712</v>
      </c>
      <c r="AI1676" s="9" t="s">
        <v>12713</v>
      </c>
      <c r="AJ1676" s="9" t="s">
        <v>12714</v>
      </c>
      <c r="AK1676" s="7" t="s">
        <v>61</v>
      </c>
      <c r="AL1676" s="7" t="s">
        <v>61</v>
      </c>
      <c r="AM1676" s="7" t="s">
        <v>0</v>
      </c>
      <c r="AN1676" s="7" t="s">
        <v>0</v>
      </c>
      <c r="AO1676" s="7" t="s">
        <v>0</v>
      </c>
      <c r="AP1676" s="7" t="s">
        <v>0</v>
      </c>
      <c r="AQ1676" s="7" t="s">
        <v>61</v>
      </c>
      <c r="AR1676" s="7" t="s">
        <v>0</v>
      </c>
      <c r="AS1676" s="10" t="str">
        <f>HYPERLINK("https://tessa.gazprom-neft.local/edo/card/154024d5-b66f-44bb-9e09-a2f881f81922", "https://tessa.gazprom-neft.local/edo/card/154024d5-b66f-44bb-9e09-a2f881f81922")</f>
        <v>https://tessa.gazprom-neft.local/edo/card/154024d5-b66f-44bb-9e09-a2f881f81922</v>
      </c>
    </row>
    <row r="1677" spans="1:45" x14ac:dyDescent="0.25">
      <c r="A1677" s="6" t="s">
        <v>44</v>
      </c>
      <c r="B1677" s="7" t="s">
        <v>2823</v>
      </c>
      <c r="C1677" s="7" t="s">
        <v>67</v>
      </c>
      <c r="D1677" s="8">
        <v>44713</v>
      </c>
      <c r="E1677" s="8" t="s">
        <v>0</v>
      </c>
      <c r="F1677" s="16" t="s">
        <v>2824</v>
      </c>
      <c r="G1677" s="7" t="s">
        <v>944</v>
      </c>
      <c r="H1677" s="7" t="s">
        <v>2821</v>
      </c>
      <c r="I1677" s="7" t="s">
        <v>0</v>
      </c>
      <c r="J1677" s="7" t="s">
        <v>156</v>
      </c>
      <c r="K1677" s="7" t="s">
        <v>85</v>
      </c>
      <c r="L1677" s="7" t="s">
        <v>48</v>
      </c>
      <c r="M1677" s="7" t="s">
        <v>3833</v>
      </c>
      <c r="N1677" s="7" t="s">
        <v>6108</v>
      </c>
      <c r="O1677" s="7" t="s">
        <v>0</v>
      </c>
      <c r="P1677" s="7" t="s">
        <v>3833</v>
      </c>
      <c r="Q1677" s="7" t="s">
        <v>3835</v>
      </c>
      <c r="R1677" s="7" t="s">
        <v>1125</v>
      </c>
      <c r="S1677" s="7" t="s">
        <v>1125</v>
      </c>
      <c r="T1677" s="7" t="s">
        <v>54</v>
      </c>
      <c r="U1677" s="7" t="s">
        <v>188</v>
      </c>
      <c r="V1677" s="7" t="s">
        <v>187</v>
      </c>
      <c r="W1677" s="7" t="s">
        <v>57</v>
      </c>
      <c r="X1677" s="7" t="s">
        <v>223</v>
      </c>
      <c r="Y1677" s="8">
        <v>44713</v>
      </c>
      <c r="Z1677" s="8" t="s">
        <v>0</v>
      </c>
      <c r="AA1677" s="7" t="s">
        <v>922</v>
      </c>
      <c r="AB1677" s="7" t="s">
        <v>130</v>
      </c>
      <c r="AC1677" s="7" t="s">
        <v>65</v>
      </c>
      <c r="AD1677" s="7" t="s">
        <v>0</v>
      </c>
      <c r="AE1677" s="7" t="s">
        <v>0</v>
      </c>
      <c r="AF1677" s="7" t="s">
        <v>0</v>
      </c>
      <c r="AG1677" s="7" t="s">
        <v>0</v>
      </c>
      <c r="AH1677" s="9" t="s">
        <v>0</v>
      </c>
      <c r="AI1677" s="9" t="s">
        <v>0</v>
      </c>
      <c r="AJ1677" s="9" t="s">
        <v>0</v>
      </c>
      <c r="AK1677" s="7" t="s">
        <v>61</v>
      </c>
      <c r="AL1677" s="7" t="s">
        <v>61</v>
      </c>
      <c r="AM1677" s="7" t="s">
        <v>0</v>
      </c>
      <c r="AN1677" s="7" t="s">
        <v>0</v>
      </c>
      <c r="AO1677" s="7" t="s">
        <v>0</v>
      </c>
      <c r="AP1677" s="7" t="s">
        <v>0</v>
      </c>
      <c r="AQ1677" s="7" t="s">
        <v>61</v>
      </c>
      <c r="AR1677" s="7" t="s">
        <v>0</v>
      </c>
      <c r="AS1677" s="10" t="str">
        <f>HYPERLINK("https://tessa.gazprom-neft.local/edo/card/d0735b90-c3f2-4d9b-85d3-52b91f744702", "https://tessa.gazprom-neft.local/edo/card/d0735b90-c3f2-4d9b-85d3-52b91f744702")</f>
        <v>https://tessa.gazprom-neft.local/edo/card/d0735b90-c3f2-4d9b-85d3-52b91f744702</v>
      </c>
    </row>
    <row r="1678" spans="1:45" x14ac:dyDescent="0.25">
      <c r="A1678" s="6" t="s">
        <v>44</v>
      </c>
      <c r="B1678" s="7" t="s">
        <v>964</v>
      </c>
      <c r="C1678" s="7" t="s">
        <v>67</v>
      </c>
      <c r="D1678" s="8">
        <v>44713</v>
      </c>
      <c r="E1678" s="8" t="s">
        <v>0</v>
      </c>
      <c r="F1678" s="16" t="s">
        <v>965</v>
      </c>
      <c r="G1678" s="7" t="s">
        <v>966</v>
      </c>
      <c r="H1678" s="7" t="s">
        <v>5837</v>
      </c>
      <c r="I1678" s="7" t="s">
        <v>0</v>
      </c>
      <c r="J1678" s="7" t="s">
        <v>6152</v>
      </c>
      <c r="K1678" s="7" t="s">
        <v>47</v>
      </c>
      <c r="L1678" s="7" t="s">
        <v>48</v>
      </c>
      <c r="M1678" s="7" t="s">
        <v>0</v>
      </c>
      <c r="N1678" s="7" t="s">
        <v>6150</v>
      </c>
      <c r="O1678" s="7" t="s">
        <v>0</v>
      </c>
      <c r="P1678" s="7" t="s">
        <v>6151</v>
      </c>
      <c r="Q1678" s="7" t="s">
        <v>6153</v>
      </c>
      <c r="R1678" s="7" t="s">
        <v>659</v>
      </c>
      <c r="S1678" s="7" t="s">
        <v>1120</v>
      </c>
      <c r="T1678" s="7" t="s">
        <v>54</v>
      </c>
      <c r="U1678" s="7" t="s">
        <v>362</v>
      </c>
      <c r="V1678" s="7" t="s">
        <v>295</v>
      </c>
      <c r="W1678" s="7" t="s">
        <v>57</v>
      </c>
      <c r="X1678" s="7" t="s">
        <v>103</v>
      </c>
      <c r="Y1678" s="8">
        <v>44713</v>
      </c>
      <c r="Z1678" s="8">
        <v>44926</v>
      </c>
      <c r="AA1678" s="7" t="s">
        <v>296</v>
      </c>
      <c r="AB1678" s="7" t="s">
        <v>130</v>
      </c>
      <c r="AC1678" s="7" t="s">
        <v>79</v>
      </c>
      <c r="AD1678" s="7" t="s">
        <v>80</v>
      </c>
      <c r="AE1678" s="7" t="s">
        <v>82</v>
      </c>
      <c r="AF1678" s="7" t="s">
        <v>0</v>
      </c>
      <c r="AG1678" s="7" t="s">
        <v>0</v>
      </c>
      <c r="AH1678" s="9">
        <v>0.01</v>
      </c>
      <c r="AI1678" s="9">
        <v>0.01</v>
      </c>
      <c r="AJ1678" s="9">
        <v>0</v>
      </c>
      <c r="AK1678" s="7" t="s">
        <v>61</v>
      </c>
      <c r="AL1678" s="7" t="s">
        <v>61</v>
      </c>
      <c r="AM1678" s="7" t="s">
        <v>0</v>
      </c>
      <c r="AN1678" s="7" t="s">
        <v>0</v>
      </c>
      <c r="AO1678" s="7" t="s">
        <v>0</v>
      </c>
      <c r="AP1678" s="7" t="s">
        <v>0</v>
      </c>
      <c r="AQ1678" s="7" t="s">
        <v>61</v>
      </c>
      <c r="AR1678" s="7" t="s">
        <v>0</v>
      </c>
      <c r="AS1678" s="10" t="str">
        <f>HYPERLINK("https://tessa.gazprom-neft.local/edo/card/adacc602-cca5-4ec0-a5d5-acff3f722c3a", "https://tessa.gazprom-neft.local/edo/card/adacc602-cca5-4ec0-a5d5-acff3f722c3a")</f>
        <v>https://tessa.gazprom-neft.local/edo/card/adacc602-cca5-4ec0-a5d5-acff3f722c3a</v>
      </c>
    </row>
    <row r="1679" spans="1:45" hidden="1" x14ac:dyDescent="0.25">
      <c r="A1679" s="6" t="s">
        <v>44</v>
      </c>
      <c r="B1679" s="7" t="s">
        <v>384</v>
      </c>
      <c r="C1679" s="7" t="s">
        <v>46</v>
      </c>
      <c r="D1679" s="8">
        <v>44713</v>
      </c>
      <c r="E1679" s="8" t="s">
        <v>0</v>
      </c>
      <c r="F1679" s="16" t="s">
        <v>385</v>
      </c>
      <c r="G1679" s="7" t="s">
        <v>386</v>
      </c>
      <c r="H1679" s="7" t="s">
        <v>0</v>
      </c>
      <c r="I1679" s="7" t="s">
        <v>6160</v>
      </c>
      <c r="J1679" s="7" t="s">
        <v>6160</v>
      </c>
      <c r="K1679" s="7" t="s">
        <v>85</v>
      </c>
      <c r="L1679" s="7" t="s">
        <v>86</v>
      </c>
      <c r="M1679" s="7" t="s">
        <v>289</v>
      </c>
      <c r="N1679" s="7" t="s">
        <v>6159</v>
      </c>
      <c r="O1679" s="7" t="s">
        <v>0</v>
      </c>
      <c r="P1679" s="7" t="s">
        <v>289</v>
      </c>
      <c r="Q1679" s="7" t="s">
        <v>941</v>
      </c>
      <c r="R1679" s="7" t="s">
        <v>220</v>
      </c>
      <c r="S1679" s="7" t="s">
        <v>220</v>
      </c>
      <c r="T1679" s="7" t="s">
        <v>54</v>
      </c>
      <c r="U1679" s="7" t="s">
        <v>222</v>
      </c>
      <c r="V1679" s="7" t="s">
        <v>382</v>
      </c>
      <c r="W1679" s="7" t="s">
        <v>57</v>
      </c>
      <c r="X1679" s="7" t="s">
        <v>223</v>
      </c>
      <c r="Y1679" s="8">
        <v>44713</v>
      </c>
      <c r="Z1679" s="8" t="s">
        <v>0</v>
      </c>
      <c r="AA1679" s="7" t="s">
        <v>383</v>
      </c>
      <c r="AB1679" s="7" t="s">
        <v>300</v>
      </c>
      <c r="AC1679" s="7" t="s">
        <v>65</v>
      </c>
      <c r="AD1679" s="7" t="s">
        <v>80</v>
      </c>
      <c r="AE1679" s="7" t="s">
        <v>0</v>
      </c>
      <c r="AF1679" s="7" t="s">
        <v>0</v>
      </c>
      <c r="AG1679" s="7" t="s">
        <v>0</v>
      </c>
      <c r="AH1679" s="9" t="s">
        <v>0</v>
      </c>
      <c r="AI1679" s="9" t="s">
        <v>0</v>
      </c>
      <c r="AJ1679" s="9" t="s">
        <v>0</v>
      </c>
      <c r="AK1679" s="7" t="s">
        <v>61</v>
      </c>
      <c r="AL1679" s="7" t="s">
        <v>61</v>
      </c>
      <c r="AM1679" s="7" t="s">
        <v>0</v>
      </c>
      <c r="AN1679" s="7" t="s">
        <v>0</v>
      </c>
      <c r="AO1679" s="7" t="s">
        <v>0</v>
      </c>
      <c r="AP1679" s="7" t="s">
        <v>0</v>
      </c>
      <c r="AQ1679" s="7" t="s">
        <v>61</v>
      </c>
      <c r="AR1679" s="7" t="s">
        <v>0</v>
      </c>
      <c r="AS1679" s="10" t="str">
        <f>HYPERLINK("https://tessa.gazprom-neft.local/edo/card/ce972f3e-2175-4de6-9e2b-675c5ea84a9c", "https://tessa.gazprom-neft.local/edo/card/ce972f3e-2175-4de6-9e2b-675c5ea84a9c")</f>
        <v>https://tessa.gazprom-neft.local/edo/card/ce972f3e-2175-4de6-9e2b-675c5ea84a9c</v>
      </c>
    </row>
    <row r="1680" spans="1:45" x14ac:dyDescent="0.25">
      <c r="A1680" s="6" t="s">
        <v>44</v>
      </c>
      <c r="B1680" s="7" t="s">
        <v>2595</v>
      </c>
      <c r="C1680" s="7" t="s">
        <v>67</v>
      </c>
      <c r="D1680" s="8">
        <v>44713</v>
      </c>
      <c r="E1680" s="8" t="s">
        <v>0</v>
      </c>
      <c r="F1680" s="16" t="s">
        <v>2596</v>
      </c>
      <c r="G1680" s="7" t="s">
        <v>2597</v>
      </c>
      <c r="H1680" s="7" t="s">
        <v>2548</v>
      </c>
      <c r="I1680" s="7" t="s">
        <v>0</v>
      </c>
      <c r="J1680" s="7" t="s">
        <v>271</v>
      </c>
      <c r="K1680" s="7" t="s">
        <v>85</v>
      </c>
      <c r="L1680" s="7" t="s">
        <v>48</v>
      </c>
      <c r="M1680" s="7" t="s">
        <v>2128</v>
      </c>
      <c r="N1680" s="7" t="s">
        <v>6181</v>
      </c>
      <c r="O1680" s="7" t="s">
        <v>0</v>
      </c>
      <c r="P1680" s="7" t="s">
        <v>2128</v>
      </c>
      <c r="Q1680" s="7" t="s">
        <v>6182</v>
      </c>
      <c r="R1680" s="7" t="s">
        <v>2594</v>
      </c>
      <c r="S1680" s="7" t="s">
        <v>2594</v>
      </c>
      <c r="T1680" s="7" t="s">
        <v>54</v>
      </c>
      <c r="U1680" s="7" t="s">
        <v>199</v>
      </c>
      <c r="V1680" s="7" t="s">
        <v>211</v>
      </c>
      <c r="W1680" s="7" t="s">
        <v>74</v>
      </c>
      <c r="X1680" s="7" t="s">
        <v>103</v>
      </c>
      <c r="Y1680" s="8">
        <v>44713</v>
      </c>
      <c r="Z1680" s="8">
        <v>45000</v>
      </c>
      <c r="AA1680" s="7" t="s">
        <v>212</v>
      </c>
      <c r="AB1680" s="7" t="s">
        <v>130</v>
      </c>
      <c r="AC1680" s="7" t="s">
        <v>65</v>
      </c>
      <c r="AD1680" s="7" t="s">
        <v>80</v>
      </c>
      <c r="AE1680" s="7" t="s">
        <v>0</v>
      </c>
      <c r="AF1680" s="7" t="s">
        <v>0</v>
      </c>
      <c r="AG1680" s="7" t="s">
        <v>0</v>
      </c>
      <c r="AH1680" s="9" t="s">
        <v>0</v>
      </c>
      <c r="AI1680" s="9" t="s">
        <v>0</v>
      </c>
      <c r="AJ1680" s="9" t="s">
        <v>0</v>
      </c>
      <c r="AK1680" s="7" t="s">
        <v>61</v>
      </c>
      <c r="AL1680" s="7" t="s">
        <v>61</v>
      </c>
      <c r="AM1680" s="7" t="s">
        <v>0</v>
      </c>
      <c r="AN1680" s="7" t="s">
        <v>0</v>
      </c>
      <c r="AO1680" s="7" t="s">
        <v>0</v>
      </c>
      <c r="AP1680" s="7" t="s">
        <v>0</v>
      </c>
      <c r="AQ1680" s="7" t="s">
        <v>61</v>
      </c>
      <c r="AR1680" s="7" t="s">
        <v>0</v>
      </c>
      <c r="AS1680" s="10" t="str">
        <f>HYPERLINK("https://tessa.gazprom-neft.local/edo/card/31909b4a-e426-4a0e-9e61-13b101f1b735", "https://tessa.gazprom-neft.local/edo/card/31909b4a-e426-4a0e-9e61-13b101f1b735")</f>
        <v>https://tessa.gazprom-neft.local/edo/card/31909b4a-e426-4a0e-9e61-13b101f1b735</v>
      </c>
    </row>
    <row r="1681" spans="1:45" x14ac:dyDescent="0.25">
      <c r="A1681" s="6" t="s">
        <v>44</v>
      </c>
      <c r="B1681" s="7" t="s">
        <v>2898</v>
      </c>
      <c r="C1681" s="7" t="s">
        <v>67</v>
      </c>
      <c r="D1681" s="8">
        <v>44713</v>
      </c>
      <c r="E1681" s="8" t="s">
        <v>0</v>
      </c>
      <c r="F1681" s="16" t="s">
        <v>2899</v>
      </c>
      <c r="G1681" s="7" t="s">
        <v>2900</v>
      </c>
      <c r="H1681" s="7" t="s">
        <v>6231</v>
      </c>
      <c r="I1681" s="7" t="s">
        <v>0</v>
      </c>
      <c r="J1681" s="7" t="s">
        <v>271</v>
      </c>
      <c r="K1681" s="7" t="s">
        <v>85</v>
      </c>
      <c r="L1681" s="7" t="s">
        <v>48</v>
      </c>
      <c r="M1681" s="7" t="s">
        <v>2128</v>
      </c>
      <c r="N1681" s="7" t="s">
        <v>6230</v>
      </c>
      <c r="O1681" s="7" t="s">
        <v>0</v>
      </c>
      <c r="P1681" s="7" t="s">
        <v>2128</v>
      </c>
      <c r="Q1681" s="7" t="s">
        <v>6232</v>
      </c>
      <c r="R1681" s="7" t="s">
        <v>1256</v>
      </c>
      <c r="S1681" s="7" t="s">
        <v>1256</v>
      </c>
      <c r="T1681" s="7" t="s">
        <v>54</v>
      </c>
      <c r="U1681" s="7" t="s">
        <v>591</v>
      </c>
      <c r="V1681" s="7" t="s">
        <v>382</v>
      </c>
      <c r="W1681" s="7" t="s">
        <v>57</v>
      </c>
      <c r="X1681" s="7" t="s">
        <v>223</v>
      </c>
      <c r="Y1681" s="8">
        <v>44713</v>
      </c>
      <c r="Z1681" s="8" t="s">
        <v>0</v>
      </c>
      <c r="AA1681" s="7" t="s">
        <v>383</v>
      </c>
      <c r="AB1681" s="7" t="s">
        <v>387</v>
      </c>
      <c r="AC1681" s="7" t="s">
        <v>65</v>
      </c>
      <c r="AD1681" s="7" t="s">
        <v>0</v>
      </c>
      <c r="AE1681" s="7" t="s">
        <v>0</v>
      </c>
      <c r="AF1681" s="7" t="s">
        <v>0</v>
      </c>
      <c r="AG1681" s="7" t="s">
        <v>0</v>
      </c>
      <c r="AH1681" s="9" t="s">
        <v>0</v>
      </c>
      <c r="AI1681" s="9" t="s">
        <v>0</v>
      </c>
      <c r="AJ1681" s="9" t="s">
        <v>0</v>
      </c>
      <c r="AK1681" s="7" t="s">
        <v>61</v>
      </c>
      <c r="AL1681" s="7" t="s">
        <v>61</v>
      </c>
      <c r="AM1681" s="7" t="s">
        <v>0</v>
      </c>
      <c r="AN1681" s="7" t="s">
        <v>0</v>
      </c>
      <c r="AO1681" s="7" t="s">
        <v>0</v>
      </c>
      <c r="AP1681" s="7" t="s">
        <v>0</v>
      </c>
      <c r="AQ1681" s="7" t="s">
        <v>61</v>
      </c>
      <c r="AR1681" s="7" t="s">
        <v>0</v>
      </c>
      <c r="AS1681" s="10" t="str">
        <f>HYPERLINK("https://tessa.gazprom-neft.local/edo/card/dcf8a287-0025-48dd-a880-2acc147f6121", "https://tessa.gazprom-neft.local/edo/card/dcf8a287-0025-48dd-a880-2acc147f6121")</f>
        <v>https://tessa.gazprom-neft.local/edo/card/dcf8a287-0025-48dd-a880-2acc147f6121</v>
      </c>
    </row>
    <row r="1682" spans="1:45" x14ac:dyDescent="0.25">
      <c r="A1682" s="6" t="s">
        <v>44</v>
      </c>
      <c r="B1682" s="7" t="s">
        <v>2898</v>
      </c>
      <c r="C1682" s="7" t="s">
        <v>67</v>
      </c>
      <c r="D1682" s="8">
        <v>44713</v>
      </c>
      <c r="E1682" s="8" t="s">
        <v>0</v>
      </c>
      <c r="F1682" s="16" t="s">
        <v>2899</v>
      </c>
      <c r="G1682" s="7" t="s">
        <v>2900</v>
      </c>
      <c r="H1682" s="7" t="s">
        <v>6241</v>
      </c>
      <c r="I1682" s="7" t="s">
        <v>0</v>
      </c>
      <c r="J1682" s="7" t="s">
        <v>51</v>
      </c>
      <c r="K1682" s="7" t="s">
        <v>85</v>
      </c>
      <c r="L1682" s="7" t="s">
        <v>48</v>
      </c>
      <c r="M1682" s="7" t="s">
        <v>2128</v>
      </c>
      <c r="N1682" s="7" t="s">
        <v>6240</v>
      </c>
      <c r="O1682" s="7" t="s">
        <v>0</v>
      </c>
      <c r="P1682" s="7" t="s">
        <v>2128</v>
      </c>
      <c r="Q1682" s="7" t="s">
        <v>6232</v>
      </c>
      <c r="R1682" s="7" t="s">
        <v>1256</v>
      </c>
      <c r="S1682" s="7" t="s">
        <v>1256</v>
      </c>
      <c r="T1682" s="7" t="s">
        <v>54</v>
      </c>
      <c r="U1682" s="7" t="s">
        <v>591</v>
      </c>
      <c r="V1682" s="7" t="s">
        <v>382</v>
      </c>
      <c r="W1682" s="7" t="s">
        <v>57</v>
      </c>
      <c r="X1682" s="7" t="s">
        <v>223</v>
      </c>
      <c r="Y1682" s="8">
        <v>44713</v>
      </c>
      <c r="Z1682" s="8" t="s">
        <v>0</v>
      </c>
      <c r="AA1682" s="7" t="s">
        <v>383</v>
      </c>
      <c r="AB1682" s="7" t="s">
        <v>387</v>
      </c>
      <c r="AC1682" s="7" t="s">
        <v>65</v>
      </c>
      <c r="AD1682" s="7" t="s">
        <v>0</v>
      </c>
      <c r="AE1682" s="7" t="s">
        <v>0</v>
      </c>
      <c r="AF1682" s="7" t="s">
        <v>0</v>
      </c>
      <c r="AG1682" s="7" t="s">
        <v>0</v>
      </c>
      <c r="AH1682" s="9" t="s">
        <v>0</v>
      </c>
      <c r="AI1682" s="9" t="s">
        <v>0</v>
      </c>
      <c r="AJ1682" s="9" t="s">
        <v>0</v>
      </c>
      <c r="AK1682" s="7" t="s">
        <v>61</v>
      </c>
      <c r="AL1682" s="7" t="s">
        <v>61</v>
      </c>
      <c r="AM1682" s="7" t="s">
        <v>0</v>
      </c>
      <c r="AN1682" s="7" t="s">
        <v>0</v>
      </c>
      <c r="AO1682" s="7" t="s">
        <v>0</v>
      </c>
      <c r="AP1682" s="7" t="s">
        <v>0</v>
      </c>
      <c r="AQ1682" s="7" t="s">
        <v>61</v>
      </c>
      <c r="AR1682" s="7" t="s">
        <v>0</v>
      </c>
      <c r="AS1682" s="10" t="str">
        <f>HYPERLINK("https://tessa.gazprom-neft.local/edo/card/2d4dea20-fc33-4e39-aa21-32252ee1ec33", "https://tessa.gazprom-neft.local/edo/card/2d4dea20-fc33-4e39-aa21-32252ee1ec33")</f>
        <v>https://tessa.gazprom-neft.local/edo/card/2d4dea20-fc33-4e39-aa21-32252ee1ec33</v>
      </c>
    </row>
    <row r="1683" spans="1:45" x14ac:dyDescent="0.25">
      <c r="A1683" s="6" t="s">
        <v>44</v>
      </c>
      <c r="B1683" s="7" t="s">
        <v>384</v>
      </c>
      <c r="C1683" s="7" t="s">
        <v>67</v>
      </c>
      <c r="D1683" s="8">
        <v>44713</v>
      </c>
      <c r="E1683" s="8" t="s">
        <v>0</v>
      </c>
      <c r="F1683" s="16" t="s">
        <v>385</v>
      </c>
      <c r="G1683" s="7" t="s">
        <v>386</v>
      </c>
      <c r="H1683" s="7" t="s">
        <v>378</v>
      </c>
      <c r="I1683" s="7" t="s">
        <v>0</v>
      </c>
      <c r="J1683" s="7" t="s">
        <v>271</v>
      </c>
      <c r="K1683" s="7" t="s">
        <v>85</v>
      </c>
      <c r="L1683" s="7" t="s">
        <v>48</v>
      </c>
      <c r="M1683" s="7" t="s">
        <v>3833</v>
      </c>
      <c r="N1683" s="7" t="s">
        <v>6276</v>
      </c>
      <c r="O1683" s="7" t="s">
        <v>0</v>
      </c>
      <c r="P1683" s="7" t="s">
        <v>3833</v>
      </c>
      <c r="Q1683" s="7" t="s">
        <v>6277</v>
      </c>
      <c r="R1683" s="7" t="s">
        <v>220</v>
      </c>
      <c r="S1683" s="7" t="s">
        <v>220</v>
      </c>
      <c r="T1683" s="7" t="s">
        <v>54</v>
      </c>
      <c r="U1683" s="7" t="s">
        <v>222</v>
      </c>
      <c r="V1683" s="7" t="s">
        <v>382</v>
      </c>
      <c r="W1683" s="7" t="s">
        <v>57</v>
      </c>
      <c r="X1683" s="7" t="s">
        <v>58</v>
      </c>
      <c r="Y1683" s="8">
        <v>44713</v>
      </c>
      <c r="Z1683" s="8" t="s">
        <v>0</v>
      </c>
      <c r="AA1683" s="7" t="s">
        <v>383</v>
      </c>
      <c r="AB1683" s="7" t="s">
        <v>387</v>
      </c>
      <c r="AC1683" s="7" t="s">
        <v>65</v>
      </c>
      <c r="AD1683" s="7" t="s">
        <v>0</v>
      </c>
      <c r="AE1683" s="7" t="s">
        <v>0</v>
      </c>
      <c r="AF1683" s="7" t="s">
        <v>0</v>
      </c>
      <c r="AG1683" s="7" t="s">
        <v>0</v>
      </c>
      <c r="AH1683" s="9" t="s">
        <v>0</v>
      </c>
      <c r="AI1683" s="9" t="s">
        <v>0</v>
      </c>
      <c r="AJ1683" s="9" t="s">
        <v>0</v>
      </c>
      <c r="AK1683" s="7" t="s">
        <v>61</v>
      </c>
      <c r="AL1683" s="7" t="s">
        <v>61</v>
      </c>
      <c r="AM1683" s="7" t="s">
        <v>0</v>
      </c>
      <c r="AN1683" s="7" t="s">
        <v>0</v>
      </c>
      <c r="AO1683" s="7" t="s">
        <v>0</v>
      </c>
      <c r="AP1683" s="7" t="s">
        <v>0</v>
      </c>
      <c r="AQ1683" s="7" t="s">
        <v>61</v>
      </c>
      <c r="AR1683" s="7" t="s">
        <v>0</v>
      </c>
      <c r="AS1683" s="10" t="str">
        <f>HYPERLINK("https://tessa.gazprom-neft.local/edo/card/a064ef14-4fbf-4f1f-ad08-6a8e38a0fad0", "https://tessa.gazprom-neft.local/edo/card/a064ef14-4fbf-4f1f-ad08-6a8e38a0fad0")</f>
        <v>https://tessa.gazprom-neft.local/edo/card/a064ef14-4fbf-4f1f-ad08-6a8e38a0fad0</v>
      </c>
    </row>
    <row r="1684" spans="1:45" hidden="1" x14ac:dyDescent="0.25">
      <c r="A1684" s="6" t="s">
        <v>44</v>
      </c>
      <c r="B1684" s="7" t="s">
        <v>6301</v>
      </c>
      <c r="C1684" s="7" t="s">
        <v>67</v>
      </c>
      <c r="D1684" s="8">
        <v>44713</v>
      </c>
      <c r="E1684" s="8" t="s">
        <v>0</v>
      </c>
      <c r="F1684" s="16" t="s">
        <v>6302</v>
      </c>
      <c r="G1684" s="7" t="s">
        <v>6303</v>
      </c>
      <c r="H1684" s="7" t="s">
        <v>0</v>
      </c>
      <c r="I1684" s="7" t="s">
        <v>6298</v>
      </c>
      <c r="J1684" s="7" t="s">
        <v>6298</v>
      </c>
      <c r="K1684" s="7" t="s">
        <v>47</v>
      </c>
      <c r="L1684" s="7" t="s">
        <v>96</v>
      </c>
      <c r="M1684" s="7" t="s">
        <v>0</v>
      </c>
      <c r="N1684" s="7" t="s">
        <v>6297</v>
      </c>
      <c r="O1684" s="7" t="s">
        <v>0</v>
      </c>
      <c r="P1684" s="7" t="s">
        <v>6299</v>
      </c>
      <c r="Q1684" s="7" t="s">
        <v>6300</v>
      </c>
      <c r="R1684" s="7" t="s">
        <v>2079</v>
      </c>
      <c r="S1684" s="7" t="s">
        <v>2079</v>
      </c>
      <c r="T1684" s="7" t="s">
        <v>54</v>
      </c>
      <c r="U1684" s="7" t="s">
        <v>307</v>
      </c>
      <c r="V1684" s="7" t="s">
        <v>56</v>
      </c>
      <c r="W1684" s="7" t="s">
        <v>57</v>
      </c>
      <c r="X1684" s="7" t="s">
        <v>103</v>
      </c>
      <c r="Y1684" s="8">
        <v>44713</v>
      </c>
      <c r="Z1684" s="8">
        <v>45443</v>
      </c>
      <c r="AA1684" s="7" t="s">
        <v>59</v>
      </c>
      <c r="AB1684" s="7" t="s">
        <v>64</v>
      </c>
      <c r="AC1684" s="7" t="s">
        <v>79</v>
      </c>
      <c r="AD1684" s="7" t="s">
        <v>514</v>
      </c>
      <c r="AE1684" s="7" t="s">
        <v>82</v>
      </c>
      <c r="AF1684" s="7" t="s">
        <v>0</v>
      </c>
      <c r="AG1684" s="7" t="s">
        <v>0</v>
      </c>
      <c r="AH1684" s="9" t="s">
        <v>12791</v>
      </c>
      <c r="AI1684" s="9" t="s">
        <v>12792</v>
      </c>
      <c r="AJ1684" s="9" t="s">
        <v>12793</v>
      </c>
      <c r="AK1684" s="7" t="s">
        <v>61</v>
      </c>
      <c r="AL1684" s="7" t="s">
        <v>61</v>
      </c>
      <c r="AM1684" s="7" t="s">
        <v>0</v>
      </c>
      <c r="AN1684" s="7" t="s">
        <v>0</v>
      </c>
      <c r="AO1684" s="7" t="s">
        <v>0</v>
      </c>
      <c r="AP1684" s="7" t="s">
        <v>0</v>
      </c>
      <c r="AQ1684" s="7" t="s">
        <v>61</v>
      </c>
      <c r="AR1684" s="7" t="s">
        <v>0</v>
      </c>
      <c r="AS1684" s="10" t="str">
        <f>HYPERLINK("https://tessa.gazprom-neft.local/edo/card/60c2bcda-b65a-4601-9477-6cb21a628e07", "https://tessa.gazprom-neft.local/edo/card/60c2bcda-b65a-4601-9477-6cb21a628e07")</f>
        <v>https://tessa.gazprom-neft.local/edo/card/60c2bcda-b65a-4601-9477-6cb21a628e07</v>
      </c>
    </row>
    <row r="1685" spans="1:45" hidden="1" x14ac:dyDescent="0.25">
      <c r="A1685" s="6" t="s">
        <v>44</v>
      </c>
      <c r="B1685" s="7" t="s">
        <v>0</v>
      </c>
      <c r="C1685" s="7" t="s">
        <v>46</v>
      </c>
      <c r="D1685" s="8">
        <v>44713</v>
      </c>
      <c r="E1685" s="8" t="s">
        <v>0</v>
      </c>
      <c r="F1685" s="16" t="s">
        <v>6327</v>
      </c>
      <c r="G1685" s="7" t="s">
        <v>0</v>
      </c>
      <c r="H1685" s="7" t="s">
        <v>0</v>
      </c>
      <c r="I1685" s="7" t="s">
        <v>6324</v>
      </c>
      <c r="J1685" s="7" t="s">
        <v>6324</v>
      </c>
      <c r="K1685" s="7" t="s">
        <v>47</v>
      </c>
      <c r="L1685" s="7" t="s">
        <v>96</v>
      </c>
      <c r="M1685" s="7" t="s">
        <v>0</v>
      </c>
      <c r="N1685" s="7" t="s">
        <v>6323</v>
      </c>
      <c r="O1685" s="7" t="s">
        <v>0</v>
      </c>
      <c r="P1685" s="7" t="s">
        <v>6325</v>
      </c>
      <c r="Q1685" s="7" t="s">
        <v>6326</v>
      </c>
      <c r="R1685" s="7" t="s">
        <v>2702</v>
      </c>
      <c r="S1685" s="7" t="s">
        <v>2702</v>
      </c>
      <c r="T1685" s="7" t="s">
        <v>54</v>
      </c>
      <c r="U1685" s="7" t="s">
        <v>1464</v>
      </c>
      <c r="V1685" s="7" t="s">
        <v>864</v>
      </c>
      <c r="W1685" s="7" t="s">
        <v>57</v>
      </c>
      <c r="X1685" s="7" t="s">
        <v>103</v>
      </c>
      <c r="Y1685" s="8">
        <v>44713</v>
      </c>
      <c r="Z1685" s="8">
        <v>44737</v>
      </c>
      <c r="AA1685" s="7" t="s">
        <v>1343</v>
      </c>
      <c r="AB1685" s="7" t="s">
        <v>6328</v>
      </c>
      <c r="AC1685" s="7" t="s">
        <v>79</v>
      </c>
      <c r="AD1685" s="7" t="s">
        <v>80</v>
      </c>
      <c r="AE1685" s="7" t="s">
        <v>82</v>
      </c>
      <c r="AF1685" s="7" t="s">
        <v>0</v>
      </c>
      <c r="AG1685" s="7" t="s">
        <v>0</v>
      </c>
      <c r="AH1685" s="9" t="s">
        <v>12807</v>
      </c>
      <c r="AI1685" s="9" t="s">
        <v>12808</v>
      </c>
      <c r="AJ1685" s="9" t="s">
        <v>12809</v>
      </c>
      <c r="AK1685" s="7" t="s">
        <v>61</v>
      </c>
      <c r="AL1685" s="7" t="s">
        <v>81</v>
      </c>
      <c r="AM1685" s="7" t="s">
        <v>1410</v>
      </c>
      <c r="AN1685" s="7" t="s">
        <v>6329</v>
      </c>
      <c r="AO1685" s="7" t="s">
        <v>0</v>
      </c>
      <c r="AP1685" s="7" t="s">
        <v>0</v>
      </c>
      <c r="AQ1685" s="7" t="s">
        <v>61</v>
      </c>
      <c r="AR1685" s="7" t="s">
        <v>0</v>
      </c>
      <c r="AS1685" s="10" t="str">
        <f>HYPERLINK("https://tessa.gazprom-neft.local/edo/card/533132fc-9043-40aa-8c47-3779845c0332", "https://tessa.gazprom-neft.local/edo/card/533132fc-9043-40aa-8c47-3779845c0332")</f>
        <v>https://tessa.gazprom-neft.local/edo/card/533132fc-9043-40aa-8c47-3779845c0332</v>
      </c>
    </row>
    <row r="1686" spans="1:45" hidden="1" x14ac:dyDescent="0.25">
      <c r="A1686" s="6" t="s">
        <v>44</v>
      </c>
      <c r="B1686" s="7" t="s">
        <v>988</v>
      </c>
      <c r="C1686" s="7" t="s">
        <v>67</v>
      </c>
      <c r="D1686" s="8">
        <v>44713</v>
      </c>
      <c r="E1686" s="8" t="s">
        <v>0</v>
      </c>
      <c r="F1686" s="16" t="s">
        <v>989</v>
      </c>
      <c r="G1686" s="7" t="s">
        <v>990</v>
      </c>
      <c r="H1686" s="7" t="s">
        <v>0</v>
      </c>
      <c r="I1686" s="7" t="s">
        <v>6346</v>
      </c>
      <c r="J1686" s="7" t="s">
        <v>6346</v>
      </c>
      <c r="K1686" s="7" t="s">
        <v>47</v>
      </c>
      <c r="L1686" s="7" t="s">
        <v>96</v>
      </c>
      <c r="M1686" s="7" t="s">
        <v>0</v>
      </c>
      <c r="N1686" s="7" t="s">
        <v>6345</v>
      </c>
      <c r="O1686" s="7" t="s">
        <v>0</v>
      </c>
      <c r="P1686" s="7" t="s">
        <v>4645</v>
      </c>
      <c r="Q1686" s="7" t="s">
        <v>6347</v>
      </c>
      <c r="R1686" s="7" t="s">
        <v>1179</v>
      </c>
      <c r="S1686" s="7" t="s">
        <v>1503</v>
      </c>
      <c r="T1686" s="7" t="s">
        <v>54</v>
      </c>
      <c r="U1686" s="7" t="s">
        <v>167</v>
      </c>
      <c r="V1686" s="7" t="s">
        <v>102</v>
      </c>
      <c r="W1686" s="7" t="s">
        <v>57</v>
      </c>
      <c r="X1686" s="7" t="s">
        <v>103</v>
      </c>
      <c r="Y1686" s="8">
        <v>44713</v>
      </c>
      <c r="Z1686" s="8">
        <v>44772</v>
      </c>
      <c r="AA1686" s="7" t="s">
        <v>104</v>
      </c>
      <c r="AB1686" s="7" t="s">
        <v>64</v>
      </c>
      <c r="AC1686" s="7" t="s">
        <v>79</v>
      </c>
      <c r="AD1686" s="7" t="s">
        <v>80</v>
      </c>
      <c r="AE1686" s="7" t="s">
        <v>82</v>
      </c>
      <c r="AF1686" s="7" t="s">
        <v>0</v>
      </c>
      <c r="AG1686" s="7" t="s">
        <v>0</v>
      </c>
      <c r="AH1686" s="9" t="s">
        <v>12816</v>
      </c>
      <c r="AI1686" s="9" t="s">
        <v>12817</v>
      </c>
      <c r="AJ1686" s="9" t="s">
        <v>12818</v>
      </c>
      <c r="AK1686" s="7" t="s">
        <v>61</v>
      </c>
      <c r="AL1686" s="7" t="s">
        <v>61</v>
      </c>
      <c r="AM1686" s="7" t="s">
        <v>0</v>
      </c>
      <c r="AN1686" s="7" t="s">
        <v>0</v>
      </c>
      <c r="AO1686" s="7" t="s">
        <v>0</v>
      </c>
      <c r="AP1686" s="7" t="s">
        <v>0</v>
      </c>
      <c r="AQ1686" s="7" t="s">
        <v>61</v>
      </c>
      <c r="AR1686" s="7" t="s">
        <v>0</v>
      </c>
      <c r="AS1686" s="10" t="str">
        <f>HYPERLINK("https://tessa.gazprom-neft.local/edo/card/5358499f-fafa-4fa0-853a-0ab721168228", "https://tessa.gazprom-neft.local/edo/card/5358499f-fafa-4fa0-853a-0ab721168228")</f>
        <v>https://tessa.gazprom-neft.local/edo/card/5358499f-fafa-4fa0-853a-0ab721168228</v>
      </c>
    </row>
    <row r="1687" spans="1:45" x14ac:dyDescent="0.25">
      <c r="A1687" s="6" t="s">
        <v>44</v>
      </c>
      <c r="B1687" s="7" t="s">
        <v>350</v>
      </c>
      <c r="C1687" s="7" t="s">
        <v>67</v>
      </c>
      <c r="D1687" s="8">
        <v>44713</v>
      </c>
      <c r="E1687" s="8" t="s">
        <v>0</v>
      </c>
      <c r="F1687" s="16" t="s">
        <v>351</v>
      </c>
      <c r="G1687" s="7" t="s">
        <v>352</v>
      </c>
      <c r="H1687" s="7" t="s">
        <v>3199</v>
      </c>
      <c r="I1687" s="7" t="s">
        <v>0</v>
      </c>
      <c r="J1687" s="7" t="s">
        <v>355</v>
      </c>
      <c r="K1687" s="7" t="s">
        <v>47</v>
      </c>
      <c r="L1687" s="7" t="s">
        <v>48</v>
      </c>
      <c r="M1687" s="7" t="s">
        <v>0</v>
      </c>
      <c r="N1687" s="7" t="s">
        <v>6375</v>
      </c>
      <c r="O1687" s="7" t="s">
        <v>0</v>
      </c>
      <c r="P1687" s="7" t="s">
        <v>6376</v>
      </c>
      <c r="Q1687" s="7" t="s">
        <v>6377</v>
      </c>
      <c r="R1687" s="7" t="s">
        <v>1286</v>
      </c>
      <c r="S1687" s="7" t="s">
        <v>168</v>
      </c>
      <c r="T1687" s="7" t="s">
        <v>54</v>
      </c>
      <c r="U1687" s="7" t="s">
        <v>101</v>
      </c>
      <c r="V1687" s="7" t="s">
        <v>102</v>
      </c>
      <c r="W1687" s="7" t="s">
        <v>57</v>
      </c>
      <c r="X1687" s="7" t="s">
        <v>103</v>
      </c>
      <c r="Y1687" s="8">
        <v>44713</v>
      </c>
      <c r="Z1687" s="8">
        <v>47118</v>
      </c>
      <c r="AA1687" s="7" t="s">
        <v>104</v>
      </c>
      <c r="AB1687" s="7" t="s">
        <v>64</v>
      </c>
      <c r="AC1687" s="7" t="s">
        <v>65</v>
      </c>
      <c r="AD1687" s="7" t="s">
        <v>0</v>
      </c>
      <c r="AE1687" s="7" t="s">
        <v>0</v>
      </c>
      <c r="AF1687" s="7" t="s">
        <v>0</v>
      </c>
      <c r="AG1687" s="7" t="s">
        <v>0</v>
      </c>
      <c r="AH1687" s="9" t="s">
        <v>0</v>
      </c>
      <c r="AI1687" s="9" t="s">
        <v>0</v>
      </c>
      <c r="AJ1687" s="9" t="s">
        <v>0</v>
      </c>
      <c r="AK1687" s="7" t="s">
        <v>61</v>
      </c>
      <c r="AL1687" s="7" t="s">
        <v>61</v>
      </c>
      <c r="AM1687" s="7" t="s">
        <v>0</v>
      </c>
      <c r="AN1687" s="7" t="s">
        <v>0</v>
      </c>
      <c r="AO1687" s="7" t="s">
        <v>0</v>
      </c>
      <c r="AP1687" s="7" t="s">
        <v>0</v>
      </c>
      <c r="AQ1687" s="7" t="s">
        <v>61</v>
      </c>
      <c r="AR1687" s="7" t="s">
        <v>0</v>
      </c>
      <c r="AS1687" s="10" t="str">
        <f>HYPERLINK("https://tessa.gazprom-neft.local/edo/card/364d81bc-da60-49a6-8261-2fdfa8f60cd9", "https://tessa.gazprom-neft.local/edo/card/364d81bc-da60-49a6-8261-2fdfa8f60cd9")</f>
        <v>https://tessa.gazprom-neft.local/edo/card/364d81bc-da60-49a6-8261-2fdfa8f60cd9</v>
      </c>
    </row>
    <row r="1688" spans="1:45" hidden="1" x14ac:dyDescent="0.25">
      <c r="A1688" s="6" t="s">
        <v>44</v>
      </c>
      <c r="B1688" s="7" t="s">
        <v>0</v>
      </c>
      <c r="C1688" s="7" t="s">
        <v>46</v>
      </c>
      <c r="D1688" s="8">
        <v>44713</v>
      </c>
      <c r="E1688" s="8" t="s">
        <v>0</v>
      </c>
      <c r="F1688" s="16" t="s">
        <v>6419</v>
      </c>
      <c r="G1688" s="7" t="s">
        <v>0</v>
      </c>
      <c r="H1688" s="7" t="s">
        <v>0</v>
      </c>
      <c r="I1688" s="7" t="s">
        <v>6416</v>
      </c>
      <c r="J1688" s="7" t="s">
        <v>6416</v>
      </c>
      <c r="K1688" s="7" t="s">
        <v>47</v>
      </c>
      <c r="L1688" s="7" t="s">
        <v>96</v>
      </c>
      <c r="M1688" s="7" t="s">
        <v>0</v>
      </c>
      <c r="N1688" s="7" t="s">
        <v>6415</v>
      </c>
      <c r="O1688" s="7" t="s">
        <v>0</v>
      </c>
      <c r="P1688" s="7" t="s">
        <v>6417</v>
      </c>
      <c r="Q1688" s="7" t="s">
        <v>6418</v>
      </c>
      <c r="R1688" s="7" t="s">
        <v>293</v>
      </c>
      <c r="S1688" s="7" t="s">
        <v>836</v>
      </c>
      <c r="T1688" s="7" t="s">
        <v>54</v>
      </c>
      <c r="U1688" s="7" t="s">
        <v>294</v>
      </c>
      <c r="V1688" s="7" t="s">
        <v>56</v>
      </c>
      <c r="W1688" s="7" t="s">
        <v>57</v>
      </c>
      <c r="X1688" s="7" t="s">
        <v>103</v>
      </c>
      <c r="Y1688" s="8">
        <v>44713</v>
      </c>
      <c r="Z1688" s="8">
        <v>44926</v>
      </c>
      <c r="AA1688" s="7" t="s">
        <v>59</v>
      </c>
      <c r="AB1688" s="7" t="s">
        <v>64</v>
      </c>
      <c r="AC1688" s="7" t="s">
        <v>79</v>
      </c>
      <c r="AD1688" s="7" t="s">
        <v>80</v>
      </c>
      <c r="AE1688" s="7" t="s">
        <v>82</v>
      </c>
      <c r="AF1688" s="7" t="s">
        <v>0</v>
      </c>
      <c r="AG1688" s="7" t="s">
        <v>0</v>
      </c>
      <c r="AH1688" s="9" t="s">
        <v>12835</v>
      </c>
      <c r="AI1688" s="9" t="s">
        <v>12836</v>
      </c>
      <c r="AJ1688" s="9" t="s">
        <v>12837</v>
      </c>
      <c r="AK1688" s="7" t="s">
        <v>61</v>
      </c>
      <c r="AL1688" s="7" t="s">
        <v>61</v>
      </c>
      <c r="AM1688" s="7" t="s">
        <v>0</v>
      </c>
      <c r="AN1688" s="7" t="s">
        <v>0</v>
      </c>
      <c r="AO1688" s="7" t="s">
        <v>0</v>
      </c>
      <c r="AP1688" s="7" t="s">
        <v>0</v>
      </c>
      <c r="AQ1688" s="7" t="s">
        <v>61</v>
      </c>
      <c r="AR1688" s="7" t="s">
        <v>0</v>
      </c>
      <c r="AS1688" s="10" t="str">
        <f>HYPERLINK("https://tessa.gazprom-neft.local/edo/card/1c26c69c-ef9e-42c6-b4e3-d399bc807ea9", "https://tessa.gazprom-neft.local/edo/card/1c26c69c-ef9e-42c6-b4e3-d399bc807ea9")</f>
        <v>https://tessa.gazprom-neft.local/edo/card/1c26c69c-ef9e-42c6-b4e3-d399bc807ea9</v>
      </c>
    </row>
    <row r="1689" spans="1:45" hidden="1" x14ac:dyDescent="0.25">
      <c r="A1689" s="6" t="s">
        <v>44</v>
      </c>
      <c r="B1689" s="7" t="s">
        <v>0</v>
      </c>
      <c r="C1689" s="7" t="s">
        <v>67</v>
      </c>
      <c r="D1689" s="8">
        <v>44713</v>
      </c>
      <c r="E1689" s="8" t="s">
        <v>0</v>
      </c>
      <c r="F1689" s="16" t="s">
        <v>6428</v>
      </c>
      <c r="G1689" s="7" t="s">
        <v>0</v>
      </c>
      <c r="H1689" s="7" t="s">
        <v>0</v>
      </c>
      <c r="I1689" s="7" t="s">
        <v>6426</v>
      </c>
      <c r="J1689" s="7" t="s">
        <v>6426</v>
      </c>
      <c r="K1689" s="7" t="s">
        <v>47</v>
      </c>
      <c r="L1689" s="7" t="s">
        <v>96</v>
      </c>
      <c r="M1689" s="7" t="s">
        <v>0</v>
      </c>
      <c r="N1689" s="7" t="s">
        <v>6425</v>
      </c>
      <c r="O1689" s="7" t="s">
        <v>0</v>
      </c>
      <c r="P1689" s="7" t="s">
        <v>6417</v>
      </c>
      <c r="Q1689" s="7" t="s">
        <v>6427</v>
      </c>
      <c r="R1689" s="7" t="s">
        <v>293</v>
      </c>
      <c r="S1689" s="7" t="s">
        <v>836</v>
      </c>
      <c r="T1689" s="7" t="s">
        <v>54</v>
      </c>
      <c r="U1689" s="7" t="s">
        <v>294</v>
      </c>
      <c r="V1689" s="7" t="s">
        <v>56</v>
      </c>
      <c r="W1689" s="7" t="s">
        <v>57</v>
      </c>
      <c r="X1689" s="7" t="s">
        <v>103</v>
      </c>
      <c r="Y1689" s="8">
        <v>44713</v>
      </c>
      <c r="Z1689" s="8">
        <v>44926</v>
      </c>
      <c r="AA1689" s="7" t="s">
        <v>59</v>
      </c>
      <c r="AB1689" s="7" t="s">
        <v>64</v>
      </c>
      <c r="AC1689" s="7" t="s">
        <v>79</v>
      </c>
      <c r="AD1689" s="7" t="s">
        <v>80</v>
      </c>
      <c r="AE1689" s="7" t="s">
        <v>82</v>
      </c>
      <c r="AF1689" s="7" t="s">
        <v>0</v>
      </c>
      <c r="AG1689" s="7" t="s">
        <v>0</v>
      </c>
      <c r="AH1689" s="9" t="s">
        <v>12841</v>
      </c>
      <c r="AI1689" s="9" t="s">
        <v>12842</v>
      </c>
      <c r="AJ1689" s="9" t="s">
        <v>12843</v>
      </c>
      <c r="AK1689" s="7" t="s">
        <v>61</v>
      </c>
      <c r="AL1689" s="7" t="s">
        <v>61</v>
      </c>
      <c r="AM1689" s="7" t="s">
        <v>0</v>
      </c>
      <c r="AN1689" s="7" t="s">
        <v>0</v>
      </c>
      <c r="AO1689" s="7" t="s">
        <v>0</v>
      </c>
      <c r="AP1689" s="7" t="s">
        <v>0</v>
      </c>
      <c r="AQ1689" s="7" t="s">
        <v>61</v>
      </c>
      <c r="AR1689" s="7" t="s">
        <v>0</v>
      </c>
      <c r="AS1689" s="10" t="str">
        <f>HYPERLINK("https://tessa.gazprom-neft.local/edo/card/e48ff5fc-ca2d-4acc-8bce-86f560c1d512", "https://tessa.gazprom-neft.local/edo/card/e48ff5fc-ca2d-4acc-8bce-86f560c1d512")</f>
        <v>https://tessa.gazprom-neft.local/edo/card/e48ff5fc-ca2d-4acc-8bce-86f560c1d512</v>
      </c>
    </row>
    <row r="1690" spans="1:45" x14ac:dyDescent="0.25">
      <c r="A1690" s="6" t="s">
        <v>44</v>
      </c>
      <c r="B1690" s="7" t="s">
        <v>4071</v>
      </c>
      <c r="C1690" s="7" t="s">
        <v>67</v>
      </c>
      <c r="D1690" s="8">
        <v>44713</v>
      </c>
      <c r="E1690" s="8" t="s">
        <v>0</v>
      </c>
      <c r="F1690" s="16" t="s">
        <v>4072</v>
      </c>
      <c r="G1690" s="7" t="s">
        <v>4073</v>
      </c>
      <c r="H1690" s="7" t="s">
        <v>4580</v>
      </c>
      <c r="I1690" s="7" t="s">
        <v>0</v>
      </c>
      <c r="J1690" s="7" t="s">
        <v>355</v>
      </c>
      <c r="K1690" s="7" t="s">
        <v>47</v>
      </c>
      <c r="L1690" s="7" t="s">
        <v>48</v>
      </c>
      <c r="M1690" s="7" t="s">
        <v>0</v>
      </c>
      <c r="N1690" s="7" t="s">
        <v>6449</v>
      </c>
      <c r="O1690" s="7" t="s">
        <v>0</v>
      </c>
      <c r="P1690" s="7" t="s">
        <v>6450</v>
      </c>
      <c r="Q1690" s="7" t="s">
        <v>6451</v>
      </c>
      <c r="R1690" s="7" t="s">
        <v>519</v>
      </c>
      <c r="S1690" s="7" t="s">
        <v>519</v>
      </c>
      <c r="T1690" s="7" t="s">
        <v>54</v>
      </c>
      <c r="U1690" s="7" t="s">
        <v>362</v>
      </c>
      <c r="V1690" s="7" t="s">
        <v>295</v>
      </c>
      <c r="W1690" s="7" t="s">
        <v>57</v>
      </c>
      <c r="X1690" s="7" t="s">
        <v>103</v>
      </c>
      <c r="Y1690" s="8">
        <v>44713</v>
      </c>
      <c r="Z1690" s="8">
        <v>44926</v>
      </c>
      <c r="AA1690" s="7" t="s">
        <v>296</v>
      </c>
      <c r="AB1690" s="7" t="s">
        <v>130</v>
      </c>
      <c r="AC1690" s="7" t="s">
        <v>79</v>
      </c>
      <c r="AD1690" s="7" t="s">
        <v>514</v>
      </c>
      <c r="AE1690" s="7" t="s">
        <v>82</v>
      </c>
      <c r="AF1690" s="7" t="s">
        <v>0</v>
      </c>
      <c r="AG1690" s="7" t="s">
        <v>0</v>
      </c>
      <c r="AH1690" s="9" t="s">
        <v>12845</v>
      </c>
      <c r="AI1690" s="9" t="s">
        <v>12846</v>
      </c>
      <c r="AJ1690" s="9" t="s">
        <v>12847</v>
      </c>
      <c r="AK1690" s="7" t="s">
        <v>61</v>
      </c>
      <c r="AL1690" s="7" t="s">
        <v>61</v>
      </c>
      <c r="AM1690" s="7" t="s">
        <v>0</v>
      </c>
      <c r="AN1690" s="7" t="s">
        <v>0</v>
      </c>
      <c r="AO1690" s="7" t="s">
        <v>0</v>
      </c>
      <c r="AP1690" s="7" t="s">
        <v>0</v>
      </c>
      <c r="AQ1690" s="7" t="s">
        <v>61</v>
      </c>
      <c r="AR1690" s="7" t="s">
        <v>0</v>
      </c>
      <c r="AS1690" s="10" t="str">
        <f>HYPERLINK("https://tessa.gazprom-neft.local/edo/card/ff608cd3-6c84-4286-b7b0-0cb75b7e6495", "https://tessa.gazprom-neft.local/edo/card/ff608cd3-6c84-4286-b7b0-0cb75b7e6495")</f>
        <v>https://tessa.gazprom-neft.local/edo/card/ff608cd3-6c84-4286-b7b0-0cb75b7e6495</v>
      </c>
    </row>
    <row r="1691" spans="1:45" x14ac:dyDescent="0.25">
      <c r="A1691" s="6" t="s">
        <v>44</v>
      </c>
      <c r="B1691" s="7" t="s">
        <v>520</v>
      </c>
      <c r="C1691" s="7" t="s">
        <v>67</v>
      </c>
      <c r="D1691" s="8">
        <v>44713</v>
      </c>
      <c r="E1691" s="8" t="s">
        <v>0</v>
      </c>
      <c r="F1691" s="16" t="s">
        <v>521</v>
      </c>
      <c r="G1691" s="7" t="s">
        <v>522</v>
      </c>
      <c r="H1691" s="7" t="s">
        <v>3233</v>
      </c>
      <c r="I1691" s="7" t="s">
        <v>0</v>
      </c>
      <c r="J1691" s="7" t="s">
        <v>355</v>
      </c>
      <c r="K1691" s="7" t="s">
        <v>47</v>
      </c>
      <c r="L1691" s="7" t="s">
        <v>48</v>
      </c>
      <c r="M1691" s="7" t="s">
        <v>0</v>
      </c>
      <c r="N1691" s="7" t="s">
        <v>6550</v>
      </c>
      <c r="O1691" s="7" t="s">
        <v>0</v>
      </c>
      <c r="P1691" s="7" t="s">
        <v>6551</v>
      </c>
      <c r="Q1691" s="7" t="s">
        <v>6552</v>
      </c>
      <c r="R1691" s="7" t="s">
        <v>519</v>
      </c>
      <c r="S1691" s="7" t="s">
        <v>519</v>
      </c>
      <c r="T1691" s="7" t="s">
        <v>54</v>
      </c>
      <c r="U1691" s="7" t="s">
        <v>362</v>
      </c>
      <c r="V1691" s="7" t="s">
        <v>295</v>
      </c>
      <c r="W1691" s="7" t="s">
        <v>57</v>
      </c>
      <c r="X1691" s="7" t="s">
        <v>103</v>
      </c>
      <c r="Y1691" s="8">
        <v>44713</v>
      </c>
      <c r="Z1691" s="8">
        <v>44926</v>
      </c>
      <c r="AA1691" s="7" t="s">
        <v>296</v>
      </c>
      <c r="AB1691" s="7" t="s">
        <v>64</v>
      </c>
      <c r="AC1691" s="7" t="s">
        <v>65</v>
      </c>
      <c r="AD1691" s="7" t="s">
        <v>514</v>
      </c>
      <c r="AE1691" s="7" t="s">
        <v>0</v>
      </c>
      <c r="AF1691" s="7" t="s">
        <v>0</v>
      </c>
      <c r="AG1691" s="7" t="s">
        <v>0</v>
      </c>
      <c r="AH1691" s="9" t="s">
        <v>0</v>
      </c>
      <c r="AI1691" s="9" t="s">
        <v>0</v>
      </c>
      <c r="AJ1691" s="9" t="s">
        <v>0</v>
      </c>
      <c r="AK1691" s="7" t="s">
        <v>61</v>
      </c>
      <c r="AL1691" s="7" t="s">
        <v>61</v>
      </c>
      <c r="AM1691" s="7" t="s">
        <v>0</v>
      </c>
      <c r="AN1691" s="7" t="s">
        <v>0</v>
      </c>
      <c r="AO1691" s="7" t="s">
        <v>0</v>
      </c>
      <c r="AP1691" s="7" t="s">
        <v>0</v>
      </c>
      <c r="AQ1691" s="7" t="s">
        <v>61</v>
      </c>
      <c r="AR1691" s="7" t="s">
        <v>0</v>
      </c>
      <c r="AS1691" s="10" t="str">
        <f>HYPERLINK("https://tessa.gazprom-neft.local/edo/card/9e88a347-93b5-4df3-b367-a61121324a32", "https://tessa.gazprom-neft.local/edo/card/9e88a347-93b5-4df3-b367-a61121324a32")</f>
        <v>https://tessa.gazprom-neft.local/edo/card/9e88a347-93b5-4df3-b367-a61121324a32</v>
      </c>
    </row>
    <row r="1692" spans="1:45" x14ac:dyDescent="0.25">
      <c r="A1692" s="6" t="s">
        <v>44</v>
      </c>
      <c r="B1692" s="7" t="s">
        <v>4071</v>
      </c>
      <c r="C1692" s="7" t="s">
        <v>67</v>
      </c>
      <c r="D1692" s="8">
        <v>44713</v>
      </c>
      <c r="E1692" s="8" t="s">
        <v>0</v>
      </c>
      <c r="F1692" s="16" t="s">
        <v>4072</v>
      </c>
      <c r="G1692" s="7" t="s">
        <v>4073</v>
      </c>
      <c r="H1692" s="7" t="s">
        <v>4580</v>
      </c>
      <c r="I1692" s="7" t="s">
        <v>0</v>
      </c>
      <c r="J1692" s="7" t="s">
        <v>872</v>
      </c>
      <c r="K1692" s="7" t="s">
        <v>85</v>
      </c>
      <c r="L1692" s="7" t="s">
        <v>48</v>
      </c>
      <c r="M1692" s="7" t="s">
        <v>3833</v>
      </c>
      <c r="N1692" s="7" t="s">
        <v>6581</v>
      </c>
      <c r="O1692" s="7" t="s">
        <v>0</v>
      </c>
      <c r="P1692" s="7" t="s">
        <v>3833</v>
      </c>
      <c r="Q1692" s="7" t="s">
        <v>6582</v>
      </c>
      <c r="R1692" s="7" t="s">
        <v>519</v>
      </c>
      <c r="S1692" s="7" t="s">
        <v>519</v>
      </c>
      <c r="T1692" s="7" t="s">
        <v>54</v>
      </c>
      <c r="U1692" s="7" t="s">
        <v>362</v>
      </c>
      <c r="V1692" s="7" t="s">
        <v>295</v>
      </c>
      <c r="W1692" s="7" t="s">
        <v>57</v>
      </c>
      <c r="X1692" s="7" t="s">
        <v>58</v>
      </c>
      <c r="Y1692" s="8">
        <v>44713</v>
      </c>
      <c r="Z1692" s="8" t="s">
        <v>0</v>
      </c>
      <c r="AA1692" s="7" t="s">
        <v>296</v>
      </c>
      <c r="AB1692" s="7" t="s">
        <v>130</v>
      </c>
      <c r="AC1692" s="7" t="s">
        <v>65</v>
      </c>
      <c r="AD1692" s="7" t="s">
        <v>0</v>
      </c>
      <c r="AE1692" s="7" t="s">
        <v>0</v>
      </c>
      <c r="AF1692" s="7" t="s">
        <v>0</v>
      </c>
      <c r="AG1692" s="7" t="s">
        <v>0</v>
      </c>
      <c r="AH1692" s="9" t="s">
        <v>0</v>
      </c>
      <c r="AI1692" s="9" t="s">
        <v>0</v>
      </c>
      <c r="AJ1692" s="9" t="s">
        <v>0</v>
      </c>
      <c r="AK1692" s="7" t="s">
        <v>61</v>
      </c>
      <c r="AL1692" s="7" t="s">
        <v>61</v>
      </c>
      <c r="AM1692" s="7" t="s">
        <v>0</v>
      </c>
      <c r="AN1692" s="7" t="s">
        <v>0</v>
      </c>
      <c r="AO1692" s="7" t="s">
        <v>0</v>
      </c>
      <c r="AP1692" s="7" t="s">
        <v>0</v>
      </c>
      <c r="AQ1692" s="7" t="s">
        <v>61</v>
      </c>
      <c r="AR1692" s="7" t="s">
        <v>0</v>
      </c>
      <c r="AS1692" s="10" t="str">
        <f>HYPERLINK("https://tessa.gazprom-neft.local/edo/card/0c6b7e3b-94b1-4d10-b595-0211c6eb070a", "https://tessa.gazprom-neft.local/edo/card/0c6b7e3b-94b1-4d10-b595-0211c6eb070a")</f>
        <v>https://tessa.gazprom-neft.local/edo/card/0c6b7e3b-94b1-4d10-b595-0211c6eb070a</v>
      </c>
    </row>
    <row r="1693" spans="1:45" hidden="1" x14ac:dyDescent="0.25">
      <c r="A1693" s="6" t="s">
        <v>44</v>
      </c>
      <c r="B1693" s="7" t="s">
        <v>170</v>
      </c>
      <c r="C1693" s="7" t="s">
        <v>67</v>
      </c>
      <c r="D1693" s="8">
        <v>44713</v>
      </c>
      <c r="E1693" s="8" t="s">
        <v>0</v>
      </c>
      <c r="F1693" s="16" t="s">
        <v>171</v>
      </c>
      <c r="G1693" s="7" t="s">
        <v>172</v>
      </c>
      <c r="H1693" s="7" t="s">
        <v>1046</v>
      </c>
      <c r="I1693" s="7" t="s">
        <v>0</v>
      </c>
      <c r="J1693" s="7" t="s">
        <v>955</v>
      </c>
      <c r="K1693" s="7" t="s">
        <v>47</v>
      </c>
      <c r="L1693" s="7" t="s">
        <v>239</v>
      </c>
      <c r="M1693" s="7" t="s">
        <v>0</v>
      </c>
      <c r="N1693" s="7" t="s">
        <v>6604</v>
      </c>
      <c r="O1693" s="7" t="s">
        <v>0</v>
      </c>
      <c r="P1693" s="7" t="s">
        <v>6605</v>
      </c>
      <c r="Q1693" s="7" t="s">
        <v>6606</v>
      </c>
      <c r="R1693" s="7" t="s">
        <v>166</v>
      </c>
      <c r="S1693" s="7" t="s">
        <v>166</v>
      </c>
      <c r="T1693" s="7" t="s">
        <v>54</v>
      </c>
      <c r="U1693" s="7" t="s">
        <v>167</v>
      </c>
      <c r="V1693" s="7" t="s">
        <v>102</v>
      </c>
      <c r="W1693" s="7" t="s">
        <v>57</v>
      </c>
      <c r="X1693" s="7" t="s">
        <v>103</v>
      </c>
      <c r="Y1693" s="8">
        <v>44713</v>
      </c>
      <c r="Z1693" s="8">
        <v>44813</v>
      </c>
      <c r="AA1693" s="7" t="s">
        <v>104</v>
      </c>
      <c r="AB1693" s="7" t="s">
        <v>1049</v>
      </c>
      <c r="AC1693" s="7" t="s">
        <v>79</v>
      </c>
      <c r="AD1693" s="7" t="s">
        <v>80</v>
      </c>
      <c r="AE1693" s="7" t="s">
        <v>82</v>
      </c>
      <c r="AF1693" s="7" t="s">
        <v>0</v>
      </c>
      <c r="AG1693" s="7" t="s">
        <v>0</v>
      </c>
      <c r="AH1693" s="9" t="s">
        <v>12909</v>
      </c>
      <c r="AI1693" s="9" t="s">
        <v>12910</v>
      </c>
      <c r="AJ1693" s="9" t="s">
        <v>12911</v>
      </c>
      <c r="AK1693" s="7" t="s">
        <v>61</v>
      </c>
      <c r="AL1693" s="7" t="s">
        <v>61</v>
      </c>
      <c r="AM1693" s="7" t="s">
        <v>0</v>
      </c>
      <c r="AN1693" s="7" t="s">
        <v>0</v>
      </c>
      <c r="AO1693" s="7" t="s">
        <v>0</v>
      </c>
      <c r="AP1693" s="7" t="s">
        <v>0</v>
      </c>
      <c r="AQ1693" s="7" t="s">
        <v>61</v>
      </c>
      <c r="AR1693" s="7" t="s">
        <v>0</v>
      </c>
      <c r="AS1693" s="10" t="str">
        <f>HYPERLINK("https://tessa.gazprom-neft.local/edo/card/c927759e-94c6-40bf-9a13-caea012d12cb", "https://tessa.gazprom-neft.local/edo/card/c927759e-94c6-40bf-9a13-caea012d12cb")</f>
        <v>https://tessa.gazprom-neft.local/edo/card/c927759e-94c6-40bf-9a13-caea012d12cb</v>
      </c>
    </row>
    <row r="1694" spans="1:45" x14ac:dyDescent="0.25">
      <c r="A1694" s="6" t="s">
        <v>44</v>
      </c>
      <c r="B1694" s="7" t="s">
        <v>520</v>
      </c>
      <c r="C1694" s="7" t="s">
        <v>67</v>
      </c>
      <c r="D1694" s="8">
        <v>44713</v>
      </c>
      <c r="E1694" s="8" t="s">
        <v>0</v>
      </c>
      <c r="F1694" s="16" t="s">
        <v>521</v>
      </c>
      <c r="G1694" s="7" t="s">
        <v>522</v>
      </c>
      <c r="H1694" s="7" t="s">
        <v>3233</v>
      </c>
      <c r="I1694" s="7" t="s">
        <v>0</v>
      </c>
      <c r="J1694" s="7" t="s">
        <v>872</v>
      </c>
      <c r="K1694" s="7" t="s">
        <v>85</v>
      </c>
      <c r="L1694" s="7" t="s">
        <v>48</v>
      </c>
      <c r="M1694" s="7" t="s">
        <v>5649</v>
      </c>
      <c r="N1694" s="7" t="s">
        <v>6626</v>
      </c>
      <c r="O1694" s="7" t="s">
        <v>0</v>
      </c>
      <c r="P1694" s="7" t="s">
        <v>5649</v>
      </c>
      <c r="Q1694" s="7" t="s">
        <v>6582</v>
      </c>
      <c r="R1694" s="7" t="s">
        <v>519</v>
      </c>
      <c r="S1694" s="7" t="s">
        <v>519</v>
      </c>
      <c r="T1694" s="7" t="s">
        <v>54</v>
      </c>
      <c r="U1694" s="7" t="s">
        <v>362</v>
      </c>
      <c r="V1694" s="7" t="s">
        <v>295</v>
      </c>
      <c r="W1694" s="7" t="s">
        <v>57</v>
      </c>
      <c r="X1694" s="7" t="s">
        <v>58</v>
      </c>
      <c r="Y1694" s="8">
        <v>44713</v>
      </c>
      <c r="Z1694" s="8" t="s">
        <v>0</v>
      </c>
      <c r="AA1694" s="7" t="s">
        <v>296</v>
      </c>
      <c r="AB1694" s="7" t="s">
        <v>64</v>
      </c>
      <c r="AC1694" s="7" t="s">
        <v>65</v>
      </c>
      <c r="AD1694" s="7" t="s">
        <v>0</v>
      </c>
      <c r="AE1694" s="7" t="s">
        <v>0</v>
      </c>
      <c r="AF1694" s="7" t="s">
        <v>0</v>
      </c>
      <c r="AG1694" s="7" t="s">
        <v>0</v>
      </c>
      <c r="AH1694" s="9" t="s">
        <v>0</v>
      </c>
      <c r="AI1694" s="9" t="s">
        <v>0</v>
      </c>
      <c r="AJ1694" s="9" t="s">
        <v>0</v>
      </c>
      <c r="AK1694" s="7" t="s">
        <v>61</v>
      </c>
      <c r="AL1694" s="7" t="s">
        <v>61</v>
      </c>
      <c r="AM1694" s="7" t="s">
        <v>0</v>
      </c>
      <c r="AN1694" s="7" t="s">
        <v>0</v>
      </c>
      <c r="AO1694" s="7" t="s">
        <v>0</v>
      </c>
      <c r="AP1694" s="7" t="s">
        <v>0</v>
      </c>
      <c r="AQ1694" s="7" t="s">
        <v>61</v>
      </c>
      <c r="AR1694" s="7" t="s">
        <v>0</v>
      </c>
      <c r="AS1694" s="10" t="str">
        <f>HYPERLINK("https://tessa.gazprom-neft.local/edo/card/79f140bf-8447-4b66-ba1b-6269a3c4c0d4", "https://tessa.gazprom-neft.local/edo/card/79f140bf-8447-4b66-ba1b-6269a3c4c0d4")</f>
        <v>https://tessa.gazprom-neft.local/edo/card/79f140bf-8447-4b66-ba1b-6269a3c4c0d4</v>
      </c>
    </row>
    <row r="1695" spans="1:45" x14ac:dyDescent="0.25">
      <c r="A1695" s="6" t="s">
        <v>44</v>
      </c>
      <c r="B1695" s="7" t="s">
        <v>403</v>
      </c>
      <c r="C1695" s="7" t="s">
        <v>67</v>
      </c>
      <c r="D1695" s="8">
        <v>44713</v>
      </c>
      <c r="E1695" s="8" t="s">
        <v>0</v>
      </c>
      <c r="F1695" s="16" t="s">
        <v>404</v>
      </c>
      <c r="G1695" s="7" t="s">
        <v>405</v>
      </c>
      <c r="H1695" s="7" t="s">
        <v>6680</v>
      </c>
      <c r="I1695" s="7" t="s">
        <v>0</v>
      </c>
      <c r="J1695" s="7" t="s">
        <v>1098</v>
      </c>
      <c r="K1695" s="7" t="s">
        <v>47</v>
      </c>
      <c r="L1695" s="7" t="s">
        <v>48</v>
      </c>
      <c r="M1695" s="7" t="s">
        <v>0</v>
      </c>
      <c r="N1695" s="7" t="s">
        <v>6679</v>
      </c>
      <c r="O1695" s="7" t="s">
        <v>0</v>
      </c>
      <c r="P1695" s="7" t="s">
        <v>6681</v>
      </c>
      <c r="Q1695" s="7" t="s">
        <v>6682</v>
      </c>
      <c r="R1695" s="7" t="s">
        <v>1924</v>
      </c>
      <c r="S1695" s="7" t="s">
        <v>1924</v>
      </c>
      <c r="T1695" s="7" t="s">
        <v>54</v>
      </c>
      <c r="U1695" s="7" t="s">
        <v>73</v>
      </c>
      <c r="V1695" s="7" t="s">
        <v>56</v>
      </c>
      <c r="W1695" s="7" t="s">
        <v>57</v>
      </c>
      <c r="X1695" s="7" t="s">
        <v>103</v>
      </c>
      <c r="Y1695" s="8">
        <v>44713</v>
      </c>
      <c r="Z1695" s="8">
        <v>45657</v>
      </c>
      <c r="AA1695" s="7" t="s">
        <v>0</v>
      </c>
      <c r="AB1695" s="7" t="s">
        <v>130</v>
      </c>
      <c r="AC1695" s="7" t="s">
        <v>79</v>
      </c>
      <c r="AD1695" s="7" t="s">
        <v>367</v>
      </c>
      <c r="AE1695" s="7" t="s">
        <v>82</v>
      </c>
      <c r="AF1695" s="7" t="s">
        <v>0</v>
      </c>
      <c r="AG1695" s="7" t="s">
        <v>0</v>
      </c>
      <c r="AH1695" s="9" t="s">
        <v>12921</v>
      </c>
      <c r="AI1695" s="9" t="s">
        <v>12922</v>
      </c>
      <c r="AJ1695" s="9" t="s">
        <v>12923</v>
      </c>
      <c r="AK1695" s="7" t="s">
        <v>61</v>
      </c>
      <c r="AL1695" s="7" t="s">
        <v>61</v>
      </c>
      <c r="AM1695" s="7" t="s">
        <v>0</v>
      </c>
      <c r="AN1695" s="7" t="s">
        <v>0</v>
      </c>
      <c r="AO1695" s="7" t="s">
        <v>0</v>
      </c>
      <c r="AP1695" s="7" t="s">
        <v>0</v>
      </c>
      <c r="AQ1695" s="7" t="s">
        <v>61</v>
      </c>
      <c r="AR1695" s="7" t="s">
        <v>0</v>
      </c>
      <c r="AS1695" s="10" t="str">
        <f>HYPERLINK("https://tessa.gazprom-neft.local/edo/card/9960e9dd-6f63-43fd-9a1d-7918fb242054", "https://tessa.gazprom-neft.local/edo/card/9960e9dd-6f63-43fd-9a1d-7918fb242054")</f>
        <v>https://tessa.gazprom-neft.local/edo/card/9960e9dd-6f63-43fd-9a1d-7918fb242054</v>
      </c>
    </row>
    <row r="1696" spans="1:45" x14ac:dyDescent="0.25">
      <c r="A1696" s="6" t="s">
        <v>44</v>
      </c>
      <c r="B1696" s="7" t="s">
        <v>170</v>
      </c>
      <c r="C1696" s="7" t="s">
        <v>67</v>
      </c>
      <c r="D1696" s="8">
        <v>44713</v>
      </c>
      <c r="E1696" s="8" t="s">
        <v>0</v>
      </c>
      <c r="F1696" s="16" t="s">
        <v>171</v>
      </c>
      <c r="G1696" s="7" t="s">
        <v>172</v>
      </c>
      <c r="H1696" s="7" t="s">
        <v>163</v>
      </c>
      <c r="I1696" s="7" t="s">
        <v>0</v>
      </c>
      <c r="J1696" s="7" t="s">
        <v>872</v>
      </c>
      <c r="K1696" s="7" t="s">
        <v>47</v>
      </c>
      <c r="L1696" s="7" t="s">
        <v>48</v>
      </c>
      <c r="M1696" s="7" t="s">
        <v>0</v>
      </c>
      <c r="N1696" s="7" t="s">
        <v>7329</v>
      </c>
      <c r="O1696" s="7" t="s">
        <v>0</v>
      </c>
      <c r="P1696" s="7" t="s">
        <v>7330</v>
      </c>
      <c r="Q1696" s="7" t="s">
        <v>7331</v>
      </c>
      <c r="R1696" s="7" t="s">
        <v>166</v>
      </c>
      <c r="S1696" s="7" t="s">
        <v>166</v>
      </c>
      <c r="T1696" s="7" t="s">
        <v>54</v>
      </c>
      <c r="U1696" s="7" t="s">
        <v>167</v>
      </c>
      <c r="V1696" s="7" t="s">
        <v>137</v>
      </c>
      <c r="W1696" s="7" t="s">
        <v>57</v>
      </c>
      <c r="X1696" s="7" t="s">
        <v>223</v>
      </c>
      <c r="Y1696" s="8">
        <v>44713</v>
      </c>
      <c r="Z1696" s="8" t="s">
        <v>0</v>
      </c>
      <c r="AA1696" s="7" t="s">
        <v>0</v>
      </c>
      <c r="AB1696" s="7" t="s">
        <v>130</v>
      </c>
      <c r="AC1696" s="7" t="s">
        <v>79</v>
      </c>
      <c r="AD1696" s="7" t="s">
        <v>144</v>
      </c>
      <c r="AE1696" s="7" t="s">
        <v>82</v>
      </c>
      <c r="AF1696" s="7" t="s">
        <v>0</v>
      </c>
      <c r="AG1696" s="7" t="s">
        <v>0</v>
      </c>
      <c r="AH1696" s="9" t="s">
        <v>13153</v>
      </c>
      <c r="AI1696" s="9" t="s">
        <v>13154</v>
      </c>
      <c r="AJ1696" s="9" t="s">
        <v>13155</v>
      </c>
      <c r="AK1696" s="7" t="s">
        <v>61</v>
      </c>
      <c r="AL1696" s="7" t="s">
        <v>61</v>
      </c>
      <c r="AM1696" s="7" t="s">
        <v>0</v>
      </c>
      <c r="AN1696" s="7" t="s">
        <v>0</v>
      </c>
      <c r="AO1696" s="7" t="s">
        <v>0</v>
      </c>
      <c r="AP1696" s="7" t="s">
        <v>0</v>
      </c>
      <c r="AQ1696" s="7" t="s">
        <v>61</v>
      </c>
      <c r="AR1696" s="7" t="s">
        <v>0</v>
      </c>
      <c r="AS1696" s="10" t="str">
        <f>HYPERLINK("https://tessa.gazprom-neft.local/edo/card/256b581d-900a-42d4-b05e-4f158a1f074d", "https://tessa.gazprom-neft.local/edo/card/256b581d-900a-42d4-b05e-4f158a1f074d")</f>
        <v>https://tessa.gazprom-neft.local/edo/card/256b581d-900a-42d4-b05e-4f158a1f074d</v>
      </c>
    </row>
    <row r="1697" spans="1:45" hidden="1" x14ac:dyDescent="0.25">
      <c r="A1697" s="6" t="s">
        <v>44</v>
      </c>
      <c r="B1697" s="7" t="s">
        <v>436</v>
      </c>
      <c r="C1697" s="7" t="s">
        <v>67</v>
      </c>
      <c r="D1697" s="8">
        <v>44713</v>
      </c>
      <c r="E1697" s="8" t="s">
        <v>0</v>
      </c>
      <c r="F1697" s="16" t="s">
        <v>437</v>
      </c>
      <c r="G1697" s="7" t="s">
        <v>438</v>
      </c>
      <c r="H1697" s="7" t="s">
        <v>0</v>
      </c>
      <c r="I1697" s="7" t="s">
        <v>9570</v>
      </c>
      <c r="J1697" s="7" t="s">
        <v>9570</v>
      </c>
      <c r="K1697" s="7" t="s">
        <v>47</v>
      </c>
      <c r="L1697" s="7" t="s">
        <v>96</v>
      </c>
      <c r="M1697" s="7" t="s">
        <v>0</v>
      </c>
      <c r="N1697" s="7" t="s">
        <v>9569</v>
      </c>
      <c r="O1697" s="7" t="s">
        <v>0</v>
      </c>
      <c r="P1697" s="7" t="s">
        <v>9571</v>
      </c>
      <c r="Q1697" s="7" t="s">
        <v>9572</v>
      </c>
      <c r="R1697" s="7" t="s">
        <v>6712</v>
      </c>
      <c r="S1697" s="7" t="s">
        <v>0</v>
      </c>
      <c r="T1697" s="7" t="s">
        <v>54</v>
      </c>
      <c r="U1697" s="7" t="s">
        <v>283</v>
      </c>
      <c r="V1697" s="7" t="s">
        <v>102</v>
      </c>
      <c r="W1697" s="7" t="s">
        <v>57</v>
      </c>
      <c r="X1697" s="7" t="s">
        <v>58</v>
      </c>
      <c r="Y1697" s="8">
        <v>44713</v>
      </c>
      <c r="Z1697" s="8" t="s">
        <v>0</v>
      </c>
      <c r="AA1697" s="7" t="s">
        <v>104</v>
      </c>
      <c r="AB1697" s="7" t="s">
        <v>434</v>
      </c>
      <c r="AC1697" s="7" t="s">
        <v>65</v>
      </c>
      <c r="AD1697" s="7" t="s">
        <v>0</v>
      </c>
      <c r="AE1697" s="7" t="s">
        <v>0</v>
      </c>
      <c r="AF1697" s="7" t="s">
        <v>0</v>
      </c>
      <c r="AG1697" s="7" t="s">
        <v>0</v>
      </c>
      <c r="AH1697" s="9" t="s">
        <v>0</v>
      </c>
      <c r="AI1697" s="9" t="s">
        <v>0</v>
      </c>
      <c r="AJ1697" s="9" t="s">
        <v>0</v>
      </c>
      <c r="AK1697" s="7" t="s">
        <v>61</v>
      </c>
      <c r="AL1697" s="7" t="s">
        <v>61</v>
      </c>
      <c r="AM1697" s="7" t="s">
        <v>0</v>
      </c>
      <c r="AN1697" s="7" t="s">
        <v>0</v>
      </c>
      <c r="AO1697" s="7" t="s">
        <v>0</v>
      </c>
      <c r="AP1697" s="7" t="s">
        <v>0</v>
      </c>
      <c r="AQ1697" s="7" t="s">
        <v>61</v>
      </c>
      <c r="AR1697" s="7" t="s">
        <v>0</v>
      </c>
      <c r="AS1697" s="10" t="str">
        <f>HYPERLINK("https://tessa.gazprom-neft.local/edo/card/085544c0-37ef-438b-94f8-bd9cddf2a5a1", "https://tessa.gazprom-neft.local/edo/card/085544c0-37ef-438b-94f8-bd9cddf2a5a1")</f>
        <v>https://tessa.gazprom-neft.local/edo/card/085544c0-37ef-438b-94f8-bd9cddf2a5a1</v>
      </c>
    </row>
    <row r="1698" spans="1:45" hidden="1" x14ac:dyDescent="0.25">
      <c r="A1698" s="6" t="s">
        <v>44</v>
      </c>
      <c r="B1698" s="7" t="s">
        <v>1950</v>
      </c>
      <c r="C1698" s="7" t="s">
        <v>67</v>
      </c>
      <c r="D1698" s="8">
        <v>44712</v>
      </c>
      <c r="E1698" s="8" t="s">
        <v>0</v>
      </c>
      <c r="F1698" s="16" t="s">
        <v>1951</v>
      </c>
      <c r="G1698" s="7" t="s">
        <v>1952</v>
      </c>
      <c r="H1698" s="7" t="s">
        <v>1947</v>
      </c>
      <c r="I1698" s="7" t="s">
        <v>0</v>
      </c>
      <c r="J1698" s="7" t="s">
        <v>872</v>
      </c>
      <c r="K1698" s="7" t="s">
        <v>47</v>
      </c>
      <c r="L1698" s="7" t="s">
        <v>239</v>
      </c>
      <c r="M1698" s="7" t="s">
        <v>0</v>
      </c>
      <c r="N1698" s="7" t="s">
        <v>6119</v>
      </c>
      <c r="O1698" s="7" t="s">
        <v>0</v>
      </c>
      <c r="P1698" s="7" t="s">
        <v>6120</v>
      </c>
      <c r="Q1698" s="7" t="s">
        <v>1949</v>
      </c>
      <c r="R1698" s="7" t="s">
        <v>1711</v>
      </c>
      <c r="S1698" s="7" t="s">
        <v>1711</v>
      </c>
      <c r="T1698" s="7" t="s">
        <v>54</v>
      </c>
      <c r="U1698" s="7" t="s">
        <v>605</v>
      </c>
      <c r="V1698" s="7" t="s">
        <v>382</v>
      </c>
      <c r="W1698" s="7" t="s">
        <v>74</v>
      </c>
      <c r="X1698" s="7" t="s">
        <v>103</v>
      </c>
      <c r="Y1698" s="8">
        <v>44712</v>
      </c>
      <c r="Z1698" s="8">
        <v>44926</v>
      </c>
      <c r="AA1698" s="7" t="s">
        <v>383</v>
      </c>
      <c r="AB1698" s="7" t="s">
        <v>1893</v>
      </c>
      <c r="AC1698" s="7" t="s">
        <v>79</v>
      </c>
      <c r="AD1698" s="7" t="s">
        <v>144</v>
      </c>
      <c r="AE1698" s="7" t="s">
        <v>889</v>
      </c>
      <c r="AF1698" s="7" t="s">
        <v>0</v>
      </c>
      <c r="AG1698" s="7" t="s">
        <v>0</v>
      </c>
      <c r="AH1698" s="9" t="s">
        <v>12727</v>
      </c>
      <c r="AI1698" s="9" t="s">
        <v>12727</v>
      </c>
      <c r="AJ1698" s="9">
        <v>0</v>
      </c>
      <c r="AK1698" s="7" t="s">
        <v>61</v>
      </c>
      <c r="AL1698" s="7" t="s">
        <v>61</v>
      </c>
      <c r="AM1698" s="7" t="s">
        <v>0</v>
      </c>
      <c r="AN1698" s="7" t="s">
        <v>0</v>
      </c>
      <c r="AO1698" s="7" t="s">
        <v>0</v>
      </c>
      <c r="AP1698" s="7" t="s">
        <v>0</v>
      </c>
      <c r="AQ1698" s="7" t="s">
        <v>61</v>
      </c>
      <c r="AR1698" s="7" t="s">
        <v>0</v>
      </c>
      <c r="AS1698" s="10" t="str">
        <f>HYPERLINK("https://tessa.gazprom-neft.local/edo/card/83870c58-1eda-45bb-ab84-c7e92d388e08", "https://tessa.gazprom-neft.local/edo/card/83870c58-1eda-45bb-ab84-c7e92d388e08")</f>
        <v>https://tessa.gazprom-neft.local/edo/card/83870c58-1eda-45bb-ab84-c7e92d388e08</v>
      </c>
    </row>
    <row r="1699" spans="1:45" hidden="1" x14ac:dyDescent="0.25">
      <c r="A1699" s="6" t="s">
        <v>44</v>
      </c>
      <c r="B1699" s="7" t="s">
        <v>1950</v>
      </c>
      <c r="C1699" s="7" t="s">
        <v>67</v>
      </c>
      <c r="D1699" s="8">
        <v>44712</v>
      </c>
      <c r="E1699" s="8" t="s">
        <v>0</v>
      </c>
      <c r="F1699" s="16" t="s">
        <v>1951</v>
      </c>
      <c r="G1699" s="7" t="s">
        <v>1952</v>
      </c>
      <c r="H1699" s="7" t="s">
        <v>1947</v>
      </c>
      <c r="I1699" s="7" t="s">
        <v>0</v>
      </c>
      <c r="J1699" s="7" t="s">
        <v>70</v>
      </c>
      <c r="K1699" s="7" t="s">
        <v>47</v>
      </c>
      <c r="L1699" s="7" t="s">
        <v>239</v>
      </c>
      <c r="M1699" s="7" t="s">
        <v>0</v>
      </c>
      <c r="N1699" s="7" t="s">
        <v>6216</v>
      </c>
      <c r="O1699" s="7" t="s">
        <v>0</v>
      </c>
      <c r="P1699" s="7" t="s">
        <v>1365</v>
      </c>
      <c r="Q1699" s="7" t="s">
        <v>6217</v>
      </c>
      <c r="R1699" s="7" t="s">
        <v>1711</v>
      </c>
      <c r="S1699" s="7" t="s">
        <v>1711</v>
      </c>
      <c r="T1699" s="7" t="s">
        <v>54</v>
      </c>
      <c r="U1699" s="7" t="s">
        <v>605</v>
      </c>
      <c r="V1699" s="7" t="s">
        <v>382</v>
      </c>
      <c r="W1699" s="7" t="s">
        <v>74</v>
      </c>
      <c r="X1699" s="7" t="s">
        <v>103</v>
      </c>
      <c r="Y1699" s="8">
        <v>44712</v>
      </c>
      <c r="Z1699" s="8">
        <v>44926</v>
      </c>
      <c r="AA1699" s="7" t="s">
        <v>383</v>
      </c>
      <c r="AB1699" s="7" t="s">
        <v>1893</v>
      </c>
      <c r="AC1699" s="7" t="s">
        <v>278</v>
      </c>
      <c r="AD1699" s="7" t="s">
        <v>144</v>
      </c>
      <c r="AE1699" s="7" t="s">
        <v>889</v>
      </c>
      <c r="AF1699" s="7" t="s">
        <v>0</v>
      </c>
      <c r="AG1699" s="7" t="s">
        <v>0</v>
      </c>
      <c r="AH1699" s="9" t="s">
        <v>12760</v>
      </c>
      <c r="AI1699" s="9" t="s">
        <v>12760</v>
      </c>
      <c r="AJ1699" s="9">
        <v>0</v>
      </c>
      <c r="AK1699" s="7" t="s">
        <v>61</v>
      </c>
      <c r="AL1699" s="7" t="s">
        <v>61</v>
      </c>
      <c r="AM1699" s="7" t="s">
        <v>0</v>
      </c>
      <c r="AN1699" s="7" t="s">
        <v>0</v>
      </c>
      <c r="AO1699" s="7" t="s">
        <v>0</v>
      </c>
      <c r="AP1699" s="7" t="s">
        <v>0</v>
      </c>
      <c r="AQ1699" s="7" t="s">
        <v>61</v>
      </c>
      <c r="AR1699" s="7" t="s">
        <v>0</v>
      </c>
      <c r="AS1699" s="10" t="str">
        <f>HYPERLINK("https://tessa.gazprom-neft.local/edo/card/ad1c5389-f55b-4143-bb42-f0b1de9499a7", "https://tessa.gazprom-neft.local/edo/card/ad1c5389-f55b-4143-bb42-f0b1de9499a7")</f>
        <v>https://tessa.gazprom-neft.local/edo/card/ad1c5389-f55b-4143-bb42-f0b1de9499a7</v>
      </c>
    </row>
    <row r="1700" spans="1:45" x14ac:dyDescent="0.25">
      <c r="A1700" s="6" t="s">
        <v>44</v>
      </c>
      <c r="B1700" s="7" t="s">
        <v>885</v>
      </c>
      <c r="C1700" s="7" t="s">
        <v>67</v>
      </c>
      <c r="D1700" s="8">
        <v>44711</v>
      </c>
      <c r="E1700" s="8" t="s">
        <v>0</v>
      </c>
      <c r="F1700" s="16" t="s">
        <v>886</v>
      </c>
      <c r="G1700" s="7" t="s">
        <v>887</v>
      </c>
      <c r="H1700" s="7" t="s">
        <v>2084</v>
      </c>
      <c r="I1700" s="7" t="s">
        <v>0</v>
      </c>
      <c r="J1700" s="7" t="s">
        <v>355</v>
      </c>
      <c r="K1700" s="7" t="s">
        <v>85</v>
      </c>
      <c r="L1700" s="7" t="s">
        <v>48</v>
      </c>
      <c r="M1700" s="7" t="s">
        <v>3833</v>
      </c>
      <c r="N1700" s="7" t="s">
        <v>5807</v>
      </c>
      <c r="O1700" s="7" t="s">
        <v>0</v>
      </c>
      <c r="P1700" s="7" t="s">
        <v>3833</v>
      </c>
      <c r="Q1700" s="7" t="s">
        <v>3833</v>
      </c>
      <c r="R1700" s="7" t="s">
        <v>938</v>
      </c>
      <c r="S1700" s="7" t="s">
        <v>938</v>
      </c>
      <c r="T1700" s="7" t="s">
        <v>54</v>
      </c>
      <c r="U1700" s="7" t="s">
        <v>605</v>
      </c>
      <c r="V1700" s="7" t="s">
        <v>382</v>
      </c>
      <c r="W1700" s="7" t="s">
        <v>57</v>
      </c>
      <c r="X1700" s="7" t="s">
        <v>103</v>
      </c>
      <c r="Y1700" s="8">
        <v>44711</v>
      </c>
      <c r="Z1700" s="8">
        <v>45657</v>
      </c>
      <c r="AA1700" s="7" t="s">
        <v>383</v>
      </c>
      <c r="AB1700" s="7" t="s">
        <v>130</v>
      </c>
      <c r="AC1700" s="7" t="s">
        <v>65</v>
      </c>
      <c r="AD1700" s="7" t="s">
        <v>0</v>
      </c>
      <c r="AE1700" s="7" t="s">
        <v>0</v>
      </c>
      <c r="AF1700" s="7" t="s">
        <v>0</v>
      </c>
      <c r="AG1700" s="7" t="s">
        <v>0</v>
      </c>
      <c r="AH1700" s="9" t="s">
        <v>0</v>
      </c>
      <c r="AI1700" s="9" t="s">
        <v>0</v>
      </c>
      <c r="AJ1700" s="9" t="s">
        <v>0</v>
      </c>
      <c r="AK1700" s="7" t="s">
        <v>61</v>
      </c>
      <c r="AL1700" s="7" t="s">
        <v>61</v>
      </c>
      <c r="AM1700" s="7" t="s">
        <v>0</v>
      </c>
      <c r="AN1700" s="7" t="s">
        <v>0</v>
      </c>
      <c r="AO1700" s="7" t="s">
        <v>0</v>
      </c>
      <c r="AP1700" s="7" t="s">
        <v>0</v>
      </c>
      <c r="AQ1700" s="7" t="s">
        <v>61</v>
      </c>
      <c r="AR1700" s="7" t="s">
        <v>0</v>
      </c>
      <c r="AS1700" s="10" t="str">
        <f>HYPERLINK("https://tessa.gazprom-neft.local/edo/card/9b6877c2-feea-4206-9b88-0428074b570b", "https://tessa.gazprom-neft.local/edo/card/9b6877c2-feea-4206-9b88-0428074b570b")</f>
        <v>https://tessa.gazprom-neft.local/edo/card/9b6877c2-feea-4206-9b88-0428074b570b</v>
      </c>
    </row>
    <row r="1701" spans="1:45" x14ac:dyDescent="0.25">
      <c r="A1701" s="6" t="s">
        <v>44</v>
      </c>
      <c r="B1701" s="7" t="s">
        <v>6013</v>
      </c>
      <c r="C1701" s="7" t="s">
        <v>46</v>
      </c>
      <c r="D1701" s="8">
        <v>44711</v>
      </c>
      <c r="E1701" s="8" t="s">
        <v>0</v>
      </c>
      <c r="F1701" s="16" t="s">
        <v>6014</v>
      </c>
      <c r="G1701" s="7" t="s">
        <v>6015</v>
      </c>
      <c r="H1701" s="7" t="s">
        <v>6010</v>
      </c>
      <c r="I1701" s="7" t="s">
        <v>0</v>
      </c>
      <c r="J1701" s="7" t="s">
        <v>271</v>
      </c>
      <c r="K1701" s="7" t="s">
        <v>47</v>
      </c>
      <c r="L1701" s="7" t="s">
        <v>48</v>
      </c>
      <c r="M1701" s="7" t="s">
        <v>0</v>
      </c>
      <c r="N1701" s="7" t="s">
        <v>6009</v>
      </c>
      <c r="O1701" s="7" t="s">
        <v>0</v>
      </c>
      <c r="P1701" s="7" t="s">
        <v>6011</v>
      </c>
      <c r="Q1701" s="7" t="s">
        <v>6012</v>
      </c>
      <c r="R1701" s="7" t="s">
        <v>2336</v>
      </c>
      <c r="S1701" s="7" t="s">
        <v>2336</v>
      </c>
      <c r="T1701" s="7" t="s">
        <v>54</v>
      </c>
      <c r="U1701" s="7" t="s">
        <v>307</v>
      </c>
      <c r="V1701" s="7" t="s">
        <v>56</v>
      </c>
      <c r="W1701" s="7" t="s">
        <v>57</v>
      </c>
      <c r="X1701" s="7" t="s">
        <v>103</v>
      </c>
      <c r="Y1701" s="8">
        <v>44711</v>
      </c>
      <c r="Z1701" s="8">
        <v>44926</v>
      </c>
      <c r="AA1701" s="7" t="s">
        <v>800</v>
      </c>
      <c r="AB1701" s="7" t="s">
        <v>64</v>
      </c>
      <c r="AC1701" s="7" t="s">
        <v>65</v>
      </c>
      <c r="AD1701" s="7" t="s">
        <v>0</v>
      </c>
      <c r="AE1701" s="7" t="s">
        <v>0</v>
      </c>
      <c r="AF1701" s="7" t="s">
        <v>0</v>
      </c>
      <c r="AG1701" s="7" t="s">
        <v>0</v>
      </c>
      <c r="AH1701" s="9" t="s">
        <v>0</v>
      </c>
      <c r="AI1701" s="9" t="s">
        <v>0</v>
      </c>
      <c r="AJ1701" s="9" t="s">
        <v>0</v>
      </c>
      <c r="AK1701" s="7" t="s">
        <v>61</v>
      </c>
      <c r="AL1701" s="7" t="s">
        <v>61</v>
      </c>
      <c r="AM1701" s="7" t="s">
        <v>0</v>
      </c>
      <c r="AN1701" s="7" t="s">
        <v>0</v>
      </c>
      <c r="AO1701" s="7" t="s">
        <v>0</v>
      </c>
      <c r="AP1701" s="7" t="s">
        <v>0</v>
      </c>
      <c r="AQ1701" s="7" t="s">
        <v>61</v>
      </c>
      <c r="AR1701" s="7" t="s">
        <v>0</v>
      </c>
      <c r="AS1701" s="10" t="str">
        <f>HYPERLINK("https://tessa.gazprom-neft.local/edo/card/cd291fb2-b01b-42db-becf-045a39e63f41", "https://tessa.gazprom-neft.local/edo/card/cd291fb2-b01b-42db-becf-045a39e63f41")</f>
        <v>https://tessa.gazprom-neft.local/edo/card/cd291fb2-b01b-42db-becf-045a39e63f41</v>
      </c>
    </row>
    <row r="1702" spans="1:45" hidden="1" x14ac:dyDescent="0.25">
      <c r="A1702" s="6" t="s">
        <v>44</v>
      </c>
      <c r="B1702" s="7" t="s">
        <v>0</v>
      </c>
      <c r="C1702" s="7" t="s">
        <v>46</v>
      </c>
      <c r="D1702" s="8">
        <v>44711</v>
      </c>
      <c r="E1702" s="8" t="s">
        <v>0</v>
      </c>
      <c r="F1702" s="16" t="s">
        <v>6208</v>
      </c>
      <c r="G1702" s="7" t="s">
        <v>0</v>
      </c>
      <c r="H1702" s="7" t="s">
        <v>0</v>
      </c>
      <c r="I1702" s="7" t="s">
        <v>6205</v>
      </c>
      <c r="J1702" s="7" t="s">
        <v>6205</v>
      </c>
      <c r="K1702" s="7" t="s">
        <v>47</v>
      </c>
      <c r="L1702" s="7" t="s">
        <v>96</v>
      </c>
      <c r="M1702" s="7" t="s">
        <v>0</v>
      </c>
      <c r="N1702" s="7" t="s">
        <v>6204</v>
      </c>
      <c r="O1702" s="7" t="s">
        <v>0</v>
      </c>
      <c r="P1702" s="7" t="s">
        <v>6206</v>
      </c>
      <c r="Q1702" s="7" t="s">
        <v>6207</v>
      </c>
      <c r="R1702" s="7" t="s">
        <v>4863</v>
      </c>
      <c r="S1702" s="7" t="s">
        <v>4863</v>
      </c>
      <c r="T1702" s="7" t="s">
        <v>54</v>
      </c>
      <c r="U1702" s="7" t="s">
        <v>1012</v>
      </c>
      <c r="V1702" s="7" t="s">
        <v>112</v>
      </c>
      <c r="W1702" s="7" t="s">
        <v>57</v>
      </c>
      <c r="X1702" s="7" t="s">
        <v>103</v>
      </c>
      <c r="Y1702" s="8">
        <v>44748</v>
      </c>
      <c r="Z1702" s="8">
        <v>44769</v>
      </c>
      <c r="AA1702" s="7" t="s">
        <v>113</v>
      </c>
      <c r="AB1702" s="7" t="s">
        <v>64</v>
      </c>
      <c r="AC1702" s="7" t="s">
        <v>65</v>
      </c>
      <c r="AD1702" s="7" t="s">
        <v>0</v>
      </c>
      <c r="AE1702" s="7" t="s">
        <v>0</v>
      </c>
      <c r="AF1702" s="7" t="s">
        <v>0</v>
      </c>
      <c r="AG1702" s="7" t="s">
        <v>0</v>
      </c>
      <c r="AH1702" s="9" t="s">
        <v>0</v>
      </c>
      <c r="AI1702" s="9" t="s">
        <v>0</v>
      </c>
      <c r="AJ1702" s="9" t="s">
        <v>0</v>
      </c>
      <c r="AK1702" s="7" t="s">
        <v>61</v>
      </c>
      <c r="AL1702" s="7" t="s">
        <v>61</v>
      </c>
      <c r="AM1702" s="7" t="s">
        <v>0</v>
      </c>
      <c r="AN1702" s="7" t="s">
        <v>0</v>
      </c>
      <c r="AO1702" s="7" t="s">
        <v>0</v>
      </c>
      <c r="AP1702" s="7" t="s">
        <v>0</v>
      </c>
      <c r="AQ1702" s="7" t="s">
        <v>61</v>
      </c>
      <c r="AR1702" s="7" t="s">
        <v>0</v>
      </c>
      <c r="AS1702" s="10" t="str">
        <f>HYPERLINK("https://tessa.gazprom-neft.local/edo/card/9fa3abdf-5fcd-417d-804c-a6d7c0ff2786", "https://tessa.gazprom-neft.local/edo/card/9fa3abdf-5fcd-417d-804c-a6d7c0ff2786")</f>
        <v>https://tessa.gazprom-neft.local/edo/card/9fa3abdf-5fcd-417d-804c-a6d7c0ff2786</v>
      </c>
    </row>
    <row r="1703" spans="1:45" x14ac:dyDescent="0.25">
      <c r="A1703" s="6" t="s">
        <v>44</v>
      </c>
      <c r="B1703" s="7" t="s">
        <v>6669</v>
      </c>
      <c r="C1703" s="7" t="s">
        <v>67</v>
      </c>
      <c r="D1703" s="8">
        <v>44711</v>
      </c>
      <c r="E1703" s="8" t="s">
        <v>0</v>
      </c>
      <c r="F1703" s="16" t="s">
        <v>6670</v>
      </c>
      <c r="G1703" s="7" t="s">
        <v>6671</v>
      </c>
      <c r="H1703" s="7" t="s">
        <v>4511</v>
      </c>
      <c r="I1703" s="7" t="s">
        <v>0</v>
      </c>
      <c r="J1703" s="7" t="s">
        <v>1098</v>
      </c>
      <c r="K1703" s="7" t="s">
        <v>47</v>
      </c>
      <c r="L1703" s="7" t="s">
        <v>48</v>
      </c>
      <c r="M1703" s="7" t="s">
        <v>0</v>
      </c>
      <c r="N1703" s="7" t="s">
        <v>6666</v>
      </c>
      <c r="O1703" s="7" t="s">
        <v>0</v>
      </c>
      <c r="P1703" s="7" t="s">
        <v>6667</v>
      </c>
      <c r="Q1703" s="7" t="s">
        <v>6668</v>
      </c>
      <c r="R1703" s="7" t="s">
        <v>799</v>
      </c>
      <c r="S1703" s="7" t="s">
        <v>0</v>
      </c>
      <c r="T1703" s="7" t="s">
        <v>54</v>
      </c>
      <c r="U1703" s="7" t="s">
        <v>55</v>
      </c>
      <c r="V1703" s="7" t="s">
        <v>56</v>
      </c>
      <c r="W1703" s="7" t="s">
        <v>57</v>
      </c>
      <c r="X1703" s="7" t="s">
        <v>58</v>
      </c>
      <c r="Y1703" s="8">
        <v>44711</v>
      </c>
      <c r="Z1703" s="8" t="s">
        <v>0</v>
      </c>
      <c r="AA1703" s="7" t="s">
        <v>59</v>
      </c>
      <c r="AB1703" s="7" t="s">
        <v>2037</v>
      </c>
      <c r="AC1703" s="7" t="s">
        <v>65</v>
      </c>
      <c r="AD1703" s="7" t="s">
        <v>0</v>
      </c>
      <c r="AE1703" s="7" t="s">
        <v>0</v>
      </c>
      <c r="AF1703" s="7" t="s">
        <v>0</v>
      </c>
      <c r="AG1703" s="7" t="s">
        <v>0</v>
      </c>
      <c r="AH1703" s="9" t="s">
        <v>0</v>
      </c>
      <c r="AI1703" s="9" t="s">
        <v>0</v>
      </c>
      <c r="AJ1703" s="9" t="s">
        <v>0</v>
      </c>
      <c r="AK1703" s="7" t="s">
        <v>61</v>
      </c>
      <c r="AL1703" s="7" t="s">
        <v>61</v>
      </c>
      <c r="AM1703" s="7" t="s">
        <v>0</v>
      </c>
      <c r="AN1703" s="7" t="s">
        <v>0</v>
      </c>
      <c r="AO1703" s="7" t="s">
        <v>0</v>
      </c>
      <c r="AP1703" s="7" t="s">
        <v>0</v>
      </c>
      <c r="AQ1703" s="7" t="s">
        <v>61</v>
      </c>
      <c r="AR1703" s="7" t="s">
        <v>0</v>
      </c>
      <c r="AS1703" s="10" t="str">
        <f>HYPERLINK("https://tessa.gazprom-neft.local/edo/card/14fe1fb9-e50a-49dc-bae9-a1cd5e0f33f7", "https://tessa.gazprom-neft.local/edo/card/14fe1fb9-e50a-49dc-bae9-a1cd5e0f33f7")</f>
        <v>https://tessa.gazprom-neft.local/edo/card/14fe1fb9-e50a-49dc-bae9-a1cd5e0f33f7</v>
      </c>
    </row>
    <row r="1704" spans="1:45" hidden="1" x14ac:dyDescent="0.25">
      <c r="A1704" s="6" t="s">
        <v>44</v>
      </c>
      <c r="B1704" s="7" t="s">
        <v>0</v>
      </c>
      <c r="C1704" s="7" t="s">
        <v>46</v>
      </c>
      <c r="D1704" s="8">
        <v>44711</v>
      </c>
      <c r="E1704" s="8" t="s">
        <v>0</v>
      </c>
      <c r="F1704" s="16" t="s">
        <v>6822</v>
      </c>
      <c r="G1704" s="7" t="s">
        <v>0</v>
      </c>
      <c r="H1704" s="7" t="s">
        <v>0</v>
      </c>
      <c r="I1704" s="7" t="s">
        <v>6820</v>
      </c>
      <c r="J1704" s="7" t="s">
        <v>6820</v>
      </c>
      <c r="K1704" s="7" t="s">
        <v>85</v>
      </c>
      <c r="L1704" s="7" t="s">
        <v>86</v>
      </c>
      <c r="M1704" s="7" t="s">
        <v>523</v>
      </c>
      <c r="N1704" s="7" t="s">
        <v>6819</v>
      </c>
      <c r="O1704" s="7" t="s">
        <v>0</v>
      </c>
      <c r="P1704" s="7" t="s">
        <v>523</v>
      </c>
      <c r="Q1704" s="7" t="s">
        <v>6821</v>
      </c>
      <c r="R1704" s="7" t="s">
        <v>4863</v>
      </c>
      <c r="S1704" s="7" t="s">
        <v>4863</v>
      </c>
      <c r="T1704" s="7" t="s">
        <v>54</v>
      </c>
      <c r="U1704" s="7" t="s">
        <v>1012</v>
      </c>
      <c r="V1704" s="7" t="s">
        <v>91</v>
      </c>
      <c r="W1704" s="7" t="s">
        <v>57</v>
      </c>
      <c r="X1704" s="7" t="s">
        <v>103</v>
      </c>
      <c r="Y1704" s="8">
        <v>44748</v>
      </c>
      <c r="Z1704" s="8">
        <v>44769</v>
      </c>
      <c r="AA1704" s="7" t="s">
        <v>92</v>
      </c>
      <c r="AB1704" s="7" t="s">
        <v>94</v>
      </c>
      <c r="AC1704" s="7" t="s">
        <v>65</v>
      </c>
      <c r="AD1704" s="7" t="s">
        <v>0</v>
      </c>
      <c r="AE1704" s="7" t="s">
        <v>0</v>
      </c>
      <c r="AF1704" s="7" t="s">
        <v>0</v>
      </c>
      <c r="AG1704" s="7" t="s">
        <v>0</v>
      </c>
      <c r="AH1704" s="9" t="s">
        <v>0</v>
      </c>
      <c r="AI1704" s="9" t="s">
        <v>0</v>
      </c>
      <c r="AJ1704" s="9" t="s">
        <v>0</v>
      </c>
      <c r="AK1704" s="7" t="s">
        <v>61</v>
      </c>
      <c r="AL1704" s="7" t="s">
        <v>61</v>
      </c>
      <c r="AM1704" s="7" t="s">
        <v>0</v>
      </c>
      <c r="AN1704" s="7" t="s">
        <v>0</v>
      </c>
      <c r="AO1704" s="7" t="s">
        <v>0</v>
      </c>
      <c r="AP1704" s="7" t="s">
        <v>0</v>
      </c>
      <c r="AQ1704" s="7" t="s">
        <v>61</v>
      </c>
      <c r="AR1704" s="7" t="s">
        <v>0</v>
      </c>
      <c r="AS1704" s="10" t="str">
        <f>HYPERLINK("https://tessa.gazprom-neft.local/edo/card/16a276b6-7d07-49fc-b2cd-916069ee6ff1", "https://tessa.gazprom-neft.local/edo/card/16a276b6-7d07-49fc-b2cd-916069ee6ff1")</f>
        <v>https://tessa.gazprom-neft.local/edo/card/16a276b6-7d07-49fc-b2cd-916069ee6ff1</v>
      </c>
    </row>
    <row r="1705" spans="1:45" x14ac:dyDescent="0.25">
      <c r="A1705" s="6" t="s">
        <v>44</v>
      </c>
      <c r="B1705" s="7" t="s">
        <v>395</v>
      </c>
      <c r="C1705" s="7" t="s">
        <v>67</v>
      </c>
      <c r="D1705" s="8">
        <v>44709</v>
      </c>
      <c r="E1705" s="8" t="s">
        <v>0</v>
      </c>
      <c r="F1705" s="16" t="s">
        <v>396</v>
      </c>
      <c r="G1705" s="7" t="s">
        <v>397</v>
      </c>
      <c r="H1705" s="7" t="s">
        <v>6252</v>
      </c>
      <c r="I1705" s="7" t="s">
        <v>0</v>
      </c>
      <c r="J1705" s="7" t="s">
        <v>51</v>
      </c>
      <c r="K1705" s="7" t="s">
        <v>85</v>
      </c>
      <c r="L1705" s="7" t="s">
        <v>48</v>
      </c>
      <c r="M1705" s="7" t="s">
        <v>2128</v>
      </c>
      <c r="N1705" s="7" t="s">
        <v>6251</v>
      </c>
      <c r="O1705" s="7" t="s">
        <v>0</v>
      </c>
      <c r="P1705" s="7" t="s">
        <v>2128</v>
      </c>
      <c r="Q1705" s="7" t="s">
        <v>252</v>
      </c>
      <c r="R1705" s="7" t="s">
        <v>1256</v>
      </c>
      <c r="S1705" s="7" t="s">
        <v>1256</v>
      </c>
      <c r="T1705" s="7" t="s">
        <v>54</v>
      </c>
      <c r="U1705" s="7" t="s">
        <v>591</v>
      </c>
      <c r="V1705" s="7" t="s">
        <v>382</v>
      </c>
      <c r="W1705" s="7" t="s">
        <v>57</v>
      </c>
      <c r="X1705" s="7" t="s">
        <v>223</v>
      </c>
      <c r="Y1705" s="8">
        <v>44709</v>
      </c>
      <c r="Z1705" s="8" t="s">
        <v>0</v>
      </c>
      <c r="AA1705" s="7" t="s">
        <v>383</v>
      </c>
      <c r="AB1705" s="7" t="s">
        <v>387</v>
      </c>
      <c r="AC1705" s="7" t="s">
        <v>65</v>
      </c>
      <c r="AD1705" s="7" t="s">
        <v>0</v>
      </c>
      <c r="AE1705" s="7" t="s">
        <v>0</v>
      </c>
      <c r="AF1705" s="7" t="s">
        <v>0</v>
      </c>
      <c r="AG1705" s="7" t="s">
        <v>0</v>
      </c>
      <c r="AH1705" s="9" t="s">
        <v>0</v>
      </c>
      <c r="AI1705" s="9" t="s">
        <v>0</v>
      </c>
      <c r="AJ1705" s="9" t="s">
        <v>0</v>
      </c>
      <c r="AK1705" s="7" t="s">
        <v>61</v>
      </c>
      <c r="AL1705" s="7" t="s">
        <v>61</v>
      </c>
      <c r="AM1705" s="7" t="s">
        <v>0</v>
      </c>
      <c r="AN1705" s="7" t="s">
        <v>0</v>
      </c>
      <c r="AO1705" s="7" t="s">
        <v>0</v>
      </c>
      <c r="AP1705" s="7" t="s">
        <v>0</v>
      </c>
      <c r="AQ1705" s="7" t="s">
        <v>61</v>
      </c>
      <c r="AR1705" s="7" t="s">
        <v>0</v>
      </c>
      <c r="AS1705" s="10" t="str">
        <f>HYPERLINK("https://tessa.gazprom-neft.local/edo/card/45fdce84-18ce-4498-8c5c-ec08d90c812f", "https://tessa.gazprom-neft.local/edo/card/45fdce84-18ce-4498-8c5c-ec08d90c812f")</f>
        <v>https://tessa.gazprom-neft.local/edo/card/45fdce84-18ce-4498-8c5c-ec08d90c812f</v>
      </c>
    </row>
    <row r="1706" spans="1:45" x14ac:dyDescent="0.25">
      <c r="A1706" s="6" t="s">
        <v>44</v>
      </c>
      <c r="B1706" s="7" t="s">
        <v>1640</v>
      </c>
      <c r="C1706" s="7" t="s">
        <v>46</v>
      </c>
      <c r="D1706" s="8">
        <v>44708</v>
      </c>
      <c r="E1706" s="8" t="s">
        <v>0</v>
      </c>
      <c r="F1706" s="16" t="s">
        <v>1641</v>
      </c>
      <c r="G1706" s="7" t="s">
        <v>1642</v>
      </c>
      <c r="H1706" s="7" t="s">
        <v>1635</v>
      </c>
      <c r="I1706" s="7" t="s">
        <v>0</v>
      </c>
      <c r="J1706" s="7" t="s">
        <v>51</v>
      </c>
      <c r="K1706" s="7" t="s">
        <v>47</v>
      </c>
      <c r="L1706" s="7" t="s">
        <v>48</v>
      </c>
      <c r="M1706" s="7" t="s">
        <v>0</v>
      </c>
      <c r="N1706" s="7" t="s">
        <v>4851</v>
      </c>
      <c r="O1706" s="7" t="s">
        <v>0</v>
      </c>
      <c r="P1706" s="7" t="s">
        <v>50</v>
      </c>
      <c r="Q1706" s="7" t="s">
        <v>4852</v>
      </c>
      <c r="R1706" s="7" t="s">
        <v>1083</v>
      </c>
      <c r="S1706" s="7" t="s">
        <v>1638</v>
      </c>
      <c r="T1706" s="7" t="s">
        <v>54</v>
      </c>
      <c r="U1706" s="7" t="s">
        <v>274</v>
      </c>
      <c r="V1706" s="7" t="s">
        <v>846</v>
      </c>
      <c r="W1706" s="7" t="s">
        <v>57</v>
      </c>
      <c r="X1706" s="7" t="s">
        <v>103</v>
      </c>
      <c r="Y1706" s="8">
        <v>44678</v>
      </c>
      <c r="Z1706" s="8">
        <v>45291</v>
      </c>
      <c r="AA1706" s="7" t="s">
        <v>847</v>
      </c>
      <c r="AB1706" s="7" t="s">
        <v>64</v>
      </c>
      <c r="AC1706" s="7" t="s">
        <v>65</v>
      </c>
      <c r="AD1706" s="7" t="s">
        <v>144</v>
      </c>
      <c r="AE1706" s="7" t="s">
        <v>0</v>
      </c>
      <c r="AF1706" s="7" t="s">
        <v>0</v>
      </c>
      <c r="AG1706" s="7" t="s">
        <v>0</v>
      </c>
      <c r="AH1706" s="9" t="s">
        <v>0</v>
      </c>
      <c r="AI1706" s="9" t="s">
        <v>0</v>
      </c>
      <c r="AJ1706" s="9" t="s">
        <v>0</v>
      </c>
      <c r="AK1706" s="7" t="s">
        <v>61</v>
      </c>
      <c r="AL1706" s="7" t="s">
        <v>61</v>
      </c>
      <c r="AM1706" s="7" t="s">
        <v>0</v>
      </c>
      <c r="AN1706" s="7" t="s">
        <v>0</v>
      </c>
      <c r="AO1706" s="7" t="s">
        <v>0</v>
      </c>
      <c r="AP1706" s="7" t="s">
        <v>0</v>
      </c>
      <c r="AQ1706" s="7" t="s">
        <v>61</v>
      </c>
      <c r="AR1706" s="7" t="s">
        <v>0</v>
      </c>
      <c r="AS1706" s="10" t="str">
        <f>HYPERLINK("https://tessa.gazprom-neft.local/edo/card/3f74473c-e267-427d-8246-d1977752c723", "https://tessa.gazprom-neft.local/edo/card/3f74473c-e267-427d-8246-d1977752c723")</f>
        <v>https://tessa.gazprom-neft.local/edo/card/3f74473c-e267-427d-8246-d1977752c723</v>
      </c>
    </row>
    <row r="1707" spans="1:45" hidden="1" x14ac:dyDescent="0.25">
      <c r="A1707" s="6" t="s">
        <v>44</v>
      </c>
      <c r="B1707" s="7" t="s">
        <v>5927</v>
      </c>
      <c r="C1707" s="7" t="s">
        <v>67</v>
      </c>
      <c r="D1707" s="8">
        <v>44708</v>
      </c>
      <c r="E1707" s="8" t="s">
        <v>0</v>
      </c>
      <c r="F1707" s="16" t="s">
        <v>5928</v>
      </c>
      <c r="G1707" s="7" t="s">
        <v>5929</v>
      </c>
      <c r="H1707" s="7" t="s">
        <v>0</v>
      </c>
      <c r="I1707" s="7" t="s">
        <v>5923</v>
      </c>
      <c r="J1707" s="7" t="s">
        <v>5923</v>
      </c>
      <c r="K1707" s="7" t="s">
        <v>47</v>
      </c>
      <c r="L1707" s="7" t="s">
        <v>96</v>
      </c>
      <c r="M1707" s="7" t="s">
        <v>0</v>
      </c>
      <c r="N1707" s="7" t="s">
        <v>5922</v>
      </c>
      <c r="O1707" s="7" t="s">
        <v>0</v>
      </c>
      <c r="P1707" s="7" t="s">
        <v>5924</v>
      </c>
      <c r="Q1707" s="7" t="s">
        <v>5925</v>
      </c>
      <c r="R1707" s="7" t="s">
        <v>5423</v>
      </c>
      <c r="S1707" s="7" t="s">
        <v>5926</v>
      </c>
      <c r="T1707" s="7" t="s">
        <v>54</v>
      </c>
      <c r="U1707" s="7" t="s">
        <v>199</v>
      </c>
      <c r="V1707" s="7" t="s">
        <v>211</v>
      </c>
      <c r="W1707" s="7" t="s">
        <v>57</v>
      </c>
      <c r="X1707" s="7" t="s">
        <v>103</v>
      </c>
      <c r="Y1707" s="8">
        <v>44708</v>
      </c>
      <c r="Z1707" s="8">
        <v>45291</v>
      </c>
      <c r="AA1707" s="7" t="s">
        <v>212</v>
      </c>
      <c r="AB1707" s="7" t="s">
        <v>64</v>
      </c>
      <c r="AC1707" s="7" t="s">
        <v>79</v>
      </c>
      <c r="AD1707" s="7" t="s">
        <v>80</v>
      </c>
      <c r="AE1707" s="7" t="s">
        <v>82</v>
      </c>
      <c r="AF1707" s="7" t="s">
        <v>0</v>
      </c>
      <c r="AG1707" s="7" t="s">
        <v>0</v>
      </c>
      <c r="AH1707" s="9" t="s">
        <v>12681</v>
      </c>
      <c r="AI1707" s="9" t="s">
        <v>12682</v>
      </c>
      <c r="AJ1707" s="9" t="s">
        <v>12683</v>
      </c>
      <c r="AK1707" s="7" t="s">
        <v>61</v>
      </c>
      <c r="AL1707" s="7" t="s">
        <v>61</v>
      </c>
      <c r="AM1707" s="7" t="s">
        <v>0</v>
      </c>
      <c r="AN1707" s="7" t="s">
        <v>0</v>
      </c>
      <c r="AO1707" s="7" t="s">
        <v>0</v>
      </c>
      <c r="AP1707" s="7" t="s">
        <v>0</v>
      </c>
      <c r="AQ1707" s="7" t="s">
        <v>61</v>
      </c>
      <c r="AR1707" s="7" t="s">
        <v>0</v>
      </c>
      <c r="AS1707" s="10" t="str">
        <f>HYPERLINK("https://tessa.gazprom-neft.local/edo/card/a0ce5416-447b-47d5-8604-751e976fe7d8", "https://tessa.gazprom-neft.local/edo/card/a0ce5416-447b-47d5-8604-751e976fe7d8")</f>
        <v>https://tessa.gazprom-neft.local/edo/card/a0ce5416-447b-47d5-8604-751e976fe7d8</v>
      </c>
    </row>
    <row r="1708" spans="1:45" hidden="1" x14ac:dyDescent="0.25">
      <c r="A1708" s="6" t="s">
        <v>44</v>
      </c>
      <c r="B1708" s="7" t="s">
        <v>1950</v>
      </c>
      <c r="C1708" s="7" t="s">
        <v>67</v>
      </c>
      <c r="D1708" s="8">
        <v>44708</v>
      </c>
      <c r="E1708" s="8" t="s">
        <v>0</v>
      </c>
      <c r="F1708" s="16" t="s">
        <v>1951</v>
      </c>
      <c r="G1708" s="7" t="s">
        <v>1952</v>
      </c>
      <c r="H1708" s="7" t="s">
        <v>1947</v>
      </c>
      <c r="I1708" s="7" t="s">
        <v>0</v>
      </c>
      <c r="J1708" s="7" t="s">
        <v>355</v>
      </c>
      <c r="K1708" s="7" t="s">
        <v>47</v>
      </c>
      <c r="L1708" s="7" t="s">
        <v>239</v>
      </c>
      <c r="M1708" s="7" t="s">
        <v>0</v>
      </c>
      <c r="N1708" s="7" t="s">
        <v>5995</v>
      </c>
      <c r="O1708" s="7" t="s">
        <v>0</v>
      </c>
      <c r="P1708" s="7" t="s">
        <v>3935</v>
      </c>
      <c r="Q1708" s="7" t="s">
        <v>5996</v>
      </c>
      <c r="R1708" s="7" t="s">
        <v>1711</v>
      </c>
      <c r="S1708" s="7" t="s">
        <v>1711</v>
      </c>
      <c r="T1708" s="7" t="s">
        <v>54</v>
      </c>
      <c r="U1708" s="7" t="s">
        <v>605</v>
      </c>
      <c r="V1708" s="7" t="s">
        <v>382</v>
      </c>
      <c r="W1708" s="7" t="s">
        <v>74</v>
      </c>
      <c r="X1708" s="7" t="s">
        <v>103</v>
      </c>
      <c r="Y1708" s="8">
        <v>44708</v>
      </c>
      <c r="Z1708" s="8">
        <v>44926</v>
      </c>
      <c r="AA1708" s="7" t="s">
        <v>383</v>
      </c>
      <c r="AB1708" s="7" t="s">
        <v>1893</v>
      </c>
      <c r="AC1708" s="7" t="s">
        <v>79</v>
      </c>
      <c r="AD1708" s="7" t="s">
        <v>144</v>
      </c>
      <c r="AE1708" s="7" t="s">
        <v>889</v>
      </c>
      <c r="AF1708" s="7" t="s">
        <v>0</v>
      </c>
      <c r="AG1708" s="7" t="s">
        <v>0</v>
      </c>
      <c r="AH1708" s="9" t="s">
        <v>12694</v>
      </c>
      <c r="AI1708" s="9" t="s">
        <v>12694</v>
      </c>
      <c r="AJ1708" s="9">
        <v>0</v>
      </c>
      <c r="AK1708" s="7" t="s">
        <v>61</v>
      </c>
      <c r="AL1708" s="7" t="s">
        <v>61</v>
      </c>
      <c r="AM1708" s="7" t="s">
        <v>0</v>
      </c>
      <c r="AN1708" s="7" t="s">
        <v>0</v>
      </c>
      <c r="AO1708" s="7" t="s">
        <v>0</v>
      </c>
      <c r="AP1708" s="7" t="s">
        <v>0</v>
      </c>
      <c r="AQ1708" s="7" t="s">
        <v>61</v>
      </c>
      <c r="AR1708" s="7" t="s">
        <v>0</v>
      </c>
      <c r="AS1708" s="10" t="str">
        <f>HYPERLINK("https://tessa.gazprom-neft.local/edo/card/d2a28512-ba30-4090-8be1-bae787218674", "https://tessa.gazprom-neft.local/edo/card/d2a28512-ba30-4090-8be1-bae787218674")</f>
        <v>https://tessa.gazprom-neft.local/edo/card/d2a28512-ba30-4090-8be1-bae787218674</v>
      </c>
    </row>
    <row r="1709" spans="1:45" hidden="1" x14ac:dyDescent="0.25">
      <c r="A1709" s="6" t="s">
        <v>44</v>
      </c>
      <c r="B1709" s="7" t="s">
        <v>5927</v>
      </c>
      <c r="C1709" s="7" t="s">
        <v>67</v>
      </c>
      <c r="D1709" s="8">
        <v>44708</v>
      </c>
      <c r="E1709" s="8" t="s">
        <v>0</v>
      </c>
      <c r="F1709" s="16" t="s">
        <v>5928</v>
      </c>
      <c r="G1709" s="7" t="s">
        <v>5929</v>
      </c>
      <c r="H1709" s="7" t="s">
        <v>0</v>
      </c>
      <c r="I1709" s="7" t="s">
        <v>6938</v>
      </c>
      <c r="J1709" s="7" t="s">
        <v>6938</v>
      </c>
      <c r="K1709" s="7" t="s">
        <v>85</v>
      </c>
      <c r="L1709" s="7" t="s">
        <v>86</v>
      </c>
      <c r="M1709" s="7" t="s">
        <v>289</v>
      </c>
      <c r="N1709" s="7" t="s">
        <v>6937</v>
      </c>
      <c r="O1709" s="7" t="s">
        <v>0</v>
      </c>
      <c r="P1709" s="7" t="s">
        <v>289</v>
      </c>
      <c r="Q1709" s="7" t="s">
        <v>300</v>
      </c>
      <c r="R1709" s="7" t="s">
        <v>5423</v>
      </c>
      <c r="S1709" s="7" t="s">
        <v>5423</v>
      </c>
      <c r="T1709" s="7" t="s">
        <v>54</v>
      </c>
      <c r="U1709" s="7" t="s">
        <v>199</v>
      </c>
      <c r="V1709" s="7" t="s">
        <v>723</v>
      </c>
      <c r="W1709" s="7" t="s">
        <v>57</v>
      </c>
      <c r="X1709" s="7" t="s">
        <v>223</v>
      </c>
      <c r="Y1709" s="8">
        <v>44708</v>
      </c>
      <c r="Z1709" s="8" t="s">
        <v>0</v>
      </c>
      <c r="AA1709" s="7" t="s">
        <v>1031</v>
      </c>
      <c r="AB1709" s="7" t="s">
        <v>300</v>
      </c>
      <c r="AC1709" s="7" t="s">
        <v>65</v>
      </c>
      <c r="AD1709" s="7" t="s">
        <v>0</v>
      </c>
      <c r="AE1709" s="7" t="s">
        <v>0</v>
      </c>
      <c r="AF1709" s="7" t="s">
        <v>0</v>
      </c>
      <c r="AG1709" s="7" t="s">
        <v>0</v>
      </c>
      <c r="AH1709" s="9" t="s">
        <v>0</v>
      </c>
      <c r="AI1709" s="9" t="s">
        <v>0</v>
      </c>
      <c r="AJ1709" s="9" t="s">
        <v>0</v>
      </c>
      <c r="AK1709" s="7" t="s">
        <v>61</v>
      </c>
      <c r="AL1709" s="7" t="s">
        <v>61</v>
      </c>
      <c r="AM1709" s="7" t="s">
        <v>0</v>
      </c>
      <c r="AN1709" s="7" t="s">
        <v>0</v>
      </c>
      <c r="AO1709" s="7" t="s">
        <v>0</v>
      </c>
      <c r="AP1709" s="7" t="s">
        <v>0</v>
      </c>
      <c r="AQ1709" s="7" t="s">
        <v>61</v>
      </c>
      <c r="AR1709" s="7" t="s">
        <v>0</v>
      </c>
      <c r="AS1709" s="10" t="str">
        <f>HYPERLINK("https://tessa.gazprom-neft.local/edo/card/564ac575-7f74-4e6f-9f25-30763678cb3f", "https://tessa.gazprom-neft.local/edo/card/564ac575-7f74-4e6f-9f25-30763678cb3f")</f>
        <v>https://tessa.gazprom-neft.local/edo/card/564ac575-7f74-4e6f-9f25-30763678cb3f</v>
      </c>
    </row>
    <row r="1710" spans="1:45" hidden="1" x14ac:dyDescent="0.25">
      <c r="A1710" s="6" t="s">
        <v>44</v>
      </c>
      <c r="B1710" s="7" t="s">
        <v>5927</v>
      </c>
      <c r="C1710" s="7" t="s">
        <v>67</v>
      </c>
      <c r="D1710" s="8">
        <v>44708</v>
      </c>
      <c r="E1710" s="8" t="s">
        <v>0</v>
      </c>
      <c r="F1710" s="16" t="s">
        <v>5928</v>
      </c>
      <c r="G1710" s="7" t="s">
        <v>5929</v>
      </c>
      <c r="H1710" s="7" t="s">
        <v>0</v>
      </c>
      <c r="I1710" s="7" t="s">
        <v>7042</v>
      </c>
      <c r="J1710" s="7" t="s">
        <v>7042</v>
      </c>
      <c r="K1710" s="7" t="s">
        <v>85</v>
      </c>
      <c r="L1710" s="7" t="s">
        <v>86</v>
      </c>
      <c r="M1710" s="7" t="s">
        <v>3500</v>
      </c>
      <c r="N1710" s="7" t="s">
        <v>7041</v>
      </c>
      <c r="O1710" s="7" t="s">
        <v>0</v>
      </c>
      <c r="P1710" s="7" t="s">
        <v>3500</v>
      </c>
      <c r="Q1710" s="7" t="s">
        <v>7043</v>
      </c>
      <c r="R1710" s="7" t="s">
        <v>5423</v>
      </c>
      <c r="S1710" s="7" t="s">
        <v>5423</v>
      </c>
      <c r="T1710" s="7" t="s">
        <v>54</v>
      </c>
      <c r="U1710" s="7" t="s">
        <v>199</v>
      </c>
      <c r="V1710" s="7" t="s">
        <v>723</v>
      </c>
      <c r="W1710" s="7" t="s">
        <v>57</v>
      </c>
      <c r="X1710" s="7" t="s">
        <v>223</v>
      </c>
      <c r="Y1710" s="8">
        <v>44708</v>
      </c>
      <c r="Z1710" s="8" t="s">
        <v>0</v>
      </c>
      <c r="AA1710" s="7" t="s">
        <v>1031</v>
      </c>
      <c r="AB1710" s="7" t="s">
        <v>94</v>
      </c>
      <c r="AC1710" s="7" t="s">
        <v>65</v>
      </c>
      <c r="AD1710" s="7" t="s">
        <v>0</v>
      </c>
      <c r="AE1710" s="7" t="s">
        <v>0</v>
      </c>
      <c r="AF1710" s="7" t="s">
        <v>0</v>
      </c>
      <c r="AG1710" s="7" t="s">
        <v>0</v>
      </c>
      <c r="AH1710" s="9" t="s">
        <v>0</v>
      </c>
      <c r="AI1710" s="9" t="s">
        <v>0</v>
      </c>
      <c r="AJ1710" s="9" t="s">
        <v>0</v>
      </c>
      <c r="AK1710" s="7" t="s">
        <v>61</v>
      </c>
      <c r="AL1710" s="7" t="s">
        <v>61</v>
      </c>
      <c r="AM1710" s="7" t="s">
        <v>0</v>
      </c>
      <c r="AN1710" s="7" t="s">
        <v>0</v>
      </c>
      <c r="AO1710" s="7" t="s">
        <v>0</v>
      </c>
      <c r="AP1710" s="7" t="s">
        <v>0</v>
      </c>
      <c r="AQ1710" s="7" t="s">
        <v>61</v>
      </c>
      <c r="AR1710" s="7" t="s">
        <v>0</v>
      </c>
      <c r="AS1710" s="10" t="str">
        <f>HYPERLINK("https://tessa.gazprom-neft.local/edo/card/963fdc78-21ac-4486-aef9-cb0ea93bdb04", "https://tessa.gazprom-neft.local/edo/card/963fdc78-21ac-4486-aef9-cb0ea93bdb04")</f>
        <v>https://tessa.gazprom-neft.local/edo/card/963fdc78-21ac-4486-aef9-cb0ea93bdb04</v>
      </c>
    </row>
    <row r="1711" spans="1:45" x14ac:dyDescent="0.25">
      <c r="A1711" s="6" t="s">
        <v>44</v>
      </c>
      <c r="B1711" s="7" t="s">
        <v>964</v>
      </c>
      <c r="C1711" s="7" t="s">
        <v>67</v>
      </c>
      <c r="D1711" s="8">
        <v>44707</v>
      </c>
      <c r="E1711" s="8" t="s">
        <v>0</v>
      </c>
      <c r="F1711" s="16" t="s">
        <v>965</v>
      </c>
      <c r="G1711" s="7" t="s">
        <v>966</v>
      </c>
      <c r="H1711" s="7" t="s">
        <v>1060</v>
      </c>
      <c r="I1711" s="7" t="s">
        <v>0</v>
      </c>
      <c r="J1711" s="7" t="s">
        <v>51</v>
      </c>
      <c r="K1711" s="7" t="s">
        <v>85</v>
      </c>
      <c r="L1711" s="7" t="s">
        <v>48</v>
      </c>
      <c r="M1711" s="7" t="s">
        <v>5649</v>
      </c>
      <c r="N1711" s="7" t="s">
        <v>5730</v>
      </c>
      <c r="O1711" s="7" t="s">
        <v>0</v>
      </c>
      <c r="P1711" s="7" t="s">
        <v>5649</v>
      </c>
      <c r="Q1711" s="7" t="s">
        <v>5731</v>
      </c>
      <c r="R1711" s="7" t="s">
        <v>293</v>
      </c>
      <c r="S1711" s="7" t="s">
        <v>293</v>
      </c>
      <c r="T1711" s="7" t="s">
        <v>54</v>
      </c>
      <c r="U1711" s="7" t="s">
        <v>362</v>
      </c>
      <c r="V1711" s="7" t="s">
        <v>295</v>
      </c>
      <c r="W1711" s="7" t="s">
        <v>57</v>
      </c>
      <c r="X1711" s="7" t="s">
        <v>58</v>
      </c>
      <c r="Y1711" s="8">
        <v>44707</v>
      </c>
      <c r="Z1711" s="8" t="s">
        <v>0</v>
      </c>
      <c r="AA1711" s="7" t="s">
        <v>296</v>
      </c>
      <c r="AB1711" s="7" t="s">
        <v>500</v>
      </c>
      <c r="AC1711" s="7" t="s">
        <v>65</v>
      </c>
      <c r="AD1711" s="7" t="s">
        <v>80</v>
      </c>
      <c r="AE1711" s="7" t="s">
        <v>0</v>
      </c>
      <c r="AF1711" s="7" t="s">
        <v>0</v>
      </c>
      <c r="AG1711" s="7" t="s">
        <v>0</v>
      </c>
      <c r="AH1711" s="9" t="s">
        <v>0</v>
      </c>
      <c r="AI1711" s="9" t="s">
        <v>0</v>
      </c>
      <c r="AJ1711" s="9" t="s">
        <v>0</v>
      </c>
      <c r="AK1711" s="7" t="s">
        <v>61</v>
      </c>
      <c r="AL1711" s="7" t="s">
        <v>61</v>
      </c>
      <c r="AM1711" s="7" t="s">
        <v>0</v>
      </c>
      <c r="AN1711" s="7" t="s">
        <v>0</v>
      </c>
      <c r="AO1711" s="7" t="s">
        <v>0</v>
      </c>
      <c r="AP1711" s="7" t="s">
        <v>0</v>
      </c>
      <c r="AQ1711" s="7" t="s">
        <v>61</v>
      </c>
      <c r="AR1711" s="7" t="s">
        <v>0</v>
      </c>
      <c r="AS1711" s="10" t="str">
        <f>HYPERLINK("https://tessa.gazprom-neft.local/edo/card/cff3661d-4336-4218-b895-c77ff67f7939", "https://tessa.gazprom-neft.local/edo/card/cff3661d-4336-4218-b895-c77ff67f7939")</f>
        <v>https://tessa.gazprom-neft.local/edo/card/cff3661d-4336-4218-b895-c77ff67f7939</v>
      </c>
    </row>
    <row r="1712" spans="1:45" x14ac:dyDescent="0.25">
      <c r="A1712" s="6" t="s">
        <v>44</v>
      </c>
      <c r="B1712" s="7" t="s">
        <v>3503</v>
      </c>
      <c r="C1712" s="7" t="s">
        <v>67</v>
      </c>
      <c r="D1712" s="8">
        <v>44707</v>
      </c>
      <c r="E1712" s="8" t="s">
        <v>0</v>
      </c>
      <c r="F1712" s="16" t="s">
        <v>3504</v>
      </c>
      <c r="G1712" s="7" t="s">
        <v>3505</v>
      </c>
      <c r="H1712" s="7" t="s">
        <v>5746</v>
      </c>
      <c r="I1712" s="7" t="s">
        <v>0</v>
      </c>
      <c r="J1712" s="7" t="s">
        <v>51</v>
      </c>
      <c r="K1712" s="7" t="s">
        <v>85</v>
      </c>
      <c r="L1712" s="7" t="s">
        <v>48</v>
      </c>
      <c r="M1712" s="7" t="s">
        <v>5649</v>
      </c>
      <c r="N1712" s="7" t="s">
        <v>5745</v>
      </c>
      <c r="O1712" s="7" t="s">
        <v>0</v>
      </c>
      <c r="P1712" s="7" t="s">
        <v>5649</v>
      </c>
      <c r="Q1712" s="7" t="s">
        <v>5731</v>
      </c>
      <c r="R1712" s="7" t="s">
        <v>293</v>
      </c>
      <c r="S1712" s="7" t="s">
        <v>293</v>
      </c>
      <c r="T1712" s="7" t="s">
        <v>54</v>
      </c>
      <c r="U1712" s="7" t="s">
        <v>362</v>
      </c>
      <c r="V1712" s="7" t="s">
        <v>295</v>
      </c>
      <c r="W1712" s="7" t="s">
        <v>57</v>
      </c>
      <c r="X1712" s="7" t="s">
        <v>58</v>
      </c>
      <c r="Y1712" s="8">
        <v>44707</v>
      </c>
      <c r="Z1712" s="8" t="s">
        <v>0</v>
      </c>
      <c r="AA1712" s="7" t="s">
        <v>296</v>
      </c>
      <c r="AB1712" s="7" t="s">
        <v>500</v>
      </c>
      <c r="AC1712" s="7" t="s">
        <v>65</v>
      </c>
      <c r="AD1712" s="7" t="s">
        <v>80</v>
      </c>
      <c r="AE1712" s="7" t="s">
        <v>0</v>
      </c>
      <c r="AF1712" s="7" t="s">
        <v>0</v>
      </c>
      <c r="AG1712" s="7" t="s">
        <v>0</v>
      </c>
      <c r="AH1712" s="9" t="s">
        <v>0</v>
      </c>
      <c r="AI1712" s="9" t="s">
        <v>0</v>
      </c>
      <c r="AJ1712" s="9" t="s">
        <v>0</v>
      </c>
      <c r="AK1712" s="7" t="s">
        <v>61</v>
      </c>
      <c r="AL1712" s="7" t="s">
        <v>61</v>
      </c>
      <c r="AM1712" s="7" t="s">
        <v>0</v>
      </c>
      <c r="AN1712" s="7" t="s">
        <v>0</v>
      </c>
      <c r="AO1712" s="7" t="s">
        <v>0</v>
      </c>
      <c r="AP1712" s="7" t="s">
        <v>0</v>
      </c>
      <c r="AQ1712" s="7" t="s">
        <v>61</v>
      </c>
      <c r="AR1712" s="7" t="s">
        <v>0</v>
      </c>
      <c r="AS1712" s="10" t="str">
        <f>HYPERLINK("https://tessa.gazprom-neft.local/edo/card/00d8823a-6962-4b80-adae-ef2a145c8b4f", "https://tessa.gazprom-neft.local/edo/card/00d8823a-6962-4b80-adae-ef2a145c8b4f")</f>
        <v>https://tessa.gazprom-neft.local/edo/card/00d8823a-6962-4b80-adae-ef2a145c8b4f</v>
      </c>
    </row>
    <row r="1713" spans="1:45" x14ac:dyDescent="0.25">
      <c r="A1713" s="6" t="s">
        <v>44</v>
      </c>
      <c r="B1713" s="7" t="s">
        <v>964</v>
      </c>
      <c r="C1713" s="7" t="s">
        <v>67</v>
      </c>
      <c r="D1713" s="8">
        <v>44707</v>
      </c>
      <c r="E1713" s="8" t="s">
        <v>0</v>
      </c>
      <c r="F1713" s="16" t="s">
        <v>965</v>
      </c>
      <c r="G1713" s="7" t="s">
        <v>966</v>
      </c>
      <c r="H1713" s="7" t="s">
        <v>5778</v>
      </c>
      <c r="I1713" s="7" t="s">
        <v>0</v>
      </c>
      <c r="J1713" s="7" t="s">
        <v>51</v>
      </c>
      <c r="K1713" s="7" t="s">
        <v>85</v>
      </c>
      <c r="L1713" s="7" t="s">
        <v>48</v>
      </c>
      <c r="M1713" s="7" t="s">
        <v>5649</v>
      </c>
      <c r="N1713" s="7" t="s">
        <v>5777</v>
      </c>
      <c r="O1713" s="7" t="s">
        <v>0</v>
      </c>
      <c r="P1713" s="7" t="s">
        <v>5649</v>
      </c>
      <c r="Q1713" s="7" t="s">
        <v>5731</v>
      </c>
      <c r="R1713" s="7" t="s">
        <v>293</v>
      </c>
      <c r="S1713" s="7" t="s">
        <v>293</v>
      </c>
      <c r="T1713" s="7" t="s">
        <v>54</v>
      </c>
      <c r="U1713" s="7" t="s">
        <v>362</v>
      </c>
      <c r="V1713" s="7" t="s">
        <v>295</v>
      </c>
      <c r="W1713" s="7" t="s">
        <v>57</v>
      </c>
      <c r="X1713" s="7" t="s">
        <v>58</v>
      </c>
      <c r="Y1713" s="8">
        <v>44707</v>
      </c>
      <c r="Z1713" s="8" t="s">
        <v>0</v>
      </c>
      <c r="AA1713" s="7" t="s">
        <v>296</v>
      </c>
      <c r="AB1713" s="7" t="s">
        <v>5779</v>
      </c>
      <c r="AC1713" s="7" t="s">
        <v>65</v>
      </c>
      <c r="AD1713" s="7" t="s">
        <v>0</v>
      </c>
      <c r="AE1713" s="7" t="s">
        <v>0</v>
      </c>
      <c r="AF1713" s="7" t="s">
        <v>0</v>
      </c>
      <c r="AG1713" s="7" t="s">
        <v>0</v>
      </c>
      <c r="AH1713" s="9" t="s">
        <v>0</v>
      </c>
      <c r="AI1713" s="9" t="s">
        <v>0</v>
      </c>
      <c r="AJ1713" s="9" t="s">
        <v>0</v>
      </c>
      <c r="AK1713" s="7" t="s">
        <v>61</v>
      </c>
      <c r="AL1713" s="7" t="s">
        <v>61</v>
      </c>
      <c r="AM1713" s="7" t="s">
        <v>0</v>
      </c>
      <c r="AN1713" s="7" t="s">
        <v>0</v>
      </c>
      <c r="AO1713" s="7" t="s">
        <v>0</v>
      </c>
      <c r="AP1713" s="7" t="s">
        <v>0</v>
      </c>
      <c r="AQ1713" s="7" t="s">
        <v>61</v>
      </c>
      <c r="AR1713" s="7" t="s">
        <v>0</v>
      </c>
      <c r="AS1713" s="10" t="str">
        <f>HYPERLINK("https://tessa.gazprom-neft.local/edo/card/01eaf10a-7f0c-4027-b52b-7282d51d2b23", "https://tessa.gazprom-neft.local/edo/card/01eaf10a-7f0c-4027-b52b-7282d51d2b23")</f>
        <v>https://tessa.gazprom-neft.local/edo/card/01eaf10a-7f0c-4027-b52b-7282d51d2b23</v>
      </c>
    </row>
    <row r="1714" spans="1:45" x14ac:dyDescent="0.25">
      <c r="A1714" s="6" t="s">
        <v>44</v>
      </c>
      <c r="B1714" s="7" t="s">
        <v>1950</v>
      </c>
      <c r="C1714" s="7" t="s">
        <v>67</v>
      </c>
      <c r="D1714" s="8">
        <v>44707</v>
      </c>
      <c r="E1714" s="8" t="s">
        <v>0</v>
      </c>
      <c r="F1714" s="16" t="s">
        <v>1951</v>
      </c>
      <c r="G1714" s="7" t="s">
        <v>1952</v>
      </c>
      <c r="H1714" s="7" t="s">
        <v>1947</v>
      </c>
      <c r="I1714" s="7" t="s">
        <v>0</v>
      </c>
      <c r="J1714" s="7" t="s">
        <v>156</v>
      </c>
      <c r="K1714" s="7" t="s">
        <v>85</v>
      </c>
      <c r="L1714" s="7" t="s">
        <v>48</v>
      </c>
      <c r="M1714" s="7" t="s">
        <v>3833</v>
      </c>
      <c r="N1714" s="7" t="s">
        <v>5847</v>
      </c>
      <c r="O1714" s="7" t="s">
        <v>0</v>
      </c>
      <c r="P1714" s="7" t="s">
        <v>3833</v>
      </c>
      <c r="Q1714" s="7" t="s">
        <v>5848</v>
      </c>
      <c r="R1714" s="7" t="s">
        <v>1711</v>
      </c>
      <c r="S1714" s="7" t="s">
        <v>1711</v>
      </c>
      <c r="T1714" s="7" t="s">
        <v>54</v>
      </c>
      <c r="U1714" s="7" t="s">
        <v>605</v>
      </c>
      <c r="V1714" s="7" t="s">
        <v>382</v>
      </c>
      <c r="W1714" s="7" t="s">
        <v>57</v>
      </c>
      <c r="X1714" s="7" t="s">
        <v>103</v>
      </c>
      <c r="Y1714" s="8">
        <v>44708</v>
      </c>
      <c r="Z1714" s="8">
        <v>45657</v>
      </c>
      <c r="AA1714" s="7" t="s">
        <v>383</v>
      </c>
      <c r="AB1714" s="7" t="s">
        <v>1893</v>
      </c>
      <c r="AC1714" s="7" t="s">
        <v>65</v>
      </c>
      <c r="AD1714" s="7" t="s">
        <v>144</v>
      </c>
      <c r="AE1714" s="7" t="s">
        <v>0</v>
      </c>
      <c r="AF1714" s="7" t="s">
        <v>0</v>
      </c>
      <c r="AG1714" s="7" t="s">
        <v>0</v>
      </c>
      <c r="AH1714" s="9" t="s">
        <v>0</v>
      </c>
      <c r="AI1714" s="9" t="s">
        <v>0</v>
      </c>
      <c r="AJ1714" s="9" t="s">
        <v>0</v>
      </c>
      <c r="AK1714" s="7" t="s">
        <v>61</v>
      </c>
      <c r="AL1714" s="7" t="s">
        <v>61</v>
      </c>
      <c r="AM1714" s="7" t="s">
        <v>0</v>
      </c>
      <c r="AN1714" s="7" t="s">
        <v>0</v>
      </c>
      <c r="AO1714" s="7" t="s">
        <v>0</v>
      </c>
      <c r="AP1714" s="7" t="s">
        <v>0</v>
      </c>
      <c r="AQ1714" s="7" t="s">
        <v>61</v>
      </c>
      <c r="AR1714" s="7" t="s">
        <v>0</v>
      </c>
      <c r="AS1714" s="10" t="str">
        <f>HYPERLINK("https://tessa.gazprom-neft.local/edo/card/a344c562-b685-4579-aa88-ce74176cdf5f", "https://tessa.gazprom-neft.local/edo/card/a344c562-b685-4579-aa88-ce74176cdf5f")</f>
        <v>https://tessa.gazprom-neft.local/edo/card/a344c562-b685-4579-aa88-ce74176cdf5f</v>
      </c>
    </row>
    <row r="1715" spans="1:45" x14ac:dyDescent="0.25">
      <c r="A1715" s="6" t="s">
        <v>44</v>
      </c>
      <c r="B1715" s="7" t="s">
        <v>2362</v>
      </c>
      <c r="C1715" s="7" t="s">
        <v>67</v>
      </c>
      <c r="D1715" s="8">
        <v>44707</v>
      </c>
      <c r="E1715" s="8" t="s">
        <v>0</v>
      </c>
      <c r="F1715" s="16" t="s">
        <v>2363</v>
      </c>
      <c r="G1715" s="7" t="s">
        <v>2364</v>
      </c>
      <c r="H1715" s="7" t="s">
        <v>5864</v>
      </c>
      <c r="I1715" s="7" t="s">
        <v>0</v>
      </c>
      <c r="J1715" s="7" t="s">
        <v>156</v>
      </c>
      <c r="K1715" s="7" t="s">
        <v>85</v>
      </c>
      <c r="L1715" s="7" t="s">
        <v>48</v>
      </c>
      <c r="M1715" s="7" t="s">
        <v>3833</v>
      </c>
      <c r="N1715" s="7" t="s">
        <v>5863</v>
      </c>
      <c r="O1715" s="7" t="s">
        <v>0</v>
      </c>
      <c r="P1715" s="7" t="s">
        <v>3833</v>
      </c>
      <c r="Q1715" s="7" t="s">
        <v>3833</v>
      </c>
      <c r="R1715" s="7" t="s">
        <v>938</v>
      </c>
      <c r="S1715" s="7" t="s">
        <v>938</v>
      </c>
      <c r="T1715" s="7" t="s">
        <v>54</v>
      </c>
      <c r="U1715" s="7" t="s">
        <v>605</v>
      </c>
      <c r="V1715" s="7" t="s">
        <v>382</v>
      </c>
      <c r="W1715" s="7" t="s">
        <v>57</v>
      </c>
      <c r="X1715" s="7" t="s">
        <v>103</v>
      </c>
      <c r="Y1715" s="8">
        <v>44707</v>
      </c>
      <c r="Z1715" s="8">
        <v>45291</v>
      </c>
      <c r="AA1715" s="7" t="s">
        <v>383</v>
      </c>
      <c r="AB1715" s="7" t="s">
        <v>130</v>
      </c>
      <c r="AC1715" s="7" t="s">
        <v>65</v>
      </c>
      <c r="AD1715" s="7" t="s">
        <v>0</v>
      </c>
      <c r="AE1715" s="7" t="s">
        <v>0</v>
      </c>
      <c r="AF1715" s="7" t="s">
        <v>0</v>
      </c>
      <c r="AG1715" s="7" t="s">
        <v>0</v>
      </c>
      <c r="AH1715" s="9" t="s">
        <v>0</v>
      </c>
      <c r="AI1715" s="9" t="s">
        <v>0</v>
      </c>
      <c r="AJ1715" s="9" t="s">
        <v>0</v>
      </c>
      <c r="AK1715" s="7" t="s">
        <v>61</v>
      </c>
      <c r="AL1715" s="7" t="s">
        <v>61</v>
      </c>
      <c r="AM1715" s="7" t="s">
        <v>0</v>
      </c>
      <c r="AN1715" s="7" t="s">
        <v>0</v>
      </c>
      <c r="AO1715" s="7" t="s">
        <v>0</v>
      </c>
      <c r="AP1715" s="7" t="s">
        <v>0</v>
      </c>
      <c r="AQ1715" s="7" t="s">
        <v>61</v>
      </c>
      <c r="AR1715" s="7" t="s">
        <v>0</v>
      </c>
      <c r="AS1715" s="10" t="str">
        <f>HYPERLINK("https://tessa.gazprom-neft.local/edo/card/0ef9d72b-aa9a-4006-8701-8a1b38da2202", "https://tessa.gazprom-neft.local/edo/card/0ef9d72b-aa9a-4006-8701-8a1b38da2202")</f>
        <v>https://tessa.gazprom-neft.local/edo/card/0ef9d72b-aa9a-4006-8701-8a1b38da2202</v>
      </c>
    </row>
    <row r="1716" spans="1:45" x14ac:dyDescent="0.25">
      <c r="A1716" s="6" t="s">
        <v>44</v>
      </c>
      <c r="B1716" s="7" t="s">
        <v>5815</v>
      </c>
      <c r="C1716" s="7" t="s">
        <v>67</v>
      </c>
      <c r="D1716" s="8">
        <v>44707</v>
      </c>
      <c r="E1716" s="8" t="s">
        <v>0</v>
      </c>
      <c r="F1716" s="16" t="s">
        <v>5816</v>
      </c>
      <c r="G1716" s="7" t="s">
        <v>5817</v>
      </c>
      <c r="H1716" s="7" t="s">
        <v>5874</v>
      </c>
      <c r="I1716" s="7" t="s">
        <v>0</v>
      </c>
      <c r="J1716" s="7" t="s">
        <v>51</v>
      </c>
      <c r="K1716" s="7" t="s">
        <v>47</v>
      </c>
      <c r="L1716" s="7" t="s">
        <v>48</v>
      </c>
      <c r="M1716" s="7" t="s">
        <v>0</v>
      </c>
      <c r="N1716" s="7" t="s">
        <v>5873</v>
      </c>
      <c r="O1716" s="7" t="s">
        <v>0</v>
      </c>
      <c r="P1716" s="7" t="s">
        <v>50</v>
      </c>
      <c r="Q1716" s="7" t="s">
        <v>5875</v>
      </c>
      <c r="R1716" s="7" t="s">
        <v>1481</v>
      </c>
      <c r="S1716" s="7" t="s">
        <v>1481</v>
      </c>
      <c r="T1716" s="7" t="s">
        <v>54</v>
      </c>
      <c r="U1716" s="7" t="s">
        <v>777</v>
      </c>
      <c r="V1716" s="7" t="s">
        <v>137</v>
      </c>
      <c r="W1716" s="7" t="s">
        <v>57</v>
      </c>
      <c r="X1716" s="7" t="s">
        <v>103</v>
      </c>
      <c r="Y1716" s="8">
        <v>44707</v>
      </c>
      <c r="Z1716" s="8">
        <v>44926</v>
      </c>
      <c r="AA1716" s="7" t="s">
        <v>0</v>
      </c>
      <c r="AB1716" s="7" t="s">
        <v>300</v>
      </c>
      <c r="AC1716" s="7" t="s">
        <v>65</v>
      </c>
      <c r="AD1716" s="7" t="s">
        <v>0</v>
      </c>
      <c r="AE1716" s="7" t="s">
        <v>0</v>
      </c>
      <c r="AF1716" s="7" t="s">
        <v>0</v>
      </c>
      <c r="AG1716" s="7" t="s">
        <v>0</v>
      </c>
      <c r="AH1716" s="9" t="s">
        <v>0</v>
      </c>
      <c r="AI1716" s="9" t="s">
        <v>0</v>
      </c>
      <c r="AJ1716" s="9" t="s">
        <v>0</v>
      </c>
      <c r="AK1716" s="7" t="s">
        <v>61</v>
      </c>
      <c r="AL1716" s="7" t="s">
        <v>61</v>
      </c>
      <c r="AM1716" s="7" t="s">
        <v>0</v>
      </c>
      <c r="AN1716" s="7" t="s">
        <v>0</v>
      </c>
      <c r="AO1716" s="7" t="s">
        <v>0</v>
      </c>
      <c r="AP1716" s="7" t="s">
        <v>0</v>
      </c>
      <c r="AQ1716" s="7" t="s">
        <v>61</v>
      </c>
      <c r="AR1716" s="7" t="s">
        <v>0</v>
      </c>
      <c r="AS1716" s="10" t="str">
        <f>HYPERLINK("https://tessa.gazprom-neft.local/edo/card/4ff51743-0b63-4941-ad80-aab40a596ee6", "https://tessa.gazprom-neft.local/edo/card/4ff51743-0b63-4941-ad80-aab40a596ee6")</f>
        <v>https://tessa.gazprom-neft.local/edo/card/4ff51743-0b63-4941-ad80-aab40a596ee6</v>
      </c>
    </row>
    <row r="1717" spans="1:45" x14ac:dyDescent="0.25">
      <c r="A1717" s="6" t="s">
        <v>44</v>
      </c>
      <c r="B1717" s="7" t="s">
        <v>964</v>
      </c>
      <c r="C1717" s="7" t="s">
        <v>67</v>
      </c>
      <c r="D1717" s="8">
        <v>44706</v>
      </c>
      <c r="E1717" s="8" t="s">
        <v>0</v>
      </c>
      <c r="F1717" s="16" t="s">
        <v>965</v>
      </c>
      <c r="G1717" s="7" t="s">
        <v>966</v>
      </c>
      <c r="H1717" s="7" t="s">
        <v>5837</v>
      </c>
      <c r="I1717" s="7" t="s">
        <v>0</v>
      </c>
      <c r="J1717" s="7" t="s">
        <v>51</v>
      </c>
      <c r="K1717" s="7" t="s">
        <v>47</v>
      </c>
      <c r="L1717" s="7" t="s">
        <v>48</v>
      </c>
      <c r="M1717" s="7" t="s">
        <v>0</v>
      </c>
      <c r="N1717" s="7" t="s">
        <v>5836</v>
      </c>
      <c r="O1717" s="7" t="s">
        <v>0</v>
      </c>
      <c r="P1717" s="7" t="s">
        <v>5838</v>
      </c>
      <c r="Q1717" s="7" t="s">
        <v>5839</v>
      </c>
      <c r="R1717" s="7" t="s">
        <v>659</v>
      </c>
      <c r="S1717" s="7" t="s">
        <v>1120</v>
      </c>
      <c r="T1717" s="7" t="s">
        <v>54</v>
      </c>
      <c r="U1717" s="7" t="s">
        <v>362</v>
      </c>
      <c r="V1717" s="7" t="s">
        <v>295</v>
      </c>
      <c r="W1717" s="7" t="s">
        <v>57</v>
      </c>
      <c r="X1717" s="7" t="s">
        <v>103</v>
      </c>
      <c r="Y1717" s="8">
        <v>44706</v>
      </c>
      <c r="Z1717" s="8">
        <v>44926</v>
      </c>
      <c r="AA1717" s="7" t="s">
        <v>296</v>
      </c>
      <c r="AB1717" s="7" t="s">
        <v>130</v>
      </c>
      <c r="AC1717" s="7" t="s">
        <v>79</v>
      </c>
      <c r="AD1717" s="7" t="s">
        <v>80</v>
      </c>
      <c r="AE1717" s="7" t="s">
        <v>82</v>
      </c>
      <c r="AF1717" s="7" t="s">
        <v>0</v>
      </c>
      <c r="AG1717" s="7" t="s">
        <v>0</v>
      </c>
      <c r="AH1717" s="9">
        <v>0.01</v>
      </c>
      <c r="AI1717" s="9">
        <v>0.01</v>
      </c>
      <c r="AJ1717" s="9">
        <v>0</v>
      </c>
      <c r="AK1717" s="7" t="s">
        <v>61</v>
      </c>
      <c r="AL1717" s="7" t="s">
        <v>61</v>
      </c>
      <c r="AM1717" s="7" t="s">
        <v>0</v>
      </c>
      <c r="AN1717" s="7" t="s">
        <v>0</v>
      </c>
      <c r="AO1717" s="7" t="s">
        <v>0</v>
      </c>
      <c r="AP1717" s="7" t="s">
        <v>0</v>
      </c>
      <c r="AQ1717" s="7" t="s">
        <v>61</v>
      </c>
      <c r="AR1717" s="7" t="s">
        <v>0</v>
      </c>
      <c r="AS1717" s="10" t="str">
        <f>HYPERLINK("https://tessa.gazprom-neft.local/edo/card/56e5df8e-4798-4606-9472-1b35fd95a945", "https://tessa.gazprom-neft.local/edo/card/56e5df8e-4798-4606-9472-1b35fd95a945")</f>
        <v>https://tessa.gazprom-neft.local/edo/card/56e5df8e-4798-4606-9472-1b35fd95a945</v>
      </c>
    </row>
    <row r="1718" spans="1:45" hidden="1" x14ac:dyDescent="0.25">
      <c r="A1718" s="6" t="s">
        <v>44</v>
      </c>
      <c r="B1718" s="7" t="s">
        <v>5815</v>
      </c>
      <c r="C1718" s="7" t="s">
        <v>67</v>
      </c>
      <c r="D1718" s="8">
        <v>44705</v>
      </c>
      <c r="E1718" s="8" t="s">
        <v>0</v>
      </c>
      <c r="F1718" s="16" t="s">
        <v>5816</v>
      </c>
      <c r="G1718" s="7" t="s">
        <v>5817</v>
      </c>
      <c r="H1718" s="7" t="s">
        <v>0</v>
      </c>
      <c r="I1718" s="7" t="s">
        <v>5814</v>
      </c>
      <c r="J1718" s="7" t="s">
        <v>5814</v>
      </c>
      <c r="K1718" s="7" t="s">
        <v>85</v>
      </c>
      <c r="L1718" s="7" t="s">
        <v>86</v>
      </c>
      <c r="M1718" s="7" t="s">
        <v>289</v>
      </c>
      <c r="N1718" s="7" t="s">
        <v>5813</v>
      </c>
      <c r="O1718" s="7" t="s">
        <v>0</v>
      </c>
      <c r="P1718" s="7" t="s">
        <v>289</v>
      </c>
      <c r="Q1718" s="7" t="s">
        <v>1114</v>
      </c>
      <c r="R1718" s="7" t="s">
        <v>1481</v>
      </c>
      <c r="S1718" s="7" t="s">
        <v>1481</v>
      </c>
      <c r="T1718" s="7" t="s">
        <v>54</v>
      </c>
      <c r="U1718" s="7" t="s">
        <v>777</v>
      </c>
      <c r="V1718" s="7" t="s">
        <v>137</v>
      </c>
      <c r="W1718" s="7" t="s">
        <v>57</v>
      </c>
      <c r="X1718" s="7" t="s">
        <v>223</v>
      </c>
      <c r="Y1718" s="8">
        <v>44705</v>
      </c>
      <c r="Z1718" s="8" t="s">
        <v>0</v>
      </c>
      <c r="AA1718" s="7" t="s">
        <v>0</v>
      </c>
      <c r="AB1718" s="7" t="s">
        <v>300</v>
      </c>
      <c r="AC1718" s="7" t="s">
        <v>65</v>
      </c>
      <c r="AD1718" s="7" t="s">
        <v>0</v>
      </c>
      <c r="AE1718" s="7" t="s">
        <v>0</v>
      </c>
      <c r="AF1718" s="7" t="s">
        <v>0</v>
      </c>
      <c r="AG1718" s="7" t="s">
        <v>0</v>
      </c>
      <c r="AH1718" s="9" t="s">
        <v>0</v>
      </c>
      <c r="AI1718" s="9" t="s">
        <v>0</v>
      </c>
      <c r="AJ1718" s="9" t="s">
        <v>0</v>
      </c>
      <c r="AK1718" s="7" t="s">
        <v>61</v>
      </c>
      <c r="AL1718" s="7" t="s">
        <v>61</v>
      </c>
      <c r="AM1718" s="7" t="s">
        <v>0</v>
      </c>
      <c r="AN1718" s="7" t="s">
        <v>0</v>
      </c>
      <c r="AO1718" s="7" t="s">
        <v>0</v>
      </c>
      <c r="AP1718" s="7" t="s">
        <v>0</v>
      </c>
      <c r="AQ1718" s="7" t="s">
        <v>61</v>
      </c>
      <c r="AR1718" s="7" t="s">
        <v>0</v>
      </c>
      <c r="AS1718" s="10" t="str">
        <f>HYPERLINK("https://tessa.gazprom-neft.local/edo/card/87250d04-3699-4b9d-96fb-5ac1dacf8b05", "https://tessa.gazprom-neft.local/edo/card/87250d04-3699-4b9d-96fb-5ac1dacf8b05")</f>
        <v>https://tessa.gazprom-neft.local/edo/card/87250d04-3699-4b9d-96fb-5ac1dacf8b05</v>
      </c>
    </row>
    <row r="1719" spans="1:45" hidden="1" x14ac:dyDescent="0.25">
      <c r="A1719" s="6" t="s">
        <v>44</v>
      </c>
      <c r="B1719" s="7" t="s">
        <v>801</v>
      </c>
      <c r="C1719" s="7" t="s">
        <v>67</v>
      </c>
      <c r="D1719" s="8">
        <v>44704</v>
      </c>
      <c r="E1719" s="8" t="s">
        <v>0</v>
      </c>
      <c r="F1719" s="16" t="s">
        <v>802</v>
      </c>
      <c r="G1719" s="7" t="s">
        <v>803</v>
      </c>
      <c r="H1719" s="7" t="s">
        <v>0</v>
      </c>
      <c r="I1719" s="7" t="s">
        <v>6690</v>
      </c>
      <c r="J1719" s="7" t="s">
        <v>6690</v>
      </c>
      <c r="K1719" s="7" t="s">
        <v>47</v>
      </c>
      <c r="L1719" s="7" t="s">
        <v>86</v>
      </c>
      <c r="M1719" s="7" t="s">
        <v>0</v>
      </c>
      <c r="N1719" s="7" t="s">
        <v>6689</v>
      </c>
      <c r="O1719" s="7" t="s">
        <v>0</v>
      </c>
      <c r="P1719" s="7" t="s">
        <v>6691</v>
      </c>
      <c r="Q1719" s="7" t="s">
        <v>6691</v>
      </c>
      <c r="R1719" s="7" t="s">
        <v>799</v>
      </c>
      <c r="S1719" s="7" t="s">
        <v>0</v>
      </c>
      <c r="T1719" s="7" t="s">
        <v>54</v>
      </c>
      <c r="U1719" s="7" t="s">
        <v>55</v>
      </c>
      <c r="V1719" s="7" t="s">
        <v>56</v>
      </c>
      <c r="W1719" s="7" t="s">
        <v>57</v>
      </c>
      <c r="X1719" s="7" t="s">
        <v>223</v>
      </c>
      <c r="Y1719" s="8">
        <v>44704</v>
      </c>
      <c r="Z1719" s="8" t="s">
        <v>0</v>
      </c>
      <c r="AA1719" s="7" t="s">
        <v>0</v>
      </c>
      <c r="AB1719" s="7" t="s">
        <v>130</v>
      </c>
      <c r="AC1719" s="7" t="s">
        <v>65</v>
      </c>
      <c r="AD1719" s="7" t="s">
        <v>0</v>
      </c>
      <c r="AE1719" s="7" t="s">
        <v>0</v>
      </c>
      <c r="AF1719" s="7" t="s">
        <v>0</v>
      </c>
      <c r="AG1719" s="7" t="s">
        <v>0</v>
      </c>
      <c r="AH1719" s="9" t="s">
        <v>0</v>
      </c>
      <c r="AI1719" s="9" t="s">
        <v>0</v>
      </c>
      <c r="AJ1719" s="9" t="s">
        <v>0</v>
      </c>
      <c r="AK1719" s="7" t="s">
        <v>61</v>
      </c>
      <c r="AL1719" s="7" t="s">
        <v>61</v>
      </c>
      <c r="AM1719" s="7" t="s">
        <v>0</v>
      </c>
      <c r="AN1719" s="7" t="s">
        <v>0</v>
      </c>
      <c r="AO1719" s="7" t="s">
        <v>0</v>
      </c>
      <c r="AP1719" s="7" t="s">
        <v>0</v>
      </c>
      <c r="AQ1719" s="7" t="s">
        <v>61</v>
      </c>
      <c r="AR1719" s="7" t="s">
        <v>0</v>
      </c>
      <c r="AS1719" s="10" t="str">
        <f>HYPERLINK("https://tessa.gazprom-neft.local/edo/card/97fa9bb7-7c76-4046-ad8f-ff2edb3cab12", "https://tessa.gazprom-neft.local/edo/card/97fa9bb7-7c76-4046-ad8f-ff2edb3cab12")</f>
        <v>https://tessa.gazprom-neft.local/edo/card/97fa9bb7-7c76-4046-ad8f-ff2edb3cab12</v>
      </c>
    </row>
    <row r="1720" spans="1:45" hidden="1" x14ac:dyDescent="0.25">
      <c r="A1720" s="6" t="s">
        <v>44</v>
      </c>
      <c r="B1720" s="7" t="s">
        <v>2434</v>
      </c>
      <c r="C1720" s="7" t="s">
        <v>46</v>
      </c>
      <c r="D1720" s="8">
        <v>44701</v>
      </c>
      <c r="E1720" s="8" t="s">
        <v>0</v>
      </c>
      <c r="F1720" s="16" t="s">
        <v>2435</v>
      </c>
      <c r="G1720" s="7" t="s">
        <v>2436</v>
      </c>
      <c r="H1720" s="7" t="s">
        <v>0</v>
      </c>
      <c r="I1720" s="7" t="s">
        <v>5135</v>
      </c>
      <c r="J1720" s="7" t="s">
        <v>5135</v>
      </c>
      <c r="K1720" s="7" t="s">
        <v>47</v>
      </c>
      <c r="L1720" s="7" t="s">
        <v>86</v>
      </c>
      <c r="M1720" s="7" t="s">
        <v>0</v>
      </c>
      <c r="N1720" s="7" t="s">
        <v>5134</v>
      </c>
      <c r="O1720" s="7" t="s">
        <v>0</v>
      </c>
      <c r="P1720" s="7" t="s">
        <v>5136</v>
      </c>
      <c r="Q1720" s="7" t="s">
        <v>5137</v>
      </c>
      <c r="R1720" s="7" t="s">
        <v>604</v>
      </c>
      <c r="S1720" s="7" t="s">
        <v>938</v>
      </c>
      <c r="T1720" s="7" t="s">
        <v>54</v>
      </c>
      <c r="U1720" s="7" t="s">
        <v>605</v>
      </c>
      <c r="V1720" s="7" t="s">
        <v>382</v>
      </c>
      <c r="W1720" s="7" t="s">
        <v>57</v>
      </c>
      <c r="X1720" s="7" t="s">
        <v>58</v>
      </c>
      <c r="Y1720" s="8">
        <v>44805</v>
      </c>
      <c r="Z1720" s="8" t="s">
        <v>0</v>
      </c>
      <c r="AA1720" s="7" t="s">
        <v>383</v>
      </c>
      <c r="AB1720" s="7" t="s">
        <v>2437</v>
      </c>
      <c r="AC1720" s="7" t="s">
        <v>79</v>
      </c>
      <c r="AD1720" s="7" t="s">
        <v>80</v>
      </c>
      <c r="AE1720" s="7" t="s">
        <v>118</v>
      </c>
      <c r="AF1720" s="7" t="s">
        <v>0</v>
      </c>
      <c r="AG1720" s="7" t="s">
        <v>0</v>
      </c>
      <c r="AH1720" s="9" t="s">
        <v>12358</v>
      </c>
      <c r="AI1720" s="9" t="s">
        <v>12358</v>
      </c>
      <c r="AJ1720" s="9">
        <v>0</v>
      </c>
      <c r="AK1720" s="7" t="s">
        <v>61</v>
      </c>
      <c r="AL1720" s="7" t="s">
        <v>61</v>
      </c>
      <c r="AM1720" s="7" t="s">
        <v>0</v>
      </c>
      <c r="AN1720" s="7" t="s">
        <v>0</v>
      </c>
      <c r="AO1720" s="7" t="s">
        <v>0</v>
      </c>
      <c r="AP1720" s="7" t="s">
        <v>0</v>
      </c>
      <c r="AQ1720" s="7" t="s">
        <v>61</v>
      </c>
      <c r="AR1720" s="7" t="s">
        <v>0</v>
      </c>
      <c r="AS1720" s="10" t="str">
        <f>HYPERLINK("https://tessa.gazprom-neft.local/edo/card/2893fe9a-e079-414b-8640-f8c6e3f9d7c4", "https://tessa.gazprom-neft.local/edo/card/2893fe9a-e079-414b-8640-f8c6e3f9d7c4")</f>
        <v>https://tessa.gazprom-neft.local/edo/card/2893fe9a-e079-414b-8640-f8c6e3f9d7c4</v>
      </c>
    </row>
    <row r="1721" spans="1:45" x14ac:dyDescent="0.25">
      <c r="A1721" s="6" t="s">
        <v>44</v>
      </c>
      <c r="B1721" s="7" t="s">
        <v>2706</v>
      </c>
      <c r="C1721" s="7" t="s">
        <v>67</v>
      </c>
      <c r="D1721" s="8">
        <v>44701</v>
      </c>
      <c r="E1721" s="8" t="s">
        <v>0</v>
      </c>
      <c r="F1721" s="16" t="s">
        <v>2707</v>
      </c>
      <c r="G1721" s="7" t="s">
        <v>2708</v>
      </c>
      <c r="H1721" s="7" t="s">
        <v>2704</v>
      </c>
      <c r="I1721" s="7" t="s">
        <v>0</v>
      </c>
      <c r="J1721" s="7" t="s">
        <v>51</v>
      </c>
      <c r="K1721" s="7" t="s">
        <v>47</v>
      </c>
      <c r="L1721" s="7" t="s">
        <v>48</v>
      </c>
      <c r="M1721" s="7" t="s">
        <v>0</v>
      </c>
      <c r="N1721" s="7" t="s">
        <v>5427</v>
      </c>
      <c r="O1721" s="7" t="s">
        <v>0</v>
      </c>
      <c r="P1721" s="7" t="s">
        <v>5428</v>
      </c>
      <c r="Q1721" s="7" t="s">
        <v>5429</v>
      </c>
      <c r="R1721" s="7" t="s">
        <v>2594</v>
      </c>
      <c r="S1721" s="7" t="s">
        <v>0</v>
      </c>
      <c r="T1721" s="7" t="s">
        <v>54</v>
      </c>
      <c r="U1721" s="7" t="s">
        <v>199</v>
      </c>
      <c r="V1721" s="7" t="s">
        <v>211</v>
      </c>
      <c r="W1721" s="7" t="s">
        <v>57</v>
      </c>
      <c r="X1721" s="7" t="s">
        <v>103</v>
      </c>
      <c r="Y1721" s="8">
        <v>44650</v>
      </c>
      <c r="Z1721" s="8">
        <v>45000</v>
      </c>
      <c r="AA1721" s="7" t="s">
        <v>212</v>
      </c>
      <c r="AB1721" s="7" t="s">
        <v>64</v>
      </c>
      <c r="AC1721" s="7" t="s">
        <v>65</v>
      </c>
      <c r="AD1721" s="7" t="s">
        <v>80</v>
      </c>
      <c r="AE1721" s="7" t="s">
        <v>0</v>
      </c>
      <c r="AF1721" s="7" t="s">
        <v>0</v>
      </c>
      <c r="AG1721" s="7" t="s">
        <v>0</v>
      </c>
      <c r="AH1721" s="9" t="s">
        <v>0</v>
      </c>
      <c r="AI1721" s="9" t="s">
        <v>0</v>
      </c>
      <c r="AJ1721" s="9" t="s">
        <v>0</v>
      </c>
      <c r="AK1721" s="7" t="s">
        <v>61</v>
      </c>
      <c r="AL1721" s="7" t="s">
        <v>61</v>
      </c>
      <c r="AM1721" s="7" t="s">
        <v>0</v>
      </c>
      <c r="AN1721" s="7" t="s">
        <v>0</v>
      </c>
      <c r="AO1721" s="7" t="s">
        <v>0</v>
      </c>
      <c r="AP1721" s="7" t="s">
        <v>0</v>
      </c>
      <c r="AQ1721" s="7" t="s">
        <v>61</v>
      </c>
      <c r="AR1721" s="7" t="s">
        <v>0</v>
      </c>
      <c r="AS1721" s="10" t="str">
        <f>HYPERLINK("https://tessa.gazprom-neft.local/edo/card/9e96a6dc-ae01-4ab1-a12e-3b795e76e906", "https://tessa.gazprom-neft.local/edo/card/9e96a6dc-ae01-4ab1-a12e-3b795e76e906")</f>
        <v>https://tessa.gazprom-neft.local/edo/card/9e96a6dc-ae01-4ab1-a12e-3b795e76e906</v>
      </c>
    </row>
    <row r="1722" spans="1:45" hidden="1" x14ac:dyDescent="0.25">
      <c r="A1722" s="6" t="s">
        <v>44</v>
      </c>
      <c r="B1722" s="7" t="s">
        <v>1684</v>
      </c>
      <c r="C1722" s="7" t="s">
        <v>67</v>
      </c>
      <c r="D1722" s="8">
        <v>44700</v>
      </c>
      <c r="E1722" s="8" t="s">
        <v>0</v>
      </c>
      <c r="F1722" s="16" t="s">
        <v>1685</v>
      </c>
      <c r="G1722" s="7" t="s">
        <v>1686</v>
      </c>
      <c r="H1722" s="7" t="s">
        <v>3773</v>
      </c>
      <c r="I1722" s="7" t="s">
        <v>0</v>
      </c>
      <c r="J1722" s="7" t="s">
        <v>51</v>
      </c>
      <c r="K1722" s="7" t="s">
        <v>47</v>
      </c>
      <c r="L1722" s="7" t="s">
        <v>239</v>
      </c>
      <c r="M1722" s="7" t="s">
        <v>0</v>
      </c>
      <c r="N1722" s="7" t="s">
        <v>5130</v>
      </c>
      <c r="O1722" s="7" t="s">
        <v>0</v>
      </c>
      <c r="P1722" s="7" t="s">
        <v>1324</v>
      </c>
      <c r="Q1722" s="7" t="s">
        <v>5131</v>
      </c>
      <c r="R1722" s="7" t="s">
        <v>1711</v>
      </c>
      <c r="S1722" s="7" t="s">
        <v>1711</v>
      </c>
      <c r="T1722" s="7" t="s">
        <v>54</v>
      </c>
      <c r="U1722" s="7" t="s">
        <v>605</v>
      </c>
      <c r="V1722" s="7" t="s">
        <v>382</v>
      </c>
      <c r="W1722" s="7" t="s">
        <v>57</v>
      </c>
      <c r="X1722" s="7" t="s">
        <v>103</v>
      </c>
      <c r="Y1722" s="8">
        <v>44700</v>
      </c>
      <c r="Z1722" s="8">
        <v>44926</v>
      </c>
      <c r="AA1722" s="7" t="s">
        <v>383</v>
      </c>
      <c r="AB1722" s="7" t="s">
        <v>366</v>
      </c>
      <c r="AC1722" s="7" t="s">
        <v>278</v>
      </c>
      <c r="AD1722" s="7" t="s">
        <v>367</v>
      </c>
      <c r="AE1722" s="7" t="s">
        <v>82</v>
      </c>
      <c r="AF1722" s="7" t="s">
        <v>0</v>
      </c>
      <c r="AG1722" s="7" t="s">
        <v>0</v>
      </c>
      <c r="AH1722" s="9" t="s">
        <v>12352</v>
      </c>
      <c r="AI1722" s="9" t="s">
        <v>12353</v>
      </c>
      <c r="AJ1722" s="9" t="s">
        <v>12354</v>
      </c>
      <c r="AK1722" s="7" t="s">
        <v>61</v>
      </c>
      <c r="AL1722" s="7" t="s">
        <v>61</v>
      </c>
      <c r="AM1722" s="7" t="s">
        <v>0</v>
      </c>
      <c r="AN1722" s="7" t="s">
        <v>0</v>
      </c>
      <c r="AO1722" s="7" t="s">
        <v>0</v>
      </c>
      <c r="AP1722" s="7" t="s">
        <v>0</v>
      </c>
      <c r="AQ1722" s="7" t="s">
        <v>61</v>
      </c>
      <c r="AR1722" s="7" t="s">
        <v>0</v>
      </c>
      <c r="AS1722" s="10" t="str">
        <f>HYPERLINK("https://tessa.gazprom-neft.local/edo/card/9af099cb-33c5-45bb-ba9b-c985d12f9eeb", "https://tessa.gazprom-neft.local/edo/card/9af099cb-33c5-45bb-ba9b-c985d12f9eeb")</f>
        <v>https://tessa.gazprom-neft.local/edo/card/9af099cb-33c5-45bb-ba9b-c985d12f9eeb</v>
      </c>
    </row>
    <row r="1723" spans="1:45" x14ac:dyDescent="0.25">
      <c r="A1723" s="6" t="s">
        <v>44</v>
      </c>
      <c r="B1723" s="7" t="s">
        <v>964</v>
      </c>
      <c r="C1723" s="7" t="s">
        <v>67</v>
      </c>
      <c r="D1723" s="8">
        <v>44700</v>
      </c>
      <c r="E1723" s="8" t="s">
        <v>0</v>
      </c>
      <c r="F1723" s="16" t="s">
        <v>965</v>
      </c>
      <c r="G1723" s="7" t="s">
        <v>966</v>
      </c>
      <c r="H1723" s="7" t="s">
        <v>4760</v>
      </c>
      <c r="I1723" s="7" t="s">
        <v>0</v>
      </c>
      <c r="J1723" s="7" t="s">
        <v>936</v>
      </c>
      <c r="K1723" s="7" t="s">
        <v>47</v>
      </c>
      <c r="L1723" s="7" t="s">
        <v>48</v>
      </c>
      <c r="M1723" s="7" t="s">
        <v>0</v>
      </c>
      <c r="N1723" s="7" t="s">
        <v>5687</v>
      </c>
      <c r="O1723" s="7" t="s">
        <v>0</v>
      </c>
      <c r="P1723" s="7" t="s">
        <v>5688</v>
      </c>
      <c r="Q1723" s="7" t="s">
        <v>5689</v>
      </c>
      <c r="R1723" s="7" t="s">
        <v>1062</v>
      </c>
      <c r="S1723" s="7" t="s">
        <v>1062</v>
      </c>
      <c r="T1723" s="7" t="s">
        <v>54</v>
      </c>
      <c r="U1723" s="7" t="s">
        <v>294</v>
      </c>
      <c r="V1723" s="7" t="s">
        <v>295</v>
      </c>
      <c r="W1723" s="7" t="s">
        <v>57</v>
      </c>
      <c r="X1723" s="7" t="s">
        <v>58</v>
      </c>
      <c r="Y1723" s="8">
        <v>44700</v>
      </c>
      <c r="Z1723" s="8" t="s">
        <v>0</v>
      </c>
      <c r="AA1723" s="7" t="s">
        <v>296</v>
      </c>
      <c r="AB1723" s="7" t="s">
        <v>366</v>
      </c>
      <c r="AC1723" s="7" t="s">
        <v>65</v>
      </c>
      <c r="AD1723" s="7" t="s">
        <v>367</v>
      </c>
      <c r="AE1723" s="7" t="s">
        <v>0</v>
      </c>
      <c r="AF1723" s="7" t="s">
        <v>0</v>
      </c>
      <c r="AG1723" s="7" t="s">
        <v>0</v>
      </c>
      <c r="AH1723" s="9" t="s">
        <v>0</v>
      </c>
      <c r="AI1723" s="9" t="s">
        <v>0</v>
      </c>
      <c r="AJ1723" s="9" t="s">
        <v>0</v>
      </c>
      <c r="AK1723" s="7" t="s">
        <v>61</v>
      </c>
      <c r="AL1723" s="7" t="s">
        <v>61</v>
      </c>
      <c r="AM1723" s="7" t="s">
        <v>0</v>
      </c>
      <c r="AN1723" s="7" t="s">
        <v>0</v>
      </c>
      <c r="AO1723" s="7" t="s">
        <v>0</v>
      </c>
      <c r="AP1723" s="7" t="s">
        <v>0</v>
      </c>
      <c r="AQ1723" s="7" t="s">
        <v>61</v>
      </c>
      <c r="AR1723" s="7" t="s">
        <v>0</v>
      </c>
      <c r="AS1723" s="10" t="str">
        <f>HYPERLINK("https://tessa.gazprom-neft.local/edo/card/6ed361d7-4d6c-45b1-b83e-997c01d2716f", "https://tessa.gazprom-neft.local/edo/card/6ed361d7-4d6c-45b1-b83e-997c01d2716f")</f>
        <v>https://tessa.gazprom-neft.local/edo/card/6ed361d7-4d6c-45b1-b83e-997c01d2716f</v>
      </c>
    </row>
    <row r="1724" spans="1:45" x14ac:dyDescent="0.25">
      <c r="A1724" s="6" t="s">
        <v>44</v>
      </c>
      <c r="B1724" s="7" t="s">
        <v>1950</v>
      </c>
      <c r="C1724" s="7" t="s">
        <v>67</v>
      </c>
      <c r="D1724" s="8">
        <v>44699</v>
      </c>
      <c r="E1724" s="8" t="s">
        <v>0</v>
      </c>
      <c r="F1724" s="16" t="s">
        <v>1951</v>
      </c>
      <c r="G1724" s="7" t="s">
        <v>1952</v>
      </c>
      <c r="H1724" s="7" t="s">
        <v>1947</v>
      </c>
      <c r="I1724" s="7" t="s">
        <v>0</v>
      </c>
      <c r="J1724" s="7" t="s">
        <v>271</v>
      </c>
      <c r="K1724" s="7" t="s">
        <v>47</v>
      </c>
      <c r="L1724" s="7" t="s">
        <v>48</v>
      </c>
      <c r="M1724" s="7" t="s">
        <v>0</v>
      </c>
      <c r="N1724" s="7" t="s">
        <v>5119</v>
      </c>
      <c r="O1724" s="7" t="s">
        <v>0</v>
      </c>
      <c r="P1724" s="7" t="s">
        <v>5120</v>
      </c>
      <c r="Q1724" s="7" t="s">
        <v>5121</v>
      </c>
      <c r="R1724" s="7" t="s">
        <v>1711</v>
      </c>
      <c r="S1724" s="7" t="s">
        <v>1711</v>
      </c>
      <c r="T1724" s="7" t="s">
        <v>54</v>
      </c>
      <c r="U1724" s="7" t="s">
        <v>605</v>
      </c>
      <c r="V1724" s="7" t="s">
        <v>382</v>
      </c>
      <c r="W1724" s="7" t="s">
        <v>57</v>
      </c>
      <c r="X1724" s="7" t="s">
        <v>103</v>
      </c>
      <c r="Y1724" s="8">
        <v>44699</v>
      </c>
      <c r="Z1724" s="8">
        <v>45657</v>
      </c>
      <c r="AA1724" s="7" t="s">
        <v>383</v>
      </c>
      <c r="AB1724" s="7" t="s">
        <v>1893</v>
      </c>
      <c r="AC1724" s="7" t="s">
        <v>65</v>
      </c>
      <c r="AD1724" s="7" t="s">
        <v>144</v>
      </c>
      <c r="AE1724" s="7" t="s">
        <v>0</v>
      </c>
      <c r="AF1724" s="7" t="s">
        <v>0</v>
      </c>
      <c r="AG1724" s="7" t="s">
        <v>0</v>
      </c>
      <c r="AH1724" s="9" t="s">
        <v>0</v>
      </c>
      <c r="AI1724" s="9" t="s">
        <v>0</v>
      </c>
      <c r="AJ1724" s="9" t="s">
        <v>0</v>
      </c>
      <c r="AK1724" s="7" t="s">
        <v>61</v>
      </c>
      <c r="AL1724" s="7" t="s">
        <v>61</v>
      </c>
      <c r="AM1724" s="7" t="s">
        <v>0</v>
      </c>
      <c r="AN1724" s="7" t="s">
        <v>0</v>
      </c>
      <c r="AO1724" s="7" t="s">
        <v>0</v>
      </c>
      <c r="AP1724" s="7" t="s">
        <v>0</v>
      </c>
      <c r="AQ1724" s="7" t="s">
        <v>61</v>
      </c>
      <c r="AR1724" s="7" t="s">
        <v>0</v>
      </c>
      <c r="AS1724" s="10" t="str">
        <f>HYPERLINK("https://tessa.gazprom-neft.local/edo/card/353ba2f0-da3c-4a39-a9ab-ee02fe60b7cc", "https://tessa.gazprom-neft.local/edo/card/353ba2f0-da3c-4a39-a9ab-ee02fe60b7cc")</f>
        <v>https://tessa.gazprom-neft.local/edo/card/353ba2f0-da3c-4a39-a9ab-ee02fe60b7cc</v>
      </c>
    </row>
    <row r="1725" spans="1:45" x14ac:dyDescent="0.25">
      <c r="A1725" s="6" t="s">
        <v>44</v>
      </c>
      <c r="B1725" s="7" t="s">
        <v>1351</v>
      </c>
      <c r="C1725" s="7" t="s">
        <v>67</v>
      </c>
      <c r="D1725" s="8">
        <v>44699</v>
      </c>
      <c r="E1725" s="8" t="s">
        <v>0</v>
      </c>
      <c r="F1725" s="16" t="s">
        <v>1352</v>
      </c>
      <c r="G1725" s="7" t="s">
        <v>1353</v>
      </c>
      <c r="H1725" s="7" t="s">
        <v>1818</v>
      </c>
      <c r="I1725" s="7" t="s">
        <v>0</v>
      </c>
      <c r="J1725" s="7" t="s">
        <v>51</v>
      </c>
      <c r="K1725" s="7" t="s">
        <v>85</v>
      </c>
      <c r="L1725" s="7" t="s">
        <v>48</v>
      </c>
      <c r="M1725" s="7" t="s">
        <v>3833</v>
      </c>
      <c r="N1725" s="7" t="s">
        <v>5588</v>
      </c>
      <c r="O1725" s="7" t="s">
        <v>0</v>
      </c>
      <c r="P1725" s="7" t="s">
        <v>3833</v>
      </c>
      <c r="Q1725" s="7" t="s">
        <v>426</v>
      </c>
      <c r="R1725" s="7" t="s">
        <v>2594</v>
      </c>
      <c r="S1725" s="7" t="s">
        <v>2594</v>
      </c>
      <c r="T1725" s="7" t="s">
        <v>54</v>
      </c>
      <c r="U1725" s="7" t="s">
        <v>199</v>
      </c>
      <c r="V1725" s="7" t="s">
        <v>211</v>
      </c>
      <c r="W1725" s="7" t="s">
        <v>57</v>
      </c>
      <c r="X1725" s="7" t="s">
        <v>103</v>
      </c>
      <c r="Y1725" s="8">
        <v>44699</v>
      </c>
      <c r="Z1725" s="8">
        <v>46022</v>
      </c>
      <c r="AA1725" s="7" t="s">
        <v>212</v>
      </c>
      <c r="AB1725" s="7" t="s">
        <v>804</v>
      </c>
      <c r="AC1725" s="7" t="s">
        <v>65</v>
      </c>
      <c r="AD1725" s="7" t="s">
        <v>144</v>
      </c>
      <c r="AE1725" s="7" t="s">
        <v>0</v>
      </c>
      <c r="AF1725" s="7" t="s">
        <v>0</v>
      </c>
      <c r="AG1725" s="7" t="s">
        <v>0</v>
      </c>
      <c r="AH1725" s="9" t="s">
        <v>0</v>
      </c>
      <c r="AI1725" s="9" t="s">
        <v>0</v>
      </c>
      <c r="AJ1725" s="9" t="s">
        <v>0</v>
      </c>
      <c r="AK1725" s="7" t="s">
        <v>61</v>
      </c>
      <c r="AL1725" s="7" t="s">
        <v>61</v>
      </c>
      <c r="AM1725" s="7" t="s">
        <v>0</v>
      </c>
      <c r="AN1725" s="7" t="s">
        <v>0</v>
      </c>
      <c r="AO1725" s="7" t="s">
        <v>0</v>
      </c>
      <c r="AP1725" s="7" t="s">
        <v>0</v>
      </c>
      <c r="AQ1725" s="7" t="s">
        <v>61</v>
      </c>
      <c r="AR1725" s="7" t="s">
        <v>0</v>
      </c>
      <c r="AS1725" s="10" t="str">
        <f>HYPERLINK("https://tessa.gazprom-neft.local/edo/card/85cfd649-7c4d-47e2-87b5-33fdef613405", "https://tessa.gazprom-neft.local/edo/card/85cfd649-7c4d-47e2-87b5-33fdef613405")</f>
        <v>https://tessa.gazprom-neft.local/edo/card/85cfd649-7c4d-47e2-87b5-33fdef613405</v>
      </c>
    </row>
    <row r="1726" spans="1:45" hidden="1" x14ac:dyDescent="0.25">
      <c r="A1726" s="6" t="s">
        <v>44</v>
      </c>
      <c r="B1726" s="7" t="s">
        <v>1981</v>
      </c>
      <c r="C1726" s="7" t="s">
        <v>67</v>
      </c>
      <c r="D1726" s="8">
        <v>44698</v>
      </c>
      <c r="E1726" s="8" t="s">
        <v>0</v>
      </c>
      <c r="F1726" s="16" t="s">
        <v>1982</v>
      </c>
      <c r="G1726" s="7" t="s">
        <v>1983</v>
      </c>
      <c r="H1726" s="7" t="s">
        <v>0</v>
      </c>
      <c r="I1726" s="7" t="s">
        <v>5001</v>
      </c>
      <c r="J1726" s="7" t="s">
        <v>5001</v>
      </c>
      <c r="K1726" s="7" t="s">
        <v>47</v>
      </c>
      <c r="L1726" s="7" t="s">
        <v>96</v>
      </c>
      <c r="M1726" s="7" t="s">
        <v>0</v>
      </c>
      <c r="N1726" s="7" t="s">
        <v>5000</v>
      </c>
      <c r="O1726" s="7" t="s">
        <v>0</v>
      </c>
      <c r="P1726" s="7" t="s">
        <v>5002</v>
      </c>
      <c r="Q1726" s="7" t="s">
        <v>402</v>
      </c>
      <c r="R1726" s="7" t="s">
        <v>361</v>
      </c>
      <c r="S1726" s="7" t="s">
        <v>361</v>
      </c>
      <c r="T1726" s="7" t="s">
        <v>54</v>
      </c>
      <c r="U1726" s="7" t="s">
        <v>362</v>
      </c>
      <c r="V1726" s="7" t="s">
        <v>295</v>
      </c>
      <c r="W1726" s="7" t="s">
        <v>57</v>
      </c>
      <c r="X1726" s="7" t="s">
        <v>103</v>
      </c>
      <c r="Y1726" s="8">
        <v>44713</v>
      </c>
      <c r="Z1726" s="8">
        <v>44926</v>
      </c>
      <c r="AA1726" s="7" t="s">
        <v>296</v>
      </c>
      <c r="AB1726" s="7" t="s">
        <v>366</v>
      </c>
      <c r="AC1726" s="7" t="s">
        <v>278</v>
      </c>
      <c r="AD1726" s="7" t="s">
        <v>367</v>
      </c>
      <c r="AE1726" s="7" t="s">
        <v>82</v>
      </c>
      <c r="AF1726" s="7" t="s">
        <v>0</v>
      </c>
      <c r="AG1726" s="7" t="s">
        <v>0</v>
      </c>
      <c r="AH1726" s="9" t="s">
        <v>12297</v>
      </c>
      <c r="AI1726" s="9" t="s">
        <v>12298</v>
      </c>
      <c r="AJ1726" s="9" t="s">
        <v>12299</v>
      </c>
      <c r="AK1726" s="7" t="s">
        <v>61</v>
      </c>
      <c r="AL1726" s="7" t="s">
        <v>61</v>
      </c>
      <c r="AM1726" s="7" t="s">
        <v>0</v>
      </c>
      <c r="AN1726" s="7" t="s">
        <v>0</v>
      </c>
      <c r="AO1726" s="7" t="s">
        <v>0</v>
      </c>
      <c r="AP1726" s="7" t="s">
        <v>0</v>
      </c>
      <c r="AQ1726" s="7" t="s">
        <v>61</v>
      </c>
      <c r="AR1726" s="7" t="s">
        <v>0</v>
      </c>
      <c r="AS1726" s="10" t="str">
        <f>HYPERLINK("https://tessa.gazprom-neft.local/edo/card/e64b2ef6-ac67-4742-b5d3-2c91a4eba74a", "https://tessa.gazprom-neft.local/edo/card/e64b2ef6-ac67-4742-b5d3-2c91a4eba74a")</f>
        <v>https://tessa.gazprom-neft.local/edo/card/e64b2ef6-ac67-4742-b5d3-2c91a4eba74a</v>
      </c>
    </row>
    <row r="1727" spans="1:45" x14ac:dyDescent="0.25">
      <c r="A1727" s="6" t="s">
        <v>44</v>
      </c>
      <c r="B1727" s="7" t="s">
        <v>2266</v>
      </c>
      <c r="C1727" s="7" t="s">
        <v>46</v>
      </c>
      <c r="D1727" s="8">
        <v>44698</v>
      </c>
      <c r="E1727" s="8" t="s">
        <v>0</v>
      </c>
      <c r="F1727" s="16" t="s">
        <v>2267</v>
      </c>
      <c r="G1727" s="7" t="s">
        <v>2268</v>
      </c>
      <c r="H1727" s="7" t="s">
        <v>2263</v>
      </c>
      <c r="I1727" s="7" t="s">
        <v>0</v>
      </c>
      <c r="J1727" s="7" t="s">
        <v>156</v>
      </c>
      <c r="K1727" s="7" t="s">
        <v>47</v>
      </c>
      <c r="L1727" s="7" t="s">
        <v>48</v>
      </c>
      <c r="M1727" s="7" t="s">
        <v>0</v>
      </c>
      <c r="N1727" s="7" t="s">
        <v>5401</v>
      </c>
      <c r="O1727" s="7" t="s">
        <v>0</v>
      </c>
      <c r="P1727" s="7" t="s">
        <v>5402</v>
      </c>
      <c r="Q1727" s="7" t="s">
        <v>5403</v>
      </c>
      <c r="R1727" s="7" t="s">
        <v>799</v>
      </c>
      <c r="S1727" s="7" t="s">
        <v>0</v>
      </c>
      <c r="T1727" s="7" t="s">
        <v>54</v>
      </c>
      <c r="U1727" s="7" t="s">
        <v>55</v>
      </c>
      <c r="V1727" s="7" t="s">
        <v>56</v>
      </c>
      <c r="W1727" s="7" t="s">
        <v>57</v>
      </c>
      <c r="X1727" s="7" t="s">
        <v>103</v>
      </c>
      <c r="Y1727" s="8">
        <v>44698</v>
      </c>
      <c r="Z1727" s="8">
        <v>44896</v>
      </c>
      <c r="AA1727" s="7" t="s">
        <v>0</v>
      </c>
      <c r="AB1727" s="7" t="s">
        <v>2269</v>
      </c>
      <c r="AC1727" s="7" t="s">
        <v>79</v>
      </c>
      <c r="AD1727" s="7" t="s">
        <v>80</v>
      </c>
      <c r="AE1727" s="7" t="s">
        <v>82</v>
      </c>
      <c r="AF1727" s="7" t="s">
        <v>0</v>
      </c>
      <c r="AG1727" s="7" t="s">
        <v>0</v>
      </c>
      <c r="AH1727" s="9" t="s">
        <v>12475</v>
      </c>
      <c r="AI1727" s="9" t="s">
        <v>12476</v>
      </c>
      <c r="AJ1727" s="9" t="s">
        <v>12477</v>
      </c>
      <c r="AK1727" s="7" t="s">
        <v>61</v>
      </c>
      <c r="AL1727" s="7" t="s">
        <v>61</v>
      </c>
      <c r="AM1727" s="7" t="s">
        <v>0</v>
      </c>
      <c r="AN1727" s="7" t="s">
        <v>0</v>
      </c>
      <c r="AO1727" s="7" t="s">
        <v>0</v>
      </c>
      <c r="AP1727" s="7" t="s">
        <v>0</v>
      </c>
      <c r="AQ1727" s="7" t="s">
        <v>61</v>
      </c>
      <c r="AR1727" s="7" t="s">
        <v>0</v>
      </c>
      <c r="AS1727" s="10" t="str">
        <f>HYPERLINK("https://tessa.gazprom-neft.local/edo/card/9e255658-883e-49d9-9882-f4dee24444c2", "https://tessa.gazprom-neft.local/edo/card/9e255658-883e-49d9-9882-f4dee24444c2")</f>
        <v>https://tessa.gazprom-neft.local/edo/card/9e255658-883e-49d9-9882-f4dee24444c2</v>
      </c>
    </row>
    <row r="1728" spans="1:45" x14ac:dyDescent="0.25">
      <c r="A1728" s="6" t="s">
        <v>44</v>
      </c>
      <c r="B1728" s="7" t="s">
        <v>403</v>
      </c>
      <c r="C1728" s="7" t="s">
        <v>67</v>
      </c>
      <c r="D1728" s="8">
        <v>44698</v>
      </c>
      <c r="E1728" s="8" t="s">
        <v>0</v>
      </c>
      <c r="F1728" s="16" t="s">
        <v>404</v>
      </c>
      <c r="G1728" s="7" t="s">
        <v>405</v>
      </c>
      <c r="H1728" s="7" t="s">
        <v>3929</v>
      </c>
      <c r="I1728" s="7" t="s">
        <v>0</v>
      </c>
      <c r="J1728" s="7" t="s">
        <v>271</v>
      </c>
      <c r="K1728" s="7" t="s">
        <v>47</v>
      </c>
      <c r="L1728" s="7" t="s">
        <v>48</v>
      </c>
      <c r="M1728" s="7" t="s">
        <v>0</v>
      </c>
      <c r="N1728" s="7" t="s">
        <v>5416</v>
      </c>
      <c r="O1728" s="7" t="s">
        <v>0</v>
      </c>
      <c r="P1728" s="7" t="s">
        <v>5417</v>
      </c>
      <c r="Q1728" s="7" t="s">
        <v>5403</v>
      </c>
      <c r="R1728" s="7" t="s">
        <v>799</v>
      </c>
      <c r="S1728" s="7" t="s">
        <v>0</v>
      </c>
      <c r="T1728" s="7" t="s">
        <v>54</v>
      </c>
      <c r="U1728" s="7" t="s">
        <v>55</v>
      </c>
      <c r="V1728" s="7" t="s">
        <v>56</v>
      </c>
      <c r="W1728" s="7" t="s">
        <v>57</v>
      </c>
      <c r="X1728" s="7" t="s">
        <v>103</v>
      </c>
      <c r="Y1728" s="8">
        <v>44698</v>
      </c>
      <c r="Z1728" s="8">
        <v>45291</v>
      </c>
      <c r="AA1728" s="7" t="s">
        <v>0</v>
      </c>
      <c r="AB1728" s="7" t="s">
        <v>2269</v>
      </c>
      <c r="AC1728" s="7" t="s">
        <v>79</v>
      </c>
      <c r="AD1728" s="7" t="s">
        <v>80</v>
      </c>
      <c r="AE1728" s="7" t="s">
        <v>82</v>
      </c>
      <c r="AF1728" s="7" t="s">
        <v>0</v>
      </c>
      <c r="AG1728" s="7" t="s">
        <v>0</v>
      </c>
      <c r="AH1728" s="9" t="s">
        <v>12479</v>
      </c>
      <c r="AI1728" s="9" t="s">
        <v>12480</v>
      </c>
      <c r="AJ1728" s="9" t="s">
        <v>12481</v>
      </c>
      <c r="AK1728" s="7" t="s">
        <v>61</v>
      </c>
      <c r="AL1728" s="7" t="s">
        <v>61</v>
      </c>
      <c r="AM1728" s="7" t="s">
        <v>0</v>
      </c>
      <c r="AN1728" s="7" t="s">
        <v>0</v>
      </c>
      <c r="AO1728" s="7" t="s">
        <v>0</v>
      </c>
      <c r="AP1728" s="7" t="s">
        <v>0</v>
      </c>
      <c r="AQ1728" s="7" t="s">
        <v>61</v>
      </c>
      <c r="AR1728" s="7" t="s">
        <v>0</v>
      </c>
      <c r="AS1728" s="10" t="str">
        <f>HYPERLINK("https://tessa.gazprom-neft.local/edo/card/617baa9b-5bda-4aee-98ac-bc7c91deb0ae", "https://tessa.gazprom-neft.local/edo/card/617baa9b-5bda-4aee-98ac-bc7c91deb0ae")</f>
        <v>https://tessa.gazprom-neft.local/edo/card/617baa9b-5bda-4aee-98ac-bc7c91deb0ae</v>
      </c>
    </row>
    <row r="1729" spans="1:45" x14ac:dyDescent="0.25">
      <c r="A1729" s="6" t="s">
        <v>44</v>
      </c>
      <c r="B1729" s="7" t="s">
        <v>127</v>
      </c>
      <c r="C1729" s="7" t="s">
        <v>67</v>
      </c>
      <c r="D1729" s="8">
        <v>44698</v>
      </c>
      <c r="E1729" s="8" t="s">
        <v>0</v>
      </c>
      <c r="F1729" s="16" t="s">
        <v>128</v>
      </c>
      <c r="G1729" s="7" t="s">
        <v>129</v>
      </c>
      <c r="H1729" s="7" t="s">
        <v>1661</v>
      </c>
      <c r="I1729" s="7" t="s">
        <v>0</v>
      </c>
      <c r="J1729" s="7" t="s">
        <v>955</v>
      </c>
      <c r="K1729" s="7" t="s">
        <v>47</v>
      </c>
      <c r="L1729" s="7" t="s">
        <v>48</v>
      </c>
      <c r="M1729" s="7" t="s">
        <v>0</v>
      </c>
      <c r="N1729" s="7" t="s">
        <v>5542</v>
      </c>
      <c r="O1729" s="7" t="s">
        <v>0</v>
      </c>
      <c r="P1729" s="7" t="s">
        <v>5543</v>
      </c>
      <c r="Q1729" s="7" t="s">
        <v>5544</v>
      </c>
      <c r="R1729" s="7" t="s">
        <v>198</v>
      </c>
      <c r="S1729" s="7" t="s">
        <v>198</v>
      </c>
      <c r="T1729" s="7" t="s">
        <v>54</v>
      </c>
      <c r="U1729" s="7" t="s">
        <v>199</v>
      </c>
      <c r="V1729" s="7" t="s">
        <v>211</v>
      </c>
      <c r="W1729" s="7" t="s">
        <v>57</v>
      </c>
      <c r="X1729" s="7" t="s">
        <v>103</v>
      </c>
      <c r="Y1729" s="8">
        <v>44698</v>
      </c>
      <c r="Z1729" s="8">
        <v>45657</v>
      </c>
      <c r="AA1729" s="7" t="s">
        <v>212</v>
      </c>
      <c r="AB1729" s="7" t="s">
        <v>1698</v>
      </c>
      <c r="AC1729" s="7" t="s">
        <v>65</v>
      </c>
      <c r="AD1729" s="7" t="s">
        <v>514</v>
      </c>
      <c r="AE1729" s="7" t="s">
        <v>0</v>
      </c>
      <c r="AF1729" s="7" t="s">
        <v>0</v>
      </c>
      <c r="AG1729" s="7" t="s">
        <v>0</v>
      </c>
      <c r="AH1729" s="9" t="s">
        <v>0</v>
      </c>
      <c r="AI1729" s="9" t="s">
        <v>0</v>
      </c>
      <c r="AJ1729" s="9" t="s">
        <v>0</v>
      </c>
      <c r="AK1729" s="7" t="s">
        <v>61</v>
      </c>
      <c r="AL1729" s="7" t="s">
        <v>61</v>
      </c>
      <c r="AM1729" s="7" t="s">
        <v>0</v>
      </c>
      <c r="AN1729" s="7" t="s">
        <v>0</v>
      </c>
      <c r="AO1729" s="7" t="s">
        <v>0</v>
      </c>
      <c r="AP1729" s="7" t="s">
        <v>0</v>
      </c>
      <c r="AQ1729" s="7" t="s">
        <v>61</v>
      </c>
      <c r="AR1729" s="7" t="s">
        <v>0</v>
      </c>
      <c r="AS1729" s="10" t="str">
        <f>HYPERLINK("https://tessa.gazprom-neft.local/edo/card/3f676fbc-1592-4675-92e3-90a636fc4963", "https://tessa.gazprom-neft.local/edo/card/3f676fbc-1592-4675-92e3-90a636fc4963")</f>
        <v>https://tessa.gazprom-neft.local/edo/card/3f676fbc-1592-4675-92e3-90a636fc4963</v>
      </c>
    </row>
    <row r="1730" spans="1:45" hidden="1" x14ac:dyDescent="0.25">
      <c r="A1730" s="6" t="s">
        <v>44</v>
      </c>
      <c r="B1730" s="7" t="s">
        <v>1576</v>
      </c>
      <c r="C1730" s="7" t="s">
        <v>46</v>
      </c>
      <c r="D1730" s="8">
        <v>44698</v>
      </c>
      <c r="E1730" s="8" t="s">
        <v>0</v>
      </c>
      <c r="F1730" s="16" t="s">
        <v>1577</v>
      </c>
      <c r="G1730" s="7" t="s">
        <v>1578</v>
      </c>
      <c r="H1730" s="7" t="s">
        <v>0</v>
      </c>
      <c r="I1730" s="7" t="s">
        <v>5617</v>
      </c>
      <c r="J1730" s="7" t="s">
        <v>5617</v>
      </c>
      <c r="K1730" s="7" t="s">
        <v>47</v>
      </c>
      <c r="L1730" s="7" t="s">
        <v>96</v>
      </c>
      <c r="M1730" s="7" t="s">
        <v>0</v>
      </c>
      <c r="N1730" s="7" t="s">
        <v>5616</v>
      </c>
      <c r="O1730" s="7" t="s">
        <v>0</v>
      </c>
      <c r="P1730" s="7" t="s">
        <v>5618</v>
      </c>
      <c r="Q1730" s="7" t="s">
        <v>402</v>
      </c>
      <c r="R1730" s="7" t="s">
        <v>361</v>
      </c>
      <c r="S1730" s="7" t="s">
        <v>361</v>
      </c>
      <c r="T1730" s="7" t="s">
        <v>54</v>
      </c>
      <c r="U1730" s="7" t="s">
        <v>362</v>
      </c>
      <c r="V1730" s="7" t="s">
        <v>295</v>
      </c>
      <c r="W1730" s="7" t="s">
        <v>57</v>
      </c>
      <c r="X1730" s="7" t="s">
        <v>103</v>
      </c>
      <c r="Y1730" s="8">
        <v>44698</v>
      </c>
      <c r="Z1730" s="8">
        <v>44926</v>
      </c>
      <c r="AA1730" s="7" t="s">
        <v>296</v>
      </c>
      <c r="AB1730" s="7" t="s">
        <v>366</v>
      </c>
      <c r="AC1730" s="7" t="s">
        <v>278</v>
      </c>
      <c r="AD1730" s="7" t="s">
        <v>367</v>
      </c>
      <c r="AE1730" s="7" t="s">
        <v>82</v>
      </c>
      <c r="AF1730" s="7" t="s">
        <v>0</v>
      </c>
      <c r="AG1730" s="7" t="s">
        <v>0</v>
      </c>
      <c r="AH1730" s="9" t="s">
        <v>12550</v>
      </c>
      <c r="AI1730" s="9" t="s">
        <v>12551</v>
      </c>
      <c r="AJ1730" s="9" t="s">
        <v>12552</v>
      </c>
      <c r="AK1730" s="7" t="s">
        <v>61</v>
      </c>
      <c r="AL1730" s="7" t="s">
        <v>61</v>
      </c>
      <c r="AM1730" s="7" t="s">
        <v>0</v>
      </c>
      <c r="AN1730" s="7" t="s">
        <v>0</v>
      </c>
      <c r="AO1730" s="7" t="s">
        <v>0</v>
      </c>
      <c r="AP1730" s="7" t="s">
        <v>0</v>
      </c>
      <c r="AQ1730" s="7" t="s">
        <v>61</v>
      </c>
      <c r="AR1730" s="7" t="s">
        <v>0</v>
      </c>
      <c r="AS1730" s="10" t="str">
        <f>HYPERLINK("https://tessa.gazprom-neft.local/edo/card/5ba3bc37-22e4-4fd7-9e82-7ca6984ba9c3", "https://tessa.gazprom-neft.local/edo/card/5ba3bc37-22e4-4fd7-9e82-7ca6984ba9c3")</f>
        <v>https://tessa.gazprom-neft.local/edo/card/5ba3bc37-22e4-4fd7-9e82-7ca6984ba9c3</v>
      </c>
    </row>
    <row r="1731" spans="1:45" hidden="1" x14ac:dyDescent="0.25">
      <c r="A1731" s="6" t="s">
        <v>44</v>
      </c>
      <c r="B1731" s="7" t="s">
        <v>245</v>
      </c>
      <c r="C1731" s="7" t="s">
        <v>67</v>
      </c>
      <c r="D1731" s="8">
        <v>44698</v>
      </c>
      <c r="E1731" s="8" t="s">
        <v>0</v>
      </c>
      <c r="F1731" s="16" t="s">
        <v>246</v>
      </c>
      <c r="G1731" s="7" t="s">
        <v>247</v>
      </c>
      <c r="H1731" s="7" t="s">
        <v>1808</v>
      </c>
      <c r="I1731" s="7" t="s">
        <v>0</v>
      </c>
      <c r="J1731" s="7" t="s">
        <v>7980</v>
      </c>
      <c r="K1731" s="7" t="s">
        <v>47</v>
      </c>
      <c r="L1731" s="7" t="s">
        <v>239</v>
      </c>
      <c r="M1731" s="7" t="s">
        <v>0</v>
      </c>
      <c r="N1731" s="7" t="s">
        <v>7978</v>
      </c>
      <c r="O1731" s="7" t="s">
        <v>0</v>
      </c>
      <c r="P1731" s="7" t="s">
        <v>7979</v>
      </c>
      <c r="Q1731" s="7" t="s">
        <v>7981</v>
      </c>
      <c r="R1731" s="7" t="s">
        <v>244</v>
      </c>
      <c r="S1731" s="7" t="s">
        <v>0</v>
      </c>
      <c r="T1731" s="7" t="s">
        <v>54</v>
      </c>
      <c r="U1731" s="7" t="s">
        <v>55</v>
      </c>
      <c r="V1731" s="7" t="s">
        <v>56</v>
      </c>
      <c r="W1731" s="7" t="s">
        <v>57</v>
      </c>
      <c r="X1731" s="7" t="s">
        <v>103</v>
      </c>
      <c r="Y1731" s="8">
        <v>44698</v>
      </c>
      <c r="Z1731" s="8">
        <v>44925</v>
      </c>
      <c r="AA1731" s="7" t="s">
        <v>59</v>
      </c>
      <c r="AB1731" s="7" t="s">
        <v>256</v>
      </c>
      <c r="AC1731" s="7" t="s">
        <v>79</v>
      </c>
      <c r="AD1731" s="7" t="s">
        <v>144</v>
      </c>
      <c r="AE1731" s="7" t="s">
        <v>82</v>
      </c>
      <c r="AF1731" s="7" t="s">
        <v>0</v>
      </c>
      <c r="AG1731" s="7" t="s">
        <v>0</v>
      </c>
      <c r="AH1731" s="9" t="s">
        <v>13385</v>
      </c>
      <c r="AI1731" s="9" t="s">
        <v>13386</v>
      </c>
      <c r="AJ1731" s="9" t="s">
        <v>13387</v>
      </c>
      <c r="AK1731" s="7" t="s">
        <v>61</v>
      </c>
      <c r="AL1731" s="7" t="s">
        <v>61</v>
      </c>
      <c r="AM1731" s="7" t="s">
        <v>0</v>
      </c>
      <c r="AN1731" s="7" t="s">
        <v>0</v>
      </c>
      <c r="AO1731" s="7" t="s">
        <v>0</v>
      </c>
      <c r="AP1731" s="7" t="s">
        <v>0</v>
      </c>
      <c r="AQ1731" s="7" t="s">
        <v>61</v>
      </c>
      <c r="AR1731" s="7" t="s">
        <v>0</v>
      </c>
      <c r="AS1731" s="10" t="str">
        <f>HYPERLINK("https://tessa.gazprom-neft.local/edo/card/f790e0d3-4381-460e-9232-3eafae2303f1", "https://tessa.gazprom-neft.local/edo/card/f790e0d3-4381-460e-9232-3eafae2303f1")</f>
        <v>https://tessa.gazprom-neft.local/edo/card/f790e0d3-4381-460e-9232-3eafae2303f1</v>
      </c>
    </row>
    <row r="1732" spans="1:45" x14ac:dyDescent="0.25">
      <c r="A1732" s="6" t="s">
        <v>44</v>
      </c>
      <c r="B1732" s="7" t="s">
        <v>2823</v>
      </c>
      <c r="C1732" s="7" t="s">
        <v>492</v>
      </c>
      <c r="D1732" s="8">
        <v>44697</v>
      </c>
      <c r="E1732" s="8" t="s">
        <v>0</v>
      </c>
      <c r="F1732" s="16" t="s">
        <v>2824</v>
      </c>
      <c r="G1732" s="7" t="s">
        <v>944</v>
      </c>
      <c r="H1732" s="7" t="s">
        <v>2821</v>
      </c>
      <c r="I1732" s="7" t="s">
        <v>0</v>
      </c>
      <c r="J1732" s="7" t="s">
        <v>271</v>
      </c>
      <c r="K1732" s="7" t="s">
        <v>47</v>
      </c>
      <c r="L1732" s="7" t="s">
        <v>48</v>
      </c>
      <c r="M1732" s="7" t="s">
        <v>0</v>
      </c>
      <c r="N1732" s="7" t="s">
        <v>4987</v>
      </c>
      <c r="O1732" s="7" t="s">
        <v>0</v>
      </c>
      <c r="P1732" s="7" t="s">
        <v>4988</v>
      </c>
      <c r="Q1732" s="7" t="s">
        <v>4989</v>
      </c>
      <c r="R1732" s="7" t="s">
        <v>1125</v>
      </c>
      <c r="S1732" s="7" t="s">
        <v>1125</v>
      </c>
      <c r="T1732" s="7" t="s">
        <v>54</v>
      </c>
      <c r="U1732" s="7" t="s">
        <v>188</v>
      </c>
      <c r="V1732" s="7" t="s">
        <v>340</v>
      </c>
      <c r="W1732" s="7" t="s">
        <v>57</v>
      </c>
      <c r="X1732" s="7" t="s">
        <v>103</v>
      </c>
      <c r="Y1732" s="8">
        <v>44697</v>
      </c>
      <c r="Z1732" s="8">
        <v>45291</v>
      </c>
      <c r="AA1732" s="7" t="s">
        <v>341</v>
      </c>
      <c r="AB1732" s="7" t="s">
        <v>300</v>
      </c>
      <c r="AC1732" s="7" t="s">
        <v>65</v>
      </c>
      <c r="AD1732" s="7" t="s">
        <v>0</v>
      </c>
      <c r="AE1732" s="7" t="s">
        <v>0</v>
      </c>
      <c r="AF1732" s="7" t="s">
        <v>0</v>
      </c>
      <c r="AG1732" s="7" t="s">
        <v>0</v>
      </c>
      <c r="AH1732" s="9" t="s">
        <v>0</v>
      </c>
      <c r="AI1732" s="9" t="s">
        <v>0</v>
      </c>
      <c r="AJ1732" s="9" t="s">
        <v>0</v>
      </c>
      <c r="AK1732" s="7" t="s">
        <v>61</v>
      </c>
      <c r="AL1732" s="7" t="s">
        <v>61</v>
      </c>
      <c r="AM1732" s="7" t="s">
        <v>0</v>
      </c>
      <c r="AN1732" s="7" t="s">
        <v>0</v>
      </c>
      <c r="AO1732" s="7" t="s">
        <v>0</v>
      </c>
      <c r="AP1732" s="7" t="s">
        <v>0</v>
      </c>
      <c r="AQ1732" s="7" t="s">
        <v>61</v>
      </c>
      <c r="AR1732" s="7" t="s">
        <v>0</v>
      </c>
      <c r="AS1732" s="10" t="str">
        <f>HYPERLINK("https://tessa.gazprom-neft.local/edo/card/c38bb69a-482c-41ab-ac8c-4ea1c2238e43", "https://tessa.gazprom-neft.local/edo/card/c38bb69a-482c-41ab-ac8c-4ea1c2238e43")</f>
        <v>https://tessa.gazprom-neft.local/edo/card/c38bb69a-482c-41ab-ac8c-4ea1c2238e43</v>
      </c>
    </row>
    <row r="1733" spans="1:45" hidden="1" x14ac:dyDescent="0.25">
      <c r="A1733" s="6" t="s">
        <v>44</v>
      </c>
      <c r="B1733" s="7" t="s">
        <v>2706</v>
      </c>
      <c r="C1733" s="7" t="s">
        <v>67</v>
      </c>
      <c r="D1733" s="8">
        <v>44697</v>
      </c>
      <c r="E1733" s="8" t="s">
        <v>0</v>
      </c>
      <c r="F1733" s="16" t="s">
        <v>2707</v>
      </c>
      <c r="G1733" s="7" t="s">
        <v>2708</v>
      </c>
      <c r="H1733" s="7" t="s">
        <v>0</v>
      </c>
      <c r="I1733" s="7" t="s">
        <v>5015</v>
      </c>
      <c r="J1733" s="7" t="s">
        <v>5015</v>
      </c>
      <c r="K1733" s="7" t="s">
        <v>47</v>
      </c>
      <c r="L1733" s="7" t="s">
        <v>96</v>
      </c>
      <c r="M1733" s="7" t="s">
        <v>0</v>
      </c>
      <c r="N1733" s="7" t="s">
        <v>5014</v>
      </c>
      <c r="O1733" s="7" t="s">
        <v>0</v>
      </c>
      <c r="P1733" s="7" t="s">
        <v>5016</v>
      </c>
      <c r="Q1733" s="7" t="s">
        <v>402</v>
      </c>
      <c r="R1733" s="7" t="s">
        <v>361</v>
      </c>
      <c r="S1733" s="7" t="s">
        <v>361</v>
      </c>
      <c r="T1733" s="7" t="s">
        <v>54</v>
      </c>
      <c r="U1733" s="7" t="s">
        <v>362</v>
      </c>
      <c r="V1733" s="7" t="s">
        <v>295</v>
      </c>
      <c r="W1733" s="7" t="s">
        <v>57</v>
      </c>
      <c r="X1733" s="7" t="s">
        <v>103</v>
      </c>
      <c r="Y1733" s="8">
        <v>44697</v>
      </c>
      <c r="Z1733" s="8">
        <v>45000</v>
      </c>
      <c r="AA1733" s="7" t="s">
        <v>296</v>
      </c>
      <c r="AB1733" s="7" t="s">
        <v>366</v>
      </c>
      <c r="AC1733" s="7" t="s">
        <v>278</v>
      </c>
      <c r="AD1733" s="7" t="s">
        <v>367</v>
      </c>
      <c r="AE1733" s="7" t="s">
        <v>82</v>
      </c>
      <c r="AF1733" s="7" t="s">
        <v>0</v>
      </c>
      <c r="AG1733" s="7" t="s">
        <v>0</v>
      </c>
      <c r="AH1733" s="9" t="s">
        <v>12303</v>
      </c>
      <c r="AI1733" s="9" t="s">
        <v>12304</v>
      </c>
      <c r="AJ1733" s="9" t="s">
        <v>12305</v>
      </c>
      <c r="AK1733" s="7" t="s">
        <v>61</v>
      </c>
      <c r="AL1733" s="7" t="s">
        <v>61</v>
      </c>
      <c r="AM1733" s="7" t="s">
        <v>0</v>
      </c>
      <c r="AN1733" s="7" t="s">
        <v>0</v>
      </c>
      <c r="AO1733" s="7" t="s">
        <v>0</v>
      </c>
      <c r="AP1733" s="7" t="s">
        <v>0</v>
      </c>
      <c r="AQ1733" s="7" t="s">
        <v>61</v>
      </c>
      <c r="AR1733" s="7" t="s">
        <v>0</v>
      </c>
      <c r="AS1733" s="10" t="str">
        <f>HYPERLINK("https://tessa.gazprom-neft.local/edo/card/f6bd7e5c-3c26-4667-b3ed-f7112e6cb8a7", "https://tessa.gazprom-neft.local/edo/card/f6bd7e5c-3c26-4667-b3ed-f7112e6cb8a7")</f>
        <v>https://tessa.gazprom-neft.local/edo/card/f6bd7e5c-3c26-4667-b3ed-f7112e6cb8a7</v>
      </c>
    </row>
    <row r="1734" spans="1:45" x14ac:dyDescent="0.25">
      <c r="A1734" s="6" t="s">
        <v>44</v>
      </c>
      <c r="B1734" s="7" t="s">
        <v>705</v>
      </c>
      <c r="C1734" s="7" t="s">
        <v>67</v>
      </c>
      <c r="D1734" s="8">
        <v>44697</v>
      </c>
      <c r="E1734" s="8" t="s">
        <v>0</v>
      </c>
      <c r="F1734" s="16" t="s">
        <v>706</v>
      </c>
      <c r="G1734" s="7" t="s">
        <v>707</v>
      </c>
      <c r="H1734" s="7" t="s">
        <v>1597</v>
      </c>
      <c r="I1734" s="7" t="s">
        <v>0</v>
      </c>
      <c r="J1734" s="7" t="s">
        <v>51</v>
      </c>
      <c r="K1734" s="7" t="s">
        <v>85</v>
      </c>
      <c r="L1734" s="7" t="s">
        <v>48</v>
      </c>
      <c r="M1734" s="7" t="s">
        <v>3833</v>
      </c>
      <c r="N1734" s="7" t="s">
        <v>5142</v>
      </c>
      <c r="O1734" s="7" t="s">
        <v>0</v>
      </c>
      <c r="P1734" s="7" t="s">
        <v>3833</v>
      </c>
      <c r="Q1734" s="7" t="s">
        <v>5143</v>
      </c>
      <c r="R1734" s="7" t="s">
        <v>799</v>
      </c>
      <c r="S1734" s="7" t="s">
        <v>0</v>
      </c>
      <c r="T1734" s="7" t="s">
        <v>54</v>
      </c>
      <c r="U1734" s="7" t="s">
        <v>55</v>
      </c>
      <c r="V1734" s="7" t="s">
        <v>56</v>
      </c>
      <c r="W1734" s="7" t="s">
        <v>57</v>
      </c>
      <c r="X1734" s="7" t="s">
        <v>103</v>
      </c>
      <c r="Y1734" s="8">
        <v>44673</v>
      </c>
      <c r="Z1734" s="8">
        <v>45657</v>
      </c>
      <c r="AA1734" s="7" t="s">
        <v>0</v>
      </c>
      <c r="AB1734" s="7" t="s">
        <v>130</v>
      </c>
      <c r="AC1734" s="7" t="s">
        <v>65</v>
      </c>
      <c r="AD1734" s="7" t="s">
        <v>80</v>
      </c>
      <c r="AE1734" s="7" t="s">
        <v>0</v>
      </c>
      <c r="AF1734" s="7" t="s">
        <v>0</v>
      </c>
      <c r="AG1734" s="7" t="s">
        <v>0</v>
      </c>
      <c r="AH1734" s="9" t="s">
        <v>0</v>
      </c>
      <c r="AI1734" s="9" t="s">
        <v>0</v>
      </c>
      <c r="AJ1734" s="9" t="s">
        <v>0</v>
      </c>
      <c r="AK1734" s="7" t="s">
        <v>61</v>
      </c>
      <c r="AL1734" s="7" t="s">
        <v>61</v>
      </c>
      <c r="AM1734" s="7" t="s">
        <v>0</v>
      </c>
      <c r="AN1734" s="7" t="s">
        <v>0</v>
      </c>
      <c r="AO1734" s="7" t="s">
        <v>0</v>
      </c>
      <c r="AP1734" s="7" t="s">
        <v>0</v>
      </c>
      <c r="AQ1734" s="7" t="s">
        <v>61</v>
      </c>
      <c r="AR1734" s="7" t="s">
        <v>0</v>
      </c>
      <c r="AS1734" s="10" t="str">
        <f>HYPERLINK("https://tessa.gazprom-neft.local/edo/card/18368e37-3cf1-4996-9ccb-7b8c1f554b12", "https://tessa.gazprom-neft.local/edo/card/18368e37-3cf1-4996-9ccb-7b8c1f554b12")</f>
        <v>https://tessa.gazprom-neft.local/edo/card/18368e37-3cf1-4996-9ccb-7b8c1f554b12</v>
      </c>
    </row>
    <row r="1735" spans="1:45" x14ac:dyDescent="0.25">
      <c r="A1735" s="6" t="s">
        <v>44</v>
      </c>
      <c r="B1735" s="7" t="s">
        <v>705</v>
      </c>
      <c r="C1735" s="7" t="s">
        <v>67</v>
      </c>
      <c r="D1735" s="8">
        <v>44697</v>
      </c>
      <c r="E1735" s="8" t="s">
        <v>0</v>
      </c>
      <c r="F1735" s="16" t="s">
        <v>706</v>
      </c>
      <c r="G1735" s="7" t="s">
        <v>707</v>
      </c>
      <c r="H1735" s="7" t="s">
        <v>5149</v>
      </c>
      <c r="I1735" s="7" t="s">
        <v>0</v>
      </c>
      <c r="J1735" s="7" t="s">
        <v>872</v>
      </c>
      <c r="K1735" s="7" t="s">
        <v>85</v>
      </c>
      <c r="L1735" s="7" t="s">
        <v>48</v>
      </c>
      <c r="M1735" s="7" t="s">
        <v>3833</v>
      </c>
      <c r="N1735" s="7" t="s">
        <v>5148</v>
      </c>
      <c r="O1735" s="7" t="s">
        <v>0</v>
      </c>
      <c r="P1735" s="7" t="s">
        <v>3833</v>
      </c>
      <c r="Q1735" s="7" t="s">
        <v>5150</v>
      </c>
      <c r="R1735" s="7" t="s">
        <v>799</v>
      </c>
      <c r="S1735" s="7" t="s">
        <v>0</v>
      </c>
      <c r="T1735" s="7" t="s">
        <v>54</v>
      </c>
      <c r="U1735" s="7" t="s">
        <v>55</v>
      </c>
      <c r="V1735" s="7" t="s">
        <v>56</v>
      </c>
      <c r="W1735" s="7" t="s">
        <v>57</v>
      </c>
      <c r="X1735" s="7" t="s">
        <v>103</v>
      </c>
      <c r="Y1735" s="8">
        <v>44673</v>
      </c>
      <c r="Z1735" s="8">
        <v>44926</v>
      </c>
      <c r="AA1735" s="7" t="s">
        <v>0</v>
      </c>
      <c r="AB1735" s="7" t="s">
        <v>130</v>
      </c>
      <c r="AC1735" s="7" t="s">
        <v>65</v>
      </c>
      <c r="AD1735" s="7" t="s">
        <v>80</v>
      </c>
      <c r="AE1735" s="7" t="s">
        <v>0</v>
      </c>
      <c r="AF1735" s="7" t="s">
        <v>0</v>
      </c>
      <c r="AG1735" s="7" t="s">
        <v>0</v>
      </c>
      <c r="AH1735" s="9" t="s">
        <v>0</v>
      </c>
      <c r="AI1735" s="9" t="s">
        <v>0</v>
      </c>
      <c r="AJ1735" s="9" t="s">
        <v>0</v>
      </c>
      <c r="AK1735" s="7" t="s">
        <v>61</v>
      </c>
      <c r="AL1735" s="7" t="s">
        <v>61</v>
      </c>
      <c r="AM1735" s="7" t="s">
        <v>0</v>
      </c>
      <c r="AN1735" s="7" t="s">
        <v>0</v>
      </c>
      <c r="AO1735" s="7" t="s">
        <v>0</v>
      </c>
      <c r="AP1735" s="7" t="s">
        <v>0</v>
      </c>
      <c r="AQ1735" s="7" t="s">
        <v>61</v>
      </c>
      <c r="AR1735" s="7" t="s">
        <v>0</v>
      </c>
      <c r="AS1735" s="10" t="str">
        <f>HYPERLINK("https://tessa.gazprom-neft.local/edo/card/5b07cd70-476d-4ba9-96fa-489f3c6c772f", "https://tessa.gazprom-neft.local/edo/card/5b07cd70-476d-4ba9-96fa-489f3c6c772f")</f>
        <v>https://tessa.gazprom-neft.local/edo/card/5b07cd70-476d-4ba9-96fa-489f3c6c772f</v>
      </c>
    </row>
    <row r="1736" spans="1:45" hidden="1" x14ac:dyDescent="0.25">
      <c r="A1736" s="6" t="s">
        <v>44</v>
      </c>
      <c r="B1736" s="7" t="s">
        <v>606</v>
      </c>
      <c r="C1736" s="7" t="s">
        <v>67</v>
      </c>
      <c r="D1736" s="8">
        <v>44697</v>
      </c>
      <c r="E1736" s="8" t="s">
        <v>0</v>
      </c>
      <c r="F1736" s="16" t="s">
        <v>607</v>
      </c>
      <c r="G1736" s="7" t="s">
        <v>608</v>
      </c>
      <c r="H1736" s="7" t="s">
        <v>600</v>
      </c>
      <c r="I1736" s="7" t="s">
        <v>0</v>
      </c>
      <c r="J1736" s="7" t="s">
        <v>5202</v>
      </c>
      <c r="K1736" s="7" t="s">
        <v>47</v>
      </c>
      <c r="L1736" s="7" t="s">
        <v>239</v>
      </c>
      <c r="M1736" s="7" t="s">
        <v>0</v>
      </c>
      <c r="N1736" s="7" t="s">
        <v>5200</v>
      </c>
      <c r="O1736" s="7" t="s">
        <v>0</v>
      </c>
      <c r="P1736" s="7" t="s">
        <v>5201</v>
      </c>
      <c r="Q1736" s="7" t="s">
        <v>5203</v>
      </c>
      <c r="R1736" s="7" t="s">
        <v>2178</v>
      </c>
      <c r="S1736" s="7" t="s">
        <v>2178</v>
      </c>
      <c r="T1736" s="7" t="s">
        <v>54</v>
      </c>
      <c r="U1736" s="7" t="s">
        <v>605</v>
      </c>
      <c r="V1736" s="7" t="s">
        <v>382</v>
      </c>
      <c r="W1736" s="7" t="s">
        <v>57</v>
      </c>
      <c r="X1736" s="7" t="s">
        <v>103</v>
      </c>
      <c r="Y1736" s="8">
        <v>44697</v>
      </c>
      <c r="Z1736" s="8">
        <v>44926</v>
      </c>
      <c r="AA1736" s="7" t="s">
        <v>383</v>
      </c>
      <c r="AB1736" s="7" t="s">
        <v>130</v>
      </c>
      <c r="AC1736" s="7" t="s">
        <v>79</v>
      </c>
      <c r="AD1736" s="7" t="s">
        <v>144</v>
      </c>
      <c r="AE1736" s="7" t="s">
        <v>82</v>
      </c>
      <c r="AF1736" s="7" t="s">
        <v>0</v>
      </c>
      <c r="AG1736" s="7" t="s">
        <v>0</v>
      </c>
      <c r="AH1736" s="9" t="s">
        <v>12384</v>
      </c>
      <c r="AI1736" s="9" t="s">
        <v>12385</v>
      </c>
      <c r="AJ1736" s="9" t="s">
        <v>12386</v>
      </c>
      <c r="AK1736" s="7" t="s">
        <v>61</v>
      </c>
      <c r="AL1736" s="7" t="s">
        <v>61</v>
      </c>
      <c r="AM1736" s="7" t="s">
        <v>0</v>
      </c>
      <c r="AN1736" s="7" t="s">
        <v>0</v>
      </c>
      <c r="AO1736" s="7" t="s">
        <v>0</v>
      </c>
      <c r="AP1736" s="7" t="s">
        <v>0</v>
      </c>
      <c r="AQ1736" s="7" t="s">
        <v>61</v>
      </c>
      <c r="AR1736" s="7" t="s">
        <v>0</v>
      </c>
      <c r="AS1736" s="10" t="str">
        <f>HYPERLINK("https://tessa.gazprom-neft.local/edo/card/e0bca676-0ff4-443d-97f4-6563004103cb", "https://tessa.gazprom-neft.local/edo/card/e0bca676-0ff4-443d-97f4-6563004103cb")</f>
        <v>https://tessa.gazprom-neft.local/edo/card/e0bca676-0ff4-443d-97f4-6563004103cb</v>
      </c>
    </row>
    <row r="1737" spans="1:45" x14ac:dyDescent="0.25">
      <c r="A1737" s="6" t="s">
        <v>44</v>
      </c>
      <c r="B1737" s="7" t="s">
        <v>606</v>
      </c>
      <c r="C1737" s="7" t="s">
        <v>67</v>
      </c>
      <c r="D1737" s="8">
        <v>44697</v>
      </c>
      <c r="E1737" s="8" t="s">
        <v>0</v>
      </c>
      <c r="F1737" s="16" t="s">
        <v>607</v>
      </c>
      <c r="G1737" s="7" t="s">
        <v>608</v>
      </c>
      <c r="H1737" s="7" t="s">
        <v>600</v>
      </c>
      <c r="I1737" s="7" t="s">
        <v>0</v>
      </c>
      <c r="J1737" s="7" t="s">
        <v>156</v>
      </c>
      <c r="K1737" s="7" t="s">
        <v>85</v>
      </c>
      <c r="L1737" s="7" t="s">
        <v>48</v>
      </c>
      <c r="M1737" s="7" t="s">
        <v>3833</v>
      </c>
      <c r="N1737" s="7" t="s">
        <v>5233</v>
      </c>
      <c r="O1737" s="7" t="s">
        <v>0</v>
      </c>
      <c r="P1737" s="7" t="s">
        <v>3833</v>
      </c>
      <c r="Q1737" s="7" t="s">
        <v>3833</v>
      </c>
      <c r="R1737" s="7" t="s">
        <v>938</v>
      </c>
      <c r="S1737" s="7" t="s">
        <v>938</v>
      </c>
      <c r="T1737" s="7" t="s">
        <v>54</v>
      </c>
      <c r="U1737" s="7" t="s">
        <v>605</v>
      </c>
      <c r="V1737" s="7" t="s">
        <v>382</v>
      </c>
      <c r="W1737" s="7" t="s">
        <v>57</v>
      </c>
      <c r="X1737" s="7" t="s">
        <v>103</v>
      </c>
      <c r="Y1737" s="8">
        <v>44694</v>
      </c>
      <c r="Z1737" s="8">
        <v>45657</v>
      </c>
      <c r="AA1737" s="7" t="s">
        <v>383</v>
      </c>
      <c r="AB1737" s="7" t="s">
        <v>130</v>
      </c>
      <c r="AC1737" s="7" t="s">
        <v>65</v>
      </c>
      <c r="AD1737" s="7" t="s">
        <v>0</v>
      </c>
      <c r="AE1737" s="7" t="s">
        <v>0</v>
      </c>
      <c r="AF1737" s="7" t="s">
        <v>0</v>
      </c>
      <c r="AG1737" s="7" t="s">
        <v>0</v>
      </c>
      <c r="AH1737" s="9" t="s">
        <v>0</v>
      </c>
      <c r="AI1737" s="9" t="s">
        <v>0</v>
      </c>
      <c r="AJ1737" s="9" t="s">
        <v>0</v>
      </c>
      <c r="AK1737" s="7" t="s">
        <v>61</v>
      </c>
      <c r="AL1737" s="7" t="s">
        <v>61</v>
      </c>
      <c r="AM1737" s="7" t="s">
        <v>0</v>
      </c>
      <c r="AN1737" s="7" t="s">
        <v>0</v>
      </c>
      <c r="AO1737" s="7" t="s">
        <v>0</v>
      </c>
      <c r="AP1737" s="7" t="s">
        <v>0</v>
      </c>
      <c r="AQ1737" s="7" t="s">
        <v>61</v>
      </c>
      <c r="AR1737" s="7" t="s">
        <v>0</v>
      </c>
      <c r="AS1737" s="10" t="str">
        <f>HYPERLINK("https://tessa.gazprom-neft.local/edo/card/f9942e07-eb59-4fca-a7d6-ed3a6a37c26a", "https://tessa.gazprom-neft.local/edo/card/f9942e07-eb59-4fca-a7d6-ed3a6a37c26a")</f>
        <v>https://tessa.gazprom-neft.local/edo/card/f9942e07-eb59-4fca-a7d6-ed3a6a37c26a</v>
      </c>
    </row>
    <row r="1738" spans="1:45" hidden="1" x14ac:dyDescent="0.25">
      <c r="A1738" s="6" t="s">
        <v>44</v>
      </c>
      <c r="B1738" s="7" t="s">
        <v>1640</v>
      </c>
      <c r="C1738" s="7" t="s">
        <v>46</v>
      </c>
      <c r="D1738" s="8">
        <v>44697</v>
      </c>
      <c r="E1738" s="8" t="s">
        <v>0</v>
      </c>
      <c r="F1738" s="16" t="s">
        <v>1641</v>
      </c>
      <c r="G1738" s="7" t="s">
        <v>1642</v>
      </c>
      <c r="H1738" s="7" t="s">
        <v>1635</v>
      </c>
      <c r="I1738" s="7" t="s">
        <v>0</v>
      </c>
      <c r="J1738" s="7" t="s">
        <v>51</v>
      </c>
      <c r="K1738" s="7" t="s">
        <v>47</v>
      </c>
      <c r="L1738" s="7" t="s">
        <v>389</v>
      </c>
      <c r="M1738" s="7" t="s">
        <v>0</v>
      </c>
      <c r="N1738" s="7" t="s">
        <v>5508</v>
      </c>
      <c r="O1738" s="7" t="s">
        <v>51</v>
      </c>
      <c r="P1738" s="7" t="s">
        <v>5509</v>
      </c>
      <c r="Q1738" s="7" t="s">
        <v>5510</v>
      </c>
      <c r="R1738" s="7" t="s">
        <v>1083</v>
      </c>
      <c r="S1738" s="7" t="s">
        <v>5511</v>
      </c>
      <c r="T1738" s="7" t="s">
        <v>54</v>
      </c>
      <c r="U1738" s="7" t="s">
        <v>274</v>
      </c>
      <c r="V1738" s="7" t="s">
        <v>846</v>
      </c>
      <c r="W1738" s="7" t="s">
        <v>57</v>
      </c>
      <c r="X1738" s="7" t="s">
        <v>103</v>
      </c>
      <c r="Y1738" s="8">
        <v>44697</v>
      </c>
      <c r="Z1738" s="8">
        <v>44920</v>
      </c>
      <c r="AA1738" s="7" t="s">
        <v>847</v>
      </c>
      <c r="AB1738" s="7" t="s">
        <v>64</v>
      </c>
      <c r="AC1738" s="7" t="s">
        <v>278</v>
      </c>
      <c r="AD1738" s="7" t="s">
        <v>80</v>
      </c>
      <c r="AE1738" s="7" t="s">
        <v>82</v>
      </c>
      <c r="AF1738" s="7" t="s">
        <v>0</v>
      </c>
      <c r="AG1738" s="7" t="s">
        <v>0</v>
      </c>
      <c r="AH1738" s="9" t="s">
        <v>12516</v>
      </c>
      <c r="AI1738" s="9" t="s">
        <v>12517</v>
      </c>
      <c r="AJ1738" s="9" t="s">
        <v>12518</v>
      </c>
      <c r="AK1738" s="7" t="s">
        <v>61</v>
      </c>
      <c r="AL1738" s="7" t="s">
        <v>61</v>
      </c>
      <c r="AM1738" s="7" t="s">
        <v>0</v>
      </c>
      <c r="AN1738" s="7" t="s">
        <v>0</v>
      </c>
      <c r="AO1738" s="7" t="s">
        <v>0</v>
      </c>
      <c r="AP1738" s="7" t="s">
        <v>0</v>
      </c>
      <c r="AQ1738" s="7" t="s">
        <v>61</v>
      </c>
      <c r="AR1738" s="7" t="s">
        <v>0</v>
      </c>
      <c r="AS1738" s="10" t="str">
        <f>HYPERLINK("https://tessa.gazprom-neft.local/edo/card/fe129138-4152-4fbf-9a0f-eb921920d61b", "https://tessa.gazprom-neft.local/edo/card/fe129138-4152-4fbf-9a0f-eb921920d61b")</f>
        <v>https://tessa.gazprom-neft.local/edo/card/fe129138-4152-4fbf-9a0f-eb921920d61b</v>
      </c>
    </row>
    <row r="1739" spans="1:45" x14ac:dyDescent="0.25">
      <c r="A1739" s="6" t="s">
        <v>44</v>
      </c>
      <c r="B1739" s="7" t="s">
        <v>488</v>
      </c>
      <c r="C1739" s="7" t="s">
        <v>67</v>
      </c>
      <c r="D1739" s="8">
        <v>44697</v>
      </c>
      <c r="E1739" s="8" t="s">
        <v>0</v>
      </c>
      <c r="F1739" s="16" t="s">
        <v>489</v>
      </c>
      <c r="G1739" s="7" t="s">
        <v>490</v>
      </c>
      <c r="H1739" s="7" t="s">
        <v>870</v>
      </c>
      <c r="I1739" s="7" t="s">
        <v>0</v>
      </c>
      <c r="J1739" s="7" t="s">
        <v>156</v>
      </c>
      <c r="K1739" s="7" t="s">
        <v>47</v>
      </c>
      <c r="L1739" s="7" t="s">
        <v>48</v>
      </c>
      <c r="M1739" s="7" t="s">
        <v>0</v>
      </c>
      <c r="N1739" s="7" t="s">
        <v>5518</v>
      </c>
      <c r="O1739" s="7" t="s">
        <v>0</v>
      </c>
      <c r="P1739" s="7" t="s">
        <v>5519</v>
      </c>
      <c r="Q1739" s="7" t="s">
        <v>5520</v>
      </c>
      <c r="R1739" s="7" t="s">
        <v>282</v>
      </c>
      <c r="S1739" s="7" t="s">
        <v>0</v>
      </c>
      <c r="T1739" s="7" t="s">
        <v>54</v>
      </c>
      <c r="U1739" s="7" t="s">
        <v>55</v>
      </c>
      <c r="V1739" s="7" t="s">
        <v>56</v>
      </c>
      <c r="W1739" s="7" t="s">
        <v>57</v>
      </c>
      <c r="X1739" s="7" t="s">
        <v>103</v>
      </c>
      <c r="Y1739" s="8">
        <v>44697</v>
      </c>
      <c r="Z1739" s="8">
        <v>45657</v>
      </c>
      <c r="AA1739" s="7" t="s">
        <v>0</v>
      </c>
      <c r="AB1739" s="7" t="s">
        <v>130</v>
      </c>
      <c r="AC1739" s="7" t="s">
        <v>65</v>
      </c>
      <c r="AD1739" s="7" t="s">
        <v>144</v>
      </c>
      <c r="AE1739" s="7" t="s">
        <v>0</v>
      </c>
      <c r="AF1739" s="7" t="s">
        <v>0</v>
      </c>
      <c r="AG1739" s="7" t="s">
        <v>0</v>
      </c>
      <c r="AH1739" s="9" t="s">
        <v>0</v>
      </c>
      <c r="AI1739" s="9" t="s">
        <v>0</v>
      </c>
      <c r="AJ1739" s="9" t="s">
        <v>0</v>
      </c>
      <c r="AK1739" s="7" t="s">
        <v>61</v>
      </c>
      <c r="AL1739" s="7" t="s">
        <v>61</v>
      </c>
      <c r="AM1739" s="7" t="s">
        <v>0</v>
      </c>
      <c r="AN1739" s="7" t="s">
        <v>0</v>
      </c>
      <c r="AO1739" s="7" t="s">
        <v>0</v>
      </c>
      <c r="AP1739" s="7" t="s">
        <v>0</v>
      </c>
      <c r="AQ1739" s="7" t="s">
        <v>61</v>
      </c>
      <c r="AR1739" s="7" t="s">
        <v>0</v>
      </c>
      <c r="AS1739" s="10" t="str">
        <f>HYPERLINK("https://tessa.gazprom-neft.local/edo/card/f282b063-2527-42b4-9793-32ad672180de", "https://tessa.gazprom-neft.local/edo/card/f282b063-2527-42b4-9793-32ad672180de")</f>
        <v>https://tessa.gazprom-neft.local/edo/card/f282b063-2527-42b4-9793-32ad672180de</v>
      </c>
    </row>
    <row r="1740" spans="1:45" hidden="1" x14ac:dyDescent="0.25">
      <c r="A1740" s="6" t="s">
        <v>44</v>
      </c>
      <c r="B1740" s="7" t="s">
        <v>0</v>
      </c>
      <c r="C1740" s="7" t="s">
        <v>67</v>
      </c>
      <c r="D1740" s="8">
        <v>44697</v>
      </c>
      <c r="E1740" s="8" t="s">
        <v>0</v>
      </c>
      <c r="F1740" s="16" t="s">
        <v>5676</v>
      </c>
      <c r="G1740" s="7" t="s">
        <v>0</v>
      </c>
      <c r="H1740" s="7" t="s">
        <v>0</v>
      </c>
      <c r="I1740" s="7" t="s">
        <v>4290</v>
      </c>
      <c r="J1740" s="7" t="s">
        <v>4290</v>
      </c>
      <c r="K1740" s="7" t="s">
        <v>47</v>
      </c>
      <c r="L1740" s="7" t="s">
        <v>96</v>
      </c>
      <c r="M1740" s="7" t="s">
        <v>0</v>
      </c>
      <c r="N1740" s="7" t="s">
        <v>5672</v>
      </c>
      <c r="O1740" s="7" t="s">
        <v>0</v>
      </c>
      <c r="P1740" s="7" t="s">
        <v>5673</v>
      </c>
      <c r="Q1740" s="7" t="s">
        <v>5674</v>
      </c>
      <c r="R1740" s="7" t="s">
        <v>751</v>
      </c>
      <c r="S1740" s="7" t="s">
        <v>5675</v>
      </c>
      <c r="T1740" s="7" t="s">
        <v>54</v>
      </c>
      <c r="U1740" s="7" t="s">
        <v>294</v>
      </c>
      <c r="V1740" s="7" t="s">
        <v>295</v>
      </c>
      <c r="W1740" s="7" t="s">
        <v>57</v>
      </c>
      <c r="X1740" s="7" t="s">
        <v>103</v>
      </c>
      <c r="Y1740" s="8">
        <v>44697</v>
      </c>
      <c r="Z1740" s="8">
        <v>45657</v>
      </c>
      <c r="AA1740" s="7" t="s">
        <v>296</v>
      </c>
      <c r="AB1740" s="7" t="s">
        <v>64</v>
      </c>
      <c r="AC1740" s="7" t="s">
        <v>79</v>
      </c>
      <c r="AD1740" s="7" t="s">
        <v>80</v>
      </c>
      <c r="AE1740" s="7" t="s">
        <v>889</v>
      </c>
      <c r="AF1740" s="7" t="s">
        <v>0</v>
      </c>
      <c r="AG1740" s="7" t="s">
        <v>0</v>
      </c>
      <c r="AH1740" s="9" t="s">
        <v>12578</v>
      </c>
      <c r="AI1740" s="9" t="s">
        <v>12578</v>
      </c>
      <c r="AJ1740" s="9">
        <v>0</v>
      </c>
      <c r="AK1740" s="7" t="s">
        <v>61</v>
      </c>
      <c r="AL1740" s="7" t="s">
        <v>61</v>
      </c>
      <c r="AM1740" s="7" t="s">
        <v>0</v>
      </c>
      <c r="AN1740" s="7" t="s">
        <v>0</v>
      </c>
      <c r="AO1740" s="7" t="s">
        <v>0</v>
      </c>
      <c r="AP1740" s="7" t="s">
        <v>0</v>
      </c>
      <c r="AQ1740" s="7" t="s">
        <v>61</v>
      </c>
      <c r="AR1740" s="7" t="s">
        <v>0</v>
      </c>
      <c r="AS1740" s="10" t="str">
        <f>HYPERLINK("https://tessa.gazprom-neft.local/edo/card/10f2ed70-4d88-444d-afe7-92211577f615", "https://tessa.gazprom-neft.local/edo/card/10f2ed70-4d88-444d-afe7-92211577f615")</f>
        <v>https://tessa.gazprom-neft.local/edo/card/10f2ed70-4d88-444d-afe7-92211577f615</v>
      </c>
    </row>
    <row r="1741" spans="1:45" hidden="1" x14ac:dyDescent="0.25">
      <c r="A1741" s="6" t="s">
        <v>44</v>
      </c>
      <c r="B1741" s="7" t="s">
        <v>0</v>
      </c>
      <c r="C1741" s="7" t="s">
        <v>67</v>
      </c>
      <c r="D1741" s="8">
        <v>44697</v>
      </c>
      <c r="E1741" s="8" t="s">
        <v>0</v>
      </c>
      <c r="F1741" s="16" t="s">
        <v>6722</v>
      </c>
      <c r="G1741" s="7" t="s">
        <v>0</v>
      </c>
      <c r="H1741" s="7" t="s">
        <v>0</v>
      </c>
      <c r="I1741" s="7" t="s">
        <v>6721</v>
      </c>
      <c r="J1741" s="7" t="s">
        <v>6721</v>
      </c>
      <c r="K1741" s="7" t="s">
        <v>85</v>
      </c>
      <c r="L1741" s="7" t="s">
        <v>86</v>
      </c>
      <c r="M1741" s="7" t="s">
        <v>216</v>
      </c>
      <c r="N1741" s="7" t="s">
        <v>6720</v>
      </c>
      <c r="O1741" s="7" t="s">
        <v>0</v>
      </c>
      <c r="P1741" s="7" t="s">
        <v>216</v>
      </c>
      <c r="Q1741" s="7" t="s">
        <v>3061</v>
      </c>
      <c r="R1741" s="7" t="s">
        <v>2349</v>
      </c>
      <c r="S1741" s="7" t="s">
        <v>2349</v>
      </c>
      <c r="T1741" s="7" t="s">
        <v>54</v>
      </c>
      <c r="U1741" s="7" t="s">
        <v>362</v>
      </c>
      <c r="V1741" s="7" t="s">
        <v>137</v>
      </c>
      <c r="W1741" s="7" t="s">
        <v>57</v>
      </c>
      <c r="X1741" s="7" t="s">
        <v>58</v>
      </c>
      <c r="Y1741" s="8">
        <v>44697</v>
      </c>
      <c r="Z1741" s="8" t="s">
        <v>0</v>
      </c>
      <c r="AA1741" s="7" t="s">
        <v>0</v>
      </c>
      <c r="AB1741" s="7" t="s">
        <v>228</v>
      </c>
      <c r="AC1741" s="7" t="s">
        <v>65</v>
      </c>
      <c r="AD1741" s="7" t="s">
        <v>0</v>
      </c>
      <c r="AE1741" s="7" t="s">
        <v>0</v>
      </c>
      <c r="AF1741" s="7" t="s">
        <v>0</v>
      </c>
      <c r="AG1741" s="7" t="s">
        <v>0</v>
      </c>
      <c r="AH1741" s="9" t="s">
        <v>0</v>
      </c>
      <c r="AI1741" s="9" t="s">
        <v>0</v>
      </c>
      <c r="AJ1741" s="9" t="s">
        <v>0</v>
      </c>
      <c r="AK1741" s="7" t="s">
        <v>61</v>
      </c>
      <c r="AL1741" s="7" t="s">
        <v>61</v>
      </c>
      <c r="AM1741" s="7" t="s">
        <v>0</v>
      </c>
      <c r="AN1741" s="7" t="s">
        <v>0</v>
      </c>
      <c r="AO1741" s="7" t="s">
        <v>0</v>
      </c>
      <c r="AP1741" s="7" t="s">
        <v>0</v>
      </c>
      <c r="AQ1741" s="7" t="s">
        <v>61</v>
      </c>
      <c r="AR1741" s="7" t="s">
        <v>0</v>
      </c>
      <c r="AS1741" s="10" t="str">
        <f>HYPERLINK("https://tessa.gazprom-neft.local/edo/card/ae716eec-9ecd-4265-8a7c-15f2c8e7ac1a", "https://tessa.gazprom-neft.local/edo/card/ae716eec-9ecd-4265-8a7c-15f2c8e7ac1a")</f>
        <v>https://tessa.gazprom-neft.local/edo/card/ae716eec-9ecd-4265-8a7c-15f2c8e7ac1a</v>
      </c>
    </row>
    <row r="1742" spans="1:45" x14ac:dyDescent="0.25">
      <c r="A1742" s="6" t="s">
        <v>44</v>
      </c>
      <c r="B1742" s="7" t="s">
        <v>5259</v>
      </c>
      <c r="C1742" s="7" t="s">
        <v>67</v>
      </c>
      <c r="D1742" s="8">
        <v>44696</v>
      </c>
      <c r="E1742" s="8" t="s">
        <v>0</v>
      </c>
      <c r="F1742" s="16" t="s">
        <v>5260</v>
      </c>
      <c r="G1742" s="7" t="s">
        <v>5261</v>
      </c>
      <c r="H1742" s="7" t="s">
        <v>3224</v>
      </c>
      <c r="I1742" s="7" t="s">
        <v>0</v>
      </c>
      <c r="J1742" s="7" t="s">
        <v>51</v>
      </c>
      <c r="K1742" s="7" t="s">
        <v>47</v>
      </c>
      <c r="L1742" s="7" t="s">
        <v>48</v>
      </c>
      <c r="M1742" s="7" t="s">
        <v>0</v>
      </c>
      <c r="N1742" s="7" t="s">
        <v>5256</v>
      </c>
      <c r="O1742" s="7" t="s">
        <v>0</v>
      </c>
      <c r="P1742" s="7" t="s">
        <v>5257</v>
      </c>
      <c r="Q1742" s="7" t="s">
        <v>5258</v>
      </c>
      <c r="R1742" s="7" t="s">
        <v>198</v>
      </c>
      <c r="S1742" s="7" t="s">
        <v>198</v>
      </c>
      <c r="T1742" s="7" t="s">
        <v>54</v>
      </c>
      <c r="U1742" s="7" t="s">
        <v>199</v>
      </c>
      <c r="V1742" s="7" t="s">
        <v>211</v>
      </c>
      <c r="W1742" s="7" t="s">
        <v>57</v>
      </c>
      <c r="X1742" s="7" t="s">
        <v>103</v>
      </c>
      <c r="Y1742" s="8">
        <v>44696</v>
      </c>
      <c r="Z1742" s="8">
        <v>45747</v>
      </c>
      <c r="AA1742" s="7" t="s">
        <v>212</v>
      </c>
      <c r="AB1742" s="7" t="s">
        <v>3227</v>
      </c>
      <c r="AC1742" s="7" t="s">
        <v>65</v>
      </c>
      <c r="AD1742" s="7" t="s">
        <v>80</v>
      </c>
      <c r="AE1742" s="7" t="s">
        <v>0</v>
      </c>
      <c r="AF1742" s="7" t="s">
        <v>0</v>
      </c>
      <c r="AG1742" s="7" t="s">
        <v>0</v>
      </c>
      <c r="AH1742" s="9" t="s">
        <v>0</v>
      </c>
      <c r="AI1742" s="9" t="s">
        <v>0</v>
      </c>
      <c r="AJ1742" s="9" t="s">
        <v>0</v>
      </c>
      <c r="AK1742" s="7" t="s">
        <v>61</v>
      </c>
      <c r="AL1742" s="7" t="s">
        <v>61</v>
      </c>
      <c r="AM1742" s="7" t="s">
        <v>0</v>
      </c>
      <c r="AN1742" s="7" t="s">
        <v>0</v>
      </c>
      <c r="AO1742" s="7" t="s">
        <v>0</v>
      </c>
      <c r="AP1742" s="7" t="s">
        <v>0</v>
      </c>
      <c r="AQ1742" s="7" t="s">
        <v>61</v>
      </c>
      <c r="AR1742" s="7" t="s">
        <v>0</v>
      </c>
      <c r="AS1742" s="10" t="str">
        <f>HYPERLINK("https://tessa.gazprom-neft.local/edo/card/dfc14367-c8af-4f60-a7d9-265f34540fd8", "https://tessa.gazprom-neft.local/edo/card/dfc14367-c8af-4f60-a7d9-265f34540fd8")</f>
        <v>https://tessa.gazprom-neft.local/edo/card/dfc14367-c8af-4f60-a7d9-265f34540fd8</v>
      </c>
    </row>
    <row r="1743" spans="1:45" hidden="1" x14ac:dyDescent="0.25">
      <c r="A1743" s="6" t="s">
        <v>44</v>
      </c>
      <c r="B1743" s="7" t="s">
        <v>2108</v>
      </c>
      <c r="C1743" s="7" t="s">
        <v>67</v>
      </c>
      <c r="D1743" s="8">
        <v>44696</v>
      </c>
      <c r="E1743" s="8" t="s">
        <v>0</v>
      </c>
      <c r="F1743" s="16" t="s">
        <v>2109</v>
      </c>
      <c r="G1743" s="7" t="s">
        <v>2110</v>
      </c>
      <c r="H1743" s="7" t="s">
        <v>0</v>
      </c>
      <c r="I1743" s="7" t="s">
        <v>3620</v>
      </c>
      <c r="J1743" s="7" t="s">
        <v>3620</v>
      </c>
      <c r="K1743" s="7" t="s">
        <v>47</v>
      </c>
      <c r="L1743" s="7" t="s">
        <v>96</v>
      </c>
      <c r="M1743" s="7" t="s">
        <v>0</v>
      </c>
      <c r="N1743" s="7" t="s">
        <v>5725</v>
      </c>
      <c r="O1743" s="7" t="s">
        <v>0</v>
      </c>
      <c r="P1743" s="7" t="s">
        <v>5726</v>
      </c>
      <c r="Q1743" s="7" t="s">
        <v>402</v>
      </c>
      <c r="R1743" s="7" t="s">
        <v>361</v>
      </c>
      <c r="S1743" s="7" t="s">
        <v>361</v>
      </c>
      <c r="T1743" s="7" t="s">
        <v>54</v>
      </c>
      <c r="U1743" s="7" t="s">
        <v>362</v>
      </c>
      <c r="V1743" s="7" t="s">
        <v>340</v>
      </c>
      <c r="W1743" s="7" t="s">
        <v>74</v>
      </c>
      <c r="X1743" s="7" t="s">
        <v>103</v>
      </c>
      <c r="Y1743" s="8">
        <v>44696</v>
      </c>
      <c r="Z1743" s="8">
        <v>45061</v>
      </c>
      <c r="AA1743" s="7" t="s">
        <v>341</v>
      </c>
      <c r="AB1743" s="7" t="s">
        <v>366</v>
      </c>
      <c r="AC1743" s="7" t="s">
        <v>278</v>
      </c>
      <c r="AD1743" s="7" t="s">
        <v>367</v>
      </c>
      <c r="AE1743" s="7" t="s">
        <v>82</v>
      </c>
      <c r="AF1743" s="7" t="s">
        <v>0</v>
      </c>
      <c r="AG1743" s="7" t="s">
        <v>0</v>
      </c>
      <c r="AH1743" s="9" t="s">
        <v>12595</v>
      </c>
      <c r="AI1743" s="9" t="s">
        <v>12596</v>
      </c>
      <c r="AJ1743" s="9" t="s">
        <v>12597</v>
      </c>
      <c r="AK1743" s="7" t="s">
        <v>61</v>
      </c>
      <c r="AL1743" s="7" t="s">
        <v>61</v>
      </c>
      <c r="AM1743" s="7" t="s">
        <v>0</v>
      </c>
      <c r="AN1743" s="7" t="s">
        <v>0</v>
      </c>
      <c r="AO1743" s="7" t="s">
        <v>0</v>
      </c>
      <c r="AP1743" s="7" t="s">
        <v>0</v>
      </c>
      <c r="AQ1743" s="7" t="s">
        <v>61</v>
      </c>
      <c r="AR1743" s="7" t="s">
        <v>0</v>
      </c>
      <c r="AS1743" s="10" t="str">
        <f>HYPERLINK("https://tessa.gazprom-neft.local/edo/card/9c630fe7-9da6-4d2b-a407-49334602643a", "https://tessa.gazprom-neft.local/edo/card/9c630fe7-9da6-4d2b-a407-49334602643a")</f>
        <v>https://tessa.gazprom-neft.local/edo/card/9c630fe7-9da6-4d2b-a407-49334602643a</v>
      </c>
    </row>
    <row r="1744" spans="1:45" x14ac:dyDescent="0.25">
      <c r="A1744" s="6" t="s">
        <v>44</v>
      </c>
      <c r="B1744" s="7" t="s">
        <v>2132</v>
      </c>
      <c r="C1744" s="7" t="s">
        <v>67</v>
      </c>
      <c r="D1744" s="8">
        <v>44694</v>
      </c>
      <c r="E1744" s="8" t="s">
        <v>0</v>
      </c>
      <c r="F1744" s="16" t="s">
        <v>2133</v>
      </c>
      <c r="G1744" s="7" t="s">
        <v>739</v>
      </c>
      <c r="H1744" s="7" t="s">
        <v>3446</v>
      </c>
      <c r="I1744" s="7" t="s">
        <v>0</v>
      </c>
      <c r="J1744" s="7" t="s">
        <v>271</v>
      </c>
      <c r="K1744" s="7" t="s">
        <v>47</v>
      </c>
      <c r="L1744" s="7" t="s">
        <v>48</v>
      </c>
      <c r="M1744" s="7" t="s">
        <v>0</v>
      </c>
      <c r="N1744" s="7" t="s">
        <v>5214</v>
      </c>
      <c r="O1744" s="7" t="s">
        <v>0</v>
      </c>
      <c r="P1744" s="7" t="s">
        <v>5215</v>
      </c>
      <c r="Q1744" s="7" t="s">
        <v>360</v>
      </c>
      <c r="R1744" s="7" t="s">
        <v>361</v>
      </c>
      <c r="S1744" s="7" t="s">
        <v>0</v>
      </c>
      <c r="T1744" s="7" t="s">
        <v>54</v>
      </c>
      <c r="U1744" s="7" t="s">
        <v>362</v>
      </c>
      <c r="V1744" s="7" t="s">
        <v>295</v>
      </c>
      <c r="W1744" s="7" t="s">
        <v>57</v>
      </c>
      <c r="X1744" s="7" t="s">
        <v>58</v>
      </c>
      <c r="Y1744" s="8">
        <v>44694</v>
      </c>
      <c r="Z1744" s="8" t="s">
        <v>0</v>
      </c>
      <c r="AA1744" s="7" t="s">
        <v>296</v>
      </c>
      <c r="AB1744" s="7" t="s">
        <v>366</v>
      </c>
      <c r="AC1744" s="7" t="s">
        <v>278</v>
      </c>
      <c r="AD1744" s="7" t="s">
        <v>367</v>
      </c>
      <c r="AE1744" s="7" t="s">
        <v>82</v>
      </c>
      <c r="AF1744" s="7" t="s">
        <v>0</v>
      </c>
      <c r="AG1744" s="7" t="s">
        <v>0</v>
      </c>
      <c r="AH1744" s="9" t="s">
        <v>12390</v>
      </c>
      <c r="AI1744" s="9" t="s">
        <v>12391</v>
      </c>
      <c r="AJ1744" s="9" t="s">
        <v>12392</v>
      </c>
      <c r="AK1744" s="7" t="s">
        <v>61</v>
      </c>
      <c r="AL1744" s="7" t="s">
        <v>61</v>
      </c>
      <c r="AM1744" s="7" t="s">
        <v>0</v>
      </c>
      <c r="AN1744" s="7" t="s">
        <v>0</v>
      </c>
      <c r="AO1744" s="7" t="s">
        <v>0</v>
      </c>
      <c r="AP1744" s="7" t="s">
        <v>0</v>
      </c>
      <c r="AQ1744" s="7" t="s">
        <v>61</v>
      </c>
      <c r="AR1744" s="7" t="s">
        <v>0</v>
      </c>
      <c r="AS1744" s="10" t="str">
        <f>HYPERLINK("https://tessa.gazprom-neft.local/edo/card/14058724-77ba-454c-b6a6-65c43afe64fd", "https://tessa.gazprom-neft.local/edo/card/14058724-77ba-454c-b6a6-65c43afe64fd")</f>
        <v>https://tessa.gazprom-neft.local/edo/card/14058724-77ba-454c-b6a6-65c43afe64fd</v>
      </c>
    </row>
    <row r="1745" spans="1:45" hidden="1" x14ac:dyDescent="0.25">
      <c r="A1745" s="6" t="s">
        <v>44</v>
      </c>
      <c r="B1745" s="7" t="s">
        <v>1909</v>
      </c>
      <c r="C1745" s="7" t="s">
        <v>67</v>
      </c>
      <c r="D1745" s="8">
        <v>44694</v>
      </c>
      <c r="E1745" s="8" t="s">
        <v>0</v>
      </c>
      <c r="F1745" s="16" t="s">
        <v>1910</v>
      </c>
      <c r="G1745" s="7" t="s">
        <v>1911</v>
      </c>
      <c r="H1745" s="7" t="s">
        <v>5307</v>
      </c>
      <c r="I1745" s="7" t="s">
        <v>0</v>
      </c>
      <c r="J1745" s="7" t="s">
        <v>355</v>
      </c>
      <c r="K1745" s="7" t="s">
        <v>47</v>
      </c>
      <c r="L1745" s="7" t="s">
        <v>239</v>
      </c>
      <c r="M1745" s="7" t="s">
        <v>0</v>
      </c>
      <c r="N1745" s="7" t="s">
        <v>5306</v>
      </c>
      <c r="O1745" s="7" t="s">
        <v>0</v>
      </c>
      <c r="P1745" s="7" t="s">
        <v>5308</v>
      </c>
      <c r="Q1745" s="7" t="s">
        <v>5309</v>
      </c>
      <c r="R1745" s="7" t="s">
        <v>220</v>
      </c>
      <c r="S1745" s="7" t="s">
        <v>220</v>
      </c>
      <c r="T1745" s="7" t="s">
        <v>54</v>
      </c>
      <c r="U1745" s="7" t="s">
        <v>222</v>
      </c>
      <c r="V1745" s="7" t="s">
        <v>382</v>
      </c>
      <c r="W1745" s="7" t="s">
        <v>57</v>
      </c>
      <c r="X1745" s="7" t="s">
        <v>103</v>
      </c>
      <c r="Y1745" s="8">
        <v>44694</v>
      </c>
      <c r="Z1745" s="8">
        <v>44742</v>
      </c>
      <c r="AA1745" s="7" t="s">
        <v>383</v>
      </c>
      <c r="AB1745" s="7" t="s">
        <v>387</v>
      </c>
      <c r="AC1745" s="7" t="s">
        <v>79</v>
      </c>
      <c r="AD1745" s="7" t="s">
        <v>80</v>
      </c>
      <c r="AE1745" s="7" t="s">
        <v>82</v>
      </c>
      <c r="AF1745" s="7" t="s">
        <v>0</v>
      </c>
      <c r="AG1745" s="7" t="s">
        <v>0</v>
      </c>
      <c r="AH1745" s="9" t="s">
        <v>12445</v>
      </c>
      <c r="AI1745" s="9" t="s">
        <v>12446</v>
      </c>
      <c r="AJ1745" s="9" t="s">
        <v>12447</v>
      </c>
      <c r="AK1745" s="7" t="s">
        <v>61</v>
      </c>
      <c r="AL1745" s="7" t="s">
        <v>61</v>
      </c>
      <c r="AM1745" s="7" t="s">
        <v>0</v>
      </c>
      <c r="AN1745" s="7" t="s">
        <v>0</v>
      </c>
      <c r="AO1745" s="7" t="s">
        <v>0</v>
      </c>
      <c r="AP1745" s="7" t="s">
        <v>0</v>
      </c>
      <c r="AQ1745" s="7" t="s">
        <v>61</v>
      </c>
      <c r="AR1745" s="7" t="s">
        <v>0</v>
      </c>
      <c r="AS1745" s="10" t="str">
        <f>HYPERLINK("https://tessa.gazprom-neft.local/edo/card/a7cdc1a6-b630-461b-83e8-9314b0fecbe1", "https://tessa.gazprom-neft.local/edo/card/a7cdc1a6-b630-461b-83e8-9314b0fecbe1")</f>
        <v>https://tessa.gazprom-neft.local/edo/card/a7cdc1a6-b630-461b-83e8-9314b0fecbe1</v>
      </c>
    </row>
    <row r="1746" spans="1:45" hidden="1" x14ac:dyDescent="0.25">
      <c r="A1746" s="6" t="s">
        <v>44</v>
      </c>
      <c r="B1746" s="7" t="s">
        <v>0</v>
      </c>
      <c r="C1746" s="7" t="s">
        <v>67</v>
      </c>
      <c r="D1746" s="8">
        <v>44694</v>
      </c>
      <c r="E1746" s="8" t="s">
        <v>0</v>
      </c>
      <c r="F1746" s="16" t="s">
        <v>1257</v>
      </c>
      <c r="G1746" s="7" t="s">
        <v>0</v>
      </c>
      <c r="H1746" s="7" t="s">
        <v>1254</v>
      </c>
      <c r="I1746" s="7" t="s">
        <v>0</v>
      </c>
      <c r="J1746" s="7" t="s">
        <v>271</v>
      </c>
      <c r="K1746" s="7" t="s">
        <v>85</v>
      </c>
      <c r="L1746" s="7" t="s">
        <v>239</v>
      </c>
      <c r="M1746" s="7" t="s">
        <v>1252</v>
      </c>
      <c r="N1746" s="7" t="s">
        <v>5339</v>
      </c>
      <c r="O1746" s="7" t="s">
        <v>0</v>
      </c>
      <c r="P1746" s="7" t="s">
        <v>1252</v>
      </c>
      <c r="Q1746" s="7" t="s">
        <v>5340</v>
      </c>
      <c r="R1746" s="7" t="s">
        <v>1256</v>
      </c>
      <c r="S1746" s="7" t="s">
        <v>1256</v>
      </c>
      <c r="T1746" s="7" t="s">
        <v>54</v>
      </c>
      <c r="U1746" s="7" t="s">
        <v>591</v>
      </c>
      <c r="V1746" s="7" t="s">
        <v>382</v>
      </c>
      <c r="W1746" s="7" t="s">
        <v>57</v>
      </c>
      <c r="X1746" s="7" t="s">
        <v>103</v>
      </c>
      <c r="Y1746" s="8">
        <v>44694</v>
      </c>
      <c r="Z1746" s="8">
        <v>44864</v>
      </c>
      <c r="AA1746" s="7" t="s">
        <v>383</v>
      </c>
      <c r="AB1746" s="7" t="s">
        <v>387</v>
      </c>
      <c r="AC1746" s="7" t="s">
        <v>79</v>
      </c>
      <c r="AD1746" s="7" t="s">
        <v>80</v>
      </c>
      <c r="AE1746" s="7" t="s">
        <v>82</v>
      </c>
      <c r="AF1746" s="7" t="s">
        <v>0</v>
      </c>
      <c r="AG1746" s="7" t="s">
        <v>0</v>
      </c>
      <c r="AH1746" s="9" t="s">
        <v>12454</v>
      </c>
      <c r="AI1746" s="9" t="s">
        <v>12455</v>
      </c>
      <c r="AJ1746" s="9" t="s">
        <v>12456</v>
      </c>
      <c r="AK1746" s="7" t="s">
        <v>61</v>
      </c>
      <c r="AL1746" s="7" t="s">
        <v>61</v>
      </c>
      <c r="AM1746" s="7" t="s">
        <v>0</v>
      </c>
      <c r="AN1746" s="7" t="s">
        <v>0</v>
      </c>
      <c r="AO1746" s="7" t="s">
        <v>0</v>
      </c>
      <c r="AP1746" s="7" t="s">
        <v>0</v>
      </c>
      <c r="AQ1746" s="7" t="s">
        <v>61</v>
      </c>
      <c r="AR1746" s="7" t="s">
        <v>0</v>
      </c>
      <c r="AS1746" s="10" t="str">
        <f>HYPERLINK("https://tessa.gazprom-neft.local/edo/card/221de26d-d63f-4085-900a-c4ce821eccdb", "https://tessa.gazprom-neft.local/edo/card/221de26d-d63f-4085-900a-c4ce821eccdb")</f>
        <v>https://tessa.gazprom-neft.local/edo/card/221de26d-d63f-4085-900a-c4ce821eccdb</v>
      </c>
    </row>
    <row r="1747" spans="1:45" hidden="1" x14ac:dyDescent="0.25">
      <c r="A1747" s="6" t="s">
        <v>44</v>
      </c>
      <c r="B1747" s="7" t="s">
        <v>2898</v>
      </c>
      <c r="C1747" s="7" t="s">
        <v>67</v>
      </c>
      <c r="D1747" s="8">
        <v>44694</v>
      </c>
      <c r="E1747" s="8" t="s">
        <v>0</v>
      </c>
      <c r="F1747" s="16" t="s">
        <v>2899</v>
      </c>
      <c r="G1747" s="7" t="s">
        <v>2900</v>
      </c>
      <c r="H1747" s="7" t="s">
        <v>3508</v>
      </c>
      <c r="I1747" s="7" t="s">
        <v>0</v>
      </c>
      <c r="J1747" s="7" t="s">
        <v>955</v>
      </c>
      <c r="K1747" s="7" t="s">
        <v>85</v>
      </c>
      <c r="L1747" s="7" t="s">
        <v>239</v>
      </c>
      <c r="M1747" s="7" t="s">
        <v>1252</v>
      </c>
      <c r="N1747" s="7" t="s">
        <v>5353</v>
      </c>
      <c r="O1747" s="7" t="s">
        <v>0</v>
      </c>
      <c r="P1747" s="7" t="s">
        <v>1252</v>
      </c>
      <c r="Q1747" s="7" t="s">
        <v>5354</v>
      </c>
      <c r="R1747" s="7" t="s">
        <v>1256</v>
      </c>
      <c r="S1747" s="7" t="s">
        <v>1256</v>
      </c>
      <c r="T1747" s="7" t="s">
        <v>54</v>
      </c>
      <c r="U1747" s="7" t="s">
        <v>591</v>
      </c>
      <c r="V1747" s="7" t="s">
        <v>382</v>
      </c>
      <c r="W1747" s="7" t="s">
        <v>57</v>
      </c>
      <c r="X1747" s="7" t="s">
        <v>103</v>
      </c>
      <c r="Y1747" s="8">
        <v>44694</v>
      </c>
      <c r="Z1747" s="8">
        <v>44742</v>
      </c>
      <c r="AA1747" s="7" t="s">
        <v>383</v>
      </c>
      <c r="AB1747" s="7" t="s">
        <v>387</v>
      </c>
      <c r="AC1747" s="7" t="s">
        <v>79</v>
      </c>
      <c r="AD1747" s="7" t="s">
        <v>144</v>
      </c>
      <c r="AE1747" s="7" t="s">
        <v>82</v>
      </c>
      <c r="AF1747" s="7" t="s">
        <v>0</v>
      </c>
      <c r="AG1747" s="7" t="s">
        <v>0</v>
      </c>
      <c r="AH1747" s="9" t="s">
        <v>12463</v>
      </c>
      <c r="AI1747" s="9" t="s">
        <v>12464</v>
      </c>
      <c r="AJ1747" s="9" t="s">
        <v>12465</v>
      </c>
      <c r="AK1747" s="7" t="s">
        <v>61</v>
      </c>
      <c r="AL1747" s="7" t="s">
        <v>61</v>
      </c>
      <c r="AM1747" s="7" t="s">
        <v>0</v>
      </c>
      <c r="AN1747" s="7" t="s">
        <v>0</v>
      </c>
      <c r="AO1747" s="7" t="s">
        <v>0</v>
      </c>
      <c r="AP1747" s="7" t="s">
        <v>0</v>
      </c>
      <c r="AQ1747" s="7" t="s">
        <v>61</v>
      </c>
      <c r="AR1747" s="7" t="s">
        <v>0</v>
      </c>
      <c r="AS1747" s="10" t="str">
        <f>HYPERLINK("https://tessa.gazprom-neft.local/edo/card/7ad790ef-6a47-4197-9667-7cdf42c2f97a", "https://tessa.gazprom-neft.local/edo/card/7ad790ef-6a47-4197-9667-7cdf42c2f97a")</f>
        <v>https://tessa.gazprom-neft.local/edo/card/7ad790ef-6a47-4197-9667-7cdf42c2f97a</v>
      </c>
    </row>
    <row r="1748" spans="1:45" hidden="1" x14ac:dyDescent="0.25">
      <c r="A1748" s="6" t="s">
        <v>44</v>
      </c>
      <c r="B1748" s="7" t="s">
        <v>2898</v>
      </c>
      <c r="C1748" s="7" t="s">
        <v>67</v>
      </c>
      <c r="D1748" s="8">
        <v>44694</v>
      </c>
      <c r="E1748" s="8" t="s">
        <v>0</v>
      </c>
      <c r="F1748" s="16" t="s">
        <v>2899</v>
      </c>
      <c r="G1748" s="7" t="s">
        <v>2900</v>
      </c>
      <c r="H1748" s="7" t="s">
        <v>3508</v>
      </c>
      <c r="I1748" s="7" t="s">
        <v>0</v>
      </c>
      <c r="J1748" s="7" t="s">
        <v>5392</v>
      </c>
      <c r="K1748" s="7" t="s">
        <v>85</v>
      </c>
      <c r="L1748" s="7" t="s">
        <v>389</v>
      </c>
      <c r="M1748" s="7" t="s">
        <v>1252</v>
      </c>
      <c r="N1748" s="7" t="s">
        <v>5391</v>
      </c>
      <c r="O1748" s="7" t="s">
        <v>3947</v>
      </c>
      <c r="P1748" s="7" t="s">
        <v>1252</v>
      </c>
      <c r="Q1748" s="7" t="s">
        <v>5393</v>
      </c>
      <c r="R1748" s="7" t="s">
        <v>1256</v>
      </c>
      <c r="S1748" s="7" t="s">
        <v>1256</v>
      </c>
      <c r="T1748" s="7" t="s">
        <v>54</v>
      </c>
      <c r="U1748" s="7" t="s">
        <v>591</v>
      </c>
      <c r="V1748" s="7" t="s">
        <v>382</v>
      </c>
      <c r="W1748" s="7" t="s">
        <v>57</v>
      </c>
      <c r="X1748" s="7" t="s">
        <v>103</v>
      </c>
      <c r="Y1748" s="8">
        <v>44694</v>
      </c>
      <c r="Z1748" s="8">
        <v>44803</v>
      </c>
      <c r="AA1748" s="7" t="s">
        <v>383</v>
      </c>
      <c r="AB1748" s="7" t="s">
        <v>387</v>
      </c>
      <c r="AC1748" s="7" t="s">
        <v>79</v>
      </c>
      <c r="AD1748" s="7" t="s">
        <v>144</v>
      </c>
      <c r="AE1748" s="7" t="s">
        <v>82</v>
      </c>
      <c r="AF1748" s="7" t="s">
        <v>0</v>
      </c>
      <c r="AG1748" s="7" t="s">
        <v>0</v>
      </c>
      <c r="AH1748" s="9" t="s">
        <v>12472</v>
      </c>
      <c r="AI1748" s="9" t="s">
        <v>12473</v>
      </c>
      <c r="AJ1748" s="9" t="s">
        <v>12474</v>
      </c>
      <c r="AK1748" s="7" t="s">
        <v>61</v>
      </c>
      <c r="AL1748" s="7" t="s">
        <v>61</v>
      </c>
      <c r="AM1748" s="7" t="s">
        <v>0</v>
      </c>
      <c r="AN1748" s="7" t="s">
        <v>0</v>
      </c>
      <c r="AO1748" s="7" t="s">
        <v>0</v>
      </c>
      <c r="AP1748" s="7" t="s">
        <v>0</v>
      </c>
      <c r="AQ1748" s="7" t="s">
        <v>61</v>
      </c>
      <c r="AR1748" s="7" t="s">
        <v>0</v>
      </c>
      <c r="AS1748" s="10" t="str">
        <f>HYPERLINK("https://tessa.gazprom-neft.local/edo/card/c1393464-5d5d-47e1-9aba-ed6bda23d3a8", "https://tessa.gazprom-neft.local/edo/card/c1393464-5d5d-47e1-9aba-ed6bda23d3a8")</f>
        <v>https://tessa.gazprom-neft.local/edo/card/c1393464-5d5d-47e1-9aba-ed6bda23d3a8</v>
      </c>
    </row>
    <row r="1749" spans="1:45" hidden="1" x14ac:dyDescent="0.25">
      <c r="A1749" s="6" t="s">
        <v>44</v>
      </c>
      <c r="B1749" s="7" t="s">
        <v>245</v>
      </c>
      <c r="C1749" s="7" t="s">
        <v>67</v>
      </c>
      <c r="D1749" s="8">
        <v>44692</v>
      </c>
      <c r="E1749" s="8" t="s">
        <v>0</v>
      </c>
      <c r="F1749" s="16" t="s">
        <v>246</v>
      </c>
      <c r="G1749" s="7" t="s">
        <v>247</v>
      </c>
      <c r="H1749" s="7" t="s">
        <v>1808</v>
      </c>
      <c r="I1749" s="7" t="s">
        <v>0</v>
      </c>
      <c r="J1749" s="7" t="s">
        <v>5327</v>
      </c>
      <c r="K1749" s="7" t="s">
        <v>47</v>
      </c>
      <c r="L1749" s="7" t="s">
        <v>239</v>
      </c>
      <c r="M1749" s="7" t="s">
        <v>0</v>
      </c>
      <c r="N1749" s="7" t="s">
        <v>5325</v>
      </c>
      <c r="O1749" s="7" t="s">
        <v>0</v>
      </c>
      <c r="P1749" s="7" t="s">
        <v>5326</v>
      </c>
      <c r="Q1749" s="7" t="s">
        <v>5328</v>
      </c>
      <c r="R1749" s="7" t="s">
        <v>244</v>
      </c>
      <c r="S1749" s="7" t="s">
        <v>0</v>
      </c>
      <c r="T1749" s="7" t="s">
        <v>54</v>
      </c>
      <c r="U1749" s="7" t="s">
        <v>55</v>
      </c>
      <c r="V1749" s="7" t="s">
        <v>56</v>
      </c>
      <c r="W1749" s="7" t="s">
        <v>57</v>
      </c>
      <c r="X1749" s="7" t="s">
        <v>103</v>
      </c>
      <c r="Y1749" s="8">
        <v>44692</v>
      </c>
      <c r="Z1749" s="8">
        <v>44741</v>
      </c>
      <c r="AA1749" s="7" t="s">
        <v>59</v>
      </c>
      <c r="AB1749" s="7" t="s">
        <v>256</v>
      </c>
      <c r="AC1749" s="7" t="s">
        <v>79</v>
      </c>
      <c r="AD1749" s="7" t="s">
        <v>144</v>
      </c>
      <c r="AE1749" s="7" t="s">
        <v>82</v>
      </c>
      <c r="AF1749" s="7" t="s">
        <v>0</v>
      </c>
      <c r="AG1749" s="7" t="s">
        <v>0</v>
      </c>
      <c r="AH1749" s="9" t="s">
        <v>10865</v>
      </c>
      <c r="AI1749" s="9" t="s">
        <v>10866</v>
      </c>
      <c r="AJ1749" s="9" t="s">
        <v>10867</v>
      </c>
      <c r="AK1749" s="7" t="s">
        <v>61</v>
      </c>
      <c r="AL1749" s="7" t="s">
        <v>61</v>
      </c>
      <c r="AM1749" s="7" t="s">
        <v>0</v>
      </c>
      <c r="AN1749" s="7" t="s">
        <v>0</v>
      </c>
      <c r="AO1749" s="7" t="s">
        <v>0</v>
      </c>
      <c r="AP1749" s="7" t="s">
        <v>0</v>
      </c>
      <c r="AQ1749" s="7" t="s">
        <v>61</v>
      </c>
      <c r="AR1749" s="7" t="s">
        <v>0</v>
      </c>
      <c r="AS1749" s="10" t="str">
        <f>HYPERLINK("https://tessa.gazprom-neft.local/edo/card/9a1daf98-8582-4b9e-bbd5-4d61e0aef064", "https://tessa.gazprom-neft.local/edo/card/9a1daf98-8582-4b9e-bbd5-4d61e0aef064")</f>
        <v>https://tessa.gazprom-neft.local/edo/card/9a1daf98-8582-4b9e-bbd5-4d61e0aef064</v>
      </c>
    </row>
    <row r="1750" spans="1:45" hidden="1" x14ac:dyDescent="0.25">
      <c r="A1750" s="6" t="s">
        <v>44</v>
      </c>
      <c r="B1750" s="7" t="s">
        <v>245</v>
      </c>
      <c r="C1750" s="7" t="s">
        <v>67</v>
      </c>
      <c r="D1750" s="8">
        <v>44692</v>
      </c>
      <c r="E1750" s="8" t="s">
        <v>0</v>
      </c>
      <c r="F1750" s="16" t="s">
        <v>246</v>
      </c>
      <c r="G1750" s="7" t="s">
        <v>247</v>
      </c>
      <c r="H1750" s="7" t="s">
        <v>1808</v>
      </c>
      <c r="I1750" s="7" t="s">
        <v>0</v>
      </c>
      <c r="J1750" s="7" t="s">
        <v>5500</v>
      </c>
      <c r="K1750" s="7" t="s">
        <v>47</v>
      </c>
      <c r="L1750" s="7" t="s">
        <v>239</v>
      </c>
      <c r="M1750" s="7" t="s">
        <v>0</v>
      </c>
      <c r="N1750" s="7" t="s">
        <v>5498</v>
      </c>
      <c r="O1750" s="7" t="s">
        <v>0</v>
      </c>
      <c r="P1750" s="7" t="s">
        <v>5499</v>
      </c>
      <c r="Q1750" s="7" t="s">
        <v>5501</v>
      </c>
      <c r="R1750" s="7" t="s">
        <v>244</v>
      </c>
      <c r="S1750" s="7" t="s">
        <v>0</v>
      </c>
      <c r="T1750" s="7" t="s">
        <v>54</v>
      </c>
      <c r="U1750" s="7" t="s">
        <v>55</v>
      </c>
      <c r="V1750" s="7" t="s">
        <v>56</v>
      </c>
      <c r="W1750" s="7" t="s">
        <v>57</v>
      </c>
      <c r="X1750" s="7" t="s">
        <v>103</v>
      </c>
      <c r="Y1750" s="8">
        <v>44692</v>
      </c>
      <c r="Z1750" s="8">
        <v>44742</v>
      </c>
      <c r="AA1750" s="7" t="s">
        <v>59</v>
      </c>
      <c r="AB1750" s="7" t="s">
        <v>256</v>
      </c>
      <c r="AC1750" s="7" t="s">
        <v>79</v>
      </c>
      <c r="AD1750" s="7" t="s">
        <v>144</v>
      </c>
      <c r="AE1750" s="7" t="s">
        <v>82</v>
      </c>
      <c r="AF1750" s="7" t="s">
        <v>0</v>
      </c>
      <c r="AG1750" s="7" t="s">
        <v>0</v>
      </c>
      <c r="AH1750" s="9" t="s">
        <v>12510</v>
      </c>
      <c r="AI1750" s="9" t="s">
        <v>12511</v>
      </c>
      <c r="AJ1750" s="9" t="s">
        <v>12512</v>
      </c>
      <c r="AK1750" s="7" t="s">
        <v>61</v>
      </c>
      <c r="AL1750" s="7" t="s">
        <v>61</v>
      </c>
      <c r="AM1750" s="7" t="s">
        <v>0</v>
      </c>
      <c r="AN1750" s="7" t="s">
        <v>0</v>
      </c>
      <c r="AO1750" s="7" t="s">
        <v>0</v>
      </c>
      <c r="AP1750" s="7" t="s">
        <v>0</v>
      </c>
      <c r="AQ1750" s="7" t="s">
        <v>61</v>
      </c>
      <c r="AR1750" s="7" t="s">
        <v>0</v>
      </c>
      <c r="AS1750" s="10" t="str">
        <f>HYPERLINK("https://tessa.gazprom-neft.local/edo/card/8a3752a9-68b1-4b53-89d0-bd9d1e97fa92", "https://tessa.gazprom-neft.local/edo/card/8a3752a9-68b1-4b53-89d0-bd9d1e97fa92")</f>
        <v>https://tessa.gazprom-neft.local/edo/card/8a3752a9-68b1-4b53-89d0-bd9d1e97fa92</v>
      </c>
    </row>
    <row r="1751" spans="1:45" hidden="1" x14ac:dyDescent="0.25">
      <c r="A1751" s="6" t="s">
        <v>44</v>
      </c>
      <c r="B1751" s="7" t="s">
        <v>245</v>
      </c>
      <c r="C1751" s="7" t="s">
        <v>67</v>
      </c>
      <c r="D1751" s="8">
        <v>44692</v>
      </c>
      <c r="E1751" s="8" t="s">
        <v>0</v>
      </c>
      <c r="F1751" s="16" t="s">
        <v>246</v>
      </c>
      <c r="G1751" s="7" t="s">
        <v>247</v>
      </c>
      <c r="H1751" s="7" t="s">
        <v>1808</v>
      </c>
      <c r="I1751" s="7" t="s">
        <v>0</v>
      </c>
      <c r="J1751" s="7" t="s">
        <v>5604</v>
      </c>
      <c r="K1751" s="7" t="s">
        <v>47</v>
      </c>
      <c r="L1751" s="7" t="s">
        <v>239</v>
      </c>
      <c r="M1751" s="7" t="s">
        <v>0</v>
      </c>
      <c r="N1751" s="7" t="s">
        <v>5602</v>
      </c>
      <c r="O1751" s="7" t="s">
        <v>0</v>
      </c>
      <c r="P1751" s="7" t="s">
        <v>5603</v>
      </c>
      <c r="Q1751" s="7" t="s">
        <v>5605</v>
      </c>
      <c r="R1751" s="7" t="s">
        <v>244</v>
      </c>
      <c r="S1751" s="7" t="s">
        <v>0</v>
      </c>
      <c r="T1751" s="7" t="s">
        <v>54</v>
      </c>
      <c r="U1751" s="7" t="s">
        <v>55</v>
      </c>
      <c r="V1751" s="7" t="s">
        <v>56</v>
      </c>
      <c r="W1751" s="7" t="s">
        <v>57</v>
      </c>
      <c r="X1751" s="7" t="s">
        <v>103</v>
      </c>
      <c r="Y1751" s="8">
        <v>44692</v>
      </c>
      <c r="Z1751" s="8">
        <v>44925</v>
      </c>
      <c r="AA1751" s="7" t="s">
        <v>59</v>
      </c>
      <c r="AB1751" s="7" t="s">
        <v>256</v>
      </c>
      <c r="AC1751" s="7" t="s">
        <v>79</v>
      </c>
      <c r="AD1751" s="7" t="s">
        <v>144</v>
      </c>
      <c r="AE1751" s="7" t="s">
        <v>82</v>
      </c>
      <c r="AF1751" s="7" t="s">
        <v>0</v>
      </c>
      <c r="AG1751" s="7" t="s">
        <v>0</v>
      </c>
      <c r="AH1751" s="9" t="s">
        <v>12547</v>
      </c>
      <c r="AI1751" s="9" t="s">
        <v>12548</v>
      </c>
      <c r="AJ1751" s="9" t="s">
        <v>12549</v>
      </c>
      <c r="AK1751" s="7" t="s">
        <v>61</v>
      </c>
      <c r="AL1751" s="7" t="s">
        <v>61</v>
      </c>
      <c r="AM1751" s="7" t="s">
        <v>0</v>
      </c>
      <c r="AN1751" s="7" t="s">
        <v>0</v>
      </c>
      <c r="AO1751" s="7" t="s">
        <v>0</v>
      </c>
      <c r="AP1751" s="7" t="s">
        <v>0</v>
      </c>
      <c r="AQ1751" s="7" t="s">
        <v>61</v>
      </c>
      <c r="AR1751" s="7" t="s">
        <v>0</v>
      </c>
      <c r="AS1751" s="10" t="str">
        <f>HYPERLINK("https://tessa.gazprom-neft.local/edo/card/605850c5-99b6-41e5-ac7a-4f8470d2ad3f", "https://tessa.gazprom-neft.local/edo/card/605850c5-99b6-41e5-ac7a-4f8470d2ad3f")</f>
        <v>https://tessa.gazprom-neft.local/edo/card/605850c5-99b6-41e5-ac7a-4f8470d2ad3f</v>
      </c>
    </row>
    <row r="1752" spans="1:45" x14ac:dyDescent="0.25">
      <c r="A1752" s="6" t="s">
        <v>44</v>
      </c>
      <c r="B1752" s="7" t="s">
        <v>520</v>
      </c>
      <c r="C1752" s="7" t="s">
        <v>46</v>
      </c>
      <c r="D1752" s="8">
        <v>44687</v>
      </c>
      <c r="E1752" s="8" t="s">
        <v>0</v>
      </c>
      <c r="F1752" s="16" t="s">
        <v>521</v>
      </c>
      <c r="G1752" s="7" t="s">
        <v>522</v>
      </c>
      <c r="H1752" s="7" t="s">
        <v>5044</v>
      </c>
      <c r="I1752" s="7" t="s">
        <v>0</v>
      </c>
      <c r="J1752" s="7" t="s">
        <v>271</v>
      </c>
      <c r="K1752" s="7" t="s">
        <v>85</v>
      </c>
      <c r="L1752" s="7" t="s">
        <v>48</v>
      </c>
      <c r="M1752" s="7" t="s">
        <v>5042</v>
      </c>
      <c r="N1752" s="7" t="s">
        <v>5043</v>
      </c>
      <c r="O1752" s="7" t="s">
        <v>0</v>
      </c>
      <c r="P1752" s="7" t="s">
        <v>5042</v>
      </c>
      <c r="Q1752" s="7" t="s">
        <v>5045</v>
      </c>
      <c r="R1752" s="7" t="s">
        <v>187</v>
      </c>
      <c r="S1752" s="7" t="s">
        <v>187</v>
      </c>
      <c r="T1752" s="7" t="s">
        <v>54</v>
      </c>
      <c r="U1752" s="7" t="s">
        <v>188</v>
      </c>
      <c r="V1752" s="7" t="s">
        <v>340</v>
      </c>
      <c r="W1752" s="7" t="s">
        <v>57</v>
      </c>
      <c r="X1752" s="7" t="s">
        <v>223</v>
      </c>
      <c r="Y1752" s="8">
        <v>44687</v>
      </c>
      <c r="Z1752" s="8" t="s">
        <v>0</v>
      </c>
      <c r="AA1752" s="7" t="s">
        <v>341</v>
      </c>
      <c r="AB1752" s="7" t="s">
        <v>64</v>
      </c>
      <c r="AC1752" s="7" t="s">
        <v>65</v>
      </c>
      <c r="AD1752" s="7" t="s">
        <v>0</v>
      </c>
      <c r="AE1752" s="7" t="s">
        <v>0</v>
      </c>
      <c r="AF1752" s="7" t="s">
        <v>0</v>
      </c>
      <c r="AG1752" s="7" t="s">
        <v>0</v>
      </c>
      <c r="AH1752" s="9" t="s">
        <v>0</v>
      </c>
      <c r="AI1752" s="9" t="s">
        <v>0</v>
      </c>
      <c r="AJ1752" s="9" t="s">
        <v>0</v>
      </c>
      <c r="AK1752" s="7" t="s">
        <v>61</v>
      </c>
      <c r="AL1752" s="7" t="s">
        <v>61</v>
      </c>
      <c r="AM1752" s="7" t="s">
        <v>0</v>
      </c>
      <c r="AN1752" s="7" t="s">
        <v>0</v>
      </c>
      <c r="AO1752" s="7" t="s">
        <v>0</v>
      </c>
      <c r="AP1752" s="7" t="s">
        <v>0</v>
      </c>
      <c r="AQ1752" s="7" t="s">
        <v>61</v>
      </c>
      <c r="AR1752" s="7" t="s">
        <v>0</v>
      </c>
      <c r="AS1752" s="10" t="str">
        <f>HYPERLINK("https://tessa.gazprom-neft.local/edo/card/94f2e091-e05c-4ea7-8c97-7e71bf924e02", "https://tessa.gazprom-neft.local/edo/card/94f2e091-e05c-4ea7-8c97-7e71bf924e02")</f>
        <v>https://tessa.gazprom-neft.local/edo/card/94f2e091-e05c-4ea7-8c97-7e71bf924e02</v>
      </c>
    </row>
    <row r="1753" spans="1:45" x14ac:dyDescent="0.25">
      <c r="A1753" s="6" t="s">
        <v>44</v>
      </c>
      <c r="B1753" s="7" t="s">
        <v>5713</v>
      </c>
      <c r="C1753" s="7" t="s">
        <v>46</v>
      </c>
      <c r="D1753" s="8">
        <v>44687</v>
      </c>
      <c r="E1753" s="8" t="s">
        <v>0</v>
      </c>
      <c r="F1753" s="16" t="s">
        <v>5714</v>
      </c>
      <c r="G1753" s="7" t="s">
        <v>5715</v>
      </c>
      <c r="H1753" s="7" t="s">
        <v>3653</v>
      </c>
      <c r="I1753" s="7" t="s">
        <v>0</v>
      </c>
      <c r="J1753" s="7" t="s">
        <v>51</v>
      </c>
      <c r="K1753" s="7" t="s">
        <v>47</v>
      </c>
      <c r="L1753" s="7" t="s">
        <v>48</v>
      </c>
      <c r="M1753" s="7" t="s">
        <v>0</v>
      </c>
      <c r="N1753" s="7" t="s">
        <v>5710</v>
      </c>
      <c r="O1753" s="7" t="s">
        <v>0</v>
      </c>
      <c r="P1753" s="7" t="s">
        <v>5711</v>
      </c>
      <c r="Q1753" s="7" t="s">
        <v>5712</v>
      </c>
      <c r="R1753" s="7" t="s">
        <v>799</v>
      </c>
      <c r="S1753" s="7" t="s">
        <v>0</v>
      </c>
      <c r="T1753" s="7" t="s">
        <v>54</v>
      </c>
      <c r="U1753" s="7" t="s">
        <v>55</v>
      </c>
      <c r="V1753" s="7" t="s">
        <v>56</v>
      </c>
      <c r="W1753" s="7" t="s">
        <v>57</v>
      </c>
      <c r="X1753" s="7" t="s">
        <v>103</v>
      </c>
      <c r="Y1753" s="8">
        <v>44687</v>
      </c>
      <c r="Z1753" s="8">
        <v>45291</v>
      </c>
      <c r="AA1753" s="7" t="s">
        <v>0</v>
      </c>
      <c r="AB1753" s="7" t="s">
        <v>130</v>
      </c>
      <c r="AC1753" s="7" t="s">
        <v>79</v>
      </c>
      <c r="AD1753" s="7" t="s">
        <v>80</v>
      </c>
      <c r="AE1753" s="7" t="s">
        <v>82</v>
      </c>
      <c r="AF1753" s="7" t="s">
        <v>0</v>
      </c>
      <c r="AG1753" s="7" t="s">
        <v>0</v>
      </c>
      <c r="AH1753" s="9" t="s">
        <v>12586</v>
      </c>
      <c r="AI1753" s="9" t="s">
        <v>12587</v>
      </c>
      <c r="AJ1753" s="9" t="s">
        <v>12588</v>
      </c>
      <c r="AK1753" s="7" t="s">
        <v>61</v>
      </c>
      <c r="AL1753" s="7" t="s">
        <v>61</v>
      </c>
      <c r="AM1753" s="7" t="s">
        <v>0</v>
      </c>
      <c r="AN1753" s="7" t="s">
        <v>0</v>
      </c>
      <c r="AO1753" s="7" t="s">
        <v>0</v>
      </c>
      <c r="AP1753" s="7" t="s">
        <v>0</v>
      </c>
      <c r="AQ1753" s="7" t="s">
        <v>61</v>
      </c>
      <c r="AR1753" s="7" t="s">
        <v>0</v>
      </c>
      <c r="AS1753" s="10" t="str">
        <f>HYPERLINK("https://tessa.gazprom-neft.local/edo/card/e29d175d-281a-4e2d-b342-d3235ecc3e1f", "https://tessa.gazprom-neft.local/edo/card/e29d175d-281a-4e2d-b342-d3235ecc3e1f")</f>
        <v>https://tessa.gazprom-neft.local/edo/card/e29d175d-281a-4e2d-b342-d3235ecc3e1f</v>
      </c>
    </row>
    <row r="1754" spans="1:45" hidden="1" x14ac:dyDescent="0.25">
      <c r="A1754" s="6" t="s">
        <v>44</v>
      </c>
      <c r="B1754" s="7" t="s">
        <v>1165</v>
      </c>
      <c r="C1754" s="7" t="s">
        <v>67</v>
      </c>
      <c r="D1754" s="8">
        <v>44686</v>
      </c>
      <c r="E1754" s="8" t="s">
        <v>0</v>
      </c>
      <c r="F1754" s="16" t="s">
        <v>1166</v>
      </c>
      <c r="G1754" s="7" t="s">
        <v>1167</v>
      </c>
      <c r="H1754" s="7" t="s">
        <v>3465</v>
      </c>
      <c r="I1754" s="7" t="s">
        <v>0</v>
      </c>
      <c r="J1754" s="7" t="s">
        <v>4858</v>
      </c>
      <c r="K1754" s="7" t="s">
        <v>47</v>
      </c>
      <c r="L1754" s="7" t="s">
        <v>239</v>
      </c>
      <c r="M1754" s="7" t="s">
        <v>0</v>
      </c>
      <c r="N1754" s="7" t="s">
        <v>4856</v>
      </c>
      <c r="O1754" s="7" t="s">
        <v>0</v>
      </c>
      <c r="P1754" s="7" t="s">
        <v>4857</v>
      </c>
      <c r="Q1754" s="7" t="s">
        <v>4859</v>
      </c>
      <c r="R1754" s="7" t="s">
        <v>244</v>
      </c>
      <c r="S1754" s="7" t="s">
        <v>0</v>
      </c>
      <c r="T1754" s="7" t="s">
        <v>54</v>
      </c>
      <c r="U1754" s="7" t="s">
        <v>55</v>
      </c>
      <c r="V1754" s="7" t="s">
        <v>56</v>
      </c>
      <c r="W1754" s="7" t="s">
        <v>57</v>
      </c>
      <c r="X1754" s="7" t="s">
        <v>103</v>
      </c>
      <c r="Y1754" s="8">
        <v>44686</v>
      </c>
      <c r="Z1754" s="8">
        <v>44711</v>
      </c>
      <c r="AA1754" s="7" t="s">
        <v>59</v>
      </c>
      <c r="AB1754" s="7" t="s">
        <v>256</v>
      </c>
      <c r="AC1754" s="7" t="s">
        <v>79</v>
      </c>
      <c r="AD1754" s="7" t="s">
        <v>144</v>
      </c>
      <c r="AE1754" s="7" t="s">
        <v>82</v>
      </c>
      <c r="AF1754" s="7" t="s">
        <v>0</v>
      </c>
      <c r="AG1754" s="7" t="s">
        <v>0</v>
      </c>
      <c r="AH1754" s="9" t="s">
        <v>12252</v>
      </c>
      <c r="AI1754" s="9" t="s">
        <v>12253</v>
      </c>
      <c r="AJ1754" s="9" t="s">
        <v>12254</v>
      </c>
      <c r="AK1754" s="7" t="s">
        <v>61</v>
      </c>
      <c r="AL1754" s="7" t="s">
        <v>61</v>
      </c>
      <c r="AM1754" s="7" t="s">
        <v>0</v>
      </c>
      <c r="AN1754" s="7" t="s">
        <v>0</v>
      </c>
      <c r="AO1754" s="7" t="s">
        <v>0</v>
      </c>
      <c r="AP1754" s="7" t="s">
        <v>0</v>
      </c>
      <c r="AQ1754" s="7" t="s">
        <v>61</v>
      </c>
      <c r="AR1754" s="7" t="s">
        <v>0</v>
      </c>
      <c r="AS1754" s="10" t="str">
        <f>HYPERLINK("https://tessa.gazprom-neft.local/edo/card/ea5d8012-e67d-4d40-9879-a46c03aa2f8c", "https://tessa.gazprom-neft.local/edo/card/ea5d8012-e67d-4d40-9879-a46c03aa2f8c")</f>
        <v>https://tessa.gazprom-neft.local/edo/card/ea5d8012-e67d-4d40-9879-a46c03aa2f8c</v>
      </c>
    </row>
    <row r="1755" spans="1:45" x14ac:dyDescent="0.25">
      <c r="A1755" s="6" t="s">
        <v>44</v>
      </c>
      <c r="B1755" s="7" t="s">
        <v>488</v>
      </c>
      <c r="C1755" s="7" t="s">
        <v>67</v>
      </c>
      <c r="D1755" s="8">
        <v>44686</v>
      </c>
      <c r="E1755" s="8" t="s">
        <v>0</v>
      </c>
      <c r="F1755" s="16" t="s">
        <v>489</v>
      </c>
      <c r="G1755" s="7" t="s">
        <v>490</v>
      </c>
      <c r="H1755" s="7" t="s">
        <v>2173</v>
      </c>
      <c r="I1755" s="7" t="s">
        <v>0</v>
      </c>
      <c r="J1755" s="7" t="s">
        <v>156</v>
      </c>
      <c r="K1755" s="7" t="s">
        <v>47</v>
      </c>
      <c r="L1755" s="7" t="s">
        <v>48</v>
      </c>
      <c r="M1755" s="7" t="s">
        <v>0</v>
      </c>
      <c r="N1755" s="7" t="s">
        <v>4892</v>
      </c>
      <c r="O1755" s="7" t="s">
        <v>0</v>
      </c>
      <c r="P1755" s="7" t="s">
        <v>4893</v>
      </c>
      <c r="Q1755" s="7" t="s">
        <v>4894</v>
      </c>
      <c r="R1755" s="7" t="s">
        <v>282</v>
      </c>
      <c r="S1755" s="7" t="s">
        <v>0</v>
      </c>
      <c r="T1755" s="7" t="s">
        <v>54</v>
      </c>
      <c r="U1755" s="7" t="s">
        <v>55</v>
      </c>
      <c r="V1755" s="7" t="s">
        <v>56</v>
      </c>
      <c r="W1755" s="7" t="s">
        <v>57</v>
      </c>
      <c r="X1755" s="7" t="s">
        <v>103</v>
      </c>
      <c r="Y1755" s="8">
        <v>44686</v>
      </c>
      <c r="Z1755" s="8">
        <v>45657</v>
      </c>
      <c r="AA1755" s="7" t="s">
        <v>0</v>
      </c>
      <c r="AB1755" s="7" t="s">
        <v>874</v>
      </c>
      <c r="AC1755" s="7" t="s">
        <v>65</v>
      </c>
      <c r="AD1755" s="7" t="s">
        <v>144</v>
      </c>
      <c r="AE1755" s="7" t="s">
        <v>0</v>
      </c>
      <c r="AF1755" s="7" t="s">
        <v>0</v>
      </c>
      <c r="AG1755" s="7" t="s">
        <v>0</v>
      </c>
      <c r="AH1755" s="9" t="s">
        <v>0</v>
      </c>
      <c r="AI1755" s="9" t="s">
        <v>0</v>
      </c>
      <c r="AJ1755" s="9" t="s">
        <v>0</v>
      </c>
      <c r="AK1755" s="7" t="s">
        <v>61</v>
      </c>
      <c r="AL1755" s="7" t="s">
        <v>61</v>
      </c>
      <c r="AM1755" s="7" t="s">
        <v>0</v>
      </c>
      <c r="AN1755" s="7" t="s">
        <v>0</v>
      </c>
      <c r="AO1755" s="7" t="s">
        <v>0</v>
      </c>
      <c r="AP1755" s="7" t="s">
        <v>0</v>
      </c>
      <c r="AQ1755" s="7" t="s">
        <v>61</v>
      </c>
      <c r="AR1755" s="7" t="s">
        <v>0</v>
      </c>
      <c r="AS1755" s="10" t="str">
        <f>HYPERLINK("https://tessa.gazprom-neft.local/edo/card/bd4585d7-e45b-4c84-baa7-169300afd75b", "https://tessa.gazprom-neft.local/edo/card/bd4585d7-e45b-4c84-baa7-169300afd75b")</f>
        <v>https://tessa.gazprom-neft.local/edo/card/bd4585d7-e45b-4c84-baa7-169300afd75b</v>
      </c>
    </row>
    <row r="1756" spans="1:45" x14ac:dyDescent="0.25">
      <c r="A1756" s="6" t="s">
        <v>44</v>
      </c>
      <c r="B1756" s="7" t="s">
        <v>488</v>
      </c>
      <c r="C1756" s="7" t="s">
        <v>67</v>
      </c>
      <c r="D1756" s="8">
        <v>44686</v>
      </c>
      <c r="E1756" s="8" t="s">
        <v>0</v>
      </c>
      <c r="F1756" s="16" t="s">
        <v>489</v>
      </c>
      <c r="G1756" s="7" t="s">
        <v>490</v>
      </c>
      <c r="H1756" s="7" t="s">
        <v>870</v>
      </c>
      <c r="I1756" s="7" t="s">
        <v>0</v>
      </c>
      <c r="J1756" s="7" t="s">
        <v>271</v>
      </c>
      <c r="K1756" s="7" t="s">
        <v>47</v>
      </c>
      <c r="L1756" s="7" t="s">
        <v>48</v>
      </c>
      <c r="M1756" s="7" t="s">
        <v>0</v>
      </c>
      <c r="N1756" s="7" t="s">
        <v>4933</v>
      </c>
      <c r="O1756" s="7" t="s">
        <v>0</v>
      </c>
      <c r="P1756" s="7" t="s">
        <v>4934</v>
      </c>
      <c r="Q1756" s="7" t="s">
        <v>4894</v>
      </c>
      <c r="R1756" s="7" t="s">
        <v>282</v>
      </c>
      <c r="S1756" s="7" t="s">
        <v>0</v>
      </c>
      <c r="T1756" s="7" t="s">
        <v>54</v>
      </c>
      <c r="U1756" s="7" t="s">
        <v>55</v>
      </c>
      <c r="V1756" s="7" t="s">
        <v>56</v>
      </c>
      <c r="W1756" s="7" t="s">
        <v>57</v>
      </c>
      <c r="X1756" s="7" t="s">
        <v>103</v>
      </c>
      <c r="Y1756" s="8">
        <v>44686</v>
      </c>
      <c r="Z1756" s="8">
        <v>45291</v>
      </c>
      <c r="AA1756" s="7" t="s">
        <v>0</v>
      </c>
      <c r="AB1756" s="7" t="s">
        <v>130</v>
      </c>
      <c r="AC1756" s="7" t="s">
        <v>65</v>
      </c>
      <c r="AD1756" s="7" t="s">
        <v>144</v>
      </c>
      <c r="AE1756" s="7" t="s">
        <v>0</v>
      </c>
      <c r="AF1756" s="7" t="s">
        <v>0</v>
      </c>
      <c r="AG1756" s="7" t="s">
        <v>0</v>
      </c>
      <c r="AH1756" s="9" t="s">
        <v>0</v>
      </c>
      <c r="AI1756" s="9" t="s">
        <v>0</v>
      </c>
      <c r="AJ1756" s="9" t="s">
        <v>0</v>
      </c>
      <c r="AK1756" s="7" t="s">
        <v>61</v>
      </c>
      <c r="AL1756" s="7" t="s">
        <v>61</v>
      </c>
      <c r="AM1756" s="7" t="s">
        <v>0</v>
      </c>
      <c r="AN1756" s="7" t="s">
        <v>0</v>
      </c>
      <c r="AO1756" s="7" t="s">
        <v>0</v>
      </c>
      <c r="AP1756" s="7" t="s">
        <v>0</v>
      </c>
      <c r="AQ1756" s="7" t="s">
        <v>61</v>
      </c>
      <c r="AR1756" s="7" t="s">
        <v>0</v>
      </c>
      <c r="AS1756" s="10" t="str">
        <f>HYPERLINK("https://tessa.gazprom-neft.local/edo/card/891541f5-9abc-48ca-95d2-afc6bfc098e5", "https://tessa.gazprom-neft.local/edo/card/891541f5-9abc-48ca-95d2-afc6bfc098e5")</f>
        <v>https://tessa.gazprom-neft.local/edo/card/891541f5-9abc-48ca-95d2-afc6bfc098e5</v>
      </c>
    </row>
    <row r="1757" spans="1:45" x14ac:dyDescent="0.25">
      <c r="A1757" s="6" t="s">
        <v>44</v>
      </c>
      <c r="B1757" s="7" t="s">
        <v>2274</v>
      </c>
      <c r="C1757" s="7" t="s">
        <v>67</v>
      </c>
      <c r="D1757" s="8">
        <v>44686</v>
      </c>
      <c r="E1757" s="8" t="s">
        <v>0</v>
      </c>
      <c r="F1757" s="16" t="s">
        <v>2275</v>
      </c>
      <c r="G1757" s="7" t="s">
        <v>2276</v>
      </c>
      <c r="H1757" s="7" t="s">
        <v>4944</v>
      </c>
      <c r="I1757" s="7" t="s">
        <v>0</v>
      </c>
      <c r="J1757" s="7" t="s">
        <v>271</v>
      </c>
      <c r="K1757" s="7" t="s">
        <v>47</v>
      </c>
      <c r="L1757" s="7" t="s">
        <v>48</v>
      </c>
      <c r="M1757" s="7" t="s">
        <v>0</v>
      </c>
      <c r="N1757" s="7" t="s">
        <v>4943</v>
      </c>
      <c r="O1757" s="7" t="s">
        <v>0</v>
      </c>
      <c r="P1757" s="7" t="s">
        <v>4945</v>
      </c>
      <c r="Q1757" s="7" t="s">
        <v>4946</v>
      </c>
      <c r="R1757" s="7" t="s">
        <v>135</v>
      </c>
      <c r="S1757" s="7" t="s">
        <v>135</v>
      </c>
      <c r="T1757" s="7" t="s">
        <v>54</v>
      </c>
      <c r="U1757" s="7" t="s">
        <v>136</v>
      </c>
      <c r="V1757" s="7" t="s">
        <v>102</v>
      </c>
      <c r="W1757" s="7" t="s">
        <v>57</v>
      </c>
      <c r="X1757" s="7" t="s">
        <v>103</v>
      </c>
      <c r="Y1757" s="8">
        <v>44686</v>
      </c>
      <c r="Z1757" s="8">
        <v>45170</v>
      </c>
      <c r="AA1757" s="7" t="s">
        <v>104</v>
      </c>
      <c r="AB1757" s="7" t="s">
        <v>64</v>
      </c>
      <c r="AC1757" s="7" t="s">
        <v>65</v>
      </c>
      <c r="AD1757" s="7" t="s">
        <v>0</v>
      </c>
      <c r="AE1757" s="7" t="s">
        <v>0</v>
      </c>
      <c r="AF1757" s="7" t="s">
        <v>0</v>
      </c>
      <c r="AG1757" s="7" t="s">
        <v>0</v>
      </c>
      <c r="AH1757" s="9" t="s">
        <v>0</v>
      </c>
      <c r="AI1757" s="9" t="s">
        <v>0</v>
      </c>
      <c r="AJ1757" s="9" t="s">
        <v>0</v>
      </c>
      <c r="AK1757" s="7" t="s">
        <v>61</v>
      </c>
      <c r="AL1757" s="7" t="s">
        <v>61</v>
      </c>
      <c r="AM1757" s="7" t="s">
        <v>0</v>
      </c>
      <c r="AN1757" s="7" t="s">
        <v>0</v>
      </c>
      <c r="AO1757" s="7" t="s">
        <v>0</v>
      </c>
      <c r="AP1757" s="7" t="s">
        <v>0</v>
      </c>
      <c r="AQ1757" s="7" t="s">
        <v>61</v>
      </c>
      <c r="AR1757" s="7" t="s">
        <v>0</v>
      </c>
      <c r="AS1757" s="10" t="str">
        <f>HYPERLINK("https://tessa.gazprom-neft.local/edo/card/41f428af-2ced-4aea-bdb3-531200eded67", "https://tessa.gazprom-neft.local/edo/card/41f428af-2ced-4aea-bdb3-531200eded67")</f>
        <v>https://tessa.gazprom-neft.local/edo/card/41f428af-2ced-4aea-bdb3-531200eded67</v>
      </c>
    </row>
    <row r="1758" spans="1:45" hidden="1" x14ac:dyDescent="0.25">
      <c r="A1758" s="6" t="s">
        <v>44</v>
      </c>
      <c r="B1758" s="7" t="s">
        <v>3172</v>
      </c>
      <c r="C1758" s="7" t="s">
        <v>67</v>
      </c>
      <c r="D1758" s="8">
        <v>44686</v>
      </c>
      <c r="E1758" s="8" t="s">
        <v>0</v>
      </c>
      <c r="F1758" s="16" t="s">
        <v>3173</v>
      </c>
      <c r="G1758" s="7" t="s">
        <v>3174</v>
      </c>
      <c r="H1758" s="7" t="s">
        <v>0</v>
      </c>
      <c r="I1758" s="7" t="s">
        <v>5071</v>
      </c>
      <c r="J1758" s="7" t="s">
        <v>5071</v>
      </c>
      <c r="K1758" s="7" t="s">
        <v>47</v>
      </c>
      <c r="L1758" s="7" t="s">
        <v>96</v>
      </c>
      <c r="M1758" s="7" t="s">
        <v>0</v>
      </c>
      <c r="N1758" s="7" t="s">
        <v>5070</v>
      </c>
      <c r="O1758" s="7" t="s">
        <v>0</v>
      </c>
      <c r="P1758" s="7" t="s">
        <v>5072</v>
      </c>
      <c r="Q1758" s="7" t="s">
        <v>5073</v>
      </c>
      <c r="R1758" s="7" t="s">
        <v>1256</v>
      </c>
      <c r="S1758" s="7" t="s">
        <v>1256</v>
      </c>
      <c r="T1758" s="7" t="s">
        <v>54</v>
      </c>
      <c r="U1758" s="7" t="s">
        <v>591</v>
      </c>
      <c r="V1758" s="7" t="s">
        <v>382</v>
      </c>
      <c r="W1758" s="7" t="s">
        <v>57</v>
      </c>
      <c r="X1758" s="7" t="s">
        <v>103</v>
      </c>
      <c r="Y1758" s="8">
        <v>44686</v>
      </c>
      <c r="Z1758" s="8">
        <v>45382</v>
      </c>
      <c r="AA1758" s="7" t="s">
        <v>383</v>
      </c>
      <c r="AB1758" s="7" t="s">
        <v>387</v>
      </c>
      <c r="AC1758" s="7" t="s">
        <v>79</v>
      </c>
      <c r="AD1758" s="7" t="s">
        <v>80</v>
      </c>
      <c r="AE1758" s="7" t="s">
        <v>82</v>
      </c>
      <c r="AF1758" s="7" t="s">
        <v>0</v>
      </c>
      <c r="AG1758" s="7" t="s">
        <v>0</v>
      </c>
      <c r="AH1758" s="9" t="s">
        <v>12319</v>
      </c>
      <c r="AI1758" s="9" t="s">
        <v>12320</v>
      </c>
      <c r="AJ1758" s="9" t="s">
        <v>12321</v>
      </c>
      <c r="AK1758" s="7" t="s">
        <v>61</v>
      </c>
      <c r="AL1758" s="7" t="s">
        <v>61</v>
      </c>
      <c r="AM1758" s="7" t="s">
        <v>0</v>
      </c>
      <c r="AN1758" s="7" t="s">
        <v>0</v>
      </c>
      <c r="AO1758" s="7" t="s">
        <v>0</v>
      </c>
      <c r="AP1758" s="7" t="s">
        <v>0</v>
      </c>
      <c r="AQ1758" s="7" t="s">
        <v>61</v>
      </c>
      <c r="AR1758" s="7" t="s">
        <v>0</v>
      </c>
      <c r="AS1758" s="10" t="str">
        <f>HYPERLINK("https://tessa.gazprom-neft.local/edo/card/166fa9ad-857e-4d70-99e2-c69d6ecaf109", "https://tessa.gazprom-neft.local/edo/card/166fa9ad-857e-4d70-99e2-c69d6ecaf109")</f>
        <v>https://tessa.gazprom-neft.local/edo/card/166fa9ad-857e-4d70-99e2-c69d6ecaf109</v>
      </c>
    </row>
    <row r="1759" spans="1:45" hidden="1" x14ac:dyDescent="0.25">
      <c r="A1759" s="6" t="s">
        <v>44</v>
      </c>
      <c r="B1759" s="7" t="s">
        <v>3172</v>
      </c>
      <c r="C1759" s="7" t="s">
        <v>67</v>
      </c>
      <c r="D1759" s="8">
        <v>44686</v>
      </c>
      <c r="E1759" s="8" t="s">
        <v>0</v>
      </c>
      <c r="F1759" s="16" t="s">
        <v>3173</v>
      </c>
      <c r="G1759" s="7" t="s">
        <v>3174</v>
      </c>
      <c r="H1759" s="7" t="s">
        <v>0</v>
      </c>
      <c r="I1759" s="7" t="s">
        <v>5086</v>
      </c>
      <c r="J1759" s="7" t="s">
        <v>5086</v>
      </c>
      <c r="K1759" s="7" t="s">
        <v>47</v>
      </c>
      <c r="L1759" s="7" t="s">
        <v>96</v>
      </c>
      <c r="M1759" s="7" t="s">
        <v>0</v>
      </c>
      <c r="N1759" s="7" t="s">
        <v>5085</v>
      </c>
      <c r="O1759" s="7" t="s">
        <v>0</v>
      </c>
      <c r="P1759" s="7" t="s">
        <v>5072</v>
      </c>
      <c r="Q1759" s="7" t="s">
        <v>5087</v>
      </c>
      <c r="R1759" s="7" t="s">
        <v>1256</v>
      </c>
      <c r="S1759" s="7" t="s">
        <v>1256</v>
      </c>
      <c r="T1759" s="7" t="s">
        <v>54</v>
      </c>
      <c r="U1759" s="7" t="s">
        <v>591</v>
      </c>
      <c r="V1759" s="7" t="s">
        <v>382</v>
      </c>
      <c r="W1759" s="7" t="s">
        <v>57</v>
      </c>
      <c r="X1759" s="7" t="s">
        <v>103</v>
      </c>
      <c r="Y1759" s="8">
        <v>44686</v>
      </c>
      <c r="Z1759" s="8">
        <v>45382</v>
      </c>
      <c r="AA1759" s="7" t="s">
        <v>383</v>
      </c>
      <c r="AB1759" s="7" t="s">
        <v>387</v>
      </c>
      <c r="AC1759" s="7" t="s">
        <v>79</v>
      </c>
      <c r="AD1759" s="7" t="s">
        <v>80</v>
      </c>
      <c r="AE1759" s="7" t="s">
        <v>82</v>
      </c>
      <c r="AF1759" s="7" t="s">
        <v>0</v>
      </c>
      <c r="AG1759" s="7" t="s">
        <v>0</v>
      </c>
      <c r="AH1759" s="9" t="s">
        <v>12328</v>
      </c>
      <c r="AI1759" s="9" t="s">
        <v>12329</v>
      </c>
      <c r="AJ1759" s="9" t="s">
        <v>12330</v>
      </c>
      <c r="AK1759" s="7" t="s">
        <v>61</v>
      </c>
      <c r="AL1759" s="7" t="s">
        <v>61</v>
      </c>
      <c r="AM1759" s="7" t="s">
        <v>0</v>
      </c>
      <c r="AN1759" s="7" t="s">
        <v>0</v>
      </c>
      <c r="AO1759" s="7" t="s">
        <v>0</v>
      </c>
      <c r="AP1759" s="7" t="s">
        <v>0</v>
      </c>
      <c r="AQ1759" s="7" t="s">
        <v>61</v>
      </c>
      <c r="AR1759" s="7" t="s">
        <v>0</v>
      </c>
      <c r="AS1759" s="10" t="str">
        <f>HYPERLINK("https://tessa.gazprom-neft.local/edo/card/4cf09bc6-8f25-4ff9-b154-5563963b88c3", "https://tessa.gazprom-neft.local/edo/card/4cf09bc6-8f25-4ff9-b154-5563963b88c3")</f>
        <v>https://tessa.gazprom-neft.local/edo/card/4cf09bc6-8f25-4ff9-b154-5563963b88c3</v>
      </c>
    </row>
    <row r="1760" spans="1:45" hidden="1" x14ac:dyDescent="0.25">
      <c r="A1760" s="6" t="s">
        <v>44</v>
      </c>
      <c r="B1760" s="7" t="s">
        <v>2898</v>
      </c>
      <c r="C1760" s="7" t="s">
        <v>67</v>
      </c>
      <c r="D1760" s="8">
        <v>44686</v>
      </c>
      <c r="E1760" s="8" t="s">
        <v>0</v>
      </c>
      <c r="F1760" s="16" t="s">
        <v>2899</v>
      </c>
      <c r="G1760" s="7" t="s">
        <v>2900</v>
      </c>
      <c r="H1760" s="7" t="s">
        <v>0</v>
      </c>
      <c r="I1760" s="7" t="s">
        <v>5097</v>
      </c>
      <c r="J1760" s="7" t="s">
        <v>5097</v>
      </c>
      <c r="K1760" s="7" t="s">
        <v>47</v>
      </c>
      <c r="L1760" s="7" t="s">
        <v>96</v>
      </c>
      <c r="M1760" s="7" t="s">
        <v>0</v>
      </c>
      <c r="N1760" s="7" t="s">
        <v>5096</v>
      </c>
      <c r="O1760" s="7" t="s">
        <v>0</v>
      </c>
      <c r="P1760" s="7" t="s">
        <v>5072</v>
      </c>
      <c r="Q1760" s="7" t="s">
        <v>5098</v>
      </c>
      <c r="R1760" s="7" t="s">
        <v>1256</v>
      </c>
      <c r="S1760" s="7" t="s">
        <v>1256</v>
      </c>
      <c r="T1760" s="7" t="s">
        <v>54</v>
      </c>
      <c r="U1760" s="7" t="s">
        <v>591</v>
      </c>
      <c r="V1760" s="7" t="s">
        <v>382</v>
      </c>
      <c r="W1760" s="7" t="s">
        <v>57</v>
      </c>
      <c r="X1760" s="7" t="s">
        <v>103</v>
      </c>
      <c r="Y1760" s="8">
        <v>44686</v>
      </c>
      <c r="Z1760" s="8">
        <v>45016</v>
      </c>
      <c r="AA1760" s="7" t="s">
        <v>383</v>
      </c>
      <c r="AB1760" s="7" t="s">
        <v>387</v>
      </c>
      <c r="AC1760" s="7" t="s">
        <v>79</v>
      </c>
      <c r="AD1760" s="7" t="s">
        <v>80</v>
      </c>
      <c r="AE1760" s="7" t="s">
        <v>82</v>
      </c>
      <c r="AF1760" s="7" t="s">
        <v>0</v>
      </c>
      <c r="AG1760" s="7" t="s">
        <v>0</v>
      </c>
      <c r="AH1760" s="9" t="s">
        <v>12337</v>
      </c>
      <c r="AI1760" s="9" t="s">
        <v>12338</v>
      </c>
      <c r="AJ1760" s="9" t="s">
        <v>12339</v>
      </c>
      <c r="AK1760" s="7" t="s">
        <v>61</v>
      </c>
      <c r="AL1760" s="7" t="s">
        <v>61</v>
      </c>
      <c r="AM1760" s="7" t="s">
        <v>0</v>
      </c>
      <c r="AN1760" s="7" t="s">
        <v>0</v>
      </c>
      <c r="AO1760" s="7" t="s">
        <v>0</v>
      </c>
      <c r="AP1760" s="7" t="s">
        <v>0</v>
      </c>
      <c r="AQ1760" s="7" t="s">
        <v>61</v>
      </c>
      <c r="AR1760" s="7" t="s">
        <v>0</v>
      </c>
      <c r="AS1760" s="10" t="str">
        <f>HYPERLINK("https://tessa.gazprom-neft.local/edo/card/2df0f5ce-2a21-4f09-af92-2a22fd76cb65", "https://tessa.gazprom-neft.local/edo/card/2df0f5ce-2a21-4f09-af92-2a22fd76cb65")</f>
        <v>https://tessa.gazprom-neft.local/edo/card/2df0f5ce-2a21-4f09-af92-2a22fd76cb65</v>
      </c>
    </row>
    <row r="1761" spans="1:45" hidden="1" x14ac:dyDescent="0.25">
      <c r="A1761" s="6" t="s">
        <v>44</v>
      </c>
      <c r="B1761" s="7" t="s">
        <v>2993</v>
      </c>
      <c r="C1761" s="7" t="s">
        <v>67</v>
      </c>
      <c r="D1761" s="8">
        <v>44685</v>
      </c>
      <c r="E1761" s="8" t="s">
        <v>0</v>
      </c>
      <c r="F1761" s="16" t="s">
        <v>2994</v>
      </c>
      <c r="G1761" s="7" t="s">
        <v>2995</v>
      </c>
      <c r="H1761" s="7" t="s">
        <v>0</v>
      </c>
      <c r="I1761" s="7" t="s">
        <v>4197</v>
      </c>
      <c r="J1761" s="7" t="s">
        <v>4197</v>
      </c>
      <c r="K1761" s="7" t="s">
        <v>47</v>
      </c>
      <c r="L1761" s="7" t="s">
        <v>86</v>
      </c>
      <c r="M1761" s="7" t="s">
        <v>0</v>
      </c>
      <c r="N1761" s="7" t="s">
        <v>4196</v>
      </c>
      <c r="O1761" s="7" t="s">
        <v>0</v>
      </c>
      <c r="P1761" s="7" t="s">
        <v>4198</v>
      </c>
      <c r="Q1761" s="7" t="s">
        <v>4199</v>
      </c>
      <c r="R1761" s="7" t="s">
        <v>898</v>
      </c>
      <c r="S1761" s="7" t="s">
        <v>898</v>
      </c>
      <c r="T1761" s="7" t="s">
        <v>54</v>
      </c>
      <c r="U1761" s="7" t="s">
        <v>899</v>
      </c>
      <c r="V1761" s="7" t="s">
        <v>211</v>
      </c>
      <c r="W1761" s="7" t="s">
        <v>57</v>
      </c>
      <c r="X1761" s="7" t="s">
        <v>103</v>
      </c>
      <c r="Y1761" s="8">
        <v>44685</v>
      </c>
      <c r="Z1761" s="8">
        <v>44777</v>
      </c>
      <c r="AA1761" s="7" t="s">
        <v>212</v>
      </c>
      <c r="AB1761" s="7" t="s">
        <v>1408</v>
      </c>
      <c r="AC1761" s="7" t="s">
        <v>65</v>
      </c>
      <c r="AD1761" s="7" t="s">
        <v>0</v>
      </c>
      <c r="AE1761" s="7" t="s">
        <v>0</v>
      </c>
      <c r="AF1761" s="7" t="s">
        <v>0</v>
      </c>
      <c r="AG1761" s="7" t="s">
        <v>0</v>
      </c>
      <c r="AH1761" s="9" t="s">
        <v>0</v>
      </c>
      <c r="AI1761" s="9" t="s">
        <v>0</v>
      </c>
      <c r="AJ1761" s="9" t="s">
        <v>0</v>
      </c>
      <c r="AK1761" s="7" t="s">
        <v>61</v>
      </c>
      <c r="AL1761" s="7" t="s">
        <v>61</v>
      </c>
      <c r="AM1761" s="7" t="s">
        <v>0</v>
      </c>
      <c r="AN1761" s="7" t="s">
        <v>0</v>
      </c>
      <c r="AO1761" s="7" t="s">
        <v>0</v>
      </c>
      <c r="AP1761" s="7" t="s">
        <v>0</v>
      </c>
      <c r="AQ1761" s="7" t="s">
        <v>61</v>
      </c>
      <c r="AR1761" s="7" t="s">
        <v>0</v>
      </c>
      <c r="AS1761" s="10" t="str">
        <f>HYPERLINK("https://tessa.gazprom-neft.local/edo/card/1c8f2997-39ad-4bb1-be89-3887550b8642", "https://tessa.gazprom-neft.local/edo/card/1c8f2997-39ad-4bb1-be89-3887550b8642")</f>
        <v>https://tessa.gazprom-neft.local/edo/card/1c8f2997-39ad-4bb1-be89-3887550b8642</v>
      </c>
    </row>
    <row r="1762" spans="1:45" x14ac:dyDescent="0.25">
      <c r="A1762" s="6" t="s">
        <v>44</v>
      </c>
      <c r="B1762" s="7" t="s">
        <v>1396</v>
      </c>
      <c r="C1762" s="7" t="s">
        <v>67</v>
      </c>
      <c r="D1762" s="8">
        <v>44685</v>
      </c>
      <c r="E1762" s="8" t="s">
        <v>0</v>
      </c>
      <c r="F1762" s="16" t="s">
        <v>1397</v>
      </c>
      <c r="G1762" s="7" t="s">
        <v>1398</v>
      </c>
      <c r="H1762" s="7" t="s">
        <v>3724</v>
      </c>
      <c r="I1762" s="7" t="s">
        <v>0</v>
      </c>
      <c r="J1762" s="7" t="s">
        <v>896</v>
      </c>
      <c r="K1762" s="7" t="s">
        <v>47</v>
      </c>
      <c r="L1762" s="7" t="s">
        <v>48</v>
      </c>
      <c r="M1762" s="7" t="s">
        <v>0</v>
      </c>
      <c r="N1762" s="7" t="s">
        <v>4525</v>
      </c>
      <c r="O1762" s="7" t="s">
        <v>0</v>
      </c>
      <c r="P1762" s="7" t="s">
        <v>4526</v>
      </c>
      <c r="Q1762" s="7" t="s">
        <v>4527</v>
      </c>
      <c r="R1762" s="7" t="s">
        <v>135</v>
      </c>
      <c r="S1762" s="7" t="s">
        <v>135</v>
      </c>
      <c r="T1762" s="7" t="s">
        <v>54</v>
      </c>
      <c r="U1762" s="7" t="s">
        <v>136</v>
      </c>
      <c r="V1762" s="7" t="s">
        <v>102</v>
      </c>
      <c r="W1762" s="7" t="s">
        <v>57</v>
      </c>
      <c r="X1762" s="7" t="s">
        <v>103</v>
      </c>
      <c r="Y1762" s="8">
        <v>44685</v>
      </c>
      <c r="Z1762" s="8">
        <v>45657</v>
      </c>
      <c r="AA1762" s="7" t="s">
        <v>104</v>
      </c>
      <c r="AB1762" s="7" t="s">
        <v>64</v>
      </c>
      <c r="AC1762" s="7" t="s">
        <v>65</v>
      </c>
      <c r="AD1762" s="7" t="s">
        <v>0</v>
      </c>
      <c r="AE1762" s="7" t="s">
        <v>0</v>
      </c>
      <c r="AF1762" s="7" t="s">
        <v>0</v>
      </c>
      <c r="AG1762" s="7" t="s">
        <v>0</v>
      </c>
      <c r="AH1762" s="9" t="s">
        <v>0</v>
      </c>
      <c r="AI1762" s="9" t="s">
        <v>0</v>
      </c>
      <c r="AJ1762" s="9" t="s">
        <v>0</v>
      </c>
      <c r="AK1762" s="7" t="s">
        <v>61</v>
      </c>
      <c r="AL1762" s="7" t="s">
        <v>61</v>
      </c>
      <c r="AM1762" s="7" t="s">
        <v>0</v>
      </c>
      <c r="AN1762" s="7" t="s">
        <v>0</v>
      </c>
      <c r="AO1762" s="7" t="s">
        <v>0</v>
      </c>
      <c r="AP1762" s="7" t="s">
        <v>0</v>
      </c>
      <c r="AQ1762" s="7" t="s">
        <v>61</v>
      </c>
      <c r="AR1762" s="7" t="s">
        <v>0</v>
      </c>
      <c r="AS1762" s="10" t="str">
        <f>HYPERLINK("https://tessa.gazprom-neft.local/edo/card/1b6dd8f2-3bfa-4a9a-8a82-399c1098d5ee", "https://tessa.gazprom-neft.local/edo/card/1b6dd8f2-3bfa-4a9a-8a82-399c1098d5ee")</f>
        <v>https://tessa.gazprom-neft.local/edo/card/1b6dd8f2-3bfa-4a9a-8a82-399c1098d5ee</v>
      </c>
    </row>
    <row r="1763" spans="1:45" hidden="1" x14ac:dyDescent="0.25">
      <c r="A1763" s="6" t="s">
        <v>44</v>
      </c>
      <c r="B1763" s="7" t="s">
        <v>1396</v>
      </c>
      <c r="C1763" s="7" t="s">
        <v>67</v>
      </c>
      <c r="D1763" s="8">
        <v>44685</v>
      </c>
      <c r="E1763" s="8" t="s">
        <v>0</v>
      </c>
      <c r="F1763" s="16" t="s">
        <v>1397</v>
      </c>
      <c r="G1763" s="7" t="s">
        <v>1398</v>
      </c>
      <c r="H1763" s="7" t="s">
        <v>0</v>
      </c>
      <c r="I1763" s="7" t="s">
        <v>4539</v>
      </c>
      <c r="J1763" s="7" t="s">
        <v>4539</v>
      </c>
      <c r="K1763" s="7" t="s">
        <v>85</v>
      </c>
      <c r="L1763" s="7" t="s">
        <v>86</v>
      </c>
      <c r="M1763" s="7" t="s">
        <v>289</v>
      </c>
      <c r="N1763" s="7" t="s">
        <v>4538</v>
      </c>
      <c r="O1763" s="7" t="s">
        <v>0</v>
      </c>
      <c r="P1763" s="7" t="s">
        <v>289</v>
      </c>
      <c r="Q1763" s="7" t="s">
        <v>426</v>
      </c>
      <c r="R1763" s="7" t="s">
        <v>135</v>
      </c>
      <c r="S1763" s="7" t="s">
        <v>0</v>
      </c>
      <c r="T1763" s="7" t="s">
        <v>54</v>
      </c>
      <c r="U1763" s="7" t="s">
        <v>136</v>
      </c>
      <c r="V1763" s="7" t="s">
        <v>102</v>
      </c>
      <c r="W1763" s="7" t="s">
        <v>57</v>
      </c>
      <c r="X1763" s="7" t="s">
        <v>223</v>
      </c>
      <c r="Y1763" s="8">
        <v>44685</v>
      </c>
      <c r="Z1763" s="8" t="s">
        <v>0</v>
      </c>
      <c r="AA1763" s="7" t="s">
        <v>104</v>
      </c>
      <c r="AB1763" s="7" t="s">
        <v>300</v>
      </c>
      <c r="AC1763" s="7" t="s">
        <v>65</v>
      </c>
      <c r="AD1763" s="7" t="s">
        <v>0</v>
      </c>
      <c r="AE1763" s="7" t="s">
        <v>0</v>
      </c>
      <c r="AF1763" s="7" t="s">
        <v>0</v>
      </c>
      <c r="AG1763" s="7" t="s">
        <v>0</v>
      </c>
      <c r="AH1763" s="9" t="s">
        <v>0</v>
      </c>
      <c r="AI1763" s="9" t="s">
        <v>0</v>
      </c>
      <c r="AJ1763" s="9" t="s">
        <v>0</v>
      </c>
      <c r="AK1763" s="7" t="s">
        <v>61</v>
      </c>
      <c r="AL1763" s="7" t="s">
        <v>61</v>
      </c>
      <c r="AM1763" s="7" t="s">
        <v>0</v>
      </c>
      <c r="AN1763" s="7" t="s">
        <v>0</v>
      </c>
      <c r="AO1763" s="7" t="s">
        <v>0</v>
      </c>
      <c r="AP1763" s="7" t="s">
        <v>0</v>
      </c>
      <c r="AQ1763" s="7" t="s">
        <v>61</v>
      </c>
      <c r="AR1763" s="7" t="s">
        <v>0</v>
      </c>
      <c r="AS1763" s="10" t="str">
        <f>HYPERLINK("https://tessa.gazprom-neft.local/edo/card/fc279a3f-8162-488b-94f7-ec0aa770ac11", "https://tessa.gazprom-neft.local/edo/card/fc279a3f-8162-488b-94f7-ec0aa770ac11")</f>
        <v>https://tessa.gazprom-neft.local/edo/card/fc279a3f-8162-488b-94f7-ec0aa770ac11</v>
      </c>
    </row>
    <row r="1764" spans="1:45" x14ac:dyDescent="0.25">
      <c r="A1764" s="6" t="s">
        <v>44</v>
      </c>
      <c r="B1764" s="7" t="s">
        <v>687</v>
      </c>
      <c r="C1764" s="7" t="s">
        <v>67</v>
      </c>
      <c r="D1764" s="8">
        <v>44685</v>
      </c>
      <c r="E1764" s="8" t="s">
        <v>0</v>
      </c>
      <c r="F1764" s="16" t="s">
        <v>688</v>
      </c>
      <c r="G1764" s="7" t="s">
        <v>689</v>
      </c>
      <c r="H1764" s="7" t="s">
        <v>684</v>
      </c>
      <c r="I1764" s="7" t="s">
        <v>0</v>
      </c>
      <c r="J1764" s="7" t="s">
        <v>271</v>
      </c>
      <c r="K1764" s="7" t="s">
        <v>85</v>
      </c>
      <c r="L1764" s="7" t="s">
        <v>48</v>
      </c>
      <c r="M1764" s="7" t="s">
        <v>3833</v>
      </c>
      <c r="N1764" s="7" t="s">
        <v>4554</v>
      </c>
      <c r="O1764" s="7" t="s">
        <v>0</v>
      </c>
      <c r="P1764" s="7" t="s">
        <v>3833</v>
      </c>
      <c r="Q1764" s="7" t="s">
        <v>4435</v>
      </c>
      <c r="R1764" s="7" t="s">
        <v>198</v>
      </c>
      <c r="S1764" s="7" t="s">
        <v>198</v>
      </c>
      <c r="T1764" s="7" t="s">
        <v>54</v>
      </c>
      <c r="U1764" s="7" t="s">
        <v>199</v>
      </c>
      <c r="V1764" s="7" t="s">
        <v>211</v>
      </c>
      <c r="W1764" s="7" t="s">
        <v>57</v>
      </c>
      <c r="X1764" s="7" t="s">
        <v>103</v>
      </c>
      <c r="Y1764" s="8">
        <v>44685</v>
      </c>
      <c r="Z1764" s="8">
        <v>45747</v>
      </c>
      <c r="AA1764" s="7" t="s">
        <v>212</v>
      </c>
      <c r="AB1764" s="7" t="s">
        <v>690</v>
      </c>
      <c r="AC1764" s="7" t="s">
        <v>65</v>
      </c>
      <c r="AD1764" s="7" t="s">
        <v>80</v>
      </c>
      <c r="AE1764" s="7" t="s">
        <v>0</v>
      </c>
      <c r="AF1764" s="7" t="s">
        <v>0</v>
      </c>
      <c r="AG1764" s="7" t="s">
        <v>0</v>
      </c>
      <c r="AH1764" s="9" t="s">
        <v>0</v>
      </c>
      <c r="AI1764" s="9" t="s">
        <v>0</v>
      </c>
      <c r="AJ1764" s="9" t="s">
        <v>0</v>
      </c>
      <c r="AK1764" s="7" t="s">
        <v>61</v>
      </c>
      <c r="AL1764" s="7" t="s">
        <v>61</v>
      </c>
      <c r="AM1764" s="7" t="s">
        <v>0</v>
      </c>
      <c r="AN1764" s="7" t="s">
        <v>0</v>
      </c>
      <c r="AO1764" s="7" t="s">
        <v>0</v>
      </c>
      <c r="AP1764" s="7" t="s">
        <v>0</v>
      </c>
      <c r="AQ1764" s="7" t="s">
        <v>61</v>
      </c>
      <c r="AR1764" s="7" t="s">
        <v>0</v>
      </c>
      <c r="AS1764" s="10" t="str">
        <f>HYPERLINK("https://tessa.gazprom-neft.local/edo/card/270a4f50-2758-4367-8be6-8fea582c56e5", "https://tessa.gazprom-neft.local/edo/card/270a4f50-2758-4367-8be6-8fea582c56e5")</f>
        <v>https://tessa.gazprom-neft.local/edo/card/270a4f50-2758-4367-8be6-8fea582c56e5</v>
      </c>
    </row>
    <row r="1765" spans="1:45" hidden="1" x14ac:dyDescent="0.25">
      <c r="A1765" s="6" t="s">
        <v>44</v>
      </c>
      <c r="B1765" s="7" t="s">
        <v>4918</v>
      </c>
      <c r="C1765" s="7" t="s">
        <v>67</v>
      </c>
      <c r="D1765" s="8">
        <v>44685</v>
      </c>
      <c r="E1765" s="8" t="s">
        <v>0</v>
      </c>
      <c r="F1765" s="16" t="s">
        <v>4919</v>
      </c>
      <c r="G1765" s="7" t="s">
        <v>4920</v>
      </c>
      <c r="H1765" s="7" t="s">
        <v>4915</v>
      </c>
      <c r="I1765" s="7" t="s">
        <v>0</v>
      </c>
      <c r="J1765" s="7" t="s">
        <v>271</v>
      </c>
      <c r="K1765" s="7" t="s">
        <v>47</v>
      </c>
      <c r="L1765" s="7" t="s">
        <v>239</v>
      </c>
      <c r="M1765" s="7" t="s">
        <v>0</v>
      </c>
      <c r="N1765" s="7" t="s">
        <v>4914</v>
      </c>
      <c r="O1765" s="7" t="s">
        <v>0</v>
      </c>
      <c r="P1765" s="7" t="s">
        <v>4916</v>
      </c>
      <c r="Q1765" s="7" t="s">
        <v>4917</v>
      </c>
      <c r="R1765" s="7" t="s">
        <v>135</v>
      </c>
      <c r="S1765" s="7" t="s">
        <v>0</v>
      </c>
      <c r="T1765" s="7" t="s">
        <v>54</v>
      </c>
      <c r="U1765" s="7" t="s">
        <v>136</v>
      </c>
      <c r="V1765" s="7" t="s">
        <v>102</v>
      </c>
      <c r="W1765" s="7" t="s">
        <v>57</v>
      </c>
      <c r="X1765" s="7" t="s">
        <v>103</v>
      </c>
      <c r="Y1765" s="8">
        <v>44686</v>
      </c>
      <c r="Z1765" s="8">
        <v>44773</v>
      </c>
      <c r="AA1765" s="7" t="s">
        <v>104</v>
      </c>
      <c r="AB1765" s="7" t="s">
        <v>64</v>
      </c>
      <c r="AC1765" s="7" t="s">
        <v>65</v>
      </c>
      <c r="AD1765" s="7" t="s">
        <v>0</v>
      </c>
      <c r="AE1765" s="7" t="s">
        <v>0</v>
      </c>
      <c r="AF1765" s="7" t="s">
        <v>0</v>
      </c>
      <c r="AG1765" s="7" t="s">
        <v>0</v>
      </c>
      <c r="AH1765" s="9" t="s">
        <v>0</v>
      </c>
      <c r="AI1765" s="9" t="s">
        <v>0</v>
      </c>
      <c r="AJ1765" s="9" t="s">
        <v>0</v>
      </c>
      <c r="AK1765" s="7" t="s">
        <v>61</v>
      </c>
      <c r="AL1765" s="7" t="s">
        <v>61</v>
      </c>
      <c r="AM1765" s="7" t="s">
        <v>0</v>
      </c>
      <c r="AN1765" s="7" t="s">
        <v>0</v>
      </c>
      <c r="AO1765" s="7" t="s">
        <v>0</v>
      </c>
      <c r="AP1765" s="7" t="s">
        <v>0</v>
      </c>
      <c r="AQ1765" s="7" t="s">
        <v>61</v>
      </c>
      <c r="AR1765" s="7" t="s">
        <v>0</v>
      </c>
      <c r="AS1765" s="10" t="str">
        <f>HYPERLINK("https://tessa.gazprom-neft.local/edo/card/19c37772-19bf-47e0-905b-f65ab01ac859", "https://tessa.gazprom-neft.local/edo/card/19c37772-19bf-47e0-905b-f65ab01ac859")</f>
        <v>https://tessa.gazprom-neft.local/edo/card/19c37772-19bf-47e0-905b-f65ab01ac859</v>
      </c>
    </row>
    <row r="1766" spans="1:45" hidden="1" x14ac:dyDescent="0.25">
      <c r="A1766" s="6" t="s">
        <v>44</v>
      </c>
      <c r="B1766" s="7" t="s">
        <v>2993</v>
      </c>
      <c r="C1766" s="7" t="s">
        <v>67</v>
      </c>
      <c r="D1766" s="8">
        <v>44685</v>
      </c>
      <c r="E1766" s="8" t="s">
        <v>0</v>
      </c>
      <c r="F1766" s="16" t="s">
        <v>2994</v>
      </c>
      <c r="G1766" s="7" t="s">
        <v>2995</v>
      </c>
      <c r="H1766" s="7" t="s">
        <v>4197</v>
      </c>
      <c r="I1766" s="7" t="s">
        <v>0</v>
      </c>
      <c r="J1766" s="7" t="s">
        <v>6614</v>
      </c>
      <c r="K1766" s="7" t="s">
        <v>47</v>
      </c>
      <c r="L1766" s="7" t="s">
        <v>2474</v>
      </c>
      <c r="M1766" s="7" t="s">
        <v>0</v>
      </c>
      <c r="N1766" s="7" t="s">
        <v>6612</v>
      </c>
      <c r="O1766" s="7" t="s">
        <v>0</v>
      </c>
      <c r="P1766" s="7" t="s">
        <v>6613</v>
      </c>
      <c r="Q1766" s="7" t="s">
        <v>6615</v>
      </c>
      <c r="R1766" s="7" t="s">
        <v>898</v>
      </c>
      <c r="S1766" s="7" t="s">
        <v>898</v>
      </c>
      <c r="T1766" s="7" t="s">
        <v>54</v>
      </c>
      <c r="U1766" s="7" t="s">
        <v>899</v>
      </c>
      <c r="V1766" s="7" t="s">
        <v>211</v>
      </c>
      <c r="W1766" s="7" t="s">
        <v>57</v>
      </c>
      <c r="X1766" s="7" t="s">
        <v>58</v>
      </c>
      <c r="Y1766" s="8">
        <v>44722</v>
      </c>
      <c r="Z1766" s="8" t="s">
        <v>0</v>
      </c>
      <c r="AA1766" s="7" t="s">
        <v>212</v>
      </c>
      <c r="AB1766" s="7" t="s">
        <v>1408</v>
      </c>
      <c r="AC1766" s="7" t="s">
        <v>65</v>
      </c>
      <c r="AD1766" s="7" t="s">
        <v>0</v>
      </c>
      <c r="AE1766" s="7" t="s">
        <v>0</v>
      </c>
      <c r="AF1766" s="7" t="s">
        <v>0</v>
      </c>
      <c r="AG1766" s="7" t="s">
        <v>0</v>
      </c>
      <c r="AH1766" s="9" t="s">
        <v>0</v>
      </c>
      <c r="AI1766" s="9" t="s">
        <v>0</v>
      </c>
      <c r="AJ1766" s="9" t="s">
        <v>0</v>
      </c>
      <c r="AK1766" s="7" t="s">
        <v>61</v>
      </c>
      <c r="AL1766" s="7" t="s">
        <v>61</v>
      </c>
      <c r="AM1766" s="7" t="s">
        <v>0</v>
      </c>
      <c r="AN1766" s="7" t="s">
        <v>0</v>
      </c>
      <c r="AO1766" s="7" t="s">
        <v>0</v>
      </c>
      <c r="AP1766" s="7" t="s">
        <v>0</v>
      </c>
      <c r="AQ1766" s="7" t="s">
        <v>61</v>
      </c>
      <c r="AR1766" s="7" t="s">
        <v>0</v>
      </c>
      <c r="AS1766" s="10" t="str">
        <f>HYPERLINK("https://tessa.gazprom-neft.local/edo/card/5a5c0530-3b4e-4d1d-be8b-7622b4625075", "https://tessa.gazprom-neft.local/edo/card/5a5c0530-3b4e-4d1d-be8b-7622b4625075")</f>
        <v>https://tessa.gazprom-neft.local/edo/card/5a5c0530-3b4e-4d1d-be8b-7622b4625075</v>
      </c>
    </row>
    <row r="1767" spans="1:45" hidden="1" x14ac:dyDescent="0.25">
      <c r="A1767" s="6" t="s">
        <v>44</v>
      </c>
      <c r="B1767" s="7" t="s">
        <v>0</v>
      </c>
      <c r="C1767" s="7" t="s">
        <v>67</v>
      </c>
      <c r="D1767" s="8">
        <v>44683</v>
      </c>
      <c r="E1767" s="8" t="s">
        <v>0</v>
      </c>
      <c r="F1767" s="16" t="s">
        <v>4737</v>
      </c>
      <c r="G1767" s="7" t="s">
        <v>0</v>
      </c>
      <c r="H1767" s="7" t="s">
        <v>0</v>
      </c>
      <c r="I1767" s="7" t="s">
        <v>2445</v>
      </c>
      <c r="J1767" s="7" t="s">
        <v>2445</v>
      </c>
      <c r="K1767" s="7" t="s">
        <v>85</v>
      </c>
      <c r="L1767" s="7" t="s">
        <v>96</v>
      </c>
      <c r="M1767" s="7" t="s">
        <v>1430</v>
      </c>
      <c r="N1767" s="7" t="s">
        <v>4732</v>
      </c>
      <c r="O1767" s="7" t="s">
        <v>0</v>
      </c>
      <c r="P1767" s="7" t="s">
        <v>1430</v>
      </c>
      <c r="Q1767" s="7" t="s">
        <v>4733</v>
      </c>
      <c r="R1767" s="7" t="s">
        <v>4734</v>
      </c>
      <c r="S1767" s="7" t="s">
        <v>4735</v>
      </c>
      <c r="T1767" s="7" t="s">
        <v>54</v>
      </c>
      <c r="U1767" s="7" t="s">
        <v>4736</v>
      </c>
      <c r="V1767" s="7" t="s">
        <v>187</v>
      </c>
      <c r="W1767" s="7" t="s">
        <v>57</v>
      </c>
      <c r="X1767" s="7" t="s">
        <v>103</v>
      </c>
      <c r="Y1767" s="8">
        <v>44683</v>
      </c>
      <c r="Z1767" s="8">
        <v>45777</v>
      </c>
      <c r="AA1767" s="7" t="s">
        <v>922</v>
      </c>
      <c r="AB1767" s="7" t="s">
        <v>64</v>
      </c>
      <c r="AC1767" s="7" t="s">
        <v>79</v>
      </c>
      <c r="AD1767" s="7" t="s">
        <v>80</v>
      </c>
      <c r="AE1767" s="7" t="s">
        <v>82</v>
      </c>
      <c r="AF1767" s="7" t="s">
        <v>0</v>
      </c>
      <c r="AG1767" s="7" t="s">
        <v>4738</v>
      </c>
      <c r="AH1767" s="9" t="s">
        <v>12192</v>
      </c>
      <c r="AI1767" s="9" t="s">
        <v>12193</v>
      </c>
      <c r="AJ1767" s="9" t="s">
        <v>12194</v>
      </c>
      <c r="AK1767" s="7" t="s">
        <v>81</v>
      </c>
      <c r="AL1767" s="7" t="s">
        <v>61</v>
      </c>
      <c r="AM1767" s="7" t="s">
        <v>0</v>
      </c>
      <c r="AN1767" s="7" t="s">
        <v>0</v>
      </c>
      <c r="AO1767" s="7" t="s">
        <v>0</v>
      </c>
      <c r="AP1767" s="7" t="s">
        <v>0</v>
      </c>
      <c r="AQ1767" s="7" t="s">
        <v>61</v>
      </c>
      <c r="AR1767" s="7" t="s">
        <v>0</v>
      </c>
      <c r="AS1767" s="10" t="str">
        <f>HYPERLINK("https://tessa.gazprom-neft.local/edo/card/c151e39c-5414-46c7-a48b-35ba0d0a0f22", "https://tessa.gazprom-neft.local/edo/card/c151e39c-5414-46c7-a48b-35ba0d0a0f22")</f>
        <v>https://tessa.gazprom-neft.local/edo/card/c151e39c-5414-46c7-a48b-35ba0d0a0f22</v>
      </c>
    </row>
    <row r="1768" spans="1:45" hidden="1" x14ac:dyDescent="0.25">
      <c r="A1768" s="6" t="s">
        <v>44</v>
      </c>
      <c r="B1768" s="7" t="s">
        <v>436</v>
      </c>
      <c r="C1768" s="7" t="s">
        <v>46</v>
      </c>
      <c r="D1768" s="8">
        <v>44682</v>
      </c>
      <c r="E1768" s="8" t="s">
        <v>0</v>
      </c>
      <c r="F1768" s="16" t="s">
        <v>437</v>
      </c>
      <c r="G1768" s="7" t="s">
        <v>438</v>
      </c>
      <c r="H1768" s="7" t="s">
        <v>0</v>
      </c>
      <c r="I1768" s="7" t="s">
        <v>2567</v>
      </c>
      <c r="J1768" s="7" t="s">
        <v>2567</v>
      </c>
      <c r="K1768" s="7" t="s">
        <v>47</v>
      </c>
      <c r="L1768" s="7" t="s">
        <v>96</v>
      </c>
      <c r="M1768" s="7" t="s">
        <v>0</v>
      </c>
      <c r="N1768" s="7" t="s">
        <v>2566</v>
      </c>
      <c r="O1768" s="7" t="s">
        <v>0</v>
      </c>
      <c r="P1768" s="7" t="s">
        <v>2568</v>
      </c>
      <c r="Q1768" s="7" t="s">
        <v>2569</v>
      </c>
      <c r="R1768" s="7" t="s">
        <v>273</v>
      </c>
      <c r="S1768" s="7" t="s">
        <v>273</v>
      </c>
      <c r="T1768" s="7" t="s">
        <v>54</v>
      </c>
      <c r="U1768" s="7" t="s">
        <v>274</v>
      </c>
      <c r="V1768" s="7" t="s">
        <v>864</v>
      </c>
      <c r="W1768" s="7" t="s">
        <v>57</v>
      </c>
      <c r="X1768" s="7" t="s">
        <v>103</v>
      </c>
      <c r="Y1768" s="8">
        <v>44562</v>
      </c>
      <c r="Z1768" s="8">
        <v>44926</v>
      </c>
      <c r="AA1768" s="7" t="s">
        <v>1343</v>
      </c>
      <c r="AB1768" s="7" t="s">
        <v>130</v>
      </c>
      <c r="AC1768" s="7" t="s">
        <v>278</v>
      </c>
      <c r="AD1768" s="7" t="s">
        <v>80</v>
      </c>
      <c r="AE1768" s="7" t="s">
        <v>82</v>
      </c>
      <c r="AF1768" s="7" t="s">
        <v>0</v>
      </c>
      <c r="AG1768" s="7" t="s">
        <v>0</v>
      </c>
      <c r="AH1768" s="9" t="s">
        <v>11387</v>
      </c>
      <c r="AI1768" s="9" t="s">
        <v>11388</v>
      </c>
      <c r="AJ1768" s="9" t="s">
        <v>11389</v>
      </c>
      <c r="AK1768" s="7" t="s">
        <v>61</v>
      </c>
      <c r="AL1768" s="7" t="s">
        <v>61</v>
      </c>
      <c r="AM1768" s="7" t="s">
        <v>0</v>
      </c>
      <c r="AN1768" s="7" t="s">
        <v>0</v>
      </c>
      <c r="AO1768" s="7" t="s">
        <v>0</v>
      </c>
      <c r="AP1768" s="7" t="s">
        <v>0</v>
      </c>
      <c r="AQ1768" s="7" t="s">
        <v>61</v>
      </c>
      <c r="AR1768" s="7" t="s">
        <v>0</v>
      </c>
      <c r="AS1768" s="10" t="str">
        <f>HYPERLINK("https://tessa.gazprom-neft.local/edo/card/6d91e9bb-8c56-41cf-af2c-64ab5d13c8e4", "https://tessa.gazprom-neft.local/edo/card/6d91e9bb-8c56-41cf-af2c-64ab5d13c8e4")</f>
        <v>https://tessa.gazprom-neft.local/edo/card/6d91e9bb-8c56-41cf-af2c-64ab5d13c8e4</v>
      </c>
    </row>
    <row r="1769" spans="1:45" x14ac:dyDescent="0.25">
      <c r="A1769" s="6" t="s">
        <v>44</v>
      </c>
      <c r="B1769" s="7" t="s">
        <v>374</v>
      </c>
      <c r="C1769" s="7" t="s">
        <v>67</v>
      </c>
      <c r="D1769" s="8">
        <v>44682</v>
      </c>
      <c r="E1769" s="8" t="s">
        <v>0</v>
      </c>
      <c r="F1769" s="16" t="s">
        <v>375</v>
      </c>
      <c r="G1769" s="7" t="s">
        <v>376</v>
      </c>
      <c r="H1769" s="7" t="s">
        <v>1158</v>
      </c>
      <c r="I1769" s="7" t="s">
        <v>0</v>
      </c>
      <c r="J1769" s="7" t="s">
        <v>51</v>
      </c>
      <c r="K1769" s="7" t="s">
        <v>47</v>
      </c>
      <c r="L1769" s="7" t="s">
        <v>48</v>
      </c>
      <c r="M1769" s="7" t="s">
        <v>0</v>
      </c>
      <c r="N1769" s="7" t="s">
        <v>4028</v>
      </c>
      <c r="O1769" s="7" t="s">
        <v>0</v>
      </c>
      <c r="P1769" s="7" t="s">
        <v>4029</v>
      </c>
      <c r="Q1769" s="7" t="s">
        <v>4030</v>
      </c>
      <c r="R1769" s="7" t="s">
        <v>53</v>
      </c>
      <c r="S1769" s="7" t="s">
        <v>53</v>
      </c>
      <c r="T1769" s="7" t="s">
        <v>54</v>
      </c>
      <c r="U1769" s="7" t="s">
        <v>55</v>
      </c>
      <c r="V1769" s="7" t="s">
        <v>56</v>
      </c>
      <c r="W1769" s="7" t="s">
        <v>57</v>
      </c>
      <c r="X1769" s="7" t="s">
        <v>103</v>
      </c>
      <c r="Y1769" s="8">
        <v>44682</v>
      </c>
      <c r="Z1769" s="8">
        <v>46387</v>
      </c>
      <c r="AA1769" s="7" t="s">
        <v>59</v>
      </c>
      <c r="AB1769" s="7" t="s">
        <v>64</v>
      </c>
      <c r="AC1769" s="7" t="s">
        <v>65</v>
      </c>
      <c r="AD1769" s="7" t="s">
        <v>80</v>
      </c>
      <c r="AE1769" s="7" t="s">
        <v>0</v>
      </c>
      <c r="AF1769" s="7" t="s">
        <v>0</v>
      </c>
      <c r="AG1769" s="7" t="s">
        <v>0</v>
      </c>
      <c r="AH1769" s="9" t="s">
        <v>0</v>
      </c>
      <c r="AI1769" s="9" t="s">
        <v>0</v>
      </c>
      <c r="AJ1769" s="9" t="s">
        <v>0</v>
      </c>
      <c r="AK1769" s="7" t="s">
        <v>61</v>
      </c>
      <c r="AL1769" s="7" t="s">
        <v>61</v>
      </c>
      <c r="AM1769" s="7" t="s">
        <v>0</v>
      </c>
      <c r="AN1769" s="7" t="s">
        <v>0</v>
      </c>
      <c r="AO1769" s="7" t="s">
        <v>0</v>
      </c>
      <c r="AP1769" s="7" t="s">
        <v>0</v>
      </c>
      <c r="AQ1769" s="7" t="s">
        <v>61</v>
      </c>
      <c r="AR1769" s="7" t="s">
        <v>0</v>
      </c>
      <c r="AS1769" s="10" t="str">
        <f>HYPERLINK("https://tessa.gazprom-neft.local/edo/card/10e94f57-bcd0-4445-8464-33e13eaced90", "https://tessa.gazprom-neft.local/edo/card/10e94f57-bcd0-4445-8464-33e13eaced90")</f>
        <v>https://tessa.gazprom-neft.local/edo/card/10e94f57-bcd0-4445-8464-33e13eaced90</v>
      </c>
    </row>
    <row r="1770" spans="1:45" x14ac:dyDescent="0.25">
      <c r="A1770" s="6" t="s">
        <v>44</v>
      </c>
      <c r="B1770" s="7" t="s">
        <v>1351</v>
      </c>
      <c r="C1770" s="7" t="s">
        <v>67</v>
      </c>
      <c r="D1770" s="8">
        <v>44682</v>
      </c>
      <c r="E1770" s="8" t="s">
        <v>0</v>
      </c>
      <c r="F1770" s="16" t="s">
        <v>1352</v>
      </c>
      <c r="G1770" s="7" t="s">
        <v>1353</v>
      </c>
      <c r="H1770" s="7" t="s">
        <v>3586</v>
      </c>
      <c r="I1770" s="7" t="s">
        <v>0</v>
      </c>
      <c r="J1770" s="7" t="s">
        <v>355</v>
      </c>
      <c r="K1770" s="7" t="s">
        <v>47</v>
      </c>
      <c r="L1770" s="7" t="s">
        <v>48</v>
      </c>
      <c r="M1770" s="7" t="s">
        <v>0</v>
      </c>
      <c r="N1770" s="7" t="s">
        <v>4662</v>
      </c>
      <c r="O1770" s="7" t="s">
        <v>0</v>
      </c>
      <c r="P1770" s="7" t="s">
        <v>4663</v>
      </c>
      <c r="Q1770" s="7" t="s">
        <v>4664</v>
      </c>
      <c r="R1770" s="7" t="s">
        <v>361</v>
      </c>
      <c r="S1770" s="7" t="s">
        <v>361</v>
      </c>
      <c r="T1770" s="7" t="s">
        <v>54</v>
      </c>
      <c r="U1770" s="7" t="s">
        <v>362</v>
      </c>
      <c r="V1770" s="7" t="s">
        <v>295</v>
      </c>
      <c r="W1770" s="7" t="s">
        <v>57</v>
      </c>
      <c r="X1770" s="7" t="s">
        <v>103</v>
      </c>
      <c r="Y1770" s="8">
        <v>44682</v>
      </c>
      <c r="Z1770" s="8">
        <v>46022</v>
      </c>
      <c r="AA1770" s="7" t="s">
        <v>4665</v>
      </c>
      <c r="AB1770" s="7" t="s">
        <v>366</v>
      </c>
      <c r="AC1770" s="7" t="s">
        <v>278</v>
      </c>
      <c r="AD1770" s="7" t="s">
        <v>367</v>
      </c>
      <c r="AE1770" s="7" t="s">
        <v>82</v>
      </c>
      <c r="AF1770" s="7" t="s">
        <v>0</v>
      </c>
      <c r="AG1770" s="7" t="s">
        <v>0</v>
      </c>
      <c r="AH1770" s="9" t="s">
        <v>12160</v>
      </c>
      <c r="AI1770" s="9" t="s">
        <v>12161</v>
      </c>
      <c r="AJ1770" s="9" t="s">
        <v>12162</v>
      </c>
      <c r="AK1770" s="7" t="s">
        <v>61</v>
      </c>
      <c r="AL1770" s="7" t="s">
        <v>61</v>
      </c>
      <c r="AM1770" s="7" t="s">
        <v>0</v>
      </c>
      <c r="AN1770" s="7" t="s">
        <v>0</v>
      </c>
      <c r="AO1770" s="7" t="s">
        <v>0</v>
      </c>
      <c r="AP1770" s="7" t="s">
        <v>0</v>
      </c>
      <c r="AQ1770" s="7" t="s">
        <v>61</v>
      </c>
      <c r="AR1770" s="7" t="s">
        <v>0</v>
      </c>
      <c r="AS1770" s="10" t="str">
        <f>HYPERLINK("https://tessa.gazprom-neft.local/edo/card/edf0c1de-68ea-413f-a669-1e62005a9b8e", "https://tessa.gazprom-neft.local/edo/card/edf0c1de-68ea-413f-a669-1e62005a9b8e")</f>
        <v>https://tessa.gazprom-neft.local/edo/card/edf0c1de-68ea-413f-a669-1e62005a9b8e</v>
      </c>
    </row>
    <row r="1771" spans="1:45" hidden="1" x14ac:dyDescent="0.25">
      <c r="A1771" s="6" t="s">
        <v>44</v>
      </c>
      <c r="B1771" s="7" t="s">
        <v>488</v>
      </c>
      <c r="C1771" s="7" t="s">
        <v>67</v>
      </c>
      <c r="D1771" s="8">
        <v>44682</v>
      </c>
      <c r="E1771" s="8" t="s">
        <v>0</v>
      </c>
      <c r="F1771" s="16" t="s">
        <v>489</v>
      </c>
      <c r="G1771" s="7" t="s">
        <v>490</v>
      </c>
      <c r="H1771" s="7" t="s">
        <v>0</v>
      </c>
      <c r="I1771" s="7" t="s">
        <v>4243</v>
      </c>
      <c r="J1771" s="7" t="s">
        <v>4243</v>
      </c>
      <c r="K1771" s="7" t="s">
        <v>47</v>
      </c>
      <c r="L1771" s="7" t="s">
        <v>96</v>
      </c>
      <c r="M1771" s="7" t="s">
        <v>0</v>
      </c>
      <c r="N1771" s="7" t="s">
        <v>4824</v>
      </c>
      <c r="O1771" s="7" t="s">
        <v>0</v>
      </c>
      <c r="P1771" s="7" t="s">
        <v>4825</v>
      </c>
      <c r="Q1771" s="7" t="s">
        <v>402</v>
      </c>
      <c r="R1771" s="7" t="s">
        <v>361</v>
      </c>
      <c r="S1771" s="7" t="s">
        <v>361</v>
      </c>
      <c r="T1771" s="7" t="s">
        <v>54</v>
      </c>
      <c r="U1771" s="7" t="s">
        <v>362</v>
      </c>
      <c r="V1771" s="7" t="s">
        <v>340</v>
      </c>
      <c r="W1771" s="7" t="s">
        <v>74</v>
      </c>
      <c r="X1771" s="7" t="s">
        <v>103</v>
      </c>
      <c r="Y1771" s="8">
        <v>44682</v>
      </c>
      <c r="Z1771" s="8">
        <v>44926</v>
      </c>
      <c r="AA1771" s="7" t="s">
        <v>341</v>
      </c>
      <c r="AB1771" s="7" t="s">
        <v>366</v>
      </c>
      <c r="AC1771" s="7" t="s">
        <v>278</v>
      </c>
      <c r="AD1771" s="7" t="s">
        <v>367</v>
      </c>
      <c r="AE1771" s="7" t="s">
        <v>82</v>
      </c>
      <c r="AF1771" s="7" t="s">
        <v>0</v>
      </c>
      <c r="AG1771" s="7" t="s">
        <v>0</v>
      </c>
      <c r="AH1771" s="9" t="s">
        <v>12225</v>
      </c>
      <c r="AI1771" s="9" t="s">
        <v>12226</v>
      </c>
      <c r="AJ1771" s="9" t="s">
        <v>12227</v>
      </c>
      <c r="AK1771" s="7" t="s">
        <v>61</v>
      </c>
      <c r="AL1771" s="7" t="s">
        <v>61</v>
      </c>
      <c r="AM1771" s="7" t="s">
        <v>0</v>
      </c>
      <c r="AN1771" s="7" t="s">
        <v>0</v>
      </c>
      <c r="AO1771" s="7" t="s">
        <v>0</v>
      </c>
      <c r="AP1771" s="7" t="s">
        <v>0</v>
      </c>
      <c r="AQ1771" s="7" t="s">
        <v>61</v>
      </c>
      <c r="AR1771" s="7" t="s">
        <v>0</v>
      </c>
      <c r="AS1771" s="10" t="str">
        <f>HYPERLINK("https://tessa.gazprom-neft.local/edo/card/73259767-d9f3-4c8f-b512-123328ace787", "https://tessa.gazprom-neft.local/edo/card/73259767-d9f3-4c8f-b512-123328ace787")</f>
        <v>https://tessa.gazprom-neft.local/edo/card/73259767-d9f3-4c8f-b512-123328ace787</v>
      </c>
    </row>
    <row r="1772" spans="1:45" x14ac:dyDescent="0.25">
      <c r="A1772" s="6" t="s">
        <v>44</v>
      </c>
      <c r="B1772" s="7" t="s">
        <v>1570</v>
      </c>
      <c r="C1772" s="7" t="s">
        <v>67</v>
      </c>
      <c r="D1772" s="8">
        <v>44682</v>
      </c>
      <c r="E1772" s="8" t="s">
        <v>0</v>
      </c>
      <c r="F1772" s="16" t="s">
        <v>4885</v>
      </c>
      <c r="G1772" s="7" t="s">
        <v>0</v>
      </c>
      <c r="H1772" s="7" t="s">
        <v>4873</v>
      </c>
      <c r="I1772" s="7" t="s">
        <v>0</v>
      </c>
      <c r="J1772" s="7" t="s">
        <v>872</v>
      </c>
      <c r="K1772" s="7" t="s">
        <v>47</v>
      </c>
      <c r="L1772" s="7" t="s">
        <v>48</v>
      </c>
      <c r="M1772" s="7" t="s">
        <v>0</v>
      </c>
      <c r="N1772" s="7" t="s">
        <v>4883</v>
      </c>
      <c r="O1772" s="7" t="s">
        <v>0</v>
      </c>
      <c r="P1772" s="7" t="s">
        <v>4884</v>
      </c>
      <c r="Q1772" s="7" t="s">
        <v>1744</v>
      </c>
      <c r="R1772" s="7" t="s">
        <v>361</v>
      </c>
      <c r="S1772" s="7" t="s">
        <v>361</v>
      </c>
      <c r="T1772" s="7" t="s">
        <v>54</v>
      </c>
      <c r="U1772" s="7" t="s">
        <v>362</v>
      </c>
      <c r="V1772" s="7" t="s">
        <v>295</v>
      </c>
      <c r="W1772" s="7" t="s">
        <v>57</v>
      </c>
      <c r="X1772" s="7" t="s">
        <v>223</v>
      </c>
      <c r="Y1772" s="8">
        <v>44682</v>
      </c>
      <c r="Z1772" s="8" t="s">
        <v>0</v>
      </c>
      <c r="AA1772" s="7" t="s">
        <v>296</v>
      </c>
      <c r="AB1772" s="7" t="s">
        <v>366</v>
      </c>
      <c r="AC1772" s="7" t="s">
        <v>65</v>
      </c>
      <c r="AD1772" s="7" t="s">
        <v>0</v>
      </c>
      <c r="AE1772" s="7" t="s">
        <v>0</v>
      </c>
      <c r="AF1772" s="7" t="s">
        <v>0</v>
      </c>
      <c r="AG1772" s="7" t="s">
        <v>0</v>
      </c>
      <c r="AH1772" s="9" t="s">
        <v>0</v>
      </c>
      <c r="AI1772" s="9" t="s">
        <v>0</v>
      </c>
      <c r="AJ1772" s="9" t="s">
        <v>0</v>
      </c>
      <c r="AK1772" s="7" t="s">
        <v>61</v>
      </c>
      <c r="AL1772" s="7" t="s">
        <v>61</v>
      </c>
      <c r="AM1772" s="7" t="s">
        <v>0</v>
      </c>
      <c r="AN1772" s="7" t="s">
        <v>0</v>
      </c>
      <c r="AO1772" s="7" t="s">
        <v>0</v>
      </c>
      <c r="AP1772" s="7" t="s">
        <v>0</v>
      </c>
      <c r="AQ1772" s="7" t="s">
        <v>61</v>
      </c>
      <c r="AR1772" s="7" t="s">
        <v>0</v>
      </c>
      <c r="AS1772" s="10" t="str">
        <f>HYPERLINK("https://tessa.gazprom-neft.local/edo/card/fa750563-b2e5-4c4e-b63d-811ea9d40130", "https://tessa.gazprom-neft.local/edo/card/fa750563-b2e5-4c4e-b63d-811ea9d40130")</f>
        <v>https://tessa.gazprom-neft.local/edo/card/fa750563-b2e5-4c4e-b63d-811ea9d40130</v>
      </c>
    </row>
    <row r="1773" spans="1:45" x14ac:dyDescent="0.25">
      <c r="A1773" s="6" t="s">
        <v>44</v>
      </c>
      <c r="B1773" s="7" t="s">
        <v>170</v>
      </c>
      <c r="C1773" s="7" t="s">
        <v>67</v>
      </c>
      <c r="D1773" s="8">
        <v>44682</v>
      </c>
      <c r="E1773" s="8" t="s">
        <v>0</v>
      </c>
      <c r="F1773" s="16" t="s">
        <v>171</v>
      </c>
      <c r="G1773" s="7" t="s">
        <v>172</v>
      </c>
      <c r="H1773" s="7" t="s">
        <v>4968</v>
      </c>
      <c r="I1773" s="7" t="s">
        <v>0</v>
      </c>
      <c r="J1773" s="7" t="s">
        <v>271</v>
      </c>
      <c r="K1773" s="7" t="s">
        <v>47</v>
      </c>
      <c r="L1773" s="7" t="s">
        <v>48</v>
      </c>
      <c r="M1773" s="7" t="s">
        <v>0</v>
      </c>
      <c r="N1773" s="7" t="s">
        <v>4967</v>
      </c>
      <c r="O1773" s="7" t="s">
        <v>0</v>
      </c>
      <c r="P1773" s="7" t="s">
        <v>4969</v>
      </c>
      <c r="Q1773" s="7" t="s">
        <v>3272</v>
      </c>
      <c r="R1773" s="7" t="s">
        <v>361</v>
      </c>
      <c r="S1773" s="7" t="s">
        <v>361</v>
      </c>
      <c r="T1773" s="7" t="s">
        <v>54</v>
      </c>
      <c r="U1773" s="7" t="s">
        <v>362</v>
      </c>
      <c r="V1773" s="7" t="s">
        <v>295</v>
      </c>
      <c r="W1773" s="7" t="s">
        <v>57</v>
      </c>
      <c r="X1773" s="7" t="s">
        <v>103</v>
      </c>
      <c r="Y1773" s="8">
        <v>44682</v>
      </c>
      <c r="Z1773" s="8">
        <v>44896</v>
      </c>
      <c r="AA1773" s="7" t="s">
        <v>296</v>
      </c>
      <c r="AB1773" s="7" t="s">
        <v>366</v>
      </c>
      <c r="AC1773" s="7" t="s">
        <v>278</v>
      </c>
      <c r="AD1773" s="7" t="s">
        <v>367</v>
      </c>
      <c r="AE1773" s="7" t="s">
        <v>82</v>
      </c>
      <c r="AF1773" s="7" t="s">
        <v>0</v>
      </c>
      <c r="AG1773" s="7" t="s">
        <v>0</v>
      </c>
      <c r="AH1773" s="9" t="s">
        <v>12280</v>
      </c>
      <c r="AI1773" s="9" t="s">
        <v>12281</v>
      </c>
      <c r="AJ1773" s="9" t="s">
        <v>12282</v>
      </c>
      <c r="AK1773" s="7" t="s">
        <v>61</v>
      </c>
      <c r="AL1773" s="7" t="s">
        <v>61</v>
      </c>
      <c r="AM1773" s="7" t="s">
        <v>0</v>
      </c>
      <c r="AN1773" s="7" t="s">
        <v>0</v>
      </c>
      <c r="AO1773" s="7" t="s">
        <v>0</v>
      </c>
      <c r="AP1773" s="7" t="s">
        <v>0</v>
      </c>
      <c r="AQ1773" s="7" t="s">
        <v>61</v>
      </c>
      <c r="AR1773" s="7" t="s">
        <v>0</v>
      </c>
      <c r="AS1773" s="10" t="str">
        <f>HYPERLINK("https://tessa.gazprom-neft.local/edo/card/93f69ffa-6e6f-445c-9557-9fabc2638204", "https://tessa.gazprom-neft.local/edo/card/93f69ffa-6e6f-445c-9557-9fabc2638204")</f>
        <v>https://tessa.gazprom-neft.local/edo/card/93f69ffa-6e6f-445c-9557-9fabc2638204</v>
      </c>
    </row>
    <row r="1774" spans="1:45" x14ac:dyDescent="0.25">
      <c r="A1774" s="6" t="s">
        <v>44</v>
      </c>
      <c r="B1774" s="7" t="s">
        <v>1640</v>
      </c>
      <c r="C1774" s="7" t="s">
        <v>67</v>
      </c>
      <c r="D1774" s="8">
        <v>44682</v>
      </c>
      <c r="E1774" s="8" t="s">
        <v>0</v>
      </c>
      <c r="F1774" s="16" t="s">
        <v>1641</v>
      </c>
      <c r="G1774" s="7" t="s">
        <v>1642</v>
      </c>
      <c r="H1774" s="7" t="s">
        <v>1801</v>
      </c>
      <c r="I1774" s="7" t="s">
        <v>0</v>
      </c>
      <c r="J1774" s="7" t="s">
        <v>156</v>
      </c>
      <c r="K1774" s="7" t="s">
        <v>47</v>
      </c>
      <c r="L1774" s="7" t="s">
        <v>48</v>
      </c>
      <c r="M1774" s="7" t="s">
        <v>0</v>
      </c>
      <c r="N1774" s="7" t="s">
        <v>5053</v>
      </c>
      <c r="O1774" s="7" t="s">
        <v>0</v>
      </c>
      <c r="P1774" s="7" t="s">
        <v>1474</v>
      </c>
      <c r="Q1774" s="7" t="s">
        <v>5054</v>
      </c>
      <c r="R1774" s="7" t="s">
        <v>273</v>
      </c>
      <c r="S1774" s="7" t="s">
        <v>273</v>
      </c>
      <c r="T1774" s="7" t="s">
        <v>54</v>
      </c>
      <c r="U1774" s="7" t="s">
        <v>274</v>
      </c>
      <c r="V1774" s="7" t="s">
        <v>723</v>
      </c>
      <c r="W1774" s="7" t="s">
        <v>57</v>
      </c>
      <c r="X1774" s="7" t="s">
        <v>103</v>
      </c>
      <c r="Y1774" s="8">
        <v>44682</v>
      </c>
      <c r="Z1774" s="8">
        <v>45657</v>
      </c>
      <c r="AA1774" s="7" t="s">
        <v>1031</v>
      </c>
      <c r="AB1774" s="7" t="s">
        <v>64</v>
      </c>
      <c r="AC1774" s="7" t="s">
        <v>278</v>
      </c>
      <c r="AD1774" s="7" t="s">
        <v>80</v>
      </c>
      <c r="AE1774" s="7" t="s">
        <v>82</v>
      </c>
      <c r="AF1774" s="7" t="s">
        <v>0</v>
      </c>
      <c r="AG1774" s="7" t="s">
        <v>0</v>
      </c>
      <c r="AH1774" s="9" t="s">
        <v>12312</v>
      </c>
      <c r="AI1774" s="9" t="s">
        <v>12313</v>
      </c>
      <c r="AJ1774" s="9" t="s">
        <v>12314</v>
      </c>
      <c r="AK1774" s="7" t="s">
        <v>61</v>
      </c>
      <c r="AL1774" s="7" t="s">
        <v>61</v>
      </c>
      <c r="AM1774" s="7" t="s">
        <v>0</v>
      </c>
      <c r="AN1774" s="7" t="s">
        <v>0</v>
      </c>
      <c r="AO1774" s="7" t="s">
        <v>0</v>
      </c>
      <c r="AP1774" s="7" t="s">
        <v>0</v>
      </c>
      <c r="AQ1774" s="7" t="s">
        <v>61</v>
      </c>
      <c r="AR1774" s="7" t="s">
        <v>0</v>
      </c>
      <c r="AS1774" s="10" t="str">
        <f>HYPERLINK("https://tessa.gazprom-neft.local/edo/card/b11136b1-d8e5-4a9a-86a3-badf1072f65b", "https://tessa.gazprom-neft.local/edo/card/b11136b1-d8e5-4a9a-86a3-badf1072f65b")</f>
        <v>https://tessa.gazprom-neft.local/edo/card/b11136b1-d8e5-4a9a-86a3-badf1072f65b</v>
      </c>
    </row>
    <row r="1775" spans="1:45" hidden="1" x14ac:dyDescent="0.25">
      <c r="A1775" s="6" t="s">
        <v>44</v>
      </c>
      <c r="B1775" s="7" t="s">
        <v>813</v>
      </c>
      <c r="C1775" s="7" t="s">
        <v>67</v>
      </c>
      <c r="D1775" s="8">
        <v>44682</v>
      </c>
      <c r="E1775" s="8" t="s">
        <v>0</v>
      </c>
      <c r="F1775" s="16" t="s">
        <v>814</v>
      </c>
      <c r="G1775" s="7" t="s">
        <v>815</v>
      </c>
      <c r="H1775" s="7" t="s">
        <v>809</v>
      </c>
      <c r="I1775" s="7" t="s">
        <v>0</v>
      </c>
      <c r="J1775" s="7" t="s">
        <v>51</v>
      </c>
      <c r="K1775" s="7" t="s">
        <v>47</v>
      </c>
      <c r="L1775" s="7" t="s">
        <v>709</v>
      </c>
      <c r="M1775" s="7" t="s">
        <v>0</v>
      </c>
      <c r="N1775" s="7" t="s">
        <v>5829</v>
      </c>
      <c r="O1775" s="7" t="s">
        <v>0</v>
      </c>
      <c r="P1775" s="7" t="s">
        <v>5830</v>
      </c>
      <c r="Q1775" s="7" t="s">
        <v>5831</v>
      </c>
      <c r="R1775" s="7" t="s">
        <v>812</v>
      </c>
      <c r="S1775" s="7" t="s">
        <v>812</v>
      </c>
      <c r="T1775" s="7" t="s">
        <v>54</v>
      </c>
      <c r="U1775" s="7" t="s">
        <v>1534</v>
      </c>
      <c r="V1775" s="7" t="s">
        <v>56</v>
      </c>
      <c r="W1775" s="7" t="s">
        <v>57</v>
      </c>
      <c r="X1775" s="7" t="s">
        <v>103</v>
      </c>
      <c r="Y1775" s="8">
        <v>44682</v>
      </c>
      <c r="Z1775" s="8">
        <v>44926</v>
      </c>
      <c r="AA1775" s="7" t="s">
        <v>59</v>
      </c>
      <c r="AB1775" s="7" t="s">
        <v>256</v>
      </c>
      <c r="AC1775" s="7" t="s">
        <v>79</v>
      </c>
      <c r="AD1775" s="7" t="s">
        <v>80</v>
      </c>
      <c r="AE1775" s="7" t="s">
        <v>82</v>
      </c>
      <c r="AF1775" s="7" t="s">
        <v>0</v>
      </c>
      <c r="AG1775" s="7" t="s">
        <v>0</v>
      </c>
      <c r="AH1775" s="9" t="s">
        <v>12643</v>
      </c>
      <c r="AI1775" s="9" t="s">
        <v>12644</v>
      </c>
      <c r="AJ1775" s="9" t="s">
        <v>12645</v>
      </c>
      <c r="AK1775" s="7" t="s">
        <v>61</v>
      </c>
      <c r="AL1775" s="7" t="s">
        <v>61</v>
      </c>
      <c r="AM1775" s="7" t="s">
        <v>0</v>
      </c>
      <c r="AN1775" s="7" t="s">
        <v>0</v>
      </c>
      <c r="AO1775" s="7" t="s">
        <v>0</v>
      </c>
      <c r="AP1775" s="7" t="s">
        <v>0</v>
      </c>
      <c r="AQ1775" s="7" t="s">
        <v>61</v>
      </c>
      <c r="AR1775" s="7" t="s">
        <v>0</v>
      </c>
      <c r="AS1775" s="10" t="str">
        <f>HYPERLINK("https://tessa.gazprom-neft.local/edo/card/bd21c425-044e-474a-a98a-3ac2e62b20e8", "https://tessa.gazprom-neft.local/edo/card/bd21c425-044e-474a-a98a-3ac2e62b20e8")</f>
        <v>https://tessa.gazprom-neft.local/edo/card/bd21c425-044e-474a-a98a-3ac2e62b20e8</v>
      </c>
    </row>
    <row r="1776" spans="1:45" hidden="1" x14ac:dyDescent="0.25">
      <c r="A1776" s="6" t="s">
        <v>44</v>
      </c>
      <c r="B1776" s="7" t="s">
        <v>2872</v>
      </c>
      <c r="C1776" s="7" t="s">
        <v>67</v>
      </c>
      <c r="D1776" s="8">
        <v>44682</v>
      </c>
      <c r="E1776" s="8" t="s">
        <v>0</v>
      </c>
      <c r="F1776" s="16" t="s">
        <v>2873</v>
      </c>
      <c r="G1776" s="7" t="s">
        <v>2874</v>
      </c>
      <c r="H1776" s="7" t="s">
        <v>0</v>
      </c>
      <c r="I1776" s="7" t="s">
        <v>6023</v>
      </c>
      <c r="J1776" s="7" t="s">
        <v>6023</v>
      </c>
      <c r="K1776" s="7" t="s">
        <v>47</v>
      </c>
      <c r="L1776" s="7" t="s">
        <v>96</v>
      </c>
      <c r="M1776" s="7" t="s">
        <v>0</v>
      </c>
      <c r="N1776" s="7" t="s">
        <v>6022</v>
      </c>
      <c r="O1776" s="7" t="s">
        <v>0</v>
      </c>
      <c r="P1776" s="7" t="s">
        <v>2870</v>
      </c>
      <c r="Q1776" s="7" t="s">
        <v>3287</v>
      </c>
      <c r="R1776" s="7" t="s">
        <v>1199</v>
      </c>
      <c r="S1776" s="7" t="s">
        <v>1199</v>
      </c>
      <c r="T1776" s="7" t="s">
        <v>54</v>
      </c>
      <c r="U1776" s="7" t="s">
        <v>605</v>
      </c>
      <c r="V1776" s="7" t="s">
        <v>382</v>
      </c>
      <c r="W1776" s="7" t="s">
        <v>57</v>
      </c>
      <c r="X1776" s="7" t="s">
        <v>103</v>
      </c>
      <c r="Y1776" s="8">
        <v>44682</v>
      </c>
      <c r="Z1776" s="8">
        <v>45016</v>
      </c>
      <c r="AA1776" s="7" t="s">
        <v>383</v>
      </c>
      <c r="AB1776" s="7" t="s">
        <v>1203</v>
      </c>
      <c r="AC1776" s="7" t="s">
        <v>79</v>
      </c>
      <c r="AD1776" s="7" t="s">
        <v>80</v>
      </c>
      <c r="AE1776" s="7" t="s">
        <v>118</v>
      </c>
      <c r="AF1776" s="7" t="s">
        <v>0</v>
      </c>
      <c r="AG1776" s="7" t="s">
        <v>0</v>
      </c>
      <c r="AH1776" s="9" t="s">
        <v>12695</v>
      </c>
      <c r="AI1776" s="9" t="s">
        <v>12695</v>
      </c>
      <c r="AJ1776" s="9">
        <v>0</v>
      </c>
      <c r="AK1776" s="7" t="s">
        <v>61</v>
      </c>
      <c r="AL1776" s="7" t="s">
        <v>61</v>
      </c>
      <c r="AM1776" s="7" t="s">
        <v>0</v>
      </c>
      <c r="AN1776" s="7" t="s">
        <v>0</v>
      </c>
      <c r="AO1776" s="7" t="s">
        <v>0</v>
      </c>
      <c r="AP1776" s="7" t="s">
        <v>0</v>
      </c>
      <c r="AQ1776" s="7" t="s">
        <v>61</v>
      </c>
      <c r="AR1776" s="7" t="s">
        <v>0</v>
      </c>
      <c r="AS1776" s="10" t="str">
        <f>HYPERLINK("https://tessa.gazprom-neft.local/edo/card/99ddbf74-4859-46ad-ab10-98ce31437512", "https://tessa.gazprom-neft.local/edo/card/99ddbf74-4859-46ad-ab10-98ce31437512")</f>
        <v>https://tessa.gazprom-neft.local/edo/card/99ddbf74-4859-46ad-ab10-98ce31437512</v>
      </c>
    </row>
    <row r="1777" spans="1:45" hidden="1" x14ac:dyDescent="0.25">
      <c r="A1777" s="6" t="s">
        <v>44</v>
      </c>
      <c r="B1777" s="7" t="s">
        <v>520</v>
      </c>
      <c r="C1777" s="7" t="s">
        <v>46</v>
      </c>
      <c r="D1777" s="8">
        <v>44681</v>
      </c>
      <c r="E1777" s="8" t="s">
        <v>0</v>
      </c>
      <c r="F1777" s="16" t="s">
        <v>521</v>
      </c>
      <c r="G1777" s="7" t="s">
        <v>522</v>
      </c>
      <c r="H1777" s="7" t="s">
        <v>0</v>
      </c>
      <c r="I1777" s="7" t="s">
        <v>4075</v>
      </c>
      <c r="J1777" s="7" t="s">
        <v>4075</v>
      </c>
      <c r="K1777" s="7" t="s">
        <v>47</v>
      </c>
      <c r="L1777" s="7" t="s">
        <v>96</v>
      </c>
      <c r="M1777" s="7" t="s">
        <v>0</v>
      </c>
      <c r="N1777" s="7" t="s">
        <v>4074</v>
      </c>
      <c r="O1777" s="7" t="s">
        <v>0</v>
      </c>
      <c r="P1777" s="7" t="s">
        <v>4076</v>
      </c>
      <c r="Q1777" s="7" t="s">
        <v>4077</v>
      </c>
      <c r="R1777" s="7" t="s">
        <v>293</v>
      </c>
      <c r="S1777" s="7" t="s">
        <v>293</v>
      </c>
      <c r="T1777" s="7" t="s">
        <v>54</v>
      </c>
      <c r="U1777" s="7" t="s">
        <v>294</v>
      </c>
      <c r="V1777" s="7" t="s">
        <v>295</v>
      </c>
      <c r="W1777" s="7" t="s">
        <v>57</v>
      </c>
      <c r="X1777" s="7" t="s">
        <v>103</v>
      </c>
      <c r="Y1777" s="8">
        <v>44681</v>
      </c>
      <c r="Z1777" s="8">
        <v>44926</v>
      </c>
      <c r="AA1777" s="7" t="s">
        <v>296</v>
      </c>
      <c r="AB1777" s="7" t="s">
        <v>500</v>
      </c>
      <c r="AC1777" s="7" t="s">
        <v>79</v>
      </c>
      <c r="AD1777" s="7" t="s">
        <v>80</v>
      </c>
      <c r="AE1777" s="7" t="s">
        <v>4078</v>
      </c>
      <c r="AF1777" s="7" t="s">
        <v>0</v>
      </c>
      <c r="AG1777" s="7" t="s">
        <v>0</v>
      </c>
      <c r="AH1777" s="9" t="s">
        <v>11911</v>
      </c>
      <c r="AI1777" s="9" t="s">
        <v>11912</v>
      </c>
      <c r="AJ1777" s="9" t="s">
        <v>11913</v>
      </c>
      <c r="AK1777" s="7" t="s">
        <v>61</v>
      </c>
      <c r="AL1777" s="7" t="s">
        <v>61</v>
      </c>
      <c r="AM1777" s="7" t="s">
        <v>0</v>
      </c>
      <c r="AN1777" s="7" t="s">
        <v>0</v>
      </c>
      <c r="AO1777" s="7" t="s">
        <v>0</v>
      </c>
      <c r="AP1777" s="7" t="s">
        <v>0</v>
      </c>
      <c r="AQ1777" s="7" t="s">
        <v>61</v>
      </c>
      <c r="AR1777" s="7" t="s">
        <v>0</v>
      </c>
      <c r="AS1777" s="10" t="str">
        <f>HYPERLINK("https://tessa.gazprom-neft.local/edo/card/ed225a1c-9387-42dc-8320-c695f284a239", "https://tessa.gazprom-neft.local/edo/card/ed225a1c-9387-42dc-8320-c695f284a239")</f>
        <v>https://tessa.gazprom-neft.local/edo/card/ed225a1c-9387-42dc-8320-c695f284a239</v>
      </c>
    </row>
    <row r="1778" spans="1:45" x14ac:dyDescent="0.25">
      <c r="A1778" s="6" t="s">
        <v>44</v>
      </c>
      <c r="B1778" s="7" t="s">
        <v>1570</v>
      </c>
      <c r="C1778" s="7" t="s">
        <v>67</v>
      </c>
      <c r="D1778" s="8">
        <v>44681</v>
      </c>
      <c r="E1778" s="8" t="s">
        <v>0</v>
      </c>
      <c r="F1778" s="16" t="s">
        <v>1571</v>
      </c>
      <c r="G1778" s="7" t="s">
        <v>0</v>
      </c>
      <c r="H1778" s="7" t="s">
        <v>4873</v>
      </c>
      <c r="I1778" s="7" t="s">
        <v>0</v>
      </c>
      <c r="J1778" s="7" t="s">
        <v>355</v>
      </c>
      <c r="K1778" s="7" t="s">
        <v>47</v>
      </c>
      <c r="L1778" s="7" t="s">
        <v>48</v>
      </c>
      <c r="M1778" s="7" t="s">
        <v>0</v>
      </c>
      <c r="N1778" s="7" t="s">
        <v>4872</v>
      </c>
      <c r="O1778" s="7" t="s">
        <v>0</v>
      </c>
      <c r="P1778" s="7" t="s">
        <v>4874</v>
      </c>
      <c r="Q1778" s="7" t="s">
        <v>4875</v>
      </c>
      <c r="R1778" s="7" t="s">
        <v>361</v>
      </c>
      <c r="S1778" s="7" t="s">
        <v>361</v>
      </c>
      <c r="T1778" s="7" t="s">
        <v>54</v>
      </c>
      <c r="U1778" s="7" t="s">
        <v>362</v>
      </c>
      <c r="V1778" s="7" t="s">
        <v>295</v>
      </c>
      <c r="W1778" s="7" t="s">
        <v>57</v>
      </c>
      <c r="X1778" s="7" t="s">
        <v>58</v>
      </c>
      <c r="Y1778" s="8">
        <v>44562</v>
      </c>
      <c r="Z1778" s="8" t="s">
        <v>0</v>
      </c>
      <c r="AA1778" s="7" t="s">
        <v>296</v>
      </c>
      <c r="AB1778" s="7" t="s">
        <v>366</v>
      </c>
      <c r="AC1778" s="7" t="s">
        <v>65</v>
      </c>
      <c r="AD1778" s="7" t="s">
        <v>0</v>
      </c>
      <c r="AE1778" s="7" t="s">
        <v>0</v>
      </c>
      <c r="AF1778" s="7" t="s">
        <v>0</v>
      </c>
      <c r="AG1778" s="7" t="s">
        <v>0</v>
      </c>
      <c r="AH1778" s="9" t="s">
        <v>0</v>
      </c>
      <c r="AI1778" s="9" t="s">
        <v>0</v>
      </c>
      <c r="AJ1778" s="9" t="s">
        <v>0</v>
      </c>
      <c r="AK1778" s="7" t="s">
        <v>61</v>
      </c>
      <c r="AL1778" s="7" t="s">
        <v>61</v>
      </c>
      <c r="AM1778" s="7" t="s">
        <v>0</v>
      </c>
      <c r="AN1778" s="7" t="s">
        <v>0</v>
      </c>
      <c r="AO1778" s="7" t="s">
        <v>0</v>
      </c>
      <c r="AP1778" s="7" t="s">
        <v>0</v>
      </c>
      <c r="AQ1778" s="7" t="s">
        <v>61</v>
      </c>
      <c r="AR1778" s="7" t="s">
        <v>0</v>
      </c>
      <c r="AS1778" s="10" t="str">
        <f>HYPERLINK("https://tessa.gazprom-neft.local/edo/card/b6a253c6-6781-49ca-a9c5-e4c112882b5b", "https://tessa.gazprom-neft.local/edo/card/b6a253c6-6781-49ca-a9c5-e4c112882b5b")</f>
        <v>https://tessa.gazprom-neft.local/edo/card/b6a253c6-6781-49ca-a9c5-e4c112882b5b</v>
      </c>
    </row>
    <row r="1779" spans="1:45" x14ac:dyDescent="0.25">
      <c r="A1779" s="6" t="s">
        <v>44</v>
      </c>
      <c r="B1779" s="7" t="s">
        <v>1435</v>
      </c>
      <c r="C1779" s="7" t="s">
        <v>67</v>
      </c>
      <c r="D1779" s="8">
        <v>44681</v>
      </c>
      <c r="E1779" s="8" t="s">
        <v>0</v>
      </c>
      <c r="F1779" s="16" t="s">
        <v>1436</v>
      </c>
      <c r="G1779" s="7" t="s">
        <v>1437</v>
      </c>
      <c r="H1779" s="7" t="s">
        <v>5488</v>
      </c>
      <c r="I1779" s="7" t="s">
        <v>0</v>
      </c>
      <c r="J1779" s="7" t="s">
        <v>156</v>
      </c>
      <c r="K1779" s="7" t="s">
        <v>47</v>
      </c>
      <c r="L1779" s="7" t="s">
        <v>48</v>
      </c>
      <c r="M1779" s="7" t="s">
        <v>0</v>
      </c>
      <c r="N1779" s="7" t="s">
        <v>5487</v>
      </c>
      <c r="O1779" s="7" t="s">
        <v>0</v>
      </c>
      <c r="P1779" s="7" t="s">
        <v>5489</v>
      </c>
      <c r="Q1779" s="7" t="s">
        <v>5490</v>
      </c>
      <c r="R1779" s="7" t="s">
        <v>187</v>
      </c>
      <c r="S1779" s="7" t="s">
        <v>1523</v>
      </c>
      <c r="T1779" s="7" t="s">
        <v>54</v>
      </c>
      <c r="U1779" s="7" t="s">
        <v>188</v>
      </c>
      <c r="V1779" s="7" t="s">
        <v>137</v>
      </c>
      <c r="W1779" s="7" t="s">
        <v>57</v>
      </c>
      <c r="X1779" s="7" t="s">
        <v>103</v>
      </c>
      <c r="Y1779" s="8">
        <v>44683</v>
      </c>
      <c r="Z1779" s="8">
        <v>44804</v>
      </c>
      <c r="AA1779" s="7" t="s">
        <v>0</v>
      </c>
      <c r="AB1779" s="7" t="s">
        <v>64</v>
      </c>
      <c r="AC1779" s="7" t="s">
        <v>65</v>
      </c>
      <c r="AD1779" s="7" t="s">
        <v>80</v>
      </c>
      <c r="AE1779" s="7" t="s">
        <v>0</v>
      </c>
      <c r="AF1779" s="7" t="s">
        <v>0</v>
      </c>
      <c r="AG1779" s="7" t="s">
        <v>0</v>
      </c>
      <c r="AH1779" s="9" t="s">
        <v>0</v>
      </c>
      <c r="AI1779" s="9" t="s">
        <v>0</v>
      </c>
      <c r="AJ1779" s="9" t="s">
        <v>0</v>
      </c>
      <c r="AK1779" s="7" t="s">
        <v>61</v>
      </c>
      <c r="AL1779" s="7" t="s">
        <v>61</v>
      </c>
      <c r="AM1779" s="7" t="s">
        <v>0</v>
      </c>
      <c r="AN1779" s="7" t="s">
        <v>0</v>
      </c>
      <c r="AO1779" s="7" t="s">
        <v>0</v>
      </c>
      <c r="AP1779" s="7" t="s">
        <v>0</v>
      </c>
      <c r="AQ1779" s="7" t="s">
        <v>61</v>
      </c>
      <c r="AR1779" s="7" t="s">
        <v>0</v>
      </c>
      <c r="AS1779" s="10" t="str">
        <f>HYPERLINK("https://tessa.gazprom-neft.local/edo/card/812d90dd-3787-4f08-a236-efd1245a3e38", "https://tessa.gazprom-neft.local/edo/card/812d90dd-3787-4f08-a236-efd1245a3e38")</f>
        <v>https://tessa.gazprom-neft.local/edo/card/812d90dd-3787-4f08-a236-efd1245a3e38</v>
      </c>
    </row>
    <row r="1780" spans="1:45" hidden="1" x14ac:dyDescent="0.25">
      <c r="A1780" s="6" t="s">
        <v>44</v>
      </c>
      <c r="B1780" s="7" t="s">
        <v>1640</v>
      </c>
      <c r="C1780" s="7" t="s">
        <v>46</v>
      </c>
      <c r="D1780" s="8">
        <v>44680</v>
      </c>
      <c r="E1780" s="8" t="s">
        <v>0</v>
      </c>
      <c r="F1780" s="16" t="s">
        <v>1641</v>
      </c>
      <c r="G1780" s="7" t="s">
        <v>1642</v>
      </c>
      <c r="H1780" s="7" t="s">
        <v>1635</v>
      </c>
      <c r="I1780" s="7" t="s">
        <v>0</v>
      </c>
      <c r="J1780" s="7" t="s">
        <v>51</v>
      </c>
      <c r="K1780" s="7" t="s">
        <v>47</v>
      </c>
      <c r="L1780" s="7" t="s">
        <v>389</v>
      </c>
      <c r="M1780" s="7" t="s">
        <v>0</v>
      </c>
      <c r="N1780" s="7" t="s">
        <v>1634</v>
      </c>
      <c r="O1780" s="7" t="s">
        <v>156</v>
      </c>
      <c r="P1780" s="7" t="s">
        <v>1636</v>
      </c>
      <c r="Q1780" s="7" t="s">
        <v>1637</v>
      </c>
      <c r="R1780" s="7" t="s">
        <v>1083</v>
      </c>
      <c r="S1780" s="7" t="s">
        <v>1638</v>
      </c>
      <c r="T1780" s="7" t="s">
        <v>54</v>
      </c>
      <c r="U1780" s="7" t="s">
        <v>274</v>
      </c>
      <c r="V1780" s="7" t="s">
        <v>846</v>
      </c>
      <c r="W1780" s="7" t="s">
        <v>57</v>
      </c>
      <c r="X1780" s="7" t="s">
        <v>103</v>
      </c>
      <c r="Y1780" s="8">
        <v>44606</v>
      </c>
      <c r="Z1780" s="8">
        <v>44681</v>
      </c>
      <c r="AA1780" s="7" t="s">
        <v>1639</v>
      </c>
      <c r="AB1780" s="7" t="s">
        <v>64</v>
      </c>
      <c r="AC1780" s="7" t="s">
        <v>278</v>
      </c>
      <c r="AD1780" s="7" t="s">
        <v>80</v>
      </c>
      <c r="AE1780" s="7" t="s">
        <v>82</v>
      </c>
      <c r="AF1780" s="7" t="s">
        <v>0</v>
      </c>
      <c r="AG1780" s="7" t="s">
        <v>0</v>
      </c>
      <c r="AH1780" s="9" t="s">
        <v>11075</v>
      </c>
      <c r="AI1780" s="9" t="s">
        <v>11076</v>
      </c>
      <c r="AJ1780" s="9" t="s">
        <v>11077</v>
      </c>
      <c r="AK1780" s="7" t="s">
        <v>61</v>
      </c>
      <c r="AL1780" s="7" t="s">
        <v>61</v>
      </c>
      <c r="AM1780" s="7" t="s">
        <v>0</v>
      </c>
      <c r="AN1780" s="7" t="s">
        <v>0</v>
      </c>
      <c r="AO1780" s="7" t="s">
        <v>0</v>
      </c>
      <c r="AP1780" s="7" t="s">
        <v>0</v>
      </c>
      <c r="AQ1780" s="7" t="s">
        <v>61</v>
      </c>
      <c r="AR1780" s="7" t="s">
        <v>0</v>
      </c>
      <c r="AS1780" s="10" t="str">
        <f>HYPERLINK("https://tessa.gazprom-neft.local/edo/card/4fb66212-c56e-43c3-9d32-7549959be5c6", "https://tessa.gazprom-neft.local/edo/card/4fb66212-c56e-43c3-9d32-7549959be5c6")</f>
        <v>https://tessa.gazprom-neft.local/edo/card/4fb66212-c56e-43c3-9d32-7549959be5c6</v>
      </c>
    </row>
    <row r="1781" spans="1:45" x14ac:dyDescent="0.25">
      <c r="A1781" s="6" t="s">
        <v>44</v>
      </c>
      <c r="B1781" s="7" t="s">
        <v>1279</v>
      </c>
      <c r="C1781" s="7" t="s">
        <v>67</v>
      </c>
      <c r="D1781" s="8">
        <v>44680</v>
      </c>
      <c r="E1781" s="8" t="s">
        <v>0</v>
      </c>
      <c r="F1781" s="16" t="s">
        <v>1280</v>
      </c>
      <c r="G1781" s="7" t="s">
        <v>1281</v>
      </c>
      <c r="H1781" s="7" t="s">
        <v>4416</v>
      </c>
      <c r="I1781" s="7" t="s">
        <v>0</v>
      </c>
      <c r="J1781" s="7" t="s">
        <v>51</v>
      </c>
      <c r="K1781" s="7" t="s">
        <v>47</v>
      </c>
      <c r="L1781" s="7" t="s">
        <v>48</v>
      </c>
      <c r="M1781" s="7" t="s">
        <v>0</v>
      </c>
      <c r="N1781" s="7" t="s">
        <v>4415</v>
      </c>
      <c r="O1781" s="7" t="s">
        <v>0</v>
      </c>
      <c r="P1781" s="7" t="s">
        <v>4417</v>
      </c>
      <c r="Q1781" s="7" t="s">
        <v>4418</v>
      </c>
      <c r="R1781" s="7" t="s">
        <v>891</v>
      </c>
      <c r="S1781" s="7" t="s">
        <v>891</v>
      </c>
      <c r="T1781" s="7" t="s">
        <v>54</v>
      </c>
      <c r="U1781" s="7" t="s">
        <v>892</v>
      </c>
      <c r="V1781" s="7" t="s">
        <v>56</v>
      </c>
      <c r="W1781" s="7" t="s">
        <v>57</v>
      </c>
      <c r="X1781" s="7" t="s">
        <v>103</v>
      </c>
      <c r="Y1781" s="8">
        <v>44682</v>
      </c>
      <c r="Z1781" s="8">
        <v>44926</v>
      </c>
      <c r="AA1781" s="7" t="s">
        <v>59</v>
      </c>
      <c r="AB1781" s="7" t="s">
        <v>3761</v>
      </c>
      <c r="AC1781" s="7" t="s">
        <v>65</v>
      </c>
      <c r="AD1781" s="7" t="s">
        <v>144</v>
      </c>
      <c r="AE1781" s="7" t="s">
        <v>0</v>
      </c>
      <c r="AF1781" s="7" t="s">
        <v>0</v>
      </c>
      <c r="AG1781" s="7" t="s">
        <v>0</v>
      </c>
      <c r="AH1781" s="9" t="s">
        <v>0</v>
      </c>
      <c r="AI1781" s="9" t="s">
        <v>0</v>
      </c>
      <c r="AJ1781" s="9" t="s">
        <v>0</v>
      </c>
      <c r="AK1781" s="7" t="s">
        <v>61</v>
      </c>
      <c r="AL1781" s="7" t="s">
        <v>61</v>
      </c>
      <c r="AM1781" s="7" t="s">
        <v>0</v>
      </c>
      <c r="AN1781" s="7" t="s">
        <v>0</v>
      </c>
      <c r="AO1781" s="7" t="s">
        <v>0</v>
      </c>
      <c r="AP1781" s="7" t="s">
        <v>0</v>
      </c>
      <c r="AQ1781" s="7" t="s">
        <v>61</v>
      </c>
      <c r="AR1781" s="7" t="s">
        <v>0</v>
      </c>
      <c r="AS1781" s="10" t="str">
        <f>HYPERLINK("https://tessa.gazprom-neft.local/edo/card/c49b31fe-3df1-45ff-82da-33c55bc64fa6", "https://tessa.gazprom-neft.local/edo/card/c49b31fe-3df1-45ff-82da-33c55bc64fa6")</f>
        <v>https://tessa.gazprom-neft.local/edo/card/c49b31fe-3df1-45ff-82da-33c55bc64fa6</v>
      </c>
    </row>
    <row r="1782" spans="1:45" x14ac:dyDescent="0.25">
      <c r="A1782" s="6" t="s">
        <v>44</v>
      </c>
      <c r="B1782" s="7" t="s">
        <v>971</v>
      </c>
      <c r="C1782" s="7" t="s">
        <v>67</v>
      </c>
      <c r="D1782" s="8">
        <v>44680</v>
      </c>
      <c r="E1782" s="8" t="s">
        <v>0</v>
      </c>
      <c r="F1782" s="16" t="s">
        <v>972</v>
      </c>
      <c r="G1782" s="7" t="s">
        <v>973</v>
      </c>
      <c r="H1782" s="7" t="s">
        <v>998</v>
      </c>
      <c r="I1782" s="7" t="s">
        <v>0</v>
      </c>
      <c r="J1782" s="7" t="s">
        <v>51</v>
      </c>
      <c r="K1782" s="7" t="s">
        <v>47</v>
      </c>
      <c r="L1782" s="7" t="s">
        <v>48</v>
      </c>
      <c r="M1782" s="7" t="s">
        <v>0</v>
      </c>
      <c r="N1782" s="7" t="s">
        <v>4627</v>
      </c>
      <c r="O1782" s="7" t="s">
        <v>271</v>
      </c>
      <c r="P1782" s="7" t="s">
        <v>4628</v>
      </c>
      <c r="Q1782" s="7" t="s">
        <v>4629</v>
      </c>
      <c r="R1782" s="7" t="s">
        <v>513</v>
      </c>
      <c r="S1782" s="7" t="s">
        <v>513</v>
      </c>
      <c r="T1782" s="7" t="s">
        <v>54</v>
      </c>
      <c r="U1782" s="7" t="s">
        <v>303</v>
      </c>
      <c r="V1782" s="7" t="s">
        <v>91</v>
      </c>
      <c r="W1782" s="7" t="s">
        <v>57</v>
      </c>
      <c r="X1782" s="7" t="s">
        <v>103</v>
      </c>
      <c r="Y1782" s="8">
        <v>44886</v>
      </c>
      <c r="Z1782" s="8">
        <v>44926</v>
      </c>
      <c r="AA1782" s="7" t="s">
        <v>92</v>
      </c>
      <c r="AB1782" s="7" t="s">
        <v>64</v>
      </c>
      <c r="AC1782" s="7" t="s">
        <v>79</v>
      </c>
      <c r="AD1782" s="7" t="s">
        <v>144</v>
      </c>
      <c r="AE1782" s="7" t="s">
        <v>82</v>
      </c>
      <c r="AF1782" s="7" t="s">
        <v>0</v>
      </c>
      <c r="AG1782" s="7" t="s">
        <v>0</v>
      </c>
      <c r="AH1782" s="9" t="s">
        <v>12144</v>
      </c>
      <c r="AI1782" s="9" t="s">
        <v>12145</v>
      </c>
      <c r="AJ1782" s="9" t="s">
        <v>12146</v>
      </c>
      <c r="AK1782" s="7" t="s">
        <v>61</v>
      </c>
      <c r="AL1782" s="7" t="s">
        <v>61</v>
      </c>
      <c r="AM1782" s="7" t="s">
        <v>0</v>
      </c>
      <c r="AN1782" s="7" t="s">
        <v>0</v>
      </c>
      <c r="AO1782" s="7" t="s">
        <v>0</v>
      </c>
      <c r="AP1782" s="7" t="s">
        <v>0</v>
      </c>
      <c r="AQ1782" s="7" t="s">
        <v>61</v>
      </c>
      <c r="AR1782" s="7" t="s">
        <v>0</v>
      </c>
      <c r="AS1782" s="10" t="str">
        <f>HYPERLINK("https://tessa.gazprom-neft.local/edo/card/ec2ca86f-7fe0-4fe9-965f-ca0932d6a888", "https://tessa.gazprom-neft.local/edo/card/ec2ca86f-7fe0-4fe9-965f-ca0932d6a888")</f>
        <v>https://tessa.gazprom-neft.local/edo/card/ec2ca86f-7fe0-4fe9-965f-ca0932d6a888</v>
      </c>
    </row>
    <row r="1783" spans="1:45" hidden="1" x14ac:dyDescent="0.25">
      <c r="A1783" s="6" t="s">
        <v>44</v>
      </c>
      <c r="B1783" s="7" t="s">
        <v>1935</v>
      </c>
      <c r="C1783" s="7" t="s">
        <v>67</v>
      </c>
      <c r="D1783" s="8">
        <v>44680</v>
      </c>
      <c r="E1783" s="8" t="s">
        <v>0</v>
      </c>
      <c r="F1783" s="16" t="s">
        <v>1936</v>
      </c>
      <c r="G1783" s="7" t="s">
        <v>1937</v>
      </c>
      <c r="H1783" s="7" t="s">
        <v>0</v>
      </c>
      <c r="I1783" s="7" t="s">
        <v>4722</v>
      </c>
      <c r="J1783" s="7" t="s">
        <v>4722</v>
      </c>
      <c r="K1783" s="7" t="s">
        <v>47</v>
      </c>
      <c r="L1783" s="7" t="s">
        <v>96</v>
      </c>
      <c r="M1783" s="7" t="s">
        <v>0</v>
      </c>
      <c r="N1783" s="7" t="s">
        <v>4721</v>
      </c>
      <c r="O1783" s="7" t="s">
        <v>0</v>
      </c>
      <c r="P1783" s="7" t="s">
        <v>4723</v>
      </c>
      <c r="Q1783" s="7" t="s">
        <v>4724</v>
      </c>
      <c r="R1783" s="7" t="s">
        <v>1199</v>
      </c>
      <c r="S1783" s="7" t="s">
        <v>1199</v>
      </c>
      <c r="T1783" s="7" t="s">
        <v>54</v>
      </c>
      <c r="U1783" s="7" t="s">
        <v>605</v>
      </c>
      <c r="V1783" s="7" t="s">
        <v>382</v>
      </c>
      <c r="W1783" s="7" t="s">
        <v>57</v>
      </c>
      <c r="X1783" s="7" t="s">
        <v>103</v>
      </c>
      <c r="Y1783" s="8">
        <v>44680</v>
      </c>
      <c r="Z1783" s="8">
        <v>44985</v>
      </c>
      <c r="AA1783" s="7" t="s">
        <v>383</v>
      </c>
      <c r="AB1783" s="7" t="s">
        <v>1203</v>
      </c>
      <c r="AC1783" s="7" t="s">
        <v>79</v>
      </c>
      <c r="AD1783" s="7" t="s">
        <v>80</v>
      </c>
      <c r="AE1783" s="7" t="s">
        <v>193</v>
      </c>
      <c r="AF1783" s="7" t="s">
        <v>0</v>
      </c>
      <c r="AG1783" s="7" t="s">
        <v>0</v>
      </c>
      <c r="AH1783" s="9" t="s">
        <v>12141</v>
      </c>
      <c r="AI1783" s="9" t="s">
        <v>12187</v>
      </c>
      <c r="AJ1783" s="9" t="s">
        <v>12188</v>
      </c>
      <c r="AK1783" s="7" t="s">
        <v>61</v>
      </c>
      <c r="AL1783" s="7" t="s">
        <v>61</v>
      </c>
      <c r="AM1783" s="7" t="s">
        <v>0</v>
      </c>
      <c r="AN1783" s="7" t="s">
        <v>0</v>
      </c>
      <c r="AO1783" s="7" t="s">
        <v>0</v>
      </c>
      <c r="AP1783" s="7" t="s">
        <v>0</v>
      </c>
      <c r="AQ1783" s="7" t="s">
        <v>61</v>
      </c>
      <c r="AR1783" s="7" t="s">
        <v>0</v>
      </c>
      <c r="AS1783" s="10" t="str">
        <f>HYPERLINK("https://tessa.gazprom-neft.local/edo/card/aa86eb50-ac18-4ec2-921c-a491da688b95", "https://tessa.gazprom-neft.local/edo/card/aa86eb50-ac18-4ec2-921c-a491da688b95")</f>
        <v>https://tessa.gazprom-neft.local/edo/card/aa86eb50-ac18-4ec2-921c-a491da688b95</v>
      </c>
    </row>
    <row r="1784" spans="1:45" hidden="1" x14ac:dyDescent="0.25">
      <c r="A1784" s="6" t="s">
        <v>44</v>
      </c>
      <c r="B1784" s="7" t="s">
        <v>1640</v>
      </c>
      <c r="C1784" s="7" t="s">
        <v>46</v>
      </c>
      <c r="D1784" s="8">
        <v>44680</v>
      </c>
      <c r="E1784" s="8" t="s">
        <v>0</v>
      </c>
      <c r="F1784" s="16" t="s">
        <v>1641</v>
      </c>
      <c r="G1784" s="7" t="s">
        <v>1642</v>
      </c>
      <c r="H1784" s="7" t="s">
        <v>0</v>
      </c>
      <c r="I1784" s="7" t="s">
        <v>4775</v>
      </c>
      <c r="J1784" s="7" t="s">
        <v>4775</v>
      </c>
      <c r="K1784" s="7" t="s">
        <v>47</v>
      </c>
      <c r="L1784" s="7" t="s">
        <v>96</v>
      </c>
      <c r="M1784" s="7" t="s">
        <v>0</v>
      </c>
      <c r="N1784" s="7" t="s">
        <v>4774</v>
      </c>
      <c r="O1784" s="7" t="s">
        <v>0</v>
      </c>
      <c r="P1784" s="7" t="s">
        <v>4776</v>
      </c>
      <c r="Q1784" s="7" t="s">
        <v>4777</v>
      </c>
      <c r="R1784" s="7" t="s">
        <v>1083</v>
      </c>
      <c r="S1784" s="7" t="s">
        <v>1638</v>
      </c>
      <c r="T1784" s="7" t="s">
        <v>54</v>
      </c>
      <c r="U1784" s="7" t="s">
        <v>274</v>
      </c>
      <c r="V1784" s="7" t="s">
        <v>846</v>
      </c>
      <c r="W1784" s="7" t="s">
        <v>57</v>
      </c>
      <c r="X1784" s="7" t="s">
        <v>103</v>
      </c>
      <c r="Y1784" s="8">
        <v>44685</v>
      </c>
      <c r="Z1784" s="8">
        <v>44926</v>
      </c>
      <c r="AA1784" s="7" t="s">
        <v>847</v>
      </c>
      <c r="AB1784" s="7" t="s">
        <v>64</v>
      </c>
      <c r="AC1784" s="7" t="s">
        <v>278</v>
      </c>
      <c r="AD1784" s="7" t="s">
        <v>80</v>
      </c>
      <c r="AE1784" s="7" t="s">
        <v>82</v>
      </c>
      <c r="AF1784" s="7" t="s">
        <v>0</v>
      </c>
      <c r="AG1784" s="7" t="s">
        <v>0</v>
      </c>
      <c r="AH1784" s="9" t="s">
        <v>12204</v>
      </c>
      <c r="AI1784" s="9" t="s">
        <v>12205</v>
      </c>
      <c r="AJ1784" s="9" t="s">
        <v>12206</v>
      </c>
      <c r="AK1784" s="7" t="s">
        <v>61</v>
      </c>
      <c r="AL1784" s="7" t="s">
        <v>61</v>
      </c>
      <c r="AM1784" s="7" t="s">
        <v>0</v>
      </c>
      <c r="AN1784" s="7" t="s">
        <v>0</v>
      </c>
      <c r="AO1784" s="7" t="s">
        <v>0</v>
      </c>
      <c r="AP1784" s="7" t="s">
        <v>0</v>
      </c>
      <c r="AQ1784" s="7" t="s">
        <v>61</v>
      </c>
      <c r="AR1784" s="7" t="s">
        <v>0</v>
      </c>
      <c r="AS1784" s="10" t="str">
        <f>HYPERLINK("https://tessa.gazprom-neft.local/edo/card/74d3b535-f2b6-47b5-8168-2ac9940922c2", "https://tessa.gazprom-neft.local/edo/card/74d3b535-f2b6-47b5-8168-2ac9940922c2")</f>
        <v>https://tessa.gazprom-neft.local/edo/card/74d3b535-f2b6-47b5-8168-2ac9940922c2</v>
      </c>
    </row>
    <row r="1785" spans="1:45" hidden="1" x14ac:dyDescent="0.25">
      <c r="A1785" s="6" t="s">
        <v>44</v>
      </c>
      <c r="B1785" s="7" t="s">
        <v>1640</v>
      </c>
      <c r="C1785" s="7" t="s">
        <v>46</v>
      </c>
      <c r="D1785" s="8">
        <v>44680</v>
      </c>
      <c r="E1785" s="8" t="s">
        <v>0</v>
      </c>
      <c r="F1785" s="16" t="s">
        <v>1641</v>
      </c>
      <c r="G1785" s="7" t="s">
        <v>1642</v>
      </c>
      <c r="H1785" s="7" t="s">
        <v>0</v>
      </c>
      <c r="I1785" s="7" t="s">
        <v>4791</v>
      </c>
      <c r="J1785" s="7" t="s">
        <v>4791</v>
      </c>
      <c r="K1785" s="7" t="s">
        <v>47</v>
      </c>
      <c r="L1785" s="7" t="s">
        <v>96</v>
      </c>
      <c r="M1785" s="7" t="s">
        <v>0</v>
      </c>
      <c r="N1785" s="7" t="s">
        <v>4790</v>
      </c>
      <c r="O1785" s="7" t="s">
        <v>0</v>
      </c>
      <c r="P1785" s="7" t="s">
        <v>64</v>
      </c>
      <c r="Q1785" s="7" t="s">
        <v>4792</v>
      </c>
      <c r="R1785" s="7" t="s">
        <v>1083</v>
      </c>
      <c r="S1785" s="7" t="s">
        <v>1638</v>
      </c>
      <c r="T1785" s="7" t="s">
        <v>54</v>
      </c>
      <c r="U1785" s="7" t="s">
        <v>274</v>
      </c>
      <c r="V1785" s="7" t="s">
        <v>846</v>
      </c>
      <c r="W1785" s="7" t="s">
        <v>57</v>
      </c>
      <c r="X1785" s="7" t="s">
        <v>103</v>
      </c>
      <c r="Y1785" s="8">
        <v>44685</v>
      </c>
      <c r="Z1785" s="8">
        <v>44926</v>
      </c>
      <c r="AA1785" s="7" t="s">
        <v>847</v>
      </c>
      <c r="AB1785" s="7" t="s">
        <v>64</v>
      </c>
      <c r="AC1785" s="7" t="s">
        <v>278</v>
      </c>
      <c r="AD1785" s="7" t="s">
        <v>80</v>
      </c>
      <c r="AE1785" s="7" t="s">
        <v>82</v>
      </c>
      <c r="AF1785" s="7" t="s">
        <v>0</v>
      </c>
      <c r="AG1785" s="7" t="s">
        <v>0</v>
      </c>
      <c r="AH1785" s="9" t="s">
        <v>12210</v>
      </c>
      <c r="AI1785" s="9" t="s">
        <v>12211</v>
      </c>
      <c r="AJ1785" s="9" t="s">
        <v>12212</v>
      </c>
      <c r="AK1785" s="7" t="s">
        <v>61</v>
      </c>
      <c r="AL1785" s="7" t="s">
        <v>61</v>
      </c>
      <c r="AM1785" s="7" t="s">
        <v>0</v>
      </c>
      <c r="AN1785" s="7" t="s">
        <v>0</v>
      </c>
      <c r="AO1785" s="7" t="s">
        <v>0</v>
      </c>
      <c r="AP1785" s="7" t="s">
        <v>0</v>
      </c>
      <c r="AQ1785" s="7" t="s">
        <v>61</v>
      </c>
      <c r="AR1785" s="7" t="s">
        <v>0</v>
      </c>
      <c r="AS1785" s="10" t="str">
        <f>HYPERLINK("https://tessa.gazprom-neft.local/edo/card/d95609a8-3e3e-426d-911e-95ca430ec11e", "https://tessa.gazprom-neft.local/edo/card/d95609a8-3e3e-426d-911e-95ca430ec11e")</f>
        <v>https://tessa.gazprom-neft.local/edo/card/d95609a8-3e3e-426d-911e-95ca430ec11e</v>
      </c>
    </row>
    <row r="1786" spans="1:45" hidden="1" x14ac:dyDescent="0.25">
      <c r="A1786" s="6" t="s">
        <v>44</v>
      </c>
      <c r="B1786" s="7" t="s">
        <v>245</v>
      </c>
      <c r="C1786" s="7" t="s">
        <v>67</v>
      </c>
      <c r="D1786" s="8">
        <v>44680</v>
      </c>
      <c r="E1786" s="8" t="s">
        <v>0</v>
      </c>
      <c r="F1786" s="16" t="s">
        <v>246</v>
      </c>
      <c r="G1786" s="7" t="s">
        <v>247</v>
      </c>
      <c r="H1786" s="7" t="s">
        <v>1822</v>
      </c>
      <c r="I1786" s="7" t="s">
        <v>0</v>
      </c>
      <c r="J1786" s="7" t="s">
        <v>4816</v>
      </c>
      <c r="K1786" s="7" t="s">
        <v>47</v>
      </c>
      <c r="L1786" s="7" t="s">
        <v>239</v>
      </c>
      <c r="M1786" s="7" t="s">
        <v>0</v>
      </c>
      <c r="N1786" s="7" t="s">
        <v>4814</v>
      </c>
      <c r="O1786" s="7" t="s">
        <v>0</v>
      </c>
      <c r="P1786" s="7" t="s">
        <v>4815</v>
      </c>
      <c r="Q1786" s="7" t="s">
        <v>4817</v>
      </c>
      <c r="R1786" s="7" t="s">
        <v>244</v>
      </c>
      <c r="S1786" s="7" t="s">
        <v>0</v>
      </c>
      <c r="T1786" s="7" t="s">
        <v>54</v>
      </c>
      <c r="U1786" s="7" t="s">
        <v>55</v>
      </c>
      <c r="V1786" s="7" t="s">
        <v>56</v>
      </c>
      <c r="W1786" s="7" t="s">
        <v>57</v>
      </c>
      <c r="X1786" s="7" t="s">
        <v>103</v>
      </c>
      <c r="Y1786" s="8">
        <v>44680</v>
      </c>
      <c r="Z1786" s="8">
        <v>44925</v>
      </c>
      <c r="AA1786" s="7" t="s">
        <v>59</v>
      </c>
      <c r="AB1786" s="7" t="s">
        <v>256</v>
      </c>
      <c r="AC1786" s="7" t="s">
        <v>79</v>
      </c>
      <c r="AD1786" s="7" t="s">
        <v>144</v>
      </c>
      <c r="AE1786" s="7" t="s">
        <v>82</v>
      </c>
      <c r="AF1786" s="7" t="s">
        <v>0</v>
      </c>
      <c r="AG1786" s="7" t="s">
        <v>0</v>
      </c>
      <c r="AH1786" s="9" t="s">
        <v>12216</v>
      </c>
      <c r="AI1786" s="9" t="s">
        <v>12217</v>
      </c>
      <c r="AJ1786" s="9" t="s">
        <v>12218</v>
      </c>
      <c r="AK1786" s="7" t="s">
        <v>61</v>
      </c>
      <c r="AL1786" s="7" t="s">
        <v>61</v>
      </c>
      <c r="AM1786" s="7" t="s">
        <v>0</v>
      </c>
      <c r="AN1786" s="7" t="s">
        <v>0</v>
      </c>
      <c r="AO1786" s="7" t="s">
        <v>0</v>
      </c>
      <c r="AP1786" s="7" t="s">
        <v>0</v>
      </c>
      <c r="AQ1786" s="7" t="s">
        <v>61</v>
      </c>
      <c r="AR1786" s="7" t="s">
        <v>0</v>
      </c>
      <c r="AS1786" s="10" t="str">
        <f>HYPERLINK("https://tessa.gazprom-neft.local/edo/card/e7a96857-4ef2-45e4-9a69-c7b2124d4b40", "https://tessa.gazprom-neft.local/edo/card/e7a96857-4ef2-45e4-9a69-c7b2124d4b40")</f>
        <v>https://tessa.gazprom-neft.local/edo/card/e7a96857-4ef2-45e4-9a69-c7b2124d4b40</v>
      </c>
    </row>
    <row r="1787" spans="1:45" hidden="1" x14ac:dyDescent="0.25">
      <c r="A1787" s="6" t="s">
        <v>44</v>
      </c>
      <c r="B1787" s="7" t="s">
        <v>245</v>
      </c>
      <c r="C1787" s="7" t="s">
        <v>67</v>
      </c>
      <c r="D1787" s="8">
        <v>44680</v>
      </c>
      <c r="E1787" s="8" t="s">
        <v>0</v>
      </c>
      <c r="F1787" s="16" t="s">
        <v>246</v>
      </c>
      <c r="G1787" s="7" t="s">
        <v>247</v>
      </c>
      <c r="H1787" s="7" t="s">
        <v>1808</v>
      </c>
      <c r="I1787" s="7" t="s">
        <v>0</v>
      </c>
      <c r="J1787" s="7" t="s">
        <v>5248</v>
      </c>
      <c r="K1787" s="7" t="s">
        <v>47</v>
      </c>
      <c r="L1787" s="7" t="s">
        <v>239</v>
      </c>
      <c r="M1787" s="7" t="s">
        <v>0</v>
      </c>
      <c r="N1787" s="7" t="s">
        <v>5246</v>
      </c>
      <c r="O1787" s="7" t="s">
        <v>0</v>
      </c>
      <c r="P1787" s="7" t="s">
        <v>5247</v>
      </c>
      <c r="Q1787" s="7" t="s">
        <v>5249</v>
      </c>
      <c r="R1787" s="7" t="s">
        <v>244</v>
      </c>
      <c r="S1787" s="7" t="s">
        <v>0</v>
      </c>
      <c r="T1787" s="7" t="s">
        <v>54</v>
      </c>
      <c r="U1787" s="7" t="s">
        <v>55</v>
      </c>
      <c r="V1787" s="7" t="s">
        <v>56</v>
      </c>
      <c r="W1787" s="7" t="s">
        <v>57</v>
      </c>
      <c r="X1787" s="7" t="s">
        <v>103</v>
      </c>
      <c r="Y1787" s="8">
        <v>44680</v>
      </c>
      <c r="Z1787" s="8">
        <v>44907</v>
      </c>
      <c r="AA1787" s="7" t="s">
        <v>59</v>
      </c>
      <c r="AB1787" s="7" t="s">
        <v>256</v>
      </c>
      <c r="AC1787" s="7" t="s">
        <v>79</v>
      </c>
      <c r="AD1787" s="7" t="s">
        <v>144</v>
      </c>
      <c r="AE1787" s="7" t="s">
        <v>82</v>
      </c>
      <c r="AF1787" s="7" t="s">
        <v>0</v>
      </c>
      <c r="AG1787" s="7" t="s">
        <v>0</v>
      </c>
      <c r="AH1787" s="9" t="s">
        <v>12409</v>
      </c>
      <c r="AI1787" s="9" t="s">
        <v>12410</v>
      </c>
      <c r="AJ1787" s="9" t="s">
        <v>12411</v>
      </c>
      <c r="AK1787" s="7" t="s">
        <v>61</v>
      </c>
      <c r="AL1787" s="7" t="s">
        <v>61</v>
      </c>
      <c r="AM1787" s="7" t="s">
        <v>0</v>
      </c>
      <c r="AN1787" s="7" t="s">
        <v>0</v>
      </c>
      <c r="AO1787" s="7" t="s">
        <v>0</v>
      </c>
      <c r="AP1787" s="7" t="s">
        <v>0</v>
      </c>
      <c r="AQ1787" s="7" t="s">
        <v>61</v>
      </c>
      <c r="AR1787" s="7" t="s">
        <v>0</v>
      </c>
      <c r="AS1787" s="10" t="str">
        <f>HYPERLINK("https://tessa.gazprom-neft.local/edo/card/5ca3573d-6c9f-481e-b5c6-561918aecb92", "https://tessa.gazprom-neft.local/edo/card/5ca3573d-6c9f-481e-b5c6-561918aecb92")</f>
        <v>https://tessa.gazprom-neft.local/edo/card/5ca3573d-6c9f-481e-b5c6-561918aecb92</v>
      </c>
    </row>
    <row r="1788" spans="1:45" hidden="1" x14ac:dyDescent="0.25">
      <c r="A1788" s="6" t="s">
        <v>44</v>
      </c>
      <c r="B1788" s="7" t="s">
        <v>0</v>
      </c>
      <c r="C1788" s="7" t="s">
        <v>67</v>
      </c>
      <c r="D1788" s="8">
        <v>44679</v>
      </c>
      <c r="E1788" s="8" t="s">
        <v>0</v>
      </c>
      <c r="F1788" s="16" t="s">
        <v>4369</v>
      </c>
      <c r="G1788" s="7" t="s">
        <v>0</v>
      </c>
      <c r="H1788" s="7" t="s">
        <v>0</v>
      </c>
      <c r="I1788" s="7" t="s">
        <v>4367</v>
      </c>
      <c r="J1788" s="7" t="s">
        <v>4367</v>
      </c>
      <c r="K1788" s="7" t="s">
        <v>47</v>
      </c>
      <c r="L1788" s="7" t="s">
        <v>96</v>
      </c>
      <c r="M1788" s="7" t="s">
        <v>0</v>
      </c>
      <c r="N1788" s="7" t="s">
        <v>4366</v>
      </c>
      <c r="O1788" s="7" t="s">
        <v>0</v>
      </c>
      <c r="P1788" s="7" t="s">
        <v>4368</v>
      </c>
      <c r="Q1788" s="7" t="s">
        <v>402</v>
      </c>
      <c r="R1788" s="7" t="s">
        <v>361</v>
      </c>
      <c r="S1788" s="7" t="s">
        <v>361</v>
      </c>
      <c r="T1788" s="7" t="s">
        <v>54</v>
      </c>
      <c r="U1788" s="7" t="s">
        <v>362</v>
      </c>
      <c r="V1788" s="7" t="s">
        <v>295</v>
      </c>
      <c r="W1788" s="7" t="s">
        <v>57</v>
      </c>
      <c r="X1788" s="7" t="s">
        <v>103</v>
      </c>
      <c r="Y1788" s="8">
        <v>44682</v>
      </c>
      <c r="Z1788" s="8">
        <v>45000</v>
      </c>
      <c r="AA1788" s="7" t="s">
        <v>296</v>
      </c>
      <c r="AB1788" s="7" t="s">
        <v>366</v>
      </c>
      <c r="AC1788" s="7" t="s">
        <v>278</v>
      </c>
      <c r="AD1788" s="7" t="s">
        <v>367</v>
      </c>
      <c r="AE1788" s="7" t="s">
        <v>82</v>
      </c>
      <c r="AF1788" s="7" t="s">
        <v>0</v>
      </c>
      <c r="AG1788" s="7" t="s">
        <v>0</v>
      </c>
      <c r="AH1788" s="9" t="s">
        <v>12039</v>
      </c>
      <c r="AI1788" s="9" t="s">
        <v>12040</v>
      </c>
      <c r="AJ1788" s="9" t="s">
        <v>12041</v>
      </c>
      <c r="AK1788" s="7" t="s">
        <v>61</v>
      </c>
      <c r="AL1788" s="7" t="s">
        <v>61</v>
      </c>
      <c r="AM1788" s="7" t="s">
        <v>0</v>
      </c>
      <c r="AN1788" s="7" t="s">
        <v>0</v>
      </c>
      <c r="AO1788" s="7" t="s">
        <v>0</v>
      </c>
      <c r="AP1788" s="7" t="s">
        <v>0</v>
      </c>
      <c r="AQ1788" s="7" t="s">
        <v>61</v>
      </c>
      <c r="AR1788" s="7" t="s">
        <v>0</v>
      </c>
      <c r="AS1788" s="10" t="str">
        <f>HYPERLINK("https://tessa.gazprom-neft.local/edo/card/35e2cd31-e59d-4218-9823-b64f1218a0ea", "https://tessa.gazprom-neft.local/edo/card/35e2cd31-e59d-4218-9823-b64f1218a0ea")</f>
        <v>https://tessa.gazprom-neft.local/edo/card/35e2cd31-e59d-4218-9823-b64f1218a0ea</v>
      </c>
    </row>
    <row r="1789" spans="1:45" hidden="1" x14ac:dyDescent="0.25">
      <c r="A1789" s="6" t="s">
        <v>44</v>
      </c>
      <c r="B1789" s="7" t="s">
        <v>2362</v>
      </c>
      <c r="C1789" s="7" t="s">
        <v>67</v>
      </c>
      <c r="D1789" s="8">
        <v>44679</v>
      </c>
      <c r="E1789" s="8" t="s">
        <v>0</v>
      </c>
      <c r="F1789" s="16" t="s">
        <v>2363</v>
      </c>
      <c r="G1789" s="7" t="s">
        <v>2364</v>
      </c>
      <c r="H1789" s="7" t="s">
        <v>4562</v>
      </c>
      <c r="I1789" s="7" t="s">
        <v>0</v>
      </c>
      <c r="J1789" s="7" t="s">
        <v>271</v>
      </c>
      <c r="K1789" s="7" t="s">
        <v>47</v>
      </c>
      <c r="L1789" s="7" t="s">
        <v>239</v>
      </c>
      <c r="M1789" s="7" t="s">
        <v>0</v>
      </c>
      <c r="N1789" s="7" t="s">
        <v>4561</v>
      </c>
      <c r="O1789" s="7" t="s">
        <v>0</v>
      </c>
      <c r="P1789" s="7" t="s">
        <v>4563</v>
      </c>
      <c r="Q1789" s="7" t="s">
        <v>4564</v>
      </c>
      <c r="R1789" s="7" t="s">
        <v>1199</v>
      </c>
      <c r="S1789" s="7" t="s">
        <v>1199</v>
      </c>
      <c r="T1789" s="7" t="s">
        <v>54</v>
      </c>
      <c r="U1789" s="7" t="s">
        <v>605</v>
      </c>
      <c r="V1789" s="7" t="s">
        <v>382</v>
      </c>
      <c r="W1789" s="7" t="s">
        <v>57</v>
      </c>
      <c r="X1789" s="7" t="s">
        <v>103</v>
      </c>
      <c r="Y1789" s="8">
        <v>44679</v>
      </c>
      <c r="Z1789" s="8">
        <v>44788</v>
      </c>
      <c r="AA1789" s="7" t="s">
        <v>383</v>
      </c>
      <c r="AB1789" s="7" t="s">
        <v>804</v>
      </c>
      <c r="AC1789" s="7" t="s">
        <v>79</v>
      </c>
      <c r="AD1789" s="7" t="s">
        <v>144</v>
      </c>
      <c r="AE1789" s="7" t="s">
        <v>118</v>
      </c>
      <c r="AF1789" s="7" t="s">
        <v>0</v>
      </c>
      <c r="AG1789" s="7" t="s">
        <v>0</v>
      </c>
      <c r="AH1789" s="9" t="s">
        <v>12117</v>
      </c>
      <c r="AI1789" s="9" t="s">
        <v>12117</v>
      </c>
      <c r="AJ1789" s="9">
        <v>0</v>
      </c>
      <c r="AK1789" s="7" t="s">
        <v>61</v>
      </c>
      <c r="AL1789" s="7" t="s">
        <v>61</v>
      </c>
      <c r="AM1789" s="7" t="s">
        <v>0</v>
      </c>
      <c r="AN1789" s="7" t="s">
        <v>0</v>
      </c>
      <c r="AO1789" s="7" t="s">
        <v>0</v>
      </c>
      <c r="AP1789" s="7" t="s">
        <v>0</v>
      </c>
      <c r="AQ1789" s="7" t="s">
        <v>61</v>
      </c>
      <c r="AR1789" s="7" t="s">
        <v>0</v>
      </c>
      <c r="AS1789" s="10" t="str">
        <f>HYPERLINK("https://tessa.gazprom-neft.local/edo/card/53db8b39-7961-44c5-96c8-1c4828bb14ae", "https://tessa.gazprom-neft.local/edo/card/53db8b39-7961-44c5-96c8-1c4828bb14ae")</f>
        <v>https://tessa.gazprom-neft.local/edo/card/53db8b39-7961-44c5-96c8-1c4828bb14ae</v>
      </c>
    </row>
    <row r="1790" spans="1:45" x14ac:dyDescent="0.25">
      <c r="A1790" s="6" t="s">
        <v>44</v>
      </c>
      <c r="B1790" s="7" t="s">
        <v>1084</v>
      </c>
      <c r="C1790" s="7" t="s">
        <v>67</v>
      </c>
      <c r="D1790" s="8">
        <v>44679</v>
      </c>
      <c r="E1790" s="8" t="s">
        <v>0</v>
      </c>
      <c r="F1790" s="16" t="s">
        <v>1085</v>
      </c>
      <c r="G1790" s="7" t="s">
        <v>1086</v>
      </c>
      <c r="H1790" s="7" t="s">
        <v>5651</v>
      </c>
      <c r="I1790" s="7" t="s">
        <v>0</v>
      </c>
      <c r="J1790" s="7" t="s">
        <v>156</v>
      </c>
      <c r="K1790" s="7" t="s">
        <v>85</v>
      </c>
      <c r="L1790" s="7" t="s">
        <v>48</v>
      </c>
      <c r="M1790" s="7" t="s">
        <v>5649</v>
      </c>
      <c r="N1790" s="7" t="s">
        <v>5650</v>
      </c>
      <c r="O1790" s="7" t="s">
        <v>0</v>
      </c>
      <c r="P1790" s="7" t="s">
        <v>5649</v>
      </c>
      <c r="Q1790" s="7" t="s">
        <v>5042</v>
      </c>
      <c r="R1790" s="7" t="s">
        <v>1083</v>
      </c>
      <c r="S1790" s="7" t="s">
        <v>1083</v>
      </c>
      <c r="T1790" s="7" t="s">
        <v>54</v>
      </c>
      <c r="U1790" s="7" t="s">
        <v>274</v>
      </c>
      <c r="V1790" s="7" t="s">
        <v>56</v>
      </c>
      <c r="W1790" s="7" t="s">
        <v>57</v>
      </c>
      <c r="X1790" s="7" t="s">
        <v>103</v>
      </c>
      <c r="Y1790" s="8">
        <v>44680</v>
      </c>
      <c r="Z1790" s="8">
        <v>44926</v>
      </c>
      <c r="AA1790" s="7" t="s">
        <v>0</v>
      </c>
      <c r="AB1790" s="7" t="s">
        <v>64</v>
      </c>
      <c r="AC1790" s="7" t="s">
        <v>65</v>
      </c>
      <c r="AD1790" s="7" t="s">
        <v>0</v>
      </c>
      <c r="AE1790" s="7" t="s">
        <v>0</v>
      </c>
      <c r="AF1790" s="7" t="s">
        <v>0</v>
      </c>
      <c r="AG1790" s="7" t="s">
        <v>0</v>
      </c>
      <c r="AH1790" s="9" t="s">
        <v>0</v>
      </c>
      <c r="AI1790" s="9" t="s">
        <v>0</v>
      </c>
      <c r="AJ1790" s="9" t="s">
        <v>0</v>
      </c>
      <c r="AK1790" s="7" t="s">
        <v>61</v>
      </c>
      <c r="AL1790" s="7" t="s">
        <v>61</v>
      </c>
      <c r="AM1790" s="7" t="s">
        <v>0</v>
      </c>
      <c r="AN1790" s="7" t="s">
        <v>0</v>
      </c>
      <c r="AO1790" s="7" t="s">
        <v>0</v>
      </c>
      <c r="AP1790" s="7" t="s">
        <v>0</v>
      </c>
      <c r="AQ1790" s="7" t="s">
        <v>61</v>
      </c>
      <c r="AR1790" s="7" t="s">
        <v>0</v>
      </c>
      <c r="AS1790" s="10" t="str">
        <f>HYPERLINK("https://tessa.gazprom-neft.local/edo/card/4a0441b1-638d-4109-a9f3-d8486de2a3dc", "https://tessa.gazprom-neft.local/edo/card/4a0441b1-638d-4109-a9f3-d8486de2a3dc")</f>
        <v>https://tessa.gazprom-neft.local/edo/card/4a0441b1-638d-4109-a9f3-d8486de2a3dc</v>
      </c>
    </row>
    <row r="1791" spans="1:45" hidden="1" x14ac:dyDescent="0.25">
      <c r="A1791" s="6" t="s">
        <v>44</v>
      </c>
      <c r="B1791" s="7" t="s">
        <v>436</v>
      </c>
      <c r="C1791" s="7" t="s">
        <v>46</v>
      </c>
      <c r="D1791" s="8">
        <v>44679</v>
      </c>
      <c r="E1791" s="8" t="s">
        <v>0</v>
      </c>
      <c r="F1791" s="16" t="s">
        <v>437</v>
      </c>
      <c r="G1791" s="7" t="s">
        <v>438</v>
      </c>
      <c r="H1791" s="7" t="s">
        <v>5755</v>
      </c>
      <c r="I1791" s="7" t="s">
        <v>0</v>
      </c>
      <c r="J1791" s="7" t="s">
        <v>156</v>
      </c>
      <c r="K1791" s="7" t="s">
        <v>47</v>
      </c>
      <c r="L1791" s="7" t="s">
        <v>239</v>
      </c>
      <c r="M1791" s="7" t="s">
        <v>0</v>
      </c>
      <c r="N1791" s="7" t="s">
        <v>5754</v>
      </c>
      <c r="O1791" s="7" t="s">
        <v>0</v>
      </c>
      <c r="P1791" s="7" t="s">
        <v>5756</v>
      </c>
      <c r="Q1791" s="7" t="s">
        <v>5757</v>
      </c>
      <c r="R1791" s="7" t="s">
        <v>1083</v>
      </c>
      <c r="S1791" s="7" t="s">
        <v>5758</v>
      </c>
      <c r="T1791" s="7" t="s">
        <v>54</v>
      </c>
      <c r="U1791" s="7" t="s">
        <v>274</v>
      </c>
      <c r="V1791" s="7" t="s">
        <v>56</v>
      </c>
      <c r="W1791" s="7" t="s">
        <v>57</v>
      </c>
      <c r="X1791" s="7" t="s">
        <v>103</v>
      </c>
      <c r="Y1791" s="8">
        <v>44669</v>
      </c>
      <c r="Z1791" s="8">
        <v>44716</v>
      </c>
      <c r="AA1791" s="7" t="s">
        <v>0</v>
      </c>
      <c r="AB1791" s="7" t="s">
        <v>64</v>
      </c>
      <c r="AC1791" s="7" t="s">
        <v>278</v>
      </c>
      <c r="AD1791" s="7" t="s">
        <v>80</v>
      </c>
      <c r="AE1791" s="7" t="s">
        <v>82</v>
      </c>
      <c r="AF1791" s="7" t="s">
        <v>0</v>
      </c>
      <c r="AG1791" s="7" t="s">
        <v>0</v>
      </c>
      <c r="AH1791" s="9" t="s">
        <v>12608</v>
      </c>
      <c r="AI1791" s="9" t="s">
        <v>12609</v>
      </c>
      <c r="AJ1791" s="9" t="s">
        <v>12610</v>
      </c>
      <c r="AK1791" s="7" t="s">
        <v>61</v>
      </c>
      <c r="AL1791" s="7" t="s">
        <v>61</v>
      </c>
      <c r="AM1791" s="7" t="s">
        <v>0</v>
      </c>
      <c r="AN1791" s="7" t="s">
        <v>0</v>
      </c>
      <c r="AO1791" s="7" t="s">
        <v>0</v>
      </c>
      <c r="AP1791" s="7" t="s">
        <v>0</v>
      </c>
      <c r="AQ1791" s="7" t="s">
        <v>61</v>
      </c>
      <c r="AR1791" s="7" t="s">
        <v>0</v>
      </c>
      <c r="AS1791" s="10" t="str">
        <f>HYPERLINK("https://tessa.gazprom-neft.local/edo/card/b2926d8c-bf79-4cac-a281-a556846d329d", "https://tessa.gazprom-neft.local/edo/card/b2926d8c-bf79-4cac-a281-a556846d329d")</f>
        <v>https://tessa.gazprom-neft.local/edo/card/b2926d8c-bf79-4cac-a281-a556846d329d</v>
      </c>
    </row>
    <row r="1792" spans="1:45" x14ac:dyDescent="0.25">
      <c r="A1792" s="6" t="s">
        <v>44</v>
      </c>
      <c r="B1792" s="7" t="s">
        <v>1084</v>
      </c>
      <c r="C1792" s="7" t="s">
        <v>67</v>
      </c>
      <c r="D1792" s="8">
        <v>44679</v>
      </c>
      <c r="E1792" s="8" t="s">
        <v>0</v>
      </c>
      <c r="F1792" s="16" t="s">
        <v>1085</v>
      </c>
      <c r="G1792" s="7" t="s">
        <v>1086</v>
      </c>
      <c r="H1792" s="7" t="s">
        <v>5768</v>
      </c>
      <c r="I1792" s="7" t="s">
        <v>0</v>
      </c>
      <c r="J1792" s="7" t="s">
        <v>70</v>
      </c>
      <c r="K1792" s="7" t="s">
        <v>85</v>
      </c>
      <c r="L1792" s="7" t="s">
        <v>48</v>
      </c>
      <c r="M1792" s="7" t="s">
        <v>5649</v>
      </c>
      <c r="N1792" s="7" t="s">
        <v>5767</v>
      </c>
      <c r="O1792" s="7" t="s">
        <v>0</v>
      </c>
      <c r="P1792" s="7" t="s">
        <v>5649</v>
      </c>
      <c r="Q1792" s="7" t="s">
        <v>780</v>
      </c>
      <c r="R1792" s="7" t="s">
        <v>540</v>
      </c>
      <c r="S1792" s="7" t="s">
        <v>0</v>
      </c>
      <c r="T1792" s="7" t="s">
        <v>54</v>
      </c>
      <c r="U1792" s="7" t="s">
        <v>541</v>
      </c>
      <c r="V1792" s="7" t="s">
        <v>56</v>
      </c>
      <c r="W1792" s="7" t="s">
        <v>57</v>
      </c>
      <c r="X1792" s="7" t="s">
        <v>223</v>
      </c>
      <c r="Y1792" s="8">
        <v>44679</v>
      </c>
      <c r="Z1792" s="8" t="s">
        <v>0</v>
      </c>
      <c r="AA1792" s="7" t="s">
        <v>0</v>
      </c>
      <c r="AB1792" s="7" t="s">
        <v>366</v>
      </c>
      <c r="AC1792" s="7" t="s">
        <v>65</v>
      </c>
      <c r="AD1792" s="7" t="s">
        <v>0</v>
      </c>
      <c r="AE1792" s="7" t="s">
        <v>0</v>
      </c>
      <c r="AF1792" s="7" t="s">
        <v>0</v>
      </c>
      <c r="AG1792" s="7" t="s">
        <v>0</v>
      </c>
      <c r="AH1792" s="9" t="s">
        <v>0</v>
      </c>
      <c r="AI1792" s="9" t="s">
        <v>0</v>
      </c>
      <c r="AJ1792" s="9" t="s">
        <v>0</v>
      </c>
      <c r="AK1792" s="7" t="s">
        <v>61</v>
      </c>
      <c r="AL1792" s="7" t="s">
        <v>61</v>
      </c>
      <c r="AM1792" s="7" t="s">
        <v>0</v>
      </c>
      <c r="AN1792" s="7" t="s">
        <v>0</v>
      </c>
      <c r="AO1792" s="7" t="s">
        <v>0</v>
      </c>
      <c r="AP1792" s="7" t="s">
        <v>0</v>
      </c>
      <c r="AQ1792" s="7" t="s">
        <v>61</v>
      </c>
      <c r="AR1792" s="7" t="s">
        <v>0</v>
      </c>
      <c r="AS1792" s="10" t="str">
        <f>HYPERLINK("https://tessa.gazprom-neft.local/edo/card/aef934c8-6781-41f2-928c-946a7eafde2c", "https://tessa.gazprom-neft.local/edo/card/aef934c8-6781-41f2-928c-946a7eafde2c")</f>
        <v>https://tessa.gazprom-neft.local/edo/card/aef934c8-6781-41f2-928c-946a7eafde2c</v>
      </c>
    </row>
    <row r="1793" spans="1:45" hidden="1" x14ac:dyDescent="0.25">
      <c r="A1793" s="6" t="s">
        <v>44</v>
      </c>
      <c r="B1793" s="7" t="s">
        <v>2091</v>
      </c>
      <c r="C1793" s="7" t="s">
        <v>67</v>
      </c>
      <c r="D1793" s="8">
        <v>44678</v>
      </c>
      <c r="E1793" s="8" t="s">
        <v>0</v>
      </c>
      <c r="F1793" s="16" t="s">
        <v>2092</v>
      </c>
      <c r="G1793" s="7" t="s">
        <v>2093</v>
      </c>
      <c r="H1793" s="7" t="s">
        <v>0</v>
      </c>
      <c r="I1793" s="7" t="s">
        <v>4637</v>
      </c>
      <c r="J1793" s="7" t="s">
        <v>4637</v>
      </c>
      <c r="K1793" s="7" t="s">
        <v>47</v>
      </c>
      <c r="L1793" s="7" t="s">
        <v>86</v>
      </c>
      <c r="M1793" s="7" t="s">
        <v>0</v>
      </c>
      <c r="N1793" s="7" t="s">
        <v>4636</v>
      </c>
      <c r="O1793" s="7" t="s">
        <v>0</v>
      </c>
      <c r="P1793" s="7" t="s">
        <v>289</v>
      </c>
      <c r="Q1793" s="7" t="s">
        <v>372</v>
      </c>
      <c r="R1793" s="7" t="s">
        <v>1610</v>
      </c>
      <c r="S1793" s="7" t="s">
        <v>1610</v>
      </c>
      <c r="T1793" s="7" t="s">
        <v>54</v>
      </c>
      <c r="U1793" s="7" t="s">
        <v>101</v>
      </c>
      <c r="V1793" s="7" t="s">
        <v>137</v>
      </c>
      <c r="W1793" s="7" t="s">
        <v>57</v>
      </c>
      <c r="X1793" s="7" t="s">
        <v>103</v>
      </c>
      <c r="Y1793" s="8">
        <v>44678</v>
      </c>
      <c r="Z1793" s="8">
        <v>44926</v>
      </c>
      <c r="AA1793" s="7" t="s">
        <v>0</v>
      </c>
      <c r="AB1793" s="7" t="s">
        <v>300</v>
      </c>
      <c r="AC1793" s="7" t="s">
        <v>65</v>
      </c>
      <c r="AD1793" s="7" t="s">
        <v>0</v>
      </c>
      <c r="AE1793" s="7" t="s">
        <v>0</v>
      </c>
      <c r="AF1793" s="7" t="s">
        <v>0</v>
      </c>
      <c r="AG1793" s="7" t="s">
        <v>0</v>
      </c>
      <c r="AH1793" s="9" t="s">
        <v>0</v>
      </c>
      <c r="AI1793" s="9" t="s">
        <v>0</v>
      </c>
      <c r="AJ1793" s="9" t="s">
        <v>0</v>
      </c>
      <c r="AK1793" s="7" t="s">
        <v>61</v>
      </c>
      <c r="AL1793" s="7" t="s">
        <v>61</v>
      </c>
      <c r="AM1793" s="7" t="s">
        <v>0</v>
      </c>
      <c r="AN1793" s="7" t="s">
        <v>0</v>
      </c>
      <c r="AO1793" s="7" t="s">
        <v>0</v>
      </c>
      <c r="AP1793" s="7" t="s">
        <v>0</v>
      </c>
      <c r="AQ1793" s="7" t="s">
        <v>61</v>
      </c>
      <c r="AR1793" s="7" t="s">
        <v>0</v>
      </c>
      <c r="AS1793" s="10" t="str">
        <f>HYPERLINK("https://tessa.gazprom-neft.local/edo/card/4c4f3bda-c6f4-4f38-987f-10f2bbce3187", "https://tessa.gazprom-neft.local/edo/card/4c4f3bda-c6f4-4f38-987f-10f2bbce3187")</f>
        <v>https://tessa.gazprom-neft.local/edo/card/4c4f3bda-c6f4-4f38-987f-10f2bbce3187</v>
      </c>
    </row>
    <row r="1794" spans="1:45" hidden="1" x14ac:dyDescent="0.25">
      <c r="A1794" s="6" t="s">
        <v>44</v>
      </c>
      <c r="B1794" s="7" t="s">
        <v>1684</v>
      </c>
      <c r="C1794" s="7" t="s">
        <v>67</v>
      </c>
      <c r="D1794" s="8">
        <v>44677</v>
      </c>
      <c r="E1794" s="8" t="s">
        <v>0</v>
      </c>
      <c r="F1794" s="16" t="s">
        <v>1685</v>
      </c>
      <c r="G1794" s="7" t="s">
        <v>1686</v>
      </c>
      <c r="H1794" s="7" t="s">
        <v>0</v>
      </c>
      <c r="I1794" s="7" t="s">
        <v>3773</v>
      </c>
      <c r="J1794" s="7" t="s">
        <v>3773</v>
      </c>
      <c r="K1794" s="7" t="s">
        <v>47</v>
      </c>
      <c r="L1794" s="7" t="s">
        <v>96</v>
      </c>
      <c r="M1794" s="7" t="s">
        <v>0</v>
      </c>
      <c r="N1794" s="7" t="s">
        <v>3772</v>
      </c>
      <c r="O1794" s="7" t="s">
        <v>0</v>
      </c>
      <c r="P1794" s="7" t="s">
        <v>3774</v>
      </c>
      <c r="Q1794" s="7" t="s">
        <v>3775</v>
      </c>
      <c r="R1794" s="7" t="s">
        <v>1711</v>
      </c>
      <c r="S1794" s="7" t="s">
        <v>1711</v>
      </c>
      <c r="T1794" s="7" t="s">
        <v>54</v>
      </c>
      <c r="U1794" s="7" t="s">
        <v>605</v>
      </c>
      <c r="V1794" s="7" t="s">
        <v>382</v>
      </c>
      <c r="W1794" s="7" t="s">
        <v>57</v>
      </c>
      <c r="X1794" s="7" t="s">
        <v>103</v>
      </c>
      <c r="Y1794" s="8">
        <v>44690</v>
      </c>
      <c r="Z1794" s="8">
        <v>45260</v>
      </c>
      <c r="AA1794" s="7" t="s">
        <v>383</v>
      </c>
      <c r="AB1794" s="7" t="s">
        <v>366</v>
      </c>
      <c r="AC1794" s="7" t="s">
        <v>278</v>
      </c>
      <c r="AD1794" s="7" t="s">
        <v>367</v>
      </c>
      <c r="AE1794" s="7" t="s">
        <v>82</v>
      </c>
      <c r="AF1794" s="7" t="s">
        <v>0</v>
      </c>
      <c r="AG1794" s="7" t="s">
        <v>0</v>
      </c>
      <c r="AH1794" s="9" t="s">
        <v>11813</v>
      </c>
      <c r="AI1794" s="9" t="s">
        <v>11814</v>
      </c>
      <c r="AJ1794" s="9" t="s">
        <v>11815</v>
      </c>
      <c r="AK1794" s="7" t="s">
        <v>61</v>
      </c>
      <c r="AL1794" s="7" t="s">
        <v>61</v>
      </c>
      <c r="AM1794" s="7" t="s">
        <v>0</v>
      </c>
      <c r="AN1794" s="7" t="s">
        <v>0</v>
      </c>
      <c r="AO1794" s="7" t="s">
        <v>0</v>
      </c>
      <c r="AP1794" s="7" t="s">
        <v>0</v>
      </c>
      <c r="AQ1794" s="7" t="s">
        <v>61</v>
      </c>
      <c r="AR1794" s="7" t="s">
        <v>0</v>
      </c>
      <c r="AS1794" s="10" t="str">
        <f>HYPERLINK("https://tessa.gazprom-neft.local/edo/card/6333ff5e-b7ce-4db5-bf32-39d2dccea0c4", "https://tessa.gazprom-neft.local/edo/card/6333ff5e-b7ce-4db5-bf32-39d2dccea0c4")</f>
        <v>https://tessa.gazprom-neft.local/edo/card/6333ff5e-b7ce-4db5-bf32-39d2dccea0c4</v>
      </c>
    </row>
    <row r="1795" spans="1:45" x14ac:dyDescent="0.25">
      <c r="A1795" s="6" t="s">
        <v>44</v>
      </c>
      <c r="B1795" s="7" t="s">
        <v>753</v>
      </c>
      <c r="C1795" s="7" t="s">
        <v>67</v>
      </c>
      <c r="D1795" s="8">
        <v>44677</v>
      </c>
      <c r="E1795" s="8" t="s">
        <v>0</v>
      </c>
      <c r="F1795" s="16" t="s">
        <v>754</v>
      </c>
      <c r="G1795" s="7" t="s">
        <v>755</v>
      </c>
      <c r="H1795" s="7" t="s">
        <v>748</v>
      </c>
      <c r="I1795" s="7" t="s">
        <v>0</v>
      </c>
      <c r="J1795" s="7" t="s">
        <v>355</v>
      </c>
      <c r="K1795" s="7" t="s">
        <v>47</v>
      </c>
      <c r="L1795" s="7" t="s">
        <v>48</v>
      </c>
      <c r="M1795" s="7" t="s">
        <v>0</v>
      </c>
      <c r="N1795" s="7" t="s">
        <v>4248</v>
      </c>
      <c r="O1795" s="7" t="s">
        <v>0</v>
      </c>
      <c r="P1795" s="7" t="s">
        <v>4249</v>
      </c>
      <c r="Q1795" s="7" t="s">
        <v>3523</v>
      </c>
      <c r="R1795" s="7" t="s">
        <v>1575</v>
      </c>
      <c r="S1795" s="7" t="s">
        <v>0</v>
      </c>
      <c r="T1795" s="7" t="s">
        <v>54</v>
      </c>
      <c r="U1795" s="7" t="s">
        <v>222</v>
      </c>
      <c r="V1795" s="7" t="s">
        <v>382</v>
      </c>
      <c r="W1795" s="7" t="s">
        <v>74</v>
      </c>
      <c r="X1795" s="7" t="s">
        <v>58</v>
      </c>
      <c r="Y1795" s="8">
        <v>44669</v>
      </c>
      <c r="Z1795" s="8" t="s">
        <v>0</v>
      </c>
      <c r="AA1795" s="7" t="s">
        <v>383</v>
      </c>
      <c r="AB1795" s="7" t="s">
        <v>756</v>
      </c>
      <c r="AC1795" s="7" t="s">
        <v>65</v>
      </c>
      <c r="AD1795" s="7" t="s">
        <v>514</v>
      </c>
      <c r="AE1795" s="7" t="s">
        <v>0</v>
      </c>
      <c r="AF1795" s="7" t="s">
        <v>0</v>
      </c>
      <c r="AG1795" s="7" t="s">
        <v>0</v>
      </c>
      <c r="AH1795" s="9" t="s">
        <v>0</v>
      </c>
      <c r="AI1795" s="9" t="s">
        <v>0</v>
      </c>
      <c r="AJ1795" s="9" t="s">
        <v>0</v>
      </c>
      <c r="AK1795" s="7" t="s">
        <v>61</v>
      </c>
      <c r="AL1795" s="7" t="s">
        <v>61</v>
      </c>
      <c r="AM1795" s="7" t="s">
        <v>0</v>
      </c>
      <c r="AN1795" s="7" t="s">
        <v>0</v>
      </c>
      <c r="AO1795" s="7" t="s">
        <v>0</v>
      </c>
      <c r="AP1795" s="7" t="s">
        <v>0</v>
      </c>
      <c r="AQ1795" s="7" t="s">
        <v>61</v>
      </c>
      <c r="AR1795" s="7" t="s">
        <v>0</v>
      </c>
      <c r="AS1795" s="10" t="str">
        <f>HYPERLINK("https://tessa.gazprom-neft.local/edo/card/5dbed497-22c5-49e6-95b4-83ef6f4f6139", "https://tessa.gazprom-neft.local/edo/card/5dbed497-22c5-49e6-95b4-83ef6f4f6139")</f>
        <v>https://tessa.gazprom-neft.local/edo/card/5dbed497-22c5-49e6-95b4-83ef6f4f6139</v>
      </c>
    </row>
    <row r="1796" spans="1:45" x14ac:dyDescent="0.25">
      <c r="A1796" s="6" t="s">
        <v>44</v>
      </c>
      <c r="B1796" s="7" t="s">
        <v>3089</v>
      </c>
      <c r="C1796" s="7" t="s">
        <v>67</v>
      </c>
      <c r="D1796" s="8">
        <v>44677</v>
      </c>
      <c r="E1796" s="8" t="s">
        <v>0</v>
      </c>
      <c r="F1796" s="16" t="s">
        <v>3090</v>
      </c>
      <c r="G1796" s="7" t="s">
        <v>3091</v>
      </c>
      <c r="H1796" s="7" t="s">
        <v>4572</v>
      </c>
      <c r="I1796" s="7" t="s">
        <v>0</v>
      </c>
      <c r="J1796" s="7" t="s">
        <v>156</v>
      </c>
      <c r="K1796" s="7" t="s">
        <v>85</v>
      </c>
      <c r="L1796" s="7" t="s">
        <v>48</v>
      </c>
      <c r="M1796" s="7" t="s">
        <v>3833</v>
      </c>
      <c r="N1796" s="7" t="s">
        <v>4571</v>
      </c>
      <c r="O1796" s="7" t="s">
        <v>0</v>
      </c>
      <c r="P1796" s="7" t="s">
        <v>3833</v>
      </c>
      <c r="Q1796" s="7" t="s">
        <v>4573</v>
      </c>
      <c r="R1796" s="7" t="s">
        <v>282</v>
      </c>
      <c r="S1796" s="7" t="s">
        <v>0</v>
      </c>
      <c r="T1796" s="7" t="s">
        <v>54</v>
      </c>
      <c r="U1796" s="7" t="s">
        <v>188</v>
      </c>
      <c r="V1796" s="7" t="s">
        <v>295</v>
      </c>
      <c r="W1796" s="7" t="s">
        <v>57</v>
      </c>
      <c r="X1796" s="7" t="s">
        <v>103</v>
      </c>
      <c r="Y1796" s="8">
        <v>44677</v>
      </c>
      <c r="Z1796" s="8">
        <v>46022</v>
      </c>
      <c r="AA1796" s="7" t="s">
        <v>0</v>
      </c>
      <c r="AB1796" s="7" t="s">
        <v>64</v>
      </c>
      <c r="AC1796" s="7" t="s">
        <v>65</v>
      </c>
      <c r="AD1796" s="7" t="s">
        <v>0</v>
      </c>
      <c r="AE1796" s="7" t="s">
        <v>0</v>
      </c>
      <c r="AF1796" s="7" t="s">
        <v>0</v>
      </c>
      <c r="AG1796" s="7" t="s">
        <v>0</v>
      </c>
      <c r="AH1796" s="9" t="s">
        <v>0</v>
      </c>
      <c r="AI1796" s="9" t="s">
        <v>0</v>
      </c>
      <c r="AJ1796" s="9" t="s">
        <v>0</v>
      </c>
      <c r="AK1796" s="7" t="s">
        <v>61</v>
      </c>
      <c r="AL1796" s="7" t="s">
        <v>61</v>
      </c>
      <c r="AM1796" s="7" t="s">
        <v>0</v>
      </c>
      <c r="AN1796" s="7" t="s">
        <v>0</v>
      </c>
      <c r="AO1796" s="7" t="s">
        <v>0</v>
      </c>
      <c r="AP1796" s="7" t="s">
        <v>0</v>
      </c>
      <c r="AQ1796" s="7" t="s">
        <v>61</v>
      </c>
      <c r="AR1796" s="7" t="s">
        <v>0</v>
      </c>
      <c r="AS1796" s="10" t="str">
        <f>HYPERLINK("https://tessa.gazprom-neft.local/edo/card/08934d4c-3ae0-4037-ba75-117ccb02e9f8", "https://tessa.gazprom-neft.local/edo/card/08934d4c-3ae0-4037-ba75-117ccb02e9f8")</f>
        <v>https://tessa.gazprom-neft.local/edo/card/08934d4c-3ae0-4037-ba75-117ccb02e9f8</v>
      </c>
    </row>
    <row r="1797" spans="1:45" x14ac:dyDescent="0.25">
      <c r="A1797" s="6" t="s">
        <v>44</v>
      </c>
      <c r="B1797" s="7" t="s">
        <v>2350</v>
      </c>
      <c r="C1797" s="7" t="s">
        <v>67</v>
      </c>
      <c r="D1797" s="8">
        <v>44677</v>
      </c>
      <c r="E1797" s="8" t="s">
        <v>0</v>
      </c>
      <c r="F1797" s="16" t="s">
        <v>2351</v>
      </c>
      <c r="G1797" s="7" t="s">
        <v>2352</v>
      </c>
      <c r="H1797" s="7" t="s">
        <v>2370</v>
      </c>
      <c r="I1797" s="7" t="s">
        <v>0</v>
      </c>
      <c r="J1797" s="7" t="s">
        <v>271</v>
      </c>
      <c r="K1797" s="7" t="s">
        <v>85</v>
      </c>
      <c r="L1797" s="7" t="s">
        <v>48</v>
      </c>
      <c r="M1797" s="7" t="s">
        <v>3833</v>
      </c>
      <c r="N1797" s="7" t="s">
        <v>4616</v>
      </c>
      <c r="O1797" s="7" t="s">
        <v>0</v>
      </c>
      <c r="P1797" s="7" t="s">
        <v>3833</v>
      </c>
      <c r="Q1797" s="7" t="s">
        <v>4617</v>
      </c>
      <c r="R1797" s="7" t="s">
        <v>282</v>
      </c>
      <c r="S1797" s="7" t="s">
        <v>0</v>
      </c>
      <c r="T1797" s="7" t="s">
        <v>54</v>
      </c>
      <c r="U1797" s="7" t="s">
        <v>362</v>
      </c>
      <c r="V1797" s="7" t="s">
        <v>295</v>
      </c>
      <c r="W1797" s="7" t="s">
        <v>57</v>
      </c>
      <c r="X1797" s="7" t="s">
        <v>103</v>
      </c>
      <c r="Y1797" s="8">
        <v>44677</v>
      </c>
      <c r="Z1797" s="8">
        <v>45657</v>
      </c>
      <c r="AA1797" s="7" t="s">
        <v>0</v>
      </c>
      <c r="AB1797" s="7" t="s">
        <v>1748</v>
      </c>
      <c r="AC1797" s="7" t="s">
        <v>65</v>
      </c>
      <c r="AD1797" s="7" t="s">
        <v>144</v>
      </c>
      <c r="AE1797" s="7" t="s">
        <v>0</v>
      </c>
      <c r="AF1797" s="7" t="s">
        <v>0</v>
      </c>
      <c r="AG1797" s="7" t="s">
        <v>0</v>
      </c>
      <c r="AH1797" s="9" t="s">
        <v>0</v>
      </c>
      <c r="AI1797" s="9" t="s">
        <v>0</v>
      </c>
      <c r="AJ1797" s="9" t="s">
        <v>0</v>
      </c>
      <c r="AK1797" s="7" t="s">
        <v>61</v>
      </c>
      <c r="AL1797" s="7" t="s">
        <v>61</v>
      </c>
      <c r="AM1797" s="7" t="s">
        <v>0</v>
      </c>
      <c r="AN1797" s="7" t="s">
        <v>0</v>
      </c>
      <c r="AO1797" s="7" t="s">
        <v>0</v>
      </c>
      <c r="AP1797" s="7" t="s">
        <v>0</v>
      </c>
      <c r="AQ1797" s="7" t="s">
        <v>61</v>
      </c>
      <c r="AR1797" s="7" t="s">
        <v>0</v>
      </c>
      <c r="AS1797" s="10" t="str">
        <f>HYPERLINK("https://tessa.gazprom-neft.local/edo/card/7162277b-c422-4e97-8795-c55735a23044", "https://tessa.gazprom-neft.local/edo/card/7162277b-c422-4e97-8795-c55735a23044")</f>
        <v>https://tessa.gazprom-neft.local/edo/card/7162277b-c422-4e97-8795-c55735a23044</v>
      </c>
    </row>
    <row r="1798" spans="1:45" x14ac:dyDescent="0.25">
      <c r="A1798" s="6" t="s">
        <v>44</v>
      </c>
      <c r="B1798" s="7" t="s">
        <v>1981</v>
      </c>
      <c r="C1798" s="7" t="s">
        <v>67</v>
      </c>
      <c r="D1798" s="8">
        <v>44677</v>
      </c>
      <c r="E1798" s="8" t="s">
        <v>0</v>
      </c>
      <c r="F1798" s="16" t="s">
        <v>1982</v>
      </c>
      <c r="G1798" s="7" t="s">
        <v>1983</v>
      </c>
      <c r="H1798" s="7" t="s">
        <v>1979</v>
      </c>
      <c r="I1798" s="7" t="s">
        <v>0</v>
      </c>
      <c r="J1798" s="7" t="s">
        <v>51</v>
      </c>
      <c r="K1798" s="7" t="s">
        <v>85</v>
      </c>
      <c r="L1798" s="7" t="s">
        <v>48</v>
      </c>
      <c r="M1798" s="7" t="s">
        <v>3833</v>
      </c>
      <c r="N1798" s="7" t="s">
        <v>4840</v>
      </c>
      <c r="O1798" s="7" t="s">
        <v>0</v>
      </c>
      <c r="P1798" s="7" t="s">
        <v>3833</v>
      </c>
      <c r="Q1798" s="7" t="s">
        <v>4435</v>
      </c>
      <c r="R1798" s="7" t="s">
        <v>198</v>
      </c>
      <c r="S1798" s="7" t="s">
        <v>198</v>
      </c>
      <c r="T1798" s="7" t="s">
        <v>54</v>
      </c>
      <c r="U1798" s="7" t="s">
        <v>199</v>
      </c>
      <c r="V1798" s="7" t="s">
        <v>211</v>
      </c>
      <c r="W1798" s="7" t="s">
        <v>57</v>
      </c>
      <c r="X1798" s="7" t="s">
        <v>103</v>
      </c>
      <c r="Y1798" s="8">
        <v>44677</v>
      </c>
      <c r="Z1798" s="8">
        <v>44926</v>
      </c>
      <c r="AA1798" s="7" t="s">
        <v>212</v>
      </c>
      <c r="AB1798" s="7" t="s">
        <v>1984</v>
      </c>
      <c r="AC1798" s="7" t="s">
        <v>65</v>
      </c>
      <c r="AD1798" s="7" t="s">
        <v>80</v>
      </c>
      <c r="AE1798" s="7" t="s">
        <v>0</v>
      </c>
      <c r="AF1798" s="7" t="s">
        <v>0</v>
      </c>
      <c r="AG1798" s="7" t="s">
        <v>0</v>
      </c>
      <c r="AH1798" s="9" t="s">
        <v>0</v>
      </c>
      <c r="AI1798" s="9" t="s">
        <v>0</v>
      </c>
      <c r="AJ1798" s="9" t="s">
        <v>0</v>
      </c>
      <c r="AK1798" s="7" t="s">
        <v>61</v>
      </c>
      <c r="AL1798" s="7" t="s">
        <v>61</v>
      </c>
      <c r="AM1798" s="7" t="s">
        <v>0</v>
      </c>
      <c r="AN1798" s="7" t="s">
        <v>0</v>
      </c>
      <c r="AO1798" s="7" t="s">
        <v>0</v>
      </c>
      <c r="AP1798" s="7" t="s">
        <v>0</v>
      </c>
      <c r="AQ1798" s="7" t="s">
        <v>61</v>
      </c>
      <c r="AR1798" s="7" t="s">
        <v>0</v>
      </c>
      <c r="AS1798" s="10" t="str">
        <f>HYPERLINK("https://tessa.gazprom-neft.local/edo/card/5c5c109b-6336-47eb-82d7-a42c0f978902", "https://tessa.gazprom-neft.local/edo/card/5c5c109b-6336-47eb-82d7-a42c0f978902")</f>
        <v>https://tessa.gazprom-neft.local/edo/card/5c5c109b-6336-47eb-82d7-a42c0f978902</v>
      </c>
    </row>
    <row r="1799" spans="1:45" x14ac:dyDescent="0.25">
      <c r="A1799" s="6" t="s">
        <v>44</v>
      </c>
      <c r="B1799" s="7" t="s">
        <v>265</v>
      </c>
      <c r="C1799" s="7" t="s">
        <v>67</v>
      </c>
      <c r="D1799" s="8">
        <v>44677</v>
      </c>
      <c r="E1799" s="8" t="s">
        <v>0</v>
      </c>
      <c r="F1799" s="16" t="s">
        <v>266</v>
      </c>
      <c r="G1799" s="7" t="s">
        <v>267</v>
      </c>
      <c r="H1799" s="7" t="s">
        <v>261</v>
      </c>
      <c r="I1799" s="7" t="s">
        <v>0</v>
      </c>
      <c r="J1799" s="7" t="s">
        <v>936</v>
      </c>
      <c r="K1799" s="7" t="s">
        <v>85</v>
      </c>
      <c r="L1799" s="7" t="s">
        <v>48</v>
      </c>
      <c r="M1799" s="7" t="s">
        <v>3833</v>
      </c>
      <c r="N1799" s="7" t="s">
        <v>4845</v>
      </c>
      <c r="O1799" s="7" t="s">
        <v>0</v>
      </c>
      <c r="P1799" s="7" t="s">
        <v>3833</v>
      </c>
      <c r="Q1799" s="7" t="s">
        <v>4435</v>
      </c>
      <c r="R1799" s="7" t="s">
        <v>198</v>
      </c>
      <c r="S1799" s="7" t="s">
        <v>198</v>
      </c>
      <c r="T1799" s="7" t="s">
        <v>54</v>
      </c>
      <c r="U1799" s="7" t="s">
        <v>199</v>
      </c>
      <c r="V1799" s="7" t="s">
        <v>211</v>
      </c>
      <c r="W1799" s="7" t="s">
        <v>57</v>
      </c>
      <c r="X1799" s="7" t="s">
        <v>103</v>
      </c>
      <c r="Y1799" s="8">
        <v>43581</v>
      </c>
      <c r="Z1799" s="8">
        <v>45657</v>
      </c>
      <c r="AA1799" s="7" t="s">
        <v>212</v>
      </c>
      <c r="AB1799" s="7" t="s">
        <v>2014</v>
      </c>
      <c r="AC1799" s="7" t="s">
        <v>65</v>
      </c>
      <c r="AD1799" s="7" t="s">
        <v>80</v>
      </c>
      <c r="AE1799" s="7" t="s">
        <v>0</v>
      </c>
      <c r="AF1799" s="7" t="s">
        <v>0</v>
      </c>
      <c r="AG1799" s="7" t="s">
        <v>0</v>
      </c>
      <c r="AH1799" s="9" t="s">
        <v>0</v>
      </c>
      <c r="AI1799" s="9" t="s">
        <v>0</v>
      </c>
      <c r="AJ1799" s="9" t="s">
        <v>0</v>
      </c>
      <c r="AK1799" s="7" t="s">
        <v>61</v>
      </c>
      <c r="AL1799" s="7" t="s">
        <v>61</v>
      </c>
      <c r="AM1799" s="7" t="s">
        <v>0</v>
      </c>
      <c r="AN1799" s="7" t="s">
        <v>0</v>
      </c>
      <c r="AO1799" s="7" t="s">
        <v>0</v>
      </c>
      <c r="AP1799" s="7" t="s">
        <v>0</v>
      </c>
      <c r="AQ1799" s="7" t="s">
        <v>61</v>
      </c>
      <c r="AR1799" s="7" t="s">
        <v>0</v>
      </c>
      <c r="AS1799" s="10" t="str">
        <f>HYPERLINK("https://tessa.gazprom-neft.local/edo/card/c7b13b22-c58f-4e7b-994d-7c3471fb8035", "https://tessa.gazprom-neft.local/edo/card/c7b13b22-c58f-4e7b-994d-7c3471fb8035")</f>
        <v>https://tessa.gazprom-neft.local/edo/card/c7b13b22-c58f-4e7b-994d-7c3471fb8035</v>
      </c>
    </row>
    <row r="1800" spans="1:45" hidden="1" x14ac:dyDescent="0.25">
      <c r="A1800" s="6" t="s">
        <v>44</v>
      </c>
      <c r="B1800" s="7" t="s">
        <v>964</v>
      </c>
      <c r="C1800" s="7" t="s">
        <v>67</v>
      </c>
      <c r="D1800" s="8">
        <v>44676</v>
      </c>
      <c r="E1800" s="8" t="s">
        <v>0</v>
      </c>
      <c r="F1800" s="16" t="s">
        <v>965</v>
      </c>
      <c r="G1800" s="7" t="s">
        <v>966</v>
      </c>
      <c r="H1800" s="7" t="s">
        <v>4760</v>
      </c>
      <c r="I1800" s="7" t="s">
        <v>0</v>
      </c>
      <c r="J1800" s="7" t="s">
        <v>4356</v>
      </c>
      <c r="K1800" s="7" t="s">
        <v>47</v>
      </c>
      <c r="L1800" s="7" t="s">
        <v>2719</v>
      </c>
      <c r="M1800" s="7" t="s">
        <v>0</v>
      </c>
      <c r="N1800" s="7" t="s">
        <v>4759</v>
      </c>
      <c r="O1800" s="7" t="s">
        <v>0</v>
      </c>
      <c r="P1800" s="7" t="s">
        <v>4761</v>
      </c>
      <c r="Q1800" s="7" t="s">
        <v>4762</v>
      </c>
      <c r="R1800" s="7" t="s">
        <v>293</v>
      </c>
      <c r="S1800" s="7" t="s">
        <v>293</v>
      </c>
      <c r="T1800" s="7" t="s">
        <v>54</v>
      </c>
      <c r="U1800" s="7" t="s">
        <v>294</v>
      </c>
      <c r="V1800" s="7" t="s">
        <v>295</v>
      </c>
      <c r="W1800" s="7" t="s">
        <v>57</v>
      </c>
      <c r="X1800" s="7" t="s">
        <v>103</v>
      </c>
      <c r="Y1800" s="8">
        <v>44676</v>
      </c>
      <c r="Z1800" s="8">
        <v>45016</v>
      </c>
      <c r="AA1800" s="7" t="s">
        <v>296</v>
      </c>
      <c r="AB1800" s="7" t="s">
        <v>366</v>
      </c>
      <c r="AC1800" s="7" t="s">
        <v>79</v>
      </c>
      <c r="AD1800" s="7" t="s">
        <v>367</v>
      </c>
      <c r="AE1800" s="7" t="s">
        <v>82</v>
      </c>
      <c r="AF1800" s="7" t="s">
        <v>0</v>
      </c>
      <c r="AG1800" s="7" t="s">
        <v>0</v>
      </c>
      <c r="AH1800" s="9" t="s">
        <v>12201</v>
      </c>
      <c r="AI1800" s="9" t="s">
        <v>12202</v>
      </c>
      <c r="AJ1800" s="9" t="s">
        <v>12203</v>
      </c>
      <c r="AK1800" s="7" t="s">
        <v>61</v>
      </c>
      <c r="AL1800" s="7" t="s">
        <v>61</v>
      </c>
      <c r="AM1800" s="7" t="s">
        <v>0</v>
      </c>
      <c r="AN1800" s="7" t="s">
        <v>0</v>
      </c>
      <c r="AO1800" s="7" t="s">
        <v>0</v>
      </c>
      <c r="AP1800" s="7" t="s">
        <v>0</v>
      </c>
      <c r="AQ1800" s="7" t="s">
        <v>61</v>
      </c>
      <c r="AR1800" s="7" t="s">
        <v>0</v>
      </c>
      <c r="AS1800" s="10" t="str">
        <f>HYPERLINK("https://tessa.gazprom-neft.local/edo/card/dec06f0d-d87c-4e02-952c-542f8d0a6a38", "https://tessa.gazprom-neft.local/edo/card/dec06f0d-d87c-4e02-952c-542f8d0a6a38")</f>
        <v>https://tessa.gazprom-neft.local/edo/card/dec06f0d-d87c-4e02-952c-542f8d0a6a38</v>
      </c>
    </row>
    <row r="1801" spans="1:45" x14ac:dyDescent="0.25">
      <c r="A1801" s="6" t="s">
        <v>44</v>
      </c>
      <c r="B1801" s="7" t="s">
        <v>2108</v>
      </c>
      <c r="C1801" s="7" t="s">
        <v>67</v>
      </c>
      <c r="D1801" s="8">
        <v>44673</v>
      </c>
      <c r="E1801" s="8" t="s">
        <v>0</v>
      </c>
      <c r="F1801" s="16" t="s">
        <v>2109</v>
      </c>
      <c r="G1801" s="7" t="s">
        <v>2110</v>
      </c>
      <c r="H1801" s="7" t="s">
        <v>2107</v>
      </c>
      <c r="I1801" s="7" t="s">
        <v>0</v>
      </c>
      <c r="J1801" s="7" t="s">
        <v>51</v>
      </c>
      <c r="K1801" s="7" t="s">
        <v>47</v>
      </c>
      <c r="L1801" s="7" t="s">
        <v>48</v>
      </c>
      <c r="M1801" s="7" t="s">
        <v>0</v>
      </c>
      <c r="N1801" s="7" t="s">
        <v>4396</v>
      </c>
      <c r="O1801" s="7" t="s">
        <v>0</v>
      </c>
      <c r="P1801" s="7" t="s">
        <v>4397</v>
      </c>
      <c r="Q1801" s="7" t="s">
        <v>4398</v>
      </c>
      <c r="R1801" s="7" t="s">
        <v>282</v>
      </c>
      <c r="S1801" s="7" t="s">
        <v>0</v>
      </c>
      <c r="T1801" s="7" t="s">
        <v>54</v>
      </c>
      <c r="U1801" s="7" t="s">
        <v>210</v>
      </c>
      <c r="V1801" s="7" t="s">
        <v>211</v>
      </c>
      <c r="W1801" s="7" t="s">
        <v>57</v>
      </c>
      <c r="X1801" s="7" t="s">
        <v>103</v>
      </c>
      <c r="Y1801" s="8">
        <v>44673</v>
      </c>
      <c r="Z1801" s="8">
        <v>45000</v>
      </c>
      <c r="AA1801" s="7" t="s">
        <v>212</v>
      </c>
      <c r="AB1801" s="7" t="s">
        <v>130</v>
      </c>
      <c r="AC1801" s="7" t="s">
        <v>65</v>
      </c>
      <c r="AD1801" s="7" t="s">
        <v>80</v>
      </c>
      <c r="AE1801" s="7" t="s">
        <v>0</v>
      </c>
      <c r="AF1801" s="7" t="s">
        <v>0</v>
      </c>
      <c r="AG1801" s="7" t="s">
        <v>0</v>
      </c>
      <c r="AH1801" s="9" t="s">
        <v>0</v>
      </c>
      <c r="AI1801" s="9" t="s">
        <v>0</v>
      </c>
      <c r="AJ1801" s="9" t="s">
        <v>0</v>
      </c>
      <c r="AK1801" s="7" t="s">
        <v>61</v>
      </c>
      <c r="AL1801" s="7" t="s">
        <v>61</v>
      </c>
      <c r="AM1801" s="7" t="s">
        <v>0</v>
      </c>
      <c r="AN1801" s="7" t="s">
        <v>0</v>
      </c>
      <c r="AO1801" s="7" t="s">
        <v>0</v>
      </c>
      <c r="AP1801" s="7" t="s">
        <v>0</v>
      </c>
      <c r="AQ1801" s="7" t="s">
        <v>61</v>
      </c>
      <c r="AR1801" s="7" t="s">
        <v>0</v>
      </c>
      <c r="AS1801" s="10" t="str">
        <f>HYPERLINK("https://tessa.gazprom-neft.local/edo/card/2b0fa174-eb39-485e-91bb-4409a9c955e0", "https://tessa.gazprom-neft.local/edo/card/2b0fa174-eb39-485e-91bb-4409a9c955e0")</f>
        <v>https://tessa.gazprom-neft.local/edo/card/2b0fa174-eb39-485e-91bb-4409a9c955e0</v>
      </c>
    </row>
    <row r="1802" spans="1:45" x14ac:dyDescent="0.25">
      <c r="A1802" s="6" t="s">
        <v>44</v>
      </c>
      <c r="B1802" s="7" t="s">
        <v>201</v>
      </c>
      <c r="C1802" s="7" t="s">
        <v>67</v>
      </c>
      <c r="D1802" s="8">
        <v>44673</v>
      </c>
      <c r="E1802" s="8" t="s">
        <v>0</v>
      </c>
      <c r="F1802" s="16" t="s">
        <v>202</v>
      </c>
      <c r="G1802" s="7" t="s">
        <v>203</v>
      </c>
      <c r="H1802" s="7" t="s">
        <v>195</v>
      </c>
      <c r="I1802" s="7" t="s">
        <v>0</v>
      </c>
      <c r="J1802" s="7" t="s">
        <v>271</v>
      </c>
      <c r="K1802" s="7" t="s">
        <v>85</v>
      </c>
      <c r="L1802" s="7" t="s">
        <v>48</v>
      </c>
      <c r="M1802" s="7" t="s">
        <v>3833</v>
      </c>
      <c r="N1802" s="7" t="s">
        <v>4434</v>
      </c>
      <c r="O1802" s="7" t="s">
        <v>0</v>
      </c>
      <c r="P1802" s="7" t="s">
        <v>3833</v>
      </c>
      <c r="Q1802" s="7" t="s">
        <v>4435</v>
      </c>
      <c r="R1802" s="7" t="s">
        <v>198</v>
      </c>
      <c r="S1802" s="7" t="s">
        <v>198</v>
      </c>
      <c r="T1802" s="7" t="s">
        <v>54</v>
      </c>
      <c r="U1802" s="7" t="s">
        <v>199</v>
      </c>
      <c r="V1802" s="7" t="s">
        <v>211</v>
      </c>
      <c r="W1802" s="7" t="s">
        <v>57</v>
      </c>
      <c r="X1802" s="7" t="s">
        <v>103</v>
      </c>
      <c r="Y1802" s="8">
        <v>44673</v>
      </c>
      <c r="Z1802" s="8">
        <v>45657</v>
      </c>
      <c r="AA1802" s="7" t="s">
        <v>212</v>
      </c>
      <c r="AB1802" s="7" t="s">
        <v>204</v>
      </c>
      <c r="AC1802" s="7" t="s">
        <v>65</v>
      </c>
      <c r="AD1802" s="7" t="s">
        <v>80</v>
      </c>
      <c r="AE1802" s="7" t="s">
        <v>0</v>
      </c>
      <c r="AF1802" s="7" t="s">
        <v>0</v>
      </c>
      <c r="AG1802" s="7" t="s">
        <v>0</v>
      </c>
      <c r="AH1802" s="9" t="s">
        <v>0</v>
      </c>
      <c r="AI1802" s="9" t="s">
        <v>0</v>
      </c>
      <c r="AJ1802" s="9" t="s">
        <v>0</v>
      </c>
      <c r="AK1802" s="7" t="s">
        <v>61</v>
      </c>
      <c r="AL1802" s="7" t="s">
        <v>61</v>
      </c>
      <c r="AM1802" s="7" t="s">
        <v>0</v>
      </c>
      <c r="AN1802" s="7" t="s">
        <v>0</v>
      </c>
      <c r="AO1802" s="7" t="s">
        <v>0</v>
      </c>
      <c r="AP1802" s="7" t="s">
        <v>0</v>
      </c>
      <c r="AQ1802" s="7" t="s">
        <v>61</v>
      </c>
      <c r="AR1802" s="7" t="s">
        <v>0</v>
      </c>
      <c r="AS1802" s="10" t="str">
        <f>HYPERLINK("https://tessa.gazprom-neft.local/edo/card/5cd8251b-d412-4249-b3cf-e830d16fee5f", "https://tessa.gazprom-neft.local/edo/card/5cd8251b-d412-4249-b3cf-e830d16fee5f")</f>
        <v>https://tessa.gazprom-neft.local/edo/card/5cd8251b-d412-4249-b3cf-e830d16fee5f</v>
      </c>
    </row>
    <row r="1803" spans="1:45" x14ac:dyDescent="0.25">
      <c r="A1803" s="6" t="s">
        <v>44</v>
      </c>
      <c r="B1803" s="7" t="s">
        <v>1101</v>
      </c>
      <c r="C1803" s="7" t="s">
        <v>67</v>
      </c>
      <c r="D1803" s="8">
        <v>44673</v>
      </c>
      <c r="E1803" s="8" t="s">
        <v>0</v>
      </c>
      <c r="F1803" s="16" t="s">
        <v>1102</v>
      </c>
      <c r="G1803" s="7" t="s">
        <v>1103</v>
      </c>
      <c r="H1803" s="7" t="s">
        <v>2522</v>
      </c>
      <c r="I1803" s="7" t="s">
        <v>0</v>
      </c>
      <c r="J1803" s="7" t="s">
        <v>156</v>
      </c>
      <c r="K1803" s="7" t="s">
        <v>47</v>
      </c>
      <c r="L1803" s="7" t="s">
        <v>48</v>
      </c>
      <c r="M1803" s="7" t="s">
        <v>0</v>
      </c>
      <c r="N1803" s="7" t="s">
        <v>4475</v>
      </c>
      <c r="O1803" s="7" t="s">
        <v>0</v>
      </c>
      <c r="P1803" s="7" t="s">
        <v>4476</v>
      </c>
      <c r="Q1803" s="7" t="s">
        <v>4477</v>
      </c>
      <c r="R1803" s="7" t="s">
        <v>513</v>
      </c>
      <c r="S1803" s="7" t="s">
        <v>513</v>
      </c>
      <c r="T1803" s="7" t="s">
        <v>54</v>
      </c>
      <c r="U1803" s="7" t="s">
        <v>303</v>
      </c>
      <c r="V1803" s="7" t="s">
        <v>91</v>
      </c>
      <c r="W1803" s="7" t="s">
        <v>57</v>
      </c>
      <c r="X1803" s="7" t="s">
        <v>103</v>
      </c>
      <c r="Y1803" s="8">
        <v>44673</v>
      </c>
      <c r="Z1803" s="8">
        <v>44985</v>
      </c>
      <c r="AA1803" s="7" t="s">
        <v>92</v>
      </c>
      <c r="AB1803" s="7" t="s">
        <v>64</v>
      </c>
      <c r="AC1803" s="7" t="s">
        <v>65</v>
      </c>
      <c r="AD1803" s="7" t="s">
        <v>144</v>
      </c>
      <c r="AE1803" s="7" t="s">
        <v>0</v>
      </c>
      <c r="AF1803" s="7" t="s">
        <v>0</v>
      </c>
      <c r="AG1803" s="7" t="s">
        <v>0</v>
      </c>
      <c r="AH1803" s="9" t="s">
        <v>0</v>
      </c>
      <c r="AI1803" s="9" t="s">
        <v>0</v>
      </c>
      <c r="AJ1803" s="9" t="s">
        <v>0</v>
      </c>
      <c r="AK1803" s="7" t="s">
        <v>61</v>
      </c>
      <c r="AL1803" s="7" t="s">
        <v>61</v>
      </c>
      <c r="AM1803" s="7" t="s">
        <v>0</v>
      </c>
      <c r="AN1803" s="7" t="s">
        <v>0</v>
      </c>
      <c r="AO1803" s="7" t="s">
        <v>0</v>
      </c>
      <c r="AP1803" s="7" t="s">
        <v>0</v>
      </c>
      <c r="AQ1803" s="7" t="s">
        <v>61</v>
      </c>
      <c r="AR1803" s="7" t="s">
        <v>0</v>
      </c>
      <c r="AS1803" s="10" t="str">
        <f>HYPERLINK("https://tessa.gazprom-neft.local/edo/card/5e5b93e5-d3f3-40af-a987-aa8435ca4923", "https://tessa.gazprom-neft.local/edo/card/5e5b93e5-d3f3-40af-a987-aa8435ca4923")</f>
        <v>https://tessa.gazprom-neft.local/edo/card/5e5b93e5-d3f3-40af-a987-aa8435ca4923</v>
      </c>
    </row>
    <row r="1804" spans="1:45" x14ac:dyDescent="0.25">
      <c r="A1804" s="6" t="s">
        <v>44</v>
      </c>
      <c r="B1804" s="7" t="s">
        <v>971</v>
      </c>
      <c r="C1804" s="7" t="s">
        <v>67</v>
      </c>
      <c r="D1804" s="8">
        <v>44673</v>
      </c>
      <c r="E1804" s="8" t="s">
        <v>0</v>
      </c>
      <c r="F1804" s="16" t="s">
        <v>972</v>
      </c>
      <c r="G1804" s="7" t="s">
        <v>973</v>
      </c>
      <c r="H1804" s="7" t="s">
        <v>998</v>
      </c>
      <c r="I1804" s="7" t="s">
        <v>0</v>
      </c>
      <c r="J1804" s="7" t="s">
        <v>156</v>
      </c>
      <c r="K1804" s="7" t="s">
        <v>47</v>
      </c>
      <c r="L1804" s="7" t="s">
        <v>48</v>
      </c>
      <c r="M1804" s="7" t="s">
        <v>0</v>
      </c>
      <c r="N1804" s="7" t="s">
        <v>4484</v>
      </c>
      <c r="O1804" s="7" t="s">
        <v>0</v>
      </c>
      <c r="P1804" s="7" t="s">
        <v>4485</v>
      </c>
      <c r="Q1804" s="7" t="s">
        <v>4477</v>
      </c>
      <c r="R1804" s="7" t="s">
        <v>513</v>
      </c>
      <c r="S1804" s="7" t="s">
        <v>513</v>
      </c>
      <c r="T1804" s="7" t="s">
        <v>54</v>
      </c>
      <c r="U1804" s="7" t="s">
        <v>303</v>
      </c>
      <c r="V1804" s="7" t="s">
        <v>91</v>
      </c>
      <c r="W1804" s="7" t="s">
        <v>57</v>
      </c>
      <c r="X1804" s="7" t="s">
        <v>103</v>
      </c>
      <c r="Y1804" s="8">
        <v>44673</v>
      </c>
      <c r="Z1804" s="8">
        <v>45344</v>
      </c>
      <c r="AA1804" s="7" t="s">
        <v>92</v>
      </c>
      <c r="AB1804" s="7" t="s">
        <v>64</v>
      </c>
      <c r="AC1804" s="7" t="s">
        <v>65</v>
      </c>
      <c r="AD1804" s="7" t="s">
        <v>144</v>
      </c>
      <c r="AE1804" s="7" t="s">
        <v>0</v>
      </c>
      <c r="AF1804" s="7" t="s">
        <v>0</v>
      </c>
      <c r="AG1804" s="7" t="s">
        <v>0</v>
      </c>
      <c r="AH1804" s="9" t="s">
        <v>0</v>
      </c>
      <c r="AI1804" s="9" t="s">
        <v>0</v>
      </c>
      <c r="AJ1804" s="9" t="s">
        <v>0</v>
      </c>
      <c r="AK1804" s="7" t="s">
        <v>61</v>
      </c>
      <c r="AL1804" s="7" t="s">
        <v>61</v>
      </c>
      <c r="AM1804" s="7" t="s">
        <v>0</v>
      </c>
      <c r="AN1804" s="7" t="s">
        <v>0</v>
      </c>
      <c r="AO1804" s="7" t="s">
        <v>0</v>
      </c>
      <c r="AP1804" s="7" t="s">
        <v>0</v>
      </c>
      <c r="AQ1804" s="7" t="s">
        <v>61</v>
      </c>
      <c r="AR1804" s="7" t="s">
        <v>0</v>
      </c>
      <c r="AS1804" s="10" t="str">
        <f>HYPERLINK("https://tessa.gazprom-neft.local/edo/card/d09e9e89-4ec0-4b1f-8645-5652e175bc1e", "https://tessa.gazprom-neft.local/edo/card/d09e9e89-4ec0-4b1f-8645-5652e175bc1e")</f>
        <v>https://tessa.gazprom-neft.local/edo/card/d09e9e89-4ec0-4b1f-8645-5652e175bc1e</v>
      </c>
    </row>
    <row r="1805" spans="1:45" x14ac:dyDescent="0.25">
      <c r="A1805" s="6" t="s">
        <v>44</v>
      </c>
      <c r="B1805" s="7" t="s">
        <v>2383</v>
      </c>
      <c r="C1805" s="7" t="s">
        <v>67</v>
      </c>
      <c r="D1805" s="8">
        <v>44673</v>
      </c>
      <c r="E1805" s="8" t="s">
        <v>0</v>
      </c>
      <c r="F1805" s="16" t="s">
        <v>2384</v>
      </c>
      <c r="G1805" s="7" t="s">
        <v>2385</v>
      </c>
      <c r="H1805" s="7" t="s">
        <v>0</v>
      </c>
      <c r="I1805" s="7" t="s">
        <v>0</v>
      </c>
      <c r="J1805" s="7" t="s">
        <v>70</v>
      </c>
      <c r="K1805" s="7" t="s">
        <v>47</v>
      </c>
      <c r="L1805" s="7" t="s">
        <v>48</v>
      </c>
      <c r="M1805" s="7" t="s">
        <v>0</v>
      </c>
      <c r="N1805" s="7" t="s">
        <v>4490</v>
      </c>
      <c r="O1805" s="7" t="s">
        <v>0</v>
      </c>
      <c r="P1805" s="7" t="s">
        <v>4491</v>
      </c>
      <c r="Q1805" s="7" t="s">
        <v>4492</v>
      </c>
      <c r="R1805" s="7" t="s">
        <v>513</v>
      </c>
      <c r="S1805" s="7" t="s">
        <v>513</v>
      </c>
      <c r="T1805" s="7" t="s">
        <v>54</v>
      </c>
      <c r="U1805" s="7" t="s">
        <v>303</v>
      </c>
      <c r="V1805" s="7" t="s">
        <v>91</v>
      </c>
      <c r="W1805" s="7" t="s">
        <v>57</v>
      </c>
      <c r="X1805" s="7" t="s">
        <v>103</v>
      </c>
      <c r="Y1805" s="8">
        <v>44673</v>
      </c>
      <c r="Z1805" s="8">
        <v>44926</v>
      </c>
      <c r="AA1805" s="7" t="s">
        <v>92</v>
      </c>
      <c r="AB1805" s="7" t="s">
        <v>130</v>
      </c>
      <c r="AC1805" s="7" t="s">
        <v>65</v>
      </c>
      <c r="AD1805" s="7" t="s">
        <v>0</v>
      </c>
      <c r="AE1805" s="7" t="s">
        <v>0</v>
      </c>
      <c r="AF1805" s="7" t="s">
        <v>0</v>
      </c>
      <c r="AG1805" s="7" t="s">
        <v>0</v>
      </c>
      <c r="AH1805" s="9" t="s">
        <v>0</v>
      </c>
      <c r="AI1805" s="9" t="s">
        <v>0</v>
      </c>
      <c r="AJ1805" s="9" t="s">
        <v>0</v>
      </c>
      <c r="AK1805" s="7" t="s">
        <v>61</v>
      </c>
      <c r="AL1805" s="7" t="s">
        <v>61</v>
      </c>
      <c r="AM1805" s="7" t="s">
        <v>0</v>
      </c>
      <c r="AN1805" s="7" t="s">
        <v>0</v>
      </c>
      <c r="AO1805" s="7" t="s">
        <v>0</v>
      </c>
      <c r="AP1805" s="7" t="s">
        <v>0</v>
      </c>
      <c r="AQ1805" s="7" t="s">
        <v>61</v>
      </c>
      <c r="AR1805" s="7" t="s">
        <v>0</v>
      </c>
      <c r="AS1805" s="10" t="str">
        <f>HYPERLINK("https://tessa.gazprom-neft.local/edo/card/df785062-2458-4376-bcf3-300da749eafd", "https://tessa.gazprom-neft.local/edo/card/df785062-2458-4376-bcf3-300da749eafd")</f>
        <v>https://tessa.gazprom-neft.local/edo/card/df785062-2458-4376-bcf3-300da749eafd</v>
      </c>
    </row>
    <row r="1806" spans="1:45" x14ac:dyDescent="0.25">
      <c r="A1806" s="6" t="s">
        <v>44</v>
      </c>
      <c r="B1806" s="7" t="s">
        <v>2383</v>
      </c>
      <c r="C1806" s="7" t="s">
        <v>67</v>
      </c>
      <c r="D1806" s="8">
        <v>44673</v>
      </c>
      <c r="E1806" s="8" t="s">
        <v>0</v>
      </c>
      <c r="F1806" s="16" t="s">
        <v>2384</v>
      </c>
      <c r="G1806" s="7" t="s">
        <v>2385</v>
      </c>
      <c r="H1806" s="7" t="s">
        <v>0</v>
      </c>
      <c r="I1806" s="7" t="s">
        <v>0</v>
      </c>
      <c r="J1806" s="7" t="s">
        <v>70</v>
      </c>
      <c r="K1806" s="7" t="s">
        <v>47</v>
      </c>
      <c r="L1806" s="7" t="s">
        <v>48</v>
      </c>
      <c r="M1806" s="7" t="s">
        <v>0</v>
      </c>
      <c r="N1806" s="7" t="s">
        <v>4502</v>
      </c>
      <c r="O1806" s="7" t="s">
        <v>0</v>
      </c>
      <c r="P1806" s="7" t="s">
        <v>4491</v>
      </c>
      <c r="Q1806" s="7" t="s">
        <v>4492</v>
      </c>
      <c r="R1806" s="7" t="s">
        <v>513</v>
      </c>
      <c r="S1806" s="7" t="s">
        <v>513</v>
      </c>
      <c r="T1806" s="7" t="s">
        <v>54</v>
      </c>
      <c r="U1806" s="7" t="s">
        <v>303</v>
      </c>
      <c r="V1806" s="7" t="s">
        <v>91</v>
      </c>
      <c r="W1806" s="7" t="s">
        <v>57</v>
      </c>
      <c r="X1806" s="7" t="s">
        <v>103</v>
      </c>
      <c r="Y1806" s="8">
        <v>44673</v>
      </c>
      <c r="Z1806" s="8">
        <v>44926</v>
      </c>
      <c r="AA1806" s="7" t="s">
        <v>92</v>
      </c>
      <c r="AB1806" s="7" t="s">
        <v>130</v>
      </c>
      <c r="AC1806" s="7" t="s">
        <v>65</v>
      </c>
      <c r="AD1806" s="7" t="s">
        <v>0</v>
      </c>
      <c r="AE1806" s="7" t="s">
        <v>0</v>
      </c>
      <c r="AF1806" s="7" t="s">
        <v>0</v>
      </c>
      <c r="AG1806" s="7" t="s">
        <v>0</v>
      </c>
      <c r="AH1806" s="9" t="s">
        <v>0</v>
      </c>
      <c r="AI1806" s="9" t="s">
        <v>0</v>
      </c>
      <c r="AJ1806" s="9" t="s">
        <v>0</v>
      </c>
      <c r="AK1806" s="7" t="s">
        <v>61</v>
      </c>
      <c r="AL1806" s="7" t="s">
        <v>61</v>
      </c>
      <c r="AM1806" s="7" t="s">
        <v>0</v>
      </c>
      <c r="AN1806" s="7" t="s">
        <v>0</v>
      </c>
      <c r="AO1806" s="7" t="s">
        <v>0</v>
      </c>
      <c r="AP1806" s="7" t="s">
        <v>0</v>
      </c>
      <c r="AQ1806" s="7" t="s">
        <v>61</v>
      </c>
      <c r="AR1806" s="7" t="s">
        <v>0</v>
      </c>
      <c r="AS1806" s="10" t="str">
        <f>HYPERLINK("https://tessa.gazprom-neft.local/edo/card/899a4332-5ad6-4d9f-adec-4185a08c9668", "https://tessa.gazprom-neft.local/edo/card/899a4332-5ad6-4d9f-adec-4185a08c9668")</f>
        <v>https://tessa.gazprom-neft.local/edo/card/899a4332-5ad6-4d9f-adec-4185a08c9668</v>
      </c>
    </row>
    <row r="1807" spans="1:45" x14ac:dyDescent="0.25">
      <c r="A1807" s="6" t="s">
        <v>44</v>
      </c>
      <c r="B1807" s="7" t="s">
        <v>4513</v>
      </c>
      <c r="C1807" s="7" t="s">
        <v>67</v>
      </c>
      <c r="D1807" s="8">
        <v>44673</v>
      </c>
      <c r="E1807" s="8" t="s">
        <v>0</v>
      </c>
      <c r="F1807" s="16" t="s">
        <v>4514</v>
      </c>
      <c r="G1807" s="7" t="s">
        <v>4515</v>
      </c>
      <c r="H1807" s="7" t="s">
        <v>4511</v>
      </c>
      <c r="I1807" s="7" t="s">
        <v>0</v>
      </c>
      <c r="J1807" s="7" t="s">
        <v>955</v>
      </c>
      <c r="K1807" s="7" t="s">
        <v>85</v>
      </c>
      <c r="L1807" s="7" t="s">
        <v>48</v>
      </c>
      <c r="M1807" s="7" t="s">
        <v>3833</v>
      </c>
      <c r="N1807" s="7" t="s">
        <v>4510</v>
      </c>
      <c r="O1807" s="7" t="s">
        <v>0</v>
      </c>
      <c r="P1807" s="7" t="s">
        <v>4512</v>
      </c>
      <c r="Q1807" s="7" t="s">
        <v>4512</v>
      </c>
      <c r="R1807" s="7" t="s">
        <v>799</v>
      </c>
      <c r="S1807" s="7" t="s">
        <v>0</v>
      </c>
      <c r="T1807" s="7" t="s">
        <v>54</v>
      </c>
      <c r="U1807" s="7" t="s">
        <v>55</v>
      </c>
      <c r="V1807" s="7" t="s">
        <v>56</v>
      </c>
      <c r="W1807" s="7" t="s">
        <v>57</v>
      </c>
      <c r="X1807" s="7" t="s">
        <v>103</v>
      </c>
      <c r="Y1807" s="8">
        <v>44673</v>
      </c>
      <c r="Z1807" s="8">
        <v>45657</v>
      </c>
      <c r="AA1807" s="7" t="s">
        <v>0</v>
      </c>
      <c r="AB1807" s="7" t="s">
        <v>130</v>
      </c>
      <c r="AC1807" s="7" t="s">
        <v>65</v>
      </c>
      <c r="AD1807" s="7" t="s">
        <v>0</v>
      </c>
      <c r="AE1807" s="7" t="s">
        <v>0</v>
      </c>
      <c r="AF1807" s="7" t="s">
        <v>0</v>
      </c>
      <c r="AG1807" s="7" t="s">
        <v>0</v>
      </c>
      <c r="AH1807" s="9" t="s">
        <v>0</v>
      </c>
      <c r="AI1807" s="9" t="s">
        <v>0</v>
      </c>
      <c r="AJ1807" s="9" t="s">
        <v>0</v>
      </c>
      <c r="AK1807" s="7" t="s">
        <v>61</v>
      </c>
      <c r="AL1807" s="7" t="s">
        <v>61</v>
      </c>
      <c r="AM1807" s="7" t="s">
        <v>0</v>
      </c>
      <c r="AN1807" s="7" t="s">
        <v>0</v>
      </c>
      <c r="AO1807" s="7" t="s">
        <v>0</v>
      </c>
      <c r="AP1807" s="7" t="s">
        <v>0</v>
      </c>
      <c r="AQ1807" s="7" t="s">
        <v>61</v>
      </c>
      <c r="AR1807" s="7" t="s">
        <v>0</v>
      </c>
      <c r="AS1807" s="10" t="str">
        <f>HYPERLINK("https://tessa.gazprom-neft.local/edo/card/756757da-c4ed-403d-af1c-ed147d65171c", "https://tessa.gazprom-neft.local/edo/card/756757da-c4ed-403d-af1c-ed147d65171c")</f>
        <v>https://tessa.gazprom-neft.local/edo/card/756757da-c4ed-403d-af1c-ed147d65171c</v>
      </c>
    </row>
    <row r="1808" spans="1:45" hidden="1" x14ac:dyDescent="0.25">
      <c r="A1808" s="6" t="s">
        <v>44</v>
      </c>
      <c r="B1808" s="7" t="s">
        <v>2108</v>
      </c>
      <c r="C1808" s="7" t="s">
        <v>67</v>
      </c>
      <c r="D1808" s="8">
        <v>44673</v>
      </c>
      <c r="E1808" s="8" t="s">
        <v>0</v>
      </c>
      <c r="F1808" s="16" t="s">
        <v>2109</v>
      </c>
      <c r="G1808" s="7" t="s">
        <v>2110</v>
      </c>
      <c r="H1808" s="7" t="s">
        <v>2107</v>
      </c>
      <c r="I1808" s="7" t="s">
        <v>0</v>
      </c>
      <c r="J1808" s="7" t="s">
        <v>2616</v>
      </c>
      <c r="K1808" s="7" t="s">
        <v>47</v>
      </c>
      <c r="L1808" s="7" t="s">
        <v>2474</v>
      </c>
      <c r="M1808" s="7" t="s">
        <v>0</v>
      </c>
      <c r="N1808" s="7" t="s">
        <v>4746</v>
      </c>
      <c r="O1808" s="7" t="s">
        <v>0</v>
      </c>
      <c r="P1808" s="7" t="s">
        <v>4747</v>
      </c>
      <c r="Q1808" s="7" t="s">
        <v>4748</v>
      </c>
      <c r="R1808" s="7" t="s">
        <v>282</v>
      </c>
      <c r="S1808" s="7" t="s">
        <v>0</v>
      </c>
      <c r="T1808" s="7" t="s">
        <v>54</v>
      </c>
      <c r="U1808" s="7" t="s">
        <v>210</v>
      </c>
      <c r="V1808" s="7" t="s">
        <v>211</v>
      </c>
      <c r="W1808" s="7" t="s">
        <v>57</v>
      </c>
      <c r="X1808" s="7" t="s">
        <v>103</v>
      </c>
      <c r="Y1808" s="8">
        <v>44673</v>
      </c>
      <c r="Z1808" s="8">
        <v>45000</v>
      </c>
      <c r="AA1808" s="7" t="s">
        <v>212</v>
      </c>
      <c r="AB1808" s="7" t="s">
        <v>130</v>
      </c>
      <c r="AC1808" s="7" t="s">
        <v>65</v>
      </c>
      <c r="AD1808" s="7" t="s">
        <v>80</v>
      </c>
      <c r="AE1808" s="7" t="s">
        <v>0</v>
      </c>
      <c r="AF1808" s="7" t="s">
        <v>0</v>
      </c>
      <c r="AG1808" s="7" t="s">
        <v>0</v>
      </c>
      <c r="AH1808" s="9" t="s">
        <v>0</v>
      </c>
      <c r="AI1808" s="9" t="s">
        <v>0</v>
      </c>
      <c r="AJ1808" s="9" t="s">
        <v>0</v>
      </c>
      <c r="AK1808" s="7" t="s">
        <v>61</v>
      </c>
      <c r="AL1808" s="7" t="s">
        <v>61</v>
      </c>
      <c r="AM1808" s="7" t="s">
        <v>0</v>
      </c>
      <c r="AN1808" s="7" t="s">
        <v>0</v>
      </c>
      <c r="AO1808" s="7" t="s">
        <v>0</v>
      </c>
      <c r="AP1808" s="7" t="s">
        <v>0</v>
      </c>
      <c r="AQ1808" s="7" t="s">
        <v>61</v>
      </c>
      <c r="AR1808" s="7" t="s">
        <v>0</v>
      </c>
      <c r="AS1808" s="10" t="str">
        <f>HYPERLINK("https://tessa.gazprom-neft.local/edo/card/d582bae1-343f-4a97-b373-b119528caae4", "https://tessa.gazprom-neft.local/edo/card/d582bae1-343f-4a97-b373-b119528caae4")</f>
        <v>https://tessa.gazprom-neft.local/edo/card/d582bae1-343f-4a97-b373-b119528caae4</v>
      </c>
    </row>
    <row r="1809" spans="1:45" x14ac:dyDescent="0.25">
      <c r="A1809" s="6" t="s">
        <v>44</v>
      </c>
      <c r="B1809" s="7" t="s">
        <v>727</v>
      </c>
      <c r="C1809" s="7" t="s">
        <v>67</v>
      </c>
      <c r="D1809" s="8">
        <v>44673</v>
      </c>
      <c r="E1809" s="8" t="s">
        <v>0</v>
      </c>
      <c r="F1809" s="16" t="s">
        <v>728</v>
      </c>
      <c r="G1809" s="7" t="s">
        <v>729</v>
      </c>
      <c r="H1809" s="7" t="s">
        <v>4661</v>
      </c>
      <c r="I1809" s="7" t="s">
        <v>0</v>
      </c>
      <c r="J1809" s="7" t="s">
        <v>70</v>
      </c>
      <c r="K1809" s="7" t="s">
        <v>85</v>
      </c>
      <c r="L1809" s="7" t="s">
        <v>48</v>
      </c>
      <c r="M1809" s="7" t="s">
        <v>3833</v>
      </c>
      <c r="N1809" s="7" t="s">
        <v>5188</v>
      </c>
      <c r="O1809" s="7" t="s">
        <v>0</v>
      </c>
      <c r="P1809" s="7" t="s">
        <v>3833</v>
      </c>
      <c r="Q1809" s="7" t="s">
        <v>5189</v>
      </c>
      <c r="R1809" s="7" t="s">
        <v>799</v>
      </c>
      <c r="S1809" s="7" t="s">
        <v>0</v>
      </c>
      <c r="T1809" s="7" t="s">
        <v>54</v>
      </c>
      <c r="U1809" s="7" t="s">
        <v>55</v>
      </c>
      <c r="V1809" s="7" t="s">
        <v>56</v>
      </c>
      <c r="W1809" s="7" t="s">
        <v>57</v>
      </c>
      <c r="X1809" s="7" t="s">
        <v>103</v>
      </c>
      <c r="Y1809" s="8">
        <v>44673</v>
      </c>
      <c r="Z1809" s="8">
        <v>45291</v>
      </c>
      <c r="AA1809" s="7" t="s">
        <v>0</v>
      </c>
      <c r="AB1809" s="7" t="s">
        <v>130</v>
      </c>
      <c r="AC1809" s="7" t="s">
        <v>65</v>
      </c>
      <c r="AD1809" s="7" t="s">
        <v>0</v>
      </c>
      <c r="AE1809" s="7" t="s">
        <v>0</v>
      </c>
      <c r="AF1809" s="7" t="s">
        <v>0</v>
      </c>
      <c r="AG1809" s="7" t="s">
        <v>0</v>
      </c>
      <c r="AH1809" s="9" t="s">
        <v>0</v>
      </c>
      <c r="AI1809" s="9" t="s">
        <v>0</v>
      </c>
      <c r="AJ1809" s="9" t="s">
        <v>0</v>
      </c>
      <c r="AK1809" s="7" t="s">
        <v>61</v>
      </c>
      <c r="AL1809" s="7" t="s">
        <v>61</v>
      </c>
      <c r="AM1809" s="7" t="s">
        <v>0</v>
      </c>
      <c r="AN1809" s="7" t="s">
        <v>0</v>
      </c>
      <c r="AO1809" s="7" t="s">
        <v>0</v>
      </c>
      <c r="AP1809" s="7" t="s">
        <v>0</v>
      </c>
      <c r="AQ1809" s="7" t="s">
        <v>61</v>
      </c>
      <c r="AR1809" s="7" t="s">
        <v>0</v>
      </c>
      <c r="AS1809" s="10" t="str">
        <f>HYPERLINK("https://tessa.gazprom-neft.local/edo/card/716d6ab7-a23b-496f-a80e-e85af30dad31", "https://tessa.gazprom-neft.local/edo/card/716d6ab7-a23b-496f-a80e-e85af30dad31")</f>
        <v>https://tessa.gazprom-neft.local/edo/card/716d6ab7-a23b-496f-a80e-e85af30dad31</v>
      </c>
    </row>
    <row r="1810" spans="1:45" x14ac:dyDescent="0.25">
      <c r="A1810" s="6" t="s">
        <v>44</v>
      </c>
      <c r="B1810" s="7" t="s">
        <v>374</v>
      </c>
      <c r="C1810" s="7" t="s">
        <v>67</v>
      </c>
      <c r="D1810" s="8">
        <v>44673</v>
      </c>
      <c r="E1810" s="8" t="s">
        <v>0</v>
      </c>
      <c r="F1810" s="16" t="s">
        <v>375</v>
      </c>
      <c r="G1810" s="7" t="s">
        <v>376</v>
      </c>
      <c r="H1810" s="7" t="s">
        <v>981</v>
      </c>
      <c r="I1810" s="7" t="s">
        <v>0</v>
      </c>
      <c r="J1810" s="7" t="s">
        <v>51</v>
      </c>
      <c r="K1810" s="7" t="s">
        <v>47</v>
      </c>
      <c r="L1810" s="7" t="s">
        <v>48</v>
      </c>
      <c r="M1810" s="7" t="s">
        <v>0</v>
      </c>
      <c r="N1810" s="7" t="s">
        <v>7601</v>
      </c>
      <c r="O1810" s="7" t="s">
        <v>0</v>
      </c>
      <c r="P1810" s="7" t="s">
        <v>7602</v>
      </c>
      <c r="Q1810" s="7" t="s">
        <v>7603</v>
      </c>
      <c r="R1810" s="7" t="s">
        <v>198</v>
      </c>
      <c r="S1810" s="7" t="s">
        <v>0</v>
      </c>
      <c r="T1810" s="7" t="s">
        <v>54</v>
      </c>
      <c r="U1810" s="7" t="s">
        <v>199</v>
      </c>
      <c r="V1810" s="7" t="s">
        <v>137</v>
      </c>
      <c r="W1810" s="7" t="s">
        <v>57</v>
      </c>
      <c r="X1810" s="7" t="s">
        <v>58</v>
      </c>
      <c r="Y1810" s="8">
        <v>44673</v>
      </c>
      <c r="Z1810" s="8" t="s">
        <v>0</v>
      </c>
      <c r="AA1810" s="7" t="s">
        <v>0</v>
      </c>
      <c r="AB1810" s="7" t="s">
        <v>64</v>
      </c>
      <c r="AC1810" s="7" t="s">
        <v>65</v>
      </c>
      <c r="AD1810" s="7" t="s">
        <v>80</v>
      </c>
      <c r="AE1810" s="7" t="s">
        <v>0</v>
      </c>
      <c r="AF1810" s="7" t="s">
        <v>0</v>
      </c>
      <c r="AG1810" s="7" t="s">
        <v>0</v>
      </c>
      <c r="AH1810" s="9" t="s">
        <v>0</v>
      </c>
      <c r="AI1810" s="9" t="s">
        <v>0</v>
      </c>
      <c r="AJ1810" s="9" t="s">
        <v>0</v>
      </c>
      <c r="AK1810" s="7" t="s">
        <v>61</v>
      </c>
      <c r="AL1810" s="7" t="s">
        <v>61</v>
      </c>
      <c r="AM1810" s="7" t="s">
        <v>0</v>
      </c>
      <c r="AN1810" s="7" t="s">
        <v>0</v>
      </c>
      <c r="AO1810" s="7" t="s">
        <v>0</v>
      </c>
      <c r="AP1810" s="7" t="s">
        <v>0</v>
      </c>
      <c r="AQ1810" s="7" t="s">
        <v>61</v>
      </c>
      <c r="AR1810" s="7" t="s">
        <v>0</v>
      </c>
      <c r="AS1810" s="10" t="str">
        <f>HYPERLINK("https://tessa.gazprom-neft.local/edo/card/93dbbbae-e648-4967-821b-408806a8696c", "https://tessa.gazprom-neft.local/edo/card/93dbbbae-e648-4967-821b-408806a8696c")</f>
        <v>https://tessa.gazprom-neft.local/edo/card/93dbbbae-e648-4967-821b-408806a8696c</v>
      </c>
    </row>
    <row r="1811" spans="1:45" x14ac:dyDescent="0.25">
      <c r="A1811" s="6" t="s">
        <v>44</v>
      </c>
      <c r="B1811" s="7" t="s">
        <v>2595</v>
      </c>
      <c r="C1811" s="7" t="s">
        <v>67</v>
      </c>
      <c r="D1811" s="8">
        <v>44672</v>
      </c>
      <c r="E1811" s="8" t="s">
        <v>0</v>
      </c>
      <c r="F1811" s="16" t="s">
        <v>2596</v>
      </c>
      <c r="G1811" s="7" t="s">
        <v>2597</v>
      </c>
      <c r="H1811" s="7" t="s">
        <v>2548</v>
      </c>
      <c r="I1811" s="7" t="s">
        <v>0</v>
      </c>
      <c r="J1811" s="7" t="s">
        <v>51</v>
      </c>
      <c r="K1811" s="7" t="s">
        <v>85</v>
      </c>
      <c r="L1811" s="7" t="s">
        <v>48</v>
      </c>
      <c r="M1811" s="7" t="s">
        <v>3833</v>
      </c>
      <c r="N1811" s="7" t="s">
        <v>4831</v>
      </c>
      <c r="O1811" s="7" t="s">
        <v>0</v>
      </c>
      <c r="P1811" s="7" t="s">
        <v>3833</v>
      </c>
      <c r="Q1811" s="7" t="s">
        <v>4435</v>
      </c>
      <c r="R1811" s="7" t="s">
        <v>198</v>
      </c>
      <c r="S1811" s="7" t="s">
        <v>198</v>
      </c>
      <c r="T1811" s="7" t="s">
        <v>54</v>
      </c>
      <c r="U1811" s="7" t="s">
        <v>199</v>
      </c>
      <c r="V1811" s="7" t="s">
        <v>211</v>
      </c>
      <c r="W1811" s="7" t="s">
        <v>57</v>
      </c>
      <c r="X1811" s="7" t="s">
        <v>58</v>
      </c>
      <c r="Y1811" s="8">
        <v>44672</v>
      </c>
      <c r="Z1811" s="8" t="s">
        <v>0</v>
      </c>
      <c r="AA1811" s="7" t="s">
        <v>212</v>
      </c>
      <c r="AB1811" s="7" t="s">
        <v>130</v>
      </c>
      <c r="AC1811" s="7" t="s">
        <v>65</v>
      </c>
      <c r="AD1811" s="7" t="s">
        <v>80</v>
      </c>
      <c r="AE1811" s="7" t="s">
        <v>0</v>
      </c>
      <c r="AF1811" s="7" t="s">
        <v>0</v>
      </c>
      <c r="AG1811" s="7" t="s">
        <v>0</v>
      </c>
      <c r="AH1811" s="9" t="s">
        <v>0</v>
      </c>
      <c r="AI1811" s="9" t="s">
        <v>0</v>
      </c>
      <c r="AJ1811" s="9" t="s">
        <v>0</v>
      </c>
      <c r="AK1811" s="7" t="s">
        <v>61</v>
      </c>
      <c r="AL1811" s="7" t="s">
        <v>61</v>
      </c>
      <c r="AM1811" s="7" t="s">
        <v>0</v>
      </c>
      <c r="AN1811" s="7" t="s">
        <v>0</v>
      </c>
      <c r="AO1811" s="7" t="s">
        <v>0</v>
      </c>
      <c r="AP1811" s="7" t="s">
        <v>0</v>
      </c>
      <c r="AQ1811" s="7" t="s">
        <v>61</v>
      </c>
      <c r="AR1811" s="7" t="s">
        <v>0</v>
      </c>
      <c r="AS1811" s="10" t="str">
        <f>HYPERLINK("https://tessa.gazprom-neft.local/edo/card/f32fbdfc-27c8-41ed-8ef2-fb9ec46a4dc4", "https://tessa.gazprom-neft.local/edo/card/f32fbdfc-27c8-41ed-8ef2-fb9ec46a4dc4")</f>
        <v>https://tessa.gazprom-neft.local/edo/card/f32fbdfc-27c8-41ed-8ef2-fb9ec46a4dc4</v>
      </c>
    </row>
    <row r="1812" spans="1:45" hidden="1" x14ac:dyDescent="0.25">
      <c r="A1812" s="6" t="s">
        <v>44</v>
      </c>
      <c r="B1812" s="7" t="s">
        <v>2852</v>
      </c>
      <c r="C1812" s="7" t="s">
        <v>67</v>
      </c>
      <c r="D1812" s="8">
        <v>44671</v>
      </c>
      <c r="E1812" s="8" t="s">
        <v>0</v>
      </c>
      <c r="F1812" s="16" t="s">
        <v>2853</v>
      </c>
      <c r="G1812" s="7" t="s">
        <v>2854</v>
      </c>
      <c r="H1812" s="7" t="s">
        <v>0</v>
      </c>
      <c r="I1812" s="7" t="s">
        <v>3938</v>
      </c>
      <c r="J1812" s="7" t="s">
        <v>3938</v>
      </c>
      <c r="K1812" s="7" t="s">
        <v>47</v>
      </c>
      <c r="L1812" s="7" t="s">
        <v>96</v>
      </c>
      <c r="M1812" s="7" t="s">
        <v>0</v>
      </c>
      <c r="N1812" s="7" t="s">
        <v>3937</v>
      </c>
      <c r="O1812" s="7" t="s">
        <v>0</v>
      </c>
      <c r="P1812" s="7" t="s">
        <v>2850</v>
      </c>
      <c r="Q1812" s="7" t="s">
        <v>3939</v>
      </c>
      <c r="R1812" s="7" t="s">
        <v>1753</v>
      </c>
      <c r="S1812" s="7" t="s">
        <v>1753</v>
      </c>
      <c r="T1812" s="7" t="s">
        <v>54</v>
      </c>
      <c r="U1812" s="7" t="s">
        <v>210</v>
      </c>
      <c r="V1812" s="7" t="s">
        <v>211</v>
      </c>
      <c r="W1812" s="7" t="s">
        <v>57</v>
      </c>
      <c r="X1812" s="7" t="s">
        <v>58</v>
      </c>
      <c r="Y1812" s="8">
        <v>44682</v>
      </c>
      <c r="Z1812" s="8" t="s">
        <v>0</v>
      </c>
      <c r="AA1812" s="7" t="s">
        <v>212</v>
      </c>
      <c r="AB1812" s="7" t="s">
        <v>1546</v>
      </c>
      <c r="AC1812" s="7" t="s">
        <v>79</v>
      </c>
      <c r="AD1812" s="7" t="s">
        <v>80</v>
      </c>
      <c r="AE1812" s="7" t="s">
        <v>82</v>
      </c>
      <c r="AF1812" s="7" t="s">
        <v>0</v>
      </c>
      <c r="AG1812" s="7" t="s">
        <v>0</v>
      </c>
      <c r="AH1812" s="9" t="s">
        <v>11871</v>
      </c>
      <c r="AI1812" s="9" t="s">
        <v>11872</v>
      </c>
      <c r="AJ1812" s="9" t="s">
        <v>11873</v>
      </c>
      <c r="AK1812" s="7" t="s">
        <v>61</v>
      </c>
      <c r="AL1812" s="7" t="s">
        <v>61</v>
      </c>
      <c r="AM1812" s="7" t="s">
        <v>0</v>
      </c>
      <c r="AN1812" s="7" t="s">
        <v>0</v>
      </c>
      <c r="AO1812" s="7" t="s">
        <v>0</v>
      </c>
      <c r="AP1812" s="7" t="s">
        <v>0</v>
      </c>
      <c r="AQ1812" s="7" t="s">
        <v>61</v>
      </c>
      <c r="AR1812" s="7" t="s">
        <v>0</v>
      </c>
      <c r="AS1812" s="10" t="str">
        <f>HYPERLINK("https://tessa.gazprom-neft.local/edo/card/add78004-456f-42d7-abdc-66f7f94e32b9", "https://tessa.gazprom-neft.local/edo/card/add78004-456f-42d7-abdc-66f7f94e32b9")</f>
        <v>https://tessa.gazprom-neft.local/edo/card/add78004-456f-42d7-abdc-66f7f94e32b9</v>
      </c>
    </row>
    <row r="1813" spans="1:45" hidden="1" x14ac:dyDescent="0.25">
      <c r="A1813" s="6" t="s">
        <v>44</v>
      </c>
      <c r="B1813" s="7" t="s">
        <v>127</v>
      </c>
      <c r="C1813" s="7" t="s">
        <v>67</v>
      </c>
      <c r="D1813" s="8">
        <v>44671</v>
      </c>
      <c r="E1813" s="8" t="s">
        <v>0</v>
      </c>
      <c r="F1813" s="16" t="s">
        <v>128</v>
      </c>
      <c r="G1813" s="7" t="s">
        <v>129</v>
      </c>
      <c r="H1813" s="7" t="s">
        <v>0</v>
      </c>
      <c r="I1813" s="7" t="s">
        <v>4381</v>
      </c>
      <c r="J1813" s="7" t="s">
        <v>4381</v>
      </c>
      <c r="K1813" s="7" t="s">
        <v>85</v>
      </c>
      <c r="L1813" s="7" t="s">
        <v>86</v>
      </c>
      <c r="M1813" s="7" t="s">
        <v>83</v>
      </c>
      <c r="N1813" s="7" t="s">
        <v>4380</v>
      </c>
      <c r="O1813" s="7" t="s">
        <v>0</v>
      </c>
      <c r="P1813" s="7" t="s">
        <v>83</v>
      </c>
      <c r="Q1813" s="7" t="s">
        <v>3054</v>
      </c>
      <c r="R1813" s="7" t="s">
        <v>659</v>
      </c>
      <c r="S1813" s="7" t="s">
        <v>4382</v>
      </c>
      <c r="T1813" s="7" t="s">
        <v>54</v>
      </c>
      <c r="U1813" s="7" t="s">
        <v>303</v>
      </c>
      <c r="V1813" s="7" t="s">
        <v>91</v>
      </c>
      <c r="W1813" s="7" t="s">
        <v>57</v>
      </c>
      <c r="X1813" s="7" t="s">
        <v>223</v>
      </c>
      <c r="Y1813" s="8">
        <v>44671</v>
      </c>
      <c r="Z1813" s="8" t="s">
        <v>0</v>
      </c>
      <c r="AA1813" s="7" t="s">
        <v>92</v>
      </c>
      <c r="AB1813" s="7" t="s">
        <v>94</v>
      </c>
      <c r="AC1813" s="7" t="s">
        <v>65</v>
      </c>
      <c r="AD1813" s="7" t="s">
        <v>0</v>
      </c>
      <c r="AE1813" s="7" t="s">
        <v>0</v>
      </c>
      <c r="AF1813" s="7" t="s">
        <v>0</v>
      </c>
      <c r="AG1813" s="7" t="s">
        <v>0</v>
      </c>
      <c r="AH1813" s="9" t="s">
        <v>0</v>
      </c>
      <c r="AI1813" s="9" t="s">
        <v>0</v>
      </c>
      <c r="AJ1813" s="9" t="s">
        <v>0</v>
      </c>
      <c r="AK1813" s="7" t="s">
        <v>61</v>
      </c>
      <c r="AL1813" s="7" t="s">
        <v>61</v>
      </c>
      <c r="AM1813" s="7" t="s">
        <v>0</v>
      </c>
      <c r="AN1813" s="7" t="s">
        <v>0</v>
      </c>
      <c r="AO1813" s="7" t="s">
        <v>0</v>
      </c>
      <c r="AP1813" s="7" t="s">
        <v>0</v>
      </c>
      <c r="AQ1813" s="7" t="s">
        <v>61</v>
      </c>
      <c r="AR1813" s="7" t="s">
        <v>0</v>
      </c>
      <c r="AS1813" s="10" t="str">
        <f>HYPERLINK("https://tessa.gazprom-neft.local/edo/card/6c58d935-9fc9-4180-a4d1-87bc0446e6c5", "https://tessa.gazprom-neft.local/edo/card/6c58d935-9fc9-4180-a4d1-87bc0446e6c5")</f>
        <v>https://tessa.gazprom-neft.local/edo/card/6c58d935-9fc9-4180-a4d1-87bc0446e6c5</v>
      </c>
    </row>
    <row r="1814" spans="1:45" x14ac:dyDescent="0.25">
      <c r="A1814" s="6" t="s">
        <v>44</v>
      </c>
      <c r="B1814" s="7" t="s">
        <v>753</v>
      </c>
      <c r="C1814" s="7" t="s">
        <v>67</v>
      </c>
      <c r="D1814" s="8">
        <v>44670</v>
      </c>
      <c r="E1814" s="8" t="s">
        <v>0</v>
      </c>
      <c r="F1814" s="16" t="s">
        <v>754</v>
      </c>
      <c r="G1814" s="7" t="s">
        <v>755</v>
      </c>
      <c r="H1814" s="7" t="s">
        <v>748</v>
      </c>
      <c r="I1814" s="7" t="s">
        <v>0</v>
      </c>
      <c r="J1814" s="7" t="s">
        <v>156</v>
      </c>
      <c r="K1814" s="7" t="s">
        <v>47</v>
      </c>
      <c r="L1814" s="7" t="s">
        <v>48</v>
      </c>
      <c r="M1814" s="7" t="s">
        <v>0</v>
      </c>
      <c r="N1814" s="7" t="s">
        <v>4238</v>
      </c>
      <c r="O1814" s="7" t="s">
        <v>0</v>
      </c>
      <c r="P1814" s="7" t="s">
        <v>3794</v>
      </c>
      <c r="Q1814" s="7" t="s">
        <v>3584</v>
      </c>
      <c r="R1814" s="7" t="s">
        <v>1575</v>
      </c>
      <c r="S1814" s="7" t="s">
        <v>0</v>
      </c>
      <c r="T1814" s="7" t="s">
        <v>54</v>
      </c>
      <c r="U1814" s="7" t="s">
        <v>222</v>
      </c>
      <c r="V1814" s="7" t="s">
        <v>382</v>
      </c>
      <c r="W1814" s="7" t="s">
        <v>57</v>
      </c>
      <c r="X1814" s="7" t="s">
        <v>58</v>
      </c>
      <c r="Y1814" s="8">
        <v>44670</v>
      </c>
      <c r="Z1814" s="8" t="s">
        <v>0</v>
      </c>
      <c r="AA1814" s="7" t="s">
        <v>383</v>
      </c>
      <c r="AB1814" s="7" t="s">
        <v>756</v>
      </c>
      <c r="AC1814" s="7" t="s">
        <v>65</v>
      </c>
      <c r="AD1814" s="7" t="s">
        <v>514</v>
      </c>
      <c r="AE1814" s="7" t="s">
        <v>0</v>
      </c>
      <c r="AF1814" s="7" t="s">
        <v>0</v>
      </c>
      <c r="AG1814" s="7" t="s">
        <v>0</v>
      </c>
      <c r="AH1814" s="9" t="s">
        <v>0</v>
      </c>
      <c r="AI1814" s="9" t="s">
        <v>0</v>
      </c>
      <c r="AJ1814" s="9" t="s">
        <v>0</v>
      </c>
      <c r="AK1814" s="7" t="s">
        <v>61</v>
      </c>
      <c r="AL1814" s="7" t="s">
        <v>61</v>
      </c>
      <c r="AM1814" s="7" t="s">
        <v>0</v>
      </c>
      <c r="AN1814" s="7" t="s">
        <v>0</v>
      </c>
      <c r="AO1814" s="7" t="s">
        <v>0</v>
      </c>
      <c r="AP1814" s="7" t="s">
        <v>0</v>
      </c>
      <c r="AQ1814" s="7" t="s">
        <v>61</v>
      </c>
      <c r="AR1814" s="7" t="s">
        <v>0</v>
      </c>
      <c r="AS1814" s="10" t="str">
        <f>HYPERLINK("https://tessa.gazprom-neft.local/edo/card/6af9c9f0-6654-4244-b912-f1d231329dec", "https://tessa.gazprom-neft.local/edo/card/6af9c9f0-6654-4244-b912-f1d231329dec")</f>
        <v>https://tessa.gazprom-neft.local/edo/card/6af9c9f0-6654-4244-b912-f1d231329dec</v>
      </c>
    </row>
    <row r="1815" spans="1:45" x14ac:dyDescent="0.25">
      <c r="A1815" s="6" t="s">
        <v>44</v>
      </c>
      <c r="B1815" s="7" t="s">
        <v>265</v>
      </c>
      <c r="C1815" s="7" t="s">
        <v>67</v>
      </c>
      <c r="D1815" s="8">
        <v>44669</v>
      </c>
      <c r="E1815" s="8" t="s">
        <v>0</v>
      </c>
      <c r="F1815" s="16" t="s">
        <v>266</v>
      </c>
      <c r="G1815" s="7" t="s">
        <v>267</v>
      </c>
      <c r="H1815" s="7" t="s">
        <v>261</v>
      </c>
      <c r="I1815" s="7" t="s">
        <v>0</v>
      </c>
      <c r="J1815" s="7" t="s">
        <v>1098</v>
      </c>
      <c r="K1815" s="7" t="s">
        <v>47</v>
      </c>
      <c r="L1815" s="7" t="s">
        <v>48</v>
      </c>
      <c r="M1815" s="7" t="s">
        <v>0</v>
      </c>
      <c r="N1815" s="7" t="s">
        <v>4215</v>
      </c>
      <c r="O1815" s="7" t="s">
        <v>0</v>
      </c>
      <c r="P1815" s="7" t="s">
        <v>4216</v>
      </c>
      <c r="Q1815" s="7" t="s">
        <v>4217</v>
      </c>
      <c r="R1815" s="7" t="s">
        <v>1551</v>
      </c>
      <c r="S1815" s="7" t="s">
        <v>198</v>
      </c>
      <c r="T1815" s="7" t="s">
        <v>54</v>
      </c>
      <c r="U1815" s="7" t="s">
        <v>210</v>
      </c>
      <c r="V1815" s="7" t="s">
        <v>211</v>
      </c>
      <c r="W1815" s="7" t="s">
        <v>57</v>
      </c>
      <c r="X1815" s="7" t="s">
        <v>103</v>
      </c>
      <c r="Y1815" s="8">
        <v>44669</v>
      </c>
      <c r="Z1815" s="8">
        <v>45657</v>
      </c>
      <c r="AA1815" s="7" t="s">
        <v>212</v>
      </c>
      <c r="AB1815" s="7" t="s">
        <v>2014</v>
      </c>
      <c r="AC1815" s="7" t="s">
        <v>65</v>
      </c>
      <c r="AD1815" s="7" t="s">
        <v>80</v>
      </c>
      <c r="AE1815" s="7" t="s">
        <v>0</v>
      </c>
      <c r="AF1815" s="7" t="s">
        <v>0</v>
      </c>
      <c r="AG1815" s="7" t="s">
        <v>0</v>
      </c>
      <c r="AH1815" s="9" t="s">
        <v>0</v>
      </c>
      <c r="AI1815" s="9" t="s">
        <v>0</v>
      </c>
      <c r="AJ1815" s="9" t="s">
        <v>0</v>
      </c>
      <c r="AK1815" s="7" t="s">
        <v>61</v>
      </c>
      <c r="AL1815" s="7" t="s">
        <v>61</v>
      </c>
      <c r="AM1815" s="7" t="s">
        <v>0</v>
      </c>
      <c r="AN1815" s="7" t="s">
        <v>0</v>
      </c>
      <c r="AO1815" s="7" t="s">
        <v>0</v>
      </c>
      <c r="AP1815" s="7" t="s">
        <v>0</v>
      </c>
      <c r="AQ1815" s="7" t="s">
        <v>61</v>
      </c>
      <c r="AR1815" s="7" t="s">
        <v>0</v>
      </c>
      <c r="AS1815" s="10" t="str">
        <f>HYPERLINK("https://tessa.gazprom-neft.local/edo/card/e5c5af73-e75b-4963-80f5-0ae43cf563b6", "https://tessa.gazprom-neft.local/edo/card/e5c5af73-e75b-4963-80f5-0ae43cf563b6")</f>
        <v>https://tessa.gazprom-neft.local/edo/card/e5c5af73-e75b-4963-80f5-0ae43cf563b6</v>
      </c>
    </row>
    <row r="1816" spans="1:45" x14ac:dyDescent="0.25">
      <c r="A1816" s="6" t="s">
        <v>44</v>
      </c>
      <c r="B1816" s="7" t="s">
        <v>127</v>
      </c>
      <c r="C1816" s="7" t="s">
        <v>67</v>
      </c>
      <c r="D1816" s="8">
        <v>44669</v>
      </c>
      <c r="E1816" s="8" t="s">
        <v>0</v>
      </c>
      <c r="F1816" s="16" t="s">
        <v>128</v>
      </c>
      <c r="G1816" s="7" t="s">
        <v>129</v>
      </c>
      <c r="H1816" s="7" t="s">
        <v>1661</v>
      </c>
      <c r="I1816" s="7" t="s">
        <v>0</v>
      </c>
      <c r="J1816" s="7" t="s">
        <v>70</v>
      </c>
      <c r="K1816" s="7" t="s">
        <v>47</v>
      </c>
      <c r="L1816" s="7" t="s">
        <v>48</v>
      </c>
      <c r="M1816" s="7" t="s">
        <v>0</v>
      </c>
      <c r="N1816" s="7" t="s">
        <v>4225</v>
      </c>
      <c r="O1816" s="7" t="s">
        <v>0</v>
      </c>
      <c r="P1816" s="7" t="s">
        <v>4226</v>
      </c>
      <c r="Q1816" s="7" t="s">
        <v>4227</v>
      </c>
      <c r="R1816" s="7" t="s">
        <v>1551</v>
      </c>
      <c r="S1816" s="7" t="s">
        <v>1551</v>
      </c>
      <c r="T1816" s="7" t="s">
        <v>54</v>
      </c>
      <c r="U1816" s="7" t="s">
        <v>210</v>
      </c>
      <c r="V1816" s="7" t="s">
        <v>211</v>
      </c>
      <c r="W1816" s="7" t="s">
        <v>57</v>
      </c>
      <c r="X1816" s="7" t="s">
        <v>58</v>
      </c>
      <c r="Y1816" s="8">
        <v>44669</v>
      </c>
      <c r="Z1816" s="8" t="s">
        <v>0</v>
      </c>
      <c r="AA1816" s="7" t="s">
        <v>212</v>
      </c>
      <c r="AB1816" s="7" t="s">
        <v>130</v>
      </c>
      <c r="AC1816" s="7" t="s">
        <v>65</v>
      </c>
      <c r="AD1816" s="7" t="s">
        <v>80</v>
      </c>
      <c r="AE1816" s="7" t="s">
        <v>0</v>
      </c>
      <c r="AF1816" s="7" t="s">
        <v>0</v>
      </c>
      <c r="AG1816" s="7" t="s">
        <v>0</v>
      </c>
      <c r="AH1816" s="9" t="s">
        <v>0</v>
      </c>
      <c r="AI1816" s="9" t="s">
        <v>0</v>
      </c>
      <c r="AJ1816" s="9" t="s">
        <v>0</v>
      </c>
      <c r="AK1816" s="7" t="s">
        <v>61</v>
      </c>
      <c r="AL1816" s="7" t="s">
        <v>61</v>
      </c>
      <c r="AM1816" s="7" t="s">
        <v>0</v>
      </c>
      <c r="AN1816" s="7" t="s">
        <v>0</v>
      </c>
      <c r="AO1816" s="7" t="s">
        <v>0</v>
      </c>
      <c r="AP1816" s="7" t="s">
        <v>0</v>
      </c>
      <c r="AQ1816" s="7" t="s">
        <v>61</v>
      </c>
      <c r="AR1816" s="7" t="s">
        <v>0</v>
      </c>
      <c r="AS1816" s="10" t="str">
        <f>HYPERLINK("https://tessa.gazprom-neft.local/edo/card/a1c39fb0-7a4e-4b82-a0e2-b37ba9442d74", "https://tessa.gazprom-neft.local/edo/card/a1c39fb0-7a4e-4b82-a0e2-b37ba9442d74")</f>
        <v>https://tessa.gazprom-neft.local/edo/card/a1c39fb0-7a4e-4b82-a0e2-b37ba9442d74</v>
      </c>
    </row>
    <row r="1817" spans="1:45" x14ac:dyDescent="0.25">
      <c r="A1817" s="6" t="s">
        <v>44</v>
      </c>
      <c r="B1817" s="7" t="s">
        <v>2266</v>
      </c>
      <c r="C1817" s="7" t="s">
        <v>46</v>
      </c>
      <c r="D1817" s="8">
        <v>44669</v>
      </c>
      <c r="E1817" s="8" t="s">
        <v>0</v>
      </c>
      <c r="F1817" s="16" t="s">
        <v>2267</v>
      </c>
      <c r="G1817" s="7" t="s">
        <v>2268</v>
      </c>
      <c r="H1817" s="7" t="s">
        <v>2263</v>
      </c>
      <c r="I1817" s="7" t="s">
        <v>0</v>
      </c>
      <c r="J1817" s="7" t="s">
        <v>271</v>
      </c>
      <c r="K1817" s="7" t="s">
        <v>47</v>
      </c>
      <c r="L1817" s="7" t="s">
        <v>48</v>
      </c>
      <c r="M1817" s="7" t="s">
        <v>0</v>
      </c>
      <c r="N1817" s="7" t="s">
        <v>4239</v>
      </c>
      <c r="O1817" s="7" t="s">
        <v>0</v>
      </c>
      <c r="P1817" s="7" t="s">
        <v>4240</v>
      </c>
      <c r="Q1817" s="7" t="s">
        <v>4241</v>
      </c>
      <c r="R1817" s="7" t="s">
        <v>799</v>
      </c>
      <c r="S1817" s="7" t="s">
        <v>0</v>
      </c>
      <c r="T1817" s="7" t="s">
        <v>54</v>
      </c>
      <c r="U1817" s="7" t="s">
        <v>55</v>
      </c>
      <c r="V1817" s="7" t="s">
        <v>56</v>
      </c>
      <c r="W1817" s="7" t="s">
        <v>57</v>
      </c>
      <c r="X1817" s="7" t="s">
        <v>103</v>
      </c>
      <c r="Y1817" s="8">
        <v>44669</v>
      </c>
      <c r="Z1817" s="8">
        <v>44896</v>
      </c>
      <c r="AA1817" s="7" t="s">
        <v>0</v>
      </c>
      <c r="AB1817" s="7" t="s">
        <v>130</v>
      </c>
      <c r="AC1817" s="7" t="s">
        <v>65</v>
      </c>
      <c r="AD1817" s="7" t="s">
        <v>80</v>
      </c>
      <c r="AE1817" s="7" t="s">
        <v>0</v>
      </c>
      <c r="AF1817" s="7" t="s">
        <v>0</v>
      </c>
      <c r="AG1817" s="7" t="s">
        <v>0</v>
      </c>
      <c r="AH1817" s="9" t="s">
        <v>0</v>
      </c>
      <c r="AI1817" s="9" t="s">
        <v>0</v>
      </c>
      <c r="AJ1817" s="9" t="s">
        <v>0</v>
      </c>
      <c r="AK1817" s="7" t="s">
        <v>61</v>
      </c>
      <c r="AL1817" s="7" t="s">
        <v>61</v>
      </c>
      <c r="AM1817" s="7" t="s">
        <v>0</v>
      </c>
      <c r="AN1817" s="7" t="s">
        <v>0</v>
      </c>
      <c r="AO1817" s="7" t="s">
        <v>0</v>
      </c>
      <c r="AP1817" s="7" t="s">
        <v>0</v>
      </c>
      <c r="AQ1817" s="7" t="s">
        <v>61</v>
      </c>
      <c r="AR1817" s="7" t="s">
        <v>0</v>
      </c>
      <c r="AS1817" s="10" t="str">
        <f>HYPERLINK("https://tessa.gazprom-neft.local/edo/card/0302877f-45c5-45c6-bc20-5ec4f9ab97fa", "https://tessa.gazprom-neft.local/edo/card/0302877f-45c5-45c6-bc20-5ec4f9ab97fa")</f>
        <v>https://tessa.gazprom-neft.local/edo/card/0302877f-45c5-45c6-bc20-5ec4f9ab97fa</v>
      </c>
    </row>
    <row r="1818" spans="1:45" hidden="1" x14ac:dyDescent="0.25">
      <c r="A1818" s="6" t="s">
        <v>44</v>
      </c>
      <c r="B1818" s="7" t="s">
        <v>245</v>
      </c>
      <c r="C1818" s="7" t="s">
        <v>67</v>
      </c>
      <c r="D1818" s="8">
        <v>44669</v>
      </c>
      <c r="E1818" s="8" t="s">
        <v>0</v>
      </c>
      <c r="F1818" s="16" t="s">
        <v>246</v>
      </c>
      <c r="G1818" s="7" t="s">
        <v>247</v>
      </c>
      <c r="H1818" s="7" t="s">
        <v>4256</v>
      </c>
      <c r="I1818" s="7" t="s">
        <v>0</v>
      </c>
      <c r="J1818" s="7" t="s">
        <v>4258</v>
      </c>
      <c r="K1818" s="7" t="s">
        <v>47</v>
      </c>
      <c r="L1818" s="7" t="s">
        <v>709</v>
      </c>
      <c r="M1818" s="7" t="s">
        <v>0</v>
      </c>
      <c r="N1818" s="7" t="s">
        <v>4255</v>
      </c>
      <c r="O1818" s="7" t="s">
        <v>0</v>
      </c>
      <c r="P1818" s="7" t="s">
        <v>4257</v>
      </c>
      <c r="Q1818" s="7" t="s">
        <v>4259</v>
      </c>
      <c r="R1818" s="7" t="s">
        <v>915</v>
      </c>
      <c r="S1818" s="7" t="s">
        <v>0</v>
      </c>
      <c r="T1818" s="7" t="s">
        <v>54</v>
      </c>
      <c r="U1818" s="7" t="s">
        <v>916</v>
      </c>
      <c r="V1818" s="7" t="s">
        <v>917</v>
      </c>
      <c r="W1818" s="7" t="s">
        <v>57</v>
      </c>
      <c r="X1818" s="7" t="s">
        <v>103</v>
      </c>
      <c r="Y1818" s="8">
        <v>44669</v>
      </c>
      <c r="Z1818" s="8">
        <v>44742</v>
      </c>
      <c r="AA1818" s="7" t="s">
        <v>1278</v>
      </c>
      <c r="AB1818" s="7" t="s">
        <v>256</v>
      </c>
      <c r="AC1818" s="7" t="s">
        <v>79</v>
      </c>
      <c r="AD1818" s="7" t="s">
        <v>144</v>
      </c>
      <c r="AE1818" s="7" t="s">
        <v>82</v>
      </c>
      <c r="AF1818" s="7" t="s">
        <v>0</v>
      </c>
      <c r="AG1818" s="7" t="s">
        <v>0</v>
      </c>
      <c r="AH1818" s="9" t="s">
        <v>11980</v>
      </c>
      <c r="AI1818" s="9" t="s">
        <v>11981</v>
      </c>
      <c r="AJ1818" s="9" t="s">
        <v>11982</v>
      </c>
      <c r="AK1818" s="7" t="s">
        <v>61</v>
      </c>
      <c r="AL1818" s="7" t="s">
        <v>61</v>
      </c>
      <c r="AM1818" s="7" t="s">
        <v>0</v>
      </c>
      <c r="AN1818" s="7" t="s">
        <v>0</v>
      </c>
      <c r="AO1818" s="7" t="s">
        <v>0</v>
      </c>
      <c r="AP1818" s="7" t="s">
        <v>0</v>
      </c>
      <c r="AQ1818" s="7" t="s">
        <v>61</v>
      </c>
      <c r="AR1818" s="7" t="s">
        <v>0</v>
      </c>
      <c r="AS1818" s="10" t="str">
        <f>HYPERLINK("https://tessa.gazprom-neft.local/edo/card/a511763e-c0bb-4695-8984-f4496372f0be", "https://tessa.gazprom-neft.local/edo/card/a511763e-c0bb-4695-8984-f4496372f0be")</f>
        <v>https://tessa.gazprom-neft.local/edo/card/a511763e-c0bb-4695-8984-f4496372f0be</v>
      </c>
    </row>
    <row r="1819" spans="1:45" hidden="1" x14ac:dyDescent="0.25">
      <c r="A1819" s="6" t="s">
        <v>44</v>
      </c>
      <c r="B1819" s="7" t="s">
        <v>1950</v>
      </c>
      <c r="C1819" s="7" t="s">
        <v>67</v>
      </c>
      <c r="D1819" s="8">
        <v>44666</v>
      </c>
      <c r="E1819" s="8" t="s">
        <v>0</v>
      </c>
      <c r="F1819" s="16" t="s">
        <v>1951</v>
      </c>
      <c r="G1819" s="7" t="s">
        <v>1952</v>
      </c>
      <c r="H1819" s="7" t="s">
        <v>1947</v>
      </c>
      <c r="I1819" s="7" t="s">
        <v>0</v>
      </c>
      <c r="J1819" s="7" t="s">
        <v>271</v>
      </c>
      <c r="K1819" s="7" t="s">
        <v>47</v>
      </c>
      <c r="L1819" s="7" t="s">
        <v>239</v>
      </c>
      <c r="M1819" s="7" t="s">
        <v>0</v>
      </c>
      <c r="N1819" s="7" t="s">
        <v>3780</v>
      </c>
      <c r="O1819" s="7" t="s">
        <v>0</v>
      </c>
      <c r="P1819" s="7" t="s">
        <v>3781</v>
      </c>
      <c r="Q1819" s="7" t="s">
        <v>3782</v>
      </c>
      <c r="R1819" s="7" t="s">
        <v>1711</v>
      </c>
      <c r="S1819" s="7" t="s">
        <v>1711</v>
      </c>
      <c r="T1819" s="7" t="s">
        <v>54</v>
      </c>
      <c r="U1819" s="7" t="s">
        <v>605</v>
      </c>
      <c r="V1819" s="7" t="s">
        <v>382</v>
      </c>
      <c r="W1819" s="7" t="s">
        <v>57</v>
      </c>
      <c r="X1819" s="7" t="s">
        <v>103</v>
      </c>
      <c r="Y1819" s="8">
        <v>44666</v>
      </c>
      <c r="Z1819" s="8">
        <v>44926</v>
      </c>
      <c r="AA1819" s="7" t="s">
        <v>383</v>
      </c>
      <c r="AB1819" s="7" t="s">
        <v>1893</v>
      </c>
      <c r="AC1819" s="7" t="s">
        <v>79</v>
      </c>
      <c r="AD1819" s="7" t="s">
        <v>144</v>
      </c>
      <c r="AE1819" s="7" t="s">
        <v>889</v>
      </c>
      <c r="AF1819" s="7" t="s">
        <v>0</v>
      </c>
      <c r="AG1819" s="7" t="s">
        <v>0</v>
      </c>
      <c r="AH1819" s="9" t="s">
        <v>11816</v>
      </c>
      <c r="AI1819" s="9" t="s">
        <v>11816</v>
      </c>
      <c r="AJ1819" s="9">
        <v>0</v>
      </c>
      <c r="AK1819" s="7" t="s">
        <v>61</v>
      </c>
      <c r="AL1819" s="7" t="s">
        <v>61</v>
      </c>
      <c r="AM1819" s="7" t="s">
        <v>0</v>
      </c>
      <c r="AN1819" s="7" t="s">
        <v>0</v>
      </c>
      <c r="AO1819" s="7" t="s">
        <v>0</v>
      </c>
      <c r="AP1819" s="7" t="s">
        <v>0</v>
      </c>
      <c r="AQ1819" s="7" t="s">
        <v>61</v>
      </c>
      <c r="AR1819" s="7" t="s">
        <v>0</v>
      </c>
      <c r="AS1819" s="10" t="str">
        <f>HYPERLINK("https://tessa.gazprom-neft.local/edo/card/b2f77bc7-0c1d-43d8-b46e-2ccb71b8b14d", "https://tessa.gazprom-neft.local/edo/card/b2f77bc7-0c1d-43d8-b46e-2ccb71b8b14d")</f>
        <v>https://tessa.gazprom-neft.local/edo/card/b2f77bc7-0c1d-43d8-b46e-2ccb71b8b14d</v>
      </c>
    </row>
    <row r="1820" spans="1:45" x14ac:dyDescent="0.25">
      <c r="A1820" s="6" t="s">
        <v>44</v>
      </c>
      <c r="B1820" s="7" t="s">
        <v>4319</v>
      </c>
      <c r="C1820" s="7" t="s">
        <v>67</v>
      </c>
      <c r="D1820" s="8">
        <v>44666</v>
      </c>
      <c r="E1820" s="8" t="s">
        <v>0</v>
      </c>
      <c r="F1820" s="16" t="s">
        <v>4320</v>
      </c>
      <c r="G1820" s="7" t="s">
        <v>4321</v>
      </c>
      <c r="H1820" s="7" t="s">
        <v>4317</v>
      </c>
      <c r="I1820" s="7" t="s">
        <v>0</v>
      </c>
      <c r="J1820" s="7" t="s">
        <v>51</v>
      </c>
      <c r="K1820" s="7" t="s">
        <v>85</v>
      </c>
      <c r="L1820" s="7" t="s">
        <v>48</v>
      </c>
      <c r="M1820" s="7" t="s">
        <v>3833</v>
      </c>
      <c r="N1820" s="7" t="s">
        <v>4316</v>
      </c>
      <c r="O1820" s="7" t="s">
        <v>0</v>
      </c>
      <c r="P1820" s="7" t="s">
        <v>3833</v>
      </c>
      <c r="Q1820" s="7" t="s">
        <v>4318</v>
      </c>
      <c r="R1820" s="7" t="s">
        <v>659</v>
      </c>
      <c r="S1820" s="7" t="s">
        <v>1261</v>
      </c>
      <c r="T1820" s="7" t="s">
        <v>54</v>
      </c>
      <c r="U1820" s="7" t="s">
        <v>125</v>
      </c>
      <c r="V1820" s="7" t="s">
        <v>382</v>
      </c>
      <c r="W1820" s="7" t="s">
        <v>57</v>
      </c>
      <c r="X1820" s="7" t="s">
        <v>103</v>
      </c>
      <c r="Y1820" s="8">
        <v>44666</v>
      </c>
      <c r="Z1820" s="8">
        <v>46387</v>
      </c>
      <c r="AA1820" s="7" t="s">
        <v>383</v>
      </c>
      <c r="AB1820" s="7" t="s">
        <v>1143</v>
      </c>
      <c r="AC1820" s="7" t="s">
        <v>65</v>
      </c>
      <c r="AD1820" s="7" t="s">
        <v>514</v>
      </c>
      <c r="AE1820" s="7" t="s">
        <v>0</v>
      </c>
      <c r="AF1820" s="7" t="s">
        <v>0</v>
      </c>
      <c r="AG1820" s="7" t="s">
        <v>0</v>
      </c>
      <c r="AH1820" s="9" t="s">
        <v>0</v>
      </c>
      <c r="AI1820" s="9" t="s">
        <v>0</v>
      </c>
      <c r="AJ1820" s="9" t="s">
        <v>0</v>
      </c>
      <c r="AK1820" s="7" t="s">
        <v>61</v>
      </c>
      <c r="AL1820" s="7" t="s">
        <v>61</v>
      </c>
      <c r="AM1820" s="7" t="s">
        <v>0</v>
      </c>
      <c r="AN1820" s="7" t="s">
        <v>0</v>
      </c>
      <c r="AO1820" s="7" t="s">
        <v>0</v>
      </c>
      <c r="AP1820" s="7" t="s">
        <v>0</v>
      </c>
      <c r="AQ1820" s="7" t="s">
        <v>61</v>
      </c>
      <c r="AR1820" s="7" t="s">
        <v>0</v>
      </c>
      <c r="AS1820" s="10" t="str">
        <f>HYPERLINK("https://tessa.gazprom-neft.local/edo/card/25d5c5f5-62a1-4ed5-8bff-74bc85a069df", "https://tessa.gazprom-neft.local/edo/card/25d5c5f5-62a1-4ed5-8bff-74bc85a069df")</f>
        <v>https://tessa.gazprom-neft.local/edo/card/25d5c5f5-62a1-4ed5-8bff-74bc85a069df</v>
      </c>
    </row>
    <row r="1821" spans="1:45" x14ac:dyDescent="0.25">
      <c r="A1821" s="6" t="s">
        <v>44</v>
      </c>
      <c r="B1821" s="7" t="s">
        <v>661</v>
      </c>
      <c r="C1821" s="7" t="s">
        <v>67</v>
      </c>
      <c r="D1821" s="8">
        <v>44666</v>
      </c>
      <c r="E1821" s="8" t="s">
        <v>0</v>
      </c>
      <c r="F1821" s="16" t="s">
        <v>662</v>
      </c>
      <c r="G1821" s="7" t="s">
        <v>663</v>
      </c>
      <c r="H1821" s="7" t="s">
        <v>1426</v>
      </c>
      <c r="I1821" s="7" t="s">
        <v>0</v>
      </c>
      <c r="J1821" s="7" t="s">
        <v>1098</v>
      </c>
      <c r="K1821" s="7" t="s">
        <v>85</v>
      </c>
      <c r="L1821" s="7" t="s">
        <v>48</v>
      </c>
      <c r="M1821" s="7" t="s">
        <v>3833</v>
      </c>
      <c r="N1821" s="7" t="s">
        <v>4339</v>
      </c>
      <c r="O1821" s="7" t="s">
        <v>0</v>
      </c>
      <c r="P1821" s="7" t="s">
        <v>3833</v>
      </c>
      <c r="Q1821" s="7" t="s">
        <v>4318</v>
      </c>
      <c r="R1821" s="7" t="s">
        <v>659</v>
      </c>
      <c r="S1821" s="7" t="s">
        <v>660</v>
      </c>
      <c r="T1821" s="7" t="s">
        <v>54</v>
      </c>
      <c r="U1821" s="7" t="s">
        <v>283</v>
      </c>
      <c r="V1821" s="7" t="s">
        <v>102</v>
      </c>
      <c r="W1821" s="7" t="s">
        <v>57</v>
      </c>
      <c r="X1821" s="7" t="s">
        <v>103</v>
      </c>
      <c r="Y1821" s="8">
        <v>44666</v>
      </c>
      <c r="Z1821" s="8">
        <v>45657</v>
      </c>
      <c r="AA1821" s="7" t="s">
        <v>104</v>
      </c>
      <c r="AB1821" s="7" t="s">
        <v>130</v>
      </c>
      <c r="AC1821" s="7" t="s">
        <v>65</v>
      </c>
      <c r="AD1821" s="7" t="s">
        <v>0</v>
      </c>
      <c r="AE1821" s="7" t="s">
        <v>0</v>
      </c>
      <c r="AF1821" s="7" t="s">
        <v>0</v>
      </c>
      <c r="AG1821" s="7" t="s">
        <v>0</v>
      </c>
      <c r="AH1821" s="9" t="s">
        <v>0</v>
      </c>
      <c r="AI1821" s="9" t="s">
        <v>0</v>
      </c>
      <c r="AJ1821" s="9" t="s">
        <v>0</v>
      </c>
      <c r="AK1821" s="7" t="s">
        <v>61</v>
      </c>
      <c r="AL1821" s="7" t="s">
        <v>61</v>
      </c>
      <c r="AM1821" s="7" t="s">
        <v>0</v>
      </c>
      <c r="AN1821" s="7" t="s">
        <v>0</v>
      </c>
      <c r="AO1821" s="7" t="s">
        <v>0</v>
      </c>
      <c r="AP1821" s="7" t="s">
        <v>0</v>
      </c>
      <c r="AQ1821" s="7" t="s">
        <v>61</v>
      </c>
      <c r="AR1821" s="7" t="s">
        <v>0</v>
      </c>
      <c r="AS1821" s="10" t="str">
        <f>HYPERLINK("https://tessa.gazprom-neft.local/edo/card/f995839a-3a10-48cc-bee4-45e43436a5de", "https://tessa.gazprom-neft.local/edo/card/f995839a-3a10-48cc-bee4-45e43436a5de")</f>
        <v>https://tessa.gazprom-neft.local/edo/card/f995839a-3a10-48cc-bee4-45e43436a5de</v>
      </c>
    </row>
    <row r="1822" spans="1:45" x14ac:dyDescent="0.25">
      <c r="A1822" s="6" t="s">
        <v>44</v>
      </c>
      <c r="B1822" s="7" t="s">
        <v>1909</v>
      </c>
      <c r="C1822" s="7" t="s">
        <v>67</v>
      </c>
      <c r="D1822" s="8">
        <v>44665</v>
      </c>
      <c r="E1822" s="8" t="s">
        <v>0</v>
      </c>
      <c r="F1822" s="16" t="s">
        <v>1910</v>
      </c>
      <c r="G1822" s="7" t="s">
        <v>1911</v>
      </c>
      <c r="H1822" s="7" t="s">
        <v>4097</v>
      </c>
      <c r="I1822" s="7" t="s">
        <v>0</v>
      </c>
      <c r="J1822" s="7" t="s">
        <v>271</v>
      </c>
      <c r="K1822" s="7" t="s">
        <v>85</v>
      </c>
      <c r="L1822" s="7" t="s">
        <v>48</v>
      </c>
      <c r="M1822" s="7" t="s">
        <v>3833</v>
      </c>
      <c r="N1822" s="7" t="s">
        <v>4096</v>
      </c>
      <c r="O1822" s="7" t="s">
        <v>0</v>
      </c>
      <c r="P1822" s="7" t="s">
        <v>3833</v>
      </c>
      <c r="Q1822" s="7" t="s">
        <v>4098</v>
      </c>
      <c r="R1822" s="7" t="s">
        <v>220</v>
      </c>
      <c r="S1822" s="7" t="s">
        <v>1261</v>
      </c>
      <c r="T1822" s="7" t="s">
        <v>54</v>
      </c>
      <c r="U1822" s="7" t="s">
        <v>222</v>
      </c>
      <c r="V1822" s="7" t="s">
        <v>382</v>
      </c>
      <c r="W1822" s="7" t="s">
        <v>57</v>
      </c>
      <c r="X1822" s="7" t="s">
        <v>58</v>
      </c>
      <c r="Y1822" s="8">
        <v>44663</v>
      </c>
      <c r="Z1822" s="8" t="s">
        <v>0</v>
      </c>
      <c r="AA1822" s="7" t="s">
        <v>383</v>
      </c>
      <c r="AB1822" s="7" t="s">
        <v>387</v>
      </c>
      <c r="AC1822" s="7" t="s">
        <v>65</v>
      </c>
      <c r="AD1822" s="7" t="s">
        <v>0</v>
      </c>
      <c r="AE1822" s="7" t="s">
        <v>0</v>
      </c>
      <c r="AF1822" s="7" t="s">
        <v>0</v>
      </c>
      <c r="AG1822" s="7" t="s">
        <v>0</v>
      </c>
      <c r="AH1822" s="9" t="s">
        <v>0</v>
      </c>
      <c r="AI1822" s="9" t="s">
        <v>0</v>
      </c>
      <c r="AJ1822" s="9" t="s">
        <v>0</v>
      </c>
      <c r="AK1822" s="7" t="s">
        <v>61</v>
      </c>
      <c r="AL1822" s="7" t="s">
        <v>61</v>
      </c>
      <c r="AM1822" s="7" t="s">
        <v>0</v>
      </c>
      <c r="AN1822" s="7" t="s">
        <v>0</v>
      </c>
      <c r="AO1822" s="7" t="s">
        <v>0</v>
      </c>
      <c r="AP1822" s="7" t="s">
        <v>0</v>
      </c>
      <c r="AQ1822" s="7" t="s">
        <v>61</v>
      </c>
      <c r="AR1822" s="7" t="s">
        <v>0</v>
      </c>
      <c r="AS1822" s="10" t="str">
        <f>HYPERLINK("https://tessa.gazprom-neft.local/edo/card/3fb64436-cc5f-4cec-898a-5f2138189e84", "https://tessa.gazprom-neft.local/edo/card/3fb64436-cc5f-4cec-898a-5f2138189e84")</f>
        <v>https://tessa.gazprom-neft.local/edo/card/3fb64436-cc5f-4cec-898a-5f2138189e84</v>
      </c>
    </row>
    <row r="1823" spans="1:45" hidden="1" x14ac:dyDescent="0.25">
      <c r="A1823" s="6" t="s">
        <v>44</v>
      </c>
      <c r="B1823" s="7" t="s">
        <v>245</v>
      </c>
      <c r="C1823" s="7" t="s">
        <v>67</v>
      </c>
      <c r="D1823" s="8">
        <v>44664</v>
      </c>
      <c r="E1823" s="8" t="s">
        <v>0</v>
      </c>
      <c r="F1823" s="16" t="s">
        <v>246</v>
      </c>
      <c r="G1823" s="7" t="s">
        <v>247</v>
      </c>
      <c r="H1823" s="7" t="s">
        <v>574</v>
      </c>
      <c r="I1823" s="7" t="s">
        <v>0</v>
      </c>
      <c r="J1823" s="7" t="s">
        <v>3492</v>
      </c>
      <c r="K1823" s="7" t="s">
        <v>47</v>
      </c>
      <c r="L1823" s="7" t="s">
        <v>239</v>
      </c>
      <c r="M1823" s="7" t="s">
        <v>0</v>
      </c>
      <c r="N1823" s="7" t="s">
        <v>3490</v>
      </c>
      <c r="O1823" s="7" t="s">
        <v>0</v>
      </c>
      <c r="P1823" s="7" t="s">
        <v>3491</v>
      </c>
      <c r="Q1823" s="7" t="s">
        <v>3493</v>
      </c>
      <c r="R1823" s="7" t="s">
        <v>244</v>
      </c>
      <c r="S1823" s="7" t="s">
        <v>0</v>
      </c>
      <c r="T1823" s="7" t="s">
        <v>54</v>
      </c>
      <c r="U1823" s="7" t="s">
        <v>55</v>
      </c>
      <c r="V1823" s="7" t="s">
        <v>56</v>
      </c>
      <c r="W1823" s="7" t="s">
        <v>57</v>
      </c>
      <c r="X1823" s="7" t="s">
        <v>103</v>
      </c>
      <c r="Y1823" s="8">
        <v>44650</v>
      </c>
      <c r="Z1823" s="8">
        <v>45016</v>
      </c>
      <c r="AA1823" s="7" t="s">
        <v>59</v>
      </c>
      <c r="AB1823" s="7" t="s">
        <v>256</v>
      </c>
      <c r="AC1823" s="7" t="s">
        <v>79</v>
      </c>
      <c r="AD1823" s="7" t="s">
        <v>144</v>
      </c>
      <c r="AE1823" s="7" t="s">
        <v>82</v>
      </c>
      <c r="AF1823" s="7" t="s">
        <v>0</v>
      </c>
      <c r="AG1823" s="7" t="s">
        <v>0</v>
      </c>
      <c r="AH1823" s="9" t="s">
        <v>11695</v>
      </c>
      <c r="AI1823" s="9" t="s">
        <v>11696</v>
      </c>
      <c r="AJ1823" s="9" t="s">
        <v>11697</v>
      </c>
      <c r="AK1823" s="7" t="s">
        <v>61</v>
      </c>
      <c r="AL1823" s="7" t="s">
        <v>61</v>
      </c>
      <c r="AM1823" s="7" t="s">
        <v>0</v>
      </c>
      <c r="AN1823" s="7" t="s">
        <v>0</v>
      </c>
      <c r="AO1823" s="7" t="s">
        <v>0</v>
      </c>
      <c r="AP1823" s="7" t="s">
        <v>0</v>
      </c>
      <c r="AQ1823" s="7" t="s">
        <v>61</v>
      </c>
      <c r="AR1823" s="7" t="s">
        <v>0</v>
      </c>
      <c r="AS1823" s="10" t="str">
        <f>HYPERLINK("https://tessa.gazprom-neft.local/edo/card/8ae7531d-91f4-400a-9af6-d62e482c24a7", "https://tessa.gazprom-neft.local/edo/card/8ae7531d-91f4-400a-9af6-d62e482c24a7")</f>
        <v>https://tessa.gazprom-neft.local/edo/card/8ae7531d-91f4-400a-9af6-d62e482c24a7</v>
      </c>
    </row>
    <row r="1824" spans="1:45" x14ac:dyDescent="0.25">
      <c r="A1824" s="6" t="s">
        <v>44</v>
      </c>
      <c r="B1824" s="7" t="s">
        <v>342</v>
      </c>
      <c r="C1824" s="7" t="s">
        <v>67</v>
      </c>
      <c r="D1824" s="8">
        <v>44664</v>
      </c>
      <c r="E1824" s="8" t="s">
        <v>0</v>
      </c>
      <c r="F1824" s="16" t="s">
        <v>343</v>
      </c>
      <c r="G1824" s="7" t="s">
        <v>344</v>
      </c>
      <c r="H1824" s="7" t="s">
        <v>4147</v>
      </c>
      <c r="I1824" s="7" t="s">
        <v>0</v>
      </c>
      <c r="J1824" s="7" t="s">
        <v>955</v>
      </c>
      <c r="K1824" s="7" t="s">
        <v>85</v>
      </c>
      <c r="L1824" s="7" t="s">
        <v>48</v>
      </c>
      <c r="M1824" s="7" t="s">
        <v>3833</v>
      </c>
      <c r="N1824" s="7" t="s">
        <v>4146</v>
      </c>
      <c r="O1824" s="7" t="s">
        <v>0</v>
      </c>
      <c r="P1824" s="7" t="s">
        <v>3833</v>
      </c>
      <c r="Q1824" s="7" t="s">
        <v>3835</v>
      </c>
      <c r="R1824" s="7" t="s">
        <v>339</v>
      </c>
      <c r="S1824" s="7" t="s">
        <v>339</v>
      </c>
      <c r="T1824" s="7" t="s">
        <v>54</v>
      </c>
      <c r="U1824" s="7" t="s">
        <v>303</v>
      </c>
      <c r="V1824" s="7" t="s">
        <v>91</v>
      </c>
      <c r="W1824" s="7" t="s">
        <v>57</v>
      </c>
      <c r="X1824" s="7" t="s">
        <v>223</v>
      </c>
      <c r="Y1824" s="8">
        <v>44664</v>
      </c>
      <c r="Z1824" s="8" t="s">
        <v>0</v>
      </c>
      <c r="AA1824" s="7" t="s">
        <v>92</v>
      </c>
      <c r="AB1824" s="7" t="s">
        <v>64</v>
      </c>
      <c r="AC1824" s="7" t="s">
        <v>65</v>
      </c>
      <c r="AD1824" s="7" t="s">
        <v>0</v>
      </c>
      <c r="AE1824" s="7" t="s">
        <v>0</v>
      </c>
      <c r="AF1824" s="7" t="s">
        <v>0</v>
      </c>
      <c r="AG1824" s="7" t="s">
        <v>0</v>
      </c>
      <c r="AH1824" s="9" t="s">
        <v>0</v>
      </c>
      <c r="AI1824" s="9" t="s">
        <v>0</v>
      </c>
      <c r="AJ1824" s="9" t="s">
        <v>0</v>
      </c>
      <c r="AK1824" s="7" t="s">
        <v>61</v>
      </c>
      <c r="AL1824" s="7" t="s">
        <v>61</v>
      </c>
      <c r="AM1824" s="7" t="s">
        <v>0</v>
      </c>
      <c r="AN1824" s="7" t="s">
        <v>0</v>
      </c>
      <c r="AO1824" s="7" t="s">
        <v>0</v>
      </c>
      <c r="AP1824" s="7" t="s">
        <v>0</v>
      </c>
      <c r="AQ1824" s="7" t="s">
        <v>61</v>
      </c>
      <c r="AR1824" s="7" t="s">
        <v>0</v>
      </c>
      <c r="AS1824" s="10" t="str">
        <f>HYPERLINK("https://tessa.gazprom-neft.local/edo/card/763e3f22-674f-4300-8490-bd734f14d402", "https://tessa.gazprom-neft.local/edo/card/763e3f22-674f-4300-8490-bd734f14d402")</f>
        <v>https://tessa.gazprom-neft.local/edo/card/763e3f22-674f-4300-8490-bd734f14d402</v>
      </c>
    </row>
    <row r="1825" spans="1:45" x14ac:dyDescent="0.25">
      <c r="A1825" s="6" t="s">
        <v>44</v>
      </c>
      <c r="B1825" s="7" t="s">
        <v>737</v>
      </c>
      <c r="C1825" s="7" t="s">
        <v>67</v>
      </c>
      <c r="D1825" s="8">
        <v>44663</v>
      </c>
      <c r="E1825" s="8" t="s">
        <v>0</v>
      </c>
      <c r="F1825" s="16" t="s">
        <v>738</v>
      </c>
      <c r="G1825" s="7" t="s">
        <v>739</v>
      </c>
      <c r="H1825" s="7" t="s">
        <v>4007</v>
      </c>
      <c r="I1825" s="7" t="s">
        <v>0</v>
      </c>
      <c r="J1825" s="7" t="s">
        <v>51</v>
      </c>
      <c r="K1825" s="7" t="s">
        <v>47</v>
      </c>
      <c r="L1825" s="7" t="s">
        <v>48</v>
      </c>
      <c r="M1825" s="7" t="s">
        <v>0</v>
      </c>
      <c r="N1825" s="7" t="s">
        <v>4006</v>
      </c>
      <c r="O1825" s="7" t="s">
        <v>0</v>
      </c>
      <c r="P1825" s="7" t="s">
        <v>4008</v>
      </c>
      <c r="Q1825" s="7" t="s">
        <v>4009</v>
      </c>
      <c r="R1825" s="7" t="s">
        <v>244</v>
      </c>
      <c r="S1825" s="7" t="s">
        <v>244</v>
      </c>
      <c r="T1825" s="7" t="s">
        <v>54</v>
      </c>
      <c r="U1825" s="7" t="s">
        <v>55</v>
      </c>
      <c r="V1825" s="7" t="s">
        <v>56</v>
      </c>
      <c r="W1825" s="7" t="s">
        <v>57</v>
      </c>
      <c r="X1825" s="7" t="s">
        <v>103</v>
      </c>
      <c r="Y1825" s="8">
        <v>44663</v>
      </c>
      <c r="Z1825" s="8">
        <v>45291</v>
      </c>
      <c r="AA1825" s="7" t="s">
        <v>59</v>
      </c>
      <c r="AB1825" s="7" t="s">
        <v>256</v>
      </c>
      <c r="AC1825" s="7" t="s">
        <v>65</v>
      </c>
      <c r="AD1825" s="7" t="s">
        <v>0</v>
      </c>
      <c r="AE1825" s="7" t="s">
        <v>0</v>
      </c>
      <c r="AF1825" s="7" t="s">
        <v>0</v>
      </c>
      <c r="AG1825" s="7" t="s">
        <v>0</v>
      </c>
      <c r="AH1825" s="9" t="s">
        <v>0</v>
      </c>
      <c r="AI1825" s="9" t="s">
        <v>0</v>
      </c>
      <c r="AJ1825" s="9" t="s">
        <v>0</v>
      </c>
      <c r="AK1825" s="7" t="s">
        <v>61</v>
      </c>
      <c r="AL1825" s="7" t="s">
        <v>61</v>
      </c>
      <c r="AM1825" s="7" t="s">
        <v>0</v>
      </c>
      <c r="AN1825" s="7" t="s">
        <v>0</v>
      </c>
      <c r="AO1825" s="7" t="s">
        <v>0</v>
      </c>
      <c r="AP1825" s="7" t="s">
        <v>0</v>
      </c>
      <c r="AQ1825" s="7" t="s">
        <v>61</v>
      </c>
      <c r="AR1825" s="7" t="s">
        <v>0</v>
      </c>
      <c r="AS1825" s="10" t="str">
        <f>HYPERLINK("https://tessa.gazprom-neft.local/edo/card/579d0334-bb5e-4db3-bfe4-0503692c1fe1", "https://tessa.gazprom-neft.local/edo/card/579d0334-bb5e-4db3-bfe4-0503692c1fe1")</f>
        <v>https://tessa.gazprom-neft.local/edo/card/579d0334-bb5e-4db3-bfe4-0503692c1fe1</v>
      </c>
    </row>
    <row r="1826" spans="1:45" hidden="1" x14ac:dyDescent="0.25">
      <c r="A1826" s="6" t="s">
        <v>44</v>
      </c>
      <c r="B1826" s="7" t="s">
        <v>245</v>
      </c>
      <c r="C1826" s="7" t="s">
        <v>67</v>
      </c>
      <c r="D1826" s="8">
        <v>44663</v>
      </c>
      <c r="E1826" s="8" t="s">
        <v>0</v>
      </c>
      <c r="F1826" s="16" t="s">
        <v>246</v>
      </c>
      <c r="G1826" s="7" t="s">
        <v>247</v>
      </c>
      <c r="H1826" s="7" t="s">
        <v>574</v>
      </c>
      <c r="I1826" s="7" t="s">
        <v>0</v>
      </c>
      <c r="J1826" s="7" t="s">
        <v>4019</v>
      </c>
      <c r="K1826" s="7" t="s">
        <v>47</v>
      </c>
      <c r="L1826" s="7" t="s">
        <v>239</v>
      </c>
      <c r="M1826" s="7" t="s">
        <v>0</v>
      </c>
      <c r="N1826" s="7" t="s">
        <v>4017</v>
      </c>
      <c r="O1826" s="7" t="s">
        <v>0</v>
      </c>
      <c r="P1826" s="7" t="s">
        <v>4018</v>
      </c>
      <c r="Q1826" s="7" t="s">
        <v>4020</v>
      </c>
      <c r="R1826" s="7" t="s">
        <v>244</v>
      </c>
      <c r="S1826" s="7" t="s">
        <v>244</v>
      </c>
      <c r="T1826" s="7" t="s">
        <v>54</v>
      </c>
      <c r="U1826" s="7" t="s">
        <v>55</v>
      </c>
      <c r="V1826" s="7" t="s">
        <v>56</v>
      </c>
      <c r="W1826" s="7" t="s">
        <v>57</v>
      </c>
      <c r="X1826" s="7" t="s">
        <v>103</v>
      </c>
      <c r="Y1826" s="8">
        <v>44663</v>
      </c>
      <c r="Z1826" s="8">
        <v>44925</v>
      </c>
      <c r="AA1826" s="7" t="s">
        <v>59</v>
      </c>
      <c r="AB1826" s="7" t="s">
        <v>545</v>
      </c>
      <c r="AC1826" s="7" t="s">
        <v>79</v>
      </c>
      <c r="AD1826" s="7" t="s">
        <v>144</v>
      </c>
      <c r="AE1826" s="7" t="s">
        <v>82</v>
      </c>
      <c r="AF1826" s="7" t="s">
        <v>0</v>
      </c>
      <c r="AG1826" s="7" t="s">
        <v>0</v>
      </c>
      <c r="AH1826" s="9" t="s">
        <v>11901</v>
      </c>
      <c r="AI1826" s="9" t="s">
        <v>11902</v>
      </c>
      <c r="AJ1826" s="9" t="s">
        <v>11903</v>
      </c>
      <c r="AK1826" s="7" t="s">
        <v>61</v>
      </c>
      <c r="AL1826" s="7" t="s">
        <v>61</v>
      </c>
      <c r="AM1826" s="7" t="s">
        <v>0</v>
      </c>
      <c r="AN1826" s="7" t="s">
        <v>0</v>
      </c>
      <c r="AO1826" s="7" t="s">
        <v>0</v>
      </c>
      <c r="AP1826" s="7" t="s">
        <v>0</v>
      </c>
      <c r="AQ1826" s="7" t="s">
        <v>61</v>
      </c>
      <c r="AR1826" s="7" t="s">
        <v>0</v>
      </c>
      <c r="AS1826" s="10" t="str">
        <f>HYPERLINK("https://tessa.gazprom-neft.local/edo/card/d527d0dc-d2cc-4ca5-81ac-e161b528fcc3", "https://tessa.gazprom-neft.local/edo/card/d527d0dc-d2cc-4ca5-81ac-e161b528fcc3")</f>
        <v>https://tessa.gazprom-neft.local/edo/card/d527d0dc-d2cc-4ca5-81ac-e161b528fcc3</v>
      </c>
    </row>
    <row r="1827" spans="1:45" x14ac:dyDescent="0.25">
      <c r="A1827" s="6" t="s">
        <v>44</v>
      </c>
      <c r="B1827" s="7" t="s">
        <v>971</v>
      </c>
      <c r="C1827" s="7" t="s">
        <v>67</v>
      </c>
      <c r="D1827" s="8">
        <v>44663</v>
      </c>
      <c r="E1827" s="8" t="s">
        <v>0</v>
      </c>
      <c r="F1827" s="16" t="s">
        <v>972</v>
      </c>
      <c r="G1827" s="7" t="s">
        <v>973</v>
      </c>
      <c r="H1827" s="7" t="s">
        <v>4038</v>
      </c>
      <c r="I1827" s="7" t="s">
        <v>0</v>
      </c>
      <c r="J1827" s="7" t="s">
        <v>936</v>
      </c>
      <c r="K1827" s="7" t="s">
        <v>85</v>
      </c>
      <c r="L1827" s="7" t="s">
        <v>48</v>
      </c>
      <c r="M1827" s="7" t="s">
        <v>3833</v>
      </c>
      <c r="N1827" s="7" t="s">
        <v>4037</v>
      </c>
      <c r="O1827" s="7" t="s">
        <v>0</v>
      </c>
      <c r="P1827" s="7" t="s">
        <v>3833</v>
      </c>
      <c r="Q1827" s="7" t="s">
        <v>3835</v>
      </c>
      <c r="R1827" s="7" t="s">
        <v>339</v>
      </c>
      <c r="S1827" s="7" t="s">
        <v>339</v>
      </c>
      <c r="T1827" s="7" t="s">
        <v>54</v>
      </c>
      <c r="U1827" s="7" t="s">
        <v>303</v>
      </c>
      <c r="V1827" s="7" t="s">
        <v>91</v>
      </c>
      <c r="W1827" s="7" t="s">
        <v>57</v>
      </c>
      <c r="X1827" s="7" t="s">
        <v>223</v>
      </c>
      <c r="Y1827" s="8">
        <v>44663</v>
      </c>
      <c r="Z1827" s="8" t="s">
        <v>0</v>
      </c>
      <c r="AA1827" s="7" t="s">
        <v>92</v>
      </c>
      <c r="AB1827" s="7" t="s">
        <v>64</v>
      </c>
      <c r="AC1827" s="7" t="s">
        <v>65</v>
      </c>
      <c r="AD1827" s="7" t="s">
        <v>0</v>
      </c>
      <c r="AE1827" s="7" t="s">
        <v>0</v>
      </c>
      <c r="AF1827" s="7" t="s">
        <v>0</v>
      </c>
      <c r="AG1827" s="7" t="s">
        <v>0</v>
      </c>
      <c r="AH1827" s="9" t="s">
        <v>0</v>
      </c>
      <c r="AI1827" s="9" t="s">
        <v>0</v>
      </c>
      <c r="AJ1827" s="9" t="s">
        <v>0</v>
      </c>
      <c r="AK1827" s="7" t="s">
        <v>61</v>
      </c>
      <c r="AL1827" s="7" t="s">
        <v>61</v>
      </c>
      <c r="AM1827" s="7" t="s">
        <v>0</v>
      </c>
      <c r="AN1827" s="7" t="s">
        <v>0</v>
      </c>
      <c r="AO1827" s="7" t="s">
        <v>0</v>
      </c>
      <c r="AP1827" s="7" t="s">
        <v>0</v>
      </c>
      <c r="AQ1827" s="7" t="s">
        <v>61</v>
      </c>
      <c r="AR1827" s="7" t="s">
        <v>0</v>
      </c>
      <c r="AS1827" s="10" t="str">
        <f>HYPERLINK("https://tessa.gazprom-neft.local/edo/card/a4ac8ae8-ce15-416b-9647-07d3ee563108", "https://tessa.gazprom-neft.local/edo/card/a4ac8ae8-ce15-416b-9647-07d3ee563108")</f>
        <v>https://tessa.gazprom-neft.local/edo/card/a4ac8ae8-ce15-416b-9647-07d3ee563108</v>
      </c>
    </row>
    <row r="1828" spans="1:45" x14ac:dyDescent="0.25">
      <c r="A1828" s="6" t="s">
        <v>44</v>
      </c>
      <c r="B1828" s="7" t="s">
        <v>971</v>
      </c>
      <c r="C1828" s="7" t="s">
        <v>67</v>
      </c>
      <c r="D1828" s="8">
        <v>44663</v>
      </c>
      <c r="E1828" s="8" t="s">
        <v>0</v>
      </c>
      <c r="F1828" s="16" t="s">
        <v>972</v>
      </c>
      <c r="G1828" s="7" t="s">
        <v>973</v>
      </c>
      <c r="H1828" s="7" t="s">
        <v>4050</v>
      </c>
      <c r="I1828" s="7" t="s">
        <v>0</v>
      </c>
      <c r="J1828" s="7" t="s">
        <v>936</v>
      </c>
      <c r="K1828" s="7" t="s">
        <v>85</v>
      </c>
      <c r="L1828" s="7" t="s">
        <v>48</v>
      </c>
      <c r="M1828" s="7" t="s">
        <v>3833</v>
      </c>
      <c r="N1828" s="7" t="s">
        <v>4049</v>
      </c>
      <c r="O1828" s="7" t="s">
        <v>0</v>
      </c>
      <c r="P1828" s="7" t="s">
        <v>3833</v>
      </c>
      <c r="Q1828" s="7" t="s">
        <v>3835</v>
      </c>
      <c r="R1828" s="7" t="s">
        <v>339</v>
      </c>
      <c r="S1828" s="7" t="s">
        <v>339</v>
      </c>
      <c r="T1828" s="7" t="s">
        <v>54</v>
      </c>
      <c r="U1828" s="7" t="s">
        <v>303</v>
      </c>
      <c r="V1828" s="7" t="s">
        <v>91</v>
      </c>
      <c r="W1828" s="7" t="s">
        <v>57</v>
      </c>
      <c r="X1828" s="7" t="s">
        <v>223</v>
      </c>
      <c r="Y1828" s="8">
        <v>44663</v>
      </c>
      <c r="Z1828" s="8" t="s">
        <v>0</v>
      </c>
      <c r="AA1828" s="7" t="s">
        <v>92</v>
      </c>
      <c r="AB1828" s="7" t="s">
        <v>64</v>
      </c>
      <c r="AC1828" s="7" t="s">
        <v>65</v>
      </c>
      <c r="AD1828" s="7" t="s">
        <v>0</v>
      </c>
      <c r="AE1828" s="7" t="s">
        <v>0</v>
      </c>
      <c r="AF1828" s="7" t="s">
        <v>0</v>
      </c>
      <c r="AG1828" s="7" t="s">
        <v>0</v>
      </c>
      <c r="AH1828" s="9" t="s">
        <v>0</v>
      </c>
      <c r="AI1828" s="9" t="s">
        <v>0</v>
      </c>
      <c r="AJ1828" s="9" t="s">
        <v>0</v>
      </c>
      <c r="AK1828" s="7" t="s">
        <v>61</v>
      </c>
      <c r="AL1828" s="7" t="s">
        <v>61</v>
      </c>
      <c r="AM1828" s="7" t="s">
        <v>0</v>
      </c>
      <c r="AN1828" s="7" t="s">
        <v>0</v>
      </c>
      <c r="AO1828" s="7" t="s">
        <v>0</v>
      </c>
      <c r="AP1828" s="7" t="s">
        <v>0</v>
      </c>
      <c r="AQ1828" s="7" t="s">
        <v>61</v>
      </c>
      <c r="AR1828" s="7" t="s">
        <v>0</v>
      </c>
      <c r="AS1828" s="10" t="str">
        <f>HYPERLINK("https://tessa.gazprom-neft.local/edo/card/9e453e0a-b2ec-4a97-a713-da5da61a2f47", "https://tessa.gazprom-neft.local/edo/card/9e453e0a-b2ec-4a97-a713-da5da61a2f47")</f>
        <v>https://tessa.gazprom-neft.local/edo/card/9e453e0a-b2ec-4a97-a713-da5da61a2f47</v>
      </c>
    </row>
    <row r="1829" spans="1:45" x14ac:dyDescent="0.25">
      <c r="A1829" s="6" t="s">
        <v>44</v>
      </c>
      <c r="B1829" s="7" t="s">
        <v>971</v>
      </c>
      <c r="C1829" s="7" t="s">
        <v>67</v>
      </c>
      <c r="D1829" s="8">
        <v>44663</v>
      </c>
      <c r="E1829" s="8" t="s">
        <v>0</v>
      </c>
      <c r="F1829" s="16" t="s">
        <v>972</v>
      </c>
      <c r="G1829" s="7" t="s">
        <v>973</v>
      </c>
      <c r="H1829" s="7" t="s">
        <v>4059</v>
      </c>
      <c r="I1829" s="7" t="s">
        <v>0</v>
      </c>
      <c r="J1829" s="7" t="s">
        <v>271</v>
      </c>
      <c r="K1829" s="7" t="s">
        <v>85</v>
      </c>
      <c r="L1829" s="7" t="s">
        <v>48</v>
      </c>
      <c r="M1829" s="7" t="s">
        <v>3833</v>
      </c>
      <c r="N1829" s="7" t="s">
        <v>4058</v>
      </c>
      <c r="O1829" s="7" t="s">
        <v>0</v>
      </c>
      <c r="P1829" s="7" t="s">
        <v>3833</v>
      </c>
      <c r="Q1829" s="7" t="s">
        <v>3835</v>
      </c>
      <c r="R1829" s="7" t="s">
        <v>339</v>
      </c>
      <c r="S1829" s="7" t="s">
        <v>339</v>
      </c>
      <c r="T1829" s="7" t="s">
        <v>54</v>
      </c>
      <c r="U1829" s="7" t="s">
        <v>303</v>
      </c>
      <c r="V1829" s="7" t="s">
        <v>91</v>
      </c>
      <c r="W1829" s="7" t="s">
        <v>57</v>
      </c>
      <c r="X1829" s="7" t="s">
        <v>223</v>
      </c>
      <c r="Y1829" s="8">
        <v>44663</v>
      </c>
      <c r="Z1829" s="8" t="s">
        <v>0</v>
      </c>
      <c r="AA1829" s="7" t="s">
        <v>92</v>
      </c>
      <c r="AB1829" s="7" t="s">
        <v>64</v>
      </c>
      <c r="AC1829" s="7" t="s">
        <v>65</v>
      </c>
      <c r="AD1829" s="7" t="s">
        <v>0</v>
      </c>
      <c r="AE1829" s="7" t="s">
        <v>0</v>
      </c>
      <c r="AF1829" s="7" t="s">
        <v>0</v>
      </c>
      <c r="AG1829" s="7" t="s">
        <v>0</v>
      </c>
      <c r="AH1829" s="9" t="s">
        <v>0</v>
      </c>
      <c r="AI1829" s="9" t="s">
        <v>0</v>
      </c>
      <c r="AJ1829" s="9" t="s">
        <v>0</v>
      </c>
      <c r="AK1829" s="7" t="s">
        <v>61</v>
      </c>
      <c r="AL1829" s="7" t="s">
        <v>61</v>
      </c>
      <c r="AM1829" s="7" t="s">
        <v>0</v>
      </c>
      <c r="AN1829" s="7" t="s">
        <v>0</v>
      </c>
      <c r="AO1829" s="7" t="s">
        <v>0</v>
      </c>
      <c r="AP1829" s="7" t="s">
        <v>0</v>
      </c>
      <c r="AQ1829" s="7" t="s">
        <v>61</v>
      </c>
      <c r="AR1829" s="7" t="s">
        <v>0</v>
      </c>
      <c r="AS1829" s="10" t="str">
        <f>HYPERLINK("https://tessa.gazprom-neft.local/edo/card/e98708ea-4dc1-426a-860f-caa2a149596a", "https://tessa.gazprom-neft.local/edo/card/e98708ea-4dc1-426a-860f-caa2a149596a")</f>
        <v>https://tessa.gazprom-neft.local/edo/card/e98708ea-4dc1-426a-860f-caa2a149596a</v>
      </c>
    </row>
    <row r="1830" spans="1:45" hidden="1" x14ac:dyDescent="0.25">
      <c r="A1830" s="6" t="s">
        <v>44</v>
      </c>
      <c r="B1830" s="7" t="s">
        <v>737</v>
      </c>
      <c r="C1830" s="7" t="s">
        <v>67</v>
      </c>
      <c r="D1830" s="8">
        <v>44663</v>
      </c>
      <c r="E1830" s="8" t="s">
        <v>0</v>
      </c>
      <c r="F1830" s="16" t="s">
        <v>738</v>
      </c>
      <c r="G1830" s="7" t="s">
        <v>739</v>
      </c>
      <c r="H1830" s="7" t="s">
        <v>3852</v>
      </c>
      <c r="I1830" s="7" t="s">
        <v>0</v>
      </c>
      <c r="J1830" s="7" t="s">
        <v>263</v>
      </c>
      <c r="K1830" s="7" t="s">
        <v>47</v>
      </c>
      <c r="L1830" s="7" t="s">
        <v>239</v>
      </c>
      <c r="M1830" s="7" t="s">
        <v>0</v>
      </c>
      <c r="N1830" s="7" t="s">
        <v>4182</v>
      </c>
      <c r="O1830" s="7" t="s">
        <v>0</v>
      </c>
      <c r="P1830" s="7" t="s">
        <v>4183</v>
      </c>
      <c r="Q1830" s="7" t="s">
        <v>4184</v>
      </c>
      <c r="R1830" s="7" t="s">
        <v>244</v>
      </c>
      <c r="S1830" s="7" t="s">
        <v>244</v>
      </c>
      <c r="T1830" s="7" t="s">
        <v>54</v>
      </c>
      <c r="U1830" s="7" t="s">
        <v>55</v>
      </c>
      <c r="V1830" s="7" t="s">
        <v>56</v>
      </c>
      <c r="W1830" s="7" t="s">
        <v>57</v>
      </c>
      <c r="X1830" s="7" t="s">
        <v>103</v>
      </c>
      <c r="Y1830" s="8">
        <v>44663</v>
      </c>
      <c r="Z1830" s="8">
        <v>44737</v>
      </c>
      <c r="AA1830" s="7" t="s">
        <v>59</v>
      </c>
      <c r="AB1830" s="7" t="s">
        <v>256</v>
      </c>
      <c r="AC1830" s="7" t="s">
        <v>79</v>
      </c>
      <c r="AD1830" s="7" t="s">
        <v>144</v>
      </c>
      <c r="AE1830" s="7" t="s">
        <v>82</v>
      </c>
      <c r="AF1830" s="7" t="s">
        <v>0</v>
      </c>
      <c r="AG1830" s="7" t="s">
        <v>0</v>
      </c>
      <c r="AH1830" s="9" t="s">
        <v>11959</v>
      </c>
      <c r="AI1830" s="9" t="s">
        <v>11960</v>
      </c>
      <c r="AJ1830" s="9" t="s">
        <v>11961</v>
      </c>
      <c r="AK1830" s="7" t="s">
        <v>61</v>
      </c>
      <c r="AL1830" s="7" t="s">
        <v>61</v>
      </c>
      <c r="AM1830" s="7" t="s">
        <v>0</v>
      </c>
      <c r="AN1830" s="7" t="s">
        <v>0</v>
      </c>
      <c r="AO1830" s="7" t="s">
        <v>0</v>
      </c>
      <c r="AP1830" s="7" t="s">
        <v>0</v>
      </c>
      <c r="AQ1830" s="7" t="s">
        <v>61</v>
      </c>
      <c r="AR1830" s="7" t="s">
        <v>0</v>
      </c>
      <c r="AS1830" s="10" t="str">
        <f>HYPERLINK("https://tessa.gazprom-neft.local/edo/card/efee7e32-6504-437f-8391-d047f6b21307", "https://tessa.gazprom-neft.local/edo/card/efee7e32-6504-437f-8391-d047f6b21307")</f>
        <v>https://tessa.gazprom-neft.local/edo/card/efee7e32-6504-437f-8391-d047f6b21307</v>
      </c>
    </row>
    <row r="1831" spans="1:45" hidden="1" x14ac:dyDescent="0.25">
      <c r="A1831" s="6" t="s">
        <v>44</v>
      </c>
      <c r="B1831" s="7" t="s">
        <v>436</v>
      </c>
      <c r="C1831" s="7" t="s">
        <v>67</v>
      </c>
      <c r="D1831" s="8">
        <v>44662</v>
      </c>
      <c r="E1831" s="8" t="s">
        <v>0</v>
      </c>
      <c r="F1831" s="16" t="s">
        <v>437</v>
      </c>
      <c r="G1831" s="7" t="s">
        <v>438</v>
      </c>
      <c r="H1831" s="7" t="s">
        <v>0</v>
      </c>
      <c r="I1831" s="7" t="s">
        <v>1532</v>
      </c>
      <c r="J1831" s="7" t="s">
        <v>1532</v>
      </c>
      <c r="K1831" s="7" t="s">
        <v>47</v>
      </c>
      <c r="L1831" s="7" t="s">
        <v>96</v>
      </c>
      <c r="M1831" s="7" t="s">
        <v>0</v>
      </c>
      <c r="N1831" s="7" t="s">
        <v>1531</v>
      </c>
      <c r="O1831" s="7" t="s">
        <v>0</v>
      </c>
      <c r="P1831" s="7" t="s">
        <v>366</v>
      </c>
      <c r="Q1831" s="7" t="s">
        <v>1533</v>
      </c>
      <c r="R1831" s="7" t="s">
        <v>812</v>
      </c>
      <c r="S1831" s="7" t="s">
        <v>812</v>
      </c>
      <c r="T1831" s="7" t="s">
        <v>54</v>
      </c>
      <c r="U1831" s="7" t="s">
        <v>1534</v>
      </c>
      <c r="V1831" s="7" t="s">
        <v>56</v>
      </c>
      <c r="W1831" s="7" t="s">
        <v>57</v>
      </c>
      <c r="X1831" s="7" t="s">
        <v>103</v>
      </c>
      <c r="Y1831" s="8">
        <v>44562</v>
      </c>
      <c r="Z1831" s="8">
        <v>46387</v>
      </c>
      <c r="AA1831" s="7" t="s">
        <v>59</v>
      </c>
      <c r="AB1831" s="7" t="s">
        <v>366</v>
      </c>
      <c r="AC1831" s="7" t="s">
        <v>278</v>
      </c>
      <c r="AD1831" s="7" t="s">
        <v>367</v>
      </c>
      <c r="AE1831" s="7" t="s">
        <v>82</v>
      </c>
      <c r="AF1831" s="7" t="s">
        <v>0</v>
      </c>
      <c r="AG1831" s="7" t="s">
        <v>0</v>
      </c>
      <c r="AH1831" s="9" t="s">
        <v>11057</v>
      </c>
      <c r="AI1831" s="9" t="s">
        <v>11058</v>
      </c>
      <c r="AJ1831" s="9" t="s">
        <v>11059</v>
      </c>
      <c r="AK1831" s="7" t="s">
        <v>61</v>
      </c>
      <c r="AL1831" s="7" t="s">
        <v>61</v>
      </c>
      <c r="AM1831" s="7" t="s">
        <v>0</v>
      </c>
      <c r="AN1831" s="7" t="s">
        <v>0</v>
      </c>
      <c r="AO1831" s="7" t="s">
        <v>0</v>
      </c>
      <c r="AP1831" s="7" t="s">
        <v>0</v>
      </c>
      <c r="AQ1831" s="7" t="s">
        <v>61</v>
      </c>
      <c r="AR1831" s="7" t="s">
        <v>0</v>
      </c>
      <c r="AS1831" s="10" t="str">
        <f>HYPERLINK("https://tessa.gazprom-neft.local/edo/card/5c7a897e-c056-486f-b1e3-233348c7e76b", "https://tessa.gazprom-neft.local/edo/card/5c7a897e-c056-486f-b1e3-233348c7e76b")</f>
        <v>https://tessa.gazprom-neft.local/edo/card/5c7a897e-c056-486f-b1e3-233348c7e76b</v>
      </c>
    </row>
    <row r="1832" spans="1:45" hidden="1" x14ac:dyDescent="0.25">
      <c r="A1832" s="6" t="s">
        <v>44</v>
      </c>
      <c r="B1832" s="7" t="s">
        <v>1731</v>
      </c>
      <c r="C1832" s="7" t="s">
        <v>46</v>
      </c>
      <c r="D1832" s="8">
        <v>44662</v>
      </c>
      <c r="E1832" s="8" t="s">
        <v>0</v>
      </c>
      <c r="F1832" s="16" t="s">
        <v>1732</v>
      </c>
      <c r="G1832" s="7" t="s">
        <v>1733</v>
      </c>
      <c r="H1832" s="7" t="s">
        <v>0</v>
      </c>
      <c r="I1832" s="7" t="s">
        <v>3355</v>
      </c>
      <c r="J1832" s="7" t="s">
        <v>3355</v>
      </c>
      <c r="K1832" s="7" t="s">
        <v>47</v>
      </c>
      <c r="L1832" s="7" t="s">
        <v>96</v>
      </c>
      <c r="M1832" s="7" t="s">
        <v>0</v>
      </c>
      <c r="N1832" s="7" t="s">
        <v>3354</v>
      </c>
      <c r="O1832" s="7" t="s">
        <v>0</v>
      </c>
      <c r="P1832" s="7" t="s">
        <v>3356</v>
      </c>
      <c r="Q1832" s="7" t="s">
        <v>3357</v>
      </c>
      <c r="R1832" s="7" t="s">
        <v>53</v>
      </c>
      <c r="S1832" s="7" t="s">
        <v>53</v>
      </c>
      <c r="T1832" s="7" t="s">
        <v>54</v>
      </c>
      <c r="U1832" s="7" t="s">
        <v>55</v>
      </c>
      <c r="V1832" s="7" t="s">
        <v>56</v>
      </c>
      <c r="W1832" s="7" t="s">
        <v>57</v>
      </c>
      <c r="X1832" s="7" t="s">
        <v>58</v>
      </c>
      <c r="Y1832" s="8">
        <v>44662</v>
      </c>
      <c r="Z1832" s="8" t="s">
        <v>0</v>
      </c>
      <c r="AA1832" s="7" t="s">
        <v>59</v>
      </c>
      <c r="AB1832" s="7" t="s">
        <v>500</v>
      </c>
      <c r="AC1832" s="7" t="s">
        <v>79</v>
      </c>
      <c r="AD1832" s="7" t="s">
        <v>80</v>
      </c>
      <c r="AE1832" s="7" t="s">
        <v>82</v>
      </c>
      <c r="AF1832" s="7" t="s">
        <v>0</v>
      </c>
      <c r="AG1832" s="7" t="s">
        <v>0</v>
      </c>
      <c r="AH1832" s="9" t="s">
        <v>11629</v>
      </c>
      <c r="AI1832" s="9" t="s">
        <v>11630</v>
      </c>
      <c r="AJ1832" s="9" t="s">
        <v>11631</v>
      </c>
      <c r="AK1832" s="7" t="s">
        <v>61</v>
      </c>
      <c r="AL1832" s="7" t="s">
        <v>81</v>
      </c>
      <c r="AM1832" s="7" t="s">
        <v>1410</v>
      </c>
      <c r="AN1832" s="7" t="s">
        <v>3358</v>
      </c>
      <c r="AO1832" s="7" t="s">
        <v>0</v>
      </c>
      <c r="AP1832" s="7" t="s">
        <v>0</v>
      </c>
      <c r="AQ1832" s="7" t="s">
        <v>61</v>
      </c>
      <c r="AR1832" s="7" t="s">
        <v>0</v>
      </c>
      <c r="AS1832" s="10" t="str">
        <f>HYPERLINK("https://tessa.gazprom-neft.local/edo/card/29c08653-62b4-4a9a-9ebe-9b5a5f5ae40d", "https://tessa.gazprom-neft.local/edo/card/29c08653-62b4-4a9a-9ebe-9b5a5f5ae40d")</f>
        <v>https://tessa.gazprom-neft.local/edo/card/29c08653-62b4-4a9a-9ebe-9b5a5f5ae40d</v>
      </c>
    </row>
    <row r="1833" spans="1:45" hidden="1" x14ac:dyDescent="0.25">
      <c r="A1833" s="6" t="s">
        <v>44</v>
      </c>
      <c r="B1833" s="7" t="s">
        <v>1950</v>
      </c>
      <c r="C1833" s="7" t="s">
        <v>67</v>
      </c>
      <c r="D1833" s="8">
        <v>44662</v>
      </c>
      <c r="E1833" s="8" t="s">
        <v>0</v>
      </c>
      <c r="F1833" s="16" t="s">
        <v>1951</v>
      </c>
      <c r="G1833" s="7" t="s">
        <v>1952</v>
      </c>
      <c r="H1833" s="7" t="s">
        <v>3376</v>
      </c>
      <c r="I1833" s="7" t="s">
        <v>0</v>
      </c>
      <c r="J1833" s="7" t="s">
        <v>156</v>
      </c>
      <c r="K1833" s="7" t="s">
        <v>47</v>
      </c>
      <c r="L1833" s="7" t="s">
        <v>239</v>
      </c>
      <c r="M1833" s="7" t="s">
        <v>0</v>
      </c>
      <c r="N1833" s="7" t="s">
        <v>3375</v>
      </c>
      <c r="O1833" s="7" t="s">
        <v>0</v>
      </c>
      <c r="P1833" s="7" t="s">
        <v>3185</v>
      </c>
      <c r="Q1833" s="7" t="s">
        <v>3377</v>
      </c>
      <c r="R1833" s="7" t="s">
        <v>1711</v>
      </c>
      <c r="S1833" s="7" t="s">
        <v>1711</v>
      </c>
      <c r="T1833" s="7" t="s">
        <v>54</v>
      </c>
      <c r="U1833" s="7" t="s">
        <v>605</v>
      </c>
      <c r="V1833" s="7" t="s">
        <v>382</v>
      </c>
      <c r="W1833" s="7" t="s">
        <v>57</v>
      </c>
      <c r="X1833" s="7" t="s">
        <v>103</v>
      </c>
      <c r="Y1833" s="8">
        <v>44662</v>
      </c>
      <c r="Z1833" s="8">
        <v>44561</v>
      </c>
      <c r="AA1833" s="7" t="s">
        <v>383</v>
      </c>
      <c r="AB1833" s="7" t="s">
        <v>1893</v>
      </c>
      <c r="AC1833" s="7" t="s">
        <v>79</v>
      </c>
      <c r="AD1833" s="7" t="s">
        <v>80</v>
      </c>
      <c r="AE1833" s="7" t="s">
        <v>889</v>
      </c>
      <c r="AF1833" s="7" t="s">
        <v>0</v>
      </c>
      <c r="AG1833" s="7" t="s">
        <v>0</v>
      </c>
      <c r="AH1833" s="9" t="s">
        <v>11641</v>
      </c>
      <c r="AI1833" s="9" t="s">
        <v>11641</v>
      </c>
      <c r="AJ1833" s="9">
        <v>0</v>
      </c>
      <c r="AK1833" s="7" t="s">
        <v>61</v>
      </c>
      <c r="AL1833" s="7" t="s">
        <v>61</v>
      </c>
      <c r="AM1833" s="7" t="s">
        <v>0</v>
      </c>
      <c r="AN1833" s="7" t="s">
        <v>0</v>
      </c>
      <c r="AO1833" s="7" t="s">
        <v>0</v>
      </c>
      <c r="AP1833" s="7" t="s">
        <v>0</v>
      </c>
      <c r="AQ1833" s="7" t="s">
        <v>61</v>
      </c>
      <c r="AR1833" s="7" t="s">
        <v>0</v>
      </c>
      <c r="AS1833" s="10" t="str">
        <f>HYPERLINK("https://tessa.gazprom-neft.local/edo/card/ad8bb29a-1cb2-448a-9060-14275bffd24b", "https://tessa.gazprom-neft.local/edo/card/ad8bb29a-1cb2-448a-9060-14275bffd24b")</f>
        <v>https://tessa.gazprom-neft.local/edo/card/ad8bb29a-1cb2-448a-9060-14275bffd24b</v>
      </c>
    </row>
    <row r="1834" spans="1:45" hidden="1" x14ac:dyDescent="0.25">
      <c r="A1834" s="6" t="s">
        <v>44</v>
      </c>
      <c r="B1834" s="7" t="s">
        <v>1731</v>
      </c>
      <c r="C1834" s="7" t="s">
        <v>67</v>
      </c>
      <c r="D1834" s="8">
        <v>44662</v>
      </c>
      <c r="E1834" s="8" t="s">
        <v>0</v>
      </c>
      <c r="F1834" s="16" t="s">
        <v>3804</v>
      </c>
      <c r="G1834" s="7" t="s">
        <v>1733</v>
      </c>
      <c r="H1834" s="7" t="s">
        <v>0</v>
      </c>
      <c r="I1834" s="7" t="s">
        <v>3803</v>
      </c>
      <c r="J1834" s="7" t="s">
        <v>3803</v>
      </c>
      <c r="K1834" s="7" t="s">
        <v>85</v>
      </c>
      <c r="L1834" s="7" t="s">
        <v>86</v>
      </c>
      <c r="M1834" s="7" t="s">
        <v>289</v>
      </c>
      <c r="N1834" s="7" t="s">
        <v>3802</v>
      </c>
      <c r="O1834" s="7" t="s">
        <v>0</v>
      </c>
      <c r="P1834" s="7" t="s">
        <v>289</v>
      </c>
      <c r="Q1834" s="7" t="s">
        <v>426</v>
      </c>
      <c r="R1834" s="7" t="s">
        <v>53</v>
      </c>
      <c r="S1834" s="7" t="s">
        <v>0</v>
      </c>
      <c r="T1834" s="7" t="s">
        <v>54</v>
      </c>
      <c r="U1834" s="7" t="s">
        <v>55</v>
      </c>
      <c r="V1834" s="7" t="s">
        <v>56</v>
      </c>
      <c r="W1834" s="7" t="s">
        <v>57</v>
      </c>
      <c r="X1834" s="7" t="s">
        <v>223</v>
      </c>
      <c r="Y1834" s="8">
        <v>44662</v>
      </c>
      <c r="Z1834" s="8" t="s">
        <v>0</v>
      </c>
      <c r="AA1834" s="7" t="s">
        <v>59</v>
      </c>
      <c r="AB1834" s="7" t="s">
        <v>300</v>
      </c>
      <c r="AC1834" s="7" t="s">
        <v>65</v>
      </c>
      <c r="AD1834" s="7" t="s">
        <v>0</v>
      </c>
      <c r="AE1834" s="7" t="s">
        <v>0</v>
      </c>
      <c r="AF1834" s="7" t="s">
        <v>0</v>
      </c>
      <c r="AG1834" s="7" t="s">
        <v>0</v>
      </c>
      <c r="AH1834" s="9" t="s">
        <v>0</v>
      </c>
      <c r="AI1834" s="9" t="s">
        <v>0</v>
      </c>
      <c r="AJ1834" s="9" t="s">
        <v>0</v>
      </c>
      <c r="AK1834" s="7" t="s">
        <v>61</v>
      </c>
      <c r="AL1834" s="7" t="s">
        <v>61</v>
      </c>
      <c r="AM1834" s="7" t="s">
        <v>0</v>
      </c>
      <c r="AN1834" s="7" t="s">
        <v>0</v>
      </c>
      <c r="AO1834" s="7" t="s">
        <v>0</v>
      </c>
      <c r="AP1834" s="7" t="s">
        <v>0</v>
      </c>
      <c r="AQ1834" s="7" t="s">
        <v>61</v>
      </c>
      <c r="AR1834" s="7" t="s">
        <v>0</v>
      </c>
      <c r="AS1834" s="10" t="str">
        <f>HYPERLINK("https://tessa.gazprom-neft.local/edo/card/eda8cd7d-7721-4841-94f0-f5b793073910", "https://tessa.gazprom-neft.local/edo/card/eda8cd7d-7721-4841-94f0-f5b793073910")</f>
        <v>https://tessa.gazprom-neft.local/edo/card/eda8cd7d-7721-4841-94f0-f5b793073910</v>
      </c>
    </row>
    <row r="1835" spans="1:45" x14ac:dyDescent="0.25">
      <c r="A1835" s="6" t="s">
        <v>44</v>
      </c>
      <c r="B1835" s="7" t="s">
        <v>2383</v>
      </c>
      <c r="C1835" s="7" t="s">
        <v>67</v>
      </c>
      <c r="D1835" s="8">
        <v>44662</v>
      </c>
      <c r="E1835" s="8" t="s">
        <v>0</v>
      </c>
      <c r="F1835" s="16" t="s">
        <v>2384</v>
      </c>
      <c r="G1835" s="7" t="s">
        <v>2385</v>
      </c>
      <c r="H1835" s="7" t="s">
        <v>3905</v>
      </c>
      <c r="I1835" s="7" t="s">
        <v>0</v>
      </c>
      <c r="J1835" s="7" t="s">
        <v>872</v>
      </c>
      <c r="K1835" s="7" t="s">
        <v>85</v>
      </c>
      <c r="L1835" s="7" t="s">
        <v>48</v>
      </c>
      <c r="M1835" s="7" t="s">
        <v>3833</v>
      </c>
      <c r="N1835" s="7" t="s">
        <v>3904</v>
      </c>
      <c r="O1835" s="7" t="s">
        <v>0</v>
      </c>
      <c r="P1835" s="7" t="s">
        <v>3833</v>
      </c>
      <c r="Q1835" s="7" t="s">
        <v>3835</v>
      </c>
      <c r="R1835" s="7" t="s">
        <v>339</v>
      </c>
      <c r="S1835" s="7" t="s">
        <v>339</v>
      </c>
      <c r="T1835" s="7" t="s">
        <v>54</v>
      </c>
      <c r="U1835" s="7" t="s">
        <v>303</v>
      </c>
      <c r="V1835" s="7" t="s">
        <v>91</v>
      </c>
      <c r="W1835" s="7" t="s">
        <v>57</v>
      </c>
      <c r="X1835" s="7" t="s">
        <v>223</v>
      </c>
      <c r="Y1835" s="8">
        <v>44662</v>
      </c>
      <c r="Z1835" s="8" t="s">
        <v>0</v>
      </c>
      <c r="AA1835" s="7" t="s">
        <v>92</v>
      </c>
      <c r="AB1835" s="7" t="s">
        <v>64</v>
      </c>
      <c r="AC1835" s="7" t="s">
        <v>65</v>
      </c>
      <c r="AD1835" s="7" t="s">
        <v>0</v>
      </c>
      <c r="AE1835" s="7" t="s">
        <v>0</v>
      </c>
      <c r="AF1835" s="7" t="s">
        <v>0</v>
      </c>
      <c r="AG1835" s="7" t="s">
        <v>0</v>
      </c>
      <c r="AH1835" s="9" t="s">
        <v>0</v>
      </c>
      <c r="AI1835" s="9" t="s">
        <v>0</v>
      </c>
      <c r="AJ1835" s="9" t="s">
        <v>0</v>
      </c>
      <c r="AK1835" s="7" t="s">
        <v>61</v>
      </c>
      <c r="AL1835" s="7" t="s">
        <v>61</v>
      </c>
      <c r="AM1835" s="7" t="s">
        <v>0</v>
      </c>
      <c r="AN1835" s="7" t="s">
        <v>0</v>
      </c>
      <c r="AO1835" s="7" t="s">
        <v>0</v>
      </c>
      <c r="AP1835" s="7" t="s">
        <v>0</v>
      </c>
      <c r="AQ1835" s="7" t="s">
        <v>61</v>
      </c>
      <c r="AR1835" s="7" t="s">
        <v>0</v>
      </c>
      <c r="AS1835" s="10" t="str">
        <f>HYPERLINK("https://tessa.gazprom-neft.local/edo/card/ab37eae9-e465-49ba-9f78-fef586bbb3e2", "https://tessa.gazprom-neft.local/edo/card/ab37eae9-e465-49ba-9f78-fef586bbb3e2")</f>
        <v>https://tessa.gazprom-neft.local/edo/card/ab37eae9-e465-49ba-9f78-fef586bbb3e2</v>
      </c>
    </row>
    <row r="1836" spans="1:45" x14ac:dyDescent="0.25">
      <c r="A1836" s="6" t="s">
        <v>44</v>
      </c>
      <c r="B1836" s="7" t="s">
        <v>2383</v>
      </c>
      <c r="C1836" s="7" t="s">
        <v>67</v>
      </c>
      <c r="D1836" s="8">
        <v>44662</v>
      </c>
      <c r="E1836" s="8" t="s">
        <v>0</v>
      </c>
      <c r="F1836" s="16" t="s">
        <v>2384</v>
      </c>
      <c r="G1836" s="7" t="s">
        <v>2385</v>
      </c>
      <c r="H1836" s="7" t="s">
        <v>3916</v>
      </c>
      <c r="I1836" s="7" t="s">
        <v>0</v>
      </c>
      <c r="J1836" s="7" t="s">
        <v>872</v>
      </c>
      <c r="K1836" s="7" t="s">
        <v>85</v>
      </c>
      <c r="L1836" s="7" t="s">
        <v>48</v>
      </c>
      <c r="M1836" s="7" t="s">
        <v>3833</v>
      </c>
      <c r="N1836" s="7" t="s">
        <v>3915</v>
      </c>
      <c r="O1836" s="7" t="s">
        <v>0</v>
      </c>
      <c r="P1836" s="7" t="s">
        <v>3833</v>
      </c>
      <c r="Q1836" s="7" t="s">
        <v>3835</v>
      </c>
      <c r="R1836" s="7" t="s">
        <v>339</v>
      </c>
      <c r="S1836" s="7" t="s">
        <v>339</v>
      </c>
      <c r="T1836" s="7" t="s">
        <v>54</v>
      </c>
      <c r="U1836" s="7" t="s">
        <v>303</v>
      </c>
      <c r="V1836" s="7" t="s">
        <v>91</v>
      </c>
      <c r="W1836" s="7" t="s">
        <v>57</v>
      </c>
      <c r="X1836" s="7" t="s">
        <v>223</v>
      </c>
      <c r="Y1836" s="8">
        <v>44662</v>
      </c>
      <c r="Z1836" s="8" t="s">
        <v>0</v>
      </c>
      <c r="AA1836" s="7" t="s">
        <v>92</v>
      </c>
      <c r="AB1836" s="7" t="s">
        <v>64</v>
      </c>
      <c r="AC1836" s="7" t="s">
        <v>65</v>
      </c>
      <c r="AD1836" s="7" t="s">
        <v>0</v>
      </c>
      <c r="AE1836" s="7" t="s">
        <v>0</v>
      </c>
      <c r="AF1836" s="7" t="s">
        <v>0</v>
      </c>
      <c r="AG1836" s="7" t="s">
        <v>0</v>
      </c>
      <c r="AH1836" s="9" t="s">
        <v>0</v>
      </c>
      <c r="AI1836" s="9" t="s">
        <v>0</v>
      </c>
      <c r="AJ1836" s="9" t="s">
        <v>0</v>
      </c>
      <c r="AK1836" s="7" t="s">
        <v>61</v>
      </c>
      <c r="AL1836" s="7" t="s">
        <v>61</v>
      </c>
      <c r="AM1836" s="7" t="s">
        <v>0</v>
      </c>
      <c r="AN1836" s="7" t="s">
        <v>0</v>
      </c>
      <c r="AO1836" s="7" t="s">
        <v>0</v>
      </c>
      <c r="AP1836" s="7" t="s">
        <v>0</v>
      </c>
      <c r="AQ1836" s="7" t="s">
        <v>61</v>
      </c>
      <c r="AR1836" s="7" t="s">
        <v>0</v>
      </c>
      <c r="AS1836" s="10" t="str">
        <f>HYPERLINK("https://tessa.gazprom-neft.local/edo/card/fc507169-8d41-4cef-8990-035d160fff1f", "https://tessa.gazprom-neft.local/edo/card/fc507169-8d41-4cef-8990-035d160fff1f")</f>
        <v>https://tessa.gazprom-neft.local/edo/card/fc507169-8d41-4cef-8990-035d160fff1f</v>
      </c>
    </row>
    <row r="1837" spans="1:45" x14ac:dyDescent="0.25">
      <c r="A1837" s="6" t="s">
        <v>44</v>
      </c>
      <c r="B1837" s="7" t="s">
        <v>403</v>
      </c>
      <c r="C1837" s="7" t="s">
        <v>67</v>
      </c>
      <c r="D1837" s="8">
        <v>44662</v>
      </c>
      <c r="E1837" s="8" t="s">
        <v>0</v>
      </c>
      <c r="F1837" s="16" t="s">
        <v>404</v>
      </c>
      <c r="G1837" s="7" t="s">
        <v>405</v>
      </c>
      <c r="H1837" s="7" t="s">
        <v>3929</v>
      </c>
      <c r="I1837" s="7" t="s">
        <v>0</v>
      </c>
      <c r="J1837" s="7" t="s">
        <v>51</v>
      </c>
      <c r="K1837" s="7" t="s">
        <v>47</v>
      </c>
      <c r="L1837" s="7" t="s">
        <v>48</v>
      </c>
      <c r="M1837" s="7" t="s">
        <v>0</v>
      </c>
      <c r="N1837" s="7" t="s">
        <v>3928</v>
      </c>
      <c r="O1837" s="7" t="s">
        <v>0</v>
      </c>
      <c r="P1837" s="7" t="s">
        <v>3930</v>
      </c>
      <c r="Q1837" s="7" t="s">
        <v>3931</v>
      </c>
      <c r="R1837" s="7" t="s">
        <v>799</v>
      </c>
      <c r="S1837" s="7" t="s">
        <v>0</v>
      </c>
      <c r="T1837" s="7" t="s">
        <v>54</v>
      </c>
      <c r="U1837" s="7" t="s">
        <v>55</v>
      </c>
      <c r="V1837" s="7" t="s">
        <v>56</v>
      </c>
      <c r="W1837" s="7" t="s">
        <v>57</v>
      </c>
      <c r="X1837" s="7" t="s">
        <v>103</v>
      </c>
      <c r="Y1837" s="8">
        <v>44662</v>
      </c>
      <c r="Z1837" s="8">
        <v>45291</v>
      </c>
      <c r="AA1837" s="7" t="s">
        <v>0</v>
      </c>
      <c r="AB1837" s="7" t="s">
        <v>130</v>
      </c>
      <c r="AC1837" s="7" t="s">
        <v>65</v>
      </c>
      <c r="AD1837" s="7" t="s">
        <v>80</v>
      </c>
      <c r="AE1837" s="7" t="s">
        <v>0</v>
      </c>
      <c r="AF1837" s="7" t="s">
        <v>0</v>
      </c>
      <c r="AG1837" s="7" t="s">
        <v>0</v>
      </c>
      <c r="AH1837" s="9" t="s">
        <v>0</v>
      </c>
      <c r="AI1837" s="9" t="s">
        <v>0</v>
      </c>
      <c r="AJ1837" s="9" t="s">
        <v>0</v>
      </c>
      <c r="AK1837" s="7" t="s">
        <v>61</v>
      </c>
      <c r="AL1837" s="7" t="s">
        <v>61</v>
      </c>
      <c r="AM1837" s="7" t="s">
        <v>0</v>
      </c>
      <c r="AN1837" s="7" t="s">
        <v>0</v>
      </c>
      <c r="AO1837" s="7" t="s">
        <v>0</v>
      </c>
      <c r="AP1837" s="7" t="s">
        <v>0</v>
      </c>
      <c r="AQ1837" s="7" t="s">
        <v>61</v>
      </c>
      <c r="AR1837" s="7" t="s">
        <v>0</v>
      </c>
      <c r="AS1837" s="10" t="str">
        <f>HYPERLINK("https://tessa.gazprom-neft.local/edo/card/4f740dbf-39a3-4273-939a-7aa26ea2f1e6", "https://tessa.gazprom-neft.local/edo/card/4f740dbf-39a3-4273-939a-7aa26ea2f1e6")</f>
        <v>https://tessa.gazprom-neft.local/edo/card/4f740dbf-39a3-4273-939a-7aa26ea2f1e6</v>
      </c>
    </row>
    <row r="1838" spans="1:45" x14ac:dyDescent="0.25">
      <c r="A1838" s="6" t="s">
        <v>44</v>
      </c>
      <c r="B1838" s="7" t="s">
        <v>488</v>
      </c>
      <c r="C1838" s="7" t="s">
        <v>67</v>
      </c>
      <c r="D1838" s="8">
        <v>44662</v>
      </c>
      <c r="E1838" s="8" t="s">
        <v>0</v>
      </c>
      <c r="F1838" s="16" t="s">
        <v>489</v>
      </c>
      <c r="G1838" s="7" t="s">
        <v>490</v>
      </c>
      <c r="H1838" s="7" t="s">
        <v>2173</v>
      </c>
      <c r="I1838" s="7" t="s">
        <v>0</v>
      </c>
      <c r="J1838" s="7" t="s">
        <v>271</v>
      </c>
      <c r="K1838" s="7" t="s">
        <v>47</v>
      </c>
      <c r="L1838" s="7" t="s">
        <v>48</v>
      </c>
      <c r="M1838" s="7" t="s">
        <v>0</v>
      </c>
      <c r="N1838" s="7" t="s">
        <v>3949</v>
      </c>
      <c r="O1838" s="7" t="s">
        <v>0</v>
      </c>
      <c r="P1838" s="7" t="s">
        <v>3950</v>
      </c>
      <c r="Q1838" s="7" t="s">
        <v>3951</v>
      </c>
      <c r="R1838" s="7" t="s">
        <v>282</v>
      </c>
      <c r="S1838" s="7" t="s">
        <v>282</v>
      </c>
      <c r="T1838" s="7" t="s">
        <v>54</v>
      </c>
      <c r="U1838" s="7" t="s">
        <v>55</v>
      </c>
      <c r="V1838" s="7" t="s">
        <v>56</v>
      </c>
      <c r="W1838" s="7" t="s">
        <v>57</v>
      </c>
      <c r="X1838" s="7" t="s">
        <v>103</v>
      </c>
      <c r="Y1838" s="8">
        <v>44662</v>
      </c>
      <c r="Z1838" s="8">
        <v>45657</v>
      </c>
      <c r="AA1838" s="7" t="s">
        <v>0</v>
      </c>
      <c r="AB1838" s="7" t="s">
        <v>874</v>
      </c>
      <c r="AC1838" s="7" t="s">
        <v>65</v>
      </c>
      <c r="AD1838" s="7" t="s">
        <v>144</v>
      </c>
      <c r="AE1838" s="7" t="s">
        <v>0</v>
      </c>
      <c r="AF1838" s="7" t="s">
        <v>0</v>
      </c>
      <c r="AG1838" s="7" t="s">
        <v>0</v>
      </c>
      <c r="AH1838" s="9" t="s">
        <v>0</v>
      </c>
      <c r="AI1838" s="9" t="s">
        <v>0</v>
      </c>
      <c r="AJ1838" s="9" t="s">
        <v>0</v>
      </c>
      <c r="AK1838" s="7" t="s">
        <v>61</v>
      </c>
      <c r="AL1838" s="7" t="s">
        <v>61</v>
      </c>
      <c r="AM1838" s="7" t="s">
        <v>0</v>
      </c>
      <c r="AN1838" s="7" t="s">
        <v>0</v>
      </c>
      <c r="AO1838" s="7" t="s">
        <v>0</v>
      </c>
      <c r="AP1838" s="7" t="s">
        <v>0</v>
      </c>
      <c r="AQ1838" s="7" t="s">
        <v>61</v>
      </c>
      <c r="AR1838" s="7" t="s">
        <v>0</v>
      </c>
      <c r="AS1838" s="10" t="str">
        <f>HYPERLINK("https://tessa.gazprom-neft.local/edo/card/2cccae4f-1dff-4110-a91e-8408d263adff", "https://tessa.gazprom-neft.local/edo/card/2cccae4f-1dff-4110-a91e-8408d263adff")</f>
        <v>https://tessa.gazprom-neft.local/edo/card/2cccae4f-1dff-4110-a91e-8408d263adff</v>
      </c>
    </row>
    <row r="1839" spans="1:45" x14ac:dyDescent="0.25">
      <c r="A1839" s="6" t="s">
        <v>44</v>
      </c>
      <c r="B1839" s="7" t="s">
        <v>488</v>
      </c>
      <c r="C1839" s="7" t="s">
        <v>67</v>
      </c>
      <c r="D1839" s="8">
        <v>44662</v>
      </c>
      <c r="E1839" s="8" t="s">
        <v>0</v>
      </c>
      <c r="F1839" s="16" t="s">
        <v>489</v>
      </c>
      <c r="G1839" s="7" t="s">
        <v>490</v>
      </c>
      <c r="H1839" s="7" t="s">
        <v>870</v>
      </c>
      <c r="I1839" s="7" t="s">
        <v>0</v>
      </c>
      <c r="J1839" s="7" t="s">
        <v>51</v>
      </c>
      <c r="K1839" s="7" t="s">
        <v>47</v>
      </c>
      <c r="L1839" s="7" t="s">
        <v>48</v>
      </c>
      <c r="M1839" s="7" t="s">
        <v>0</v>
      </c>
      <c r="N1839" s="7" t="s">
        <v>3961</v>
      </c>
      <c r="O1839" s="7" t="s">
        <v>0</v>
      </c>
      <c r="P1839" s="7" t="s">
        <v>3962</v>
      </c>
      <c r="Q1839" s="7" t="s">
        <v>3963</v>
      </c>
      <c r="R1839" s="7" t="s">
        <v>282</v>
      </c>
      <c r="S1839" s="7" t="s">
        <v>0</v>
      </c>
      <c r="T1839" s="7" t="s">
        <v>54</v>
      </c>
      <c r="U1839" s="7" t="s">
        <v>55</v>
      </c>
      <c r="V1839" s="7" t="s">
        <v>56</v>
      </c>
      <c r="W1839" s="7" t="s">
        <v>57</v>
      </c>
      <c r="X1839" s="7" t="s">
        <v>103</v>
      </c>
      <c r="Y1839" s="8">
        <v>44662</v>
      </c>
      <c r="Z1839" s="8">
        <v>45657</v>
      </c>
      <c r="AA1839" s="7" t="s">
        <v>0</v>
      </c>
      <c r="AB1839" s="7" t="s">
        <v>130</v>
      </c>
      <c r="AC1839" s="7" t="s">
        <v>65</v>
      </c>
      <c r="AD1839" s="7" t="s">
        <v>144</v>
      </c>
      <c r="AE1839" s="7" t="s">
        <v>0</v>
      </c>
      <c r="AF1839" s="7" t="s">
        <v>0</v>
      </c>
      <c r="AG1839" s="7" t="s">
        <v>0</v>
      </c>
      <c r="AH1839" s="9" t="s">
        <v>0</v>
      </c>
      <c r="AI1839" s="9" t="s">
        <v>0</v>
      </c>
      <c r="AJ1839" s="9" t="s">
        <v>0</v>
      </c>
      <c r="AK1839" s="7" t="s">
        <v>61</v>
      </c>
      <c r="AL1839" s="7" t="s">
        <v>61</v>
      </c>
      <c r="AM1839" s="7" t="s">
        <v>0</v>
      </c>
      <c r="AN1839" s="7" t="s">
        <v>0</v>
      </c>
      <c r="AO1839" s="7" t="s">
        <v>0</v>
      </c>
      <c r="AP1839" s="7" t="s">
        <v>0</v>
      </c>
      <c r="AQ1839" s="7" t="s">
        <v>61</v>
      </c>
      <c r="AR1839" s="7" t="s">
        <v>0</v>
      </c>
      <c r="AS1839" s="10" t="str">
        <f>HYPERLINK("https://tessa.gazprom-neft.local/edo/card/345986c7-b844-4b12-b747-c37f84c1af15", "https://tessa.gazprom-neft.local/edo/card/345986c7-b844-4b12-b747-c37f84c1af15")</f>
        <v>https://tessa.gazprom-neft.local/edo/card/345986c7-b844-4b12-b747-c37f84c1af15</v>
      </c>
    </row>
    <row r="1840" spans="1:45" x14ac:dyDescent="0.25">
      <c r="A1840" s="6" t="s">
        <v>44</v>
      </c>
      <c r="B1840" s="7" t="s">
        <v>737</v>
      </c>
      <c r="C1840" s="7" t="s">
        <v>67</v>
      </c>
      <c r="D1840" s="8">
        <v>44662</v>
      </c>
      <c r="E1840" s="8" t="s">
        <v>0</v>
      </c>
      <c r="F1840" s="16" t="s">
        <v>738</v>
      </c>
      <c r="G1840" s="7" t="s">
        <v>739</v>
      </c>
      <c r="H1840" s="7" t="s">
        <v>2249</v>
      </c>
      <c r="I1840" s="7" t="s">
        <v>0</v>
      </c>
      <c r="J1840" s="7" t="s">
        <v>271</v>
      </c>
      <c r="K1840" s="7" t="s">
        <v>47</v>
      </c>
      <c r="L1840" s="7" t="s">
        <v>48</v>
      </c>
      <c r="M1840" s="7" t="s">
        <v>0</v>
      </c>
      <c r="N1840" s="7" t="s">
        <v>3971</v>
      </c>
      <c r="O1840" s="7" t="s">
        <v>0</v>
      </c>
      <c r="P1840" s="7" t="s">
        <v>3972</v>
      </c>
      <c r="Q1840" s="7" t="s">
        <v>3973</v>
      </c>
      <c r="R1840" s="7" t="s">
        <v>1551</v>
      </c>
      <c r="S1840" s="7" t="s">
        <v>1551</v>
      </c>
      <c r="T1840" s="7" t="s">
        <v>54</v>
      </c>
      <c r="U1840" s="7" t="s">
        <v>210</v>
      </c>
      <c r="V1840" s="7" t="s">
        <v>211</v>
      </c>
      <c r="W1840" s="7" t="s">
        <v>57</v>
      </c>
      <c r="X1840" s="7" t="s">
        <v>103</v>
      </c>
      <c r="Y1840" s="8">
        <v>44662</v>
      </c>
      <c r="Z1840" s="8">
        <v>45657</v>
      </c>
      <c r="AA1840" s="7" t="s">
        <v>212</v>
      </c>
      <c r="AB1840" s="7" t="s">
        <v>2251</v>
      </c>
      <c r="AC1840" s="7" t="s">
        <v>65</v>
      </c>
      <c r="AD1840" s="7" t="s">
        <v>80</v>
      </c>
      <c r="AE1840" s="7" t="s">
        <v>0</v>
      </c>
      <c r="AF1840" s="7" t="s">
        <v>0</v>
      </c>
      <c r="AG1840" s="7" t="s">
        <v>0</v>
      </c>
      <c r="AH1840" s="9" t="s">
        <v>0</v>
      </c>
      <c r="AI1840" s="9" t="s">
        <v>0</v>
      </c>
      <c r="AJ1840" s="9" t="s">
        <v>0</v>
      </c>
      <c r="AK1840" s="7" t="s">
        <v>61</v>
      </c>
      <c r="AL1840" s="7" t="s">
        <v>61</v>
      </c>
      <c r="AM1840" s="7" t="s">
        <v>0</v>
      </c>
      <c r="AN1840" s="7" t="s">
        <v>0</v>
      </c>
      <c r="AO1840" s="7" t="s">
        <v>0</v>
      </c>
      <c r="AP1840" s="7" t="s">
        <v>0</v>
      </c>
      <c r="AQ1840" s="7" t="s">
        <v>61</v>
      </c>
      <c r="AR1840" s="7" t="s">
        <v>0</v>
      </c>
      <c r="AS1840" s="10" t="str">
        <f>HYPERLINK("https://tessa.gazprom-neft.local/edo/card/80088cd9-b329-4d33-9771-ae8eb938ce60", "https://tessa.gazprom-neft.local/edo/card/80088cd9-b329-4d33-9771-ae8eb938ce60")</f>
        <v>https://tessa.gazprom-neft.local/edo/card/80088cd9-b329-4d33-9771-ae8eb938ce60</v>
      </c>
    </row>
    <row r="1841" spans="1:45" x14ac:dyDescent="0.25">
      <c r="A1841" s="6" t="s">
        <v>44</v>
      </c>
      <c r="B1841" s="7" t="s">
        <v>737</v>
      </c>
      <c r="C1841" s="7" t="s">
        <v>67</v>
      </c>
      <c r="D1841" s="8">
        <v>44662</v>
      </c>
      <c r="E1841" s="8" t="s">
        <v>0</v>
      </c>
      <c r="F1841" s="16" t="s">
        <v>738</v>
      </c>
      <c r="G1841" s="7" t="s">
        <v>739</v>
      </c>
      <c r="H1841" s="7" t="s">
        <v>2459</v>
      </c>
      <c r="I1841" s="7" t="s">
        <v>0</v>
      </c>
      <c r="J1841" s="7" t="s">
        <v>51</v>
      </c>
      <c r="K1841" s="7" t="s">
        <v>47</v>
      </c>
      <c r="L1841" s="7" t="s">
        <v>48</v>
      </c>
      <c r="M1841" s="7" t="s">
        <v>0</v>
      </c>
      <c r="N1841" s="7" t="s">
        <v>3979</v>
      </c>
      <c r="O1841" s="7" t="s">
        <v>0</v>
      </c>
      <c r="P1841" s="7" t="s">
        <v>3980</v>
      </c>
      <c r="Q1841" s="7" t="s">
        <v>3981</v>
      </c>
      <c r="R1841" s="7" t="s">
        <v>1551</v>
      </c>
      <c r="S1841" s="7" t="s">
        <v>1551</v>
      </c>
      <c r="T1841" s="7" t="s">
        <v>54</v>
      </c>
      <c r="U1841" s="7" t="s">
        <v>210</v>
      </c>
      <c r="V1841" s="7" t="s">
        <v>211</v>
      </c>
      <c r="W1841" s="7" t="s">
        <v>57</v>
      </c>
      <c r="X1841" s="7" t="s">
        <v>103</v>
      </c>
      <c r="Y1841" s="8">
        <v>44662</v>
      </c>
      <c r="Z1841" s="8">
        <v>45657</v>
      </c>
      <c r="AA1841" s="7" t="s">
        <v>212</v>
      </c>
      <c r="AB1841" s="7" t="s">
        <v>690</v>
      </c>
      <c r="AC1841" s="7" t="s">
        <v>65</v>
      </c>
      <c r="AD1841" s="7" t="s">
        <v>80</v>
      </c>
      <c r="AE1841" s="7" t="s">
        <v>0</v>
      </c>
      <c r="AF1841" s="7" t="s">
        <v>0</v>
      </c>
      <c r="AG1841" s="7" t="s">
        <v>0</v>
      </c>
      <c r="AH1841" s="9" t="s">
        <v>0</v>
      </c>
      <c r="AI1841" s="9" t="s">
        <v>0</v>
      </c>
      <c r="AJ1841" s="9" t="s">
        <v>0</v>
      </c>
      <c r="AK1841" s="7" t="s">
        <v>61</v>
      </c>
      <c r="AL1841" s="7" t="s">
        <v>61</v>
      </c>
      <c r="AM1841" s="7" t="s">
        <v>0</v>
      </c>
      <c r="AN1841" s="7" t="s">
        <v>0</v>
      </c>
      <c r="AO1841" s="7" t="s">
        <v>0</v>
      </c>
      <c r="AP1841" s="7" t="s">
        <v>0</v>
      </c>
      <c r="AQ1841" s="7" t="s">
        <v>61</v>
      </c>
      <c r="AR1841" s="7" t="s">
        <v>0</v>
      </c>
      <c r="AS1841" s="10" t="str">
        <f>HYPERLINK("https://tessa.gazprom-neft.local/edo/card/f12c9013-421b-4482-8afa-c8a119169227", "https://tessa.gazprom-neft.local/edo/card/f12c9013-421b-4482-8afa-c8a119169227")</f>
        <v>https://tessa.gazprom-neft.local/edo/card/f12c9013-421b-4482-8afa-c8a119169227</v>
      </c>
    </row>
    <row r="1842" spans="1:45" x14ac:dyDescent="0.25">
      <c r="A1842" s="6" t="s">
        <v>44</v>
      </c>
      <c r="B1842" s="7" t="s">
        <v>284</v>
      </c>
      <c r="C1842" s="7" t="s">
        <v>67</v>
      </c>
      <c r="D1842" s="8">
        <v>44662</v>
      </c>
      <c r="E1842" s="8" t="s">
        <v>0</v>
      </c>
      <c r="F1842" s="16" t="s">
        <v>2663</v>
      </c>
      <c r="G1842" s="7" t="s">
        <v>286</v>
      </c>
      <c r="H1842" s="7" t="s">
        <v>770</v>
      </c>
      <c r="I1842" s="7" t="s">
        <v>0</v>
      </c>
      <c r="J1842" s="7" t="s">
        <v>51</v>
      </c>
      <c r="K1842" s="7" t="s">
        <v>47</v>
      </c>
      <c r="L1842" s="7" t="s">
        <v>48</v>
      </c>
      <c r="M1842" s="7" t="s">
        <v>0</v>
      </c>
      <c r="N1842" s="7" t="s">
        <v>3987</v>
      </c>
      <c r="O1842" s="7" t="s">
        <v>0</v>
      </c>
      <c r="P1842" s="7" t="s">
        <v>3988</v>
      </c>
      <c r="Q1842" s="7" t="s">
        <v>3989</v>
      </c>
      <c r="R1842" s="7" t="s">
        <v>1551</v>
      </c>
      <c r="S1842" s="7" t="s">
        <v>1551</v>
      </c>
      <c r="T1842" s="7" t="s">
        <v>54</v>
      </c>
      <c r="U1842" s="7" t="s">
        <v>210</v>
      </c>
      <c r="V1842" s="7" t="s">
        <v>211</v>
      </c>
      <c r="W1842" s="7" t="s">
        <v>57</v>
      </c>
      <c r="X1842" s="7" t="s">
        <v>103</v>
      </c>
      <c r="Y1842" s="8">
        <v>44662</v>
      </c>
      <c r="Z1842" s="8">
        <v>45657</v>
      </c>
      <c r="AA1842" s="7" t="s">
        <v>212</v>
      </c>
      <c r="AB1842" s="7" t="s">
        <v>423</v>
      </c>
      <c r="AC1842" s="7" t="s">
        <v>65</v>
      </c>
      <c r="AD1842" s="7" t="s">
        <v>144</v>
      </c>
      <c r="AE1842" s="7" t="s">
        <v>0</v>
      </c>
      <c r="AF1842" s="7" t="s">
        <v>0</v>
      </c>
      <c r="AG1842" s="7" t="s">
        <v>0</v>
      </c>
      <c r="AH1842" s="9" t="s">
        <v>0</v>
      </c>
      <c r="AI1842" s="9" t="s">
        <v>0</v>
      </c>
      <c r="AJ1842" s="9" t="s">
        <v>0</v>
      </c>
      <c r="AK1842" s="7" t="s">
        <v>61</v>
      </c>
      <c r="AL1842" s="7" t="s">
        <v>61</v>
      </c>
      <c r="AM1842" s="7" t="s">
        <v>0</v>
      </c>
      <c r="AN1842" s="7" t="s">
        <v>0</v>
      </c>
      <c r="AO1842" s="7" t="s">
        <v>0</v>
      </c>
      <c r="AP1842" s="7" t="s">
        <v>0</v>
      </c>
      <c r="AQ1842" s="7" t="s">
        <v>61</v>
      </c>
      <c r="AR1842" s="7" t="s">
        <v>0</v>
      </c>
      <c r="AS1842" s="10" t="str">
        <f>HYPERLINK("https://tessa.gazprom-neft.local/edo/card/7ab1e0ad-b91b-4827-89ba-e5af51df7a3b", "https://tessa.gazprom-neft.local/edo/card/7ab1e0ad-b91b-4827-89ba-e5af51df7a3b")</f>
        <v>https://tessa.gazprom-neft.local/edo/card/7ab1e0ad-b91b-4827-89ba-e5af51df7a3b</v>
      </c>
    </row>
    <row r="1843" spans="1:45" x14ac:dyDescent="0.25">
      <c r="A1843" s="6" t="s">
        <v>44</v>
      </c>
      <c r="B1843" s="7" t="s">
        <v>1576</v>
      </c>
      <c r="C1843" s="7" t="s">
        <v>67</v>
      </c>
      <c r="D1843" s="8">
        <v>44662</v>
      </c>
      <c r="E1843" s="8" t="s">
        <v>0</v>
      </c>
      <c r="F1843" s="16" t="s">
        <v>1577</v>
      </c>
      <c r="G1843" s="7" t="s">
        <v>1578</v>
      </c>
      <c r="H1843" s="7" t="s">
        <v>4064</v>
      </c>
      <c r="I1843" s="7" t="s">
        <v>0</v>
      </c>
      <c r="J1843" s="7" t="s">
        <v>271</v>
      </c>
      <c r="K1843" s="7" t="s">
        <v>85</v>
      </c>
      <c r="L1843" s="7" t="s">
        <v>48</v>
      </c>
      <c r="M1843" s="7" t="s">
        <v>3833</v>
      </c>
      <c r="N1843" s="7" t="s">
        <v>4063</v>
      </c>
      <c r="O1843" s="7" t="s">
        <v>51</v>
      </c>
      <c r="P1843" s="7" t="s">
        <v>4065</v>
      </c>
      <c r="Q1843" s="7" t="s">
        <v>3843</v>
      </c>
      <c r="R1843" s="7" t="s">
        <v>1575</v>
      </c>
      <c r="S1843" s="7" t="s">
        <v>1575</v>
      </c>
      <c r="T1843" s="7" t="s">
        <v>54</v>
      </c>
      <c r="U1843" s="7" t="s">
        <v>222</v>
      </c>
      <c r="V1843" s="7" t="s">
        <v>382</v>
      </c>
      <c r="W1843" s="7" t="s">
        <v>57</v>
      </c>
      <c r="X1843" s="7" t="s">
        <v>58</v>
      </c>
      <c r="Y1843" s="8">
        <v>44662</v>
      </c>
      <c r="Z1843" s="8" t="s">
        <v>0</v>
      </c>
      <c r="AA1843" s="7" t="s">
        <v>383</v>
      </c>
      <c r="AB1843" s="7" t="s">
        <v>387</v>
      </c>
      <c r="AC1843" s="7" t="s">
        <v>65</v>
      </c>
      <c r="AD1843" s="7" t="s">
        <v>0</v>
      </c>
      <c r="AE1843" s="7" t="s">
        <v>0</v>
      </c>
      <c r="AF1843" s="7" t="s">
        <v>0</v>
      </c>
      <c r="AG1843" s="7" t="s">
        <v>0</v>
      </c>
      <c r="AH1843" s="9" t="s">
        <v>0</v>
      </c>
      <c r="AI1843" s="9" t="s">
        <v>0</v>
      </c>
      <c r="AJ1843" s="9" t="s">
        <v>0</v>
      </c>
      <c r="AK1843" s="7" t="s">
        <v>61</v>
      </c>
      <c r="AL1843" s="7" t="s">
        <v>61</v>
      </c>
      <c r="AM1843" s="7" t="s">
        <v>0</v>
      </c>
      <c r="AN1843" s="7" t="s">
        <v>0</v>
      </c>
      <c r="AO1843" s="7" t="s">
        <v>0</v>
      </c>
      <c r="AP1843" s="7" t="s">
        <v>0</v>
      </c>
      <c r="AQ1843" s="7" t="s">
        <v>61</v>
      </c>
      <c r="AR1843" s="7" t="s">
        <v>0</v>
      </c>
      <c r="AS1843" s="10" t="str">
        <f>HYPERLINK("https://tessa.gazprom-neft.local/edo/card/60a391ec-8f3f-486a-bd98-ae3b14ed8c9e", "https://tessa.gazprom-neft.local/edo/card/60a391ec-8f3f-486a-bd98-ae3b14ed8c9e")</f>
        <v>https://tessa.gazprom-neft.local/edo/card/60a391ec-8f3f-486a-bd98-ae3b14ed8c9e</v>
      </c>
    </row>
    <row r="1844" spans="1:45" x14ac:dyDescent="0.25">
      <c r="A1844" s="6" t="s">
        <v>44</v>
      </c>
      <c r="B1844" s="7" t="s">
        <v>436</v>
      </c>
      <c r="C1844" s="7" t="s">
        <v>67</v>
      </c>
      <c r="D1844" s="8">
        <v>44662</v>
      </c>
      <c r="E1844" s="8" t="s">
        <v>0</v>
      </c>
      <c r="F1844" s="16" t="s">
        <v>437</v>
      </c>
      <c r="G1844" s="7" t="s">
        <v>438</v>
      </c>
      <c r="H1844" s="7" t="s">
        <v>4603</v>
      </c>
      <c r="I1844" s="7" t="s">
        <v>0</v>
      </c>
      <c r="J1844" s="7" t="s">
        <v>538</v>
      </c>
      <c r="K1844" s="7" t="s">
        <v>47</v>
      </c>
      <c r="L1844" s="7" t="s">
        <v>48</v>
      </c>
      <c r="M1844" s="7" t="s">
        <v>0</v>
      </c>
      <c r="N1844" s="7" t="s">
        <v>4602</v>
      </c>
      <c r="O1844" s="7" t="s">
        <v>0</v>
      </c>
      <c r="P1844" s="7" t="s">
        <v>4604</v>
      </c>
      <c r="Q1844" s="7" t="s">
        <v>4605</v>
      </c>
      <c r="R1844" s="7" t="s">
        <v>1342</v>
      </c>
      <c r="S1844" s="7" t="s">
        <v>0</v>
      </c>
      <c r="T1844" s="7" t="s">
        <v>54</v>
      </c>
      <c r="U1844" s="7" t="s">
        <v>274</v>
      </c>
      <c r="V1844" s="7" t="s">
        <v>864</v>
      </c>
      <c r="W1844" s="7" t="s">
        <v>57</v>
      </c>
      <c r="X1844" s="7" t="s">
        <v>103</v>
      </c>
      <c r="Y1844" s="8">
        <v>44662</v>
      </c>
      <c r="Z1844" s="8">
        <v>44926</v>
      </c>
      <c r="AA1844" s="7" t="s">
        <v>1343</v>
      </c>
      <c r="AB1844" s="7" t="s">
        <v>130</v>
      </c>
      <c r="AC1844" s="7" t="s">
        <v>278</v>
      </c>
      <c r="AD1844" s="7" t="s">
        <v>80</v>
      </c>
      <c r="AE1844" s="7" t="s">
        <v>82</v>
      </c>
      <c r="AF1844" s="7" t="s">
        <v>0</v>
      </c>
      <c r="AG1844" s="7" t="s">
        <v>0</v>
      </c>
      <c r="AH1844" s="9" t="s">
        <v>12132</v>
      </c>
      <c r="AI1844" s="9" t="s">
        <v>12133</v>
      </c>
      <c r="AJ1844" s="9" t="s">
        <v>12134</v>
      </c>
      <c r="AK1844" s="7" t="s">
        <v>61</v>
      </c>
      <c r="AL1844" s="7" t="s">
        <v>61</v>
      </c>
      <c r="AM1844" s="7" t="s">
        <v>0</v>
      </c>
      <c r="AN1844" s="7" t="s">
        <v>0</v>
      </c>
      <c r="AO1844" s="7" t="s">
        <v>0</v>
      </c>
      <c r="AP1844" s="7" t="s">
        <v>0</v>
      </c>
      <c r="AQ1844" s="7" t="s">
        <v>61</v>
      </c>
      <c r="AR1844" s="7" t="s">
        <v>0</v>
      </c>
      <c r="AS1844" s="10" t="str">
        <f>HYPERLINK("https://tessa.gazprom-neft.local/edo/card/90aef652-0d97-4f5b-95db-102e8a41356a", "https://tessa.gazprom-neft.local/edo/card/90aef652-0d97-4f5b-95db-102e8a41356a")</f>
        <v>https://tessa.gazprom-neft.local/edo/card/90aef652-0d97-4f5b-95db-102e8a41356a</v>
      </c>
    </row>
    <row r="1845" spans="1:45" x14ac:dyDescent="0.25">
      <c r="A1845" s="6" t="s">
        <v>44</v>
      </c>
      <c r="B1845" s="7" t="s">
        <v>3031</v>
      </c>
      <c r="C1845" s="7" t="s">
        <v>67</v>
      </c>
      <c r="D1845" s="8">
        <v>44662</v>
      </c>
      <c r="E1845" s="8" t="s">
        <v>0</v>
      </c>
      <c r="F1845" s="16" t="s">
        <v>3032</v>
      </c>
      <c r="G1845" s="7" t="s">
        <v>3033</v>
      </c>
      <c r="H1845" s="7" t="s">
        <v>3027</v>
      </c>
      <c r="I1845" s="7" t="s">
        <v>0</v>
      </c>
      <c r="J1845" s="7" t="s">
        <v>955</v>
      </c>
      <c r="K1845" s="7" t="s">
        <v>85</v>
      </c>
      <c r="L1845" s="7" t="s">
        <v>48</v>
      </c>
      <c r="M1845" s="7" t="s">
        <v>3833</v>
      </c>
      <c r="N1845" s="7" t="s">
        <v>5182</v>
      </c>
      <c r="O1845" s="7" t="s">
        <v>0</v>
      </c>
      <c r="P1845" s="7" t="s">
        <v>3833</v>
      </c>
      <c r="Q1845" s="7" t="s">
        <v>5183</v>
      </c>
      <c r="R1845" s="7" t="s">
        <v>1829</v>
      </c>
      <c r="S1845" s="7" t="s">
        <v>1829</v>
      </c>
      <c r="T1845" s="7" t="s">
        <v>54</v>
      </c>
      <c r="U1845" s="7" t="s">
        <v>307</v>
      </c>
      <c r="V1845" s="7" t="s">
        <v>382</v>
      </c>
      <c r="W1845" s="7" t="s">
        <v>57</v>
      </c>
      <c r="X1845" s="7" t="s">
        <v>58</v>
      </c>
      <c r="Y1845" s="8">
        <v>44662</v>
      </c>
      <c r="Z1845" s="8" t="s">
        <v>0</v>
      </c>
      <c r="AA1845" s="7" t="s">
        <v>383</v>
      </c>
      <c r="AB1845" s="7" t="s">
        <v>130</v>
      </c>
      <c r="AC1845" s="7" t="s">
        <v>65</v>
      </c>
      <c r="AD1845" s="7" t="s">
        <v>0</v>
      </c>
      <c r="AE1845" s="7" t="s">
        <v>0</v>
      </c>
      <c r="AF1845" s="7" t="s">
        <v>0</v>
      </c>
      <c r="AG1845" s="7" t="s">
        <v>0</v>
      </c>
      <c r="AH1845" s="9" t="s">
        <v>0</v>
      </c>
      <c r="AI1845" s="9" t="s">
        <v>0</v>
      </c>
      <c r="AJ1845" s="9" t="s">
        <v>0</v>
      </c>
      <c r="AK1845" s="7" t="s">
        <v>61</v>
      </c>
      <c r="AL1845" s="7" t="s">
        <v>61</v>
      </c>
      <c r="AM1845" s="7" t="s">
        <v>0</v>
      </c>
      <c r="AN1845" s="7" t="s">
        <v>0</v>
      </c>
      <c r="AO1845" s="7" t="s">
        <v>0</v>
      </c>
      <c r="AP1845" s="7" t="s">
        <v>0</v>
      </c>
      <c r="AQ1845" s="7" t="s">
        <v>61</v>
      </c>
      <c r="AR1845" s="7" t="s">
        <v>0</v>
      </c>
      <c r="AS1845" s="10" t="str">
        <f>HYPERLINK("https://tessa.gazprom-neft.local/edo/card/b18b8eeb-c8a8-48af-8909-70ed8595da3e", "https://tessa.gazprom-neft.local/edo/card/b18b8eeb-c8a8-48af-8909-70ed8595da3e")</f>
        <v>https://tessa.gazprom-neft.local/edo/card/b18b8eeb-c8a8-48af-8909-70ed8595da3e</v>
      </c>
    </row>
    <row r="1846" spans="1:45" hidden="1" x14ac:dyDescent="0.25">
      <c r="A1846" s="6" t="s">
        <v>44</v>
      </c>
      <c r="B1846" s="7" t="s">
        <v>2852</v>
      </c>
      <c r="C1846" s="7" t="s">
        <v>67</v>
      </c>
      <c r="D1846" s="8">
        <v>44659</v>
      </c>
      <c r="E1846" s="8" t="s">
        <v>0</v>
      </c>
      <c r="F1846" s="16" t="s">
        <v>2853</v>
      </c>
      <c r="G1846" s="7" t="s">
        <v>2854</v>
      </c>
      <c r="H1846" s="7" t="s">
        <v>0</v>
      </c>
      <c r="I1846" s="7" t="s">
        <v>2849</v>
      </c>
      <c r="J1846" s="7" t="s">
        <v>2849</v>
      </c>
      <c r="K1846" s="7" t="s">
        <v>47</v>
      </c>
      <c r="L1846" s="7" t="s">
        <v>96</v>
      </c>
      <c r="M1846" s="7" t="s">
        <v>0</v>
      </c>
      <c r="N1846" s="7" t="s">
        <v>2848</v>
      </c>
      <c r="O1846" s="7" t="s">
        <v>0</v>
      </c>
      <c r="P1846" s="7" t="s">
        <v>2850</v>
      </c>
      <c r="Q1846" s="7" t="s">
        <v>2851</v>
      </c>
      <c r="R1846" s="7" t="s">
        <v>1753</v>
      </c>
      <c r="S1846" s="7" t="s">
        <v>1753</v>
      </c>
      <c r="T1846" s="7" t="s">
        <v>54</v>
      </c>
      <c r="U1846" s="7" t="s">
        <v>210</v>
      </c>
      <c r="V1846" s="7" t="s">
        <v>211</v>
      </c>
      <c r="W1846" s="7" t="s">
        <v>57</v>
      </c>
      <c r="X1846" s="7" t="s">
        <v>58</v>
      </c>
      <c r="Y1846" s="8">
        <v>44682</v>
      </c>
      <c r="Z1846" s="8" t="s">
        <v>0</v>
      </c>
      <c r="AA1846" s="7" t="s">
        <v>212</v>
      </c>
      <c r="AB1846" s="7" t="s">
        <v>1546</v>
      </c>
      <c r="AC1846" s="7" t="s">
        <v>79</v>
      </c>
      <c r="AD1846" s="7" t="s">
        <v>80</v>
      </c>
      <c r="AE1846" s="7" t="s">
        <v>82</v>
      </c>
      <c r="AF1846" s="7" t="s">
        <v>0</v>
      </c>
      <c r="AG1846" s="7" t="s">
        <v>0</v>
      </c>
      <c r="AH1846" s="9" t="s">
        <v>11465</v>
      </c>
      <c r="AI1846" s="9" t="s">
        <v>11466</v>
      </c>
      <c r="AJ1846" s="9" t="s">
        <v>11467</v>
      </c>
      <c r="AK1846" s="7" t="s">
        <v>61</v>
      </c>
      <c r="AL1846" s="7" t="s">
        <v>61</v>
      </c>
      <c r="AM1846" s="7" t="s">
        <v>0</v>
      </c>
      <c r="AN1846" s="7" t="s">
        <v>0</v>
      </c>
      <c r="AO1846" s="7" t="s">
        <v>0</v>
      </c>
      <c r="AP1846" s="7" t="s">
        <v>0</v>
      </c>
      <c r="AQ1846" s="7" t="s">
        <v>61</v>
      </c>
      <c r="AR1846" s="7" t="s">
        <v>0</v>
      </c>
      <c r="AS1846" s="10" t="str">
        <f>HYPERLINK("https://tessa.gazprom-neft.local/edo/card/29ca68d8-7aa5-4f24-b537-4f5e658a1513", "https://tessa.gazprom-neft.local/edo/card/29ca68d8-7aa5-4f24-b537-4f5e658a1513")</f>
        <v>https://tessa.gazprom-neft.local/edo/card/29ca68d8-7aa5-4f24-b537-4f5e658a1513</v>
      </c>
    </row>
    <row r="1847" spans="1:45" hidden="1" x14ac:dyDescent="0.25">
      <c r="A1847" s="6" t="s">
        <v>44</v>
      </c>
      <c r="B1847" s="7" t="s">
        <v>1302</v>
      </c>
      <c r="C1847" s="7" t="s">
        <v>46</v>
      </c>
      <c r="D1847" s="8">
        <v>44659</v>
      </c>
      <c r="E1847" s="8" t="s">
        <v>0</v>
      </c>
      <c r="F1847" s="16" t="s">
        <v>1303</v>
      </c>
      <c r="G1847" s="7" t="s">
        <v>1304</v>
      </c>
      <c r="H1847" s="7" t="s">
        <v>0</v>
      </c>
      <c r="I1847" s="7" t="s">
        <v>3695</v>
      </c>
      <c r="J1847" s="7" t="s">
        <v>3695</v>
      </c>
      <c r="K1847" s="7" t="s">
        <v>47</v>
      </c>
      <c r="L1847" s="7" t="s">
        <v>96</v>
      </c>
      <c r="M1847" s="7" t="s">
        <v>0</v>
      </c>
      <c r="N1847" s="7" t="s">
        <v>3694</v>
      </c>
      <c r="O1847" s="7" t="s">
        <v>0</v>
      </c>
      <c r="P1847" s="7" t="s">
        <v>1558</v>
      </c>
      <c r="Q1847" s="7" t="s">
        <v>3696</v>
      </c>
      <c r="R1847" s="7" t="s">
        <v>187</v>
      </c>
      <c r="S1847" s="7" t="s">
        <v>187</v>
      </c>
      <c r="T1847" s="7" t="s">
        <v>54</v>
      </c>
      <c r="U1847" s="7" t="s">
        <v>188</v>
      </c>
      <c r="V1847" s="7" t="s">
        <v>864</v>
      </c>
      <c r="W1847" s="7" t="s">
        <v>57</v>
      </c>
      <c r="X1847" s="7" t="s">
        <v>58</v>
      </c>
      <c r="Y1847" s="8">
        <v>44656</v>
      </c>
      <c r="Z1847" s="8" t="s">
        <v>0</v>
      </c>
      <c r="AA1847" s="7" t="s">
        <v>1343</v>
      </c>
      <c r="AB1847" s="7" t="s">
        <v>64</v>
      </c>
      <c r="AC1847" s="7" t="s">
        <v>79</v>
      </c>
      <c r="AD1847" s="7" t="s">
        <v>80</v>
      </c>
      <c r="AE1847" s="7" t="s">
        <v>118</v>
      </c>
      <c r="AF1847" s="7" t="s">
        <v>0</v>
      </c>
      <c r="AG1847" s="7" t="s">
        <v>0</v>
      </c>
      <c r="AH1847" s="9" t="s">
        <v>11787</v>
      </c>
      <c r="AI1847" s="9" t="s">
        <v>11787</v>
      </c>
      <c r="AJ1847" s="9">
        <v>0</v>
      </c>
      <c r="AK1847" s="7" t="s">
        <v>61</v>
      </c>
      <c r="AL1847" s="7" t="s">
        <v>61</v>
      </c>
      <c r="AM1847" s="7" t="s">
        <v>0</v>
      </c>
      <c r="AN1847" s="7" t="s">
        <v>0</v>
      </c>
      <c r="AO1847" s="7" t="s">
        <v>0</v>
      </c>
      <c r="AP1847" s="7" t="s">
        <v>0</v>
      </c>
      <c r="AQ1847" s="7" t="s">
        <v>61</v>
      </c>
      <c r="AR1847" s="7" t="s">
        <v>0</v>
      </c>
      <c r="AS1847" s="10" t="str">
        <f>HYPERLINK("https://tessa.gazprom-neft.local/edo/card/87c5e36d-d0af-4aa0-a67d-59b664ff97a7", "https://tessa.gazprom-neft.local/edo/card/87c5e36d-d0af-4aa0-a67d-59b664ff97a7")</f>
        <v>https://tessa.gazprom-neft.local/edo/card/87c5e36d-d0af-4aa0-a67d-59b664ff97a7</v>
      </c>
    </row>
    <row r="1848" spans="1:45" x14ac:dyDescent="0.25">
      <c r="A1848" s="6" t="s">
        <v>44</v>
      </c>
      <c r="B1848" s="7" t="s">
        <v>1101</v>
      </c>
      <c r="C1848" s="7" t="s">
        <v>67</v>
      </c>
      <c r="D1848" s="8">
        <v>44659</v>
      </c>
      <c r="E1848" s="8" t="s">
        <v>0</v>
      </c>
      <c r="F1848" s="16" t="s">
        <v>1102</v>
      </c>
      <c r="G1848" s="7" t="s">
        <v>1103</v>
      </c>
      <c r="H1848" s="7" t="s">
        <v>2522</v>
      </c>
      <c r="I1848" s="7" t="s">
        <v>0</v>
      </c>
      <c r="J1848" s="7" t="s">
        <v>271</v>
      </c>
      <c r="K1848" s="7" t="s">
        <v>85</v>
      </c>
      <c r="L1848" s="7" t="s">
        <v>48</v>
      </c>
      <c r="M1848" s="7" t="s">
        <v>3833</v>
      </c>
      <c r="N1848" s="7" t="s">
        <v>3834</v>
      </c>
      <c r="O1848" s="7" t="s">
        <v>0</v>
      </c>
      <c r="P1848" s="7" t="s">
        <v>3833</v>
      </c>
      <c r="Q1848" s="7" t="s">
        <v>3835</v>
      </c>
      <c r="R1848" s="7" t="s">
        <v>339</v>
      </c>
      <c r="S1848" s="7" t="s">
        <v>339</v>
      </c>
      <c r="T1848" s="7" t="s">
        <v>54</v>
      </c>
      <c r="U1848" s="7" t="s">
        <v>303</v>
      </c>
      <c r="V1848" s="7" t="s">
        <v>91</v>
      </c>
      <c r="W1848" s="7" t="s">
        <v>57</v>
      </c>
      <c r="X1848" s="7" t="s">
        <v>223</v>
      </c>
      <c r="Y1848" s="8">
        <v>44659</v>
      </c>
      <c r="Z1848" s="8" t="s">
        <v>0</v>
      </c>
      <c r="AA1848" s="7" t="s">
        <v>92</v>
      </c>
      <c r="AB1848" s="7" t="s">
        <v>64</v>
      </c>
      <c r="AC1848" s="7" t="s">
        <v>65</v>
      </c>
      <c r="AD1848" s="7" t="s">
        <v>0</v>
      </c>
      <c r="AE1848" s="7" t="s">
        <v>0</v>
      </c>
      <c r="AF1848" s="7" t="s">
        <v>0</v>
      </c>
      <c r="AG1848" s="7" t="s">
        <v>0</v>
      </c>
      <c r="AH1848" s="9" t="s">
        <v>0</v>
      </c>
      <c r="AI1848" s="9" t="s">
        <v>0</v>
      </c>
      <c r="AJ1848" s="9" t="s">
        <v>0</v>
      </c>
      <c r="AK1848" s="7" t="s">
        <v>61</v>
      </c>
      <c r="AL1848" s="7" t="s">
        <v>61</v>
      </c>
      <c r="AM1848" s="7" t="s">
        <v>0</v>
      </c>
      <c r="AN1848" s="7" t="s">
        <v>0</v>
      </c>
      <c r="AO1848" s="7" t="s">
        <v>0</v>
      </c>
      <c r="AP1848" s="7" t="s">
        <v>0</v>
      </c>
      <c r="AQ1848" s="7" t="s">
        <v>61</v>
      </c>
      <c r="AR1848" s="7" t="s">
        <v>0</v>
      </c>
      <c r="AS1848" s="10" t="str">
        <f>HYPERLINK("https://tessa.gazprom-neft.local/edo/card/f2f1eb7d-9ea4-44c7-8593-236249f27eae", "https://tessa.gazprom-neft.local/edo/card/f2f1eb7d-9ea4-44c7-8593-236249f27eae")</f>
        <v>https://tessa.gazprom-neft.local/edo/card/f2f1eb7d-9ea4-44c7-8593-236249f27eae</v>
      </c>
    </row>
    <row r="1849" spans="1:45" x14ac:dyDescent="0.25">
      <c r="A1849" s="6" t="s">
        <v>44</v>
      </c>
      <c r="B1849" s="7" t="s">
        <v>753</v>
      </c>
      <c r="C1849" s="7" t="s">
        <v>67</v>
      </c>
      <c r="D1849" s="8">
        <v>44659</v>
      </c>
      <c r="E1849" s="8" t="s">
        <v>0</v>
      </c>
      <c r="F1849" s="16" t="s">
        <v>754</v>
      </c>
      <c r="G1849" s="7" t="s">
        <v>755</v>
      </c>
      <c r="H1849" s="7" t="s">
        <v>748</v>
      </c>
      <c r="I1849" s="7" t="s">
        <v>0</v>
      </c>
      <c r="J1849" s="7" t="s">
        <v>271</v>
      </c>
      <c r="K1849" s="7" t="s">
        <v>85</v>
      </c>
      <c r="L1849" s="7" t="s">
        <v>48</v>
      </c>
      <c r="M1849" s="7" t="s">
        <v>3833</v>
      </c>
      <c r="N1849" s="7" t="s">
        <v>3842</v>
      </c>
      <c r="O1849" s="7" t="s">
        <v>0</v>
      </c>
      <c r="P1849" s="7" t="s">
        <v>3833</v>
      </c>
      <c r="Q1849" s="7" t="s">
        <v>3843</v>
      </c>
      <c r="R1849" s="7" t="s">
        <v>1575</v>
      </c>
      <c r="S1849" s="7" t="s">
        <v>0</v>
      </c>
      <c r="T1849" s="7" t="s">
        <v>54</v>
      </c>
      <c r="U1849" s="7" t="s">
        <v>222</v>
      </c>
      <c r="V1849" s="7" t="s">
        <v>382</v>
      </c>
      <c r="W1849" s="7" t="s">
        <v>57</v>
      </c>
      <c r="X1849" s="7" t="s">
        <v>58</v>
      </c>
      <c r="Y1849" s="8">
        <v>44659</v>
      </c>
      <c r="Z1849" s="8" t="s">
        <v>0</v>
      </c>
      <c r="AA1849" s="7" t="s">
        <v>383</v>
      </c>
      <c r="AB1849" s="7" t="s">
        <v>756</v>
      </c>
      <c r="AC1849" s="7" t="s">
        <v>65</v>
      </c>
      <c r="AD1849" s="7" t="s">
        <v>514</v>
      </c>
      <c r="AE1849" s="7" t="s">
        <v>0</v>
      </c>
      <c r="AF1849" s="7" t="s">
        <v>0</v>
      </c>
      <c r="AG1849" s="7" t="s">
        <v>0</v>
      </c>
      <c r="AH1849" s="9" t="s">
        <v>0</v>
      </c>
      <c r="AI1849" s="9" t="s">
        <v>0</v>
      </c>
      <c r="AJ1849" s="9" t="s">
        <v>0</v>
      </c>
      <c r="AK1849" s="7" t="s">
        <v>61</v>
      </c>
      <c r="AL1849" s="7" t="s">
        <v>61</v>
      </c>
      <c r="AM1849" s="7" t="s">
        <v>0</v>
      </c>
      <c r="AN1849" s="7" t="s">
        <v>0</v>
      </c>
      <c r="AO1849" s="7" t="s">
        <v>0</v>
      </c>
      <c r="AP1849" s="7" t="s">
        <v>0</v>
      </c>
      <c r="AQ1849" s="7" t="s">
        <v>61</v>
      </c>
      <c r="AR1849" s="7" t="s">
        <v>0</v>
      </c>
      <c r="AS1849" s="10" t="str">
        <f>HYPERLINK("https://tessa.gazprom-neft.local/edo/card/10927f44-0fbd-4f4c-ae58-8343a7e4d1fe", "https://tessa.gazprom-neft.local/edo/card/10927f44-0fbd-4f4c-ae58-8343a7e4d1fe")</f>
        <v>https://tessa.gazprom-neft.local/edo/card/10927f44-0fbd-4f4c-ae58-8343a7e4d1fe</v>
      </c>
    </row>
    <row r="1850" spans="1:45" x14ac:dyDescent="0.25">
      <c r="A1850" s="6" t="s">
        <v>44</v>
      </c>
      <c r="B1850" s="7" t="s">
        <v>687</v>
      </c>
      <c r="C1850" s="7" t="s">
        <v>67</v>
      </c>
      <c r="D1850" s="8">
        <v>44659</v>
      </c>
      <c r="E1850" s="8" t="s">
        <v>0</v>
      </c>
      <c r="F1850" s="16" t="s">
        <v>688</v>
      </c>
      <c r="G1850" s="7" t="s">
        <v>689</v>
      </c>
      <c r="H1850" s="7" t="s">
        <v>684</v>
      </c>
      <c r="I1850" s="7" t="s">
        <v>0</v>
      </c>
      <c r="J1850" s="7" t="s">
        <v>51</v>
      </c>
      <c r="K1850" s="7" t="s">
        <v>47</v>
      </c>
      <c r="L1850" s="7" t="s">
        <v>48</v>
      </c>
      <c r="M1850" s="7" t="s">
        <v>0</v>
      </c>
      <c r="N1850" s="7" t="s">
        <v>3859</v>
      </c>
      <c r="O1850" s="7" t="s">
        <v>0</v>
      </c>
      <c r="P1850" s="7" t="s">
        <v>3860</v>
      </c>
      <c r="Q1850" s="7" t="s">
        <v>3861</v>
      </c>
      <c r="R1850" s="7" t="s">
        <v>1551</v>
      </c>
      <c r="S1850" s="7" t="s">
        <v>1551</v>
      </c>
      <c r="T1850" s="7" t="s">
        <v>54</v>
      </c>
      <c r="U1850" s="7" t="s">
        <v>210</v>
      </c>
      <c r="V1850" s="7" t="s">
        <v>211</v>
      </c>
      <c r="W1850" s="7" t="s">
        <v>57</v>
      </c>
      <c r="X1850" s="7" t="s">
        <v>103</v>
      </c>
      <c r="Y1850" s="8">
        <v>44659</v>
      </c>
      <c r="Z1850" s="8">
        <v>45747</v>
      </c>
      <c r="AA1850" s="7" t="s">
        <v>212</v>
      </c>
      <c r="AB1850" s="7" t="s">
        <v>690</v>
      </c>
      <c r="AC1850" s="7" t="s">
        <v>65</v>
      </c>
      <c r="AD1850" s="7" t="s">
        <v>80</v>
      </c>
      <c r="AE1850" s="7" t="s">
        <v>0</v>
      </c>
      <c r="AF1850" s="7" t="s">
        <v>0</v>
      </c>
      <c r="AG1850" s="7" t="s">
        <v>0</v>
      </c>
      <c r="AH1850" s="9" t="s">
        <v>0</v>
      </c>
      <c r="AI1850" s="9" t="s">
        <v>0</v>
      </c>
      <c r="AJ1850" s="9" t="s">
        <v>0</v>
      </c>
      <c r="AK1850" s="7" t="s">
        <v>61</v>
      </c>
      <c r="AL1850" s="7" t="s">
        <v>61</v>
      </c>
      <c r="AM1850" s="7" t="s">
        <v>0</v>
      </c>
      <c r="AN1850" s="7" t="s">
        <v>0</v>
      </c>
      <c r="AO1850" s="7" t="s">
        <v>0</v>
      </c>
      <c r="AP1850" s="7" t="s">
        <v>0</v>
      </c>
      <c r="AQ1850" s="7" t="s">
        <v>61</v>
      </c>
      <c r="AR1850" s="7" t="s">
        <v>0</v>
      </c>
      <c r="AS1850" s="10" t="str">
        <f>HYPERLINK("https://tessa.gazprom-neft.local/edo/card/85ea2fdd-885e-4af5-aa12-bfd5e6b980ef", "https://tessa.gazprom-neft.local/edo/card/85ea2fdd-885e-4af5-aa12-bfd5e6b980ef")</f>
        <v>https://tessa.gazprom-neft.local/edo/card/85ea2fdd-885e-4af5-aa12-bfd5e6b980ef</v>
      </c>
    </row>
    <row r="1851" spans="1:45" hidden="1" x14ac:dyDescent="0.25">
      <c r="A1851" s="6" t="s">
        <v>44</v>
      </c>
      <c r="B1851" s="7" t="s">
        <v>964</v>
      </c>
      <c r="C1851" s="7" t="s">
        <v>67</v>
      </c>
      <c r="D1851" s="8">
        <v>44659</v>
      </c>
      <c r="E1851" s="8" t="s">
        <v>0</v>
      </c>
      <c r="F1851" s="16" t="s">
        <v>965</v>
      </c>
      <c r="G1851" s="7" t="s">
        <v>966</v>
      </c>
      <c r="H1851" s="7" t="s">
        <v>0</v>
      </c>
      <c r="I1851" s="7" t="s">
        <v>4309</v>
      </c>
      <c r="J1851" s="7" t="s">
        <v>4309</v>
      </c>
      <c r="K1851" s="7" t="s">
        <v>47</v>
      </c>
      <c r="L1851" s="7" t="s">
        <v>96</v>
      </c>
      <c r="M1851" s="7" t="s">
        <v>0</v>
      </c>
      <c r="N1851" s="7" t="s">
        <v>4308</v>
      </c>
      <c r="O1851" s="7" t="s">
        <v>0</v>
      </c>
      <c r="P1851" s="7" t="s">
        <v>962</v>
      </c>
      <c r="Q1851" s="7" t="s">
        <v>963</v>
      </c>
      <c r="R1851" s="7" t="s">
        <v>361</v>
      </c>
      <c r="S1851" s="7" t="s">
        <v>361</v>
      </c>
      <c r="T1851" s="7" t="s">
        <v>54</v>
      </c>
      <c r="U1851" s="7" t="s">
        <v>362</v>
      </c>
      <c r="V1851" s="7" t="s">
        <v>295</v>
      </c>
      <c r="W1851" s="7" t="s">
        <v>57</v>
      </c>
      <c r="X1851" s="7" t="s">
        <v>103</v>
      </c>
      <c r="Y1851" s="8">
        <v>44659</v>
      </c>
      <c r="Z1851" s="8">
        <v>44926</v>
      </c>
      <c r="AA1851" s="7" t="s">
        <v>296</v>
      </c>
      <c r="AB1851" s="7" t="s">
        <v>366</v>
      </c>
      <c r="AC1851" s="7" t="s">
        <v>278</v>
      </c>
      <c r="AD1851" s="7" t="s">
        <v>367</v>
      </c>
      <c r="AE1851" s="7" t="s">
        <v>82</v>
      </c>
      <c r="AF1851" s="7" t="s">
        <v>0</v>
      </c>
      <c r="AG1851" s="7" t="s">
        <v>0</v>
      </c>
      <c r="AH1851" s="9" t="s">
        <v>12011</v>
      </c>
      <c r="AI1851" s="9" t="s">
        <v>12012</v>
      </c>
      <c r="AJ1851" s="9" t="s">
        <v>12013</v>
      </c>
      <c r="AK1851" s="7" t="s">
        <v>61</v>
      </c>
      <c r="AL1851" s="7" t="s">
        <v>61</v>
      </c>
      <c r="AM1851" s="7" t="s">
        <v>0</v>
      </c>
      <c r="AN1851" s="7" t="s">
        <v>0</v>
      </c>
      <c r="AO1851" s="7" t="s">
        <v>0</v>
      </c>
      <c r="AP1851" s="7" t="s">
        <v>0</v>
      </c>
      <c r="AQ1851" s="7" t="s">
        <v>61</v>
      </c>
      <c r="AR1851" s="7" t="s">
        <v>0</v>
      </c>
      <c r="AS1851" s="10" t="str">
        <f>HYPERLINK("https://tessa.gazprom-neft.local/edo/card/cb3cf9c2-508a-48c1-a644-3f71f89b691b", "https://tessa.gazprom-neft.local/edo/card/cb3cf9c2-508a-48c1-a644-3f71f89b691b")</f>
        <v>https://tessa.gazprom-neft.local/edo/card/cb3cf9c2-508a-48c1-a644-3f71f89b691b</v>
      </c>
    </row>
    <row r="1852" spans="1:45" hidden="1" x14ac:dyDescent="0.25">
      <c r="A1852" s="6" t="s">
        <v>44</v>
      </c>
      <c r="B1852" s="7" t="s">
        <v>374</v>
      </c>
      <c r="C1852" s="7" t="s">
        <v>67</v>
      </c>
      <c r="D1852" s="8">
        <v>44658</v>
      </c>
      <c r="E1852" s="8" t="s">
        <v>0</v>
      </c>
      <c r="F1852" s="16" t="s">
        <v>375</v>
      </c>
      <c r="G1852" s="7" t="s">
        <v>376</v>
      </c>
      <c r="H1852" s="7" t="s">
        <v>0</v>
      </c>
      <c r="I1852" s="7" t="s">
        <v>3345</v>
      </c>
      <c r="J1852" s="7" t="s">
        <v>3345</v>
      </c>
      <c r="K1852" s="7" t="s">
        <v>47</v>
      </c>
      <c r="L1852" s="7" t="s">
        <v>96</v>
      </c>
      <c r="M1852" s="7" t="s">
        <v>0</v>
      </c>
      <c r="N1852" s="7" t="s">
        <v>3344</v>
      </c>
      <c r="O1852" s="7" t="s">
        <v>0</v>
      </c>
      <c r="P1852" s="7" t="s">
        <v>3346</v>
      </c>
      <c r="Q1852" s="7" t="s">
        <v>3347</v>
      </c>
      <c r="R1852" s="7" t="s">
        <v>53</v>
      </c>
      <c r="S1852" s="7" t="s">
        <v>53</v>
      </c>
      <c r="T1852" s="7" t="s">
        <v>54</v>
      </c>
      <c r="U1852" s="7" t="s">
        <v>55</v>
      </c>
      <c r="V1852" s="7" t="s">
        <v>56</v>
      </c>
      <c r="W1852" s="7" t="s">
        <v>57</v>
      </c>
      <c r="X1852" s="7" t="s">
        <v>103</v>
      </c>
      <c r="Y1852" s="8">
        <v>44682</v>
      </c>
      <c r="Z1852" s="8">
        <v>44926</v>
      </c>
      <c r="AA1852" s="7" t="s">
        <v>59</v>
      </c>
      <c r="AB1852" s="7" t="s">
        <v>64</v>
      </c>
      <c r="AC1852" s="7" t="s">
        <v>79</v>
      </c>
      <c r="AD1852" s="7" t="s">
        <v>80</v>
      </c>
      <c r="AE1852" s="7" t="s">
        <v>82</v>
      </c>
      <c r="AF1852" s="7" t="s">
        <v>0</v>
      </c>
      <c r="AG1852" s="7" t="s">
        <v>0</v>
      </c>
      <c r="AH1852" s="9" t="s">
        <v>11625</v>
      </c>
      <c r="AI1852" s="9" t="s">
        <v>11626</v>
      </c>
      <c r="AJ1852" s="9" t="s">
        <v>11627</v>
      </c>
      <c r="AK1852" s="7" t="s">
        <v>61</v>
      </c>
      <c r="AL1852" s="7" t="s">
        <v>61</v>
      </c>
      <c r="AM1852" s="7" t="s">
        <v>0</v>
      </c>
      <c r="AN1852" s="7" t="s">
        <v>0</v>
      </c>
      <c r="AO1852" s="7" t="s">
        <v>0</v>
      </c>
      <c r="AP1852" s="7" t="s">
        <v>0</v>
      </c>
      <c r="AQ1852" s="7" t="s">
        <v>61</v>
      </c>
      <c r="AR1852" s="7" t="s">
        <v>0</v>
      </c>
      <c r="AS1852" s="10" t="str">
        <f>HYPERLINK("https://tessa.gazprom-neft.local/edo/card/a11a83cf-4bc6-4be2-982c-4f1eb3dd91fc", "https://tessa.gazprom-neft.local/edo/card/a11a83cf-4bc6-4be2-982c-4f1eb3dd91fc")</f>
        <v>https://tessa.gazprom-neft.local/edo/card/a11a83cf-4bc6-4be2-982c-4f1eb3dd91fc</v>
      </c>
    </row>
    <row r="1853" spans="1:45" x14ac:dyDescent="0.25">
      <c r="A1853" s="6" t="s">
        <v>44</v>
      </c>
      <c r="B1853" s="7" t="s">
        <v>813</v>
      </c>
      <c r="C1853" s="7" t="s">
        <v>67</v>
      </c>
      <c r="D1853" s="8">
        <v>44658</v>
      </c>
      <c r="E1853" s="8" t="s">
        <v>0</v>
      </c>
      <c r="F1853" s="16" t="s">
        <v>814</v>
      </c>
      <c r="G1853" s="7" t="s">
        <v>815</v>
      </c>
      <c r="H1853" s="7" t="s">
        <v>809</v>
      </c>
      <c r="I1853" s="7" t="s">
        <v>0</v>
      </c>
      <c r="J1853" s="7" t="s">
        <v>51</v>
      </c>
      <c r="K1853" s="7" t="s">
        <v>47</v>
      </c>
      <c r="L1853" s="7" t="s">
        <v>48</v>
      </c>
      <c r="M1853" s="7" t="s">
        <v>0</v>
      </c>
      <c r="N1853" s="7" t="s">
        <v>4287</v>
      </c>
      <c r="O1853" s="7" t="s">
        <v>0</v>
      </c>
      <c r="P1853" s="7" t="s">
        <v>408</v>
      </c>
      <c r="Q1853" s="7" t="s">
        <v>4288</v>
      </c>
      <c r="R1853" s="7" t="s">
        <v>812</v>
      </c>
      <c r="S1853" s="7" t="s">
        <v>812</v>
      </c>
      <c r="T1853" s="7" t="s">
        <v>54</v>
      </c>
      <c r="U1853" s="7" t="s">
        <v>1534</v>
      </c>
      <c r="V1853" s="7" t="s">
        <v>56</v>
      </c>
      <c r="W1853" s="7" t="s">
        <v>57</v>
      </c>
      <c r="X1853" s="7" t="s">
        <v>103</v>
      </c>
      <c r="Y1853" s="8">
        <v>44652</v>
      </c>
      <c r="Z1853" s="8">
        <v>46387</v>
      </c>
      <c r="AA1853" s="7" t="s">
        <v>59</v>
      </c>
      <c r="AB1853" s="7" t="s">
        <v>256</v>
      </c>
      <c r="AC1853" s="7" t="s">
        <v>65</v>
      </c>
      <c r="AD1853" s="7" t="s">
        <v>80</v>
      </c>
      <c r="AE1853" s="7" t="s">
        <v>0</v>
      </c>
      <c r="AF1853" s="7" t="s">
        <v>0</v>
      </c>
      <c r="AG1853" s="7" t="s">
        <v>0</v>
      </c>
      <c r="AH1853" s="9" t="s">
        <v>0</v>
      </c>
      <c r="AI1853" s="9" t="s">
        <v>0</v>
      </c>
      <c r="AJ1853" s="9" t="s">
        <v>0</v>
      </c>
      <c r="AK1853" s="7" t="s">
        <v>61</v>
      </c>
      <c r="AL1853" s="7" t="s">
        <v>61</v>
      </c>
      <c r="AM1853" s="7" t="s">
        <v>0</v>
      </c>
      <c r="AN1853" s="7" t="s">
        <v>0</v>
      </c>
      <c r="AO1853" s="7" t="s">
        <v>0</v>
      </c>
      <c r="AP1853" s="7" t="s">
        <v>0</v>
      </c>
      <c r="AQ1853" s="7" t="s">
        <v>61</v>
      </c>
      <c r="AR1853" s="7" t="s">
        <v>0</v>
      </c>
      <c r="AS1853" s="10" t="str">
        <f>HYPERLINK("https://tessa.gazprom-neft.local/edo/card/1d30770c-d1bb-4859-8899-b32bfa467137", "https://tessa.gazprom-neft.local/edo/card/1d30770c-d1bb-4859-8899-b32bfa467137")</f>
        <v>https://tessa.gazprom-neft.local/edo/card/1d30770c-d1bb-4859-8899-b32bfa467137</v>
      </c>
    </row>
    <row r="1854" spans="1:45" hidden="1" x14ac:dyDescent="0.25">
      <c r="A1854" s="6" t="s">
        <v>44</v>
      </c>
      <c r="B1854" s="7" t="s">
        <v>1935</v>
      </c>
      <c r="C1854" s="7" t="s">
        <v>67</v>
      </c>
      <c r="D1854" s="8">
        <v>44657</v>
      </c>
      <c r="E1854" s="8" t="s">
        <v>0</v>
      </c>
      <c r="F1854" s="16" t="s">
        <v>1936</v>
      </c>
      <c r="G1854" s="7" t="s">
        <v>1937</v>
      </c>
      <c r="H1854" s="7" t="s">
        <v>0</v>
      </c>
      <c r="I1854" s="7" t="s">
        <v>5793</v>
      </c>
      <c r="J1854" s="7" t="s">
        <v>5793</v>
      </c>
      <c r="K1854" s="7" t="s">
        <v>47</v>
      </c>
      <c r="L1854" s="7" t="s">
        <v>86</v>
      </c>
      <c r="M1854" s="7" t="s">
        <v>0</v>
      </c>
      <c r="N1854" s="7" t="s">
        <v>5792</v>
      </c>
      <c r="O1854" s="7" t="s">
        <v>0</v>
      </c>
      <c r="P1854" s="7" t="s">
        <v>5794</v>
      </c>
      <c r="Q1854" s="7" t="s">
        <v>5795</v>
      </c>
      <c r="R1854" s="7" t="s">
        <v>1199</v>
      </c>
      <c r="S1854" s="7" t="s">
        <v>1199</v>
      </c>
      <c r="T1854" s="7" t="s">
        <v>54</v>
      </c>
      <c r="U1854" s="7" t="s">
        <v>605</v>
      </c>
      <c r="V1854" s="7" t="s">
        <v>382</v>
      </c>
      <c r="W1854" s="7" t="s">
        <v>57</v>
      </c>
      <c r="X1854" s="7" t="s">
        <v>58</v>
      </c>
      <c r="Y1854" s="8">
        <v>44657</v>
      </c>
      <c r="Z1854" s="8" t="s">
        <v>0</v>
      </c>
      <c r="AA1854" s="7" t="s">
        <v>383</v>
      </c>
      <c r="AB1854" s="7" t="s">
        <v>1203</v>
      </c>
      <c r="AC1854" s="7" t="s">
        <v>79</v>
      </c>
      <c r="AD1854" s="7" t="s">
        <v>80</v>
      </c>
      <c r="AE1854" s="7" t="s">
        <v>472</v>
      </c>
      <c r="AF1854" s="7" t="s">
        <v>5796</v>
      </c>
      <c r="AG1854" s="7" t="s">
        <v>0</v>
      </c>
      <c r="AH1854" s="9" t="s">
        <v>12628</v>
      </c>
      <c r="AI1854" s="9" t="s">
        <v>12629</v>
      </c>
      <c r="AJ1854" s="9" t="s">
        <v>12630</v>
      </c>
      <c r="AK1854" s="7" t="s">
        <v>61</v>
      </c>
      <c r="AL1854" s="7" t="s">
        <v>61</v>
      </c>
      <c r="AM1854" s="7" t="s">
        <v>0</v>
      </c>
      <c r="AN1854" s="7" t="s">
        <v>0</v>
      </c>
      <c r="AO1854" s="7" t="s">
        <v>0</v>
      </c>
      <c r="AP1854" s="7" t="s">
        <v>0</v>
      </c>
      <c r="AQ1854" s="7" t="s">
        <v>61</v>
      </c>
      <c r="AR1854" s="7" t="s">
        <v>0</v>
      </c>
      <c r="AS1854" s="10" t="str">
        <f>HYPERLINK("https://tessa.gazprom-neft.local/edo/card/e5fb24aa-9273-42c4-8052-2dd12c4abc61", "https://tessa.gazprom-neft.local/edo/card/e5fb24aa-9273-42c4-8052-2dd12c4abc61")</f>
        <v>https://tessa.gazprom-neft.local/edo/card/e5fb24aa-9273-42c4-8052-2dd12c4abc61</v>
      </c>
    </row>
    <row r="1855" spans="1:45" x14ac:dyDescent="0.25">
      <c r="A1855" s="6" t="s">
        <v>44</v>
      </c>
      <c r="B1855" s="7" t="s">
        <v>213</v>
      </c>
      <c r="C1855" s="7" t="s">
        <v>67</v>
      </c>
      <c r="D1855" s="8">
        <v>44656</v>
      </c>
      <c r="E1855" s="8" t="s">
        <v>0</v>
      </c>
      <c r="F1855" s="16" t="s">
        <v>214</v>
      </c>
      <c r="G1855" s="7" t="s">
        <v>215</v>
      </c>
      <c r="H1855" s="7" t="s">
        <v>207</v>
      </c>
      <c r="I1855" s="7" t="s">
        <v>0</v>
      </c>
      <c r="J1855" s="7" t="s">
        <v>51</v>
      </c>
      <c r="K1855" s="7" t="s">
        <v>47</v>
      </c>
      <c r="L1855" s="7" t="s">
        <v>48</v>
      </c>
      <c r="M1855" s="7" t="s">
        <v>0</v>
      </c>
      <c r="N1855" s="7" t="s">
        <v>3678</v>
      </c>
      <c r="O1855" s="7" t="s">
        <v>0</v>
      </c>
      <c r="P1855" s="7" t="s">
        <v>3679</v>
      </c>
      <c r="Q1855" s="7" t="s">
        <v>3680</v>
      </c>
      <c r="R1855" s="7" t="s">
        <v>1551</v>
      </c>
      <c r="S1855" s="7" t="s">
        <v>1551</v>
      </c>
      <c r="T1855" s="7" t="s">
        <v>54</v>
      </c>
      <c r="U1855" s="7" t="s">
        <v>210</v>
      </c>
      <c r="V1855" s="7" t="s">
        <v>211</v>
      </c>
      <c r="W1855" s="7" t="s">
        <v>57</v>
      </c>
      <c r="X1855" s="7" t="s">
        <v>103</v>
      </c>
      <c r="Y1855" s="8">
        <v>44656</v>
      </c>
      <c r="Z1855" s="8">
        <v>45657</v>
      </c>
      <c r="AA1855" s="7" t="s">
        <v>212</v>
      </c>
      <c r="AB1855" s="7" t="s">
        <v>64</v>
      </c>
      <c r="AC1855" s="7" t="s">
        <v>65</v>
      </c>
      <c r="AD1855" s="7" t="s">
        <v>80</v>
      </c>
      <c r="AE1855" s="7" t="s">
        <v>0</v>
      </c>
      <c r="AF1855" s="7" t="s">
        <v>0</v>
      </c>
      <c r="AG1855" s="7" t="s">
        <v>0</v>
      </c>
      <c r="AH1855" s="9" t="s">
        <v>0</v>
      </c>
      <c r="AI1855" s="9" t="s">
        <v>0</v>
      </c>
      <c r="AJ1855" s="9" t="s">
        <v>0</v>
      </c>
      <c r="AK1855" s="7" t="s">
        <v>61</v>
      </c>
      <c r="AL1855" s="7" t="s">
        <v>61</v>
      </c>
      <c r="AM1855" s="7" t="s">
        <v>0</v>
      </c>
      <c r="AN1855" s="7" t="s">
        <v>0</v>
      </c>
      <c r="AO1855" s="7" t="s">
        <v>0</v>
      </c>
      <c r="AP1855" s="7" t="s">
        <v>0</v>
      </c>
      <c r="AQ1855" s="7" t="s">
        <v>61</v>
      </c>
      <c r="AR1855" s="7" t="s">
        <v>0</v>
      </c>
      <c r="AS1855" s="10" t="str">
        <f>HYPERLINK("https://tessa.gazprom-neft.local/edo/card/9808aebb-28af-41d7-85a1-2f19ec4aab7f", "https://tessa.gazprom-neft.local/edo/card/9808aebb-28af-41d7-85a1-2f19ec4aab7f")</f>
        <v>https://tessa.gazprom-neft.local/edo/card/9808aebb-28af-41d7-85a1-2f19ec4aab7f</v>
      </c>
    </row>
    <row r="1856" spans="1:45" x14ac:dyDescent="0.25">
      <c r="A1856" s="6" t="s">
        <v>44</v>
      </c>
      <c r="B1856" s="7" t="s">
        <v>793</v>
      </c>
      <c r="C1856" s="7" t="s">
        <v>46</v>
      </c>
      <c r="D1856" s="8">
        <v>44656</v>
      </c>
      <c r="E1856" s="8" t="s">
        <v>0</v>
      </c>
      <c r="F1856" s="16" t="s">
        <v>794</v>
      </c>
      <c r="G1856" s="7" t="s">
        <v>795</v>
      </c>
      <c r="H1856" s="7" t="s">
        <v>3701</v>
      </c>
      <c r="I1856" s="7" t="s">
        <v>0</v>
      </c>
      <c r="J1856" s="7" t="s">
        <v>51</v>
      </c>
      <c r="K1856" s="7" t="s">
        <v>47</v>
      </c>
      <c r="L1856" s="7" t="s">
        <v>48</v>
      </c>
      <c r="M1856" s="7" t="s">
        <v>0</v>
      </c>
      <c r="N1856" s="7" t="s">
        <v>3700</v>
      </c>
      <c r="O1856" s="7" t="s">
        <v>0</v>
      </c>
      <c r="P1856" s="7" t="s">
        <v>3702</v>
      </c>
      <c r="Q1856" s="7" t="s">
        <v>3703</v>
      </c>
      <c r="R1856" s="7" t="s">
        <v>244</v>
      </c>
      <c r="S1856" s="7" t="s">
        <v>244</v>
      </c>
      <c r="T1856" s="7" t="s">
        <v>54</v>
      </c>
      <c r="U1856" s="7" t="s">
        <v>55</v>
      </c>
      <c r="V1856" s="7" t="s">
        <v>56</v>
      </c>
      <c r="W1856" s="7" t="s">
        <v>57</v>
      </c>
      <c r="X1856" s="7" t="s">
        <v>103</v>
      </c>
      <c r="Y1856" s="8">
        <v>44656</v>
      </c>
      <c r="Z1856" s="8">
        <v>44926</v>
      </c>
      <c r="AA1856" s="7" t="s">
        <v>59</v>
      </c>
      <c r="AB1856" s="7" t="s">
        <v>256</v>
      </c>
      <c r="AC1856" s="7" t="s">
        <v>79</v>
      </c>
      <c r="AD1856" s="7" t="s">
        <v>144</v>
      </c>
      <c r="AE1856" s="7" t="s">
        <v>82</v>
      </c>
      <c r="AF1856" s="7" t="s">
        <v>0</v>
      </c>
      <c r="AG1856" s="7" t="s">
        <v>0</v>
      </c>
      <c r="AH1856" s="9" t="s">
        <v>11791</v>
      </c>
      <c r="AI1856" s="9" t="s">
        <v>11792</v>
      </c>
      <c r="AJ1856" s="9" t="s">
        <v>11793</v>
      </c>
      <c r="AK1856" s="7" t="s">
        <v>61</v>
      </c>
      <c r="AL1856" s="7" t="s">
        <v>61</v>
      </c>
      <c r="AM1856" s="7" t="s">
        <v>0</v>
      </c>
      <c r="AN1856" s="7" t="s">
        <v>0</v>
      </c>
      <c r="AO1856" s="7" t="s">
        <v>0</v>
      </c>
      <c r="AP1856" s="7" t="s">
        <v>0</v>
      </c>
      <c r="AQ1856" s="7" t="s">
        <v>61</v>
      </c>
      <c r="AR1856" s="7" t="s">
        <v>0</v>
      </c>
      <c r="AS1856" s="10" t="str">
        <f>HYPERLINK("https://tessa.gazprom-neft.local/edo/card/24642958-56d9-4559-904f-b77bfd706a86", "https://tessa.gazprom-neft.local/edo/card/24642958-56d9-4559-904f-b77bfd706a86")</f>
        <v>https://tessa.gazprom-neft.local/edo/card/24642958-56d9-4559-904f-b77bfd706a86</v>
      </c>
    </row>
    <row r="1857" spans="1:45" x14ac:dyDescent="0.25">
      <c r="A1857" s="6" t="s">
        <v>44</v>
      </c>
      <c r="B1857" s="7" t="s">
        <v>737</v>
      </c>
      <c r="C1857" s="7" t="s">
        <v>67</v>
      </c>
      <c r="D1857" s="8">
        <v>44656</v>
      </c>
      <c r="E1857" s="8" t="s">
        <v>0</v>
      </c>
      <c r="F1857" s="16" t="s">
        <v>738</v>
      </c>
      <c r="G1857" s="7" t="s">
        <v>739</v>
      </c>
      <c r="H1857" s="7" t="s">
        <v>3852</v>
      </c>
      <c r="I1857" s="7" t="s">
        <v>0</v>
      </c>
      <c r="J1857" s="7" t="s">
        <v>51</v>
      </c>
      <c r="K1857" s="7" t="s">
        <v>47</v>
      </c>
      <c r="L1857" s="7" t="s">
        <v>48</v>
      </c>
      <c r="M1857" s="7" t="s">
        <v>0</v>
      </c>
      <c r="N1857" s="7" t="s">
        <v>3851</v>
      </c>
      <c r="O1857" s="7" t="s">
        <v>316</v>
      </c>
      <c r="P1857" s="7" t="s">
        <v>3853</v>
      </c>
      <c r="Q1857" s="7" t="s">
        <v>3854</v>
      </c>
      <c r="R1857" s="7" t="s">
        <v>244</v>
      </c>
      <c r="S1857" s="7" t="s">
        <v>244</v>
      </c>
      <c r="T1857" s="7" t="s">
        <v>54</v>
      </c>
      <c r="U1857" s="7" t="s">
        <v>55</v>
      </c>
      <c r="V1857" s="7" t="s">
        <v>56</v>
      </c>
      <c r="W1857" s="7" t="s">
        <v>57</v>
      </c>
      <c r="X1857" s="7" t="s">
        <v>103</v>
      </c>
      <c r="Y1857" s="8">
        <v>44656</v>
      </c>
      <c r="Z1857" s="8">
        <v>44737</v>
      </c>
      <c r="AA1857" s="7" t="s">
        <v>59</v>
      </c>
      <c r="AB1857" s="7" t="s">
        <v>256</v>
      </c>
      <c r="AC1857" s="7" t="s">
        <v>65</v>
      </c>
      <c r="AD1857" s="7" t="s">
        <v>0</v>
      </c>
      <c r="AE1857" s="7" t="s">
        <v>0</v>
      </c>
      <c r="AF1857" s="7" t="s">
        <v>0</v>
      </c>
      <c r="AG1857" s="7" t="s">
        <v>0</v>
      </c>
      <c r="AH1857" s="9" t="s">
        <v>0</v>
      </c>
      <c r="AI1857" s="9" t="s">
        <v>0</v>
      </c>
      <c r="AJ1857" s="9" t="s">
        <v>0</v>
      </c>
      <c r="AK1857" s="7" t="s">
        <v>61</v>
      </c>
      <c r="AL1857" s="7" t="s">
        <v>61</v>
      </c>
      <c r="AM1857" s="7" t="s">
        <v>0</v>
      </c>
      <c r="AN1857" s="7" t="s">
        <v>0</v>
      </c>
      <c r="AO1857" s="7" t="s">
        <v>0</v>
      </c>
      <c r="AP1857" s="7" t="s">
        <v>0</v>
      </c>
      <c r="AQ1857" s="7" t="s">
        <v>61</v>
      </c>
      <c r="AR1857" s="7" t="s">
        <v>0</v>
      </c>
      <c r="AS1857" s="10" t="str">
        <f>HYPERLINK("https://tessa.gazprom-neft.local/edo/card/acb588dc-6dd0-410a-8a83-af8eab224524", "https://tessa.gazprom-neft.local/edo/card/acb588dc-6dd0-410a-8a83-af8eab224524")</f>
        <v>https://tessa.gazprom-neft.local/edo/card/acb588dc-6dd0-410a-8a83-af8eab224524</v>
      </c>
    </row>
    <row r="1858" spans="1:45" hidden="1" x14ac:dyDescent="0.25">
      <c r="A1858" s="6" t="s">
        <v>44</v>
      </c>
      <c r="B1858" s="7" t="s">
        <v>1165</v>
      </c>
      <c r="C1858" s="7" t="s">
        <v>67</v>
      </c>
      <c r="D1858" s="8">
        <v>44656</v>
      </c>
      <c r="E1858" s="8" t="s">
        <v>0</v>
      </c>
      <c r="F1858" s="16" t="s">
        <v>1166</v>
      </c>
      <c r="G1858" s="7" t="s">
        <v>1167</v>
      </c>
      <c r="H1858" s="7" t="s">
        <v>4267</v>
      </c>
      <c r="I1858" s="7" t="s">
        <v>0</v>
      </c>
      <c r="J1858" s="7" t="s">
        <v>4269</v>
      </c>
      <c r="K1858" s="7" t="s">
        <v>47</v>
      </c>
      <c r="L1858" s="7" t="s">
        <v>239</v>
      </c>
      <c r="M1858" s="7" t="s">
        <v>0</v>
      </c>
      <c r="N1858" s="7" t="s">
        <v>4266</v>
      </c>
      <c r="O1858" s="7" t="s">
        <v>0</v>
      </c>
      <c r="P1858" s="7" t="s">
        <v>4268</v>
      </c>
      <c r="Q1858" s="7" t="s">
        <v>4270</v>
      </c>
      <c r="R1858" s="7" t="s">
        <v>244</v>
      </c>
      <c r="S1858" s="7" t="s">
        <v>0</v>
      </c>
      <c r="T1858" s="7" t="s">
        <v>54</v>
      </c>
      <c r="U1858" s="7" t="s">
        <v>55</v>
      </c>
      <c r="V1858" s="7" t="s">
        <v>56</v>
      </c>
      <c r="W1858" s="7" t="s">
        <v>57</v>
      </c>
      <c r="X1858" s="7" t="s">
        <v>103</v>
      </c>
      <c r="Y1858" s="8">
        <v>44656</v>
      </c>
      <c r="Z1858" s="8">
        <v>44925</v>
      </c>
      <c r="AA1858" s="7" t="s">
        <v>0</v>
      </c>
      <c r="AB1858" s="7" t="s">
        <v>256</v>
      </c>
      <c r="AC1858" s="7" t="s">
        <v>79</v>
      </c>
      <c r="AD1858" s="7" t="s">
        <v>144</v>
      </c>
      <c r="AE1858" s="7" t="s">
        <v>82</v>
      </c>
      <c r="AF1858" s="7" t="s">
        <v>0</v>
      </c>
      <c r="AG1858" s="7" t="s">
        <v>0</v>
      </c>
      <c r="AH1858" s="9" t="s">
        <v>11989</v>
      </c>
      <c r="AI1858" s="9" t="s">
        <v>11990</v>
      </c>
      <c r="AJ1858" s="9" t="s">
        <v>11991</v>
      </c>
      <c r="AK1858" s="7" t="s">
        <v>61</v>
      </c>
      <c r="AL1858" s="7" t="s">
        <v>61</v>
      </c>
      <c r="AM1858" s="7" t="s">
        <v>0</v>
      </c>
      <c r="AN1858" s="7" t="s">
        <v>0</v>
      </c>
      <c r="AO1858" s="7" t="s">
        <v>0</v>
      </c>
      <c r="AP1858" s="7" t="s">
        <v>0</v>
      </c>
      <c r="AQ1858" s="7" t="s">
        <v>61</v>
      </c>
      <c r="AR1858" s="7" t="s">
        <v>0</v>
      </c>
      <c r="AS1858" s="10" t="str">
        <f>HYPERLINK("https://tessa.gazprom-neft.local/edo/card/9e5c10cd-eeb9-42c7-b990-67ad31826358", "https://tessa.gazprom-neft.local/edo/card/9e5c10cd-eeb9-42c7-b990-67ad31826358")</f>
        <v>https://tessa.gazprom-neft.local/edo/card/9e5c10cd-eeb9-42c7-b990-67ad31826358</v>
      </c>
    </row>
    <row r="1859" spans="1:45" hidden="1" x14ac:dyDescent="0.25">
      <c r="A1859" s="6" t="s">
        <v>44</v>
      </c>
      <c r="B1859" s="7" t="s">
        <v>542</v>
      </c>
      <c r="C1859" s="7" t="s">
        <v>67</v>
      </c>
      <c r="D1859" s="8">
        <v>44655</v>
      </c>
      <c r="E1859" s="8" t="s">
        <v>0</v>
      </c>
      <c r="F1859" s="16" t="s">
        <v>543</v>
      </c>
      <c r="G1859" s="7" t="s">
        <v>544</v>
      </c>
      <c r="H1859" s="7" t="s">
        <v>536</v>
      </c>
      <c r="I1859" s="7" t="s">
        <v>0</v>
      </c>
      <c r="J1859" s="7" t="s">
        <v>1428</v>
      </c>
      <c r="K1859" s="7" t="s">
        <v>47</v>
      </c>
      <c r="L1859" s="7" t="s">
        <v>239</v>
      </c>
      <c r="M1859" s="7" t="s">
        <v>0</v>
      </c>
      <c r="N1859" s="7" t="s">
        <v>3670</v>
      </c>
      <c r="O1859" s="7" t="s">
        <v>0</v>
      </c>
      <c r="P1859" s="7" t="s">
        <v>3671</v>
      </c>
      <c r="Q1859" s="7" t="s">
        <v>3672</v>
      </c>
      <c r="R1859" s="7" t="s">
        <v>540</v>
      </c>
      <c r="S1859" s="7" t="s">
        <v>0</v>
      </c>
      <c r="T1859" s="7" t="s">
        <v>54</v>
      </c>
      <c r="U1859" s="7" t="s">
        <v>541</v>
      </c>
      <c r="V1859" s="7" t="s">
        <v>56</v>
      </c>
      <c r="W1859" s="7" t="s">
        <v>57</v>
      </c>
      <c r="X1859" s="7" t="s">
        <v>103</v>
      </c>
      <c r="Y1859" s="8">
        <v>44655</v>
      </c>
      <c r="Z1859" s="8">
        <v>44798</v>
      </c>
      <c r="AA1859" s="7" t="s">
        <v>59</v>
      </c>
      <c r="AB1859" s="7" t="s">
        <v>545</v>
      </c>
      <c r="AC1859" s="7" t="s">
        <v>79</v>
      </c>
      <c r="AD1859" s="7" t="s">
        <v>144</v>
      </c>
      <c r="AE1859" s="7" t="s">
        <v>82</v>
      </c>
      <c r="AF1859" s="7" t="s">
        <v>0</v>
      </c>
      <c r="AG1859" s="7" t="s">
        <v>0</v>
      </c>
      <c r="AH1859" s="9" t="s">
        <v>11775</v>
      </c>
      <c r="AI1859" s="9" t="s">
        <v>11776</v>
      </c>
      <c r="AJ1859" s="9" t="s">
        <v>11777</v>
      </c>
      <c r="AK1859" s="7" t="s">
        <v>61</v>
      </c>
      <c r="AL1859" s="7" t="s">
        <v>61</v>
      </c>
      <c r="AM1859" s="7" t="s">
        <v>0</v>
      </c>
      <c r="AN1859" s="7" t="s">
        <v>0</v>
      </c>
      <c r="AO1859" s="7" t="s">
        <v>0</v>
      </c>
      <c r="AP1859" s="7" t="s">
        <v>0</v>
      </c>
      <c r="AQ1859" s="7" t="s">
        <v>61</v>
      </c>
      <c r="AR1859" s="7" t="s">
        <v>0</v>
      </c>
      <c r="AS1859" s="10" t="str">
        <f>HYPERLINK("https://tessa.gazprom-neft.local/edo/card/d622f96c-7170-46b1-8777-659a4917b7b2", "https://tessa.gazprom-neft.local/edo/card/d622f96c-7170-46b1-8777-659a4917b7b2")</f>
        <v>https://tessa.gazprom-neft.local/edo/card/d622f96c-7170-46b1-8777-659a4917b7b2</v>
      </c>
    </row>
    <row r="1860" spans="1:45" hidden="1" x14ac:dyDescent="0.25">
      <c r="A1860" s="6" t="s">
        <v>44</v>
      </c>
      <c r="B1860" s="7" t="s">
        <v>245</v>
      </c>
      <c r="C1860" s="7" t="s">
        <v>67</v>
      </c>
      <c r="D1860" s="8">
        <v>44655</v>
      </c>
      <c r="E1860" s="8" t="s">
        <v>0</v>
      </c>
      <c r="F1860" s="16" t="s">
        <v>246</v>
      </c>
      <c r="G1860" s="7" t="s">
        <v>247</v>
      </c>
      <c r="H1860" s="7" t="s">
        <v>574</v>
      </c>
      <c r="I1860" s="7" t="s">
        <v>0</v>
      </c>
      <c r="J1860" s="7" t="s">
        <v>4674</v>
      </c>
      <c r="K1860" s="7" t="s">
        <v>47</v>
      </c>
      <c r="L1860" s="7" t="s">
        <v>239</v>
      </c>
      <c r="M1860" s="7" t="s">
        <v>0</v>
      </c>
      <c r="N1860" s="7" t="s">
        <v>4672</v>
      </c>
      <c r="O1860" s="7" t="s">
        <v>0</v>
      </c>
      <c r="P1860" s="7" t="s">
        <v>4673</v>
      </c>
      <c r="Q1860" s="7" t="s">
        <v>4675</v>
      </c>
      <c r="R1860" s="7" t="s">
        <v>540</v>
      </c>
      <c r="S1860" s="7" t="s">
        <v>0</v>
      </c>
      <c r="T1860" s="7" t="s">
        <v>54</v>
      </c>
      <c r="U1860" s="7" t="s">
        <v>541</v>
      </c>
      <c r="V1860" s="7" t="s">
        <v>56</v>
      </c>
      <c r="W1860" s="7" t="s">
        <v>57</v>
      </c>
      <c r="X1860" s="7" t="s">
        <v>103</v>
      </c>
      <c r="Y1860" s="8">
        <v>44655</v>
      </c>
      <c r="Z1860" s="8">
        <v>44829</v>
      </c>
      <c r="AA1860" s="7" t="s">
        <v>59</v>
      </c>
      <c r="AB1860" s="7" t="s">
        <v>256</v>
      </c>
      <c r="AC1860" s="7" t="s">
        <v>79</v>
      </c>
      <c r="AD1860" s="7" t="s">
        <v>144</v>
      </c>
      <c r="AE1860" s="7" t="s">
        <v>82</v>
      </c>
      <c r="AF1860" s="7" t="s">
        <v>0</v>
      </c>
      <c r="AG1860" s="7" t="s">
        <v>0</v>
      </c>
      <c r="AH1860" s="9" t="s">
        <v>12163</v>
      </c>
      <c r="AI1860" s="9" t="s">
        <v>12164</v>
      </c>
      <c r="AJ1860" s="9" t="s">
        <v>12165</v>
      </c>
      <c r="AK1860" s="7" t="s">
        <v>61</v>
      </c>
      <c r="AL1860" s="7" t="s">
        <v>61</v>
      </c>
      <c r="AM1860" s="7" t="s">
        <v>0</v>
      </c>
      <c r="AN1860" s="7" t="s">
        <v>0</v>
      </c>
      <c r="AO1860" s="7" t="s">
        <v>0</v>
      </c>
      <c r="AP1860" s="7" t="s">
        <v>0</v>
      </c>
      <c r="AQ1860" s="7" t="s">
        <v>61</v>
      </c>
      <c r="AR1860" s="7" t="s">
        <v>0</v>
      </c>
      <c r="AS1860" s="10" t="str">
        <f>HYPERLINK("https://tessa.gazprom-neft.local/edo/card/5b883f7a-01d5-4841-8907-f297b6ee5540", "https://tessa.gazprom-neft.local/edo/card/5b883f7a-01d5-4841-8907-f297b6ee5540")</f>
        <v>https://tessa.gazprom-neft.local/edo/card/5b883f7a-01d5-4841-8907-f297b6ee5540</v>
      </c>
    </row>
    <row r="1861" spans="1:45" hidden="1" x14ac:dyDescent="0.25">
      <c r="A1861" s="6" t="s">
        <v>44</v>
      </c>
      <c r="B1861" s="7" t="s">
        <v>60</v>
      </c>
      <c r="C1861" s="7" t="s">
        <v>46</v>
      </c>
      <c r="D1861" s="8">
        <v>44652</v>
      </c>
      <c r="E1861" s="8" t="s">
        <v>0</v>
      </c>
      <c r="F1861" s="16" t="s">
        <v>62</v>
      </c>
      <c r="G1861" s="7" t="s">
        <v>63</v>
      </c>
      <c r="H1861" s="7" t="s">
        <v>0</v>
      </c>
      <c r="I1861" s="7" t="s">
        <v>2786</v>
      </c>
      <c r="J1861" s="7" t="s">
        <v>2786</v>
      </c>
      <c r="K1861" s="7" t="s">
        <v>47</v>
      </c>
      <c r="L1861" s="7" t="s">
        <v>96</v>
      </c>
      <c r="M1861" s="7" t="s">
        <v>0</v>
      </c>
      <c r="N1861" s="7" t="s">
        <v>2785</v>
      </c>
      <c r="O1861" s="7" t="s">
        <v>0</v>
      </c>
      <c r="P1861" s="7" t="s">
        <v>2787</v>
      </c>
      <c r="Q1861" s="7" t="s">
        <v>2787</v>
      </c>
      <c r="R1861" s="7" t="s">
        <v>2788</v>
      </c>
      <c r="S1861" s="7" t="s">
        <v>2788</v>
      </c>
      <c r="T1861" s="7" t="s">
        <v>54</v>
      </c>
      <c r="U1861" s="7" t="s">
        <v>55</v>
      </c>
      <c r="V1861" s="7" t="s">
        <v>56</v>
      </c>
      <c r="W1861" s="7" t="s">
        <v>57</v>
      </c>
      <c r="X1861" s="7" t="s">
        <v>58</v>
      </c>
      <c r="Y1861" s="8">
        <v>44652</v>
      </c>
      <c r="Z1861" s="8" t="s">
        <v>0</v>
      </c>
      <c r="AA1861" s="7" t="s">
        <v>59</v>
      </c>
      <c r="AB1861" s="7" t="s">
        <v>64</v>
      </c>
      <c r="AC1861" s="7" t="s">
        <v>79</v>
      </c>
      <c r="AD1861" s="7" t="s">
        <v>80</v>
      </c>
      <c r="AE1861" s="7" t="s">
        <v>82</v>
      </c>
      <c r="AF1861" s="7" t="s">
        <v>0</v>
      </c>
      <c r="AG1861" s="7" t="s">
        <v>0</v>
      </c>
      <c r="AH1861" s="9" t="s">
        <v>11446</v>
      </c>
      <c r="AI1861" s="9" t="s">
        <v>11447</v>
      </c>
      <c r="AJ1861" s="9" t="s">
        <v>11448</v>
      </c>
      <c r="AK1861" s="7" t="s">
        <v>61</v>
      </c>
      <c r="AL1861" s="7" t="s">
        <v>61</v>
      </c>
      <c r="AM1861" s="7" t="s">
        <v>0</v>
      </c>
      <c r="AN1861" s="7" t="s">
        <v>0</v>
      </c>
      <c r="AO1861" s="7" t="s">
        <v>0</v>
      </c>
      <c r="AP1861" s="7" t="s">
        <v>0</v>
      </c>
      <c r="AQ1861" s="7" t="s">
        <v>61</v>
      </c>
      <c r="AR1861" s="7" t="s">
        <v>0</v>
      </c>
      <c r="AS1861" s="10" t="str">
        <f>HYPERLINK("https://tessa.gazprom-neft.local/edo/card/31dce36a-071d-49dc-b64c-4d2b2700c072", "https://tessa.gazprom-neft.local/edo/card/31dce36a-071d-49dc-b64c-4d2b2700c072")</f>
        <v>https://tessa.gazprom-neft.local/edo/card/31dce36a-071d-49dc-b64c-4d2b2700c072</v>
      </c>
    </row>
    <row r="1862" spans="1:45" hidden="1" x14ac:dyDescent="0.25">
      <c r="A1862" s="6" t="s">
        <v>44</v>
      </c>
      <c r="B1862" s="7" t="s">
        <v>3031</v>
      </c>
      <c r="C1862" s="7" t="s">
        <v>67</v>
      </c>
      <c r="D1862" s="8">
        <v>44652</v>
      </c>
      <c r="E1862" s="8" t="s">
        <v>0</v>
      </c>
      <c r="F1862" s="16" t="s">
        <v>3032</v>
      </c>
      <c r="G1862" s="7" t="s">
        <v>3033</v>
      </c>
      <c r="H1862" s="7" t="s">
        <v>0</v>
      </c>
      <c r="I1862" s="7" t="s">
        <v>3139</v>
      </c>
      <c r="J1862" s="7" t="s">
        <v>3139</v>
      </c>
      <c r="K1862" s="7" t="s">
        <v>85</v>
      </c>
      <c r="L1862" s="7" t="s">
        <v>86</v>
      </c>
      <c r="M1862" s="7" t="s">
        <v>289</v>
      </c>
      <c r="N1862" s="7" t="s">
        <v>3138</v>
      </c>
      <c r="O1862" s="7" t="s">
        <v>0</v>
      </c>
      <c r="P1862" s="7" t="s">
        <v>289</v>
      </c>
      <c r="Q1862" s="7" t="s">
        <v>3140</v>
      </c>
      <c r="R1862" s="7" t="s">
        <v>1829</v>
      </c>
      <c r="S1862" s="7" t="s">
        <v>1829</v>
      </c>
      <c r="T1862" s="7" t="s">
        <v>54</v>
      </c>
      <c r="U1862" s="7" t="s">
        <v>307</v>
      </c>
      <c r="V1862" s="7" t="s">
        <v>382</v>
      </c>
      <c r="W1862" s="7" t="s">
        <v>57</v>
      </c>
      <c r="X1862" s="7" t="s">
        <v>58</v>
      </c>
      <c r="Y1862" s="8">
        <v>44652</v>
      </c>
      <c r="Z1862" s="8" t="s">
        <v>0</v>
      </c>
      <c r="AA1862" s="7" t="s">
        <v>383</v>
      </c>
      <c r="AB1862" s="7" t="s">
        <v>300</v>
      </c>
      <c r="AC1862" s="7" t="s">
        <v>65</v>
      </c>
      <c r="AD1862" s="7" t="s">
        <v>0</v>
      </c>
      <c r="AE1862" s="7" t="s">
        <v>0</v>
      </c>
      <c r="AF1862" s="7" t="s">
        <v>0</v>
      </c>
      <c r="AG1862" s="7" t="s">
        <v>0</v>
      </c>
      <c r="AH1862" s="9" t="s">
        <v>0</v>
      </c>
      <c r="AI1862" s="9" t="s">
        <v>0</v>
      </c>
      <c r="AJ1862" s="9" t="s">
        <v>0</v>
      </c>
      <c r="AK1862" s="7" t="s">
        <v>61</v>
      </c>
      <c r="AL1862" s="7" t="s">
        <v>61</v>
      </c>
      <c r="AM1862" s="7" t="s">
        <v>0</v>
      </c>
      <c r="AN1862" s="7" t="s">
        <v>0</v>
      </c>
      <c r="AO1862" s="7" t="s">
        <v>0</v>
      </c>
      <c r="AP1862" s="7" t="s">
        <v>0</v>
      </c>
      <c r="AQ1862" s="7" t="s">
        <v>61</v>
      </c>
      <c r="AR1862" s="7" t="s">
        <v>0</v>
      </c>
      <c r="AS1862" s="10" t="str">
        <f>HYPERLINK("https://tessa.gazprom-neft.local/edo/card/89d63827-083b-432f-afb3-3da64339a9ce", "https://tessa.gazprom-neft.local/edo/card/89d63827-083b-432f-afb3-3da64339a9ce")</f>
        <v>https://tessa.gazprom-neft.local/edo/card/89d63827-083b-432f-afb3-3da64339a9ce</v>
      </c>
    </row>
    <row r="1863" spans="1:45" x14ac:dyDescent="0.25">
      <c r="A1863" s="6" t="s">
        <v>44</v>
      </c>
      <c r="B1863" s="7" t="s">
        <v>374</v>
      </c>
      <c r="C1863" s="7" t="s">
        <v>67</v>
      </c>
      <c r="D1863" s="8">
        <v>44652</v>
      </c>
      <c r="E1863" s="8" t="s">
        <v>0</v>
      </c>
      <c r="F1863" s="16" t="s">
        <v>375</v>
      </c>
      <c r="G1863" s="7" t="s">
        <v>376</v>
      </c>
      <c r="H1863" s="7" t="s">
        <v>3367</v>
      </c>
      <c r="I1863" s="7" t="s">
        <v>0</v>
      </c>
      <c r="J1863" s="7" t="s">
        <v>355</v>
      </c>
      <c r="K1863" s="7" t="s">
        <v>47</v>
      </c>
      <c r="L1863" s="7" t="s">
        <v>48</v>
      </c>
      <c r="M1863" s="7" t="s">
        <v>0</v>
      </c>
      <c r="N1863" s="7" t="s">
        <v>3366</v>
      </c>
      <c r="O1863" s="7" t="s">
        <v>0</v>
      </c>
      <c r="P1863" s="7" t="s">
        <v>3368</v>
      </c>
      <c r="Q1863" s="7" t="s">
        <v>3369</v>
      </c>
      <c r="R1863" s="7" t="s">
        <v>53</v>
      </c>
      <c r="S1863" s="7" t="s">
        <v>53</v>
      </c>
      <c r="T1863" s="7" t="s">
        <v>54</v>
      </c>
      <c r="U1863" s="7" t="s">
        <v>55</v>
      </c>
      <c r="V1863" s="7" t="s">
        <v>56</v>
      </c>
      <c r="W1863" s="7" t="s">
        <v>57</v>
      </c>
      <c r="X1863" s="7" t="s">
        <v>103</v>
      </c>
      <c r="Y1863" s="8">
        <v>44652</v>
      </c>
      <c r="Z1863" s="8">
        <v>45199</v>
      </c>
      <c r="AA1863" s="7" t="s">
        <v>59</v>
      </c>
      <c r="AB1863" s="7" t="s">
        <v>64</v>
      </c>
      <c r="AC1863" s="7" t="s">
        <v>79</v>
      </c>
      <c r="AD1863" s="7" t="s">
        <v>80</v>
      </c>
      <c r="AE1863" s="7" t="s">
        <v>82</v>
      </c>
      <c r="AF1863" s="7" t="s">
        <v>0</v>
      </c>
      <c r="AG1863" s="7" t="s">
        <v>0</v>
      </c>
      <c r="AH1863" s="9" t="s">
        <v>11632</v>
      </c>
      <c r="AI1863" s="9" t="s">
        <v>11633</v>
      </c>
      <c r="AJ1863" s="9" t="s">
        <v>11634</v>
      </c>
      <c r="AK1863" s="7" t="s">
        <v>61</v>
      </c>
      <c r="AL1863" s="7" t="s">
        <v>61</v>
      </c>
      <c r="AM1863" s="7" t="s">
        <v>0</v>
      </c>
      <c r="AN1863" s="7" t="s">
        <v>0</v>
      </c>
      <c r="AO1863" s="7" t="s">
        <v>0</v>
      </c>
      <c r="AP1863" s="7" t="s">
        <v>0</v>
      </c>
      <c r="AQ1863" s="7" t="s">
        <v>61</v>
      </c>
      <c r="AR1863" s="7" t="s">
        <v>0</v>
      </c>
      <c r="AS1863" s="10" t="str">
        <f>HYPERLINK("https://tessa.gazprom-neft.local/edo/card/c9c93be8-0ad3-4885-b098-b76b50955135", "https://tessa.gazprom-neft.local/edo/card/c9c93be8-0ad3-4885-b098-b76b50955135")</f>
        <v>https://tessa.gazprom-neft.local/edo/card/c9c93be8-0ad3-4885-b098-b76b50955135</v>
      </c>
    </row>
    <row r="1864" spans="1:45" hidden="1" x14ac:dyDescent="0.25">
      <c r="A1864" s="6" t="s">
        <v>44</v>
      </c>
      <c r="B1864" s="7" t="s">
        <v>3430</v>
      </c>
      <c r="C1864" s="7" t="s">
        <v>67</v>
      </c>
      <c r="D1864" s="8">
        <v>44652</v>
      </c>
      <c r="E1864" s="8" t="s">
        <v>0</v>
      </c>
      <c r="F1864" s="16" t="s">
        <v>3431</v>
      </c>
      <c r="G1864" s="7" t="s">
        <v>2697</v>
      </c>
      <c r="H1864" s="7" t="s">
        <v>0</v>
      </c>
      <c r="I1864" s="7" t="s">
        <v>3427</v>
      </c>
      <c r="J1864" s="7" t="s">
        <v>3427</v>
      </c>
      <c r="K1864" s="7" t="s">
        <v>47</v>
      </c>
      <c r="L1864" s="7" t="s">
        <v>96</v>
      </c>
      <c r="M1864" s="7" t="s">
        <v>0</v>
      </c>
      <c r="N1864" s="7" t="s">
        <v>3426</v>
      </c>
      <c r="O1864" s="7" t="s">
        <v>0</v>
      </c>
      <c r="P1864" s="7" t="s">
        <v>3428</v>
      </c>
      <c r="Q1864" s="7" t="s">
        <v>3429</v>
      </c>
      <c r="R1864" s="7" t="s">
        <v>1403</v>
      </c>
      <c r="S1864" s="7" t="s">
        <v>1403</v>
      </c>
      <c r="T1864" s="7" t="s">
        <v>54</v>
      </c>
      <c r="U1864" s="7" t="s">
        <v>303</v>
      </c>
      <c r="V1864" s="7" t="s">
        <v>91</v>
      </c>
      <c r="W1864" s="7" t="s">
        <v>57</v>
      </c>
      <c r="X1864" s="7" t="s">
        <v>103</v>
      </c>
      <c r="Y1864" s="8">
        <v>44652</v>
      </c>
      <c r="Z1864" s="8">
        <v>44926</v>
      </c>
      <c r="AA1864" s="7" t="s">
        <v>92</v>
      </c>
      <c r="AB1864" s="7" t="s">
        <v>64</v>
      </c>
      <c r="AC1864" s="7" t="s">
        <v>79</v>
      </c>
      <c r="AD1864" s="7" t="s">
        <v>80</v>
      </c>
      <c r="AE1864" s="7" t="s">
        <v>82</v>
      </c>
      <c r="AF1864" s="7" t="s">
        <v>0</v>
      </c>
      <c r="AG1864" s="7" t="s">
        <v>0</v>
      </c>
      <c r="AH1864" s="9" t="s">
        <v>11665</v>
      </c>
      <c r="AI1864" s="9" t="s">
        <v>11666</v>
      </c>
      <c r="AJ1864" s="9" t="s">
        <v>11667</v>
      </c>
      <c r="AK1864" s="7" t="s">
        <v>61</v>
      </c>
      <c r="AL1864" s="7" t="s">
        <v>61</v>
      </c>
      <c r="AM1864" s="7" t="s">
        <v>0</v>
      </c>
      <c r="AN1864" s="7" t="s">
        <v>0</v>
      </c>
      <c r="AO1864" s="7" t="s">
        <v>0</v>
      </c>
      <c r="AP1864" s="7" t="s">
        <v>0</v>
      </c>
      <c r="AQ1864" s="7" t="s">
        <v>61</v>
      </c>
      <c r="AR1864" s="7" t="s">
        <v>0</v>
      </c>
      <c r="AS1864" s="10" t="str">
        <f>HYPERLINK("https://tessa.gazprom-neft.local/edo/card/674fcb11-c4e7-488a-9647-9cf3e0d9a464", "https://tessa.gazprom-neft.local/edo/card/674fcb11-c4e7-488a-9647-9cf3e0d9a464")</f>
        <v>https://tessa.gazprom-neft.local/edo/card/674fcb11-c4e7-488a-9647-9cf3e0d9a464</v>
      </c>
    </row>
    <row r="1865" spans="1:45" x14ac:dyDescent="0.25">
      <c r="A1865" s="6" t="s">
        <v>44</v>
      </c>
      <c r="B1865" s="7" t="s">
        <v>2132</v>
      </c>
      <c r="C1865" s="7" t="s">
        <v>67</v>
      </c>
      <c r="D1865" s="8">
        <v>44652</v>
      </c>
      <c r="E1865" s="8" t="s">
        <v>0</v>
      </c>
      <c r="F1865" s="16" t="s">
        <v>2133</v>
      </c>
      <c r="G1865" s="7" t="s">
        <v>739</v>
      </c>
      <c r="H1865" s="7" t="s">
        <v>3446</v>
      </c>
      <c r="I1865" s="7" t="s">
        <v>0</v>
      </c>
      <c r="J1865" s="7" t="s">
        <v>51</v>
      </c>
      <c r="K1865" s="7" t="s">
        <v>47</v>
      </c>
      <c r="L1865" s="7" t="s">
        <v>48</v>
      </c>
      <c r="M1865" s="7" t="s">
        <v>0</v>
      </c>
      <c r="N1865" s="7" t="s">
        <v>3445</v>
      </c>
      <c r="O1865" s="7" t="s">
        <v>0</v>
      </c>
      <c r="P1865" s="7" t="s">
        <v>3447</v>
      </c>
      <c r="Q1865" s="7" t="s">
        <v>3448</v>
      </c>
      <c r="R1865" s="7" t="s">
        <v>361</v>
      </c>
      <c r="S1865" s="7" t="s">
        <v>361</v>
      </c>
      <c r="T1865" s="7" t="s">
        <v>54</v>
      </c>
      <c r="U1865" s="7" t="s">
        <v>362</v>
      </c>
      <c r="V1865" s="7" t="s">
        <v>295</v>
      </c>
      <c r="W1865" s="7" t="s">
        <v>57</v>
      </c>
      <c r="X1865" s="7" t="s">
        <v>58</v>
      </c>
      <c r="Y1865" s="8">
        <v>44612</v>
      </c>
      <c r="Z1865" s="8" t="s">
        <v>0</v>
      </c>
      <c r="AA1865" s="7" t="s">
        <v>296</v>
      </c>
      <c r="AB1865" s="7" t="s">
        <v>366</v>
      </c>
      <c r="AC1865" s="7" t="s">
        <v>65</v>
      </c>
      <c r="AD1865" s="7" t="s">
        <v>367</v>
      </c>
      <c r="AE1865" s="7" t="s">
        <v>0</v>
      </c>
      <c r="AF1865" s="7" t="s">
        <v>0</v>
      </c>
      <c r="AG1865" s="7" t="s">
        <v>0</v>
      </c>
      <c r="AH1865" s="9" t="s">
        <v>0</v>
      </c>
      <c r="AI1865" s="9" t="s">
        <v>0</v>
      </c>
      <c r="AJ1865" s="9" t="s">
        <v>0</v>
      </c>
      <c r="AK1865" s="7" t="s">
        <v>61</v>
      </c>
      <c r="AL1865" s="7" t="s">
        <v>61</v>
      </c>
      <c r="AM1865" s="7" t="s">
        <v>0</v>
      </c>
      <c r="AN1865" s="7" t="s">
        <v>0</v>
      </c>
      <c r="AO1865" s="7" t="s">
        <v>0</v>
      </c>
      <c r="AP1865" s="7" t="s">
        <v>0</v>
      </c>
      <c r="AQ1865" s="7" t="s">
        <v>61</v>
      </c>
      <c r="AR1865" s="7" t="s">
        <v>0</v>
      </c>
      <c r="AS1865" s="10" t="str">
        <f>HYPERLINK("https://tessa.gazprom-neft.local/edo/card/f4c930f2-eb72-4105-819e-5a475b34a51f", "https://tessa.gazprom-neft.local/edo/card/f4c930f2-eb72-4105-819e-5a475b34a51f")</f>
        <v>https://tessa.gazprom-neft.local/edo/card/f4c930f2-eb72-4105-819e-5a475b34a51f</v>
      </c>
    </row>
    <row r="1866" spans="1:45" hidden="1" x14ac:dyDescent="0.25">
      <c r="A1866" s="6" t="s">
        <v>44</v>
      </c>
      <c r="B1866" s="7" t="s">
        <v>2898</v>
      </c>
      <c r="C1866" s="7" t="s">
        <v>67</v>
      </c>
      <c r="D1866" s="8">
        <v>44652</v>
      </c>
      <c r="E1866" s="8" t="s">
        <v>0</v>
      </c>
      <c r="F1866" s="16" t="s">
        <v>2899</v>
      </c>
      <c r="G1866" s="7" t="s">
        <v>2900</v>
      </c>
      <c r="H1866" s="7" t="s">
        <v>3508</v>
      </c>
      <c r="I1866" s="7" t="s">
        <v>0</v>
      </c>
      <c r="J1866" s="7" t="s">
        <v>70</v>
      </c>
      <c r="K1866" s="7" t="s">
        <v>85</v>
      </c>
      <c r="L1866" s="7" t="s">
        <v>239</v>
      </c>
      <c r="M1866" s="7" t="s">
        <v>1252</v>
      </c>
      <c r="N1866" s="7" t="s">
        <v>3507</v>
      </c>
      <c r="O1866" s="7" t="s">
        <v>0</v>
      </c>
      <c r="P1866" s="7" t="s">
        <v>1252</v>
      </c>
      <c r="Q1866" s="7" t="s">
        <v>3509</v>
      </c>
      <c r="R1866" s="7" t="s">
        <v>1256</v>
      </c>
      <c r="S1866" s="7" t="s">
        <v>1256</v>
      </c>
      <c r="T1866" s="7" t="s">
        <v>54</v>
      </c>
      <c r="U1866" s="7" t="s">
        <v>591</v>
      </c>
      <c r="V1866" s="7" t="s">
        <v>382</v>
      </c>
      <c r="W1866" s="7" t="s">
        <v>57</v>
      </c>
      <c r="X1866" s="7" t="s">
        <v>103</v>
      </c>
      <c r="Y1866" s="8">
        <v>44652</v>
      </c>
      <c r="Z1866" s="8">
        <v>44711</v>
      </c>
      <c r="AA1866" s="7" t="s">
        <v>383</v>
      </c>
      <c r="AB1866" s="7" t="s">
        <v>387</v>
      </c>
      <c r="AC1866" s="7" t="s">
        <v>79</v>
      </c>
      <c r="AD1866" s="7" t="s">
        <v>144</v>
      </c>
      <c r="AE1866" s="7" t="s">
        <v>82</v>
      </c>
      <c r="AF1866" s="7" t="s">
        <v>0</v>
      </c>
      <c r="AG1866" s="7" t="s">
        <v>0</v>
      </c>
      <c r="AH1866" s="9" t="s">
        <v>11704</v>
      </c>
      <c r="AI1866" s="9" t="s">
        <v>11705</v>
      </c>
      <c r="AJ1866" s="9" t="s">
        <v>11706</v>
      </c>
      <c r="AK1866" s="7" t="s">
        <v>61</v>
      </c>
      <c r="AL1866" s="7" t="s">
        <v>61</v>
      </c>
      <c r="AM1866" s="7" t="s">
        <v>0</v>
      </c>
      <c r="AN1866" s="7" t="s">
        <v>0</v>
      </c>
      <c r="AO1866" s="7" t="s">
        <v>0</v>
      </c>
      <c r="AP1866" s="7" t="s">
        <v>0</v>
      </c>
      <c r="AQ1866" s="7" t="s">
        <v>61</v>
      </c>
      <c r="AR1866" s="7" t="s">
        <v>0</v>
      </c>
      <c r="AS1866" s="10" t="str">
        <f>HYPERLINK("https://tessa.gazprom-neft.local/edo/card/5a72c81f-6470-4a0b-872e-4a1cb330297f", "https://tessa.gazprom-neft.local/edo/card/5a72c81f-6470-4a0b-872e-4a1cb330297f")</f>
        <v>https://tessa.gazprom-neft.local/edo/card/5a72c81f-6470-4a0b-872e-4a1cb330297f</v>
      </c>
    </row>
    <row r="1867" spans="1:45" x14ac:dyDescent="0.25">
      <c r="A1867" s="6" t="s">
        <v>44</v>
      </c>
      <c r="B1867" s="7" t="s">
        <v>3607</v>
      </c>
      <c r="C1867" s="7" t="s">
        <v>67</v>
      </c>
      <c r="D1867" s="8">
        <v>44652</v>
      </c>
      <c r="E1867" s="8" t="s">
        <v>0</v>
      </c>
      <c r="F1867" s="16" t="s">
        <v>3608</v>
      </c>
      <c r="G1867" s="7" t="s">
        <v>3609</v>
      </c>
      <c r="H1867" s="7" t="s">
        <v>3604</v>
      </c>
      <c r="I1867" s="7" t="s">
        <v>0</v>
      </c>
      <c r="J1867" s="7" t="s">
        <v>271</v>
      </c>
      <c r="K1867" s="7" t="s">
        <v>47</v>
      </c>
      <c r="L1867" s="7" t="s">
        <v>48</v>
      </c>
      <c r="M1867" s="7" t="s">
        <v>0</v>
      </c>
      <c r="N1867" s="7" t="s">
        <v>3603</v>
      </c>
      <c r="O1867" s="7" t="s">
        <v>0</v>
      </c>
      <c r="P1867" s="7" t="s">
        <v>3605</v>
      </c>
      <c r="Q1867" s="7" t="s">
        <v>3606</v>
      </c>
      <c r="R1867" s="7" t="s">
        <v>1610</v>
      </c>
      <c r="S1867" s="7" t="s">
        <v>1610</v>
      </c>
      <c r="T1867" s="7" t="s">
        <v>54</v>
      </c>
      <c r="U1867" s="7" t="s">
        <v>101</v>
      </c>
      <c r="V1867" s="7" t="s">
        <v>102</v>
      </c>
      <c r="W1867" s="7" t="s">
        <v>57</v>
      </c>
      <c r="X1867" s="7" t="s">
        <v>103</v>
      </c>
      <c r="Y1867" s="8">
        <v>44652</v>
      </c>
      <c r="Z1867" s="8">
        <v>44926</v>
      </c>
      <c r="AA1867" s="7" t="s">
        <v>104</v>
      </c>
      <c r="AB1867" s="7" t="s">
        <v>161</v>
      </c>
      <c r="AC1867" s="7" t="s">
        <v>65</v>
      </c>
      <c r="AD1867" s="7" t="s">
        <v>0</v>
      </c>
      <c r="AE1867" s="7" t="s">
        <v>0</v>
      </c>
      <c r="AF1867" s="7" t="s">
        <v>0</v>
      </c>
      <c r="AG1867" s="7" t="s">
        <v>0</v>
      </c>
      <c r="AH1867" s="9" t="s">
        <v>0</v>
      </c>
      <c r="AI1867" s="9" t="s">
        <v>0</v>
      </c>
      <c r="AJ1867" s="9" t="s">
        <v>0</v>
      </c>
      <c r="AK1867" s="7" t="s">
        <v>61</v>
      </c>
      <c r="AL1867" s="7" t="s">
        <v>61</v>
      </c>
      <c r="AM1867" s="7" t="s">
        <v>0</v>
      </c>
      <c r="AN1867" s="7" t="s">
        <v>0</v>
      </c>
      <c r="AO1867" s="7" t="s">
        <v>0</v>
      </c>
      <c r="AP1867" s="7" t="s">
        <v>0</v>
      </c>
      <c r="AQ1867" s="7" t="s">
        <v>61</v>
      </c>
      <c r="AR1867" s="7" t="s">
        <v>0</v>
      </c>
      <c r="AS1867" s="10" t="str">
        <f>HYPERLINK("https://tessa.gazprom-neft.local/edo/card/30bc84db-d98f-4b98-9958-35629a11cc0e", "https://tessa.gazprom-neft.local/edo/card/30bc84db-d98f-4b98-9958-35629a11cc0e")</f>
        <v>https://tessa.gazprom-neft.local/edo/card/30bc84db-d98f-4b98-9958-35629a11cc0e</v>
      </c>
    </row>
    <row r="1868" spans="1:45" x14ac:dyDescent="0.25">
      <c r="A1868" s="6" t="s">
        <v>44</v>
      </c>
      <c r="B1868" s="7" t="s">
        <v>225</v>
      </c>
      <c r="C1868" s="7" t="s">
        <v>67</v>
      </c>
      <c r="D1868" s="8">
        <v>44652</v>
      </c>
      <c r="E1868" s="8" t="s">
        <v>0</v>
      </c>
      <c r="F1868" s="16" t="s">
        <v>226</v>
      </c>
      <c r="G1868" s="7" t="s">
        <v>227</v>
      </c>
      <c r="H1868" s="7" t="s">
        <v>3627</v>
      </c>
      <c r="I1868" s="7" t="s">
        <v>0</v>
      </c>
      <c r="J1868" s="7" t="s">
        <v>51</v>
      </c>
      <c r="K1868" s="7" t="s">
        <v>47</v>
      </c>
      <c r="L1868" s="7" t="s">
        <v>48</v>
      </c>
      <c r="M1868" s="7" t="s">
        <v>0</v>
      </c>
      <c r="N1868" s="7" t="s">
        <v>3626</v>
      </c>
      <c r="O1868" s="7" t="s">
        <v>0</v>
      </c>
      <c r="P1868" s="7" t="s">
        <v>3628</v>
      </c>
      <c r="Q1868" s="7" t="s">
        <v>3629</v>
      </c>
      <c r="R1868" s="7" t="s">
        <v>220</v>
      </c>
      <c r="S1868" s="7" t="s">
        <v>220</v>
      </c>
      <c r="T1868" s="7" t="s">
        <v>54</v>
      </c>
      <c r="U1868" s="7" t="s">
        <v>222</v>
      </c>
      <c r="V1868" s="7" t="s">
        <v>382</v>
      </c>
      <c r="W1868" s="7" t="s">
        <v>57</v>
      </c>
      <c r="X1868" s="7" t="s">
        <v>58</v>
      </c>
      <c r="Y1868" s="8">
        <v>44652</v>
      </c>
      <c r="Z1868" s="8" t="s">
        <v>0</v>
      </c>
      <c r="AA1868" s="7" t="s">
        <v>383</v>
      </c>
      <c r="AB1868" s="7" t="s">
        <v>387</v>
      </c>
      <c r="AC1868" s="7" t="s">
        <v>65</v>
      </c>
      <c r="AD1868" s="7" t="s">
        <v>80</v>
      </c>
      <c r="AE1868" s="7" t="s">
        <v>0</v>
      </c>
      <c r="AF1868" s="7" t="s">
        <v>0</v>
      </c>
      <c r="AG1868" s="7" t="s">
        <v>0</v>
      </c>
      <c r="AH1868" s="9" t="s">
        <v>0</v>
      </c>
      <c r="AI1868" s="9" t="s">
        <v>0</v>
      </c>
      <c r="AJ1868" s="9" t="s">
        <v>0</v>
      </c>
      <c r="AK1868" s="7" t="s">
        <v>61</v>
      </c>
      <c r="AL1868" s="7" t="s">
        <v>61</v>
      </c>
      <c r="AM1868" s="7" t="s">
        <v>0</v>
      </c>
      <c r="AN1868" s="7" t="s">
        <v>0</v>
      </c>
      <c r="AO1868" s="7" t="s">
        <v>0</v>
      </c>
      <c r="AP1868" s="7" t="s">
        <v>0</v>
      </c>
      <c r="AQ1868" s="7" t="s">
        <v>61</v>
      </c>
      <c r="AR1868" s="7" t="s">
        <v>0</v>
      </c>
      <c r="AS1868" s="10" t="str">
        <f>HYPERLINK("https://tessa.gazprom-neft.local/edo/card/71f05f30-b2a3-4cfe-a655-0f77eaf7c468", "https://tessa.gazprom-neft.local/edo/card/71f05f30-b2a3-4cfe-a655-0f77eaf7c468")</f>
        <v>https://tessa.gazprom-neft.local/edo/card/71f05f30-b2a3-4cfe-a655-0f77eaf7c468</v>
      </c>
    </row>
    <row r="1869" spans="1:45" x14ac:dyDescent="0.25">
      <c r="A1869" s="6" t="s">
        <v>44</v>
      </c>
      <c r="B1869" s="7" t="s">
        <v>384</v>
      </c>
      <c r="C1869" s="7" t="s">
        <v>67</v>
      </c>
      <c r="D1869" s="8">
        <v>44652</v>
      </c>
      <c r="E1869" s="8" t="s">
        <v>0</v>
      </c>
      <c r="F1869" s="16" t="s">
        <v>385</v>
      </c>
      <c r="G1869" s="7" t="s">
        <v>386</v>
      </c>
      <c r="H1869" s="7" t="s">
        <v>378</v>
      </c>
      <c r="I1869" s="7" t="s">
        <v>0</v>
      </c>
      <c r="J1869" s="7" t="s">
        <v>51</v>
      </c>
      <c r="K1869" s="7" t="s">
        <v>47</v>
      </c>
      <c r="L1869" s="7" t="s">
        <v>48</v>
      </c>
      <c r="M1869" s="7" t="s">
        <v>0</v>
      </c>
      <c r="N1869" s="7" t="s">
        <v>3646</v>
      </c>
      <c r="O1869" s="7" t="s">
        <v>0</v>
      </c>
      <c r="P1869" s="7" t="s">
        <v>3628</v>
      </c>
      <c r="Q1869" s="7" t="s">
        <v>3629</v>
      </c>
      <c r="R1869" s="7" t="s">
        <v>220</v>
      </c>
      <c r="S1869" s="7" t="s">
        <v>220</v>
      </c>
      <c r="T1869" s="7" t="s">
        <v>54</v>
      </c>
      <c r="U1869" s="7" t="s">
        <v>222</v>
      </c>
      <c r="V1869" s="7" t="s">
        <v>382</v>
      </c>
      <c r="W1869" s="7" t="s">
        <v>57</v>
      </c>
      <c r="X1869" s="7" t="s">
        <v>103</v>
      </c>
      <c r="Y1869" s="8">
        <v>44652</v>
      </c>
      <c r="Z1869" s="8">
        <v>44926</v>
      </c>
      <c r="AA1869" s="7" t="s">
        <v>383</v>
      </c>
      <c r="AB1869" s="7" t="s">
        <v>387</v>
      </c>
      <c r="AC1869" s="7" t="s">
        <v>65</v>
      </c>
      <c r="AD1869" s="7" t="s">
        <v>0</v>
      </c>
      <c r="AE1869" s="7" t="s">
        <v>0</v>
      </c>
      <c r="AF1869" s="7" t="s">
        <v>0</v>
      </c>
      <c r="AG1869" s="7" t="s">
        <v>0</v>
      </c>
      <c r="AH1869" s="9" t="s">
        <v>0</v>
      </c>
      <c r="AI1869" s="9" t="s">
        <v>0</v>
      </c>
      <c r="AJ1869" s="9" t="s">
        <v>0</v>
      </c>
      <c r="AK1869" s="7" t="s">
        <v>61</v>
      </c>
      <c r="AL1869" s="7" t="s">
        <v>61</v>
      </c>
      <c r="AM1869" s="7" t="s">
        <v>0</v>
      </c>
      <c r="AN1869" s="7" t="s">
        <v>0</v>
      </c>
      <c r="AO1869" s="7" t="s">
        <v>0</v>
      </c>
      <c r="AP1869" s="7" t="s">
        <v>0</v>
      </c>
      <c r="AQ1869" s="7" t="s">
        <v>61</v>
      </c>
      <c r="AR1869" s="7" t="s">
        <v>0</v>
      </c>
      <c r="AS1869" s="10" t="str">
        <f>HYPERLINK("https://tessa.gazprom-neft.local/edo/card/9e97ce1b-e0f0-4d10-addd-49faffbf0044", "https://tessa.gazprom-neft.local/edo/card/9e97ce1b-e0f0-4d10-addd-49faffbf0044")</f>
        <v>https://tessa.gazprom-neft.local/edo/card/9e97ce1b-e0f0-4d10-addd-49faffbf0044</v>
      </c>
    </row>
    <row r="1870" spans="1:45" x14ac:dyDescent="0.25">
      <c r="A1870" s="6" t="s">
        <v>44</v>
      </c>
      <c r="B1870" s="7" t="s">
        <v>2350</v>
      </c>
      <c r="C1870" s="7" t="s">
        <v>67</v>
      </c>
      <c r="D1870" s="8">
        <v>44652</v>
      </c>
      <c r="E1870" s="8" t="s">
        <v>0</v>
      </c>
      <c r="F1870" s="16" t="s">
        <v>2351</v>
      </c>
      <c r="G1870" s="7" t="s">
        <v>2352</v>
      </c>
      <c r="H1870" s="7" t="s">
        <v>2370</v>
      </c>
      <c r="I1870" s="7" t="s">
        <v>0</v>
      </c>
      <c r="J1870" s="7" t="s">
        <v>51</v>
      </c>
      <c r="K1870" s="7" t="s">
        <v>47</v>
      </c>
      <c r="L1870" s="7" t="s">
        <v>48</v>
      </c>
      <c r="M1870" s="7" t="s">
        <v>0</v>
      </c>
      <c r="N1870" s="7" t="s">
        <v>3714</v>
      </c>
      <c r="O1870" s="7" t="s">
        <v>0</v>
      </c>
      <c r="P1870" s="7" t="s">
        <v>3715</v>
      </c>
      <c r="Q1870" s="7" t="s">
        <v>3716</v>
      </c>
      <c r="R1870" s="7" t="s">
        <v>282</v>
      </c>
      <c r="S1870" s="7" t="s">
        <v>282</v>
      </c>
      <c r="T1870" s="7" t="s">
        <v>54</v>
      </c>
      <c r="U1870" s="7" t="s">
        <v>362</v>
      </c>
      <c r="V1870" s="7" t="s">
        <v>295</v>
      </c>
      <c r="W1870" s="7" t="s">
        <v>57</v>
      </c>
      <c r="X1870" s="7" t="s">
        <v>103</v>
      </c>
      <c r="Y1870" s="8">
        <v>44652</v>
      </c>
      <c r="Z1870" s="8">
        <v>45657</v>
      </c>
      <c r="AA1870" s="7" t="s">
        <v>296</v>
      </c>
      <c r="AB1870" s="7" t="s">
        <v>1748</v>
      </c>
      <c r="AC1870" s="7" t="s">
        <v>65</v>
      </c>
      <c r="AD1870" s="7" t="s">
        <v>144</v>
      </c>
      <c r="AE1870" s="7" t="s">
        <v>0</v>
      </c>
      <c r="AF1870" s="7" t="s">
        <v>0</v>
      </c>
      <c r="AG1870" s="7" t="s">
        <v>0</v>
      </c>
      <c r="AH1870" s="9" t="s">
        <v>0</v>
      </c>
      <c r="AI1870" s="9" t="s">
        <v>0</v>
      </c>
      <c r="AJ1870" s="9" t="s">
        <v>0</v>
      </c>
      <c r="AK1870" s="7" t="s">
        <v>61</v>
      </c>
      <c r="AL1870" s="7" t="s">
        <v>61</v>
      </c>
      <c r="AM1870" s="7" t="s">
        <v>0</v>
      </c>
      <c r="AN1870" s="7" t="s">
        <v>0</v>
      </c>
      <c r="AO1870" s="7" t="s">
        <v>0</v>
      </c>
      <c r="AP1870" s="7" t="s">
        <v>0</v>
      </c>
      <c r="AQ1870" s="7" t="s">
        <v>61</v>
      </c>
      <c r="AR1870" s="7" t="s">
        <v>0</v>
      </c>
      <c r="AS1870" s="10" t="str">
        <f>HYPERLINK("https://tessa.gazprom-neft.local/edo/card/daf104e5-e57a-499b-9363-d78a22995389", "https://tessa.gazprom-neft.local/edo/card/daf104e5-e57a-499b-9363-d78a22995389")</f>
        <v>https://tessa.gazprom-neft.local/edo/card/daf104e5-e57a-499b-9363-d78a22995389</v>
      </c>
    </row>
    <row r="1871" spans="1:45" x14ac:dyDescent="0.25">
      <c r="A1871" s="6" t="s">
        <v>44</v>
      </c>
      <c r="B1871" s="7" t="s">
        <v>3089</v>
      </c>
      <c r="C1871" s="7" t="s">
        <v>67</v>
      </c>
      <c r="D1871" s="8">
        <v>44652</v>
      </c>
      <c r="E1871" s="8" t="s">
        <v>0</v>
      </c>
      <c r="F1871" s="16" t="s">
        <v>3090</v>
      </c>
      <c r="G1871" s="7" t="s">
        <v>3091</v>
      </c>
      <c r="H1871" s="7" t="s">
        <v>3737</v>
      </c>
      <c r="I1871" s="7" t="s">
        <v>0</v>
      </c>
      <c r="J1871" s="7" t="s">
        <v>271</v>
      </c>
      <c r="K1871" s="7" t="s">
        <v>47</v>
      </c>
      <c r="L1871" s="7" t="s">
        <v>48</v>
      </c>
      <c r="M1871" s="7" t="s">
        <v>0</v>
      </c>
      <c r="N1871" s="7" t="s">
        <v>3736</v>
      </c>
      <c r="O1871" s="7" t="s">
        <v>0</v>
      </c>
      <c r="P1871" s="7" t="s">
        <v>3738</v>
      </c>
      <c r="Q1871" s="7" t="s">
        <v>3716</v>
      </c>
      <c r="R1871" s="7" t="s">
        <v>282</v>
      </c>
      <c r="S1871" s="7" t="s">
        <v>282</v>
      </c>
      <c r="T1871" s="7" t="s">
        <v>54</v>
      </c>
      <c r="U1871" s="7" t="s">
        <v>362</v>
      </c>
      <c r="V1871" s="7" t="s">
        <v>295</v>
      </c>
      <c r="W1871" s="7" t="s">
        <v>57</v>
      </c>
      <c r="X1871" s="7" t="s">
        <v>103</v>
      </c>
      <c r="Y1871" s="8">
        <v>44652</v>
      </c>
      <c r="Z1871" s="8">
        <v>46022</v>
      </c>
      <c r="AA1871" s="7" t="s">
        <v>296</v>
      </c>
      <c r="AB1871" s="7" t="s">
        <v>64</v>
      </c>
      <c r="AC1871" s="7" t="s">
        <v>65</v>
      </c>
      <c r="AD1871" s="7" t="s">
        <v>0</v>
      </c>
      <c r="AE1871" s="7" t="s">
        <v>0</v>
      </c>
      <c r="AF1871" s="7" t="s">
        <v>0</v>
      </c>
      <c r="AG1871" s="7" t="s">
        <v>0</v>
      </c>
      <c r="AH1871" s="9" t="s">
        <v>0</v>
      </c>
      <c r="AI1871" s="9" t="s">
        <v>0</v>
      </c>
      <c r="AJ1871" s="9" t="s">
        <v>0</v>
      </c>
      <c r="AK1871" s="7" t="s">
        <v>61</v>
      </c>
      <c r="AL1871" s="7" t="s">
        <v>61</v>
      </c>
      <c r="AM1871" s="7" t="s">
        <v>0</v>
      </c>
      <c r="AN1871" s="7" t="s">
        <v>0</v>
      </c>
      <c r="AO1871" s="7" t="s">
        <v>0</v>
      </c>
      <c r="AP1871" s="7" t="s">
        <v>0</v>
      </c>
      <c r="AQ1871" s="7" t="s">
        <v>61</v>
      </c>
      <c r="AR1871" s="7" t="s">
        <v>0</v>
      </c>
      <c r="AS1871" s="10" t="str">
        <f>HYPERLINK("https://tessa.gazprom-neft.local/edo/card/6b7b5bb2-3cdb-40bc-9832-35bbcb392e66", "https://tessa.gazprom-neft.local/edo/card/6b7b5bb2-3cdb-40bc-9832-35bbcb392e66")</f>
        <v>https://tessa.gazprom-neft.local/edo/card/6b7b5bb2-3cdb-40bc-9832-35bbcb392e66</v>
      </c>
    </row>
    <row r="1872" spans="1:45" hidden="1" x14ac:dyDescent="0.25">
      <c r="A1872" s="6" t="s">
        <v>44</v>
      </c>
      <c r="B1872" s="7" t="s">
        <v>114</v>
      </c>
      <c r="C1872" s="7" t="s">
        <v>67</v>
      </c>
      <c r="D1872" s="8">
        <v>44652</v>
      </c>
      <c r="E1872" s="8" t="s">
        <v>0</v>
      </c>
      <c r="F1872" s="16" t="s">
        <v>115</v>
      </c>
      <c r="G1872" s="7" t="s">
        <v>116</v>
      </c>
      <c r="H1872" s="7" t="s">
        <v>0</v>
      </c>
      <c r="I1872" s="7" t="s">
        <v>2817</v>
      </c>
      <c r="J1872" s="7" t="s">
        <v>2817</v>
      </c>
      <c r="K1872" s="7" t="s">
        <v>47</v>
      </c>
      <c r="L1872" s="7" t="s">
        <v>96</v>
      </c>
      <c r="M1872" s="7" t="s">
        <v>0</v>
      </c>
      <c r="N1872" s="7" t="s">
        <v>3749</v>
      </c>
      <c r="O1872" s="7" t="s">
        <v>0</v>
      </c>
      <c r="P1872" s="7" t="s">
        <v>3750</v>
      </c>
      <c r="Q1872" s="7" t="s">
        <v>3751</v>
      </c>
      <c r="R1872" s="7" t="s">
        <v>110</v>
      </c>
      <c r="S1872" s="7" t="s">
        <v>110</v>
      </c>
      <c r="T1872" s="7" t="s">
        <v>54</v>
      </c>
      <c r="U1872" s="7" t="s">
        <v>111</v>
      </c>
      <c r="V1872" s="7" t="s">
        <v>112</v>
      </c>
      <c r="W1872" s="7" t="s">
        <v>57</v>
      </c>
      <c r="X1872" s="7" t="s">
        <v>103</v>
      </c>
      <c r="Y1872" s="8">
        <v>44652</v>
      </c>
      <c r="Z1872" s="8">
        <v>45016</v>
      </c>
      <c r="AA1872" s="7" t="s">
        <v>113</v>
      </c>
      <c r="AB1872" s="7" t="s">
        <v>117</v>
      </c>
      <c r="AC1872" s="7" t="s">
        <v>79</v>
      </c>
      <c r="AD1872" s="7" t="s">
        <v>144</v>
      </c>
      <c r="AE1872" s="7" t="s">
        <v>118</v>
      </c>
      <c r="AF1872" s="7" t="s">
        <v>0</v>
      </c>
      <c r="AG1872" s="7" t="s">
        <v>0</v>
      </c>
      <c r="AH1872" s="9" t="s">
        <v>11803</v>
      </c>
      <c r="AI1872" s="9" t="s">
        <v>11803</v>
      </c>
      <c r="AJ1872" s="9">
        <v>0</v>
      </c>
      <c r="AK1872" s="7" t="s">
        <v>61</v>
      </c>
      <c r="AL1872" s="7" t="s">
        <v>61</v>
      </c>
      <c r="AM1872" s="7" t="s">
        <v>0</v>
      </c>
      <c r="AN1872" s="7" t="s">
        <v>0</v>
      </c>
      <c r="AO1872" s="7" t="s">
        <v>0</v>
      </c>
      <c r="AP1872" s="7" t="s">
        <v>0</v>
      </c>
      <c r="AQ1872" s="7" t="s">
        <v>61</v>
      </c>
      <c r="AR1872" s="7" t="s">
        <v>0</v>
      </c>
      <c r="AS1872" s="10" t="str">
        <f>HYPERLINK("https://tessa.gazprom-neft.local/edo/card/98d53ec4-2c61-479f-bddd-eaf4c29f5147", "https://tessa.gazprom-neft.local/edo/card/98d53ec4-2c61-479f-bddd-eaf4c29f5147")</f>
        <v>https://tessa.gazprom-neft.local/edo/card/98d53ec4-2c61-479f-bddd-eaf4c29f5147</v>
      </c>
    </row>
    <row r="1873" spans="1:45" x14ac:dyDescent="0.25">
      <c r="A1873" s="6" t="s">
        <v>44</v>
      </c>
      <c r="B1873" s="7" t="s">
        <v>2350</v>
      </c>
      <c r="C1873" s="7" t="s">
        <v>67</v>
      </c>
      <c r="D1873" s="8">
        <v>44652</v>
      </c>
      <c r="E1873" s="8" t="s">
        <v>0</v>
      </c>
      <c r="F1873" s="16" t="s">
        <v>2351</v>
      </c>
      <c r="G1873" s="7" t="s">
        <v>2352</v>
      </c>
      <c r="H1873" s="7" t="s">
        <v>2347</v>
      </c>
      <c r="I1873" s="7" t="s">
        <v>0</v>
      </c>
      <c r="J1873" s="7" t="s">
        <v>51</v>
      </c>
      <c r="K1873" s="7" t="s">
        <v>47</v>
      </c>
      <c r="L1873" s="7" t="s">
        <v>48</v>
      </c>
      <c r="M1873" s="7" t="s">
        <v>0</v>
      </c>
      <c r="N1873" s="7" t="s">
        <v>3996</v>
      </c>
      <c r="O1873" s="7" t="s">
        <v>0</v>
      </c>
      <c r="P1873" s="7" t="s">
        <v>3997</v>
      </c>
      <c r="Q1873" s="7" t="s">
        <v>3963</v>
      </c>
      <c r="R1873" s="7" t="s">
        <v>282</v>
      </c>
      <c r="S1873" s="7" t="s">
        <v>282</v>
      </c>
      <c r="T1873" s="7" t="s">
        <v>54</v>
      </c>
      <c r="U1873" s="7" t="s">
        <v>362</v>
      </c>
      <c r="V1873" s="7" t="s">
        <v>295</v>
      </c>
      <c r="W1873" s="7" t="s">
        <v>57</v>
      </c>
      <c r="X1873" s="7" t="s">
        <v>103</v>
      </c>
      <c r="Y1873" s="8">
        <v>44652</v>
      </c>
      <c r="Z1873" s="8">
        <v>45657</v>
      </c>
      <c r="AA1873" s="7" t="s">
        <v>296</v>
      </c>
      <c r="AB1873" s="7" t="s">
        <v>1748</v>
      </c>
      <c r="AC1873" s="7" t="s">
        <v>65</v>
      </c>
      <c r="AD1873" s="7" t="s">
        <v>80</v>
      </c>
      <c r="AE1873" s="7" t="s">
        <v>0</v>
      </c>
      <c r="AF1873" s="7" t="s">
        <v>0</v>
      </c>
      <c r="AG1873" s="7" t="s">
        <v>0</v>
      </c>
      <c r="AH1873" s="9" t="s">
        <v>0</v>
      </c>
      <c r="AI1873" s="9" t="s">
        <v>0</v>
      </c>
      <c r="AJ1873" s="9" t="s">
        <v>0</v>
      </c>
      <c r="AK1873" s="7" t="s">
        <v>61</v>
      </c>
      <c r="AL1873" s="7" t="s">
        <v>61</v>
      </c>
      <c r="AM1873" s="7" t="s">
        <v>0</v>
      </c>
      <c r="AN1873" s="7" t="s">
        <v>0</v>
      </c>
      <c r="AO1873" s="7" t="s">
        <v>0</v>
      </c>
      <c r="AP1873" s="7" t="s">
        <v>0</v>
      </c>
      <c r="AQ1873" s="7" t="s">
        <v>61</v>
      </c>
      <c r="AR1873" s="7" t="s">
        <v>0</v>
      </c>
      <c r="AS1873" s="10" t="str">
        <f>HYPERLINK("https://tessa.gazprom-neft.local/edo/card/565b51d1-5c7f-45dc-9f9b-bbf9ea04b3c5", "https://tessa.gazprom-neft.local/edo/card/565b51d1-5c7f-45dc-9f9b-bbf9ea04b3c5")</f>
        <v>https://tessa.gazprom-neft.local/edo/card/565b51d1-5c7f-45dc-9f9b-bbf9ea04b3c5</v>
      </c>
    </row>
    <row r="1874" spans="1:45" hidden="1" x14ac:dyDescent="0.25">
      <c r="A1874" s="6" t="s">
        <v>44</v>
      </c>
      <c r="B1874" s="7" t="s">
        <v>436</v>
      </c>
      <c r="C1874" s="7" t="s">
        <v>67</v>
      </c>
      <c r="D1874" s="8">
        <v>44652</v>
      </c>
      <c r="E1874" s="8" t="s">
        <v>0</v>
      </c>
      <c r="F1874" s="16" t="s">
        <v>437</v>
      </c>
      <c r="G1874" s="7" t="s">
        <v>438</v>
      </c>
      <c r="H1874" s="7" t="s">
        <v>0</v>
      </c>
      <c r="I1874" s="7" t="s">
        <v>5577</v>
      </c>
      <c r="J1874" s="7" t="s">
        <v>5577</v>
      </c>
      <c r="K1874" s="7" t="s">
        <v>85</v>
      </c>
      <c r="L1874" s="7" t="s">
        <v>86</v>
      </c>
      <c r="M1874" s="7" t="s">
        <v>289</v>
      </c>
      <c r="N1874" s="7" t="s">
        <v>5576</v>
      </c>
      <c r="O1874" s="7" t="s">
        <v>0</v>
      </c>
      <c r="P1874" s="7" t="s">
        <v>289</v>
      </c>
      <c r="Q1874" s="7" t="s">
        <v>1310</v>
      </c>
      <c r="R1874" s="7" t="s">
        <v>1083</v>
      </c>
      <c r="S1874" s="7" t="s">
        <v>1519</v>
      </c>
      <c r="T1874" s="7" t="s">
        <v>54</v>
      </c>
      <c r="U1874" s="7" t="s">
        <v>274</v>
      </c>
      <c r="V1874" s="7" t="s">
        <v>56</v>
      </c>
      <c r="W1874" s="7" t="s">
        <v>57</v>
      </c>
      <c r="X1874" s="7" t="s">
        <v>223</v>
      </c>
      <c r="Y1874" s="8">
        <v>44652</v>
      </c>
      <c r="Z1874" s="8" t="s">
        <v>0</v>
      </c>
      <c r="AA1874" s="7" t="s">
        <v>0</v>
      </c>
      <c r="AB1874" s="7" t="s">
        <v>300</v>
      </c>
      <c r="AC1874" s="7" t="s">
        <v>65</v>
      </c>
      <c r="AD1874" s="7" t="s">
        <v>0</v>
      </c>
      <c r="AE1874" s="7" t="s">
        <v>0</v>
      </c>
      <c r="AF1874" s="7" t="s">
        <v>0</v>
      </c>
      <c r="AG1874" s="7" t="s">
        <v>0</v>
      </c>
      <c r="AH1874" s="9" t="s">
        <v>0</v>
      </c>
      <c r="AI1874" s="9" t="s">
        <v>0</v>
      </c>
      <c r="AJ1874" s="9" t="s">
        <v>0</v>
      </c>
      <c r="AK1874" s="7" t="s">
        <v>61</v>
      </c>
      <c r="AL1874" s="7" t="s">
        <v>61</v>
      </c>
      <c r="AM1874" s="7" t="s">
        <v>0</v>
      </c>
      <c r="AN1874" s="7" t="s">
        <v>0</v>
      </c>
      <c r="AO1874" s="7" t="s">
        <v>0</v>
      </c>
      <c r="AP1874" s="7" t="s">
        <v>0</v>
      </c>
      <c r="AQ1874" s="7" t="s">
        <v>61</v>
      </c>
      <c r="AR1874" s="7" t="s">
        <v>0</v>
      </c>
      <c r="AS1874" s="10" t="str">
        <f>HYPERLINK("https://tessa.gazprom-neft.local/edo/card/a7b99f19-dfac-405c-b5ec-7fbe2025afb4", "https://tessa.gazprom-neft.local/edo/card/a7b99f19-dfac-405c-b5ec-7fbe2025afb4")</f>
        <v>https://tessa.gazprom-neft.local/edo/card/a7b99f19-dfac-405c-b5ec-7fbe2025afb4</v>
      </c>
    </row>
    <row r="1875" spans="1:45" x14ac:dyDescent="0.25">
      <c r="A1875" s="6" t="s">
        <v>44</v>
      </c>
      <c r="B1875" s="7" t="s">
        <v>436</v>
      </c>
      <c r="C1875" s="7" t="s">
        <v>46</v>
      </c>
      <c r="D1875" s="8">
        <v>44652</v>
      </c>
      <c r="E1875" s="8" t="s">
        <v>0</v>
      </c>
      <c r="F1875" s="16" t="s">
        <v>437</v>
      </c>
      <c r="G1875" s="7" t="s">
        <v>438</v>
      </c>
      <c r="H1875" s="7" t="s">
        <v>483</v>
      </c>
      <c r="I1875" s="7" t="s">
        <v>0</v>
      </c>
      <c r="J1875" s="7" t="s">
        <v>51</v>
      </c>
      <c r="K1875" s="7" t="s">
        <v>47</v>
      </c>
      <c r="L1875" s="7" t="s">
        <v>48</v>
      </c>
      <c r="M1875" s="7" t="s">
        <v>0</v>
      </c>
      <c r="N1875" s="7" t="s">
        <v>5823</v>
      </c>
      <c r="O1875" s="7" t="s">
        <v>0</v>
      </c>
      <c r="P1875" s="7" t="s">
        <v>50</v>
      </c>
      <c r="Q1875" s="7" t="s">
        <v>50</v>
      </c>
      <c r="R1875" s="7" t="s">
        <v>1083</v>
      </c>
      <c r="S1875" s="7" t="s">
        <v>5758</v>
      </c>
      <c r="T1875" s="7" t="s">
        <v>54</v>
      </c>
      <c r="U1875" s="7" t="s">
        <v>274</v>
      </c>
      <c r="V1875" s="7" t="s">
        <v>56</v>
      </c>
      <c r="W1875" s="7" t="s">
        <v>57</v>
      </c>
      <c r="X1875" s="7" t="s">
        <v>223</v>
      </c>
      <c r="Y1875" s="8">
        <v>44652</v>
      </c>
      <c r="Z1875" s="8" t="s">
        <v>0</v>
      </c>
      <c r="AA1875" s="7" t="s">
        <v>0</v>
      </c>
      <c r="AB1875" s="7" t="s">
        <v>64</v>
      </c>
      <c r="AC1875" s="7" t="s">
        <v>65</v>
      </c>
      <c r="AD1875" s="7" t="s">
        <v>0</v>
      </c>
      <c r="AE1875" s="7" t="s">
        <v>0</v>
      </c>
      <c r="AF1875" s="7" t="s">
        <v>0</v>
      </c>
      <c r="AG1875" s="7" t="s">
        <v>0</v>
      </c>
      <c r="AH1875" s="9" t="s">
        <v>0</v>
      </c>
      <c r="AI1875" s="9" t="s">
        <v>0</v>
      </c>
      <c r="AJ1875" s="9" t="s">
        <v>0</v>
      </c>
      <c r="AK1875" s="7" t="s">
        <v>61</v>
      </c>
      <c r="AL1875" s="7" t="s">
        <v>61</v>
      </c>
      <c r="AM1875" s="7" t="s">
        <v>0</v>
      </c>
      <c r="AN1875" s="7" t="s">
        <v>0</v>
      </c>
      <c r="AO1875" s="7" t="s">
        <v>0</v>
      </c>
      <c r="AP1875" s="7" t="s">
        <v>0</v>
      </c>
      <c r="AQ1875" s="7" t="s">
        <v>61</v>
      </c>
      <c r="AR1875" s="7" t="s">
        <v>0</v>
      </c>
      <c r="AS1875" s="10" t="str">
        <f>HYPERLINK("https://tessa.gazprom-neft.local/edo/card/3c4c346d-d123-4d2f-8728-8cd3af2ec31d", "https://tessa.gazprom-neft.local/edo/card/3c4c346d-d123-4d2f-8728-8cd3af2ec31d")</f>
        <v>https://tessa.gazprom-neft.local/edo/card/3c4c346d-d123-4d2f-8728-8cd3af2ec31d</v>
      </c>
    </row>
    <row r="1876" spans="1:45" hidden="1" x14ac:dyDescent="0.25">
      <c r="A1876" s="6" t="s">
        <v>44</v>
      </c>
      <c r="B1876" s="7" t="s">
        <v>245</v>
      </c>
      <c r="C1876" s="7" t="s">
        <v>67</v>
      </c>
      <c r="D1876" s="8">
        <v>44652</v>
      </c>
      <c r="E1876" s="8" t="s">
        <v>0</v>
      </c>
      <c r="F1876" s="16" t="s">
        <v>246</v>
      </c>
      <c r="G1876" s="7" t="s">
        <v>247</v>
      </c>
      <c r="H1876" s="7" t="s">
        <v>5943</v>
      </c>
      <c r="I1876" s="7" t="s">
        <v>0</v>
      </c>
      <c r="J1876" s="7" t="s">
        <v>5944</v>
      </c>
      <c r="K1876" s="7" t="s">
        <v>47</v>
      </c>
      <c r="L1876" s="7" t="s">
        <v>239</v>
      </c>
      <c r="M1876" s="7" t="s">
        <v>0</v>
      </c>
      <c r="N1876" s="7" t="s">
        <v>5942</v>
      </c>
      <c r="O1876" s="7" t="s">
        <v>0</v>
      </c>
      <c r="P1876" s="7" t="s">
        <v>239</v>
      </c>
      <c r="Q1876" s="7" t="s">
        <v>5945</v>
      </c>
      <c r="R1876" s="7" t="s">
        <v>1083</v>
      </c>
      <c r="S1876" s="7" t="s">
        <v>5946</v>
      </c>
      <c r="T1876" s="7" t="s">
        <v>54</v>
      </c>
      <c r="U1876" s="7" t="s">
        <v>274</v>
      </c>
      <c r="V1876" s="7" t="s">
        <v>846</v>
      </c>
      <c r="W1876" s="7" t="s">
        <v>57</v>
      </c>
      <c r="X1876" s="7" t="s">
        <v>103</v>
      </c>
      <c r="Y1876" s="8">
        <v>44713</v>
      </c>
      <c r="Z1876" s="8">
        <v>44798</v>
      </c>
      <c r="AA1876" s="7" t="s">
        <v>847</v>
      </c>
      <c r="AB1876" s="7" t="s">
        <v>64</v>
      </c>
      <c r="AC1876" s="7" t="s">
        <v>278</v>
      </c>
      <c r="AD1876" s="7" t="s">
        <v>80</v>
      </c>
      <c r="AE1876" s="7" t="s">
        <v>82</v>
      </c>
      <c r="AF1876" s="7" t="s">
        <v>0</v>
      </c>
      <c r="AG1876" s="7" t="s">
        <v>0</v>
      </c>
      <c r="AH1876" s="9" t="s">
        <v>12687</v>
      </c>
      <c r="AI1876" s="9" t="s">
        <v>12688</v>
      </c>
      <c r="AJ1876" s="9" t="s">
        <v>12689</v>
      </c>
      <c r="AK1876" s="7" t="s">
        <v>61</v>
      </c>
      <c r="AL1876" s="7" t="s">
        <v>61</v>
      </c>
      <c r="AM1876" s="7" t="s">
        <v>0</v>
      </c>
      <c r="AN1876" s="7" t="s">
        <v>0</v>
      </c>
      <c r="AO1876" s="7" t="s">
        <v>0</v>
      </c>
      <c r="AP1876" s="7" t="s">
        <v>0</v>
      </c>
      <c r="AQ1876" s="7" t="s">
        <v>61</v>
      </c>
      <c r="AR1876" s="7" t="s">
        <v>0</v>
      </c>
      <c r="AS1876" s="10" t="str">
        <f>HYPERLINK("https://tessa.gazprom-neft.local/edo/card/e05d224b-a162-4fb5-ace1-cd9557be3e57", "https://tessa.gazprom-neft.local/edo/card/e05d224b-a162-4fb5-ace1-cd9557be3e57")</f>
        <v>https://tessa.gazprom-neft.local/edo/card/e05d224b-a162-4fb5-ace1-cd9557be3e57</v>
      </c>
    </row>
    <row r="1877" spans="1:45" hidden="1" x14ac:dyDescent="0.25">
      <c r="A1877" s="6" t="s">
        <v>44</v>
      </c>
      <c r="B1877" s="7" t="s">
        <v>1775</v>
      </c>
      <c r="C1877" s="7" t="s">
        <v>67</v>
      </c>
      <c r="D1877" s="8">
        <v>44651</v>
      </c>
      <c r="E1877" s="8" t="s">
        <v>0</v>
      </c>
      <c r="F1877" s="16" t="s">
        <v>1776</v>
      </c>
      <c r="G1877" s="7" t="s">
        <v>1777</v>
      </c>
      <c r="H1877" s="7" t="s">
        <v>0</v>
      </c>
      <c r="I1877" s="7" t="s">
        <v>2800</v>
      </c>
      <c r="J1877" s="7" t="s">
        <v>2800</v>
      </c>
      <c r="K1877" s="7" t="s">
        <v>85</v>
      </c>
      <c r="L1877" s="7" t="s">
        <v>96</v>
      </c>
      <c r="M1877" s="7" t="s">
        <v>2798</v>
      </c>
      <c r="N1877" s="7" t="s">
        <v>2799</v>
      </c>
      <c r="O1877" s="7" t="s">
        <v>0</v>
      </c>
      <c r="P1877" s="7" t="s">
        <v>2798</v>
      </c>
      <c r="Q1877" s="7" t="s">
        <v>2801</v>
      </c>
      <c r="R1877" s="7" t="s">
        <v>659</v>
      </c>
      <c r="S1877" s="7" t="s">
        <v>1774</v>
      </c>
      <c r="T1877" s="7" t="s">
        <v>54</v>
      </c>
      <c r="U1877" s="7" t="s">
        <v>125</v>
      </c>
      <c r="V1877" s="7" t="s">
        <v>382</v>
      </c>
      <c r="W1877" s="7" t="s">
        <v>57</v>
      </c>
      <c r="X1877" s="7" t="s">
        <v>103</v>
      </c>
      <c r="Y1877" s="8">
        <v>44651</v>
      </c>
      <c r="Z1877" s="8">
        <v>45291</v>
      </c>
      <c r="AA1877" s="7" t="s">
        <v>383</v>
      </c>
      <c r="AB1877" s="7" t="s">
        <v>130</v>
      </c>
      <c r="AC1877" s="7" t="s">
        <v>79</v>
      </c>
      <c r="AD1877" s="7" t="s">
        <v>514</v>
      </c>
      <c r="AE1877" s="7" t="s">
        <v>82</v>
      </c>
      <c r="AF1877" s="7" t="s">
        <v>0</v>
      </c>
      <c r="AG1877" s="7" t="s">
        <v>2802</v>
      </c>
      <c r="AH1877" s="9" t="s">
        <v>11452</v>
      </c>
      <c r="AI1877" s="9" t="s">
        <v>11453</v>
      </c>
      <c r="AJ1877" s="9" t="s">
        <v>11454</v>
      </c>
      <c r="AK1877" s="7" t="s">
        <v>81</v>
      </c>
      <c r="AL1877" s="7" t="s">
        <v>61</v>
      </c>
      <c r="AM1877" s="7" t="s">
        <v>0</v>
      </c>
      <c r="AN1877" s="7" t="s">
        <v>0</v>
      </c>
      <c r="AO1877" s="7" t="s">
        <v>0</v>
      </c>
      <c r="AP1877" s="7" t="s">
        <v>0</v>
      </c>
      <c r="AQ1877" s="7" t="s">
        <v>61</v>
      </c>
      <c r="AR1877" s="7" t="s">
        <v>0</v>
      </c>
      <c r="AS1877" s="10" t="str">
        <f>HYPERLINK("https://tessa.gazprom-neft.local/edo/card/4d51aca9-05aa-466a-9cc4-f6cc7ce0bd26", "https://tessa.gazprom-neft.local/edo/card/4d51aca9-05aa-466a-9cc4-f6cc7ce0bd26")</f>
        <v>https://tessa.gazprom-neft.local/edo/card/4d51aca9-05aa-466a-9cc4-f6cc7ce0bd26</v>
      </c>
    </row>
    <row r="1878" spans="1:45" hidden="1" x14ac:dyDescent="0.25">
      <c r="A1878" s="6" t="s">
        <v>44</v>
      </c>
      <c r="B1878" s="7" t="s">
        <v>2993</v>
      </c>
      <c r="C1878" s="7" t="s">
        <v>67</v>
      </c>
      <c r="D1878" s="8">
        <v>44651</v>
      </c>
      <c r="E1878" s="8" t="s">
        <v>0</v>
      </c>
      <c r="F1878" s="16" t="s">
        <v>2994</v>
      </c>
      <c r="G1878" s="7" t="s">
        <v>2995</v>
      </c>
      <c r="H1878" s="7" t="s">
        <v>0</v>
      </c>
      <c r="I1878" s="7" t="s">
        <v>2990</v>
      </c>
      <c r="J1878" s="7" t="s">
        <v>2990</v>
      </c>
      <c r="K1878" s="7" t="s">
        <v>47</v>
      </c>
      <c r="L1878" s="7" t="s">
        <v>96</v>
      </c>
      <c r="M1878" s="7" t="s">
        <v>0</v>
      </c>
      <c r="N1878" s="7" t="s">
        <v>2989</v>
      </c>
      <c r="O1878" s="7" t="s">
        <v>0</v>
      </c>
      <c r="P1878" s="7" t="s">
        <v>2991</v>
      </c>
      <c r="Q1878" s="7" t="s">
        <v>2992</v>
      </c>
      <c r="R1878" s="7" t="s">
        <v>891</v>
      </c>
      <c r="S1878" s="7" t="s">
        <v>891</v>
      </c>
      <c r="T1878" s="7" t="s">
        <v>54</v>
      </c>
      <c r="U1878" s="7" t="s">
        <v>892</v>
      </c>
      <c r="V1878" s="7" t="s">
        <v>56</v>
      </c>
      <c r="W1878" s="7" t="s">
        <v>57</v>
      </c>
      <c r="X1878" s="7" t="s">
        <v>103</v>
      </c>
      <c r="Y1878" s="8">
        <v>44652</v>
      </c>
      <c r="Z1878" s="8">
        <v>45291</v>
      </c>
      <c r="AA1878" s="7" t="s">
        <v>59</v>
      </c>
      <c r="AB1878" s="7" t="s">
        <v>256</v>
      </c>
      <c r="AC1878" s="7" t="s">
        <v>79</v>
      </c>
      <c r="AD1878" s="7" t="s">
        <v>144</v>
      </c>
      <c r="AE1878" s="7" t="s">
        <v>82</v>
      </c>
      <c r="AF1878" s="7" t="s">
        <v>0</v>
      </c>
      <c r="AG1878" s="7" t="s">
        <v>0</v>
      </c>
      <c r="AH1878" s="9" t="s">
        <v>11510</v>
      </c>
      <c r="AI1878" s="9" t="s">
        <v>11511</v>
      </c>
      <c r="AJ1878" s="9" t="s">
        <v>11512</v>
      </c>
      <c r="AK1878" s="7" t="s">
        <v>61</v>
      </c>
      <c r="AL1878" s="7" t="s">
        <v>61</v>
      </c>
      <c r="AM1878" s="7" t="s">
        <v>0</v>
      </c>
      <c r="AN1878" s="7" t="s">
        <v>0</v>
      </c>
      <c r="AO1878" s="7" t="s">
        <v>0</v>
      </c>
      <c r="AP1878" s="7" t="s">
        <v>0</v>
      </c>
      <c r="AQ1878" s="7" t="s">
        <v>61</v>
      </c>
      <c r="AR1878" s="7" t="s">
        <v>0</v>
      </c>
      <c r="AS1878" s="10" t="str">
        <f>HYPERLINK("https://tessa.gazprom-neft.local/edo/card/a620ef0a-30a4-48ad-90c8-3d85f5800f04", "https://tessa.gazprom-neft.local/edo/card/a620ef0a-30a4-48ad-90c8-3d85f5800f04")</f>
        <v>https://tessa.gazprom-neft.local/edo/card/a620ef0a-30a4-48ad-90c8-3d85f5800f04</v>
      </c>
    </row>
    <row r="1879" spans="1:45" hidden="1" x14ac:dyDescent="0.25">
      <c r="A1879" s="6" t="s">
        <v>44</v>
      </c>
      <c r="B1879" s="7" t="s">
        <v>1775</v>
      </c>
      <c r="C1879" s="7" t="s">
        <v>67</v>
      </c>
      <c r="D1879" s="8">
        <v>44651</v>
      </c>
      <c r="E1879" s="8" t="s">
        <v>0</v>
      </c>
      <c r="F1879" s="16" t="s">
        <v>1776</v>
      </c>
      <c r="G1879" s="7" t="s">
        <v>1777</v>
      </c>
      <c r="H1879" s="7" t="s">
        <v>0</v>
      </c>
      <c r="I1879" s="7" t="s">
        <v>3036</v>
      </c>
      <c r="J1879" s="7" t="s">
        <v>3036</v>
      </c>
      <c r="K1879" s="7" t="s">
        <v>85</v>
      </c>
      <c r="L1879" s="7" t="s">
        <v>86</v>
      </c>
      <c r="M1879" s="7" t="s">
        <v>216</v>
      </c>
      <c r="N1879" s="7" t="s">
        <v>3035</v>
      </c>
      <c r="O1879" s="7" t="s">
        <v>0</v>
      </c>
      <c r="P1879" s="7" t="s">
        <v>216</v>
      </c>
      <c r="Q1879" s="7" t="s">
        <v>3037</v>
      </c>
      <c r="R1879" s="7" t="s">
        <v>659</v>
      </c>
      <c r="S1879" s="7" t="s">
        <v>3038</v>
      </c>
      <c r="T1879" s="7" t="s">
        <v>54</v>
      </c>
      <c r="U1879" s="7" t="s">
        <v>283</v>
      </c>
      <c r="V1879" s="7" t="s">
        <v>102</v>
      </c>
      <c r="W1879" s="7" t="s">
        <v>57</v>
      </c>
      <c r="X1879" s="7" t="s">
        <v>223</v>
      </c>
      <c r="Y1879" s="8">
        <v>44651</v>
      </c>
      <c r="Z1879" s="8" t="s">
        <v>0</v>
      </c>
      <c r="AA1879" s="7" t="s">
        <v>104</v>
      </c>
      <c r="AB1879" s="7" t="s">
        <v>228</v>
      </c>
      <c r="AC1879" s="7" t="s">
        <v>65</v>
      </c>
      <c r="AD1879" s="7" t="s">
        <v>0</v>
      </c>
      <c r="AE1879" s="7" t="s">
        <v>0</v>
      </c>
      <c r="AF1879" s="7" t="s">
        <v>0</v>
      </c>
      <c r="AG1879" s="7" t="s">
        <v>0</v>
      </c>
      <c r="AH1879" s="9" t="s">
        <v>0</v>
      </c>
      <c r="AI1879" s="9" t="s">
        <v>0</v>
      </c>
      <c r="AJ1879" s="9" t="s">
        <v>0</v>
      </c>
      <c r="AK1879" s="7" t="s">
        <v>61</v>
      </c>
      <c r="AL1879" s="7" t="s">
        <v>61</v>
      </c>
      <c r="AM1879" s="7" t="s">
        <v>0</v>
      </c>
      <c r="AN1879" s="7" t="s">
        <v>0</v>
      </c>
      <c r="AO1879" s="7" t="s">
        <v>0</v>
      </c>
      <c r="AP1879" s="7" t="s">
        <v>0</v>
      </c>
      <c r="AQ1879" s="7" t="s">
        <v>61</v>
      </c>
      <c r="AR1879" s="7" t="s">
        <v>0</v>
      </c>
      <c r="AS1879" s="10" t="str">
        <f>HYPERLINK("https://tessa.gazprom-neft.local/edo/card/65e95417-c716-493b-b9ab-04dbb1597d53", "https://tessa.gazprom-neft.local/edo/card/65e95417-c716-493b-b9ab-04dbb1597d53")</f>
        <v>https://tessa.gazprom-neft.local/edo/card/65e95417-c716-493b-b9ab-04dbb1597d53</v>
      </c>
    </row>
    <row r="1880" spans="1:45" hidden="1" x14ac:dyDescent="0.25">
      <c r="A1880" s="6" t="s">
        <v>44</v>
      </c>
      <c r="B1880" s="7" t="s">
        <v>1775</v>
      </c>
      <c r="C1880" s="7" t="s">
        <v>67</v>
      </c>
      <c r="D1880" s="8">
        <v>44651</v>
      </c>
      <c r="E1880" s="8" t="s">
        <v>0</v>
      </c>
      <c r="F1880" s="16" t="s">
        <v>1776</v>
      </c>
      <c r="G1880" s="7" t="s">
        <v>1777</v>
      </c>
      <c r="H1880" s="7" t="s">
        <v>0</v>
      </c>
      <c r="I1880" s="7" t="s">
        <v>3053</v>
      </c>
      <c r="J1880" s="7" t="s">
        <v>3053</v>
      </c>
      <c r="K1880" s="7" t="s">
        <v>85</v>
      </c>
      <c r="L1880" s="7" t="s">
        <v>86</v>
      </c>
      <c r="M1880" s="7" t="s">
        <v>83</v>
      </c>
      <c r="N1880" s="7" t="s">
        <v>3052</v>
      </c>
      <c r="O1880" s="7" t="s">
        <v>0</v>
      </c>
      <c r="P1880" s="7" t="s">
        <v>83</v>
      </c>
      <c r="Q1880" s="7" t="s">
        <v>3054</v>
      </c>
      <c r="R1880" s="7" t="s">
        <v>659</v>
      </c>
      <c r="S1880" s="7" t="s">
        <v>3038</v>
      </c>
      <c r="T1880" s="7" t="s">
        <v>54</v>
      </c>
      <c r="U1880" s="7" t="s">
        <v>303</v>
      </c>
      <c r="V1880" s="7" t="s">
        <v>91</v>
      </c>
      <c r="W1880" s="7" t="s">
        <v>57</v>
      </c>
      <c r="X1880" s="7" t="s">
        <v>223</v>
      </c>
      <c r="Y1880" s="8">
        <v>44651</v>
      </c>
      <c r="Z1880" s="8" t="s">
        <v>0</v>
      </c>
      <c r="AA1880" s="7" t="s">
        <v>92</v>
      </c>
      <c r="AB1880" s="7" t="s">
        <v>94</v>
      </c>
      <c r="AC1880" s="7" t="s">
        <v>65</v>
      </c>
      <c r="AD1880" s="7" t="s">
        <v>0</v>
      </c>
      <c r="AE1880" s="7" t="s">
        <v>0</v>
      </c>
      <c r="AF1880" s="7" t="s">
        <v>0</v>
      </c>
      <c r="AG1880" s="7" t="s">
        <v>0</v>
      </c>
      <c r="AH1880" s="9" t="s">
        <v>0</v>
      </c>
      <c r="AI1880" s="9" t="s">
        <v>0</v>
      </c>
      <c r="AJ1880" s="9" t="s">
        <v>0</v>
      </c>
      <c r="AK1880" s="7" t="s">
        <v>61</v>
      </c>
      <c r="AL1880" s="7" t="s">
        <v>61</v>
      </c>
      <c r="AM1880" s="7" t="s">
        <v>0</v>
      </c>
      <c r="AN1880" s="7" t="s">
        <v>0</v>
      </c>
      <c r="AO1880" s="7" t="s">
        <v>0</v>
      </c>
      <c r="AP1880" s="7" t="s">
        <v>0</v>
      </c>
      <c r="AQ1880" s="7" t="s">
        <v>61</v>
      </c>
      <c r="AR1880" s="7" t="s">
        <v>0</v>
      </c>
      <c r="AS1880" s="10" t="str">
        <f>HYPERLINK("https://tessa.gazprom-neft.local/edo/card/8f15f709-46de-47d4-8889-27afc28233f2", "https://tessa.gazprom-neft.local/edo/card/8f15f709-46de-47d4-8889-27afc28233f2")</f>
        <v>https://tessa.gazprom-neft.local/edo/card/8f15f709-46de-47d4-8889-27afc28233f2</v>
      </c>
    </row>
    <row r="1881" spans="1:45" hidden="1" x14ac:dyDescent="0.25">
      <c r="A1881" s="6" t="s">
        <v>44</v>
      </c>
      <c r="B1881" s="7" t="s">
        <v>1775</v>
      </c>
      <c r="C1881" s="7" t="s">
        <v>67</v>
      </c>
      <c r="D1881" s="8">
        <v>44651</v>
      </c>
      <c r="E1881" s="8" t="s">
        <v>0</v>
      </c>
      <c r="F1881" s="16" t="s">
        <v>1776</v>
      </c>
      <c r="G1881" s="7" t="s">
        <v>1777</v>
      </c>
      <c r="H1881" s="7" t="s">
        <v>0</v>
      </c>
      <c r="I1881" s="7" t="s">
        <v>3212</v>
      </c>
      <c r="J1881" s="7" t="s">
        <v>3212</v>
      </c>
      <c r="K1881" s="7" t="s">
        <v>85</v>
      </c>
      <c r="L1881" s="7" t="s">
        <v>86</v>
      </c>
      <c r="M1881" s="7" t="s">
        <v>289</v>
      </c>
      <c r="N1881" s="7" t="s">
        <v>3211</v>
      </c>
      <c r="O1881" s="7" t="s">
        <v>0</v>
      </c>
      <c r="P1881" s="7" t="s">
        <v>289</v>
      </c>
      <c r="Q1881" s="7" t="s">
        <v>3213</v>
      </c>
      <c r="R1881" s="7" t="s">
        <v>659</v>
      </c>
      <c r="S1881" s="7" t="s">
        <v>3038</v>
      </c>
      <c r="T1881" s="7" t="s">
        <v>54</v>
      </c>
      <c r="U1881" s="7" t="s">
        <v>125</v>
      </c>
      <c r="V1881" s="7" t="s">
        <v>340</v>
      </c>
      <c r="W1881" s="7" t="s">
        <v>57</v>
      </c>
      <c r="X1881" s="7" t="s">
        <v>223</v>
      </c>
      <c r="Y1881" s="8">
        <v>44651</v>
      </c>
      <c r="Z1881" s="8" t="s">
        <v>0</v>
      </c>
      <c r="AA1881" s="7" t="s">
        <v>341</v>
      </c>
      <c r="AB1881" s="7" t="s">
        <v>300</v>
      </c>
      <c r="AC1881" s="7" t="s">
        <v>65</v>
      </c>
      <c r="AD1881" s="7" t="s">
        <v>0</v>
      </c>
      <c r="AE1881" s="7" t="s">
        <v>0</v>
      </c>
      <c r="AF1881" s="7" t="s">
        <v>0</v>
      </c>
      <c r="AG1881" s="7" t="s">
        <v>0</v>
      </c>
      <c r="AH1881" s="9" t="s">
        <v>0</v>
      </c>
      <c r="AI1881" s="9" t="s">
        <v>0</v>
      </c>
      <c r="AJ1881" s="9" t="s">
        <v>0</v>
      </c>
      <c r="AK1881" s="7" t="s">
        <v>61</v>
      </c>
      <c r="AL1881" s="7" t="s">
        <v>61</v>
      </c>
      <c r="AM1881" s="7" t="s">
        <v>0</v>
      </c>
      <c r="AN1881" s="7" t="s">
        <v>0</v>
      </c>
      <c r="AO1881" s="7" t="s">
        <v>0</v>
      </c>
      <c r="AP1881" s="7" t="s">
        <v>0</v>
      </c>
      <c r="AQ1881" s="7" t="s">
        <v>61</v>
      </c>
      <c r="AR1881" s="7" t="s">
        <v>0</v>
      </c>
      <c r="AS1881" s="10" t="str">
        <f>HYPERLINK("https://tessa.gazprom-neft.local/edo/card/081ce9f1-069e-4303-aaee-d3add2174b82", "https://tessa.gazprom-neft.local/edo/card/081ce9f1-069e-4303-aaee-d3add2174b82")</f>
        <v>https://tessa.gazprom-neft.local/edo/card/081ce9f1-069e-4303-aaee-d3add2174b82</v>
      </c>
    </row>
    <row r="1882" spans="1:45" x14ac:dyDescent="0.25">
      <c r="A1882" s="6" t="s">
        <v>44</v>
      </c>
      <c r="B1882" s="7" t="s">
        <v>964</v>
      </c>
      <c r="C1882" s="7" t="s">
        <v>67</v>
      </c>
      <c r="D1882" s="8">
        <v>44651</v>
      </c>
      <c r="E1882" s="8" t="s">
        <v>0</v>
      </c>
      <c r="F1882" s="16" t="s">
        <v>965</v>
      </c>
      <c r="G1882" s="7" t="s">
        <v>966</v>
      </c>
      <c r="H1882" s="7" t="s">
        <v>1832</v>
      </c>
      <c r="I1882" s="7" t="s">
        <v>0</v>
      </c>
      <c r="J1882" s="7" t="s">
        <v>122</v>
      </c>
      <c r="K1882" s="7" t="s">
        <v>47</v>
      </c>
      <c r="L1882" s="7" t="s">
        <v>48</v>
      </c>
      <c r="M1882" s="7" t="s">
        <v>0</v>
      </c>
      <c r="N1882" s="7" t="s">
        <v>3475</v>
      </c>
      <c r="O1882" s="7" t="s">
        <v>0</v>
      </c>
      <c r="P1882" s="7" t="s">
        <v>3476</v>
      </c>
      <c r="Q1882" s="7" t="s">
        <v>3477</v>
      </c>
      <c r="R1882" s="7" t="s">
        <v>659</v>
      </c>
      <c r="S1882" s="7" t="s">
        <v>1120</v>
      </c>
      <c r="T1882" s="7" t="s">
        <v>54</v>
      </c>
      <c r="U1882" s="7" t="s">
        <v>362</v>
      </c>
      <c r="V1882" s="7" t="s">
        <v>295</v>
      </c>
      <c r="W1882" s="7" t="s">
        <v>57</v>
      </c>
      <c r="X1882" s="7" t="s">
        <v>103</v>
      </c>
      <c r="Y1882" s="8">
        <v>44652</v>
      </c>
      <c r="Z1882" s="8">
        <v>44926</v>
      </c>
      <c r="AA1882" s="7" t="s">
        <v>296</v>
      </c>
      <c r="AB1882" s="7" t="s">
        <v>130</v>
      </c>
      <c r="AC1882" s="7" t="s">
        <v>79</v>
      </c>
      <c r="AD1882" s="7" t="s">
        <v>514</v>
      </c>
      <c r="AE1882" s="7" t="s">
        <v>82</v>
      </c>
      <c r="AF1882" s="7" t="s">
        <v>0</v>
      </c>
      <c r="AG1882" s="7" t="s">
        <v>3478</v>
      </c>
      <c r="AH1882" s="9" t="s">
        <v>11692</v>
      </c>
      <c r="AI1882" s="9" t="s">
        <v>11693</v>
      </c>
      <c r="AJ1882" s="9" t="s">
        <v>11694</v>
      </c>
      <c r="AK1882" s="7" t="s">
        <v>81</v>
      </c>
      <c r="AL1882" s="7" t="s">
        <v>61</v>
      </c>
      <c r="AM1882" s="7" t="s">
        <v>0</v>
      </c>
      <c r="AN1882" s="7" t="s">
        <v>0</v>
      </c>
      <c r="AO1882" s="7" t="s">
        <v>0</v>
      </c>
      <c r="AP1882" s="7" t="s">
        <v>0</v>
      </c>
      <c r="AQ1882" s="7" t="s">
        <v>61</v>
      </c>
      <c r="AR1882" s="7" t="s">
        <v>0</v>
      </c>
      <c r="AS1882" s="10" t="str">
        <f>HYPERLINK("https://tessa.gazprom-neft.local/edo/card/d849439a-3f25-44a9-afc5-5a704f20b955", "https://tessa.gazprom-neft.local/edo/card/d849439a-3f25-44a9-afc5-5a704f20b955")</f>
        <v>https://tessa.gazprom-neft.local/edo/card/d849439a-3f25-44a9-afc5-5a704f20b955</v>
      </c>
    </row>
    <row r="1883" spans="1:45" x14ac:dyDescent="0.25">
      <c r="A1883" s="6" t="s">
        <v>44</v>
      </c>
      <c r="B1883" s="7" t="s">
        <v>3538</v>
      </c>
      <c r="C1883" s="7" t="s">
        <v>67</v>
      </c>
      <c r="D1883" s="8">
        <v>44651</v>
      </c>
      <c r="E1883" s="8" t="s">
        <v>0</v>
      </c>
      <c r="F1883" s="16" t="s">
        <v>3539</v>
      </c>
      <c r="G1883" s="7" t="s">
        <v>3540</v>
      </c>
      <c r="H1883" s="7" t="s">
        <v>3536</v>
      </c>
      <c r="I1883" s="7" t="s">
        <v>0</v>
      </c>
      <c r="J1883" s="7" t="s">
        <v>156</v>
      </c>
      <c r="K1883" s="7" t="s">
        <v>47</v>
      </c>
      <c r="L1883" s="7" t="s">
        <v>48</v>
      </c>
      <c r="M1883" s="7" t="s">
        <v>0</v>
      </c>
      <c r="N1883" s="7" t="s">
        <v>3535</v>
      </c>
      <c r="O1883" s="7" t="s">
        <v>0</v>
      </c>
      <c r="P1883" s="7" t="s">
        <v>1474</v>
      </c>
      <c r="Q1883" s="7" t="s">
        <v>3537</v>
      </c>
      <c r="R1883" s="7" t="s">
        <v>1256</v>
      </c>
      <c r="S1883" s="7" t="s">
        <v>1256</v>
      </c>
      <c r="T1883" s="7" t="s">
        <v>54</v>
      </c>
      <c r="U1883" s="7" t="s">
        <v>591</v>
      </c>
      <c r="V1883" s="7" t="s">
        <v>382</v>
      </c>
      <c r="W1883" s="7" t="s">
        <v>57</v>
      </c>
      <c r="X1883" s="7" t="s">
        <v>103</v>
      </c>
      <c r="Y1883" s="8">
        <v>44651</v>
      </c>
      <c r="Z1883" s="8">
        <v>45016</v>
      </c>
      <c r="AA1883" s="7" t="s">
        <v>383</v>
      </c>
      <c r="AB1883" s="7" t="s">
        <v>387</v>
      </c>
      <c r="AC1883" s="7" t="s">
        <v>65</v>
      </c>
      <c r="AD1883" s="7" t="s">
        <v>0</v>
      </c>
      <c r="AE1883" s="7" t="s">
        <v>0</v>
      </c>
      <c r="AF1883" s="7" t="s">
        <v>0</v>
      </c>
      <c r="AG1883" s="7" t="s">
        <v>0</v>
      </c>
      <c r="AH1883" s="9" t="s">
        <v>0</v>
      </c>
      <c r="AI1883" s="9" t="s">
        <v>0</v>
      </c>
      <c r="AJ1883" s="9" t="s">
        <v>0</v>
      </c>
      <c r="AK1883" s="7" t="s">
        <v>61</v>
      </c>
      <c r="AL1883" s="7" t="s">
        <v>61</v>
      </c>
      <c r="AM1883" s="7" t="s">
        <v>0</v>
      </c>
      <c r="AN1883" s="7" t="s">
        <v>0</v>
      </c>
      <c r="AO1883" s="7" t="s">
        <v>0</v>
      </c>
      <c r="AP1883" s="7" t="s">
        <v>0</v>
      </c>
      <c r="AQ1883" s="7" t="s">
        <v>61</v>
      </c>
      <c r="AR1883" s="7" t="s">
        <v>0</v>
      </c>
      <c r="AS1883" s="10" t="str">
        <f>HYPERLINK("https://tessa.gazprom-neft.local/edo/card/a9b53c41-2873-40e9-958f-82ea586cceb7", "https://tessa.gazprom-neft.local/edo/card/a9b53c41-2873-40e9-958f-82ea586cceb7")</f>
        <v>https://tessa.gazprom-neft.local/edo/card/a9b53c41-2873-40e9-958f-82ea586cceb7</v>
      </c>
    </row>
    <row r="1884" spans="1:45" hidden="1" x14ac:dyDescent="0.25">
      <c r="A1884" s="6" t="s">
        <v>44</v>
      </c>
      <c r="B1884" s="7" t="s">
        <v>245</v>
      </c>
      <c r="C1884" s="7" t="s">
        <v>67</v>
      </c>
      <c r="D1884" s="8">
        <v>44651</v>
      </c>
      <c r="E1884" s="8" t="s">
        <v>0</v>
      </c>
      <c r="F1884" s="16" t="s">
        <v>246</v>
      </c>
      <c r="G1884" s="7" t="s">
        <v>247</v>
      </c>
      <c r="H1884" s="7" t="s">
        <v>574</v>
      </c>
      <c r="I1884" s="7" t="s">
        <v>0</v>
      </c>
      <c r="J1884" s="7" t="s">
        <v>3550</v>
      </c>
      <c r="K1884" s="7" t="s">
        <v>47</v>
      </c>
      <c r="L1884" s="7" t="s">
        <v>239</v>
      </c>
      <c r="M1884" s="7" t="s">
        <v>0</v>
      </c>
      <c r="N1884" s="7" t="s">
        <v>3548</v>
      </c>
      <c r="O1884" s="7" t="s">
        <v>0</v>
      </c>
      <c r="P1884" s="7" t="s">
        <v>3549</v>
      </c>
      <c r="Q1884" s="7" t="s">
        <v>3551</v>
      </c>
      <c r="R1884" s="7" t="s">
        <v>198</v>
      </c>
      <c r="S1884" s="7" t="s">
        <v>198</v>
      </c>
      <c r="T1884" s="7" t="s">
        <v>54</v>
      </c>
      <c r="U1884" s="7" t="s">
        <v>199</v>
      </c>
      <c r="V1884" s="7" t="s">
        <v>211</v>
      </c>
      <c r="W1884" s="7" t="s">
        <v>57</v>
      </c>
      <c r="X1884" s="7" t="s">
        <v>103</v>
      </c>
      <c r="Y1884" s="8">
        <v>44713</v>
      </c>
      <c r="Z1884" s="8">
        <v>44925</v>
      </c>
      <c r="AA1884" s="7" t="s">
        <v>212</v>
      </c>
      <c r="AB1884" s="7" t="s">
        <v>256</v>
      </c>
      <c r="AC1884" s="7" t="s">
        <v>79</v>
      </c>
      <c r="AD1884" s="7" t="s">
        <v>80</v>
      </c>
      <c r="AE1884" s="7" t="s">
        <v>82</v>
      </c>
      <c r="AF1884" s="7" t="s">
        <v>0</v>
      </c>
      <c r="AG1884" s="7" t="s">
        <v>0</v>
      </c>
      <c r="AH1884" s="9" t="s">
        <v>11723</v>
      </c>
      <c r="AI1884" s="9" t="s">
        <v>11724</v>
      </c>
      <c r="AJ1884" s="9" t="s">
        <v>11725</v>
      </c>
      <c r="AK1884" s="7" t="s">
        <v>61</v>
      </c>
      <c r="AL1884" s="7" t="s">
        <v>61</v>
      </c>
      <c r="AM1884" s="7" t="s">
        <v>0</v>
      </c>
      <c r="AN1884" s="7" t="s">
        <v>0</v>
      </c>
      <c r="AO1884" s="7" t="s">
        <v>0</v>
      </c>
      <c r="AP1884" s="7" t="s">
        <v>0</v>
      </c>
      <c r="AQ1884" s="7" t="s">
        <v>61</v>
      </c>
      <c r="AR1884" s="7" t="s">
        <v>0</v>
      </c>
      <c r="AS1884" s="10" t="str">
        <f>HYPERLINK("https://tessa.gazprom-neft.local/edo/card/9176cc35-b5c7-4add-8e1d-b1c23db0413e", "https://tessa.gazprom-neft.local/edo/card/9176cc35-b5c7-4add-8e1d-b1c23db0413e")</f>
        <v>https://tessa.gazprom-neft.local/edo/card/9176cc35-b5c7-4add-8e1d-b1c23db0413e</v>
      </c>
    </row>
    <row r="1885" spans="1:45" hidden="1" x14ac:dyDescent="0.25">
      <c r="A1885" s="6" t="s">
        <v>44</v>
      </c>
      <c r="B1885" s="7" t="s">
        <v>245</v>
      </c>
      <c r="C1885" s="7" t="s">
        <v>67</v>
      </c>
      <c r="D1885" s="8">
        <v>44651</v>
      </c>
      <c r="E1885" s="8" t="s">
        <v>0</v>
      </c>
      <c r="F1885" s="16" t="s">
        <v>246</v>
      </c>
      <c r="G1885" s="7" t="s">
        <v>247</v>
      </c>
      <c r="H1885" s="7" t="s">
        <v>574</v>
      </c>
      <c r="I1885" s="7" t="s">
        <v>0</v>
      </c>
      <c r="J1885" s="7" t="s">
        <v>3562</v>
      </c>
      <c r="K1885" s="7" t="s">
        <v>47</v>
      </c>
      <c r="L1885" s="7" t="s">
        <v>239</v>
      </c>
      <c r="M1885" s="7" t="s">
        <v>0</v>
      </c>
      <c r="N1885" s="7" t="s">
        <v>3560</v>
      </c>
      <c r="O1885" s="7" t="s">
        <v>0</v>
      </c>
      <c r="P1885" s="7" t="s">
        <v>3561</v>
      </c>
      <c r="Q1885" s="7" t="s">
        <v>3563</v>
      </c>
      <c r="R1885" s="7" t="s">
        <v>198</v>
      </c>
      <c r="S1885" s="7" t="s">
        <v>198</v>
      </c>
      <c r="T1885" s="7" t="s">
        <v>54</v>
      </c>
      <c r="U1885" s="7" t="s">
        <v>199</v>
      </c>
      <c r="V1885" s="7" t="s">
        <v>211</v>
      </c>
      <c r="W1885" s="7" t="s">
        <v>57</v>
      </c>
      <c r="X1885" s="7" t="s">
        <v>103</v>
      </c>
      <c r="Y1885" s="8">
        <v>44651</v>
      </c>
      <c r="Z1885" s="8">
        <v>44773</v>
      </c>
      <c r="AA1885" s="7" t="s">
        <v>212</v>
      </c>
      <c r="AB1885" s="7" t="s">
        <v>256</v>
      </c>
      <c r="AC1885" s="7" t="s">
        <v>79</v>
      </c>
      <c r="AD1885" s="7" t="s">
        <v>80</v>
      </c>
      <c r="AE1885" s="7" t="s">
        <v>82</v>
      </c>
      <c r="AF1885" s="7" t="s">
        <v>0</v>
      </c>
      <c r="AG1885" s="7" t="s">
        <v>0</v>
      </c>
      <c r="AH1885" s="9" t="s">
        <v>11732</v>
      </c>
      <c r="AI1885" s="9" t="s">
        <v>11733</v>
      </c>
      <c r="AJ1885" s="9" t="s">
        <v>11734</v>
      </c>
      <c r="AK1885" s="7" t="s">
        <v>61</v>
      </c>
      <c r="AL1885" s="7" t="s">
        <v>61</v>
      </c>
      <c r="AM1885" s="7" t="s">
        <v>0</v>
      </c>
      <c r="AN1885" s="7" t="s">
        <v>0</v>
      </c>
      <c r="AO1885" s="7" t="s">
        <v>0</v>
      </c>
      <c r="AP1885" s="7" t="s">
        <v>0</v>
      </c>
      <c r="AQ1885" s="7" t="s">
        <v>61</v>
      </c>
      <c r="AR1885" s="7" t="s">
        <v>0</v>
      </c>
      <c r="AS1885" s="10" t="str">
        <f>HYPERLINK("https://tessa.gazprom-neft.local/edo/card/415a8763-dc55-40a8-8f52-5016f2a8d4f9", "https://tessa.gazprom-neft.local/edo/card/415a8763-dc55-40a8-8f52-5016f2a8d4f9")</f>
        <v>https://tessa.gazprom-neft.local/edo/card/415a8763-dc55-40a8-8f52-5016f2a8d4f9</v>
      </c>
    </row>
    <row r="1886" spans="1:45" x14ac:dyDescent="0.25">
      <c r="A1886" s="6" t="s">
        <v>44</v>
      </c>
      <c r="B1886" s="7" t="s">
        <v>1576</v>
      </c>
      <c r="C1886" s="7" t="s">
        <v>67</v>
      </c>
      <c r="D1886" s="8">
        <v>44651</v>
      </c>
      <c r="E1886" s="8" t="s">
        <v>0</v>
      </c>
      <c r="F1886" s="16" t="s">
        <v>1577</v>
      </c>
      <c r="G1886" s="7" t="s">
        <v>1578</v>
      </c>
      <c r="H1886" s="7" t="s">
        <v>3582</v>
      </c>
      <c r="I1886" s="7" t="s">
        <v>0</v>
      </c>
      <c r="J1886" s="7" t="s">
        <v>51</v>
      </c>
      <c r="K1886" s="7" t="s">
        <v>47</v>
      </c>
      <c r="L1886" s="7" t="s">
        <v>48</v>
      </c>
      <c r="M1886" s="7" t="s">
        <v>0</v>
      </c>
      <c r="N1886" s="7" t="s">
        <v>3581</v>
      </c>
      <c r="O1886" s="7" t="s">
        <v>0</v>
      </c>
      <c r="P1886" s="7" t="s">
        <v>3583</v>
      </c>
      <c r="Q1886" s="7" t="s">
        <v>3584</v>
      </c>
      <c r="R1886" s="7" t="s">
        <v>1575</v>
      </c>
      <c r="S1886" s="7" t="s">
        <v>1575</v>
      </c>
      <c r="T1886" s="7" t="s">
        <v>54</v>
      </c>
      <c r="U1886" s="7" t="s">
        <v>222</v>
      </c>
      <c r="V1886" s="7" t="s">
        <v>382</v>
      </c>
      <c r="W1886" s="7" t="s">
        <v>57</v>
      </c>
      <c r="X1886" s="7" t="s">
        <v>58</v>
      </c>
      <c r="Y1886" s="8">
        <v>44651</v>
      </c>
      <c r="Z1886" s="8" t="s">
        <v>0</v>
      </c>
      <c r="AA1886" s="7" t="s">
        <v>383</v>
      </c>
      <c r="AB1886" s="7" t="s">
        <v>387</v>
      </c>
      <c r="AC1886" s="7" t="s">
        <v>65</v>
      </c>
      <c r="AD1886" s="7" t="s">
        <v>0</v>
      </c>
      <c r="AE1886" s="7" t="s">
        <v>0</v>
      </c>
      <c r="AF1886" s="7" t="s">
        <v>0</v>
      </c>
      <c r="AG1886" s="7" t="s">
        <v>0</v>
      </c>
      <c r="AH1886" s="9" t="s">
        <v>0</v>
      </c>
      <c r="AI1886" s="9" t="s">
        <v>0</v>
      </c>
      <c r="AJ1886" s="9" t="s">
        <v>0</v>
      </c>
      <c r="AK1886" s="7" t="s">
        <v>61</v>
      </c>
      <c r="AL1886" s="7" t="s">
        <v>61</v>
      </c>
      <c r="AM1886" s="7" t="s">
        <v>0</v>
      </c>
      <c r="AN1886" s="7" t="s">
        <v>0</v>
      </c>
      <c r="AO1886" s="7" t="s">
        <v>0</v>
      </c>
      <c r="AP1886" s="7" t="s">
        <v>0</v>
      </c>
      <c r="AQ1886" s="7" t="s">
        <v>61</v>
      </c>
      <c r="AR1886" s="7" t="s">
        <v>0</v>
      </c>
      <c r="AS1886" s="10" t="str">
        <f>HYPERLINK("https://tessa.gazprom-neft.local/edo/card/012f497b-9109-49d3-a560-334fbcb9c3d9", "https://tessa.gazprom-neft.local/edo/card/012f497b-9109-49d3-a560-334fbcb9c3d9")</f>
        <v>https://tessa.gazprom-neft.local/edo/card/012f497b-9109-49d3-a560-334fbcb9c3d9</v>
      </c>
    </row>
    <row r="1887" spans="1:45" hidden="1" x14ac:dyDescent="0.25">
      <c r="A1887" s="6" t="s">
        <v>44</v>
      </c>
      <c r="B1887" s="7" t="s">
        <v>245</v>
      </c>
      <c r="C1887" s="7" t="s">
        <v>67</v>
      </c>
      <c r="D1887" s="8">
        <v>44651</v>
      </c>
      <c r="E1887" s="8" t="s">
        <v>0</v>
      </c>
      <c r="F1887" s="16" t="s">
        <v>246</v>
      </c>
      <c r="G1887" s="7" t="s">
        <v>247</v>
      </c>
      <c r="H1887" s="7" t="s">
        <v>574</v>
      </c>
      <c r="I1887" s="7" t="s">
        <v>0</v>
      </c>
      <c r="J1887" s="7" t="s">
        <v>3594</v>
      </c>
      <c r="K1887" s="7" t="s">
        <v>47</v>
      </c>
      <c r="L1887" s="7" t="s">
        <v>239</v>
      </c>
      <c r="M1887" s="7" t="s">
        <v>0</v>
      </c>
      <c r="N1887" s="7" t="s">
        <v>3592</v>
      </c>
      <c r="O1887" s="7" t="s">
        <v>0</v>
      </c>
      <c r="P1887" s="7" t="s">
        <v>3593</v>
      </c>
      <c r="Q1887" s="7" t="s">
        <v>3595</v>
      </c>
      <c r="R1887" s="7" t="s">
        <v>198</v>
      </c>
      <c r="S1887" s="7" t="s">
        <v>198</v>
      </c>
      <c r="T1887" s="7" t="s">
        <v>54</v>
      </c>
      <c r="U1887" s="7" t="s">
        <v>199</v>
      </c>
      <c r="V1887" s="7" t="s">
        <v>211</v>
      </c>
      <c r="W1887" s="7" t="s">
        <v>57</v>
      </c>
      <c r="X1887" s="7" t="s">
        <v>103</v>
      </c>
      <c r="Y1887" s="8">
        <v>44713</v>
      </c>
      <c r="Z1887" s="8">
        <v>44925</v>
      </c>
      <c r="AA1887" s="7" t="s">
        <v>212</v>
      </c>
      <c r="AB1887" s="7" t="s">
        <v>256</v>
      </c>
      <c r="AC1887" s="7" t="s">
        <v>79</v>
      </c>
      <c r="AD1887" s="7" t="s">
        <v>80</v>
      </c>
      <c r="AE1887" s="7" t="s">
        <v>82</v>
      </c>
      <c r="AF1887" s="7" t="s">
        <v>0</v>
      </c>
      <c r="AG1887" s="7" t="s">
        <v>0</v>
      </c>
      <c r="AH1887" s="9" t="s">
        <v>11742</v>
      </c>
      <c r="AI1887" s="9" t="s">
        <v>11743</v>
      </c>
      <c r="AJ1887" s="9" t="s">
        <v>11744</v>
      </c>
      <c r="AK1887" s="7" t="s">
        <v>61</v>
      </c>
      <c r="AL1887" s="7" t="s">
        <v>61</v>
      </c>
      <c r="AM1887" s="7" t="s">
        <v>0</v>
      </c>
      <c r="AN1887" s="7" t="s">
        <v>0</v>
      </c>
      <c r="AO1887" s="7" t="s">
        <v>0</v>
      </c>
      <c r="AP1887" s="7" t="s">
        <v>0</v>
      </c>
      <c r="AQ1887" s="7" t="s">
        <v>61</v>
      </c>
      <c r="AR1887" s="7" t="s">
        <v>0</v>
      </c>
      <c r="AS1887" s="10" t="str">
        <f>HYPERLINK("https://tessa.gazprom-neft.local/edo/card/50415036-33de-4c30-8868-525f16070ce6", "https://tessa.gazprom-neft.local/edo/card/50415036-33de-4c30-8868-525f16070ce6")</f>
        <v>https://tessa.gazprom-neft.local/edo/card/50415036-33de-4c30-8868-525f16070ce6</v>
      </c>
    </row>
    <row r="1888" spans="1:45" hidden="1" x14ac:dyDescent="0.25">
      <c r="A1888" s="6" t="s">
        <v>44</v>
      </c>
      <c r="B1888" s="7" t="s">
        <v>374</v>
      </c>
      <c r="C1888" s="7" t="s">
        <v>67</v>
      </c>
      <c r="D1888" s="8">
        <v>44651</v>
      </c>
      <c r="E1888" s="8" t="s">
        <v>0</v>
      </c>
      <c r="F1888" s="16" t="s">
        <v>375</v>
      </c>
      <c r="G1888" s="7" t="s">
        <v>376</v>
      </c>
      <c r="H1888" s="7" t="s">
        <v>0</v>
      </c>
      <c r="I1888" s="7" t="s">
        <v>3637</v>
      </c>
      <c r="J1888" s="7" t="s">
        <v>3637</v>
      </c>
      <c r="K1888" s="7" t="s">
        <v>47</v>
      </c>
      <c r="L1888" s="7" t="s">
        <v>96</v>
      </c>
      <c r="M1888" s="7" t="s">
        <v>0</v>
      </c>
      <c r="N1888" s="7" t="s">
        <v>3636</v>
      </c>
      <c r="O1888" s="7" t="s">
        <v>0</v>
      </c>
      <c r="P1888" s="7" t="s">
        <v>3638</v>
      </c>
      <c r="Q1888" s="7" t="s">
        <v>3638</v>
      </c>
      <c r="R1888" s="7" t="s">
        <v>198</v>
      </c>
      <c r="S1888" s="7" t="s">
        <v>198</v>
      </c>
      <c r="T1888" s="7" t="s">
        <v>54</v>
      </c>
      <c r="U1888" s="7" t="s">
        <v>199</v>
      </c>
      <c r="V1888" s="7" t="s">
        <v>211</v>
      </c>
      <c r="W1888" s="7" t="s">
        <v>57</v>
      </c>
      <c r="X1888" s="7" t="s">
        <v>103</v>
      </c>
      <c r="Y1888" s="8">
        <v>44696</v>
      </c>
      <c r="Z1888" s="8">
        <v>44926</v>
      </c>
      <c r="AA1888" s="7" t="s">
        <v>212</v>
      </c>
      <c r="AB1888" s="7" t="s">
        <v>64</v>
      </c>
      <c r="AC1888" s="7" t="s">
        <v>79</v>
      </c>
      <c r="AD1888" s="7" t="s">
        <v>80</v>
      </c>
      <c r="AE1888" s="7" t="s">
        <v>82</v>
      </c>
      <c r="AF1888" s="7" t="s">
        <v>0</v>
      </c>
      <c r="AG1888" s="7" t="s">
        <v>0</v>
      </c>
      <c r="AH1888" s="9" t="s">
        <v>11751</v>
      </c>
      <c r="AI1888" s="9" t="s">
        <v>11752</v>
      </c>
      <c r="AJ1888" s="9" t="s">
        <v>11753</v>
      </c>
      <c r="AK1888" s="7" t="s">
        <v>61</v>
      </c>
      <c r="AL1888" s="7" t="s">
        <v>61</v>
      </c>
      <c r="AM1888" s="7" t="s">
        <v>0</v>
      </c>
      <c r="AN1888" s="7" t="s">
        <v>0</v>
      </c>
      <c r="AO1888" s="7" t="s">
        <v>0</v>
      </c>
      <c r="AP1888" s="7" t="s">
        <v>0</v>
      </c>
      <c r="AQ1888" s="7" t="s">
        <v>61</v>
      </c>
      <c r="AR1888" s="7" t="s">
        <v>0</v>
      </c>
      <c r="AS1888" s="10" t="str">
        <f>HYPERLINK("https://tessa.gazprom-neft.local/edo/card/1455d578-36de-4625-96f6-86f2923862ea", "https://tessa.gazprom-neft.local/edo/card/1455d578-36de-4625-96f6-86f2923862ea")</f>
        <v>https://tessa.gazprom-neft.local/edo/card/1455d578-36de-4625-96f6-86f2923862ea</v>
      </c>
    </row>
    <row r="1889" spans="1:45" hidden="1" x14ac:dyDescent="0.25">
      <c r="A1889" s="6" t="s">
        <v>44</v>
      </c>
      <c r="B1889" s="7" t="s">
        <v>297</v>
      </c>
      <c r="C1889" s="7" t="s">
        <v>46</v>
      </c>
      <c r="D1889" s="8">
        <v>44651</v>
      </c>
      <c r="E1889" s="8" t="s">
        <v>0</v>
      </c>
      <c r="F1889" s="16" t="s">
        <v>298</v>
      </c>
      <c r="G1889" s="7" t="s">
        <v>299</v>
      </c>
      <c r="H1889" s="7" t="s">
        <v>0</v>
      </c>
      <c r="I1889" s="7" t="s">
        <v>4801</v>
      </c>
      <c r="J1889" s="7" t="s">
        <v>4801</v>
      </c>
      <c r="K1889" s="7" t="s">
        <v>47</v>
      </c>
      <c r="L1889" s="7" t="s">
        <v>96</v>
      </c>
      <c r="M1889" s="7" t="s">
        <v>0</v>
      </c>
      <c r="N1889" s="7" t="s">
        <v>4800</v>
      </c>
      <c r="O1889" s="7" t="s">
        <v>0</v>
      </c>
      <c r="P1889" s="7" t="s">
        <v>4802</v>
      </c>
      <c r="Q1889" s="7" t="s">
        <v>4803</v>
      </c>
      <c r="R1889" s="7" t="s">
        <v>1711</v>
      </c>
      <c r="S1889" s="7" t="s">
        <v>1711</v>
      </c>
      <c r="T1889" s="7" t="s">
        <v>54</v>
      </c>
      <c r="U1889" s="7" t="s">
        <v>605</v>
      </c>
      <c r="V1889" s="7" t="s">
        <v>382</v>
      </c>
      <c r="W1889" s="7" t="s">
        <v>57</v>
      </c>
      <c r="X1889" s="7" t="s">
        <v>103</v>
      </c>
      <c r="Y1889" s="8">
        <v>44697</v>
      </c>
      <c r="Z1889" s="8">
        <v>44926</v>
      </c>
      <c r="AA1889" s="7" t="s">
        <v>383</v>
      </c>
      <c r="AB1889" s="7" t="s">
        <v>366</v>
      </c>
      <c r="AC1889" s="7" t="s">
        <v>278</v>
      </c>
      <c r="AD1889" s="7" t="s">
        <v>367</v>
      </c>
      <c r="AE1889" s="7" t="s">
        <v>82</v>
      </c>
      <c r="AF1889" s="7" t="s">
        <v>0</v>
      </c>
      <c r="AG1889" s="7" t="s">
        <v>0</v>
      </c>
      <c r="AH1889" s="9" t="s">
        <v>12213</v>
      </c>
      <c r="AI1889" s="9" t="s">
        <v>12214</v>
      </c>
      <c r="AJ1889" s="9" t="s">
        <v>12215</v>
      </c>
      <c r="AK1889" s="7" t="s">
        <v>61</v>
      </c>
      <c r="AL1889" s="7" t="s">
        <v>61</v>
      </c>
      <c r="AM1889" s="7" t="s">
        <v>0</v>
      </c>
      <c r="AN1889" s="7" t="s">
        <v>0</v>
      </c>
      <c r="AO1889" s="7" t="s">
        <v>0</v>
      </c>
      <c r="AP1889" s="7" t="s">
        <v>0</v>
      </c>
      <c r="AQ1889" s="7" t="s">
        <v>61</v>
      </c>
      <c r="AR1889" s="7" t="s">
        <v>0</v>
      </c>
      <c r="AS1889" s="10" t="str">
        <f>HYPERLINK("https://tessa.gazprom-neft.local/edo/card/64010c0e-8dc4-48a6-a1a9-26b515505150", "https://tessa.gazprom-neft.local/edo/card/64010c0e-8dc4-48a6-a1a9-26b515505150")</f>
        <v>https://tessa.gazprom-neft.local/edo/card/64010c0e-8dc4-48a6-a1a9-26b515505150</v>
      </c>
    </row>
    <row r="1890" spans="1:45" hidden="1" x14ac:dyDescent="0.25">
      <c r="A1890" s="6" t="s">
        <v>44</v>
      </c>
      <c r="B1890" s="7" t="s">
        <v>0</v>
      </c>
      <c r="C1890" s="7" t="s">
        <v>67</v>
      </c>
      <c r="D1890" s="8">
        <v>44650</v>
      </c>
      <c r="E1890" s="8" t="s">
        <v>0</v>
      </c>
      <c r="F1890" s="16" t="s">
        <v>3439</v>
      </c>
      <c r="G1890" s="7" t="s">
        <v>0</v>
      </c>
      <c r="H1890" s="7" t="s">
        <v>0</v>
      </c>
      <c r="I1890" s="7" t="s">
        <v>2704</v>
      </c>
      <c r="J1890" s="7" t="s">
        <v>2704</v>
      </c>
      <c r="K1890" s="7" t="s">
        <v>85</v>
      </c>
      <c r="L1890" s="7" t="s">
        <v>96</v>
      </c>
      <c r="M1890" s="7" t="s">
        <v>925</v>
      </c>
      <c r="N1890" s="7" t="s">
        <v>3438</v>
      </c>
      <c r="O1890" s="7" t="s">
        <v>0</v>
      </c>
      <c r="P1890" s="7" t="s">
        <v>925</v>
      </c>
      <c r="Q1890" s="7" t="s">
        <v>1980</v>
      </c>
      <c r="R1890" s="7" t="s">
        <v>177</v>
      </c>
      <c r="S1890" s="7" t="s">
        <v>1753</v>
      </c>
      <c r="T1890" s="7" t="s">
        <v>54</v>
      </c>
      <c r="U1890" s="7" t="s">
        <v>210</v>
      </c>
      <c r="V1890" s="7" t="s">
        <v>211</v>
      </c>
      <c r="W1890" s="7" t="s">
        <v>57</v>
      </c>
      <c r="X1890" s="7" t="s">
        <v>103</v>
      </c>
      <c r="Y1890" s="8">
        <v>44650</v>
      </c>
      <c r="Z1890" s="8">
        <v>45000</v>
      </c>
      <c r="AA1890" s="7" t="s">
        <v>212</v>
      </c>
      <c r="AB1890" s="7" t="s">
        <v>64</v>
      </c>
      <c r="AC1890" s="7" t="s">
        <v>79</v>
      </c>
      <c r="AD1890" s="7" t="s">
        <v>80</v>
      </c>
      <c r="AE1890" s="7" t="s">
        <v>82</v>
      </c>
      <c r="AF1890" s="7" t="s">
        <v>0</v>
      </c>
      <c r="AG1890" s="7" t="s">
        <v>0</v>
      </c>
      <c r="AH1890" s="9" t="s">
        <v>11671</v>
      </c>
      <c r="AI1890" s="9" t="s">
        <v>11672</v>
      </c>
      <c r="AJ1890" s="9" t="s">
        <v>11673</v>
      </c>
      <c r="AK1890" s="7" t="s">
        <v>61</v>
      </c>
      <c r="AL1890" s="7" t="s">
        <v>61</v>
      </c>
      <c r="AM1890" s="7" t="s">
        <v>0</v>
      </c>
      <c r="AN1890" s="7" t="s">
        <v>0</v>
      </c>
      <c r="AO1890" s="7" t="s">
        <v>0</v>
      </c>
      <c r="AP1890" s="7" t="s">
        <v>0</v>
      </c>
      <c r="AQ1890" s="7" t="s">
        <v>61</v>
      </c>
      <c r="AR1890" s="7" t="s">
        <v>0</v>
      </c>
      <c r="AS1890" s="10" t="str">
        <f>HYPERLINK("https://tessa.gazprom-neft.local/edo/card/c88931a7-2a07-4239-b240-e43ee09dd245", "https://tessa.gazprom-neft.local/edo/card/c88931a7-2a07-4239-b240-e43ee09dd245")</f>
        <v>https://tessa.gazprom-neft.local/edo/card/c88931a7-2a07-4239-b240-e43ee09dd245</v>
      </c>
    </row>
    <row r="1891" spans="1:45" hidden="1" x14ac:dyDescent="0.25">
      <c r="A1891" s="6" t="s">
        <v>44</v>
      </c>
      <c r="B1891" s="7" t="s">
        <v>245</v>
      </c>
      <c r="C1891" s="7" t="s">
        <v>67</v>
      </c>
      <c r="D1891" s="8">
        <v>44650</v>
      </c>
      <c r="E1891" s="8" t="s">
        <v>0</v>
      </c>
      <c r="F1891" s="16" t="s">
        <v>246</v>
      </c>
      <c r="G1891" s="7" t="s">
        <v>247</v>
      </c>
      <c r="H1891" s="7" t="s">
        <v>574</v>
      </c>
      <c r="I1891" s="7" t="s">
        <v>0</v>
      </c>
      <c r="J1891" s="7" t="s">
        <v>3496</v>
      </c>
      <c r="K1891" s="7" t="s">
        <v>47</v>
      </c>
      <c r="L1891" s="7" t="s">
        <v>239</v>
      </c>
      <c r="M1891" s="7" t="s">
        <v>0</v>
      </c>
      <c r="N1891" s="7" t="s">
        <v>3495</v>
      </c>
      <c r="O1891" s="7" t="s">
        <v>0</v>
      </c>
      <c r="P1891" s="7" t="s">
        <v>3491</v>
      </c>
      <c r="Q1891" s="7" t="s">
        <v>3497</v>
      </c>
      <c r="R1891" s="7" t="s">
        <v>244</v>
      </c>
      <c r="S1891" s="7" t="s">
        <v>0</v>
      </c>
      <c r="T1891" s="7" t="s">
        <v>54</v>
      </c>
      <c r="U1891" s="7" t="s">
        <v>55</v>
      </c>
      <c r="V1891" s="7" t="s">
        <v>56</v>
      </c>
      <c r="W1891" s="7" t="s">
        <v>57</v>
      </c>
      <c r="X1891" s="7" t="s">
        <v>103</v>
      </c>
      <c r="Y1891" s="8">
        <v>44650</v>
      </c>
      <c r="Z1891" s="8">
        <v>45290</v>
      </c>
      <c r="AA1891" s="7" t="s">
        <v>59</v>
      </c>
      <c r="AB1891" s="7" t="s">
        <v>256</v>
      </c>
      <c r="AC1891" s="7" t="s">
        <v>79</v>
      </c>
      <c r="AD1891" s="7" t="s">
        <v>144</v>
      </c>
      <c r="AE1891" s="7" t="s">
        <v>82</v>
      </c>
      <c r="AF1891" s="7" t="s">
        <v>0</v>
      </c>
      <c r="AG1891" s="7" t="s">
        <v>0</v>
      </c>
      <c r="AH1891" s="9" t="s">
        <v>11698</v>
      </c>
      <c r="AI1891" s="9" t="s">
        <v>11699</v>
      </c>
      <c r="AJ1891" s="9" t="s">
        <v>11700</v>
      </c>
      <c r="AK1891" s="7" t="s">
        <v>61</v>
      </c>
      <c r="AL1891" s="7" t="s">
        <v>61</v>
      </c>
      <c r="AM1891" s="7" t="s">
        <v>0</v>
      </c>
      <c r="AN1891" s="7" t="s">
        <v>0</v>
      </c>
      <c r="AO1891" s="7" t="s">
        <v>0</v>
      </c>
      <c r="AP1891" s="7" t="s">
        <v>0</v>
      </c>
      <c r="AQ1891" s="7" t="s">
        <v>61</v>
      </c>
      <c r="AR1891" s="7" t="s">
        <v>0</v>
      </c>
      <c r="AS1891" s="10" t="str">
        <f>HYPERLINK("https://tessa.gazprom-neft.local/edo/card/6220af3c-c1d0-4af5-9ec8-8fcae2bb9c0f", "https://tessa.gazprom-neft.local/edo/card/6220af3c-c1d0-4af5-9ec8-8fcae2bb9c0f")</f>
        <v>https://tessa.gazprom-neft.local/edo/card/6220af3c-c1d0-4af5-9ec8-8fcae2bb9c0f</v>
      </c>
    </row>
    <row r="1892" spans="1:45" x14ac:dyDescent="0.25">
      <c r="A1892" s="6" t="s">
        <v>44</v>
      </c>
      <c r="B1892" s="7" t="s">
        <v>1593</v>
      </c>
      <c r="C1892" s="7" t="s">
        <v>67</v>
      </c>
      <c r="D1892" s="8">
        <v>44650</v>
      </c>
      <c r="E1892" s="8" t="s">
        <v>0</v>
      </c>
      <c r="F1892" s="16" t="s">
        <v>1594</v>
      </c>
      <c r="G1892" s="7" t="s">
        <v>1595</v>
      </c>
      <c r="H1892" s="7" t="s">
        <v>3521</v>
      </c>
      <c r="I1892" s="7" t="s">
        <v>0</v>
      </c>
      <c r="J1892" s="7" t="s">
        <v>271</v>
      </c>
      <c r="K1892" s="7" t="s">
        <v>47</v>
      </c>
      <c r="L1892" s="7" t="s">
        <v>48</v>
      </c>
      <c r="M1892" s="7" t="s">
        <v>0</v>
      </c>
      <c r="N1892" s="7" t="s">
        <v>3520</v>
      </c>
      <c r="O1892" s="7" t="s">
        <v>0</v>
      </c>
      <c r="P1892" s="7" t="s">
        <v>3522</v>
      </c>
      <c r="Q1892" s="7" t="s">
        <v>3523</v>
      </c>
      <c r="R1892" s="7" t="s">
        <v>1575</v>
      </c>
      <c r="S1892" s="7" t="s">
        <v>1575</v>
      </c>
      <c r="T1892" s="7" t="s">
        <v>54</v>
      </c>
      <c r="U1892" s="7" t="s">
        <v>222</v>
      </c>
      <c r="V1892" s="7" t="s">
        <v>382</v>
      </c>
      <c r="W1892" s="7" t="s">
        <v>57</v>
      </c>
      <c r="X1892" s="7" t="s">
        <v>58</v>
      </c>
      <c r="Y1892" s="8">
        <v>44650</v>
      </c>
      <c r="Z1892" s="8" t="s">
        <v>0</v>
      </c>
      <c r="AA1892" s="7" t="s">
        <v>383</v>
      </c>
      <c r="AB1892" s="7" t="s">
        <v>387</v>
      </c>
      <c r="AC1892" s="7" t="s">
        <v>65</v>
      </c>
      <c r="AD1892" s="7" t="s">
        <v>80</v>
      </c>
      <c r="AE1892" s="7" t="s">
        <v>0</v>
      </c>
      <c r="AF1892" s="7" t="s">
        <v>0</v>
      </c>
      <c r="AG1892" s="7" t="s">
        <v>0</v>
      </c>
      <c r="AH1892" s="9" t="s">
        <v>0</v>
      </c>
      <c r="AI1892" s="9" t="s">
        <v>0</v>
      </c>
      <c r="AJ1892" s="9" t="s">
        <v>0</v>
      </c>
      <c r="AK1892" s="7" t="s">
        <v>61</v>
      </c>
      <c r="AL1892" s="7" t="s">
        <v>61</v>
      </c>
      <c r="AM1892" s="7" t="s">
        <v>0</v>
      </c>
      <c r="AN1892" s="7" t="s">
        <v>0</v>
      </c>
      <c r="AO1892" s="7" t="s">
        <v>0</v>
      </c>
      <c r="AP1892" s="7" t="s">
        <v>0</v>
      </c>
      <c r="AQ1892" s="7" t="s">
        <v>61</v>
      </c>
      <c r="AR1892" s="7" t="s">
        <v>0</v>
      </c>
      <c r="AS1892" s="10" t="str">
        <f>HYPERLINK("https://tessa.gazprom-neft.local/edo/card/fe6cb4fa-6264-4393-8a43-8ab85d5bb87b", "https://tessa.gazprom-neft.local/edo/card/fe6cb4fa-6264-4393-8a43-8ab85d5bb87b")</f>
        <v>https://tessa.gazprom-neft.local/edo/card/fe6cb4fa-6264-4393-8a43-8ab85d5bb87b</v>
      </c>
    </row>
    <row r="1893" spans="1:45" hidden="1" x14ac:dyDescent="0.25">
      <c r="A1893" s="6" t="s">
        <v>44</v>
      </c>
      <c r="B1893" s="7" t="s">
        <v>245</v>
      </c>
      <c r="C1893" s="7" t="s">
        <v>67</v>
      </c>
      <c r="D1893" s="8">
        <v>44650</v>
      </c>
      <c r="E1893" s="8" t="s">
        <v>0</v>
      </c>
      <c r="F1893" s="16" t="s">
        <v>246</v>
      </c>
      <c r="G1893" s="7" t="s">
        <v>247</v>
      </c>
      <c r="H1893" s="7" t="s">
        <v>574</v>
      </c>
      <c r="I1893" s="7" t="s">
        <v>0</v>
      </c>
      <c r="J1893" s="7" t="s">
        <v>3529</v>
      </c>
      <c r="K1893" s="7" t="s">
        <v>47</v>
      </c>
      <c r="L1893" s="7" t="s">
        <v>239</v>
      </c>
      <c r="M1893" s="7" t="s">
        <v>0</v>
      </c>
      <c r="N1893" s="7" t="s">
        <v>3527</v>
      </c>
      <c r="O1893" s="7" t="s">
        <v>0</v>
      </c>
      <c r="P1893" s="7" t="s">
        <v>3528</v>
      </c>
      <c r="Q1893" s="7" t="s">
        <v>3530</v>
      </c>
      <c r="R1893" s="7" t="s">
        <v>244</v>
      </c>
      <c r="S1893" s="7" t="s">
        <v>0</v>
      </c>
      <c r="T1893" s="7" t="s">
        <v>54</v>
      </c>
      <c r="U1893" s="7" t="s">
        <v>55</v>
      </c>
      <c r="V1893" s="7" t="s">
        <v>56</v>
      </c>
      <c r="W1893" s="7" t="s">
        <v>57</v>
      </c>
      <c r="X1893" s="7" t="s">
        <v>103</v>
      </c>
      <c r="Y1893" s="8">
        <v>44650</v>
      </c>
      <c r="Z1893" s="8">
        <v>44925</v>
      </c>
      <c r="AA1893" s="7" t="s">
        <v>59</v>
      </c>
      <c r="AB1893" s="7" t="s">
        <v>256</v>
      </c>
      <c r="AC1893" s="7" t="s">
        <v>79</v>
      </c>
      <c r="AD1893" s="7" t="s">
        <v>144</v>
      </c>
      <c r="AE1893" s="7" t="s">
        <v>82</v>
      </c>
      <c r="AF1893" s="7" t="s">
        <v>0</v>
      </c>
      <c r="AG1893" s="7" t="s">
        <v>0</v>
      </c>
      <c r="AH1893" s="9" t="s">
        <v>11717</v>
      </c>
      <c r="AI1893" s="9" t="s">
        <v>11718</v>
      </c>
      <c r="AJ1893" s="9" t="s">
        <v>11719</v>
      </c>
      <c r="AK1893" s="7" t="s">
        <v>61</v>
      </c>
      <c r="AL1893" s="7" t="s">
        <v>61</v>
      </c>
      <c r="AM1893" s="7" t="s">
        <v>0</v>
      </c>
      <c r="AN1893" s="7" t="s">
        <v>0</v>
      </c>
      <c r="AO1893" s="7" t="s">
        <v>0</v>
      </c>
      <c r="AP1893" s="7" t="s">
        <v>0</v>
      </c>
      <c r="AQ1893" s="7" t="s">
        <v>61</v>
      </c>
      <c r="AR1893" s="7" t="s">
        <v>0</v>
      </c>
      <c r="AS1893" s="10" t="str">
        <f>HYPERLINK("https://tessa.gazprom-neft.local/edo/card/7c5a9b67-643f-44e7-941a-5dfe2a8364fb", "https://tessa.gazprom-neft.local/edo/card/7c5a9b67-643f-44e7-941a-5dfe2a8364fb")</f>
        <v>https://tessa.gazprom-neft.local/edo/card/7c5a9b67-643f-44e7-941a-5dfe2a8364fb</v>
      </c>
    </row>
    <row r="1894" spans="1:45" x14ac:dyDescent="0.25">
      <c r="A1894" s="6" t="s">
        <v>44</v>
      </c>
      <c r="B1894" s="7" t="s">
        <v>1593</v>
      </c>
      <c r="C1894" s="7" t="s">
        <v>67</v>
      </c>
      <c r="D1894" s="8">
        <v>44650</v>
      </c>
      <c r="E1894" s="8" t="s">
        <v>0</v>
      </c>
      <c r="F1894" s="16" t="s">
        <v>1594</v>
      </c>
      <c r="G1894" s="7" t="s">
        <v>1595</v>
      </c>
      <c r="H1894" s="7" t="s">
        <v>3793</v>
      </c>
      <c r="I1894" s="7" t="s">
        <v>0</v>
      </c>
      <c r="J1894" s="7" t="s">
        <v>156</v>
      </c>
      <c r="K1894" s="7" t="s">
        <v>47</v>
      </c>
      <c r="L1894" s="7" t="s">
        <v>48</v>
      </c>
      <c r="M1894" s="7" t="s">
        <v>0</v>
      </c>
      <c r="N1894" s="7" t="s">
        <v>3792</v>
      </c>
      <c r="O1894" s="7" t="s">
        <v>0</v>
      </c>
      <c r="P1894" s="7" t="s">
        <v>3794</v>
      </c>
      <c r="Q1894" s="7" t="s">
        <v>3584</v>
      </c>
      <c r="R1894" s="7" t="s">
        <v>1575</v>
      </c>
      <c r="S1894" s="7" t="s">
        <v>0</v>
      </c>
      <c r="T1894" s="7" t="s">
        <v>54</v>
      </c>
      <c r="U1894" s="7" t="s">
        <v>222</v>
      </c>
      <c r="V1894" s="7" t="s">
        <v>382</v>
      </c>
      <c r="W1894" s="7" t="s">
        <v>57</v>
      </c>
      <c r="X1894" s="7" t="s">
        <v>58</v>
      </c>
      <c r="Y1894" s="8">
        <v>44650</v>
      </c>
      <c r="Z1894" s="8" t="s">
        <v>0</v>
      </c>
      <c r="AA1894" s="7" t="s">
        <v>383</v>
      </c>
      <c r="AB1894" s="7" t="s">
        <v>387</v>
      </c>
      <c r="AC1894" s="7" t="s">
        <v>65</v>
      </c>
      <c r="AD1894" s="7" t="s">
        <v>0</v>
      </c>
      <c r="AE1894" s="7" t="s">
        <v>0</v>
      </c>
      <c r="AF1894" s="7" t="s">
        <v>0</v>
      </c>
      <c r="AG1894" s="7" t="s">
        <v>0</v>
      </c>
      <c r="AH1894" s="9" t="s">
        <v>0</v>
      </c>
      <c r="AI1894" s="9" t="s">
        <v>0</v>
      </c>
      <c r="AJ1894" s="9" t="s">
        <v>0</v>
      </c>
      <c r="AK1894" s="7" t="s">
        <v>61</v>
      </c>
      <c r="AL1894" s="7" t="s">
        <v>61</v>
      </c>
      <c r="AM1894" s="7" t="s">
        <v>0</v>
      </c>
      <c r="AN1894" s="7" t="s">
        <v>0</v>
      </c>
      <c r="AO1894" s="7" t="s">
        <v>0</v>
      </c>
      <c r="AP1894" s="7" t="s">
        <v>0</v>
      </c>
      <c r="AQ1894" s="7" t="s">
        <v>61</v>
      </c>
      <c r="AR1894" s="7" t="s">
        <v>0</v>
      </c>
      <c r="AS1894" s="10" t="str">
        <f>HYPERLINK("https://tessa.gazprom-neft.local/edo/card/3a7894d0-80c6-4199-98d3-f5c2b90e3952", "https://tessa.gazprom-neft.local/edo/card/3a7894d0-80c6-4199-98d3-f5c2b90e3952")</f>
        <v>https://tessa.gazprom-neft.local/edo/card/3a7894d0-80c6-4199-98d3-f5c2b90e3952</v>
      </c>
    </row>
    <row r="1895" spans="1:45" x14ac:dyDescent="0.25">
      <c r="A1895" s="6" t="s">
        <v>44</v>
      </c>
      <c r="B1895" s="7" t="s">
        <v>403</v>
      </c>
      <c r="C1895" s="7" t="s">
        <v>67</v>
      </c>
      <c r="D1895" s="8">
        <v>44650</v>
      </c>
      <c r="E1895" s="8" t="s">
        <v>0</v>
      </c>
      <c r="F1895" s="16" t="s">
        <v>404</v>
      </c>
      <c r="G1895" s="7" t="s">
        <v>405</v>
      </c>
      <c r="H1895" s="7" t="s">
        <v>3885</v>
      </c>
      <c r="I1895" s="7" t="s">
        <v>0</v>
      </c>
      <c r="J1895" s="7" t="s">
        <v>955</v>
      </c>
      <c r="K1895" s="7" t="s">
        <v>47</v>
      </c>
      <c r="L1895" s="7" t="s">
        <v>48</v>
      </c>
      <c r="M1895" s="7" t="s">
        <v>0</v>
      </c>
      <c r="N1895" s="7" t="s">
        <v>3884</v>
      </c>
      <c r="O1895" s="7" t="s">
        <v>0</v>
      </c>
      <c r="P1895" s="7" t="s">
        <v>3886</v>
      </c>
      <c r="Q1895" s="7" t="s">
        <v>3887</v>
      </c>
      <c r="R1895" s="7" t="s">
        <v>799</v>
      </c>
      <c r="S1895" s="7" t="s">
        <v>0</v>
      </c>
      <c r="T1895" s="7" t="s">
        <v>54</v>
      </c>
      <c r="U1895" s="7" t="s">
        <v>55</v>
      </c>
      <c r="V1895" s="7" t="s">
        <v>56</v>
      </c>
      <c r="W1895" s="7" t="s">
        <v>57</v>
      </c>
      <c r="X1895" s="7" t="s">
        <v>103</v>
      </c>
      <c r="Y1895" s="8">
        <v>44650</v>
      </c>
      <c r="Z1895" s="8">
        <v>45657</v>
      </c>
      <c r="AA1895" s="7" t="s">
        <v>0</v>
      </c>
      <c r="AB1895" s="7" t="s">
        <v>130</v>
      </c>
      <c r="AC1895" s="7" t="s">
        <v>65</v>
      </c>
      <c r="AD1895" s="7" t="s">
        <v>0</v>
      </c>
      <c r="AE1895" s="7" t="s">
        <v>0</v>
      </c>
      <c r="AF1895" s="7" t="s">
        <v>0</v>
      </c>
      <c r="AG1895" s="7" t="s">
        <v>0</v>
      </c>
      <c r="AH1895" s="9" t="s">
        <v>0</v>
      </c>
      <c r="AI1895" s="9" t="s">
        <v>0</v>
      </c>
      <c r="AJ1895" s="9" t="s">
        <v>0</v>
      </c>
      <c r="AK1895" s="7" t="s">
        <v>61</v>
      </c>
      <c r="AL1895" s="7" t="s">
        <v>61</v>
      </c>
      <c r="AM1895" s="7" t="s">
        <v>0</v>
      </c>
      <c r="AN1895" s="7" t="s">
        <v>0</v>
      </c>
      <c r="AO1895" s="7" t="s">
        <v>0</v>
      </c>
      <c r="AP1895" s="7" t="s">
        <v>0</v>
      </c>
      <c r="AQ1895" s="7" t="s">
        <v>61</v>
      </c>
      <c r="AR1895" s="7" t="s">
        <v>0</v>
      </c>
      <c r="AS1895" s="10" t="str">
        <f>HYPERLINK("https://tessa.gazprom-neft.local/edo/card/1e8413d8-f404-4ba8-be1b-198b3d9eb06b", "https://tessa.gazprom-neft.local/edo/card/1e8413d8-f404-4ba8-be1b-198b3d9eb06b")</f>
        <v>https://tessa.gazprom-neft.local/edo/card/1e8413d8-f404-4ba8-be1b-198b3d9eb06b</v>
      </c>
    </row>
    <row r="1896" spans="1:45" x14ac:dyDescent="0.25">
      <c r="A1896" s="6" t="s">
        <v>44</v>
      </c>
      <c r="B1896" s="7" t="s">
        <v>114</v>
      </c>
      <c r="C1896" s="7" t="s">
        <v>67</v>
      </c>
      <c r="D1896" s="8">
        <v>44650</v>
      </c>
      <c r="E1896" s="8" t="s">
        <v>0</v>
      </c>
      <c r="F1896" s="16" t="s">
        <v>115</v>
      </c>
      <c r="G1896" s="7" t="s">
        <v>116</v>
      </c>
      <c r="H1896" s="7" t="s">
        <v>867</v>
      </c>
      <c r="I1896" s="7" t="s">
        <v>0</v>
      </c>
      <c r="J1896" s="7" t="s">
        <v>355</v>
      </c>
      <c r="K1896" s="7" t="s">
        <v>47</v>
      </c>
      <c r="L1896" s="7" t="s">
        <v>48</v>
      </c>
      <c r="M1896" s="7" t="s">
        <v>0</v>
      </c>
      <c r="N1896" s="7" t="s">
        <v>4358</v>
      </c>
      <c r="O1896" s="7" t="s">
        <v>0</v>
      </c>
      <c r="P1896" s="7" t="s">
        <v>4359</v>
      </c>
      <c r="Q1896" s="7" t="s">
        <v>4360</v>
      </c>
      <c r="R1896" s="7" t="s">
        <v>110</v>
      </c>
      <c r="S1896" s="7" t="s">
        <v>110</v>
      </c>
      <c r="T1896" s="7" t="s">
        <v>54</v>
      </c>
      <c r="U1896" s="7" t="s">
        <v>111</v>
      </c>
      <c r="V1896" s="7" t="s">
        <v>112</v>
      </c>
      <c r="W1896" s="7" t="s">
        <v>57</v>
      </c>
      <c r="X1896" s="7" t="s">
        <v>103</v>
      </c>
      <c r="Y1896" s="8">
        <v>44593</v>
      </c>
      <c r="Z1896" s="8">
        <v>44651</v>
      </c>
      <c r="AA1896" s="7" t="s">
        <v>113</v>
      </c>
      <c r="AB1896" s="7" t="s">
        <v>117</v>
      </c>
      <c r="AC1896" s="7" t="s">
        <v>79</v>
      </c>
      <c r="AD1896" s="7" t="s">
        <v>144</v>
      </c>
      <c r="AE1896" s="7" t="s">
        <v>118</v>
      </c>
      <c r="AF1896" s="7" t="s">
        <v>0</v>
      </c>
      <c r="AG1896" s="7" t="s">
        <v>0</v>
      </c>
      <c r="AH1896" s="9" t="s">
        <v>12038</v>
      </c>
      <c r="AI1896" s="9" t="s">
        <v>12038</v>
      </c>
      <c r="AJ1896" s="9">
        <v>0</v>
      </c>
      <c r="AK1896" s="7" t="s">
        <v>61</v>
      </c>
      <c r="AL1896" s="7" t="s">
        <v>61</v>
      </c>
      <c r="AM1896" s="7" t="s">
        <v>0</v>
      </c>
      <c r="AN1896" s="7" t="s">
        <v>0</v>
      </c>
      <c r="AO1896" s="7" t="s">
        <v>0</v>
      </c>
      <c r="AP1896" s="7" t="s">
        <v>0</v>
      </c>
      <c r="AQ1896" s="7" t="s">
        <v>61</v>
      </c>
      <c r="AR1896" s="7" t="s">
        <v>0</v>
      </c>
      <c r="AS1896" s="10" t="str">
        <f>HYPERLINK("https://tessa.gazprom-neft.local/edo/card/d91d5c09-4cd8-4db4-a11e-50f0de66a56a", "https://tessa.gazprom-neft.local/edo/card/d91d5c09-4cd8-4db4-a11e-50f0de66a56a")</f>
        <v>https://tessa.gazprom-neft.local/edo/card/d91d5c09-4cd8-4db4-a11e-50f0de66a56a</v>
      </c>
    </row>
    <row r="1897" spans="1:45" hidden="1" x14ac:dyDescent="0.25">
      <c r="A1897" s="6" t="s">
        <v>44</v>
      </c>
      <c r="B1897" s="7" t="s">
        <v>885</v>
      </c>
      <c r="C1897" s="7" t="s">
        <v>67</v>
      </c>
      <c r="D1897" s="8">
        <v>44648</v>
      </c>
      <c r="E1897" s="8" t="s">
        <v>0</v>
      </c>
      <c r="F1897" s="16" t="s">
        <v>886</v>
      </c>
      <c r="G1897" s="7" t="s">
        <v>887</v>
      </c>
      <c r="H1897" s="7" t="s">
        <v>2084</v>
      </c>
      <c r="I1897" s="7" t="s">
        <v>0</v>
      </c>
      <c r="J1897" s="7" t="s">
        <v>316</v>
      </c>
      <c r="K1897" s="7" t="s">
        <v>47</v>
      </c>
      <c r="L1897" s="7" t="s">
        <v>239</v>
      </c>
      <c r="M1897" s="7" t="s">
        <v>0</v>
      </c>
      <c r="N1897" s="7" t="s">
        <v>2679</v>
      </c>
      <c r="O1897" s="7" t="s">
        <v>0</v>
      </c>
      <c r="P1897" s="7" t="s">
        <v>2680</v>
      </c>
      <c r="Q1897" s="7" t="s">
        <v>2681</v>
      </c>
      <c r="R1897" s="7" t="s">
        <v>604</v>
      </c>
      <c r="S1897" s="7" t="s">
        <v>604</v>
      </c>
      <c r="T1897" s="7" t="s">
        <v>54</v>
      </c>
      <c r="U1897" s="7" t="s">
        <v>605</v>
      </c>
      <c r="V1897" s="7" t="s">
        <v>382</v>
      </c>
      <c r="W1897" s="7" t="s">
        <v>57</v>
      </c>
      <c r="X1897" s="7" t="s">
        <v>103</v>
      </c>
      <c r="Y1897" s="8">
        <v>44655</v>
      </c>
      <c r="Z1897" s="8">
        <v>44926</v>
      </c>
      <c r="AA1897" s="7" t="s">
        <v>383</v>
      </c>
      <c r="AB1897" s="7" t="s">
        <v>804</v>
      </c>
      <c r="AC1897" s="7" t="s">
        <v>79</v>
      </c>
      <c r="AD1897" s="7" t="s">
        <v>144</v>
      </c>
      <c r="AE1897" s="7" t="s">
        <v>889</v>
      </c>
      <c r="AF1897" s="7" t="s">
        <v>0</v>
      </c>
      <c r="AG1897" s="7" t="s">
        <v>0</v>
      </c>
      <c r="AH1897" s="9" t="s">
        <v>11427</v>
      </c>
      <c r="AI1897" s="9" t="s">
        <v>11427</v>
      </c>
      <c r="AJ1897" s="9">
        <v>0</v>
      </c>
      <c r="AK1897" s="7" t="s">
        <v>61</v>
      </c>
      <c r="AL1897" s="7" t="s">
        <v>61</v>
      </c>
      <c r="AM1897" s="7" t="s">
        <v>0</v>
      </c>
      <c r="AN1897" s="7" t="s">
        <v>0</v>
      </c>
      <c r="AO1897" s="7" t="s">
        <v>0</v>
      </c>
      <c r="AP1897" s="7" t="s">
        <v>0</v>
      </c>
      <c r="AQ1897" s="7" t="s">
        <v>61</v>
      </c>
      <c r="AR1897" s="7" t="s">
        <v>0</v>
      </c>
      <c r="AS1897" s="10" t="str">
        <f>HYPERLINK("https://tessa.gazprom-neft.local/edo/card/495afcd7-fea3-4055-8922-ecfef2a4b6fb", "https://tessa.gazprom-neft.local/edo/card/495afcd7-fea3-4055-8922-ecfef2a4b6fb")</f>
        <v>https://tessa.gazprom-neft.local/edo/card/495afcd7-fea3-4055-8922-ecfef2a4b6fb</v>
      </c>
    </row>
    <row r="1898" spans="1:45" hidden="1" x14ac:dyDescent="0.25">
      <c r="A1898" s="6" t="s">
        <v>44</v>
      </c>
      <c r="B1898" s="7" t="s">
        <v>793</v>
      </c>
      <c r="C1898" s="7" t="s">
        <v>67</v>
      </c>
      <c r="D1898" s="8">
        <v>44648</v>
      </c>
      <c r="E1898" s="8" t="s">
        <v>0</v>
      </c>
      <c r="F1898" s="16" t="s">
        <v>794</v>
      </c>
      <c r="G1898" s="7" t="s">
        <v>795</v>
      </c>
      <c r="H1898" s="7" t="s">
        <v>0</v>
      </c>
      <c r="I1898" s="7" t="s">
        <v>2838</v>
      </c>
      <c r="J1898" s="7" t="s">
        <v>2838</v>
      </c>
      <c r="K1898" s="7" t="s">
        <v>47</v>
      </c>
      <c r="L1898" s="7" t="s">
        <v>96</v>
      </c>
      <c r="M1898" s="7" t="s">
        <v>0</v>
      </c>
      <c r="N1898" s="7" t="s">
        <v>2837</v>
      </c>
      <c r="O1898" s="7" t="s">
        <v>0</v>
      </c>
      <c r="P1898" s="7" t="s">
        <v>2839</v>
      </c>
      <c r="Q1898" s="7" t="s">
        <v>2840</v>
      </c>
      <c r="R1898" s="7" t="s">
        <v>2841</v>
      </c>
      <c r="S1898" s="7" t="s">
        <v>2841</v>
      </c>
      <c r="T1898" s="7" t="s">
        <v>54</v>
      </c>
      <c r="U1898" s="7" t="s">
        <v>892</v>
      </c>
      <c r="V1898" s="7" t="s">
        <v>56</v>
      </c>
      <c r="W1898" s="7" t="s">
        <v>57</v>
      </c>
      <c r="X1898" s="7" t="s">
        <v>103</v>
      </c>
      <c r="Y1898" s="8">
        <v>44648</v>
      </c>
      <c r="Z1898" s="8">
        <v>45291</v>
      </c>
      <c r="AA1898" s="7" t="s">
        <v>0</v>
      </c>
      <c r="AB1898" s="7" t="s">
        <v>64</v>
      </c>
      <c r="AC1898" s="7" t="s">
        <v>79</v>
      </c>
      <c r="AD1898" s="7" t="s">
        <v>144</v>
      </c>
      <c r="AE1898" s="7" t="s">
        <v>82</v>
      </c>
      <c r="AF1898" s="7" t="s">
        <v>0</v>
      </c>
      <c r="AG1898" s="7" t="s">
        <v>0</v>
      </c>
      <c r="AH1898" s="9" t="s">
        <v>11462</v>
      </c>
      <c r="AI1898" s="9" t="s">
        <v>11463</v>
      </c>
      <c r="AJ1898" s="9" t="s">
        <v>11464</v>
      </c>
      <c r="AK1898" s="7" t="s">
        <v>61</v>
      </c>
      <c r="AL1898" s="7" t="s">
        <v>61</v>
      </c>
      <c r="AM1898" s="7" t="s">
        <v>0</v>
      </c>
      <c r="AN1898" s="7" t="s">
        <v>0</v>
      </c>
      <c r="AO1898" s="7" t="s">
        <v>0</v>
      </c>
      <c r="AP1898" s="7" t="s">
        <v>0</v>
      </c>
      <c r="AQ1898" s="7" t="s">
        <v>61</v>
      </c>
      <c r="AR1898" s="7" t="s">
        <v>0</v>
      </c>
      <c r="AS1898" s="10" t="str">
        <f>HYPERLINK("https://tessa.gazprom-neft.local/edo/card/8eb159ac-17c2-4a9c-8395-8e719a40f84d", "https://tessa.gazprom-neft.local/edo/card/8eb159ac-17c2-4a9c-8395-8e719a40f84d")</f>
        <v>https://tessa.gazprom-neft.local/edo/card/8eb159ac-17c2-4a9c-8395-8e719a40f84d</v>
      </c>
    </row>
    <row r="1899" spans="1:45" hidden="1" x14ac:dyDescent="0.25">
      <c r="A1899" s="6" t="s">
        <v>44</v>
      </c>
      <c r="B1899" s="7" t="s">
        <v>3009</v>
      </c>
      <c r="C1899" s="7" t="s">
        <v>67</v>
      </c>
      <c r="D1899" s="8">
        <v>44648</v>
      </c>
      <c r="E1899" s="8" t="s">
        <v>0</v>
      </c>
      <c r="F1899" s="16" t="s">
        <v>3010</v>
      </c>
      <c r="G1899" s="7" t="s">
        <v>3011</v>
      </c>
      <c r="H1899" s="7" t="s">
        <v>0</v>
      </c>
      <c r="I1899" s="7" t="s">
        <v>3006</v>
      </c>
      <c r="J1899" s="7" t="s">
        <v>3006</v>
      </c>
      <c r="K1899" s="7" t="s">
        <v>85</v>
      </c>
      <c r="L1899" s="7" t="s">
        <v>96</v>
      </c>
      <c r="M1899" s="7" t="s">
        <v>3004</v>
      </c>
      <c r="N1899" s="7" t="s">
        <v>3005</v>
      </c>
      <c r="O1899" s="7" t="s">
        <v>0</v>
      </c>
      <c r="P1899" s="7" t="s">
        <v>3007</v>
      </c>
      <c r="Q1899" s="7" t="s">
        <v>3008</v>
      </c>
      <c r="R1899" s="7" t="s">
        <v>1441</v>
      </c>
      <c r="S1899" s="7" t="s">
        <v>1753</v>
      </c>
      <c r="T1899" s="7" t="s">
        <v>54</v>
      </c>
      <c r="U1899" s="7" t="s">
        <v>210</v>
      </c>
      <c r="V1899" s="7" t="s">
        <v>211</v>
      </c>
      <c r="W1899" s="7" t="s">
        <v>57</v>
      </c>
      <c r="X1899" s="7" t="s">
        <v>58</v>
      </c>
      <c r="Y1899" s="8">
        <v>44648</v>
      </c>
      <c r="Z1899" s="8" t="s">
        <v>0</v>
      </c>
      <c r="AA1899" s="7" t="s">
        <v>212</v>
      </c>
      <c r="AB1899" s="7" t="s">
        <v>130</v>
      </c>
      <c r="AC1899" s="7" t="s">
        <v>79</v>
      </c>
      <c r="AD1899" s="7" t="s">
        <v>80</v>
      </c>
      <c r="AE1899" s="7" t="s">
        <v>82</v>
      </c>
      <c r="AF1899" s="7" t="s">
        <v>0</v>
      </c>
      <c r="AG1899" s="7" t="s">
        <v>0</v>
      </c>
      <c r="AH1899" s="9" t="s">
        <v>11516</v>
      </c>
      <c r="AI1899" s="9" t="s">
        <v>11517</v>
      </c>
      <c r="AJ1899" s="9" t="s">
        <v>11518</v>
      </c>
      <c r="AK1899" s="7" t="s">
        <v>61</v>
      </c>
      <c r="AL1899" s="7" t="s">
        <v>61</v>
      </c>
      <c r="AM1899" s="7" t="s">
        <v>0</v>
      </c>
      <c r="AN1899" s="7" t="s">
        <v>0</v>
      </c>
      <c r="AO1899" s="7" t="s">
        <v>0</v>
      </c>
      <c r="AP1899" s="7" t="s">
        <v>0</v>
      </c>
      <c r="AQ1899" s="7" t="s">
        <v>61</v>
      </c>
      <c r="AR1899" s="7" t="s">
        <v>0</v>
      </c>
      <c r="AS1899" s="10" t="str">
        <f>HYPERLINK("https://tessa.gazprom-neft.local/edo/card/d69fb412-1e97-46ba-8dd4-c9692e4a5608", "https://tessa.gazprom-neft.local/edo/card/d69fb412-1e97-46ba-8dd4-c9692e4a5608")</f>
        <v>https://tessa.gazprom-neft.local/edo/card/d69fb412-1e97-46ba-8dd4-c9692e4a5608</v>
      </c>
    </row>
    <row r="1900" spans="1:45" hidden="1" x14ac:dyDescent="0.25">
      <c r="A1900" s="6" t="s">
        <v>44</v>
      </c>
      <c r="B1900" s="7" t="s">
        <v>964</v>
      </c>
      <c r="C1900" s="7" t="s">
        <v>46</v>
      </c>
      <c r="D1900" s="8">
        <v>44648</v>
      </c>
      <c r="E1900" s="8" t="s">
        <v>0</v>
      </c>
      <c r="F1900" s="16" t="s">
        <v>965</v>
      </c>
      <c r="G1900" s="7" t="s">
        <v>966</v>
      </c>
      <c r="H1900" s="7" t="s">
        <v>1210</v>
      </c>
      <c r="I1900" s="7" t="s">
        <v>0</v>
      </c>
      <c r="J1900" s="7" t="s">
        <v>271</v>
      </c>
      <c r="K1900" s="7" t="s">
        <v>47</v>
      </c>
      <c r="L1900" s="7" t="s">
        <v>493</v>
      </c>
      <c r="M1900" s="7" t="s">
        <v>0</v>
      </c>
      <c r="N1900" s="7" t="s">
        <v>3076</v>
      </c>
      <c r="O1900" s="7" t="s">
        <v>0</v>
      </c>
      <c r="P1900" s="7" t="s">
        <v>3077</v>
      </c>
      <c r="Q1900" s="7" t="s">
        <v>3078</v>
      </c>
      <c r="R1900" s="7" t="s">
        <v>293</v>
      </c>
      <c r="S1900" s="7" t="s">
        <v>293</v>
      </c>
      <c r="T1900" s="7" t="s">
        <v>54</v>
      </c>
      <c r="U1900" s="7" t="s">
        <v>294</v>
      </c>
      <c r="V1900" s="7" t="s">
        <v>295</v>
      </c>
      <c r="W1900" s="7" t="s">
        <v>57</v>
      </c>
      <c r="X1900" s="7" t="s">
        <v>58</v>
      </c>
      <c r="Y1900" s="8">
        <v>44648</v>
      </c>
      <c r="Z1900" s="8" t="s">
        <v>0</v>
      </c>
      <c r="AA1900" s="7" t="s">
        <v>296</v>
      </c>
      <c r="AB1900" s="7" t="s">
        <v>500</v>
      </c>
      <c r="AC1900" s="7" t="s">
        <v>278</v>
      </c>
      <c r="AD1900" s="7" t="s">
        <v>80</v>
      </c>
      <c r="AE1900" s="7" t="s">
        <v>82</v>
      </c>
      <c r="AF1900" s="7" t="s">
        <v>0</v>
      </c>
      <c r="AG1900" s="7" t="s">
        <v>0</v>
      </c>
      <c r="AH1900" s="9" t="s">
        <v>11540</v>
      </c>
      <c r="AI1900" s="9" t="s">
        <v>11541</v>
      </c>
      <c r="AJ1900" s="9" t="s">
        <v>11542</v>
      </c>
      <c r="AK1900" s="7" t="s">
        <v>61</v>
      </c>
      <c r="AL1900" s="7" t="s">
        <v>61</v>
      </c>
      <c r="AM1900" s="7" t="s">
        <v>0</v>
      </c>
      <c r="AN1900" s="7" t="s">
        <v>0</v>
      </c>
      <c r="AO1900" s="7" t="s">
        <v>0</v>
      </c>
      <c r="AP1900" s="7" t="s">
        <v>0</v>
      </c>
      <c r="AQ1900" s="7" t="s">
        <v>61</v>
      </c>
      <c r="AR1900" s="7" t="s">
        <v>0</v>
      </c>
      <c r="AS1900" s="10" t="str">
        <f>HYPERLINK("https://tessa.gazprom-neft.local/edo/card/0e33162a-0d63-4d73-b200-229a6596180a", "https://tessa.gazprom-neft.local/edo/card/0e33162a-0d63-4d73-b200-229a6596180a")</f>
        <v>https://tessa.gazprom-neft.local/edo/card/0e33162a-0d63-4d73-b200-229a6596180a</v>
      </c>
    </row>
    <row r="1901" spans="1:45" hidden="1" x14ac:dyDescent="0.25">
      <c r="A1901" s="6" t="s">
        <v>44</v>
      </c>
      <c r="B1901" s="7" t="s">
        <v>3009</v>
      </c>
      <c r="C1901" s="7" t="s">
        <v>67</v>
      </c>
      <c r="D1901" s="8">
        <v>44648</v>
      </c>
      <c r="E1901" s="8" t="s">
        <v>0</v>
      </c>
      <c r="F1901" s="16" t="s">
        <v>3010</v>
      </c>
      <c r="G1901" s="7" t="s">
        <v>3011</v>
      </c>
      <c r="H1901" s="7" t="s">
        <v>0</v>
      </c>
      <c r="I1901" s="7" t="s">
        <v>3112</v>
      </c>
      <c r="J1901" s="7" t="s">
        <v>3112</v>
      </c>
      <c r="K1901" s="7" t="s">
        <v>85</v>
      </c>
      <c r="L1901" s="7" t="s">
        <v>86</v>
      </c>
      <c r="M1901" s="7" t="s">
        <v>216</v>
      </c>
      <c r="N1901" s="7" t="s">
        <v>3111</v>
      </c>
      <c r="O1901" s="7" t="s">
        <v>0</v>
      </c>
      <c r="P1901" s="7" t="s">
        <v>3061</v>
      </c>
      <c r="Q1901" s="7" t="s">
        <v>3113</v>
      </c>
      <c r="R1901" s="7" t="s">
        <v>1441</v>
      </c>
      <c r="S1901" s="7" t="s">
        <v>1753</v>
      </c>
      <c r="T1901" s="7" t="s">
        <v>54</v>
      </c>
      <c r="U1901" s="7" t="s">
        <v>210</v>
      </c>
      <c r="V1901" s="7" t="s">
        <v>211</v>
      </c>
      <c r="W1901" s="7" t="s">
        <v>57</v>
      </c>
      <c r="X1901" s="7" t="s">
        <v>58</v>
      </c>
      <c r="Y1901" s="8">
        <v>44648</v>
      </c>
      <c r="Z1901" s="8" t="s">
        <v>0</v>
      </c>
      <c r="AA1901" s="7" t="s">
        <v>212</v>
      </c>
      <c r="AB1901" s="7" t="s">
        <v>228</v>
      </c>
      <c r="AC1901" s="7" t="s">
        <v>65</v>
      </c>
      <c r="AD1901" s="7" t="s">
        <v>0</v>
      </c>
      <c r="AE1901" s="7" t="s">
        <v>0</v>
      </c>
      <c r="AF1901" s="7" t="s">
        <v>0</v>
      </c>
      <c r="AG1901" s="7" t="s">
        <v>0</v>
      </c>
      <c r="AH1901" s="9" t="s">
        <v>0</v>
      </c>
      <c r="AI1901" s="9" t="s">
        <v>0</v>
      </c>
      <c r="AJ1901" s="9" t="s">
        <v>0</v>
      </c>
      <c r="AK1901" s="7" t="s">
        <v>61</v>
      </c>
      <c r="AL1901" s="7" t="s">
        <v>61</v>
      </c>
      <c r="AM1901" s="7" t="s">
        <v>0</v>
      </c>
      <c r="AN1901" s="7" t="s">
        <v>0</v>
      </c>
      <c r="AO1901" s="7" t="s">
        <v>0</v>
      </c>
      <c r="AP1901" s="7" t="s">
        <v>0</v>
      </c>
      <c r="AQ1901" s="7" t="s">
        <v>61</v>
      </c>
      <c r="AR1901" s="7" t="s">
        <v>0</v>
      </c>
      <c r="AS1901" s="10" t="str">
        <f>HYPERLINK("https://tessa.gazprom-neft.local/edo/card/750e9c8c-ec06-4a5e-b0fd-46ba271d6092", "https://tessa.gazprom-neft.local/edo/card/750e9c8c-ec06-4a5e-b0fd-46ba271d6092")</f>
        <v>https://tessa.gazprom-neft.local/edo/card/750e9c8c-ec06-4a5e-b0fd-46ba271d6092</v>
      </c>
    </row>
    <row r="1902" spans="1:45" x14ac:dyDescent="0.25">
      <c r="A1902" s="6" t="s">
        <v>44</v>
      </c>
      <c r="B1902" s="7" t="s">
        <v>3073</v>
      </c>
      <c r="C1902" s="7" t="s">
        <v>67</v>
      </c>
      <c r="D1902" s="8">
        <v>44648</v>
      </c>
      <c r="E1902" s="8" t="s">
        <v>0</v>
      </c>
      <c r="F1902" s="16" t="s">
        <v>3074</v>
      </c>
      <c r="G1902" s="7" t="s">
        <v>3075</v>
      </c>
      <c r="H1902" s="7" t="s">
        <v>3421</v>
      </c>
      <c r="I1902" s="7" t="s">
        <v>0</v>
      </c>
      <c r="J1902" s="7" t="s">
        <v>70</v>
      </c>
      <c r="K1902" s="7" t="s">
        <v>47</v>
      </c>
      <c r="L1902" s="7" t="s">
        <v>48</v>
      </c>
      <c r="M1902" s="7" t="s">
        <v>0</v>
      </c>
      <c r="N1902" s="7" t="s">
        <v>3420</v>
      </c>
      <c r="O1902" s="7" t="s">
        <v>0</v>
      </c>
      <c r="P1902" s="7" t="s">
        <v>3422</v>
      </c>
      <c r="Q1902" s="7" t="s">
        <v>3423</v>
      </c>
      <c r="R1902" s="7" t="s">
        <v>135</v>
      </c>
      <c r="S1902" s="7" t="s">
        <v>135</v>
      </c>
      <c r="T1902" s="7" t="s">
        <v>54</v>
      </c>
      <c r="U1902" s="7" t="s">
        <v>136</v>
      </c>
      <c r="V1902" s="7" t="s">
        <v>102</v>
      </c>
      <c r="W1902" s="7" t="s">
        <v>57</v>
      </c>
      <c r="X1902" s="7" t="s">
        <v>103</v>
      </c>
      <c r="Y1902" s="8">
        <v>44648</v>
      </c>
      <c r="Z1902" s="8">
        <v>44926</v>
      </c>
      <c r="AA1902" s="7" t="s">
        <v>104</v>
      </c>
      <c r="AB1902" s="7" t="s">
        <v>130</v>
      </c>
      <c r="AC1902" s="7" t="s">
        <v>79</v>
      </c>
      <c r="AD1902" s="7" t="s">
        <v>80</v>
      </c>
      <c r="AE1902" s="7" t="s">
        <v>118</v>
      </c>
      <c r="AF1902" s="7" t="s">
        <v>0</v>
      </c>
      <c r="AG1902" s="7" t="s">
        <v>0</v>
      </c>
      <c r="AH1902" s="9" t="s">
        <v>11664</v>
      </c>
      <c r="AI1902" s="9" t="s">
        <v>11664</v>
      </c>
      <c r="AJ1902" s="9">
        <v>0</v>
      </c>
      <c r="AK1902" s="7" t="s">
        <v>61</v>
      </c>
      <c r="AL1902" s="7" t="s">
        <v>61</v>
      </c>
      <c r="AM1902" s="7" t="s">
        <v>0</v>
      </c>
      <c r="AN1902" s="7" t="s">
        <v>0</v>
      </c>
      <c r="AO1902" s="7" t="s">
        <v>0</v>
      </c>
      <c r="AP1902" s="7" t="s">
        <v>0</v>
      </c>
      <c r="AQ1902" s="7" t="s">
        <v>61</v>
      </c>
      <c r="AR1902" s="7" t="s">
        <v>0</v>
      </c>
      <c r="AS1902" s="10" t="str">
        <f>HYPERLINK("https://tessa.gazprom-neft.local/edo/card/4537b19b-e3bf-4f36-aad4-b892ea1383a3", "https://tessa.gazprom-neft.local/edo/card/4537b19b-e3bf-4f36-aad4-b892ea1383a3")</f>
        <v>https://tessa.gazprom-neft.local/edo/card/4537b19b-e3bf-4f36-aad4-b892ea1383a3</v>
      </c>
    </row>
    <row r="1903" spans="1:45" x14ac:dyDescent="0.25">
      <c r="A1903" s="6" t="s">
        <v>44</v>
      </c>
      <c r="B1903" s="7" t="s">
        <v>520</v>
      </c>
      <c r="C1903" s="7" t="s">
        <v>67</v>
      </c>
      <c r="D1903" s="8">
        <v>44645</v>
      </c>
      <c r="E1903" s="8" t="s">
        <v>0</v>
      </c>
      <c r="F1903" s="16" t="s">
        <v>521</v>
      </c>
      <c r="G1903" s="7" t="s">
        <v>522</v>
      </c>
      <c r="H1903" s="7" t="s">
        <v>3233</v>
      </c>
      <c r="I1903" s="7" t="s">
        <v>0</v>
      </c>
      <c r="J1903" s="7" t="s">
        <v>156</v>
      </c>
      <c r="K1903" s="7" t="s">
        <v>47</v>
      </c>
      <c r="L1903" s="7" t="s">
        <v>48</v>
      </c>
      <c r="M1903" s="7" t="s">
        <v>0</v>
      </c>
      <c r="N1903" s="7" t="s">
        <v>3232</v>
      </c>
      <c r="O1903" s="7" t="s">
        <v>0</v>
      </c>
      <c r="P1903" s="7" t="s">
        <v>3234</v>
      </c>
      <c r="Q1903" s="7" t="s">
        <v>3235</v>
      </c>
      <c r="R1903" s="7" t="s">
        <v>519</v>
      </c>
      <c r="S1903" s="7" t="s">
        <v>519</v>
      </c>
      <c r="T1903" s="7" t="s">
        <v>54</v>
      </c>
      <c r="U1903" s="7" t="s">
        <v>362</v>
      </c>
      <c r="V1903" s="7" t="s">
        <v>295</v>
      </c>
      <c r="W1903" s="7" t="s">
        <v>57</v>
      </c>
      <c r="X1903" s="7" t="s">
        <v>103</v>
      </c>
      <c r="Y1903" s="8">
        <v>44621</v>
      </c>
      <c r="Z1903" s="8">
        <v>44651</v>
      </c>
      <c r="AA1903" s="7" t="s">
        <v>296</v>
      </c>
      <c r="AB1903" s="7" t="s">
        <v>64</v>
      </c>
      <c r="AC1903" s="7" t="s">
        <v>79</v>
      </c>
      <c r="AD1903" s="7" t="s">
        <v>514</v>
      </c>
      <c r="AE1903" s="7" t="s">
        <v>82</v>
      </c>
      <c r="AF1903" s="7" t="s">
        <v>0</v>
      </c>
      <c r="AG1903" s="7" t="s">
        <v>0</v>
      </c>
      <c r="AH1903" s="9" t="s">
        <v>11591</v>
      </c>
      <c r="AI1903" s="9" t="s">
        <v>11592</v>
      </c>
      <c r="AJ1903" s="9" t="s">
        <v>11593</v>
      </c>
      <c r="AK1903" s="7" t="s">
        <v>61</v>
      </c>
      <c r="AL1903" s="7" t="s">
        <v>61</v>
      </c>
      <c r="AM1903" s="7" t="s">
        <v>0</v>
      </c>
      <c r="AN1903" s="7" t="s">
        <v>0</v>
      </c>
      <c r="AO1903" s="7" t="s">
        <v>0</v>
      </c>
      <c r="AP1903" s="7" t="s">
        <v>0</v>
      </c>
      <c r="AQ1903" s="7" t="s">
        <v>61</v>
      </c>
      <c r="AR1903" s="7" t="s">
        <v>0</v>
      </c>
      <c r="AS1903" s="10" t="str">
        <f>HYPERLINK("https://tessa.gazprom-neft.local/edo/card/c9aaf1b0-7a91-49a6-b3d0-00c59dbf46be", "https://tessa.gazprom-neft.local/edo/card/c9aaf1b0-7a91-49a6-b3d0-00c59dbf46be")</f>
        <v>https://tessa.gazprom-neft.local/edo/card/c9aaf1b0-7a91-49a6-b3d0-00c59dbf46be</v>
      </c>
    </row>
    <row r="1904" spans="1:45" hidden="1" x14ac:dyDescent="0.25">
      <c r="A1904" s="6" t="s">
        <v>44</v>
      </c>
      <c r="B1904" s="7" t="s">
        <v>245</v>
      </c>
      <c r="C1904" s="7" t="s">
        <v>67</v>
      </c>
      <c r="D1904" s="8">
        <v>44645</v>
      </c>
      <c r="E1904" s="8" t="s">
        <v>0</v>
      </c>
      <c r="F1904" s="16" t="s">
        <v>246</v>
      </c>
      <c r="G1904" s="7" t="s">
        <v>247</v>
      </c>
      <c r="H1904" s="7" t="s">
        <v>574</v>
      </c>
      <c r="I1904" s="7" t="s">
        <v>0</v>
      </c>
      <c r="J1904" s="7" t="s">
        <v>3385</v>
      </c>
      <c r="K1904" s="7" t="s">
        <v>47</v>
      </c>
      <c r="L1904" s="7" t="s">
        <v>239</v>
      </c>
      <c r="M1904" s="7" t="s">
        <v>0</v>
      </c>
      <c r="N1904" s="7" t="s">
        <v>3383</v>
      </c>
      <c r="O1904" s="7" t="s">
        <v>0</v>
      </c>
      <c r="P1904" s="7" t="s">
        <v>3384</v>
      </c>
      <c r="Q1904" s="7" t="s">
        <v>3386</v>
      </c>
      <c r="R1904" s="7" t="s">
        <v>540</v>
      </c>
      <c r="S1904" s="7" t="s">
        <v>0</v>
      </c>
      <c r="T1904" s="7" t="s">
        <v>54</v>
      </c>
      <c r="U1904" s="7" t="s">
        <v>541</v>
      </c>
      <c r="V1904" s="7" t="s">
        <v>56</v>
      </c>
      <c r="W1904" s="7" t="s">
        <v>57</v>
      </c>
      <c r="X1904" s="7" t="s">
        <v>103</v>
      </c>
      <c r="Y1904" s="8">
        <v>44645</v>
      </c>
      <c r="Z1904" s="8">
        <v>44925</v>
      </c>
      <c r="AA1904" s="7" t="s">
        <v>59</v>
      </c>
      <c r="AB1904" s="7" t="s">
        <v>256</v>
      </c>
      <c r="AC1904" s="7" t="s">
        <v>79</v>
      </c>
      <c r="AD1904" s="7" t="s">
        <v>144</v>
      </c>
      <c r="AE1904" s="7" t="s">
        <v>82</v>
      </c>
      <c r="AF1904" s="7" t="s">
        <v>0</v>
      </c>
      <c r="AG1904" s="7" t="s">
        <v>0</v>
      </c>
      <c r="AH1904" s="9" t="s">
        <v>11645</v>
      </c>
      <c r="AI1904" s="9" t="s">
        <v>11646</v>
      </c>
      <c r="AJ1904" s="9" t="s">
        <v>11647</v>
      </c>
      <c r="AK1904" s="7" t="s">
        <v>61</v>
      </c>
      <c r="AL1904" s="7" t="s">
        <v>61</v>
      </c>
      <c r="AM1904" s="7" t="s">
        <v>0</v>
      </c>
      <c r="AN1904" s="7" t="s">
        <v>0</v>
      </c>
      <c r="AO1904" s="7" t="s">
        <v>0</v>
      </c>
      <c r="AP1904" s="7" t="s">
        <v>0</v>
      </c>
      <c r="AQ1904" s="7" t="s">
        <v>61</v>
      </c>
      <c r="AR1904" s="7" t="s">
        <v>0</v>
      </c>
      <c r="AS1904" s="10" t="str">
        <f>HYPERLINK("https://tessa.gazprom-neft.local/edo/card/49106edb-41aa-4587-aa98-96a57d49687d", "https://tessa.gazprom-neft.local/edo/card/49106edb-41aa-4587-aa98-96a57d49687d")</f>
        <v>https://tessa.gazprom-neft.local/edo/card/49106edb-41aa-4587-aa98-96a57d49687d</v>
      </c>
    </row>
    <row r="1905" spans="1:45" hidden="1" x14ac:dyDescent="0.25">
      <c r="A1905" s="6" t="s">
        <v>44</v>
      </c>
      <c r="B1905" s="7" t="s">
        <v>245</v>
      </c>
      <c r="C1905" s="7" t="s">
        <v>67</v>
      </c>
      <c r="D1905" s="8">
        <v>44645</v>
      </c>
      <c r="E1905" s="8" t="s">
        <v>0</v>
      </c>
      <c r="F1905" s="16" t="s">
        <v>246</v>
      </c>
      <c r="G1905" s="7" t="s">
        <v>247</v>
      </c>
      <c r="H1905" s="7" t="s">
        <v>574</v>
      </c>
      <c r="I1905" s="7" t="s">
        <v>0</v>
      </c>
      <c r="J1905" s="7" t="s">
        <v>3394</v>
      </c>
      <c r="K1905" s="7" t="s">
        <v>47</v>
      </c>
      <c r="L1905" s="7" t="s">
        <v>239</v>
      </c>
      <c r="M1905" s="7" t="s">
        <v>0</v>
      </c>
      <c r="N1905" s="7" t="s">
        <v>3392</v>
      </c>
      <c r="O1905" s="7" t="s">
        <v>0</v>
      </c>
      <c r="P1905" s="7" t="s">
        <v>3393</v>
      </c>
      <c r="Q1905" s="7" t="s">
        <v>3395</v>
      </c>
      <c r="R1905" s="7" t="s">
        <v>540</v>
      </c>
      <c r="S1905" s="7" t="s">
        <v>0</v>
      </c>
      <c r="T1905" s="7" t="s">
        <v>54</v>
      </c>
      <c r="U1905" s="7" t="s">
        <v>541</v>
      </c>
      <c r="V1905" s="7" t="s">
        <v>56</v>
      </c>
      <c r="W1905" s="7" t="s">
        <v>57</v>
      </c>
      <c r="X1905" s="7" t="s">
        <v>103</v>
      </c>
      <c r="Y1905" s="8">
        <v>44645</v>
      </c>
      <c r="Z1905" s="8">
        <v>44925</v>
      </c>
      <c r="AA1905" s="7" t="s">
        <v>59</v>
      </c>
      <c r="AB1905" s="7" t="s">
        <v>256</v>
      </c>
      <c r="AC1905" s="7" t="s">
        <v>79</v>
      </c>
      <c r="AD1905" s="7" t="s">
        <v>144</v>
      </c>
      <c r="AE1905" s="7" t="s">
        <v>82</v>
      </c>
      <c r="AF1905" s="7" t="s">
        <v>0</v>
      </c>
      <c r="AG1905" s="7" t="s">
        <v>0</v>
      </c>
      <c r="AH1905" s="9" t="s">
        <v>11648</v>
      </c>
      <c r="AI1905" s="9" t="s">
        <v>11649</v>
      </c>
      <c r="AJ1905" s="9" t="s">
        <v>11650</v>
      </c>
      <c r="AK1905" s="7" t="s">
        <v>61</v>
      </c>
      <c r="AL1905" s="7" t="s">
        <v>61</v>
      </c>
      <c r="AM1905" s="7" t="s">
        <v>0</v>
      </c>
      <c r="AN1905" s="7" t="s">
        <v>0</v>
      </c>
      <c r="AO1905" s="7" t="s">
        <v>0</v>
      </c>
      <c r="AP1905" s="7" t="s">
        <v>0</v>
      </c>
      <c r="AQ1905" s="7" t="s">
        <v>61</v>
      </c>
      <c r="AR1905" s="7" t="s">
        <v>0</v>
      </c>
      <c r="AS1905" s="10" t="str">
        <f>HYPERLINK("https://tessa.gazprom-neft.local/edo/card/141a4bd3-98c4-4c00-9cc4-d19c1ad51f64", "https://tessa.gazprom-neft.local/edo/card/141a4bd3-98c4-4c00-9cc4-d19c1ad51f64")</f>
        <v>https://tessa.gazprom-neft.local/edo/card/141a4bd3-98c4-4c00-9cc4-d19c1ad51f64</v>
      </c>
    </row>
    <row r="1906" spans="1:45" hidden="1" x14ac:dyDescent="0.25">
      <c r="A1906" s="6" t="s">
        <v>44</v>
      </c>
      <c r="B1906" s="7" t="s">
        <v>245</v>
      </c>
      <c r="C1906" s="7" t="s">
        <v>67</v>
      </c>
      <c r="D1906" s="8">
        <v>44645</v>
      </c>
      <c r="E1906" s="8" t="s">
        <v>0</v>
      </c>
      <c r="F1906" s="16" t="s">
        <v>246</v>
      </c>
      <c r="G1906" s="7" t="s">
        <v>247</v>
      </c>
      <c r="H1906" s="7" t="s">
        <v>574</v>
      </c>
      <c r="I1906" s="7" t="s">
        <v>0</v>
      </c>
      <c r="J1906" s="7" t="s">
        <v>3404</v>
      </c>
      <c r="K1906" s="7" t="s">
        <v>47</v>
      </c>
      <c r="L1906" s="7" t="s">
        <v>239</v>
      </c>
      <c r="M1906" s="7" t="s">
        <v>0</v>
      </c>
      <c r="N1906" s="7" t="s">
        <v>3402</v>
      </c>
      <c r="O1906" s="7" t="s">
        <v>0</v>
      </c>
      <c r="P1906" s="7" t="s">
        <v>3403</v>
      </c>
      <c r="Q1906" s="7" t="s">
        <v>3405</v>
      </c>
      <c r="R1906" s="7" t="s">
        <v>540</v>
      </c>
      <c r="S1906" s="7" t="s">
        <v>0</v>
      </c>
      <c r="T1906" s="7" t="s">
        <v>54</v>
      </c>
      <c r="U1906" s="7" t="s">
        <v>541</v>
      </c>
      <c r="V1906" s="7" t="s">
        <v>56</v>
      </c>
      <c r="W1906" s="7" t="s">
        <v>57</v>
      </c>
      <c r="X1906" s="7" t="s">
        <v>103</v>
      </c>
      <c r="Y1906" s="8">
        <v>44645</v>
      </c>
      <c r="Z1906" s="8">
        <v>44925</v>
      </c>
      <c r="AA1906" s="7" t="s">
        <v>59</v>
      </c>
      <c r="AB1906" s="7" t="s">
        <v>256</v>
      </c>
      <c r="AC1906" s="7" t="s">
        <v>79</v>
      </c>
      <c r="AD1906" s="7" t="s">
        <v>144</v>
      </c>
      <c r="AE1906" s="7" t="s">
        <v>82</v>
      </c>
      <c r="AF1906" s="7" t="s">
        <v>0</v>
      </c>
      <c r="AG1906" s="7" t="s">
        <v>0</v>
      </c>
      <c r="AH1906" s="9" t="s">
        <v>11655</v>
      </c>
      <c r="AI1906" s="9" t="s">
        <v>11656</v>
      </c>
      <c r="AJ1906" s="9" t="s">
        <v>11657</v>
      </c>
      <c r="AK1906" s="7" t="s">
        <v>61</v>
      </c>
      <c r="AL1906" s="7" t="s">
        <v>61</v>
      </c>
      <c r="AM1906" s="7" t="s">
        <v>0</v>
      </c>
      <c r="AN1906" s="7" t="s">
        <v>0</v>
      </c>
      <c r="AO1906" s="7" t="s">
        <v>0</v>
      </c>
      <c r="AP1906" s="7" t="s">
        <v>0</v>
      </c>
      <c r="AQ1906" s="7" t="s">
        <v>61</v>
      </c>
      <c r="AR1906" s="7" t="s">
        <v>0</v>
      </c>
      <c r="AS1906" s="10" t="str">
        <f>HYPERLINK("https://tessa.gazprom-neft.local/edo/card/71a50e48-345d-4eac-b4ec-f81be847e726", "https://tessa.gazprom-neft.local/edo/card/71a50e48-345d-4eac-b4ec-f81be847e726")</f>
        <v>https://tessa.gazprom-neft.local/edo/card/71a50e48-345d-4eac-b4ec-f81be847e726</v>
      </c>
    </row>
    <row r="1907" spans="1:45" x14ac:dyDescent="0.25">
      <c r="A1907" s="6" t="s">
        <v>44</v>
      </c>
      <c r="B1907" s="7" t="s">
        <v>2982</v>
      </c>
      <c r="C1907" s="7" t="s">
        <v>67</v>
      </c>
      <c r="D1907" s="8">
        <v>44644</v>
      </c>
      <c r="E1907" s="8" t="s">
        <v>0</v>
      </c>
      <c r="F1907" s="16" t="s">
        <v>2983</v>
      </c>
      <c r="G1907" s="7" t="s">
        <v>2984</v>
      </c>
      <c r="H1907" s="7" t="s">
        <v>2979</v>
      </c>
      <c r="I1907" s="7" t="s">
        <v>0</v>
      </c>
      <c r="J1907" s="7" t="s">
        <v>2980</v>
      </c>
      <c r="K1907" s="7" t="s">
        <v>47</v>
      </c>
      <c r="L1907" s="7" t="s">
        <v>48</v>
      </c>
      <c r="M1907" s="7" t="s">
        <v>0</v>
      </c>
      <c r="N1907" s="7" t="s">
        <v>2978</v>
      </c>
      <c r="O1907" s="7" t="s">
        <v>0</v>
      </c>
      <c r="P1907" s="7" t="s">
        <v>2456</v>
      </c>
      <c r="Q1907" s="7" t="s">
        <v>2981</v>
      </c>
      <c r="R1907" s="7" t="s">
        <v>187</v>
      </c>
      <c r="S1907" s="7" t="s">
        <v>187</v>
      </c>
      <c r="T1907" s="7" t="s">
        <v>54</v>
      </c>
      <c r="U1907" s="7" t="s">
        <v>188</v>
      </c>
      <c r="V1907" s="7" t="s">
        <v>137</v>
      </c>
      <c r="W1907" s="7" t="s">
        <v>57</v>
      </c>
      <c r="X1907" s="7" t="s">
        <v>103</v>
      </c>
      <c r="Y1907" s="8">
        <v>44710</v>
      </c>
      <c r="Z1907" s="8">
        <v>44710</v>
      </c>
      <c r="AA1907" s="7" t="s">
        <v>0</v>
      </c>
      <c r="AB1907" s="7" t="s">
        <v>2985</v>
      </c>
      <c r="AC1907" s="7" t="s">
        <v>65</v>
      </c>
      <c r="AD1907" s="7" t="s">
        <v>0</v>
      </c>
      <c r="AE1907" s="7" t="s">
        <v>0</v>
      </c>
      <c r="AF1907" s="7" t="s">
        <v>0</v>
      </c>
      <c r="AG1907" s="7" t="s">
        <v>0</v>
      </c>
      <c r="AH1907" s="9" t="s">
        <v>0</v>
      </c>
      <c r="AI1907" s="9" t="s">
        <v>0</v>
      </c>
      <c r="AJ1907" s="9" t="s">
        <v>0</v>
      </c>
      <c r="AK1907" s="7" t="s">
        <v>61</v>
      </c>
      <c r="AL1907" s="7" t="s">
        <v>61</v>
      </c>
      <c r="AM1907" s="7" t="s">
        <v>0</v>
      </c>
      <c r="AN1907" s="7" t="s">
        <v>0</v>
      </c>
      <c r="AO1907" s="7" t="s">
        <v>0</v>
      </c>
      <c r="AP1907" s="7" t="s">
        <v>0</v>
      </c>
      <c r="AQ1907" s="7" t="s">
        <v>61</v>
      </c>
      <c r="AR1907" s="7" t="s">
        <v>0</v>
      </c>
      <c r="AS1907" s="10" t="str">
        <f>HYPERLINK("https://tessa.gazprom-neft.local/edo/card/118ef4de-6452-4f40-801b-dd786b93df89", "https://tessa.gazprom-neft.local/edo/card/118ef4de-6452-4f40-801b-dd786b93df89")</f>
        <v>https://tessa.gazprom-neft.local/edo/card/118ef4de-6452-4f40-801b-dd786b93df89</v>
      </c>
    </row>
    <row r="1908" spans="1:45" hidden="1" x14ac:dyDescent="0.25">
      <c r="A1908" s="6" t="s">
        <v>44</v>
      </c>
      <c r="B1908" s="7" t="s">
        <v>971</v>
      </c>
      <c r="C1908" s="7" t="s">
        <v>67</v>
      </c>
      <c r="D1908" s="8">
        <v>44644</v>
      </c>
      <c r="E1908" s="8" t="s">
        <v>0</v>
      </c>
      <c r="F1908" s="16" t="s">
        <v>972</v>
      </c>
      <c r="G1908" s="7" t="s">
        <v>973</v>
      </c>
      <c r="H1908" s="7" t="s">
        <v>2441</v>
      </c>
      <c r="I1908" s="7" t="s">
        <v>0</v>
      </c>
      <c r="J1908" s="7" t="s">
        <v>271</v>
      </c>
      <c r="K1908" s="7" t="s">
        <v>47</v>
      </c>
      <c r="L1908" s="7" t="s">
        <v>239</v>
      </c>
      <c r="M1908" s="7" t="s">
        <v>0</v>
      </c>
      <c r="N1908" s="7" t="s">
        <v>3333</v>
      </c>
      <c r="O1908" s="7" t="s">
        <v>0</v>
      </c>
      <c r="P1908" s="7" t="s">
        <v>3334</v>
      </c>
      <c r="Q1908" s="7" t="s">
        <v>3335</v>
      </c>
      <c r="R1908" s="7" t="s">
        <v>339</v>
      </c>
      <c r="S1908" s="7" t="s">
        <v>339</v>
      </c>
      <c r="T1908" s="7" t="s">
        <v>54</v>
      </c>
      <c r="U1908" s="7" t="s">
        <v>303</v>
      </c>
      <c r="V1908" s="7" t="s">
        <v>91</v>
      </c>
      <c r="W1908" s="7" t="s">
        <v>57</v>
      </c>
      <c r="X1908" s="7" t="s">
        <v>103</v>
      </c>
      <c r="Y1908" s="8">
        <v>44652</v>
      </c>
      <c r="Z1908" s="8">
        <v>44926</v>
      </c>
      <c r="AA1908" s="7" t="s">
        <v>92</v>
      </c>
      <c r="AB1908" s="7" t="s">
        <v>64</v>
      </c>
      <c r="AC1908" s="7" t="s">
        <v>79</v>
      </c>
      <c r="AD1908" s="7" t="s">
        <v>80</v>
      </c>
      <c r="AE1908" s="7" t="s">
        <v>82</v>
      </c>
      <c r="AF1908" s="7" t="s">
        <v>0</v>
      </c>
      <c r="AG1908" s="7" t="s">
        <v>0</v>
      </c>
      <c r="AH1908" s="9" t="s">
        <v>11622</v>
      </c>
      <c r="AI1908" s="9" t="s">
        <v>11623</v>
      </c>
      <c r="AJ1908" s="9" t="s">
        <v>11624</v>
      </c>
      <c r="AK1908" s="7" t="s">
        <v>61</v>
      </c>
      <c r="AL1908" s="7" t="s">
        <v>61</v>
      </c>
      <c r="AM1908" s="7" t="s">
        <v>0</v>
      </c>
      <c r="AN1908" s="7" t="s">
        <v>0</v>
      </c>
      <c r="AO1908" s="7" t="s">
        <v>0</v>
      </c>
      <c r="AP1908" s="7" t="s">
        <v>0</v>
      </c>
      <c r="AQ1908" s="7" t="s">
        <v>61</v>
      </c>
      <c r="AR1908" s="7" t="s">
        <v>0</v>
      </c>
      <c r="AS1908" s="10" t="str">
        <f>HYPERLINK("https://tessa.gazprom-neft.local/edo/card/d41dfa4d-73ee-4b88-8958-3eed2a8de507", "https://tessa.gazprom-neft.local/edo/card/d41dfa4d-73ee-4b88-8958-3eed2a8de507")</f>
        <v>https://tessa.gazprom-neft.local/edo/card/d41dfa4d-73ee-4b88-8958-3eed2a8de507</v>
      </c>
    </row>
    <row r="1909" spans="1:45" x14ac:dyDescent="0.25">
      <c r="A1909" s="6" t="s">
        <v>44</v>
      </c>
      <c r="B1909" s="7" t="s">
        <v>1084</v>
      </c>
      <c r="C1909" s="7" t="s">
        <v>67</v>
      </c>
      <c r="D1909" s="8">
        <v>44644</v>
      </c>
      <c r="E1909" s="8" t="s">
        <v>0</v>
      </c>
      <c r="F1909" s="16" t="s">
        <v>1085</v>
      </c>
      <c r="G1909" s="7" t="s">
        <v>1086</v>
      </c>
      <c r="H1909" s="7" t="s">
        <v>1518</v>
      </c>
      <c r="I1909" s="7" t="s">
        <v>0</v>
      </c>
      <c r="J1909" s="7" t="s">
        <v>51</v>
      </c>
      <c r="K1909" s="7" t="s">
        <v>47</v>
      </c>
      <c r="L1909" s="7" t="s">
        <v>48</v>
      </c>
      <c r="M1909" s="7" t="s">
        <v>0</v>
      </c>
      <c r="N1909" s="7" t="s">
        <v>3411</v>
      </c>
      <c r="O1909" s="7" t="s">
        <v>0</v>
      </c>
      <c r="P1909" s="7" t="s">
        <v>3412</v>
      </c>
      <c r="Q1909" s="7" t="s">
        <v>3412</v>
      </c>
      <c r="R1909" s="7" t="s">
        <v>799</v>
      </c>
      <c r="S1909" s="7" t="s">
        <v>0</v>
      </c>
      <c r="T1909" s="7" t="s">
        <v>54</v>
      </c>
      <c r="U1909" s="7" t="s">
        <v>55</v>
      </c>
      <c r="V1909" s="7" t="s">
        <v>56</v>
      </c>
      <c r="W1909" s="7" t="s">
        <v>57</v>
      </c>
      <c r="X1909" s="7" t="s">
        <v>103</v>
      </c>
      <c r="Y1909" s="8">
        <v>44644</v>
      </c>
      <c r="Z1909" s="8">
        <v>46387</v>
      </c>
      <c r="AA1909" s="7" t="s">
        <v>0</v>
      </c>
      <c r="AB1909" s="7" t="s">
        <v>328</v>
      </c>
      <c r="AC1909" s="7" t="s">
        <v>65</v>
      </c>
      <c r="AD1909" s="7" t="s">
        <v>80</v>
      </c>
      <c r="AE1909" s="7" t="s">
        <v>0</v>
      </c>
      <c r="AF1909" s="7" t="s">
        <v>0</v>
      </c>
      <c r="AG1909" s="7" t="s">
        <v>0</v>
      </c>
      <c r="AH1909" s="9" t="s">
        <v>0</v>
      </c>
      <c r="AI1909" s="9" t="s">
        <v>0</v>
      </c>
      <c r="AJ1909" s="9" t="s">
        <v>0</v>
      </c>
      <c r="AK1909" s="7" t="s">
        <v>61</v>
      </c>
      <c r="AL1909" s="7" t="s">
        <v>61</v>
      </c>
      <c r="AM1909" s="7" t="s">
        <v>0</v>
      </c>
      <c r="AN1909" s="7" t="s">
        <v>0</v>
      </c>
      <c r="AO1909" s="7" t="s">
        <v>0</v>
      </c>
      <c r="AP1909" s="7" t="s">
        <v>0</v>
      </c>
      <c r="AQ1909" s="7" t="s">
        <v>61</v>
      </c>
      <c r="AR1909" s="7" t="s">
        <v>0</v>
      </c>
      <c r="AS1909" s="10" t="str">
        <f>HYPERLINK("https://tessa.gazprom-neft.local/edo/card/32430c13-d32b-4ab2-958a-5ce157f3c43c", "https://tessa.gazprom-neft.local/edo/card/32430c13-d32b-4ab2-958a-5ce157f3c43c")</f>
        <v>https://tessa.gazprom-neft.local/edo/card/32430c13-d32b-4ab2-958a-5ce157f3c43c</v>
      </c>
    </row>
    <row r="1910" spans="1:45" hidden="1" x14ac:dyDescent="0.25">
      <c r="A1910" s="6" t="s">
        <v>44</v>
      </c>
      <c r="B1910" s="7" t="s">
        <v>2408</v>
      </c>
      <c r="C1910" s="7" t="s">
        <v>67</v>
      </c>
      <c r="D1910" s="8">
        <v>44643</v>
      </c>
      <c r="E1910" s="8" t="s">
        <v>0</v>
      </c>
      <c r="F1910" s="16" t="s">
        <v>2409</v>
      </c>
      <c r="G1910" s="7" t="s">
        <v>2410</v>
      </c>
      <c r="H1910" s="7" t="s">
        <v>0</v>
      </c>
      <c r="I1910" s="7" t="s">
        <v>3176</v>
      </c>
      <c r="J1910" s="7" t="s">
        <v>3176</v>
      </c>
      <c r="K1910" s="7" t="s">
        <v>47</v>
      </c>
      <c r="L1910" s="7" t="s">
        <v>86</v>
      </c>
      <c r="M1910" s="7" t="s">
        <v>0</v>
      </c>
      <c r="N1910" s="7" t="s">
        <v>3175</v>
      </c>
      <c r="O1910" s="7" t="s">
        <v>0</v>
      </c>
      <c r="P1910" s="7" t="s">
        <v>941</v>
      </c>
      <c r="Q1910" s="7" t="s">
        <v>941</v>
      </c>
      <c r="R1910" s="7" t="s">
        <v>1083</v>
      </c>
      <c r="S1910" s="7" t="s">
        <v>1083</v>
      </c>
      <c r="T1910" s="7" t="s">
        <v>54</v>
      </c>
      <c r="U1910" s="7" t="s">
        <v>274</v>
      </c>
      <c r="V1910" s="7" t="s">
        <v>56</v>
      </c>
      <c r="W1910" s="7" t="s">
        <v>57</v>
      </c>
      <c r="X1910" s="7" t="s">
        <v>223</v>
      </c>
      <c r="Y1910" s="8">
        <v>44643</v>
      </c>
      <c r="Z1910" s="8" t="s">
        <v>0</v>
      </c>
      <c r="AA1910" s="7" t="s">
        <v>0</v>
      </c>
      <c r="AB1910" s="7" t="s">
        <v>300</v>
      </c>
      <c r="AC1910" s="7" t="s">
        <v>65</v>
      </c>
      <c r="AD1910" s="7" t="s">
        <v>0</v>
      </c>
      <c r="AE1910" s="7" t="s">
        <v>0</v>
      </c>
      <c r="AF1910" s="7" t="s">
        <v>0</v>
      </c>
      <c r="AG1910" s="7" t="s">
        <v>0</v>
      </c>
      <c r="AH1910" s="9" t="s">
        <v>0</v>
      </c>
      <c r="AI1910" s="9" t="s">
        <v>0</v>
      </c>
      <c r="AJ1910" s="9" t="s">
        <v>0</v>
      </c>
      <c r="AK1910" s="7" t="s">
        <v>61</v>
      </c>
      <c r="AL1910" s="7" t="s">
        <v>61</v>
      </c>
      <c r="AM1910" s="7" t="s">
        <v>0</v>
      </c>
      <c r="AN1910" s="7" t="s">
        <v>0</v>
      </c>
      <c r="AO1910" s="7" t="s">
        <v>0</v>
      </c>
      <c r="AP1910" s="7" t="s">
        <v>0</v>
      </c>
      <c r="AQ1910" s="7" t="s">
        <v>61</v>
      </c>
      <c r="AR1910" s="7" t="s">
        <v>0</v>
      </c>
      <c r="AS1910" s="10" t="str">
        <f>HYPERLINK("https://tessa.gazprom-neft.local/edo/card/542718e9-2d0b-4405-af7b-26eaa5b41f73", "https://tessa.gazprom-neft.local/edo/card/542718e9-2d0b-4405-af7b-26eaa5b41f73")</f>
        <v>https://tessa.gazprom-neft.local/edo/card/542718e9-2d0b-4405-af7b-26eaa5b41f73</v>
      </c>
    </row>
    <row r="1911" spans="1:45" hidden="1" x14ac:dyDescent="0.25">
      <c r="A1911" s="6" t="s">
        <v>44</v>
      </c>
      <c r="B1911" s="7" t="s">
        <v>245</v>
      </c>
      <c r="C1911" s="7" t="s">
        <v>67</v>
      </c>
      <c r="D1911" s="8">
        <v>44643</v>
      </c>
      <c r="E1911" s="8" t="s">
        <v>0</v>
      </c>
      <c r="F1911" s="16" t="s">
        <v>246</v>
      </c>
      <c r="G1911" s="7" t="s">
        <v>247</v>
      </c>
      <c r="H1911" s="7" t="s">
        <v>574</v>
      </c>
      <c r="I1911" s="7" t="s">
        <v>0</v>
      </c>
      <c r="J1911" s="7" t="s">
        <v>3221</v>
      </c>
      <c r="K1911" s="7" t="s">
        <v>47</v>
      </c>
      <c r="L1911" s="7" t="s">
        <v>239</v>
      </c>
      <c r="M1911" s="7" t="s">
        <v>0</v>
      </c>
      <c r="N1911" s="7" t="s">
        <v>3219</v>
      </c>
      <c r="O1911" s="7" t="s">
        <v>0</v>
      </c>
      <c r="P1911" s="7" t="s">
        <v>3220</v>
      </c>
      <c r="Q1911" s="7" t="s">
        <v>3222</v>
      </c>
      <c r="R1911" s="7" t="s">
        <v>540</v>
      </c>
      <c r="S1911" s="7" t="s">
        <v>0</v>
      </c>
      <c r="T1911" s="7" t="s">
        <v>54</v>
      </c>
      <c r="U1911" s="7" t="s">
        <v>541</v>
      </c>
      <c r="V1911" s="7" t="s">
        <v>56</v>
      </c>
      <c r="W1911" s="7" t="s">
        <v>57</v>
      </c>
      <c r="X1911" s="7" t="s">
        <v>103</v>
      </c>
      <c r="Y1911" s="8">
        <v>44641</v>
      </c>
      <c r="Z1911" s="8">
        <v>44890</v>
      </c>
      <c r="AA1911" s="7" t="s">
        <v>59</v>
      </c>
      <c r="AB1911" s="7" t="s">
        <v>256</v>
      </c>
      <c r="AC1911" s="7" t="s">
        <v>79</v>
      </c>
      <c r="AD1911" s="7" t="s">
        <v>144</v>
      </c>
      <c r="AE1911" s="7" t="s">
        <v>82</v>
      </c>
      <c r="AF1911" s="7" t="s">
        <v>0</v>
      </c>
      <c r="AG1911" s="7" t="s">
        <v>0</v>
      </c>
      <c r="AH1911" s="9" t="s">
        <v>11588</v>
      </c>
      <c r="AI1911" s="9" t="s">
        <v>11589</v>
      </c>
      <c r="AJ1911" s="9" t="s">
        <v>11590</v>
      </c>
      <c r="AK1911" s="7" t="s">
        <v>61</v>
      </c>
      <c r="AL1911" s="7" t="s">
        <v>61</v>
      </c>
      <c r="AM1911" s="7" t="s">
        <v>0</v>
      </c>
      <c r="AN1911" s="7" t="s">
        <v>0</v>
      </c>
      <c r="AO1911" s="7" t="s">
        <v>0</v>
      </c>
      <c r="AP1911" s="7" t="s">
        <v>0</v>
      </c>
      <c r="AQ1911" s="7" t="s">
        <v>61</v>
      </c>
      <c r="AR1911" s="7" t="s">
        <v>0</v>
      </c>
      <c r="AS1911" s="10" t="str">
        <f>HYPERLINK("https://tessa.gazprom-neft.local/edo/card/663aa3ea-2b7b-412b-bbc9-d284ec3aa0fe", "https://tessa.gazprom-neft.local/edo/card/663aa3ea-2b7b-412b-bbc9-d284ec3aa0fe")</f>
        <v>https://tessa.gazprom-neft.local/edo/card/663aa3ea-2b7b-412b-bbc9-d284ec3aa0fe</v>
      </c>
    </row>
    <row r="1912" spans="1:45" hidden="1" x14ac:dyDescent="0.25">
      <c r="A1912" s="6" t="s">
        <v>44</v>
      </c>
      <c r="B1912" s="7" t="s">
        <v>253</v>
      </c>
      <c r="C1912" s="7" t="s">
        <v>46</v>
      </c>
      <c r="D1912" s="8">
        <v>44643</v>
      </c>
      <c r="E1912" s="8" t="s">
        <v>0</v>
      </c>
      <c r="F1912" s="16" t="s">
        <v>254</v>
      </c>
      <c r="G1912" s="7" t="s">
        <v>255</v>
      </c>
      <c r="H1912" s="7" t="s">
        <v>0</v>
      </c>
      <c r="I1912" s="7" t="s">
        <v>3252</v>
      </c>
      <c r="J1912" s="7" t="s">
        <v>3252</v>
      </c>
      <c r="K1912" s="7" t="s">
        <v>85</v>
      </c>
      <c r="L1912" s="7" t="s">
        <v>86</v>
      </c>
      <c r="M1912" s="7" t="s">
        <v>289</v>
      </c>
      <c r="N1912" s="7" t="s">
        <v>3251</v>
      </c>
      <c r="O1912" s="7" t="s">
        <v>0</v>
      </c>
      <c r="P1912" s="7" t="s">
        <v>289</v>
      </c>
      <c r="Q1912" s="7" t="s">
        <v>372</v>
      </c>
      <c r="R1912" s="7" t="s">
        <v>891</v>
      </c>
      <c r="S1912" s="7" t="s">
        <v>891</v>
      </c>
      <c r="T1912" s="7" t="s">
        <v>54</v>
      </c>
      <c r="U1912" s="7" t="s">
        <v>892</v>
      </c>
      <c r="V1912" s="7" t="s">
        <v>56</v>
      </c>
      <c r="W1912" s="7" t="s">
        <v>57</v>
      </c>
      <c r="X1912" s="7" t="s">
        <v>223</v>
      </c>
      <c r="Y1912" s="8">
        <v>44643</v>
      </c>
      <c r="Z1912" s="8" t="s">
        <v>0</v>
      </c>
      <c r="AA1912" s="7" t="s">
        <v>59</v>
      </c>
      <c r="AB1912" s="7" t="s">
        <v>300</v>
      </c>
      <c r="AC1912" s="7" t="s">
        <v>65</v>
      </c>
      <c r="AD1912" s="7" t="s">
        <v>0</v>
      </c>
      <c r="AE1912" s="7" t="s">
        <v>0</v>
      </c>
      <c r="AF1912" s="7" t="s">
        <v>0</v>
      </c>
      <c r="AG1912" s="7" t="s">
        <v>0</v>
      </c>
      <c r="AH1912" s="9" t="s">
        <v>0</v>
      </c>
      <c r="AI1912" s="9" t="s">
        <v>0</v>
      </c>
      <c r="AJ1912" s="9" t="s">
        <v>0</v>
      </c>
      <c r="AK1912" s="7" t="s">
        <v>61</v>
      </c>
      <c r="AL1912" s="7" t="s">
        <v>61</v>
      </c>
      <c r="AM1912" s="7" t="s">
        <v>0</v>
      </c>
      <c r="AN1912" s="7" t="s">
        <v>0</v>
      </c>
      <c r="AO1912" s="7" t="s">
        <v>0</v>
      </c>
      <c r="AP1912" s="7" t="s">
        <v>0</v>
      </c>
      <c r="AQ1912" s="7" t="s">
        <v>61</v>
      </c>
      <c r="AR1912" s="7" t="s">
        <v>0</v>
      </c>
      <c r="AS1912" s="10" t="str">
        <f>HYPERLINK("https://tessa.gazprom-neft.local/edo/card/9b297736-3033-47d3-9c59-31e11a7ad4e8", "https://tessa.gazprom-neft.local/edo/card/9b297736-3033-47d3-9c59-31e11a7ad4e8")</f>
        <v>https://tessa.gazprom-neft.local/edo/card/9b297736-3033-47d3-9c59-31e11a7ad4e8</v>
      </c>
    </row>
    <row r="1913" spans="1:45" x14ac:dyDescent="0.25">
      <c r="A1913" s="6" t="s">
        <v>44</v>
      </c>
      <c r="B1913" s="7" t="s">
        <v>436</v>
      </c>
      <c r="C1913" s="7" t="s">
        <v>67</v>
      </c>
      <c r="D1913" s="8">
        <v>44642</v>
      </c>
      <c r="E1913" s="8" t="s">
        <v>0</v>
      </c>
      <c r="F1913" s="16" t="s">
        <v>437</v>
      </c>
      <c r="G1913" s="7" t="s">
        <v>438</v>
      </c>
      <c r="H1913" s="7" t="s">
        <v>3158</v>
      </c>
      <c r="I1913" s="7" t="s">
        <v>0</v>
      </c>
      <c r="J1913" s="7" t="s">
        <v>3160</v>
      </c>
      <c r="K1913" s="7" t="s">
        <v>47</v>
      </c>
      <c r="L1913" s="7" t="s">
        <v>48</v>
      </c>
      <c r="M1913" s="7" t="s">
        <v>0</v>
      </c>
      <c r="N1913" s="7" t="s">
        <v>3157</v>
      </c>
      <c r="O1913" s="7" t="s">
        <v>0</v>
      </c>
      <c r="P1913" s="7" t="s">
        <v>3159</v>
      </c>
      <c r="Q1913" s="7" t="s">
        <v>3161</v>
      </c>
      <c r="R1913" s="7" t="s">
        <v>110</v>
      </c>
      <c r="S1913" s="7" t="s">
        <v>110</v>
      </c>
      <c r="T1913" s="7" t="s">
        <v>54</v>
      </c>
      <c r="U1913" s="7" t="s">
        <v>111</v>
      </c>
      <c r="V1913" s="7" t="s">
        <v>112</v>
      </c>
      <c r="W1913" s="7" t="s">
        <v>57</v>
      </c>
      <c r="X1913" s="7" t="s">
        <v>58</v>
      </c>
      <c r="Y1913" s="8">
        <v>44642</v>
      </c>
      <c r="Z1913" s="8" t="s">
        <v>0</v>
      </c>
      <c r="AA1913" s="7" t="s">
        <v>113</v>
      </c>
      <c r="AB1913" s="7" t="s">
        <v>161</v>
      </c>
      <c r="AC1913" s="7" t="s">
        <v>65</v>
      </c>
      <c r="AD1913" s="7" t="s">
        <v>0</v>
      </c>
      <c r="AE1913" s="7" t="s">
        <v>0</v>
      </c>
      <c r="AF1913" s="7" t="s">
        <v>0</v>
      </c>
      <c r="AG1913" s="7" t="s">
        <v>0</v>
      </c>
      <c r="AH1913" s="9" t="s">
        <v>0</v>
      </c>
      <c r="AI1913" s="9" t="s">
        <v>0</v>
      </c>
      <c r="AJ1913" s="9" t="s">
        <v>0</v>
      </c>
      <c r="AK1913" s="7" t="s">
        <v>61</v>
      </c>
      <c r="AL1913" s="7" t="s">
        <v>61</v>
      </c>
      <c r="AM1913" s="7" t="s">
        <v>0</v>
      </c>
      <c r="AN1913" s="7" t="s">
        <v>0</v>
      </c>
      <c r="AO1913" s="7" t="s">
        <v>0</v>
      </c>
      <c r="AP1913" s="7" t="s">
        <v>0</v>
      </c>
      <c r="AQ1913" s="7" t="s">
        <v>61</v>
      </c>
      <c r="AR1913" s="7" t="s">
        <v>0</v>
      </c>
      <c r="AS1913" s="10" t="str">
        <f>HYPERLINK("https://tessa.gazprom-neft.local/edo/card/d13987ed-afb4-4218-bb22-9903f9098773", "https://tessa.gazprom-neft.local/edo/card/d13987ed-afb4-4218-bb22-9903f9098773")</f>
        <v>https://tessa.gazprom-neft.local/edo/card/d13987ed-afb4-4218-bb22-9903f9098773</v>
      </c>
    </row>
    <row r="1914" spans="1:45" hidden="1" x14ac:dyDescent="0.25">
      <c r="A1914" s="6" t="s">
        <v>44</v>
      </c>
      <c r="B1914" s="7" t="s">
        <v>3656</v>
      </c>
      <c r="C1914" s="7" t="s">
        <v>46</v>
      </c>
      <c r="D1914" s="8">
        <v>44642</v>
      </c>
      <c r="E1914" s="8" t="s">
        <v>0</v>
      </c>
      <c r="F1914" s="16" t="s">
        <v>3657</v>
      </c>
      <c r="G1914" s="7" t="s">
        <v>3658</v>
      </c>
      <c r="H1914" s="7" t="s">
        <v>0</v>
      </c>
      <c r="I1914" s="7" t="s">
        <v>3653</v>
      </c>
      <c r="J1914" s="7" t="s">
        <v>3653</v>
      </c>
      <c r="K1914" s="7" t="s">
        <v>47</v>
      </c>
      <c r="L1914" s="7" t="s">
        <v>86</v>
      </c>
      <c r="M1914" s="7" t="s">
        <v>0</v>
      </c>
      <c r="N1914" s="7" t="s">
        <v>3652</v>
      </c>
      <c r="O1914" s="7" t="s">
        <v>0</v>
      </c>
      <c r="P1914" s="7" t="s">
        <v>3654</v>
      </c>
      <c r="Q1914" s="7" t="s">
        <v>3655</v>
      </c>
      <c r="R1914" s="7" t="s">
        <v>799</v>
      </c>
      <c r="S1914" s="7" t="s">
        <v>0</v>
      </c>
      <c r="T1914" s="7" t="s">
        <v>54</v>
      </c>
      <c r="U1914" s="7" t="s">
        <v>55</v>
      </c>
      <c r="V1914" s="7" t="s">
        <v>56</v>
      </c>
      <c r="W1914" s="7" t="s">
        <v>57</v>
      </c>
      <c r="X1914" s="7" t="s">
        <v>103</v>
      </c>
      <c r="Y1914" s="8">
        <v>44642</v>
      </c>
      <c r="Z1914" s="8">
        <v>44926</v>
      </c>
      <c r="AA1914" s="7" t="s">
        <v>0</v>
      </c>
      <c r="AB1914" s="7" t="s">
        <v>130</v>
      </c>
      <c r="AC1914" s="7" t="s">
        <v>79</v>
      </c>
      <c r="AD1914" s="7" t="s">
        <v>80</v>
      </c>
      <c r="AE1914" s="7" t="s">
        <v>82</v>
      </c>
      <c r="AF1914" s="7" t="s">
        <v>0</v>
      </c>
      <c r="AG1914" s="7" t="s">
        <v>0</v>
      </c>
      <c r="AH1914" s="9" t="s">
        <v>11766</v>
      </c>
      <c r="AI1914" s="9" t="s">
        <v>11767</v>
      </c>
      <c r="AJ1914" s="9" t="s">
        <v>11768</v>
      </c>
      <c r="AK1914" s="7" t="s">
        <v>61</v>
      </c>
      <c r="AL1914" s="7" t="s">
        <v>61</v>
      </c>
      <c r="AM1914" s="7" t="s">
        <v>0</v>
      </c>
      <c r="AN1914" s="7" t="s">
        <v>0</v>
      </c>
      <c r="AO1914" s="7" t="s">
        <v>0</v>
      </c>
      <c r="AP1914" s="7" t="s">
        <v>0</v>
      </c>
      <c r="AQ1914" s="7" t="s">
        <v>61</v>
      </c>
      <c r="AR1914" s="7" t="s">
        <v>0</v>
      </c>
      <c r="AS1914" s="10" t="str">
        <f>HYPERLINK("https://tessa.gazprom-neft.local/edo/card/a3632927-6cd7-4d28-9d2a-0d1e65312f71", "https://tessa.gazprom-neft.local/edo/card/a3632927-6cd7-4d28-9d2a-0d1e65312f71")</f>
        <v>https://tessa.gazprom-neft.local/edo/card/a3632927-6cd7-4d28-9d2a-0d1e65312f71</v>
      </c>
    </row>
    <row r="1915" spans="1:45" x14ac:dyDescent="0.25">
      <c r="A1915" s="6" t="s">
        <v>44</v>
      </c>
      <c r="B1915" s="7" t="s">
        <v>3292</v>
      </c>
      <c r="C1915" s="7" t="s">
        <v>67</v>
      </c>
      <c r="D1915" s="8">
        <v>44641</v>
      </c>
      <c r="E1915" s="8" t="s">
        <v>0</v>
      </c>
      <c r="F1915" s="16" t="s">
        <v>3293</v>
      </c>
      <c r="G1915" s="7" t="s">
        <v>3294</v>
      </c>
      <c r="H1915" s="7" t="s">
        <v>3289</v>
      </c>
      <c r="I1915" s="7" t="s">
        <v>0</v>
      </c>
      <c r="J1915" s="7" t="s">
        <v>51</v>
      </c>
      <c r="K1915" s="7" t="s">
        <v>47</v>
      </c>
      <c r="L1915" s="7" t="s">
        <v>48</v>
      </c>
      <c r="M1915" s="7" t="s">
        <v>0</v>
      </c>
      <c r="N1915" s="7" t="s">
        <v>3288</v>
      </c>
      <c r="O1915" s="7" t="s">
        <v>0</v>
      </c>
      <c r="P1915" s="7" t="s">
        <v>3290</v>
      </c>
      <c r="Q1915" s="7" t="s">
        <v>3291</v>
      </c>
      <c r="R1915" s="7" t="s">
        <v>220</v>
      </c>
      <c r="S1915" s="7" t="s">
        <v>220</v>
      </c>
      <c r="T1915" s="7" t="s">
        <v>54</v>
      </c>
      <c r="U1915" s="7" t="s">
        <v>222</v>
      </c>
      <c r="V1915" s="7" t="s">
        <v>382</v>
      </c>
      <c r="W1915" s="7" t="s">
        <v>57</v>
      </c>
      <c r="X1915" s="7" t="s">
        <v>103</v>
      </c>
      <c r="Y1915" s="8">
        <v>44641</v>
      </c>
      <c r="Z1915" s="8">
        <v>44722</v>
      </c>
      <c r="AA1915" s="7" t="s">
        <v>383</v>
      </c>
      <c r="AB1915" s="7" t="s">
        <v>387</v>
      </c>
      <c r="AC1915" s="7" t="s">
        <v>65</v>
      </c>
      <c r="AD1915" s="7" t="s">
        <v>80</v>
      </c>
      <c r="AE1915" s="7" t="s">
        <v>0</v>
      </c>
      <c r="AF1915" s="7" t="s">
        <v>0</v>
      </c>
      <c r="AG1915" s="7" t="s">
        <v>0</v>
      </c>
      <c r="AH1915" s="9" t="s">
        <v>0</v>
      </c>
      <c r="AI1915" s="9" t="s">
        <v>0</v>
      </c>
      <c r="AJ1915" s="9" t="s">
        <v>0</v>
      </c>
      <c r="AK1915" s="7" t="s">
        <v>61</v>
      </c>
      <c r="AL1915" s="7" t="s">
        <v>61</v>
      </c>
      <c r="AM1915" s="7" t="s">
        <v>0</v>
      </c>
      <c r="AN1915" s="7" t="s">
        <v>0</v>
      </c>
      <c r="AO1915" s="7" t="s">
        <v>0</v>
      </c>
      <c r="AP1915" s="7" t="s">
        <v>0</v>
      </c>
      <c r="AQ1915" s="7" t="s">
        <v>61</v>
      </c>
      <c r="AR1915" s="7" t="s">
        <v>0</v>
      </c>
      <c r="AS1915" s="10" t="str">
        <f>HYPERLINK("https://tessa.gazprom-neft.local/edo/card/ef110f02-799b-4aa1-acfc-7224f03ed489", "https://tessa.gazprom-neft.local/edo/card/ef110f02-799b-4aa1-acfc-7224f03ed489")</f>
        <v>https://tessa.gazprom-neft.local/edo/card/ef110f02-799b-4aa1-acfc-7224f03ed489</v>
      </c>
    </row>
    <row r="1916" spans="1:45" hidden="1" x14ac:dyDescent="0.25">
      <c r="A1916" s="6" t="s">
        <v>44</v>
      </c>
      <c r="B1916" s="7" t="s">
        <v>2108</v>
      </c>
      <c r="C1916" s="7" t="s">
        <v>67</v>
      </c>
      <c r="D1916" s="8">
        <v>44641</v>
      </c>
      <c r="E1916" s="8" t="s">
        <v>0</v>
      </c>
      <c r="F1916" s="16" t="s">
        <v>2109</v>
      </c>
      <c r="G1916" s="7" t="s">
        <v>2110</v>
      </c>
      <c r="H1916" s="7" t="s">
        <v>2107</v>
      </c>
      <c r="I1916" s="7" t="s">
        <v>0</v>
      </c>
      <c r="J1916" s="7" t="s">
        <v>2616</v>
      </c>
      <c r="K1916" s="7" t="s">
        <v>47</v>
      </c>
      <c r="L1916" s="7" t="s">
        <v>2474</v>
      </c>
      <c r="M1916" s="7" t="s">
        <v>0</v>
      </c>
      <c r="N1916" s="7" t="s">
        <v>6752</v>
      </c>
      <c r="O1916" s="7" t="s">
        <v>2616</v>
      </c>
      <c r="P1916" s="7" t="s">
        <v>6753</v>
      </c>
      <c r="Q1916" s="7" t="s">
        <v>6754</v>
      </c>
      <c r="R1916" s="7" t="s">
        <v>1551</v>
      </c>
      <c r="S1916" s="7" t="s">
        <v>1753</v>
      </c>
      <c r="T1916" s="7" t="s">
        <v>54</v>
      </c>
      <c r="U1916" s="7" t="s">
        <v>210</v>
      </c>
      <c r="V1916" s="7" t="s">
        <v>211</v>
      </c>
      <c r="W1916" s="7" t="s">
        <v>57</v>
      </c>
      <c r="X1916" s="7" t="s">
        <v>103</v>
      </c>
      <c r="Y1916" s="8">
        <v>44641</v>
      </c>
      <c r="Z1916" s="8">
        <v>45000</v>
      </c>
      <c r="AA1916" s="7" t="s">
        <v>212</v>
      </c>
      <c r="AB1916" s="7" t="s">
        <v>130</v>
      </c>
      <c r="AC1916" s="7" t="s">
        <v>65</v>
      </c>
      <c r="AD1916" s="7" t="s">
        <v>80</v>
      </c>
      <c r="AE1916" s="7" t="s">
        <v>0</v>
      </c>
      <c r="AF1916" s="7" t="s">
        <v>0</v>
      </c>
      <c r="AG1916" s="7" t="s">
        <v>0</v>
      </c>
      <c r="AH1916" s="9" t="s">
        <v>0</v>
      </c>
      <c r="AI1916" s="9" t="s">
        <v>0</v>
      </c>
      <c r="AJ1916" s="9" t="s">
        <v>0</v>
      </c>
      <c r="AK1916" s="7" t="s">
        <v>61</v>
      </c>
      <c r="AL1916" s="7" t="s">
        <v>61</v>
      </c>
      <c r="AM1916" s="7" t="s">
        <v>0</v>
      </c>
      <c r="AN1916" s="7" t="s">
        <v>0</v>
      </c>
      <c r="AO1916" s="7" t="s">
        <v>0</v>
      </c>
      <c r="AP1916" s="7" t="s">
        <v>0</v>
      </c>
      <c r="AQ1916" s="7" t="s">
        <v>61</v>
      </c>
      <c r="AR1916" s="7" t="s">
        <v>0</v>
      </c>
      <c r="AS1916" s="10" t="str">
        <f>HYPERLINK("https://tessa.gazprom-neft.local/edo/card/2214e999-b1b4-40b8-a00a-56ac4ddebb67", "https://tessa.gazprom-neft.local/edo/card/2214e999-b1b4-40b8-a00a-56ac4ddebb67")</f>
        <v>https://tessa.gazprom-neft.local/edo/card/2214e999-b1b4-40b8-a00a-56ac4ddebb67</v>
      </c>
    </row>
    <row r="1917" spans="1:45" hidden="1" x14ac:dyDescent="0.25">
      <c r="A1917" s="6" t="s">
        <v>44</v>
      </c>
      <c r="B1917" s="7" t="s">
        <v>705</v>
      </c>
      <c r="C1917" s="7" t="s">
        <v>67</v>
      </c>
      <c r="D1917" s="8">
        <v>44638</v>
      </c>
      <c r="E1917" s="8" t="s">
        <v>0</v>
      </c>
      <c r="F1917" s="16" t="s">
        <v>706</v>
      </c>
      <c r="G1917" s="7" t="s">
        <v>707</v>
      </c>
      <c r="H1917" s="7" t="s">
        <v>0</v>
      </c>
      <c r="I1917" s="7" t="s">
        <v>1597</v>
      </c>
      <c r="J1917" s="7" t="s">
        <v>1597</v>
      </c>
      <c r="K1917" s="7" t="s">
        <v>47</v>
      </c>
      <c r="L1917" s="7" t="s">
        <v>96</v>
      </c>
      <c r="M1917" s="7" t="s">
        <v>0</v>
      </c>
      <c r="N1917" s="7" t="s">
        <v>2529</v>
      </c>
      <c r="O1917" s="7" t="s">
        <v>0</v>
      </c>
      <c r="P1917" s="7" t="s">
        <v>2530</v>
      </c>
      <c r="Q1917" s="7" t="s">
        <v>2531</v>
      </c>
      <c r="R1917" s="7" t="s">
        <v>799</v>
      </c>
      <c r="S1917" s="7" t="s">
        <v>0</v>
      </c>
      <c r="T1917" s="7" t="s">
        <v>54</v>
      </c>
      <c r="U1917" s="7" t="s">
        <v>55</v>
      </c>
      <c r="V1917" s="7" t="s">
        <v>56</v>
      </c>
      <c r="W1917" s="7" t="s">
        <v>57</v>
      </c>
      <c r="X1917" s="7" t="s">
        <v>103</v>
      </c>
      <c r="Y1917" s="8">
        <v>44638</v>
      </c>
      <c r="Z1917" s="8">
        <v>45657</v>
      </c>
      <c r="AA1917" s="7" t="s">
        <v>0</v>
      </c>
      <c r="AB1917" s="7" t="s">
        <v>130</v>
      </c>
      <c r="AC1917" s="7" t="s">
        <v>79</v>
      </c>
      <c r="AD1917" s="7" t="s">
        <v>80</v>
      </c>
      <c r="AE1917" s="7" t="s">
        <v>82</v>
      </c>
      <c r="AF1917" s="7" t="s">
        <v>0</v>
      </c>
      <c r="AG1917" s="7" t="s">
        <v>0</v>
      </c>
      <c r="AH1917" s="9" t="s">
        <v>11379</v>
      </c>
      <c r="AI1917" s="9" t="s">
        <v>11380</v>
      </c>
      <c r="AJ1917" s="9" t="s">
        <v>11381</v>
      </c>
      <c r="AK1917" s="7" t="s">
        <v>61</v>
      </c>
      <c r="AL1917" s="7" t="s">
        <v>61</v>
      </c>
      <c r="AM1917" s="7" t="s">
        <v>0</v>
      </c>
      <c r="AN1917" s="7" t="s">
        <v>0</v>
      </c>
      <c r="AO1917" s="7" t="s">
        <v>0</v>
      </c>
      <c r="AP1917" s="7" t="s">
        <v>0</v>
      </c>
      <c r="AQ1917" s="7" t="s">
        <v>61</v>
      </c>
      <c r="AR1917" s="7" t="s">
        <v>0</v>
      </c>
      <c r="AS1917" s="10" t="str">
        <f>HYPERLINK("https://tessa.gazprom-neft.local/edo/card/2dcf541d-0bd5-4d50-ac77-9900b3706337", "https://tessa.gazprom-neft.local/edo/card/2dcf541d-0bd5-4d50-ac77-9900b3706337")</f>
        <v>https://tessa.gazprom-neft.local/edo/card/2dcf541d-0bd5-4d50-ac77-9900b3706337</v>
      </c>
    </row>
    <row r="1918" spans="1:45" x14ac:dyDescent="0.25">
      <c r="A1918" s="6" t="s">
        <v>44</v>
      </c>
      <c r="B1918" s="7" t="s">
        <v>114</v>
      </c>
      <c r="C1918" s="7" t="s">
        <v>67</v>
      </c>
      <c r="D1918" s="8">
        <v>44638</v>
      </c>
      <c r="E1918" s="8" t="s">
        <v>0</v>
      </c>
      <c r="F1918" s="16" t="s">
        <v>115</v>
      </c>
      <c r="G1918" s="7" t="s">
        <v>116</v>
      </c>
      <c r="H1918" s="7" t="s">
        <v>0</v>
      </c>
      <c r="I1918" s="7" t="s">
        <v>0</v>
      </c>
      <c r="J1918" s="7" t="s">
        <v>156</v>
      </c>
      <c r="K1918" s="7" t="s">
        <v>47</v>
      </c>
      <c r="L1918" s="7" t="s">
        <v>48</v>
      </c>
      <c r="M1918" s="7" t="s">
        <v>0</v>
      </c>
      <c r="N1918" s="7" t="s">
        <v>4119</v>
      </c>
      <c r="O1918" s="7" t="s">
        <v>0</v>
      </c>
      <c r="P1918" s="7" t="s">
        <v>4120</v>
      </c>
      <c r="Q1918" s="7" t="s">
        <v>4121</v>
      </c>
      <c r="R1918" s="7" t="s">
        <v>273</v>
      </c>
      <c r="S1918" s="7" t="s">
        <v>273</v>
      </c>
      <c r="T1918" s="7" t="s">
        <v>54</v>
      </c>
      <c r="U1918" s="7" t="s">
        <v>274</v>
      </c>
      <c r="V1918" s="7" t="s">
        <v>723</v>
      </c>
      <c r="W1918" s="7" t="s">
        <v>57</v>
      </c>
      <c r="X1918" s="7" t="s">
        <v>103</v>
      </c>
      <c r="Y1918" s="8">
        <v>44621</v>
      </c>
      <c r="Z1918" s="8">
        <v>45003</v>
      </c>
      <c r="AA1918" s="7" t="s">
        <v>1031</v>
      </c>
      <c r="AB1918" s="7" t="s">
        <v>117</v>
      </c>
      <c r="AC1918" s="7" t="s">
        <v>65</v>
      </c>
      <c r="AD1918" s="7" t="s">
        <v>80</v>
      </c>
      <c r="AE1918" s="7" t="s">
        <v>0</v>
      </c>
      <c r="AF1918" s="7" t="s">
        <v>0</v>
      </c>
      <c r="AG1918" s="7" t="s">
        <v>0</v>
      </c>
      <c r="AH1918" s="9" t="s">
        <v>0</v>
      </c>
      <c r="AI1918" s="9" t="s">
        <v>0</v>
      </c>
      <c r="AJ1918" s="9" t="s">
        <v>0</v>
      </c>
      <c r="AK1918" s="7" t="s">
        <v>61</v>
      </c>
      <c r="AL1918" s="7" t="s">
        <v>61</v>
      </c>
      <c r="AM1918" s="7" t="s">
        <v>0</v>
      </c>
      <c r="AN1918" s="7" t="s">
        <v>0</v>
      </c>
      <c r="AO1918" s="7" t="s">
        <v>0</v>
      </c>
      <c r="AP1918" s="7" t="s">
        <v>0</v>
      </c>
      <c r="AQ1918" s="7" t="s">
        <v>61</v>
      </c>
      <c r="AR1918" s="7" t="s">
        <v>0</v>
      </c>
      <c r="AS1918" s="10" t="str">
        <f>HYPERLINK("https://tessa.gazprom-neft.local/edo/card/1b05a7c3-4070-49d7-967c-def2a064e1a0", "https://tessa.gazprom-neft.local/edo/card/1b05a7c3-4070-49d7-967c-def2a064e1a0")</f>
        <v>https://tessa.gazprom-neft.local/edo/card/1b05a7c3-4070-49d7-967c-def2a064e1a0</v>
      </c>
    </row>
    <row r="1919" spans="1:45" x14ac:dyDescent="0.25">
      <c r="A1919" s="6" t="s">
        <v>44</v>
      </c>
      <c r="B1919" s="7" t="s">
        <v>127</v>
      </c>
      <c r="C1919" s="7" t="s">
        <v>67</v>
      </c>
      <c r="D1919" s="8">
        <v>44637</v>
      </c>
      <c r="E1919" s="8" t="s">
        <v>0</v>
      </c>
      <c r="F1919" s="16" t="s">
        <v>128</v>
      </c>
      <c r="G1919" s="7" t="s">
        <v>129</v>
      </c>
      <c r="H1919" s="7" t="s">
        <v>1661</v>
      </c>
      <c r="I1919" s="7" t="s">
        <v>0</v>
      </c>
      <c r="J1919" s="7" t="s">
        <v>872</v>
      </c>
      <c r="K1919" s="7" t="s">
        <v>47</v>
      </c>
      <c r="L1919" s="7" t="s">
        <v>48</v>
      </c>
      <c r="M1919" s="7" t="s">
        <v>0</v>
      </c>
      <c r="N1919" s="7" t="s">
        <v>1660</v>
      </c>
      <c r="O1919" s="7" t="s">
        <v>0</v>
      </c>
      <c r="P1919" s="7" t="s">
        <v>1662</v>
      </c>
      <c r="Q1919" s="7" t="s">
        <v>1663</v>
      </c>
      <c r="R1919" s="7" t="s">
        <v>393</v>
      </c>
      <c r="S1919" s="7" t="s">
        <v>1551</v>
      </c>
      <c r="T1919" s="7" t="s">
        <v>54</v>
      </c>
      <c r="U1919" s="7" t="s">
        <v>210</v>
      </c>
      <c r="V1919" s="7" t="s">
        <v>126</v>
      </c>
      <c r="W1919" s="7" t="s">
        <v>57</v>
      </c>
      <c r="X1919" s="7" t="s">
        <v>58</v>
      </c>
      <c r="Y1919" s="8">
        <v>44637</v>
      </c>
      <c r="Z1919" s="8" t="s">
        <v>0</v>
      </c>
      <c r="AA1919" s="7" t="s">
        <v>224</v>
      </c>
      <c r="AB1919" s="7" t="s">
        <v>130</v>
      </c>
      <c r="AC1919" s="7" t="s">
        <v>65</v>
      </c>
      <c r="AD1919" s="7" t="s">
        <v>80</v>
      </c>
      <c r="AE1919" s="7" t="s">
        <v>0</v>
      </c>
      <c r="AF1919" s="7" t="s">
        <v>0</v>
      </c>
      <c r="AG1919" s="7" t="s">
        <v>0</v>
      </c>
      <c r="AH1919" s="9" t="s">
        <v>0</v>
      </c>
      <c r="AI1919" s="9" t="s">
        <v>0</v>
      </c>
      <c r="AJ1919" s="9" t="s">
        <v>0</v>
      </c>
      <c r="AK1919" s="7" t="s">
        <v>61</v>
      </c>
      <c r="AL1919" s="7" t="s">
        <v>61</v>
      </c>
      <c r="AM1919" s="7" t="s">
        <v>0</v>
      </c>
      <c r="AN1919" s="7" t="s">
        <v>0</v>
      </c>
      <c r="AO1919" s="7" t="s">
        <v>0</v>
      </c>
      <c r="AP1919" s="7" t="s">
        <v>0</v>
      </c>
      <c r="AQ1919" s="7" t="s">
        <v>61</v>
      </c>
      <c r="AR1919" s="7" t="s">
        <v>0</v>
      </c>
      <c r="AS1919" s="10" t="str">
        <f>HYPERLINK("https://tessa.gazprom-neft.local/edo/card/98e64b34-9efa-41aa-a06b-d9e8e100cb64", "https://tessa.gazprom-neft.local/edo/card/98e64b34-9efa-41aa-a06b-d9e8e100cb64")</f>
        <v>https://tessa.gazprom-neft.local/edo/card/98e64b34-9efa-41aa-a06b-d9e8e100cb64</v>
      </c>
    </row>
    <row r="1920" spans="1:45" hidden="1" x14ac:dyDescent="0.25">
      <c r="A1920" s="6" t="s">
        <v>44</v>
      </c>
      <c r="B1920" s="7" t="s">
        <v>488</v>
      </c>
      <c r="C1920" s="7" t="s">
        <v>67</v>
      </c>
      <c r="D1920" s="8">
        <v>44637</v>
      </c>
      <c r="E1920" s="8" t="s">
        <v>0</v>
      </c>
      <c r="F1920" s="16" t="s">
        <v>489</v>
      </c>
      <c r="G1920" s="7" t="s">
        <v>490</v>
      </c>
      <c r="H1920" s="7" t="s">
        <v>0</v>
      </c>
      <c r="I1920" s="7" t="s">
        <v>870</v>
      </c>
      <c r="J1920" s="7" t="s">
        <v>870</v>
      </c>
      <c r="K1920" s="7" t="s">
        <v>85</v>
      </c>
      <c r="L1920" s="7" t="s">
        <v>96</v>
      </c>
      <c r="M1920" s="7" t="s">
        <v>635</v>
      </c>
      <c r="N1920" s="7" t="s">
        <v>2734</v>
      </c>
      <c r="O1920" s="7" t="s">
        <v>0</v>
      </c>
      <c r="P1920" s="7" t="s">
        <v>635</v>
      </c>
      <c r="Q1920" s="7" t="s">
        <v>2735</v>
      </c>
      <c r="R1920" s="7" t="s">
        <v>282</v>
      </c>
      <c r="S1920" s="7" t="s">
        <v>282</v>
      </c>
      <c r="T1920" s="7" t="s">
        <v>54</v>
      </c>
      <c r="U1920" s="7" t="s">
        <v>55</v>
      </c>
      <c r="V1920" s="7" t="s">
        <v>56</v>
      </c>
      <c r="W1920" s="7" t="s">
        <v>57</v>
      </c>
      <c r="X1920" s="7" t="s">
        <v>103</v>
      </c>
      <c r="Y1920" s="8">
        <v>44637</v>
      </c>
      <c r="Z1920" s="8">
        <v>45657</v>
      </c>
      <c r="AA1920" s="7" t="s">
        <v>59</v>
      </c>
      <c r="AB1920" s="7" t="s">
        <v>130</v>
      </c>
      <c r="AC1920" s="7" t="s">
        <v>79</v>
      </c>
      <c r="AD1920" s="7" t="s">
        <v>144</v>
      </c>
      <c r="AE1920" s="7" t="s">
        <v>82</v>
      </c>
      <c r="AF1920" s="7" t="s">
        <v>0</v>
      </c>
      <c r="AG1920" s="7" t="s">
        <v>0</v>
      </c>
      <c r="AH1920" s="9" t="s">
        <v>11439</v>
      </c>
      <c r="AI1920" s="9" t="s">
        <v>11440</v>
      </c>
      <c r="AJ1920" s="9" t="s">
        <v>11441</v>
      </c>
      <c r="AK1920" s="7" t="s">
        <v>61</v>
      </c>
      <c r="AL1920" s="7" t="s">
        <v>61</v>
      </c>
      <c r="AM1920" s="7" t="s">
        <v>0</v>
      </c>
      <c r="AN1920" s="7" t="s">
        <v>0</v>
      </c>
      <c r="AO1920" s="7" t="s">
        <v>0</v>
      </c>
      <c r="AP1920" s="7" t="s">
        <v>0</v>
      </c>
      <c r="AQ1920" s="7" t="s">
        <v>61</v>
      </c>
      <c r="AR1920" s="7" t="s">
        <v>0</v>
      </c>
      <c r="AS1920" s="10" t="str">
        <f>HYPERLINK("https://tessa.gazprom-neft.local/edo/card/b5b373e3-6902-424c-9b46-566d3d3b753b", "https://tessa.gazprom-neft.local/edo/card/b5b373e3-6902-424c-9b46-566d3d3b753b")</f>
        <v>https://tessa.gazprom-neft.local/edo/card/b5b373e3-6902-424c-9b46-566d3d3b753b</v>
      </c>
    </row>
    <row r="1921" spans="1:45" hidden="1" x14ac:dyDescent="0.25">
      <c r="A1921" s="6" t="s">
        <v>44</v>
      </c>
      <c r="B1921" s="7" t="s">
        <v>488</v>
      </c>
      <c r="C1921" s="7" t="s">
        <v>67</v>
      </c>
      <c r="D1921" s="8">
        <v>44637</v>
      </c>
      <c r="E1921" s="8" t="s">
        <v>0</v>
      </c>
      <c r="F1921" s="16" t="s">
        <v>489</v>
      </c>
      <c r="G1921" s="7" t="s">
        <v>490</v>
      </c>
      <c r="H1921" s="7" t="s">
        <v>0</v>
      </c>
      <c r="I1921" s="7" t="s">
        <v>2861</v>
      </c>
      <c r="J1921" s="7" t="s">
        <v>2861</v>
      </c>
      <c r="K1921" s="7" t="s">
        <v>85</v>
      </c>
      <c r="L1921" s="7" t="s">
        <v>86</v>
      </c>
      <c r="M1921" s="7" t="s">
        <v>216</v>
      </c>
      <c r="N1921" s="7" t="s">
        <v>2860</v>
      </c>
      <c r="O1921" s="7" t="s">
        <v>0</v>
      </c>
      <c r="P1921" s="7" t="s">
        <v>216</v>
      </c>
      <c r="Q1921" s="7" t="s">
        <v>2862</v>
      </c>
      <c r="R1921" s="7" t="s">
        <v>282</v>
      </c>
      <c r="S1921" s="7" t="s">
        <v>282</v>
      </c>
      <c r="T1921" s="7" t="s">
        <v>54</v>
      </c>
      <c r="U1921" s="7" t="s">
        <v>55</v>
      </c>
      <c r="V1921" s="7" t="s">
        <v>56</v>
      </c>
      <c r="W1921" s="7" t="s">
        <v>57</v>
      </c>
      <c r="X1921" s="7" t="s">
        <v>223</v>
      </c>
      <c r="Y1921" s="8">
        <v>44637</v>
      </c>
      <c r="Z1921" s="8" t="s">
        <v>0</v>
      </c>
      <c r="AA1921" s="7" t="s">
        <v>0</v>
      </c>
      <c r="AB1921" s="7" t="s">
        <v>228</v>
      </c>
      <c r="AC1921" s="7" t="s">
        <v>65</v>
      </c>
      <c r="AD1921" s="7" t="s">
        <v>0</v>
      </c>
      <c r="AE1921" s="7" t="s">
        <v>0</v>
      </c>
      <c r="AF1921" s="7" t="s">
        <v>0</v>
      </c>
      <c r="AG1921" s="7" t="s">
        <v>0</v>
      </c>
      <c r="AH1921" s="9" t="s">
        <v>0</v>
      </c>
      <c r="AI1921" s="9" t="s">
        <v>0</v>
      </c>
      <c r="AJ1921" s="9" t="s">
        <v>0</v>
      </c>
      <c r="AK1921" s="7" t="s">
        <v>61</v>
      </c>
      <c r="AL1921" s="7" t="s">
        <v>61</v>
      </c>
      <c r="AM1921" s="7" t="s">
        <v>0</v>
      </c>
      <c r="AN1921" s="7" t="s">
        <v>0</v>
      </c>
      <c r="AO1921" s="7" t="s">
        <v>0</v>
      </c>
      <c r="AP1921" s="7" t="s">
        <v>0</v>
      </c>
      <c r="AQ1921" s="7" t="s">
        <v>61</v>
      </c>
      <c r="AR1921" s="7" t="s">
        <v>0</v>
      </c>
      <c r="AS1921" s="10" t="str">
        <f>HYPERLINK("https://tessa.gazprom-neft.local/edo/card/e0061bb8-a6a0-4636-9b6c-e4be7d99aa67", "https://tessa.gazprom-neft.local/edo/card/e0061bb8-a6a0-4636-9b6c-e4be7d99aa67")</f>
        <v>https://tessa.gazprom-neft.local/edo/card/e0061bb8-a6a0-4636-9b6c-e4be7d99aa67</v>
      </c>
    </row>
    <row r="1922" spans="1:45" x14ac:dyDescent="0.25">
      <c r="A1922" s="6" t="s">
        <v>44</v>
      </c>
      <c r="B1922" s="7" t="s">
        <v>2823</v>
      </c>
      <c r="C1922" s="7" t="s">
        <v>67</v>
      </c>
      <c r="D1922" s="8">
        <v>44635</v>
      </c>
      <c r="E1922" s="8" t="s">
        <v>0</v>
      </c>
      <c r="F1922" s="16" t="s">
        <v>2824</v>
      </c>
      <c r="G1922" s="7" t="s">
        <v>944</v>
      </c>
      <c r="H1922" s="7" t="s">
        <v>2821</v>
      </c>
      <c r="I1922" s="7" t="s">
        <v>0</v>
      </c>
      <c r="J1922" s="7" t="s">
        <v>51</v>
      </c>
      <c r="K1922" s="7" t="s">
        <v>85</v>
      </c>
      <c r="L1922" s="7" t="s">
        <v>48</v>
      </c>
      <c r="M1922" s="7" t="s">
        <v>2128</v>
      </c>
      <c r="N1922" s="7" t="s">
        <v>2820</v>
      </c>
      <c r="O1922" s="7" t="s">
        <v>0</v>
      </c>
      <c r="P1922" s="7" t="s">
        <v>2128</v>
      </c>
      <c r="Q1922" s="7" t="s">
        <v>2822</v>
      </c>
      <c r="R1922" s="7" t="s">
        <v>1125</v>
      </c>
      <c r="S1922" s="7" t="s">
        <v>1125</v>
      </c>
      <c r="T1922" s="7" t="s">
        <v>54</v>
      </c>
      <c r="U1922" s="7" t="s">
        <v>188</v>
      </c>
      <c r="V1922" s="7" t="s">
        <v>187</v>
      </c>
      <c r="W1922" s="7" t="s">
        <v>57</v>
      </c>
      <c r="X1922" s="7" t="s">
        <v>103</v>
      </c>
      <c r="Y1922" s="8">
        <v>44620</v>
      </c>
      <c r="Z1922" s="8">
        <v>45291</v>
      </c>
      <c r="AA1922" s="7" t="s">
        <v>922</v>
      </c>
      <c r="AB1922" s="7" t="s">
        <v>1419</v>
      </c>
      <c r="AC1922" s="7" t="s">
        <v>65</v>
      </c>
      <c r="AD1922" s="7" t="s">
        <v>0</v>
      </c>
      <c r="AE1922" s="7" t="s">
        <v>0</v>
      </c>
      <c r="AF1922" s="7" t="s">
        <v>0</v>
      </c>
      <c r="AG1922" s="7" t="s">
        <v>0</v>
      </c>
      <c r="AH1922" s="9" t="s">
        <v>0</v>
      </c>
      <c r="AI1922" s="9" t="s">
        <v>0</v>
      </c>
      <c r="AJ1922" s="9" t="s">
        <v>0</v>
      </c>
      <c r="AK1922" s="7" t="s">
        <v>61</v>
      </c>
      <c r="AL1922" s="7" t="s">
        <v>61</v>
      </c>
      <c r="AM1922" s="7" t="s">
        <v>0</v>
      </c>
      <c r="AN1922" s="7" t="s">
        <v>0</v>
      </c>
      <c r="AO1922" s="7" t="s">
        <v>0</v>
      </c>
      <c r="AP1922" s="7" t="s">
        <v>0</v>
      </c>
      <c r="AQ1922" s="7" t="s">
        <v>61</v>
      </c>
      <c r="AR1922" s="7" t="s">
        <v>0</v>
      </c>
      <c r="AS1922" s="10" t="str">
        <f>HYPERLINK("https://tessa.gazprom-neft.local/edo/card/b5db6c65-442c-4269-94f7-d2263c8db985", "https://tessa.gazprom-neft.local/edo/card/b5db6c65-442c-4269-94f7-d2263c8db985")</f>
        <v>https://tessa.gazprom-neft.local/edo/card/b5db6c65-442c-4269-94f7-d2263c8db985</v>
      </c>
    </row>
    <row r="1923" spans="1:45" hidden="1" x14ac:dyDescent="0.25">
      <c r="A1923" s="6" t="s">
        <v>44</v>
      </c>
      <c r="B1923" s="7" t="s">
        <v>245</v>
      </c>
      <c r="C1923" s="7" t="s">
        <v>67</v>
      </c>
      <c r="D1923" s="8">
        <v>44635</v>
      </c>
      <c r="E1923" s="8" t="s">
        <v>0</v>
      </c>
      <c r="F1923" s="16" t="s">
        <v>246</v>
      </c>
      <c r="G1923" s="7" t="s">
        <v>247</v>
      </c>
      <c r="H1923" s="7" t="s">
        <v>574</v>
      </c>
      <c r="I1923" s="7" t="s">
        <v>0</v>
      </c>
      <c r="J1923" s="7" t="s">
        <v>2956</v>
      </c>
      <c r="K1923" s="7" t="s">
        <v>47</v>
      </c>
      <c r="L1923" s="7" t="s">
        <v>239</v>
      </c>
      <c r="M1923" s="7" t="s">
        <v>0</v>
      </c>
      <c r="N1923" s="7" t="s">
        <v>2954</v>
      </c>
      <c r="O1923" s="7" t="s">
        <v>0</v>
      </c>
      <c r="P1923" s="7" t="s">
        <v>2955</v>
      </c>
      <c r="Q1923" s="7" t="s">
        <v>2957</v>
      </c>
      <c r="R1923" s="7" t="s">
        <v>540</v>
      </c>
      <c r="S1923" s="7" t="s">
        <v>0</v>
      </c>
      <c r="T1923" s="7" t="s">
        <v>54</v>
      </c>
      <c r="U1923" s="7" t="s">
        <v>541</v>
      </c>
      <c r="V1923" s="7" t="s">
        <v>56</v>
      </c>
      <c r="W1923" s="7" t="s">
        <v>57</v>
      </c>
      <c r="X1923" s="7" t="s">
        <v>103</v>
      </c>
      <c r="Y1923" s="8">
        <v>44635</v>
      </c>
      <c r="Z1923" s="8">
        <v>44925</v>
      </c>
      <c r="AA1923" s="7" t="s">
        <v>59</v>
      </c>
      <c r="AB1923" s="7" t="s">
        <v>256</v>
      </c>
      <c r="AC1923" s="7" t="s">
        <v>79</v>
      </c>
      <c r="AD1923" s="7" t="s">
        <v>144</v>
      </c>
      <c r="AE1923" s="7" t="s">
        <v>82</v>
      </c>
      <c r="AF1923" s="7" t="s">
        <v>0</v>
      </c>
      <c r="AG1923" s="7" t="s">
        <v>0</v>
      </c>
      <c r="AH1923" s="9" t="s">
        <v>11501</v>
      </c>
      <c r="AI1923" s="9" t="s">
        <v>11502</v>
      </c>
      <c r="AJ1923" s="9" t="s">
        <v>11503</v>
      </c>
      <c r="AK1923" s="7" t="s">
        <v>61</v>
      </c>
      <c r="AL1923" s="7" t="s">
        <v>61</v>
      </c>
      <c r="AM1923" s="7" t="s">
        <v>0</v>
      </c>
      <c r="AN1923" s="7" t="s">
        <v>0</v>
      </c>
      <c r="AO1923" s="7" t="s">
        <v>0</v>
      </c>
      <c r="AP1923" s="7" t="s">
        <v>0</v>
      </c>
      <c r="AQ1923" s="7" t="s">
        <v>61</v>
      </c>
      <c r="AR1923" s="7" t="s">
        <v>0</v>
      </c>
      <c r="AS1923" s="10" t="str">
        <f>HYPERLINK("https://tessa.gazprom-neft.local/edo/card/ea98f84e-1c0f-49dc-8e64-d56978413130", "https://tessa.gazprom-neft.local/edo/card/ea98f84e-1c0f-49dc-8e64-d56978413130")</f>
        <v>https://tessa.gazprom-neft.local/edo/card/ea98f84e-1c0f-49dc-8e64-d56978413130</v>
      </c>
    </row>
    <row r="1924" spans="1:45" hidden="1" x14ac:dyDescent="0.25">
      <c r="A1924" s="6" t="s">
        <v>44</v>
      </c>
      <c r="B1924" s="7" t="s">
        <v>245</v>
      </c>
      <c r="C1924" s="7" t="s">
        <v>67</v>
      </c>
      <c r="D1924" s="8">
        <v>44635</v>
      </c>
      <c r="E1924" s="8" t="s">
        <v>0</v>
      </c>
      <c r="F1924" s="16" t="s">
        <v>246</v>
      </c>
      <c r="G1924" s="7" t="s">
        <v>247</v>
      </c>
      <c r="H1924" s="7" t="s">
        <v>1822</v>
      </c>
      <c r="I1924" s="7" t="s">
        <v>0</v>
      </c>
      <c r="J1924" s="7" t="s">
        <v>3018</v>
      </c>
      <c r="K1924" s="7" t="s">
        <v>47</v>
      </c>
      <c r="L1924" s="7" t="s">
        <v>239</v>
      </c>
      <c r="M1924" s="7" t="s">
        <v>0</v>
      </c>
      <c r="N1924" s="7" t="s">
        <v>3016</v>
      </c>
      <c r="O1924" s="7" t="s">
        <v>0</v>
      </c>
      <c r="P1924" s="7" t="s">
        <v>3017</v>
      </c>
      <c r="Q1924" s="7" t="s">
        <v>3019</v>
      </c>
      <c r="R1924" s="7" t="s">
        <v>244</v>
      </c>
      <c r="S1924" s="7" t="s">
        <v>0</v>
      </c>
      <c r="T1924" s="7" t="s">
        <v>54</v>
      </c>
      <c r="U1924" s="7" t="s">
        <v>55</v>
      </c>
      <c r="V1924" s="7" t="s">
        <v>56</v>
      </c>
      <c r="W1924" s="7" t="s">
        <v>57</v>
      </c>
      <c r="X1924" s="7" t="s">
        <v>103</v>
      </c>
      <c r="Y1924" s="8">
        <v>44635</v>
      </c>
      <c r="Z1924" s="8">
        <v>44925</v>
      </c>
      <c r="AA1924" s="7" t="s">
        <v>59</v>
      </c>
      <c r="AB1924" s="7" t="s">
        <v>256</v>
      </c>
      <c r="AC1924" s="7" t="s">
        <v>79</v>
      </c>
      <c r="AD1924" s="7" t="s">
        <v>144</v>
      </c>
      <c r="AE1924" s="7" t="s">
        <v>82</v>
      </c>
      <c r="AF1924" s="7" t="s">
        <v>0</v>
      </c>
      <c r="AG1924" s="7" t="s">
        <v>0</v>
      </c>
      <c r="AH1924" s="9" t="s">
        <v>11522</v>
      </c>
      <c r="AI1924" s="9" t="s">
        <v>11523</v>
      </c>
      <c r="AJ1924" s="9" t="s">
        <v>11524</v>
      </c>
      <c r="AK1924" s="7" t="s">
        <v>61</v>
      </c>
      <c r="AL1924" s="7" t="s">
        <v>61</v>
      </c>
      <c r="AM1924" s="7" t="s">
        <v>0</v>
      </c>
      <c r="AN1924" s="7" t="s">
        <v>0</v>
      </c>
      <c r="AO1924" s="7" t="s">
        <v>0</v>
      </c>
      <c r="AP1924" s="7" t="s">
        <v>0</v>
      </c>
      <c r="AQ1924" s="7" t="s">
        <v>61</v>
      </c>
      <c r="AR1924" s="7" t="s">
        <v>0</v>
      </c>
      <c r="AS1924" s="10" t="str">
        <f>HYPERLINK("https://tessa.gazprom-neft.local/edo/card/f8601cf0-862a-4b28-9fc8-92b2201408d2", "https://tessa.gazprom-neft.local/edo/card/f8601cf0-862a-4b28-9fc8-92b2201408d2")</f>
        <v>https://tessa.gazprom-neft.local/edo/card/f8601cf0-862a-4b28-9fc8-92b2201408d2</v>
      </c>
    </row>
    <row r="1925" spans="1:45" x14ac:dyDescent="0.25">
      <c r="A1925" s="6" t="s">
        <v>44</v>
      </c>
      <c r="B1925" s="7" t="s">
        <v>350</v>
      </c>
      <c r="C1925" s="7" t="s">
        <v>67</v>
      </c>
      <c r="D1925" s="8">
        <v>44635</v>
      </c>
      <c r="E1925" s="8" t="s">
        <v>0</v>
      </c>
      <c r="F1925" s="16" t="s">
        <v>351</v>
      </c>
      <c r="G1925" s="7" t="s">
        <v>352</v>
      </c>
      <c r="H1925" s="7" t="s">
        <v>3199</v>
      </c>
      <c r="I1925" s="7" t="s">
        <v>0</v>
      </c>
      <c r="J1925" s="7" t="s">
        <v>156</v>
      </c>
      <c r="K1925" s="7" t="s">
        <v>47</v>
      </c>
      <c r="L1925" s="7" t="s">
        <v>48</v>
      </c>
      <c r="M1925" s="7" t="s">
        <v>0</v>
      </c>
      <c r="N1925" s="7" t="s">
        <v>3198</v>
      </c>
      <c r="O1925" s="7" t="s">
        <v>0</v>
      </c>
      <c r="P1925" s="7" t="s">
        <v>3200</v>
      </c>
      <c r="Q1925" s="7" t="s">
        <v>3201</v>
      </c>
      <c r="R1925" s="7" t="s">
        <v>1286</v>
      </c>
      <c r="S1925" s="7" t="s">
        <v>168</v>
      </c>
      <c r="T1925" s="7" t="s">
        <v>54</v>
      </c>
      <c r="U1925" s="7" t="s">
        <v>101</v>
      </c>
      <c r="V1925" s="7" t="s">
        <v>102</v>
      </c>
      <c r="W1925" s="7" t="s">
        <v>57</v>
      </c>
      <c r="X1925" s="7" t="s">
        <v>103</v>
      </c>
      <c r="Y1925" s="8">
        <v>44635</v>
      </c>
      <c r="Z1925" s="8">
        <v>45657</v>
      </c>
      <c r="AA1925" s="7" t="s">
        <v>104</v>
      </c>
      <c r="AB1925" s="7" t="s">
        <v>64</v>
      </c>
      <c r="AC1925" s="7" t="s">
        <v>65</v>
      </c>
      <c r="AD1925" s="7" t="s">
        <v>0</v>
      </c>
      <c r="AE1925" s="7" t="s">
        <v>0</v>
      </c>
      <c r="AF1925" s="7" t="s">
        <v>0</v>
      </c>
      <c r="AG1925" s="7" t="s">
        <v>0</v>
      </c>
      <c r="AH1925" s="9" t="s">
        <v>0</v>
      </c>
      <c r="AI1925" s="9" t="s">
        <v>0</v>
      </c>
      <c r="AJ1925" s="9" t="s">
        <v>0</v>
      </c>
      <c r="AK1925" s="7" t="s">
        <v>61</v>
      </c>
      <c r="AL1925" s="7" t="s">
        <v>61</v>
      </c>
      <c r="AM1925" s="7" t="s">
        <v>0</v>
      </c>
      <c r="AN1925" s="7" t="s">
        <v>0</v>
      </c>
      <c r="AO1925" s="7" t="s">
        <v>0</v>
      </c>
      <c r="AP1925" s="7" t="s">
        <v>0</v>
      </c>
      <c r="AQ1925" s="7" t="s">
        <v>61</v>
      </c>
      <c r="AR1925" s="7" t="s">
        <v>0</v>
      </c>
      <c r="AS1925" s="10" t="str">
        <f>HYPERLINK("https://tessa.gazprom-neft.local/edo/card/366b8788-40cb-4037-b495-a8257e199d49", "https://tessa.gazprom-neft.local/edo/card/366b8788-40cb-4037-b495-a8257e199d49")</f>
        <v>https://tessa.gazprom-neft.local/edo/card/366b8788-40cb-4037-b495-a8257e199d49</v>
      </c>
    </row>
    <row r="1926" spans="1:45" x14ac:dyDescent="0.25">
      <c r="A1926" s="6" t="s">
        <v>44</v>
      </c>
      <c r="B1926" s="7" t="s">
        <v>1396</v>
      </c>
      <c r="C1926" s="7" t="s">
        <v>67</v>
      </c>
      <c r="D1926" s="8">
        <v>44635</v>
      </c>
      <c r="E1926" s="8" t="s">
        <v>0</v>
      </c>
      <c r="F1926" s="16" t="s">
        <v>1397</v>
      </c>
      <c r="G1926" s="7" t="s">
        <v>1398</v>
      </c>
      <c r="H1926" s="7" t="s">
        <v>1735</v>
      </c>
      <c r="I1926" s="7" t="s">
        <v>0</v>
      </c>
      <c r="J1926" s="7" t="s">
        <v>3709</v>
      </c>
      <c r="K1926" s="7" t="s">
        <v>47</v>
      </c>
      <c r="L1926" s="7" t="s">
        <v>48</v>
      </c>
      <c r="M1926" s="7" t="s">
        <v>0</v>
      </c>
      <c r="N1926" s="7" t="s">
        <v>3707</v>
      </c>
      <c r="O1926" s="7" t="s">
        <v>0</v>
      </c>
      <c r="P1926" s="7" t="s">
        <v>3708</v>
      </c>
      <c r="Q1926" s="7" t="s">
        <v>3710</v>
      </c>
      <c r="R1926" s="7" t="s">
        <v>135</v>
      </c>
      <c r="S1926" s="7" t="s">
        <v>135</v>
      </c>
      <c r="T1926" s="7" t="s">
        <v>54</v>
      </c>
      <c r="U1926" s="7" t="s">
        <v>136</v>
      </c>
      <c r="V1926" s="7" t="s">
        <v>102</v>
      </c>
      <c r="W1926" s="7" t="s">
        <v>57</v>
      </c>
      <c r="X1926" s="7" t="s">
        <v>103</v>
      </c>
      <c r="Y1926" s="8">
        <v>44635</v>
      </c>
      <c r="Z1926" s="8">
        <v>45657</v>
      </c>
      <c r="AA1926" s="7" t="s">
        <v>104</v>
      </c>
      <c r="AB1926" s="7" t="s">
        <v>64</v>
      </c>
      <c r="AC1926" s="7" t="s">
        <v>65</v>
      </c>
      <c r="AD1926" s="7" t="s">
        <v>80</v>
      </c>
      <c r="AE1926" s="7" t="s">
        <v>0</v>
      </c>
      <c r="AF1926" s="7" t="s">
        <v>0</v>
      </c>
      <c r="AG1926" s="7" t="s">
        <v>0</v>
      </c>
      <c r="AH1926" s="9" t="s">
        <v>0</v>
      </c>
      <c r="AI1926" s="9" t="s">
        <v>0</v>
      </c>
      <c r="AJ1926" s="9" t="s">
        <v>0</v>
      </c>
      <c r="AK1926" s="7" t="s">
        <v>61</v>
      </c>
      <c r="AL1926" s="7" t="s">
        <v>61</v>
      </c>
      <c r="AM1926" s="7" t="s">
        <v>0</v>
      </c>
      <c r="AN1926" s="7" t="s">
        <v>0</v>
      </c>
      <c r="AO1926" s="7" t="s">
        <v>0</v>
      </c>
      <c r="AP1926" s="7" t="s">
        <v>0</v>
      </c>
      <c r="AQ1926" s="7" t="s">
        <v>61</v>
      </c>
      <c r="AR1926" s="7" t="s">
        <v>0</v>
      </c>
      <c r="AS1926" s="10" t="str">
        <f>HYPERLINK("https://tessa.gazprom-neft.local/edo/card/998e948b-7979-48d3-a194-20746aaae04e", "https://tessa.gazprom-neft.local/edo/card/998e948b-7979-48d3-a194-20746aaae04e")</f>
        <v>https://tessa.gazprom-neft.local/edo/card/998e948b-7979-48d3-a194-20746aaae04e</v>
      </c>
    </row>
    <row r="1927" spans="1:45" hidden="1" x14ac:dyDescent="0.25">
      <c r="A1927" s="6" t="s">
        <v>44</v>
      </c>
      <c r="B1927" s="7" t="s">
        <v>1396</v>
      </c>
      <c r="C1927" s="7" t="s">
        <v>67</v>
      </c>
      <c r="D1927" s="8">
        <v>44635</v>
      </c>
      <c r="E1927" s="8" t="s">
        <v>0</v>
      </c>
      <c r="F1927" s="16" t="s">
        <v>1397</v>
      </c>
      <c r="G1927" s="7" t="s">
        <v>1398</v>
      </c>
      <c r="H1927" s="7" t="s">
        <v>3724</v>
      </c>
      <c r="I1927" s="7" t="s">
        <v>0</v>
      </c>
      <c r="J1927" s="7" t="s">
        <v>271</v>
      </c>
      <c r="K1927" s="7" t="s">
        <v>47</v>
      </c>
      <c r="L1927" s="7" t="s">
        <v>239</v>
      </c>
      <c r="M1927" s="7" t="s">
        <v>0</v>
      </c>
      <c r="N1927" s="7" t="s">
        <v>3723</v>
      </c>
      <c r="O1927" s="7" t="s">
        <v>0</v>
      </c>
      <c r="P1927" s="7" t="s">
        <v>3725</v>
      </c>
      <c r="Q1927" s="7" t="s">
        <v>3726</v>
      </c>
      <c r="R1927" s="7" t="s">
        <v>135</v>
      </c>
      <c r="S1927" s="7" t="s">
        <v>135</v>
      </c>
      <c r="T1927" s="7" t="s">
        <v>54</v>
      </c>
      <c r="U1927" s="7" t="s">
        <v>136</v>
      </c>
      <c r="V1927" s="7" t="s">
        <v>102</v>
      </c>
      <c r="W1927" s="7" t="s">
        <v>57</v>
      </c>
      <c r="X1927" s="7" t="s">
        <v>103</v>
      </c>
      <c r="Y1927" s="8">
        <v>44635</v>
      </c>
      <c r="Z1927" s="8">
        <v>44926</v>
      </c>
      <c r="AA1927" s="7" t="s">
        <v>104</v>
      </c>
      <c r="AB1927" s="7" t="s">
        <v>64</v>
      </c>
      <c r="AC1927" s="7" t="s">
        <v>79</v>
      </c>
      <c r="AD1927" s="7" t="s">
        <v>80</v>
      </c>
      <c r="AE1927" s="7" t="s">
        <v>118</v>
      </c>
      <c r="AF1927" s="7" t="s">
        <v>0</v>
      </c>
      <c r="AG1927" s="7" t="s">
        <v>0</v>
      </c>
      <c r="AH1927" s="9" t="s">
        <v>11800</v>
      </c>
      <c r="AI1927" s="9" t="s">
        <v>11800</v>
      </c>
      <c r="AJ1927" s="9">
        <v>0</v>
      </c>
      <c r="AK1927" s="7" t="s">
        <v>61</v>
      </c>
      <c r="AL1927" s="7" t="s">
        <v>61</v>
      </c>
      <c r="AM1927" s="7" t="s">
        <v>0</v>
      </c>
      <c r="AN1927" s="7" t="s">
        <v>0</v>
      </c>
      <c r="AO1927" s="7" t="s">
        <v>0</v>
      </c>
      <c r="AP1927" s="7" t="s">
        <v>0</v>
      </c>
      <c r="AQ1927" s="7" t="s">
        <v>61</v>
      </c>
      <c r="AR1927" s="7" t="s">
        <v>0</v>
      </c>
      <c r="AS1927" s="10" t="str">
        <f>HYPERLINK("https://tessa.gazprom-neft.local/edo/card/f456fbdb-087d-4ee8-a4b2-e23931c69ece", "https://tessa.gazprom-neft.local/edo/card/f456fbdb-087d-4ee8-a4b2-e23931c69ece")</f>
        <v>https://tessa.gazprom-neft.local/edo/card/f456fbdb-087d-4ee8-a4b2-e23931c69ece</v>
      </c>
    </row>
    <row r="1928" spans="1:45" hidden="1" x14ac:dyDescent="0.25">
      <c r="A1928" s="6" t="s">
        <v>44</v>
      </c>
      <c r="B1928" s="7" t="s">
        <v>0</v>
      </c>
      <c r="C1928" s="7" t="s">
        <v>67</v>
      </c>
      <c r="D1928" s="8">
        <v>44634</v>
      </c>
      <c r="E1928" s="8" t="s">
        <v>0</v>
      </c>
      <c r="F1928" s="16" t="s">
        <v>2550</v>
      </c>
      <c r="G1928" s="7" t="s">
        <v>0</v>
      </c>
      <c r="H1928" s="7" t="s">
        <v>0</v>
      </c>
      <c r="I1928" s="7" t="s">
        <v>2548</v>
      </c>
      <c r="J1928" s="7" t="s">
        <v>2548</v>
      </c>
      <c r="K1928" s="7" t="s">
        <v>85</v>
      </c>
      <c r="L1928" s="7" t="s">
        <v>96</v>
      </c>
      <c r="M1928" s="7" t="s">
        <v>616</v>
      </c>
      <c r="N1928" s="7" t="s">
        <v>2547</v>
      </c>
      <c r="O1928" s="7" t="s">
        <v>0</v>
      </c>
      <c r="P1928" s="7" t="s">
        <v>616</v>
      </c>
      <c r="Q1928" s="7" t="s">
        <v>2549</v>
      </c>
      <c r="R1928" s="7" t="s">
        <v>1441</v>
      </c>
      <c r="S1928" s="7" t="s">
        <v>1753</v>
      </c>
      <c r="T1928" s="7" t="s">
        <v>54</v>
      </c>
      <c r="U1928" s="7" t="s">
        <v>210</v>
      </c>
      <c r="V1928" s="7" t="s">
        <v>211</v>
      </c>
      <c r="W1928" s="7" t="s">
        <v>57</v>
      </c>
      <c r="X1928" s="7" t="s">
        <v>103</v>
      </c>
      <c r="Y1928" s="8">
        <v>44634</v>
      </c>
      <c r="Z1928" s="8">
        <v>45000</v>
      </c>
      <c r="AA1928" s="7" t="s">
        <v>212</v>
      </c>
      <c r="AB1928" s="7" t="s">
        <v>130</v>
      </c>
      <c r="AC1928" s="7" t="s">
        <v>79</v>
      </c>
      <c r="AD1928" s="7" t="s">
        <v>80</v>
      </c>
      <c r="AE1928" s="7" t="s">
        <v>82</v>
      </c>
      <c r="AF1928" s="7" t="s">
        <v>0</v>
      </c>
      <c r="AG1928" s="7" t="s">
        <v>2551</v>
      </c>
      <c r="AH1928" s="9" t="s">
        <v>11382</v>
      </c>
      <c r="AI1928" s="9" t="s">
        <v>11383</v>
      </c>
      <c r="AJ1928" s="9" t="s">
        <v>11384</v>
      </c>
      <c r="AK1928" s="7" t="s">
        <v>81</v>
      </c>
      <c r="AL1928" s="7" t="s">
        <v>61</v>
      </c>
      <c r="AM1928" s="7" t="s">
        <v>0</v>
      </c>
      <c r="AN1928" s="7" t="s">
        <v>0</v>
      </c>
      <c r="AO1928" s="7" t="s">
        <v>0</v>
      </c>
      <c r="AP1928" s="7" t="s">
        <v>0</v>
      </c>
      <c r="AQ1928" s="7" t="s">
        <v>61</v>
      </c>
      <c r="AR1928" s="7" t="s">
        <v>0</v>
      </c>
      <c r="AS1928" s="10" t="str">
        <f>HYPERLINK("https://tessa.gazprom-neft.local/edo/card/3d1782bc-de87-42a7-b5ed-b30dc2e59339", "https://tessa.gazprom-neft.local/edo/card/3d1782bc-de87-42a7-b5ed-b30dc2e59339")</f>
        <v>https://tessa.gazprom-neft.local/edo/card/3d1782bc-de87-42a7-b5ed-b30dc2e59339</v>
      </c>
    </row>
    <row r="1929" spans="1:45" hidden="1" x14ac:dyDescent="0.25">
      <c r="A1929" s="6" t="s">
        <v>44</v>
      </c>
      <c r="B1929" s="7" t="s">
        <v>606</v>
      </c>
      <c r="C1929" s="7" t="s">
        <v>67</v>
      </c>
      <c r="D1929" s="8">
        <v>44634</v>
      </c>
      <c r="E1929" s="8" t="s">
        <v>0</v>
      </c>
      <c r="F1929" s="16" t="s">
        <v>607</v>
      </c>
      <c r="G1929" s="7" t="s">
        <v>608</v>
      </c>
      <c r="H1929" s="7" t="s">
        <v>2774</v>
      </c>
      <c r="I1929" s="7" t="s">
        <v>0</v>
      </c>
      <c r="J1929" s="7" t="s">
        <v>1955</v>
      </c>
      <c r="K1929" s="7" t="s">
        <v>47</v>
      </c>
      <c r="L1929" s="7" t="s">
        <v>239</v>
      </c>
      <c r="M1929" s="7" t="s">
        <v>0</v>
      </c>
      <c r="N1929" s="7" t="s">
        <v>2773</v>
      </c>
      <c r="O1929" s="7" t="s">
        <v>0</v>
      </c>
      <c r="P1929" s="7" t="s">
        <v>2775</v>
      </c>
      <c r="Q1929" s="7" t="s">
        <v>2776</v>
      </c>
      <c r="R1929" s="7" t="s">
        <v>938</v>
      </c>
      <c r="S1929" s="7" t="s">
        <v>938</v>
      </c>
      <c r="T1929" s="7" t="s">
        <v>54</v>
      </c>
      <c r="U1929" s="7" t="s">
        <v>605</v>
      </c>
      <c r="V1929" s="7" t="s">
        <v>382</v>
      </c>
      <c r="W1929" s="7" t="s">
        <v>57</v>
      </c>
      <c r="X1929" s="7" t="s">
        <v>103</v>
      </c>
      <c r="Y1929" s="8">
        <v>44634</v>
      </c>
      <c r="Z1929" s="8">
        <v>44926</v>
      </c>
      <c r="AA1929" s="7" t="s">
        <v>383</v>
      </c>
      <c r="AB1929" s="7" t="s">
        <v>888</v>
      </c>
      <c r="AC1929" s="7" t="s">
        <v>79</v>
      </c>
      <c r="AD1929" s="7" t="s">
        <v>144</v>
      </c>
      <c r="AE1929" s="7" t="s">
        <v>82</v>
      </c>
      <c r="AF1929" s="7" t="s">
        <v>0</v>
      </c>
      <c r="AG1929" s="7" t="s">
        <v>0</v>
      </c>
      <c r="AH1929" s="9" t="s">
        <v>11443</v>
      </c>
      <c r="AI1929" s="9" t="s">
        <v>11444</v>
      </c>
      <c r="AJ1929" s="9" t="s">
        <v>11445</v>
      </c>
      <c r="AK1929" s="7" t="s">
        <v>61</v>
      </c>
      <c r="AL1929" s="7" t="s">
        <v>61</v>
      </c>
      <c r="AM1929" s="7" t="s">
        <v>0</v>
      </c>
      <c r="AN1929" s="7" t="s">
        <v>0</v>
      </c>
      <c r="AO1929" s="7" t="s">
        <v>0</v>
      </c>
      <c r="AP1929" s="7" t="s">
        <v>0</v>
      </c>
      <c r="AQ1929" s="7" t="s">
        <v>61</v>
      </c>
      <c r="AR1929" s="7" t="s">
        <v>0</v>
      </c>
      <c r="AS1929" s="10" t="str">
        <f>HYPERLINK("https://tessa.gazprom-neft.local/edo/card/3c7bec45-e063-4fb9-8d48-922ffee15690", "https://tessa.gazprom-neft.local/edo/card/3c7bec45-e063-4fb9-8d48-922ffee15690")</f>
        <v>https://tessa.gazprom-neft.local/edo/card/3c7bec45-e063-4fb9-8d48-922ffee15690</v>
      </c>
    </row>
    <row r="1930" spans="1:45" hidden="1" x14ac:dyDescent="0.25">
      <c r="A1930" s="6" t="s">
        <v>44</v>
      </c>
      <c r="B1930" s="7" t="s">
        <v>245</v>
      </c>
      <c r="C1930" s="7" t="s">
        <v>67</v>
      </c>
      <c r="D1930" s="8">
        <v>44634</v>
      </c>
      <c r="E1930" s="8" t="s">
        <v>0</v>
      </c>
      <c r="F1930" s="16" t="s">
        <v>246</v>
      </c>
      <c r="G1930" s="7" t="s">
        <v>247</v>
      </c>
      <c r="H1930" s="7" t="s">
        <v>1808</v>
      </c>
      <c r="I1930" s="7" t="s">
        <v>0</v>
      </c>
      <c r="J1930" s="7" t="s">
        <v>2905</v>
      </c>
      <c r="K1930" s="7" t="s">
        <v>47</v>
      </c>
      <c r="L1930" s="7" t="s">
        <v>239</v>
      </c>
      <c r="M1930" s="7" t="s">
        <v>0</v>
      </c>
      <c r="N1930" s="7" t="s">
        <v>2903</v>
      </c>
      <c r="O1930" s="7" t="s">
        <v>0</v>
      </c>
      <c r="P1930" s="7" t="s">
        <v>2904</v>
      </c>
      <c r="Q1930" s="7" t="s">
        <v>2906</v>
      </c>
      <c r="R1930" s="7" t="s">
        <v>244</v>
      </c>
      <c r="S1930" s="7" t="s">
        <v>56</v>
      </c>
      <c r="T1930" s="7" t="s">
        <v>54</v>
      </c>
      <c r="U1930" s="7" t="s">
        <v>55</v>
      </c>
      <c r="V1930" s="7" t="s">
        <v>56</v>
      </c>
      <c r="W1930" s="7" t="s">
        <v>57</v>
      </c>
      <c r="X1930" s="7" t="s">
        <v>103</v>
      </c>
      <c r="Y1930" s="8">
        <v>44634</v>
      </c>
      <c r="Z1930" s="8">
        <v>45290</v>
      </c>
      <c r="AA1930" s="7" t="s">
        <v>59</v>
      </c>
      <c r="AB1930" s="7" t="s">
        <v>256</v>
      </c>
      <c r="AC1930" s="7" t="s">
        <v>79</v>
      </c>
      <c r="AD1930" s="7" t="s">
        <v>144</v>
      </c>
      <c r="AE1930" s="7" t="s">
        <v>82</v>
      </c>
      <c r="AF1930" s="7" t="s">
        <v>0</v>
      </c>
      <c r="AG1930" s="7" t="s">
        <v>0</v>
      </c>
      <c r="AH1930" s="9" t="s">
        <v>11482</v>
      </c>
      <c r="AI1930" s="9" t="s">
        <v>11483</v>
      </c>
      <c r="AJ1930" s="9" t="s">
        <v>11484</v>
      </c>
      <c r="AK1930" s="7" t="s">
        <v>61</v>
      </c>
      <c r="AL1930" s="7" t="s">
        <v>61</v>
      </c>
      <c r="AM1930" s="7" t="s">
        <v>0</v>
      </c>
      <c r="AN1930" s="7" t="s">
        <v>0</v>
      </c>
      <c r="AO1930" s="7" t="s">
        <v>0</v>
      </c>
      <c r="AP1930" s="7" t="s">
        <v>0</v>
      </c>
      <c r="AQ1930" s="7" t="s">
        <v>61</v>
      </c>
      <c r="AR1930" s="7" t="s">
        <v>0</v>
      </c>
      <c r="AS1930" s="10" t="str">
        <f>HYPERLINK("https://tessa.gazprom-neft.local/edo/card/dffda732-1a5b-4d72-ba94-274aebcf5dac", "https://tessa.gazprom-neft.local/edo/card/dffda732-1a5b-4d72-ba94-274aebcf5dac")</f>
        <v>https://tessa.gazprom-neft.local/edo/card/dffda732-1a5b-4d72-ba94-274aebcf5dac</v>
      </c>
    </row>
    <row r="1931" spans="1:45" hidden="1" x14ac:dyDescent="0.25">
      <c r="A1931" s="6" t="s">
        <v>44</v>
      </c>
      <c r="B1931" s="7" t="s">
        <v>245</v>
      </c>
      <c r="C1931" s="7" t="s">
        <v>67</v>
      </c>
      <c r="D1931" s="8">
        <v>44631</v>
      </c>
      <c r="E1931" s="8" t="s">
        <v>0</v>
      </c>
      <c r="F1931" s="16" t="s">
        <v>246</v>
      </c>
      <c r="G1931" s="7" t="s">
        <v>247</v>
      </c>
      <c r="H1931" s="7" t="s">
        <v>574</v>
      </c>
      <c r="I1931" s="7" t="s">
        <v>0</v>
      </c>
      <c r="J1931" s="7" t="s">
        <v>2651</v>
      </c>
      <c r="K1931" s="7" t="s">
        <v>47</v>
      </c>
      <c r="L1931" s="7" t="s">
        <v>239</v>
      </c>
      <c r="M1931" s="7" t="s">
        <v>0</v>
      </c>
      <c r="N1931" s="7" t="s">
        <v>2649</v>
      </c>
      <c r="O1931" s="7" t="s">
        <v>0</v>
      </c>
      <c r="P1931" s="7" t="s">
        <v>2650</v>
      </c>
      <c r="Q1931" s="7" t="s">
        <v>2652</v>
      </c>
      <c r="R1931" s="7" t="s">
        <v>198</v>
      </c>
      <c r="S1931" s="7" t="s">
        <v>198</v>
      </c>
      <c r="T1931" s="7" t="s">
        <v>54</v>
      </c>
      <c r="U1931" s="7" t="s">
        <v>199</v>
      </c>
      <c r="V1931" s="7" t="s">
        <v>211</v>
      </c>
      <c r="W1931" s="7" t="s">
        <v>57</v>
      </c>
      <c r="X1931" s="7" t="s">
        <v>103</v>
      </c>
      <c r="Y1931" s="8">
        <v>44631</v>
      </c>
      <c r="Z1931" s="8">
        <v>44926</v>
      </c>
      <c r="AA1931" s="7" t="s">
        <v>212</v>
      </c>
      <c r="AB1931" s="7" t="s">
        <v>256</v>
      </c>
      <c r="AC1931" s="7" t="s">
        <v>79</v>
      </c>
      <c r="AD1931" s="7" t="s">
        <v>80</v>
      </c>
      <c r="AE1931" s="7" t="s">
        <v>82</v>
      </c>
      <c r="AF1931" s="7" t="s">
        <v>0</v>
      </c>
      <c r="AG1931" s="7" t="s">
        <v>0</v>
      </c>
      <c r="AH1931" s="9" t="s">
        <v>11416</v>
      </c>
      <c r="AI1931" s="9" t="s">
        <v>11417</v>
      </c>
      <c r="AJ1931" s="9" t="s">
        <v>11418</v>
      </c>
      <c r="AK1931" s="7" t="s">
        <v>61</v>
      </c>
      <c r="AL1931" s="7" t="s">
        <v>61</v>
      </c>
      <c r="AM1931" s="7" t="s">
        <v>0</v>
      </c>
      <c r="AN1931" s="7" t="s">
        <v>0</v>
      </c>
      <c r="AO1931" s="7" t="s">
        <v>0</v>
      </c>
      <c r="AP1931" s="7" t="s">
        <v>0</v>
      </c>
      <c r="AQ1931" s="7" t="s">
        <v>61</v>
      </c>
      <c r="AR1931" s="7" t="s">
        <v>0</v>
      </c>
      <c r="AS1931" s="10" t="str">
        <f>HYPERLINK("https://tessa.gazprom-neft.local/edo/card/b5f9227e-26ba-4b6e-8671-1220173a3784", "https://tessa.gazprom-neft.local/edo/card/b5f9227e-26ba-4b6e-8671-1220173a3784")</f>
        <v>https://tessa.gazprom-neft.local/edo/card/b5f9227e-26ba-4b6e-8671-1220173a3784</v>
      </c>
    </row>
    <row r="1932" spans="1:45" x14ac:dyDescent="0.25">
      <c r="A1932" s="6" t="s">
        <v>44</v>
      </c>
      <c r="B1932" s="7" t="s">
        <v>727</v>
      </c>
      <c r="C1932" s="7" t="s">
        <v>67</v>
      </c>
      <c r="D1932" s="8">
        <v>44631</v>
      </c>
      <c r="E1932" s="8" t="s">
        <v>0</v>
      </c>
      <c r="F1932" s="16" t="s">
        <v>728</v>
      </c>
      <c r="G1932" s="7" t="s">
        <v>729</v>
      </c>
      <c r="H1932" s="7" t="s">
        <v>2427</v>
      </c>
      <c r="I1932" s="7" t="s">
        <v>0</v>
      </c>
      <c r="J1932" s="7" t="s">
        <v>872</v>
      </c>
      <c r="K1932" s="7" t="s">
        <v>47</v>
      </c>
      <c r="L1932" s="7" t="s">
        <v>48</v>
      </c>
      <c r="M1932" s="7" t="s">
        <v>0</v>
      </c>
      <c r="N1932" s="7" t="s">
        <v>2715</v>
      </c>
      <c r="O1932" s="7" t="s">
        <v>0</v>
      </c>
      <c r="P1932" s="7" t="s">
        <v>2716</v>
      </c>
      <c r="Q1932" s="7" t="s">
        <v>2717</v>
      </c>
      <c r="R1932" s="7" t="s">
        <v>799</v>
      </c>
      <c r="S1932" s="7" t="s">
        <v>0</v>
      </c>
      <c r="T1932" s="7" t="s">
        <v>54</v>
      </c>
      <c r="U1932" s="7" t="s">
        <v>55</v>
      </c>
      <c r="V1932" s="7" t="s">
        <v>56</v>
      </c>
      <c r="W1932" s="7" t="s">
        <v>57</v>
      </c>
      <c r="X1932" s="7" t="s">
        <v>103</v>
      </c>
      <c r="Y1932" s="8">
        <v>44631</v>
      </c>
      <c r="Z1932" s="8">
        <v>45291</v>
      </c>
      <c r="AA1932" s="7" t="s">
        <v>0</v>
      </c>
      <c r="AB1932" s="7" t="s">
        <v>130</v>
      </c>
      <c r="AC1932" s="7" t="s">
        <v>65</v>
      </c>
      <c r="AD1932" s="7" t="s">
        <v>0</v>
      </c>
      <c r="AE1932" s="7" t="s">
        <v>0</v>
      </c>
      <c r="AF1932" s="7" t="s">
        <v>0</v>
      </c>
      <c r="AG1932" s="7" t="s">
        <v>0</v>
      </c>
      <c r="AH1932" s="9" t="s">
        <v>0</v>
      </c>
      <c r="AI1932" s="9" t="s">
        <v>0</v>
      </c>
      <c r="AJ1932" s="9" t="s">
        <v>0</v>
      </c>
      <c r="AK1932" s="7" t="s">
        <v>61</v>
      </c>
      <c r="AL1932" s="7" t="s">
        <v>61</v>
      </c>
      <c r="AM1932" s="7" t="s">
        <v>0</v>
      </c>
      <c r="AN1932" s="7" t="s">
        <v>0</v>
      </c>
      <c r="AO1932" s="7" t="s">
        <v>0</v>
      </c>
      <c r="AP1932" s="7" t="s">
        <v>0</v>
      </c>
      <c r="AQ1932" s="7" t="s">
        <v>61</v>
      </c>
      <c r="AR1932" s="7" t="s">
        <v>0</v>
      </c>
      <c r="AS1932" s="10" t="str">
        <f>HYPERLINK("https://tessa.gazprom-neft.local/edo/card/afcc7a3c-9ed4-48ed-9c7d-f36e07ea5542", "https://tessa.gazprom-neft.local/edo/card/afcc7a3c-9ed4-48ed-9c7d-f36e07ea5542")</f>
        <v>https://tessa.gazprom-neft.local/edo/card/afcc7a3c-9ed4-48ed-9c7d-f36e07ea5542</v>
      </c>
    </row>
    <row r="1933" spans="1:45" x14ac:dyDescent="0.25">
      <c r="A1933" s="6" t="s">
        <v>44</v>
      </c>
      <c r="B1933" s="7" t="s">
        <v>297</v>
      </c>
      <c r="C1933" s="7" t="s">
        <v>67</v>
      </c>
      <c r="D1933" s="8">
        <v>44631</v>
      </c>
      <c r="E1933" s="8" t="s">
        <v>0</v>
      </c>
      <c r="F1933" s="16" t="s">
        <v>298</v>
      </c>
      <c r="G1933" s="7" t="s">
        <v>299</v>
      </c>
      <c r="H1933" s="7" t="s">
        <v>2763</v>
      </c>
      <c r="I1933" s="7" t="s">
        <v>0</v>
      </c>
      <c r="J1933" s="7" t="s">
        <v>51</v>
      </c>
      <c r="K1933" s="7" t="s">
        <v>47</v>
      </c>
      <c r="L1933" s="7" t="s">
        <v>48</v>
      </c>
      <c r="M1933" s="7" t="s">
        <v>0</v>
      </c>
      <c r="N1933" s="7" t="s">
        <v>2762</v>
      </c>
      <c r="O1933" s="7" t="s">
        <v>0</v>
      </c>
      <c r="P1933" s="7" t="s">
        <v>50</v>
      </c>
      <c r="Q1933" s="7" t="s">
        <v>2764</v>
      </c>
      <c r="R1933" s="7" t="s">
        <v>198</v>
      </c>
      <c r="S1933" s="7" t="s">
        <v>198</v>
      </c>
      <c r="T1933" s="7" t="s">
        <v>54</v>
      </c>
      <c r="U1933" s="7" t="s">
        <v>199</v>
      </c>
      <c r="V1933" s="7" t="s">
        <v>211</v>
      </c>
      <c r="W1933" s="7" t="s">
        <v>57</v>
      </c>
      <c r="X1933" s="7" t="s">
        <v>103</v>
      </c>
      <c r="Y1933" s="8">
        <v>44631</v>
      </c>
      <c r="Z1933" s="8">
        <v>45291</v>
      </c>
      <c r="AA1933" s="7" t="s">
        <v>212</v>
      </c>
      <c r="AB1933" s="7" t="s">
        <v>2585</v>
      </c>
      <c r="AC1933" s="7" t="s">
        <v>65</v>
      </c>
      <c r="AD1933" s="7" t="s">
        <v>514</v>
      </c>
      <c r="AE1933" s="7" t="s">
        <v>0</v>
      </c>
      <c r="AF1933" s="7" t="s">
        <v>0</v>
      </c>
      <c r="AG1933" s="7" t="s">
        <v>0</v>
      </c>
      <c r="AH1933" s="9" t="s">
        <v>0</v>
      </c>
      <c r="AI1933" s="9" t="s">
        <v>0</v>
      </c>
      <c r="AJ1933" s="9" t="s">
        <v>0</v>
      </c>
      <c r="AK1933" s="7" t="s">
        <v>61</v>
      </c>
      <c r="AL1933" s="7" t="s">
        <v>61</v>
      </c>
      <c r="AM1933" s="7" t="s">
        <v>0</v>
      </c>
      <c r="AN1933" s="7" t="s">
        <v>0</v>
      </c>
      <c r="AO1933" s="7" t="s">
        <v>0</v>
      </c>
      <c r="AP1933" s="7" t="s">
        <v>0</v>
      </c>
      <c r="AQ1933" s="7" t="s">
        <v>61</v>
      </c>
      <c r="AR1933" s="7" t="s">
        <v>0</v>
      </c>
      <c r="AS1933" s="10" t="str">
        <f>HYPERLINK("https://tessa.gazprom-neft.local/edo/card/15bfb335-9fb7-4cef-bb58-ba0e5404dade", "https://tessa.gazprom-neft.local/edo/card/15bfb335-9fb7-4cef-bb58-ba0e5404dade")</f>
        <v>https://tessa.gazprom-neft.local/edo/card/15bfb335-9fb7-4cef-bb58-ba0e5404dade</v>
      </c>
    </row>
    <row r="1934" spans="1:45" x14ac:dyDescent="0.25">
      <c r="A1934" s="6" t="s">
        <v>44</v>
      </c>
      <c r="B1934" s="7" t="s">
        <v>374</v>
      </c>
      <c r="C1934" s="7" t="s">
        <v>67</v>
      </c>
      <c r="D1934" s="8">
        <v>44630</v>
      </c>
      <c r="E1934" s="8" t="s">
        <v>0</v>
      </c>
      <c r="F1934" s="16" t="s">
        <v>375</v>
      </c>
      <c r="G1934" s="7" t="s">
        <v>376</v>
      </c>
      <c r="H1934" s="7" t="s">
        <v>919</v>
      </c>
      <c r="I1934" s="7" t="s">
        <v>0</v>
      </c>
      <c r="J1934" s="7" t="s">
        <v>51</v>
      </c>
      <c r="K1934" s="7" t="s">
        <v>47</v>
      </c>
      <c r="L1934" s="7" t="s">
        <v>48</v>
      </c>
      <c r="M1934" s="7" t="s">
        <v>0</v>
      </c>
      <c r="N1934" s="7" t="s">
        <v>918</v>
      </c>
      <c r="O1934" s="7" t="s">
        <v>0</v>
      </c>
      <c r="P1934" s="7" t="s">
        <v>920</v>
      </c>
      <c r="Q1934" s="7" t="s">
        <v>921</v>
      </c>
      <c r="R1934" s="7" t="s">
        <v>324</v>
      </c>
      <c r="S1934" s="7" t="s">
        <v>324</v>
      </c>
      <c r="T1934" s="7" t="s">
        <v>54</v>
      </c>
      <c r="U1934" s="7" t="s">
        <v>188</v>
      </c>
      <c r="V1934" s="7" t="s">
        <v>187</v>
      </c>
      <c r="W1934" s="7" t="s">
        <v>57</v>
      </c>
      <c r="X1934" s="7" t="s">
        <v>58</v>
      </c>
      <c r="Y1934" s="8">
        <v>44562</v>
      </c>
      <c r="Z1934" s="8" t="s">
        <v>0</v>
      </c>
      <c r="AA1934" s="7" t="s">
        <v>922</v>
      </c>
      <c r="AB1934" s="7" t="s">
        <v>64</v>
      </c>
      <c r="AC1934" s="7" t="s">
        <v>65</v>
      </c>
      <c r="AD1934" s="7" t="s">
        <v>0</v>
      </c>
      <c r="AE1934" s="7" t="s">
        <v>0</v>
      </c>
      <c r="AF1934" s="7" t="s">
        <v>0</v>
      </c>
      <c r="AG1934" s="7" t="s">
        <v>0</v>
      </c>
      <c r="AH1934" s="9" t="s">
        <v>0</v>
      </c>
      <c r="AI1934" s="9" t="s">
        <v>0</v>
      </c>
      <c r="AJ1934" s="9" t="s">
        <v>0</v>
      </c>
      <c r="AK1934" s="7" t="s">
        <v>61</v>
      </c>
      <c r="AL1934" s="7" t="s">
        <v>61</v>
      </c>
      <c r="AM1934" s="7" t="s">
        <v>0</v>
      </c>
      <c r="AN1934" s="7" t="s">
        <v>0</v>
      </c>
      <c r="AO1934" s="7" t="s">
        <v>0</v>
      </c>
      <c r="AP1934" s="7" t="s">
        <v>0</v>
      </c>
      <c r="AQ1934" s="7" t="s">
        <v>61</v>
      </c>
      <c r="AR1934" s="7" t="s">
        <v>0</v>
      </c>
      <c r="AS1934" s="10" t="str">
        <f>HYPERLINK("https://tessa.gazprom-neft.local/edo/card/fdd780a4-1236-4838-98bb-5fb880e499e2", "https://tessa.gazprom-neft.local/edo/card/fdd780a4-1236-4838-98bb-5fb880e499e2")</f>
        <v>https://tessa.gazprom-neft.local/edo/card/fdd780a4-1236-4838-98bb-5fb880e499e2</v>
      </c>
    </row>
    <row r="1935" spans="1:45" hidden="1" x14ac:dyDescent="0.25">
      <c r="A1935" s="6" t="s">
        <v>44</v>
      </c>
      <c r="B1935" s="7" t="s">
        <v>284</v>
      </c>
      <c r="C1935" s="7" t="s">
        <v>67</v>
      </c>
      <c r="D1935" s="8">
        <v>44630</v>
      </c>
      <c r="E1935" s="8" t="s">
        <v>0</v>
      </c>
      <c r="F1935" s="16" t="s">
        <v>2663</v>
      </c>
      <c r="G1935" s="7" t="s">
        <v>286</v>
      </c>
      <c r="H1935" s="7" t="s">
        <v>770</v>
      </c>
      <c r="I1935" s="7" t="s">
        <v>0</v>
      </c>
      <c r="J1935" s="7" t="s">
        <v>51</v>
      </c>
      <c r="K1935" s="7" t="s">
        <v>47</v>
      </c>
      <c r="L1935" s="7" t="s">
        <v>239</v>
      </c>
      <c r="M1935" s="7" t="s">
        <v>0</v>
      </c>
      <c r="N1935" s="7" t="s">
        <v>2660</v>
      </c>
      <c r="O1935" s="7" t="s">
        <v>0</v>
      </c>
      <c r="P1935" s="7" t="s">
        <v>2661</v>
      </c>
      <c r="Q1935" s="7" t="s">
        <v>2662</v>
      </c>
      <c r="R1935" s="7" t="s">
        <v>198</v>
      </c>
      <c r="S1935" s="7" t="s">
        <v>0</v>
      </c>
      <c r="T1935" s="7" t="s">
        <v>54</v>
      </c>
      <c r="U1935" s="7" t="s">
        <v>199</v>
      </c>
      <c r="V1935" s="7" t="s">
        <v>211</v>
      </c>
      <c r="W1935" s="7" t="s">
        <v>57</v>
      </c>
      <c r="X1935" s="7" t="s">
        <v>103</v>
      </c>
      <c r="Y1935" s="8">
        <v>44644</v>
      </c>
      <c r="Z1935" s="8">
        <v>44742</v>
      </c>
      <c r="AA1935" s="7" t="s">
        <v>212</v>
      </c>
      <c r="AB1935" s="7" t="s">
        <v>423</v>
      </c>
      <c r="AC1935" s="7" t="s">
        <v>79</v>
      </c>
      <c r="AD1935" s="7" t="s">
        <v>144</v>
      </c>
      <c r="AE1935" s="7" t="s">
        <v>82</v>
      </c>
      <c r="AF1935" s="7" t="s">
        <v>0</v>
      </c>
      <c r="AG1935" s="7" t="s">
        <v>0</v>
      </c>
      <c r="AH1935" s="9" t="s">
        <v>11422</v>
      </c>
      <c r="AI1935" s="9" t="s">
        <v>11423</v>
      </c>
      <c r="AJ1935" s="9" t="s">
        <v>11424</v>
      </c>
      <c r="AK1935" s="7" t="s">
        <v>61</v>
      </c>
      <c r="AL1935" s="7" t="s">
        <v>61</v>
      </c>
      <c r="AM1935" s="7" t="s">
        <v>0</v>
      </c>
      <c r="AN1935" s="7" t="s">
        <v>0</v>
      </c>
      <c r="AO1935" s="7" t="s">
        <v>0</v>
      </c>
      <c r="AP1935" s="7" t="s">
        <v>0</v>
      </c>
      <c r="AQ1935" s="7" t="s">
        <v>61</v>
      </c>
      <c r="AR1935" s="7" t="s">
        <v>0</v>
      </c>
      <c r="AS1935" s="10" t="str">
        <f>HYPERLINK("https://tessa.gazprom-neft.local/edo/card/21ab551e-25e9-4ec6-aa85-fcae828de1fa", "https://tessa.gazprom-neft.local/edo/card/21ab551e-25e9-4ec6-aa85-fcae828de1fa")</f>
        <v>https://tessa.gazprom-neft.local/edo/card/21ab551e-25e9-4ec6-aa85-fcae828de1fa</v>
      </c>
    </row>
    <row r="1936" spans="1:45" x14ac:dyDescent="0.25">
      <c r="A1936" s="6" t="s">
        <v>44</v>
      </c>
      <c r="B1936" s="7" t="s">
        <v>2193</v>
      </c>
      <c r="C1936" s="7" t="s">
        <v>67</v>
      </c>
      <c r="D1936" s="8">
        <v>44629</v>
      </c>
      <c r="E1936" s="8" t="s">
        <v>0</v>
      </c>
      <c r="F1936" s="16" t="s">
        <v>2194</v>
      </c>
      <c r="G1936" s="7" t="s">
        <v>2195</v>
      </c>
      <c r="H1936" s="7" t="s">
        <v>2191</v>
      </c>
      <c r="I1936" s="7" t="s">
        <v>0</v>
      </c>
      <c r="J1936" s="7" t="s">
        <v>156</v>
      </c>
      <c r="K1936" s="7" t="s">
        <v>47</v>
      </c>
      <c r="L1936" s="7" t="s">
        <v>48</v>
      </c>
      <c r="M1936" s="7" t="s">
        <v>0</v>
      </c>
      <c r="N1936" s="7" t="s">
        <v>2190</v>
      </c>
      <c r="O1936" s="7" t="s">
        <v>0</v>
      </c>
      <c r="P1936" s="7" t="s">
        <v>1474</v>
      </c>
      <c r="Q1936" s="7" t="s">
        <v>2192</v>
      </c>
      <c r="R1936" s="7" t="s">
        <v>135</v>
      </c>
      <c r="S1936" s="7" t="s">
        <v>135</v>
      </c>
      <c r="T1936" s="7" t="s">
        <v>54</v>
      </c>
      <c r="U1936" s="7" t="s">
        <v>136</v>
      </c>
      <c r="V1936" s="7" t="s">
        <v>102</v>
      </c>
      <c r="W1936" s="7" t="s">
        <v>57</v>
      </c>
      <c r="X1936" s="7" t="s">
        <v>103</v>
      </c>
      <c r="Y1936" s="8">
        <v>44629</v>
      </c>
      <c r="Z1936" s="8">
        <v>44926</v>
      </c>
      <c r="AA1936" s="7" t="s">
        <v>104</v>
      </c>
      <c r="AB1936" s="7" t="s">
        <v>130</v>
      </c>
      <c r="AC1936" s="7" t="s">
        <v>65</v>
      </c>
      <c r="AD1936" s="7" t="s">
        <v>0</v>
      </c>
      <c r="AE1936" s="7" t="s">
        <v>0</v>
      </c>
      <c r="AF1936" s="7" t="s">
        <v>0</v>
      </c>
      <c r="AG1936" s="7" t="s">
        <v>0</v>
      </c>
      <c r="AH1936" s="9" t="s">
        <v>0</v>
      </c>
      <c r="AI1936" s="9" t="s">
        <v>0</v>
      </c>
      <c r="AJ1936" s="9" t="s">
        <v>0</v>
      </c>
      <c r="AK1936" s="7" t="s">
        <v>61</v>
      </c>
      <c r="AL1936" s="7" t="s">
        <v>61</v>
      </c>
      <c r="AM1936" s="7" t="s">
        <v>0</v>
      </c>
      <c r="AN1936" s="7" t="s">
        <v>0</v>
      </c>
      <c r="AO1936" s="7" t="s">
        <v>0</v>
      </c>
      <c r="AP1936" s="7" t="s">
        <v>0</v>
      </c>
      <c r="AQ1936" s="7" t="s">
        <v>61</v>
      </c>
      <c r="AR1936" s="7" t="s">
        <v>0</v>
      </c>
      <c r="AS1936" s="10" t="str">
        <f>HYPERLINK("https://tessa.gazprom-neft.local/edo/card/7c8ab5b8-1c1f-463f-9a5d-f7a413b0dc12", "https://tessa.gazprom-neft.local/edo/card/7c8ab5b8-1c1f-463f-9a5d-f7a413b0dc12")</f>
        <v>https://tessa.gazprom-neft.local/edo/card/7c8ab5b8-1c1f-463f-9a5d-f7a413b0dc12</v>
      </c>
    </row>
    <row r="1937" spans="1:45" hidden="1" x14ac:dyDescent="0.25">
      <c r="A1937" s="6" t="s">
        <v>44</v>
      </c>
      <c r="B1937" s="7" t="s">
        <v>2193</v>
      </c>
      <c r="C1937" s="7" t="s">
        <v>67</v>
      </c>
      <c r="D1937" s="8">
        <v>44629</v>
      </c>
      <c r="E1937" s="8" t="s">
        <v>0</v>
      </c>
      <c r="F1937" s="16" t="s">
        <v>2194</v>
      </c>
      <c r="G1937" s="7" t="s">
        <v>2195</v>
      </c>
      <c r="H1937" s="7" t="s">
        <v>0</v>
      </c>
      <c r="I1937" s="7" t="s">
        <v>2201</v>
      </c>
      <c r="J1937" s="7" t="s">
        <v>2201</v>
      </c>
      <c r="K1937" s="7" t="s">
        <v>85</v>
      </c>
      <c r="L1937" s="7" t="s">
        <v>86</v>
      </c>
      <c r="M1937" s="7" t="s">
        <v>289</v>
      </c>
      <c r="N1937" s="7" t="s">
        <v>2200</v>
      </c>
      <c r="O1937" s="7" t="s">
        <v>0</v>
      </c>
      <c r="P1937" s="7" t="s">
        <v>289</v>
      </c>
      <c r="Q1937" s="7" t="s">
        <v>426</v>
      </c>
      <c r="R1937" s="7" t="s">
        <v>135</v>
      </c>
      <c r="S1937" s="7" t="s">
        <v>135</v>
      </c>
      <c r="T1937" s="7" t="s">
        <v>54</v>
      </c>
      <c r="U1937" s="7" t="s">
        <v>136</v>
      </c>
      <c r="V1937" s="7" t="s">
        <v>102</v>
      </c>
      <c r="W1937" s="7" t="s">
        <v>57</v>
      </c>
      <c r="X1937" s="7" t="s">
        <v>223</v>
      </c>
      <c r="Y1937" s="8">
        <v>44629</v>
      </c>
      <c r="Z1937" s="8" t="s">
        <v>0</v>
      </c>
      <c r="AA1937" s="7" t="s">
        <v>104</v>
      </c>
      <c r="AB1937" s="7" t="s">
        <v>300</v>
      </c>
      <c r="AC1937" s="7" t="s">
        <v>65</v>
      </c>
      <c r="AD1937" s="7" t="s">
        <v>0</v>
      </c>
      <c r="AE1937" s="7" t="s">
        <v>0</v>
      </c>
      <c r="AF1937" s="7" t="s">
        <v>0</v>
      </c>
      <c r="AG1937" s="7" t="s">
        <v>0</v>
      </c>
      <c r="AH1937" s="9" t="s">
        <v>0</v>
      </c>
      <c r="AI1937" s="9" t="s">
        <v>0</v>
      </c>
      <c r="AJ1937" s="9" t="s">
        <v>0</v>
      </c>
      <c r="AK1937" s="7" t="s">
        <v>61</v>
      </c>
      <c r="AL1937" s="7" t="s">
        <v>61</v>
      </c>
      <c r="AM1937" s="7" t="s">
        <v>0</v>
      </c>
      <c r="AN1937" s="7" t="s">
        <v>0</v>
      </c>
      <c r="AO1937" s="7" t="s">
        <v>0</v>
      </c>
      <c r="AP1937" s="7" t="s">
        <v>0</v>
      </c>
      <c r="AQ1937" s="7" t="s">
        <v>61</v>
      </c>
      <c r="AR1937" s="7" t="s">
        <v>0</v>
      </c>
      <c r="AS1937" s="10" t="str">
        <f>HYPERLINK("https://tessa.gazprom-neft.local/edo/card/cf73ac90-4d1e-4c15-b6d9-b9239347d252", "https://tessa.gazprom-neft.local/edo/card/cf73ac90-4d1e-4c15-b6d9-b9239347d252")</f>
        <v>https://tessa.gazprom-neft.local/edo/card/cf73ac90-4d1e-4c15-b6d9-b9239347d252</v>
      </c>
    </row>
    <row r="1938" spans="1:45" x14ac:dyDescent="0.25">
      <c r="A1938" s="6" t="s">
        <v>44</v>
      </c>
      <c r="B1938" s="7" t="s">
        <v>1084</v>
      </c>
      <c r="C1938" s="7" t="s">
        <v>492</v>
      </c>
      <c r="D1938" s="8">
        <v>44629</v>
      </c>
      <c r="E1938" s="8" t="s">
        <v>0</v>
      </c>
      <c r="F1938" s="16" t="s">
        <v>1085</v>
      </c>
      <c r="G1938" s="7" t="s">
        <v>1086</v>
      </c>
      <c r="H1938" s="7" t="s">
        <v>2501</v>
      </c>
      <c r="I1938" s="7" t="s">
        <v>0</v>
      </c>
      <c r="J1938" s="7" t="s">
        <v>0</v>
      </c>
      <c r="K1938" s="7" t="s">
        <v>47</v>
      </c>
      <c r="L1938" s="7" t="s">
        <v>48</v>
      </c>
      <c r="M1938" s="7" t="s">
        <v>0</v>
      </c>
      <c r="N1938" s="7" t="s">
        <v>2500</v>
      </c>
      <c r="O1938" s="7" t="s">
        <v>0</v>
      </c>
      <c r="P1938" s="7" t="s">
        <v>50</v>
      </c>
      <c r="Q1938" s="7" t="s">
        <v>2502</v>
      </c>
      <c r="R1938" s="7" t="s">
        <v>1083</v>
      </c>
      <c r="S1938" s="7" t="s">
        <v>1638</v>
      </c>
      <c r="T1938" s="7" t="s">
        <v>54</v>
      </c>
      <c r="U1938" s="7" t="s">
        <v>274</v>
      </c>
      <c r="V1938" s="7" t="s">
        <v>846</v>
      </c>
      <c r="W1938" s="7" t="s">
        <v>57</v>
      </c>
      <c r="X1938" s="7" t="s">
        <v>103</v>
      </c>
      <c r="Y1938" s="8">
        <v>44629</v>
      </c>
      <c r="Z1938" s="8">
        <v>45291</v>
      </c>
      <c r="AA1938" s="7" t="s">
        <v>1639</v>
      </c>
      <c r="AB1938" s="7" t="s">
        <v>64</v>
      </c>
      <c r="AC1938" s="7" t="s">
        <v>278</v>
      </c>
      <c r="AD1938" s="7" t="s">
        <v>80</v>
      </c>
      <c r="AE1938" s="7" t="s">
        <v>82</v>
      </c>
      <c r="AF1938" s="7" t="s">
        <v>0</v>
      </c>
      <c r="AG1938" s="7" t="s">
        <v>0</v>
      </c>
      <c r="AH1938" s="9" t="s">
        <v>11358</v>
      </c>
      <c r="AI1938" s="9" t="s">
        <v>11359</v>
      </c>
      <c r="AJ1938" s="9" t="s">
        <v>11360</v>
      </c>
      <c r="AK1938" s="7" t="s">
        <v>61</v>
      </c>
      <c r="AL1938" s="7" t="s">
        <v>61</v>
      </c>
      <c r="AM1938" s="7" t="s">
        <v>0</v>
      </c>
      <c r="AN1938" s="7" t="s">
        <v>0</v>
      </c>
      <c r="AO1938" s="7" t="s">
        <v>0</v>
      </c>
      <c r="AP1938" s="7" t="s">
        <v>0</v>
      </c>
      <c r="AQ1938" s="7" t="s">
        <v>61</v>
      </c>
      <c r="AR1938" s="7" t="s">
        <v>0</v>
      </c>
      <c r="AS1938" s="10" t="str">
        <f>HYPERLINK("https://tessa.gazprom-neft.local/edo/card/9dc66761-797b-4854-9c82-58d039fc25fb", "https://tessa.gazprom-neft.local/edo/card/9dc66761-797b-4854-9c82-58d039fc25fb")</f>
        <v>https://tessa.gazprom-neft.local/edo/card/9dc66761-797b-4854-9c82-58d039fc25fb</v>
      </c>
    </row>
    <row r="1939" spans="1:45" hidden="1" x14ac:dyDescent="0.25">
      <c r="A1939" s="6" t="s">
        <v>44</v>
      </c>
      <c r="B1939" s="7" t="s">
        <v>1640</v>
      </c>
      <c r="C1939" s="7" t="s">
        <v>46</v>
      </c>
      <c r="D1939" s="8">
        <v>44629</v>
      </c>
      <c r="E1939" s="8" t="s">
        <v>0</v>
      </c>
      <c r="F1939" s="16" t="s">
        <v>1641</v>
      </c>
      <c r="G1939" s="7" t="s">
        <v>1642</v>
      </c>
      <c r="H1939" s="7" t="s">
        <v>1635</v>
      </c>
      <c r="I1939" s="7" t="s">
        <v>0</v>
      </c>
      <c r="J1939" s="7" t="s">
        <v>51</v>
      </c>
      <c r="K1939" s="7" t="s">
        <v>47</v>
      </c>
      <c r="L1939" s="7" t="s">
        <v>389</v>
      </c>
      <c r="M1939" s="7" t="s">
        <v>0</v>
      </c>
      <c r="N1939" s="7" t="s">
        <v>2514</v>
      </c>
      <c r="O1939" s="7" t="s">
        <v>2515</v>
      </c>
      <c r="P1939" s="7" t="s">
        <v>2516</v>
      </c>
      <c r="Q1939" s="7" t="s">
        <v>2502</v>
      </c>
      <c r="R1939" s="7" t="s">
        <v>1083</v>
      </c>
      <c r="S1939" s="7" t="s">
        <v>1638</v>
      </c>
      <c r="T1939" s="7" t="s">
        <v>54</v>
      </c>
      <c r="U1939" s="7" t="s">
        <v>274</v>
      </c>
      <c r="V1939" s="7" t="s">
        <v>846</v>
      </c>
      <c r="W1939" s="7" t="s">
        <v>57</v>
      </c>
      <c r="X1939" s="7" t="s">
        <v>103</v>
      </c>
      <c r="Y1939" s="8">
        <v>44629</v>
      </c>
      <c r="Z1939" s="8">
        <v>44957</v>
      </c>
      <c r="AA1939" s="7" t="s">
        <v>1639</v>
      </c>
      <c r="AB1939" s="7" t="s">
        <v>64</v>
      </c>
      <c r="AC1939" s="7" t="s">
        <v>278</v>
      </c>
      <c r="AD1939" s="7" t="s">
        <v>80</v>
      </c>
      <c r="AE1939" s="7" t="s">
        <v>82</v>
      </c>
      <c r="AF1939" s="7" t="s">
        <v>0</v>
      </c>
      <c r="AG1939" s="7" t="s">
        <v>0</v>
      </c>
      <c r="AH1939" s="9" t="s">
        <v>11370</v>
      </c>
      <c r="AI1939" s="9" t="s">
        <v>11371</v>
      </c>
      <c r="AJ1939" s="9" t="s">
        <v>11372</v>
      </c>
      <c r="AK1939" s="7" t="s">
        <v>61</v>
      </c>
      <c r="AL1939" s="7" t="s">
        <v>61</v>
      </c>
      <c r="AM1939" s="7" t="s">
        <v>0</v>
      </c>
      <c r="AN1939" s="7" t="s">
        <v>0</v>
      </c>
      <c r="AO1939" s="7" t="s">
        <v>0</v>
      </c>
      <c r="AP1939" s="7" t="s">
        <v>0</v>
      </c>
      <c r="AQ1939" s="7" t="s">
        <v>61</v>
      </c>
      <c r="AR1939" s="7" t="s">
        <v>0</v>
      </c>
      <c r="AS1939" s="10" t="str">
        <f>HYPERLINK("https://tessa.gazprom-neft.local/edo/card/204fa440-a995-4d26-8a45-98e2eaef8cce", "https://tessa.gazprom-neft.local/edo/card/204fa440-a995-4d26-8a45-98e2eaef8cce")</f>
        <v>https://tessa.gazprom-neft.local/edo/card/204fa440-a995-4d26-8a45-98e2eaef8cce</v>
      </c>
    </row>
    <row r="1940" spans="1:45" hidden="1" x14ac:dyDescent="0.25">
      <c r="A1940" s="6" t="s">
        <v>44</v>
      </c>
      <c r="B1940" s="7" t="s">
        <v>2108</v>
      </c>
      <c r="C1940" s="7" t="s">
        <v>67</v>
      </c>
      <c r="D1940" s="8">
        <v>44627</v>
      </c>
      <c r="E1940" s="8" t="s">
        <v>0</v>
      </c>
      <c r="F1940" s="16" t="s">
        <v>2109</v>
      </c>
      <c r="G1940" s="7" t="s">
        <v>2110</v>
      </c>
      <c r="H1940" s="7" t="s">
        <v>0</v>
      </c>
      <c r="I1940" s="7" t="s">
        <v>2107</v>
      </c>
      <c r="J1940" s="7" t="s">
        <v>2107</v>
      </c>
      <c r="K1940" s="7" t="s">
        <v>85</v>
      </c>
      <c r="L1940" s="7" t="s">
        <v>96</v>
      </c>
      <c r="M1940" s="7" t="s">
        <v>1050</v>
      </c>
      <c r="N1940" s="7" t="s">
        <v>2106</v>
      </c>
      <c r="O1940" s="7" t="s">
        <v>0</v>
      </c>
      <c r="P1940" s="7" t="s">
        <v>1050</v>
      </c>
      <c r="Q1940" s="7" t="s">
        <v>1980</v>
      </c>
      <c r="R1940" s="7" t="s">
        <v>177</v>
      </c>
      <c r="S1940" s="7" t="s">
        <v>1753</v>
      </c>
      <c r="T1940" s="7" t="s">
        <v>54</v>
      </c>
      <c r="U1940" s="7" t="s">
        <v>210</v>
      </c>
      <c r="V1940" s="7" t="s">
        <v>137</v>
      </c>
      <c r="W1940" s="7" t="s">
        <v>57</v>
      </c>
      <c r="X1940" s="7" t="s">
        <v>103</v>
      </c>
      <c r="Y1940" s="8">
        <v>44627</v>
      </c>
      <c r="Z1940" s="8">
        <v>45000</v>
      </c>
      <c r="AA1940" s="7" t="s">
        <v>0</v>
      </c>
      <c r="AB1940" s="7" t="s">
        <v>130</v>
      </c>
      <c r="AC1940" s="7" t="s">
        <v>79</v>
      </c>
      <c r="AD1940" s="7" t="s">
        <v>80</v>
      </c>
      <c r="AE1940" s="7" t="s">
        <v>82</v>
      </c>
      <c r="AF1940" s="7" t="s">
        <v>0</v>
      </c>
      <c r="AG1940" s="7" t="s">
        <v>0</v>
      </c>
      <c r="AH1940" s="9" t="s">
        <v>11244</v>
      </c>
      <c r="AI1940" s="9" t="s">
        <v>11245</v>
      </c>
      <c r="AJ1940" s="9" t="s">
        <v>11246</v>
      </c>
      <c r="AK1940" s="7" t="s">
        <v>61</v>
      </c>
      <c r="AL1940" s="7" t="s">
        <v>61</v>
      </c>
      <c r="AM1940" s="7" t="s">
        <v>0</v>
      </c>
      <c r="AN1940" s="7" t="s">
        <v>0</v>
      </c>
      <c r="AO1940" s="7" t="s">
        <v>0</v>
      </c>
      <c r="AP1940" s="7" t="s">
        <v>0</v>
      </c>
      <c r="AQ1940" s="7" t="s">
        <v>61</v>
      </c>
      <c r="AR1940" s="7" t="s">
        <v>0</v>
      </c>
      <c r="AS1940" s="10" t="str">
        <f>HYPERLINK("https://tessa.gazprom-neft.local/edo/card/3f32b0dd-89b9-4557-b9fd-9d1070911bb8", "https://tessa.gazprom-neft.local/edo/card/3f32b0dd-89b9-4557-b9fd-9d1070911bb8")</f>
        <v>https://tessa.gazprom-neft.local/edo/card/3f32b0dd-89b9-4557-b9fd-9d1070911bb8</v>
      </c>
    </row>
    <row r="1941" spans="1:45" hidden="1" x14ac:dyDescent="0.25">
      <c r="A1941" s="6" t="s">
        <v>44</v>
      </c>
      <c r="B1941" s="7" t="s">
        <v>705</v>
      </c>
      <c r="C1941" s="7" t="s">
        <v>67</v>
      </c>
      <c r="D1941" s="8">
        <v>44625</v>
      </c>
      <c r="E1941" s="8" t="s">
        <v>0</v>
      </c>
      <c r="F1941" s="16" t="s">
        <v>706</v>
      </c>
      <c r="G1941" s="7" t="s">
        <v>707</v>
      </c>
      <c r="H1941" s="7" t="s">
        <v>0</v>
      </c>
      <c r="I1941" s="7" t="s">
        <v>2490</v>
      </c>
      <c r="J1941" s="7" t="s">
        <v>2490</v>
      </c>
      <c r="K1941" s="7" t="s">
        <v>85</v>
      </c>
      <c r="L1941" s="7" t="s">
        <v>86</v>
      </c>
      <c r="M1941" s="7" t="s">
        <v>216</v>
      </c>
      <c r="N1941" s="7" t="s">
        <v>2489</v>
      </c>
      <c r="O1941" s="7" t="s">
        <v>0</v>
      </c>
      <c r="P1941" s="7" t="s">
        <v>216</v>
      </c>
      <c r="Q1941" s="7" t="s">
        <v>2491</v>
      </c>
      <c r="R1941" s="7" t="s">
        <v>799</v>
      </c>
      <c r="S1941" s="7" t="s">
        <v>0</v>
      </c>
      <c r="T1941" s="7" t="s">
        <v>54</v>
      </c>
      <c r="U1941" s="7" t="s">
        <v>55</v>
      </c>
      <c r="V1941" s="7" t="s">
        <v>56</v>
      </c>
      <c r="W1941" s="7" t="s">
        <v>57</v>
      </c>
      <c r="X1941" s="7" t="s">
        <v>58</v>
      </c>
      <c r="Y1941" s="8">
        <v>44625</v>
      </c>
      <c r="Z1941" s="8" t="s">
        <v>0</v>
      </c>
      <c r="AA1941" s="7" t="s">
        <v>0</v>
      </c>
      <c r="AB1941" s="7" t="s">
        <v>228</v>
      </c>
      <c r="AC1941" s="7" t="s">
        <v>65</v>
      </c>
      <c r="AD1941" s="7" t="s">
        <v>0</v>
      </c>
      <c r="AE1941" s="7" t="s">
        <v>0</v>
      </c>
      <c r="AF1941" s="7" t="s">
        <v>0</v>
      </c>
      <c r="AG1941" s="7" t="s">
        <v>0</v>
      </c>
      <c r="AH1941" s="9" t="s">
        <v>0</v>
      </c>
      <c r="AI1941" s="9" t="s">
        <v>0</v>
      </c>
      <c r="AJ1941" s="9" t="s">
        <v>0</v>
      </c>
      <c r="AK1941" s="7" t="s">
        <v>61</v>
      </c>
      <c r="AL1941" s="7" t="s">
        <v>61</v>
      </c>
      <c r="AM1941" s="7" t="s">
        <v>0</v>
      </c>
      <c r="AN1941" s="7" t="s">
        <v>0</v>
      </c>
      <c r="AO1941" s="7" t="s">
        <v>0</v>
      </c>
      <c r="AP1941" s="7" t="s">
        <v>0</v>
      </c>
      <c r="AQ1941" s="7" t="s">
        <v>61</v>
      </c>
      <c r="AR1941" s="7" t="s">
        <v>0</v>
      </c>
      <c r="AS1941" s="10" t="str">
        <f>HYPERLINK("https://tessa.gazprom-neft.local/edo/card/2c92d85f-ac2c-4d2d-bf25-2a5d42a71c70", "https://tessa.gazprom-neft.local/edo/card/2c92d85f-ac2c-4d2d-bf25-2a5d42a71c70")</f>
        <v>https://tessa.gazprom-neft.local/edo/card/2c92d85f-ac2c-4d2d-bf25-2a5d42a71c70</v>
      </c>
    </row>
    <row r="1942" spans="1:45" hidden="1" x14ac:dyDescent="0.25">
      <c r="A1942" s="6" t="s">
        <v>44</v>
      </c>
      <c r="B1942" s="7" t="s">
        <v>0</v>
      </c>
      <c r="C1942" s="7" t="s">
        <v>67</v>
      </c>
      <c r="D1942" s="8">
        <v>44624</v>
      </c>
      <c r="E1942" s="8" t="s">
        <v>0</v>
      </c>
      <c r="F1942" s="16" t="s">
        <v>1235</v>
      </c>
      <c r="G1942" s="7" t="s">
        <v>0</v>
      </c>
      <c r="H1942" s="7" t="s">
        <v>0</v>
      </c>
      <c r="I1942" s="7" t="s">
        <v>2225</v>
      </c>
      <c r="J1942" s="7" t="s">
        <v>2225</v>
      </c>
      <c r="K1942" s="7" t="s">
        <v>85</v>
      </c>
      <c r="L1942" s="7" t="s">
        <v>86</v>
      </c>
      <c r="M1942" s="7" t="s">
        <v>83</v>
      </c>
      <c r="N1942" s="7" t="s">
        <v>2224</v>
      </c>
      <c r="O1942" s="7" t="s">
        <v>0</v>
      </c>
      <c r="P1942" s="7" t="s">
        <v>83</v>
      </c>
      <c r="Q1942" s="7" t="s">
        <v>2226</v>
      </c>
      <c r="R1942" s="7" t="s">
        <v>1256</v>
      </c>
      <c r="S1942" s="7" t="s">
        <v>1256</v>
      </c>
      <c r="T1942" s="7" t="s">
        <v>54</v>
      </c>
      <c r="U1942" s="7" t="s">
        <v>591</v>
      </c>
      <c r="V1942" s="7" t="s">
        <v>91</v>
      </c>
      <c r="W1942" s="7" t="s">
        <v>57</v>
      </c>
      <c r="X1942" s="7" t="s">
        <v>58</v>
      </c>
      <c r="Y1942" s="8">
        <v>44624</v>
      </c>
      <c r="Z1942" s="8" t="s">
        <v>0</v>
      </c>
      <c r="AA1942" s="7" t="s">
        <v>92</v>
      </c>
      <c r="AB1942" s="7" t="s">
        <v>94</v>
      </c>
      <c r="AC1942" s="7" t="s">
        <v>65</v>
      </c>
      <c r="AD1942" s="7" t="s">
        <v>0</v>
      </c>
      <c r="AE1942" s="7" t="s">
        <v>0</v>
      </c>
      <c r="AF1942" s="7" t="s">
        <v>0</v>
      </c>
      <c r="AG1942" s="7" t="s">
        <v>0</v>
      </c>
      <c r="AH1942" s="9" t="s">
        <v>0</v>
      </c>
      <c r="AI1942" s="9" t="s">
        <v>0</v>
      </c>
      <c r="AJ1942" s="9" t="s">
        <v>0</v>
      </c>
      <c r="AK1942" s="7" t="s">
        <v>61</v>
      </c>
      <c r="AL1942" s="7" t="s">
        <v>61</v>
      </c>
      <c r="AM1942" s="7" t="s">
        <v>0</v>
      </c>
      <c r="AN1942" s="7" t="s">
        <v>0</v>
      </c>
      <c r="AO1942" s="7" t="s">
        <v>0</v>
      </c>
      <c r="AP1942" s="7" t="s">
        <v>0</v>
      </c>
      <c r="AQ1942" s="7" t="s">
        <v>61</v>
      </c>
      <c r="AR1942" s="7" t="s">
        <v>0</v>
      </c>
      <c r="AS1942" s="10" t="str">
        <f>HYPERLINK("https://tessa.gazprom-neft.local/edo/card/365877f7-8871-4429-856c-31b8dde32cf7", "https://tessa.gazprom-neft.local/edo/card/365877f7-8871-4429-856c-31b8dde32cf7")</f>
        <v>https://tessa.gazprom-neft.local/edo/card/365877f7-8871-4429-856c-31b8dde32cf7</v>
      </c>
    </row>
    <row r="1943" spans="1:45" x14ac:dyDescent="0.25">
      <c r="A1943" s="6" t="s">
        <v>44</v>
      </c>
      <c r="B1943" s="7" t="s">
        <v>727</v>
      </c>
      <c r="C1943" s="7" t="s">
        <v>67</v>
      </c>
      <c r="D1943" s="8">
        <v>44624</v>
      </c>
      <c r="E1943" s="8" t="s">
        <v>0</v>
      </c>
      <c r="F1943" s="16" t="s">
        <v>728</v>
      </c>
      <c r="G1943" s="7" t="s">
        <v>729</v>
      </c>
      <c r="H1943" s="7" t="s">
        <v>2427</v>
      </c>
      <c r="I1943" s="7" t="s">
        <v>0</v>
      </c>
      <c r="J1943" s="7" t="s">
        <v>355</v>
      </c>
      <c r="K1943" s="7" t="s">
        <v>47</v>
      </c>
      <c r="L1943" s="7" t="s">
        <v>48</v>
      </c>
      <c r="M1943" s="7" t="s">
        <v>0</v>
      </c>
      <c r="N1943" s="7" t="s">
        <v>2426</v>
      </c>
      <c r="O1943" s="7" t="s">
        <v>0</v>
      </c>
      <c r="P1943" s="7" t="s">
        <v>2428</v>
      </c>
      <c r="Q1943" s="7" t="s">
        <v>2429</v>
      </c>
      <c r="R1943" s="7" t="s">
        <v>799</v>
      </c>
      <c r="S1943" s="7" t="s">
        <v>0</v>
      </c>
      <c r="T1943" s="7" t="s">
        <v>54</v>
      </c>
      <c r="U1943" s="7" t="s">
        <v>55</v>
      </c>
      <c r="V1943" s="7" t="s">
        <v>56</v>
      </c>
      <c r="W1943" s="7" t="s">
        <v>57</v>
      </c>
      <c r="X1943" s="7" t="s">
        <v>103</v>
      </c>
      <c r="Y1943" s="8">
        <v>44624</v>
      </c>
      <c r="Z1943" s="8">
        <v>45291</v>
      </c>
      <c r="AA1943" s="7" t="s">
        <v>0</v>
      </c>
      <c r="AB1943" s="7" t="s">
        <v>130</v>
      </c>
      <c r="AC1943" s="7" t="s">
        <v>79</v>
      </c>
      <c r="AD1943" s="7" t="s">
        <v>80</v>
      </c>
      <c r="AE1943" s="7" t="s">
        <v>82</v>
      </c>
      <c r="AF1943" s="7" t="s">
        <v>0</v>
      </c>
      <c r="AG1943" s="7" t="s">
        <v>0</v>
      </c>
      <c r="AH1943" s="9" t="s">
        <v>11345</v>
      </c>
      <c r="AI1943" s="9" t="s">
        <v>11346</v>
      </c>
      <c r="AJ1943" s="9" t="s">
        <v>11347</v>
      </c>
      <c r="AK1943" s="7" t="s">
        <v>61</v>
      </c>
      <c r="AL1943" s="7" t="s">
        <v>61</v>
      </c>
      <c r="AM1943" s="7" t="s">
        <v>0</v>
      </c>
      <c r="AN1943" s="7" t="s">
        <v>0</v>
      </c>
      <c r="AO1943" s="7" t="s">
        <v>0</v>
      </c>
      <c r="AP1943" s="7" t="s">
        <v>0</v>
      </c>
      <c r="AQ1943" s="7" t="s">
        <v>61</v>
      </c>
      <c r="AR1943" s="7" t="s">
        <v>0</v>
      </c>
      <c r="AS1943" s="10" t="str">
        <f>HYPERLINK("https://tessa.gazprom-neft.local/edo/card/698628f1-0b75-4b1d-bc8a-66d486ae2cf8", "https://tessa.gazprom-neft.local/edo/card/698628f1-0b75-4b1d-bc8a-66d486ae2cf8")</f>
        <v>https://tessa.gazprom-neft.local/edo/card/698628f1-0b75-4b1d-bc8a-66d486ae2cf8</v>
      </c>
    </row>
    <row r="1944" spans="1:45" x14ac:dyDescent="0.25">
      <c r="A1944" s="6" t="s">
        <v>44</v>
      </c>
      <c r="B1944" s="7" t="s">
        <v>971</v>
      </c>
      <c r="C1944" s="7" t="s">
        <v>67</v>
      </c>
      <c r="D1944" s="8">
        <v>44624</v>
      </c>
      <c r="E1944" s="8" t="s">
        <v>0</v>
      </c>
      <c r="F1944" s="16" t="s">
        <v>972</v>
      </c>
      <c r="G1944" s="7" t="s">
        <v>973</v>
      </c>
      <c r="H1944" s="7" t="s">
        <v>2441</v>
      </c>
      <c r="I1944" s="7" t="s">
        <v>0</v>
      </c>
      <c r="J1944" s="7" t="s">
        <v>51</v>
      </c>
      <c r="K1944" s="7" t="s">
        <v>47</v>
      </c>
      <c r="L1944" s="7" t="s">
        <v>48</v>
      </c>
      <c r="M1944" s="7" t="s">
        <v>0</v>
      </c>
      <c r="N1944" s="7" t="s">
        <v>2440</v>
      </c>
      <c r="O1944" s="7" t="s">
        <v>0</v>
      </c>
      <c r="P1944" s="7" t="s">
        <v>2442</v>
      </c>
      <c r="Q1944" s="7" t="s">
        <v>2443</v>
      </c>
      <c r="R1944" s="7" t="s">
        <v>339</v>
      </c>
      <c r="S1944" s="7" t="s">
        <v>339</v>
      </c>
      <c r="T1944" s="7" t="s">
        <v>54</v>
      </c>
      <c r="U1944" s="7" t="s">
        <v>303</v>
      </c>
      <c r="V1944" s="7" t="s">
        <v>137</v>
      </c>
      <c r="W1944" s="7" t="s">
        <v>57</v>
      </c>
      <c r="X1944" s="7" t="s">
        <v>103</v>
      </c>
      <c r="Y1944" s="8">
        <v>44652</v>
      </c>
      <c r="Z1944" s="8">
        <v>44926</v>
      </c>
      <c r="AA1944" s="7" t="s">
        <v>0</v>
      </c>
      <c r="AB1944" s="7" t="s">
        <v>64</v>
      </c>
      <c r="AC1944" s="7" t="s">
        <v>65</v>
      </c>
      <c r="AD1944" s="7" t="s">
        <v>0</v>
      </c>
      <c r="AE1944" s="7" t="s">
        <v>0</v>
      </c>
      <c r="AF1944" s="7" t="s">
        <v>0</v>
      </c>
      <c r="AG1944" s="7" t="s">
        <v>0</v>
      </c>
      <c r="AH1944" s="9" t="s">
        <v>0</v>
      </c>
      <c r="AI1944" s="9" t="s">
        <v>0</v>
      </c>
      <c r="AJ1944" s="9" t="s">
        <v>0</v>
      </c>
      <c r="AK1944" s="7" t="s">
        <v>61</v>
      </c>
      <c r="AL1944" s="7" t="s">
        <v>61</v>
      </c>
      <c r="AM1944" s="7" t="s">
        <v>0</v>
      </c>
      <c r="AN1944" s="7" t="s">
        <v>0</v>
      </c>
      <c r="AO1944" s="7" t="s">
        <v>0</v>
      </c>
      <c r="AP1944" s="7" t="s">
        <v>0</v>
      </c>
      <c r="AQ1944" s="7" t="s">
        <v>61</v>
      </c>
      <c r="AR1944" s="7" t="s">
        <v>0</v>
      </c>
      <c r="AS1944" s="10" t="str">
        <f>HYPERLINK("https://tessa.gazprom-neft.local/edo/card/53844c52-a9b3-4baf-a18a-90920a2e7197", "https://tessa.gazprom-neft.local/edo/card/53844c52-a9b3-4baf-a18a-90920a2e7197")</f>
        <v>https://tessa.gazprom-neft.local/edo/card/53844c52-a9b3-4baf-a18a-90920a2e7197</v>
      </c>
    </row>
    <row r="1945" spans="1:45" hidden="1" x14ac:dyDescent="0.25">
      <c r="A1945" s="6" t="s">
        <v>44</v>
      </c>
      <c r="B1945" s="7" t="s">
        <v>2343</v>
      </c>
      <c r="C1945" s="7" t="s">
        <v>46</v>
      </c>
      <c r="D1945" s="8">
        <v>44623</v>
      </c>
      <c r="E1945" s="8" t="s">
        <v>0</v>
      </c>
      <c r="F1945" s="16" t="s">
        <v>2344</v>
      </c>
      <c r="G1945" s="7" t="s">
        <v>2345</v>
      </c>
      <c r="H1945" s="7" t="s">
        <v>0</v>
      </c>
      <c r="I1945" s="7" t="s">
        <v>2342</v>
      </c>
      <c r="J1945" s="7" t="s">
        <v>2342</v>
      </c>
      <c r="K1945" s="7" t="s">
        <v>85</v>
      </c>
      <c r="L1945" s="7" t="s">
        <v>86</v>
      </c>
      <c r="M1945" s="7" t="s">
        <v>289</v>
      </c>
      <c r="N1945" s="7" t="s">
        <v>2341</v>
      </c>
      <c r="O1945" s="7" t="s">
        <v>0</v>
      </c>
      <c r="P1945" s="7" t="s">
        <v>289</v>
      </c>
      <c r="Q1945" s="7" t="s">
        <v>372</v>
      </c>
      <c r="R1945" s="7" t="s">
        <v>1610</v>
      </c>
      <c r="S1945" s="7" t="s">
        <v>1610</v>
      </c>
      <c r="T1945" s="7" t="s">
        <v>54</v>
      </c>
      <c r="U1945" s="7" t="s">
        <v>101</v>
      </c>
      <c r="V1945" s="7" t="s">
        <v>137</v>
      </c>
      <c r="W1945" s="7" t="s">
        <v>57</v>
      </c>
      <c r="X1945" s="7" t="s">
        <v>103</v>
      </c>
      <c r="Y1945" s="8">
        <v>44623</v>
      </c>
      <c r="Z1945" s="8">
        <v>44926</v>
      </c>
      <c r="AA1945" s="7" t="s">
        <v>0</v>
      </c>
      <c r="AB1945" s="7" t="s">
        <v>300</v>
      </c>
      <c r="AC1945" s="7" t="s">
        <v>65</v>
      </c>
      <c r="AD1945" s="7" t="s">
        <v>0</v>
      </c>
      <c r="AE1945" s="7" t="s">
        <v>0</v>
      </c>
      <c r="AF1945" s="7" t="s">
        <v>0</v>
      </c>
      <c r="AG1945" s="7" t="s">
        <v>0</v>
      </c>
      <c r="AH1945" s="9" t="s">
        <v>0</v>
      </c>
      <c r="AI1945" s="9" t="s">
        <v>0</v>
      </c>
      <c r="AJ1945" s="9" t="s">
        <v>0</v>
      </c>
      <c r="AK1945" s="7" t="s">
        <v>61</v>
      </c>
      <c r="AL1945" s="7" t="s">
        <v>61</v>
      </c>
      <c r="AM1945" s="7" t="s">
        <v>0</v>
      </c>
      <c r="AN1945" s="7" t="s">
        <v>0</v>
      </c>
      <c r="AO1945" s="7" t="s">
        <v>0</v>
      </c>
      <c r="AP1945" s="7" t="s">
        <v>0</v>
      </c>
      <c r="AQ1945" s="7" t="s">
        <v>61</v>
      </c>
      <c r="AR1945" s="7" t="s">
        <v>0</v>
      </c>
      <c r="AS1945" s="10" t="str">
        <f>HYPERLINK("https://tessa.gazprom-neft.local/edo/card/698075b8-390b-4383-811f-7b766430e46c", "https://tessa.gazprom-neft.local/edo/card/698075b8-390b-4383-811f-7b766430e46c")</f>
        <v>https://tessa.gazprom-neft.local/edo/card/698075b8-390b-4383-811f-7b766430e46c</v>
      </c>
    </row>
    <row r="1946" spans="1:45" hidden="1" x14ac:dyDescent="0.25">
      <c r="A1946" s="6" t="s">
        <v>44</v>
      </c>
      <c r="B1946" s="7" t="s">
        <v>245</v>
      </c>
      <c r="C1946" s="7" t="s">
        <v>67</v>
      </c>
      <c r="D1946" s="8">
        <v>44623</v>
      </c>
      <c r="E1946" s="8" t="s">
        <v>0</v>
      </c>
      <c r="F1946" s="16" t="s">
        <v>246</v>
      </c>
      <c r="G1946" s="7" t="s">
        <v>247</v>
      </c>
      <c r="H1946" s="7" t="s">
        <v>1822</v>
      </c>
      <c r="I1946" s="7" t="s">
        <v>0</v>
      </c>
      <c r="J1946" s="7" t="s">
        <v>2367</v>
      </c>
      <c r="K1946" s="7" t="s">
        <v>47</v>
      </c>
      <c r="L1946" s="7" t="s">
        <v>239</v>
      </c>
      <c r="M1946" s="7" t="s">
        <v>0</v>
      </c>
      <c r="N1946" s="7" t="s">
        <v>2365</v>
      </c>
      <c r="O1946" s="7" t="s">
        <v>0</v>
      </c>
      <c r="P1946" s="7" t="s">
        <v>2366</v>
      </c>
      <c r="Q1946" s="7" t="s">
        <v>2368</v>
      </c>
      <c r="R1946" s="7" t="s">
        <v>244</v>
      </c>
      <c r="S1946" s="7" t="s">
        <v>0</v>
      </c>
      <c r="T1946" s="7" t="s">
        <v>54</v>
      </c>
      <c r="U1946" s="7" t="s">
        <v>44</v>
      </c>
      <c r="V1946" s="7" t="s">
        <v>56</v>
      </c>
      <c r="W1946" s="7" t="s">
        <v>57</v>
      </c>
      <c r="X1946" s="7" t="s">
        <v>103</v>
      </c>
      <c r="Y1946" s="8">
        <v>44623</v>
      </c>
      <c r="Z1946" s="8">
        <v>44925</v>
      </c>
      <c r="AA1946" s="7" t="s">
        <v>59</v>
      </c>
      <c r="AB1946" s="7" t="s">
        <v>256</v>
      </c>
      <c r="AC1946" s="7" t="s">
        <v>79</v>
      </c>
      <c r="AD1946" s="7" t="s">
        <v>144</v>
      </c>
      <c r="AE1946" s="7" t="s">
        <v>82</v>
      </c>
      <c r="AF1946" s="7" t="s">
        <v>0</v>
      </c>
      <c r="AG1946" s="7" t="s">
        <v>0</v>
      </c>
      <c r="AH1946" s="9" t="s">
        <v>11329</v>
      </c>
      <c r="AI1946" s="9" t="s">
        <v>11330</v>
      </c>
      <c r="AJ1946" s="9" t="s">
        <v>11331</v>
      </c>
      <c r="AK1946" s="7" t="s">
        <v>61</v>
      </c>
      <c r="AL1946" s="7" t="s">
        <v>61</v>
      </c>
      <c r="AM1946" s="7" t="s">
        <v>0</v>
      </c>
      <c r="AN1946" s="7" t="s">
        <v>0</v>
      </c>
      <c r="AO1946" s="7" t="s">
        <v>0</v>
      </c>
      <c r="AP1946" s="7" t="s">
        <v>0</v>
      </c>
      <c r="AQ1946" s="7" t="s">
        <v>61</v>
      </c>
      <c r="AR1946" s="7" t="s">
        <v>0</v>
      </c>
      <c r="AS1946" s="10" t="str">
        <f>HYPERLINK("https://tessa.gazprom-neft.local/edo/card/ea42ba73-52e1-445d-8d5f-83f87f9aefe5", "https://tessa.gazprom-neft.local/edo/card/ea42ba73-52e1-445d-8d5f-83f87f9aefe5")</f>
        <v>https://tessa.gazprom-neft.local/edo/card/ea42ba73-52e1-445d-8d5f-83f87f9aefe5</v>
      </c>
    </row>
    <row r="1947" spans="1:45" hidden="1" x14ac:dyDescent="0.25">
      <c r="A1947" s="6" t="s">
        <v>44</v>
      </c>
      <c r="B1947" s="7" t="s">
        <v>2383</v>
      </c>
      <c r="C1947" s="7" t="s">
        <v>46</v>
      </c>
      <c r="D1947" s="8">
        <v>44623</v>
      </c>
      <c r="E1947" s="8" t="s">
        <v>0</v>
      </c>
      <c r="F1947" s="16" t="s">
        <v>2384</v>
      </c>
      <c r="G1947" s="7" t="s">
        <v>2385</v>
      </c>
      <c r="H1947" s="7" t="s">
        <v>0</v>
      </c>
      <c r="I1947" s="7" t="s">
        <v>2382</v>
      </c>
      <c r="J1947" s="7" t="s">
        <v>2382</v>
      </c>
      <c r="K1947" s="7" t="s">
        <v>85</v>
      </c>
      <c r="L1947" s="7" t="s">
        <v>86</v>
      </c>
      <c r="M1947" s="7" t="s">
        <v>289</v>
      </c>
      <c r="N1947" s="7" t="s">
        <v>2381</v>
      </c>
      <c r="O1947" s="7" t="s">
        <v>0</v>
      </c>
      <c r="P1947" s="7" t="s">
        <v>289</v>
      </c>
      <c r="Q1947" s="7" t="s">
        <v>1114</v>
      </c>
      <c r="R1947" s="7" t="s">
        <v>513</v>
      </c>
      <c r="S1947" s="7" t="s">
        <v>513</v>
      </c>
      <c r="T1947" s="7" t="s">
        <v>54</v>
      </c>
      <c r="U1947" s="7" t="s">
        <v>303</v>
      </c>
      <c r="V1947" s="7" t="s">
        <v>91</v>
      </c>
      <c r="W1947" s="7" t="s">
        <v>57</v>
      </c>
      <c r="X1947" s="7" t="s">
        <v>223</v>
      </c>
      <c r="Y1947" s="8">
        <v>44623</v>
      </c>
      <c r="Z1947" s="8" t="s">
        <v>0</v>
      </c>
      <c r="AA1947" s="7" t="s">
        <v>92</v>
      </c>
      <c r="AB1947" s="7" t="s">
        <v>300</v>
      </c>
      <c r="AC1947" s="7" t="s">
        <v>65</v>
      </c>
      <c r="AD1947" s="7" t="s">
        <v>0</v>
      </c>
      <c r="AE1947" s="7" t="s">
        <v>0</v>
      </c>
      <c r="AF1947" s="7" t="s">
        <v>0</v>
      </c>
      <c r="AG1947" s="7" t="s">
        <v>0</v>
      </c>
      <c r="AH1947" s="9" t="s">
        <v>0</v>
      </c>
      <c r="AI1947" s="9" t="s">
        <v>0</v>
      </c>
      <c r="AJ1947" s="9" t="s">
        <v>0</v>
      </c>
      <c r="AK1947" s="7" t="s">
        <v>61</v>
      </c>
      <c r="AL1947" s="7" t="s">
        <v>61</v>
      </c>
      <c r="AM1947" s="7" t="s">
        <v>0</v>
      </c>
      <c r="AN1947" s="7" t="s">
        <v>0</v>
      </c>
      <c r="AO1947" s="7" t="s">
        <v>0</v>
      </c>
      <c r="AP1947" s="7" t="s">
        <v>0</v>
      </c>
      <c r="AQ1947" s="7" t="s">
        <v>61</v>
      </c>
      <c r="AR1947" s="7" t="s">
        <v>0</v>
      </c>
      <c r="AS1947" s="10" t="str">
        <f>HYPERLINK("https://tessa.gazprom-neft.local/edo/card/432830a4-acf1-4718-b0d5-9c9264b4d5dd", "https://tessa.gazprom-neft.local/edo/card/432830a4-acf1-4718-b0d5-9c9264b4d5dd")</f>
        <v>https://tessa.gazprom-neft.local/edo/card/432830a4-acf1-4718-b0d5-9c9264b4d5dd</v>
      </c>
    </row>
    <row r="1948" spans="1:45" x14ac:dyDescent="0.25">
      <c r="A1948" s="6" t="s">
        <v>44</v>
      </c>
      <c r="B1948" s="7" t="s">
        <v>2266</v>
      </c>
      <c r="C1948" s="7" t="s">
        <v>46</v>
      </c>
      <c r="D1948" s="8">
        <v>44622</v>
      </c>
      <c r="E1948" s="8" t="s">
        <v>0</v>
      </c>
      <c r="F1948" s="16" t="s">
        <v>2267</v>
      </c>
      <c r="G1948" s="7" t="s">
        <v>2268</v>
      </c>
      <c r="H1948" s="7" t="s">
        <v>2263</v>
      </c>
      <c r="I1948" s="7" t="s">
        <v>0</v>
      </c>
      <c r="J1948" s="7" t="s">
        <v>51</v>
      </c>
      <c r="K1948" s="7" t="s">
        <v>47</v>
      </c>
      <c r="L1948" s="7" t="s">
        <v>48</v>
      </c>
      <c r="M1948" s="7" t="s">
        <v>0</v>
      </c>
      <c r="N1948" s="7" t="s">
        <v>2262</v>
      </c>
      <c r="O1948" s="7" t="s">
        <v>0</v>
      </c>
      <c r="P1948" s="7" t="s">
        <v>2264</v>
      </c>
      <c r="Q1948" s="7" t="s">
        <v>2265</v>
      </c>
      <c r="R1948" s="7" t="s">
        <v>799</v>
      </c>
      <c r="S1948" s="7" t="s">
        <v>0</v>
      </c>
      <c r="T1948" s="7" t="s">
        <v>54</v>
      </c>
      <c r="U1948" s="7" t="s">
        <v>55</v>
      </c>
      <c r="V1948" s="7" t="s">
        <v>56</v>
      </c>
      <c r="W1948" s="7" t="s">
        <v>57</v>
      </c>
      <c r="X1948" s="7" t="s">
        <v>103</v>
      </c>
      <c r="Y1948" s="8">
        <v>44622</v>
      </c>
      <c r="Z1948" s="8">
        <v>44896</v>
      </c>
      <c r="AA1948" s="7" t="s">
        <v>0</v>
      </c>
      <c r="AB1948" s="7" t="s">
        <v>2269</v>
      </c>
      <c r="AC1948" s="7" t="s">
        <v>65</v>
      </c>
      <c r="AD1948" s="7" t="s">
        <v>80</v>
      </c>
      <c r="AE1948" s="7" t="s">
        <v>0</v>
      </c>
      <c r="AF1948" s="7" t="s">
        <v>0</v>
      </c>
      <c r="AG1948" s="7" t="s">
        <v>0</v>
      </c>
      <c r="AH1948" s="9" t="s">
        <v>0</v>
      </c>
      <c r="AI1948" s="9" t="s">
        <v>0</v>
      </c>
      <c r="AJ1948" s="9" t="s">
        <v>0</v>
      </c>
      <c r="AK1948" s="7" t="s">
        <v>61</v>
      </c>
      <c r="AL1948" s="7" t="s">
        <v>61</v>
      </c>
      <c r="AM1948" s="7" t="s">
        <v>0</v>
      </c>
      <c r="AN1948" s="7" t="s">
        <v>0</v>
      </c>
      <c r="AO1948" s="7" t="s">
        <v>0</v>
      </c>
      <c r="AP1948" s="7" t="s">
        <v>0</v>
      </c>
      <c r="AQ1948" s="7" t="s">
        <v>61</v>
      </c>
      <c r="AR1948" s="7" t="s">
        <v>0</v>
      </c>
      <c r="AS1948" s="10" t="str">
        <f>HYPERLINK("https://tessa.gazprom-neft.local/edo/card/08c6e34d-af17-438f-bbbe-414ccb4b907d", "https://tessa.gazprom-neft.local/edo/card/08c6e34d-af17-438f-bbbe-414ccb4b907d")</f>
        <v>https://tessa.gazprom-neft.local/edo/card/08c6e34d-af17-438f-bbbe-414ccb4b907d</v>
      </c>
    </row>
    <row r="1949" spans="1:45" hidden="1" x14ac:dyDescent="0.25">
      <c r="A1949" s="6" t="s">
        <v>44</v>
      </c>
      <c r="B1949" s="7" t="s">
        <v>245</v>
      </c>
      <c r="C1949" s="7" t="s">
        <v>67</v>
      </c>
      <c r="D1949" s="8">
        <v>44622</v>
      </c>
      <c r="E1949" s="8" t="s">
        <v>0</v>
      </c>
      <c r="F1949" s="16" t="s">
        <v>246</v>
      </c>
      <c r="G1949" s="7" t="s">
        <v>247</v>
      </c>
      <c r="H1949" s="7" t="s">
        <v>1822</v>
      </c>
      <c r="I1949" s="7" t="s">
        <v>0</v>
      </c>
      <c r="J1949" s="7" t="s">
        <v>2914</v>
      </c>
      <c r="K1949" s="7" t="s">
        <v>47</v>
      </c>
      <c r="L1949" s="7" t="s">
        <v>239</v>
      </c>
      <c r="M1949" s="7" t="s">
        <v>0</v>
      </c>
      <c r="N1949" s="7" t="s">
        <v>2912</v>
      </c>
      <c r="O1949" s="7" t="s">
        <v>0</v>
      </c>
      <c r="P1949" s="7" t="s">
        <v>2913</v>
      </c>
      <c r="Q1949" s="7" t="s">
        <v>1131</v>
      </c>
      <c r="R1949" s="7" t="s">
        <v>244</v>
      </c>
      <c r="S1949" s="7" t="s">
        <v>0</v>
      </c>
      <c r="T1949" s="7" t="s">
        <v>54</v>
      </c>
      <c r="U1949" s="7" t="s">
        <v>55</v>
      </c>
      <c r="V1949" s="7" t="s">
        <v>56</v>
      </c>
      <c r="W1949" s="7" t="s">
        <v>57</v>
      </c>
      <c r="X1949" s="7" t="s">
        <v>103</v>
      </c>
      <c r="Y1949" s="8">
        <v>44622</v>
      </c>
      <c r="Z1949" s="8">
        <v>44737</v>
      </c>
      <c r="AA1949" s="7" t="s">
        <v>59</v>
      </c>
      <c r="AB1949" s="7" t="s">
        <v>256</v>
      </c>
      <c r="AC1949" s="7" t="s">
        <v>79</v>
      </c>
      <c r="AD1949" s="7" t="s">
        <v>144</v>
      </c>
      <c r="AE1949" s="7" t="s">
        <v>82</v>
      </c>
      <c r="AF1949" s="7" t="s">
        <v>0</v>
      </c>
      <c r="AG1949" s="7" t="s">
        <v>0</v>
      </c>
      <c r="AH1949" s="9" t="s">
        <v>11486</v>
      </c>
      <c r="AI1949" s="9" t="s">
        <v>11487</v>
      </c>
      <c r="AJ1949" s="9" t="s">
        <v>11488</v>
      </c>
      <c r="AK1949" s="7" t="s">
        <v>61</v>
      </c>
      <c r="AL1949" s="7" t="s">
        <v>61</v>
      </c>
      <c r="AM1949" s="7" t="s">
        <v>0</v>
      </c>
      <c r="AN1949" s="7" t="s">
        <v>0</v>
      </c>
      <c r="AO1949" s="7" t="s">
        <v>0</v>
      </c>
      <c r="AP1949" s="7" t="s">
        <v>0</v>
      </c>
      <c r="AQ1949" s="7" t="s">
        <v>61</v>
      </c>
      <c r="AR1949" s="7" t="s">
        <v>0</v>
      </c>
      <c r="AS1949" s="10" t="str">
        <f>HYPERLINK("https://tessa.gazprom-neft.local/edo/card/b1c44991-8c43-4fdf-9089-7d39b2a68fc4", "https://tessa.gazprom-neft.local/edo/card/b1c44991-8c43-4fdf-9089-7d39b2a68fc4")</f>
        <v>https://tessa.gazprom-neft.local/edo/card/b1c44991-8c43-4fdf-9089-7d39b2a68fc4</v>
      </c>
    </row>
    <row r="1950" spans="1:45" hidden="1" x14ac:dyDescent="0.25">
      <c r="A1950" s="6" t="s">
        <v>44</v>
      </c>
      <c r="B1950" s="7" t="s">
        <v>949</v>
      </c>
      <c r="C1950" s="7" t="s">
        <v>46</v>
      </c>
      <c r="D1950" s="8">
        <v>44621</v>
      </c>
      <c r="E1950" s="8" t="s">
        <v>0</v>
      </c>
      <c r="F1950" s="16" t="s">
        <v>950</v>
      </c>
      <c r="G1950" s="7" t="s">
        <v>951</v>
      </c>
      <c r="H1950" s="7" t="s">
        <v>0</v>
      </c>
      <c r="I1950" s="7" t="s">
        <v>946</v>
      </c>
      <c r="J1950" s="7" t="s">
        <v>946</v>
      </c>
      <c r="K1950" s="7" t="s">
        <v>47</v>
      </c>
      <c r="L1950" s="7" t="s">
        <v>96</v>
      </c>
      <c r="M1950" s="7" t="s">
        <v>0</v>
      </c>
      <c r="N1950" s="7" t="s">
        <v>945</v>
      </c>
      <c r="O1950" s="7" t="s">
        <v>0</v>
      </c>
      <c r="P1950" s="7" t="s">
        <v>947</v>
      </c>
      <c r="Q1950" s="7" t="s">
        <v>948</v>
      </c>
      <c r="R1950" s="7" t="s">
        <v>273</v>
      </c>
      <c r="S1950" s="7" t="s">
        <v>273</v>
      </c>
      <c r="T1950" s="7" t="s">
        <v>54</v>
      </c>
      <c r="U1950" s="7" t="s">
        <v>274</v>
      </c>
      <c r="V1950" s="7" t="s">
        <v>340</v>
      </c>
      <c r="W1950" s="7" t="s">
        <v>57</v>
      </c>
      <c r="X1950" s="7" t="s">
        <v>103</v>
      </c>
      <c r="Y1950" s="8">
        <v>44578</v>
      </c>
      <c r="Z1950" s="8">
        <v>44926</v>
      </c>
      <c r="AA1950" s="7" t="s">
        <v>341</v>
      </c>
      <c r="AB1950" s="7" t="s">
        <v>64</v>
      </c>
      <c r="AC1950" s="7" t="s">
        <v>278</v>
      </c>
      <c r="AD1950" s="7" t="s">
        <v>144</v>
      </c>
      <c r="AE1950" s="7" t="s">
        <v>82</v>
      </c>
      <c r="AF1950" s="7" t="s">
        <v>0</v>
      </c>
      <c r="AG1950" s="7" t="s">
        <v>0</v>
      </c>
      <c r="AH1950" s="9" t="s">
        <v>10865</v>
      </c>
      <c r="AI1950" s="9" t="s">
        <v>10866</v>
      </c>
      <c r="AJ1950" s="9" t="s">
        <v>10867</v>
      </c>
      <c r="AK1950" s="7" t="s">
        <v>61</v>
      </c>
      <c r="AL1950" s="7" t="s">
        <v>61</v>
      </c>
      <c r="AM1950" s="7" t="s">
        <v>0</v>
      </c>
      <c r="AN1950" s="7" t="s">
        <v>0</v>
      </c>
      <c r="AO1950" s="7" t="s">
        <v>0</v>
      </c>
      <c r="AP1950" s="7" t="s">
        <v>0</v>
      </c>
      <c r="AQ1950" s="7" t="s">
        <v>61</v>
      </c>
      <c r="AR1950" s="7" t="s">
        <v>0</v>
      </c>
      <c r="AS1950" s="10" t="str">
        <f>HYPERLINK("https://tessa.gazprom-neft.local/edo/card/0e38a325-a9fb-4725-8a2c-978ec3f7d95a", "https://tessa.gazprom-neft.local/edo/card/0e38a325-a9fb-4725-8a2c-978ec3f7d95a")</f>
        <v>https://tessa.gazprom-neft.local/edo/card/0e38a325-a9fb-4725-8a2c-978ec3f7d95a</v>
      </c>
    </row>
    <row r="1951" spans="1:45" x14ac:dyDescent="0.25">
      <c r="A1951" s="6" t="s">
        <v>44</v>
      </c>
      <c r="B1951" s="7" t="s">
        <v>1084</v>
      </c>
      <c r="C1951" s="7" t="s">
        <v>67</v>
      </c>
      <c r="D1951" s="8">
        <v>44621</v>
      </c>
      <c r="E1951" s="8" t="s">
        <v>0</v>
      </c>
      <c r="F1951" s="16" t="s">
        <v>1085</v>
      </c>
      <c r="G1951" s="7" t="s">
        <v>1086</v>
      </c>
      <c r="H1951" s="7" t="s">
        <v>1079</v>
      </c>
      <c r="I1951" s="7" t="s">
        <v>0</v>
      </c>
      <c r="J1951" s="7" t="s">
        <v>355</v>
      </c>
      <c r="K1951" s="7" t="s">
        <v>47</v>
      </c>
      <c r="L1951" s="7" t="s">
        <v>48</v>
      </c>
      <c r="M1951" s="7" t="s">
        <v>0</v>
      </c>
      <c r="N1951" s="7" t="s">
        <v>1725</v>
      </c>
      <c r="O1951" s="7" t="s">
        <v>0</v>
      </c>
      <c r="P1951" s="7" t="s">
        <v>1092</v>
      </c>
      <c r="Q1951" s="7" t="s">
        <v>1726</v>
      </c>
      <c r="R1951" s="7" t="s">
        <v>1083</v>
      </c>
      <c r="S1951" s="7" t="s">
        <v>1718</v>
      </c>
      <c r="T1951" s="7" t="s">
        <v>54</v>
      </c>
      <c r="U1951" s="7" t="s">
        <v>274</v>
      </c>
      <c r="V1951" s="7" t="s">
        <v>846</v>
      </c>
      <c r="W1951" s="7" t="s">
        <v>57</v>
      </c>
      <c r="X1951" s="7" t="s">
        <v>103</v>
      </c>
      <c r="Y1951" s="8">
        <v>44608</v>
      </c>
      <c r="Z1951" s="8">
        <v>44926</v>
      </c>
      <c r="AA1951" s="7" t="s">
        <v>1639</v>
      </c>
      <c r="AB1951" s="7" t="s">
        <v>64</v>
      </c>
      <c r="AC1951" s="7" t="s">
        <v>278</v>
      </c>
      <c r="AD1951" s="7" t="s">
        <v>80</v>
      </c>
      <c r="AE1951" s="7" t="s">
        <v>82</v>
      </c>
      <c r="AF1951" s="7" t="s">
        <v>0</v>
      </c>
      <c r="AG1951" s="7" t="s">
        <v>0</v>
      </c>
      <c r="AH1951" s="9" t="s">
        <v>11102</v>
      </c>
      <c r="AI1951" s="9" t="s">
        <v>11103</v>
      </c>
      <c r="AJ1951" s="9" t="s">
        <v>11104</v>
      </c>
      <c r="AK1951" s="7" t="s">
        <v>61</v>
      </c>
      <c r="AL1951" s="7" t="s">
        <v>61</v>
      </c>
      <c r="AM1951" s="7" t="s">
        <v>0</v>
      </c>
      <c r="AN1951" s="7" t="s">
        <v>0</v>
      </c>
      <c r="AO1951" s="7" t="s">
        <v>0</v>
      </c>
      <c r="AP1951" s="7" t="s">
        <v>0</v>
      </c>
      <c r="AQ1951" s="7" t="s">
        <v>61</v>
      </c>
      <c r="AR1951" s="7" t="s">
        <v>0</v>
      </c>
      <c r="AS1951" s="10" t="str">
        <f>HYPERLINK("https://tessa.gazprom-neft.local/edo/card/84d0dbdc-b3b6-4709-9dc2-2b75937e78e7", "https://tessa.gazprom-neft.local/edo/card/84d0dbdc-b3b6-4709-9dc2-2b75937e78e7")</f>
        <v>https://tessa.gazprom-neft.local/edo/card/84d0dbdc-b3b6-4709-9dc2-2b75937e78e7</v>
      </c>
    </row>
    <row r="1952" spans="1:45" hidden="1" x14ac:dyDescent="0.25">
      <c r="A1952" s="6" t="s">
        <v>44</v>
      </c>
      <c r="B1952" s="7" t="s">
        <v>1994</v>
      </c>
      <c r="C1952" s="7" t="s">
        <v>67</v>
      </c>
      <c r="D1952" s="8">
        <v>44621</v>
      </c>
      <c r="E1952" s="8" t="s">
        <v>0</v>
      </c>
      <c r="F1952" s="16" t="s">
        <v>1995</v>
      </c>
      <c r="G1952" s="7" t="s">
        <v>1996</v>
      </c>
      <c r="H1952" s="7" t="s">
        <v>0</v>
      </c>
      <c r="I1952" s="7" t="s">
        <v>1992</v>
      </c>
      <c r="J1952" s="7" t="s">
        <v>1992</v>
      </c>
      <c r="K1952" s="7" t="s">
        <v>85</v>
      </c>
      <c r="L1952" s="7" t="s">
        <v>86</v>
      </c>
      <c r="M1952" s="7" t="s">
        <v>289</v>
      </c>
      <c r="N1952" s="7" t="s">
        <v>1991</v>
      </c>
      <c r="O1952" s="7" t="s">
        <v>0</v>
      </c>
      <c r="P1952" s="7" t="s">
        <v>289</v>
      </c>
      <c r="Q1952" s="7" t="s">
        <v>1993</v>
      </c>
      <c r="R1952" s="7" t="s">
        <v>324</v>
      </c>
      <c r="S1952" s="7" t="s">
        <v>324</v>
      </c>
      <c r="T1952" s="7" t="s">
        <v>54</v>
      </c>
      <c r="U1952" s="7" t="s">
        <v>188</v>
      </c>
      <c r="V1952" s="7" t="s">
        <v>137</v>
      </c>
      <c r="W1952" s="7" t="s">
        <v>57</v>
      </c>
      <c r="X1952" s="7" t="s">
        <v>223</v>
      </c>
      <c r="Y1952" s="8">
        <v>44614</v>
      </c>
      <c r="Z1952" s="8" t="s">
        <v>0</v>
      </c>
      <c r="AA1952" s="7" t="s">
        <v>0</v>
      </c>
      <c r="AB1952" s="7" t="s">
        <v>300</v>
      </c>
      <c r="AC1952" s="7" t="s">
        <v>65</v>
      </c>
      <c r="AD1952" s="7" t="s">
        <v>0</v>
      </c>
      <c r="AE1952" s="7" t="s">
        <v>0</v>
      </c>
      <c r="AF1952" s="7" t="s">
        <v>0</v>
      </c>
      <c r="AG1952" s="7" t="s">
        <v>0</v>
      </c>
      <c r="AH1952" s="9" t="s">
        <v>0</v>
      </c>
      <c r="AI1952" s="9" t="s">
        <v>0</v>
      </c>
      <c r="AJ1952" s="9" t="s">
        <v>0</v>
      </c>
      <c r="AK1952" s="7" t="s">
        <v>61</v>
      </c>
      <c r="AL1952" s="7" t="s">
        <v>61</v>
      </c>
      <c r="AM1952" s="7" t="s">
        <v>0</v>
      </c>
      <c r="AN1952" s="7" t="s">
        <v>0</v>
      </c>
      <c r="AO1952" s="7" t="s">
        <v>0</v>
      </c>
      <c r="AP1952" s="7" t="s">
        <v>0</v>
      </c>
      <c r="AQ1952" s="7" t="s">
        <v>61</v>
      </c>
      <c r="AR1952" s="7" t="s">
        <v>0</v>
      </c>
      <c r="AS1952" s="10" t="str">
        <f>HYPERLINK("https://tessa.gazprom-neft.local/edo/card/76d18856-8853-4514-ae31-e5007fa35ada", "https://tessa.gazprom-neft.local/edo/card/76d18856-8853-4514-ae31-e5007fa35ada")</f>
        <v>https://tessa.gazprom-neft.local/edo/card/76d18856-8853-4514-ae31-e5007fa35ada</v>
      </c>
    </row>
    <row r="1953" spans="1:45" hidden="1" x14ac:dyDescent="0.25">
      <c r="A1953" s="6" t="s">
        <v>44</v>
      </c>
      <c r="B1953" s="7" t="s">
        <v>2091</v>
      </c>
      <c r="C1953" s="7" t="s">
        <v>67</v>
      </c>
      <c r="D1953" s="8">
        <v>44621</v>
      </c>
      <c r="E1953" s="8" t="s">
        <v>0</v>
      </c>
      <c r="F1953" s="16" t="s">
        <v>2092</v>
      </c>
      <c r="G1953" s="7" t="s">
        <v>2093</v>
      </c>
      <c r="H1953" s="7" t="s">
        <v>0</v>
      </c>
      <c r="I1953" s="7" t="s">
        <v>2088</v>
      </c>
      <c r="J1953" s="7" t="s">
        <v>2088</v>
      </c>
      <c r="K1953" s="7" t="s">
        <v>47</v>
      </c>
      <c r="L1953" s="7" t="s">
        <v>96</v>
      </c>
      <c r="M1953" s="7" t="s">
        <v>0</v>
      </c>
      <c r="N1953" s="7" t="s">
        <v>2087</v>
      </c>
      <c r="O1953" s="7" t="s">
        <v>0</v>
      </c>
      <c r="P1953" s="7" t="s">
        <v>2089</v>
      </c>
      <c r="Q1953" s="7" t="s">
        <v>2090</v>
      </c>
      <c r="R1953" s="7" t="s">
        <v>1610</v>
      </c>
      <c r="S1953" s="7" t="s">
        <v>1610</v>
      </c>
      <c r="T1953" s="7" t="s">
        <v>54</v>
      </c>
      <c r="U1953" s="7" t="s">
        <v>101</v>
      </c>
      <c r="V1953" s="7" t="s">
        <v>102</v>
      </c>
      <c r="W1953" s="7" t="s">
        <v>57</v>
      </c>
      <c r="X1953" s="7" t="s">
        <v>103</v>
      </c>
      <c r="Y1953" s="8">
        <v>44621</v>
      </c>
      <c r="Z1953" s="8">
        <v>44926</v>
      </c>
      <c r="AA1953" s="7" t="s">
        <v>104</v>
      </c>
      <c r="AB1953" s="7" t="s">
        <v>2089</v>
      </c>
      <c r="AC1953" s="7" t="s">
        <v>79</v>
      </c>
      <c r="AD1953" s="7" t="s">
        <v>80</v>
      </c>
      <c r="AE1953" s="7" t="s">
        <v>82</v>
      </c>
      <c r="AF1953" s="7" t="s">
        <v>0</v>
      </c>
      <c r="AG1953" s="7" t="s">
        <v>0</v>
      </c>
      <c r="AH1953" s="9" t="s">
        <v>11237</v>
      </c>
      <c r="AI1953" s="9" t="s">
        <v>11238</v>
      </c>
      <c r="AJ1953" s="9" t="s">
        <v>11239</v>
      </c>
      <c r="AK1953" s="7" t="s">
        <v>61</v>
      </c>
      <c r="AL1953" s="7" t="s">
        <v>61</v>
      </c>
      <c r="AM1953" s="7" t="s">
        <v>0</v>
      </c>
      <c r="AN1953" s="7" t="s">
        <v>0</v>
      </c>
      <c r="AO1953" s="7" t="s">
        <v>0</v>
      </c>
      <c r="AP1953" s="7" t="s">
        <v>0</v>
      </c>
      <c r="AQ1953" s="7" t="s">
        <v>61</v>
      </c>
      <c r="AR1953" s="7" t="s">
        <v>0</v>
      </c>
      <c r="AS1953" s="10" t="str">
        <f>HYPERLINK("https://tessa.gazprom-neft.local/edo/card/152ed97d-8496-4efc-8207-7e146c918f1a", "https://tessa.gazprom-neft.local/edo/card/152ed97d-8496-4efc-8207-7e146c918f1a")</f>
        <v>https://tessa.gazprom-neft.local/edo/card/152ed97d-8496-4efc-8207-7e146c918f1a</v>
      </c>
    </row>
    <row r="1954" spans="1:45" hidden="1" x14ac:dyDescent="0.25">
      <c r="A1954" s="6" t="s">
        <v>44</v>
      </c>
      <c r="B1954" s="7" t="s">
        <v>2050</v>
      </c>
      <c r="C1954" s="7" t="s">
        <v>67</v>
      </c>
      <c r="D1954" s="8">
        <v>44621</v>
      </c>
      <c r="E1954" s="8" t="s">
        <v>0</v>
      </c>
      <c r="F1954" s="16" t="s">
        <v>2051</v>
      </c>
      <c r="G1954" s="7" t="s">
        <v>2052</v>
      </c>
      <c r="H1954" s="7" t="s">
        <v>2578</v>
      </c>
      <c r="I1954" s="7" t="s">
        <v>0</v>
      </c>
      <c r="J1954" s="7" t="s">
        <v>271</v>
      </c>
      <c r="K1954" s="7" t="s">
        <v>85</v>
      </c>
      <c r="L1954" s="7" t="s">
        <v>389</v>
      </c>
      <c r="M1954" s="7" t="s">
        <v>1252</v>
      </c>
      <c r="N1954" s="7" t="s">
        <v>2576</v>
      </c>
      <c r="O1954" s="7" t="s">
        <v>2577</v>
      </c>
      <c r="P1954" s="7" t="s">
        <v>2579</v>
      </c>
      <c r="Q1954" s="7" t="s">
        <v>2580</v>
      </c>
      <c r="R1954" s="7" t="s">
        <v>1256</v>
      </c>
      <c r="S1954" s="7" t="s">
        <v>1256</v>
      </c>
      <c r="T1954" s="7" t="s">
        <v>54</v>
      </c>
      <c r="U1954" s="7" t="s">
        <v>591</v>
      </c>
      <c r="V1954" s="7" t="s">
        <v>382</v>
      </c>
      <c r="W1954" s="7" t="s">
        <v>57</v>
      </c>
      <c r="X1954" s="7" t="s">
        <v>58</v>
      </c>
      <c r="Y1954" s="8">
        <v>44621</v>
      </c>
      <c r="Z1954" s="8" t="s">
        <v>0</v>
      </c>
      <c r="AA1954" s="7" t="s">
        <v>383</v>
      </c>
      <c r="AB1954" s="7" t="s">
        <v>387</v>
      </c>
      <c r="AC1954" s="7" t="s">
        <v>79</v>
      </c>
      <c r="AD1954" s="7" t="s">
        <v>144</v>
      </c>
      <c r="AE1954" s="7" t="s">
        <v>82</v>
      </c>
      <c r="AF1954" s="7" t="s">
        <v>0</v>
      </c>
      <c r="AG1954" s="7" t="s">
        <v>0</v>
      </c>
      <c r="AH1954" s="9" t="s">
        <v>11390</v>
      </c>
      <c r="AI1954" s="9" t="s">
        <v>11391</v>
      </c>
      <c r="AJ1954" s="9" t="s">
        <v>11392</v>
      </c>
      <c r="AK1954" s="7" t="s">
        <v>61</v>
      </c>
      <c r="AL1954" s="7" t="s">
        <v>61</v>
      </c>
      <c r="AM1954" s="7" t="s">
        <v>0</v>
      </c>
      <c r="AN1954" s="7" t="s">
        <v>0</v>
      </c>
      <c r="AO1954" s="7" t="s">
        <v>0</v>
      </c>
      <c r="AP1954" s="7" t="s">
        <v>0</v>
      </c>
      <c r="AQ1954" s="7" t="s">
        <v>61</v>
      </c>
      <c r="AR1954" s="7" t="s">
        <v>0</v>
      </c>
      <c r="AS1954" s="10" t="str">
        <f>HYPERLINK("https://tessa.gazprom-neft.local/edo/card/04f6ec01-5e3b-47a6-8df0-7e4a73fe8643", "https://tessa.gazprom-neft.local/edo/card/04f6ec01-5e3b-47a6-8df0-7e4a73fe8643")</f>
        <v>https://tessa.gazprom-neft.local/edo/card/04f6ec01-5e3b-47a6-8df0-7e4a73fe8643</v>
      </c>
    </row>
    <row r="1955" spans="1:45" hidden="1" x14ac:dyDescent="0.25">
      <c r="A1955" s="6" t="s">
        <v>44</v>
      </c>
      <c r="B1955" s="7" t="s">
        <v>661</v>
      </c>
      <c r="C1955" s="7" t="s">
        <v>67</v>
      </c>
      <c r="D1955" s="8">
        <v>44621</v>
      </c>
      <c r="E1955" s="8" t="s">
        <v>0</v>
      </c>
      <c r="F1955" s="16" t="s">
        <v>662</v>
      </c>
      <c r="G1955" s="7" t="s">
        <v>663</v>
      </c>
      <c r="H1955" s="7" t="s">
        <v>2637</v>
      </c>
      <c r="I1955" s="7" t="s">
        <v>0</v>
      </c>
      <c r="J1955" s="7" t="s">
        <v>2508</v>
      </c>
      <c r="K1955" s="7" t="s">
        <v>47</v>
      </c>
      <c r="L1955" s="7" t="s">
        <v>239</v>
      </c>
      <c r="M1955" s="7" t="s">
        <v>0</v>
      </c>
      <c r="N1955" s="7" t="s">
        <v>2636</v>
      </c>
      <c r="O1955" s="7" t="s">
        <v>0</v>
      </c>
      <c r="P1955" s="7" t="s">
        <v>2638</v>
      </c>
      <c r="Q1955" s="7" t="s">
        <v>2639</v>
      </c>
      <c r="R1955" s="7" t="s">
        <v>659</v>
      </c>
      <c r="S1955" s="7" t="s">
        <v>660</v>
      </c>
      <c r="T1955" s="7" t="s">
        <v>54</v>
      </c>
      <c r="U1955" s="7" t="s">
        <v>283</v>
      </c>
      <c r="V1955" s="7" t="s">
        <v>102</v>
      </c>
      <c r="W1955" s="7" t="s">
        <v>57</v>
      </c>
      <c r="X1955" s="7" t="s">
        <v>103</v>
      </c>
      <c r="Y1955" s="8">
        <v>44621</v>
      </c>
      <c r="Z1955" s="8">
        <v>44926</v>
      </c>
      <c r="AA1955" s="7" t="s">
        <v>104</v>
      </c>
      <c r="AB1955" s="7" t="s">
        <v>130</v>
      </c>
      <c r="AC1955" s="7" t="s">
        <v>79</v>
      </c>
      <c r="AD1955" s="7" t="s">
        <v>514</v>
      </c>
      <c r="AE1955" s="7" t="s">
        <v>82</v>
      </c>
      <c r="AF1955" s="7" t="s">
        <v>0</v>
      </c>
      <c r="AG1955" s="7" t="s">
        <v>0</v>
      </c>
      <c r="AH1955" s="9" t="s">
        <v>11410</v>
      </c>
      <c r="AI1955" s="9" t="s">
        <v>11411</v>
      </c>
      <c r="AJ1955" s="9" t="s">
        <v>11412</v>
      </c>
      <c r="AK1955" s="7" t="s">
        <v>61</v>
      </c>
      <c r="AL1955" s="7" t="s">
        <v>61</v>
      </c>
      <c r="AM1955" s="7" t="s">
        <v>0</v>
      </c>
      <c r="AN1955" s="7" t="s">
        <v>0</v>
      </c>
      <c r="AO1955" s="7" t="s">
        <v>0</v>
      </c>
      <c r="AP1955" s="7" t="s">
        <v>0</v>
      </c>
      <c r="AQ1955" s="7" t="s">
        <v>61</v>
      </c>
      <c r="AR1955" s="7" t="s">
        <v>0</v>
      </c>
      <c r="AS1955" s="10" t="str">
        <f>HYPERLINK("https://tessa.gazprom-neft.local/edo/card/e27f9cb2-3b23-4996-bf2c-884e6445d080", "https://tessa.gazprom-neft.local/edo/card/e27f9cb2-3b23-4996-bf2c-884e6445d080")</f>
        <v>https://tessa.gazprom-neft.local/edo/card/e27f9cb2-3b23-4996-bf2c-884e6445d080</v>
      </c>
    </row>
    <row r="1956" spans="1:45" hidden="1" x14ac:dyDescent="0.25">
      <c r="A1956" s="6" t="s">
        <v>44</v>
      </c>
      <c r="B1956" s="7" t="s">
        <v>949</v>
      </c>
      <c r="C1956" s="7" t="s">
        <v>46</v>
      </c>
      <c r="D1956" s="8">
        <v>44621</v>
      </c>
      <c r="E1956" s="8" t="s">
        <v>0</v>
      </c>
      <c r="F1956" s="16" t="s">
        <v>950</v>
      </c>
      <c r="G1956" s="7" t="s">
        <v>951</v>
      </c>
      <c r="H1956" s="7" t="s">
        <v>946</v>
      </c>
      <c r="I1956" s="7" t="s">
        <v>0</v>
      </c>
      <c r="J1956" s="7" t="s">
        <v>3094</v>
      </c>
      <c r="K1956" s="7" t="s">
        <v>47</v>
      </c>
      <c r="L1956" s="7" t="s">
        <v>239</v>
      </c>
      <c r="M1956" s="7" t="s">
        <v>0</v>
      </c>
      <c r="N1956" s="7" t="s">
        <v>3092</v>
      </c>
      <c r="O1956" s="7" t="s">
        <v>0</v>
      </c>
      <c r="P1956" s="7" t="s">
        <v>3093</v>
      </c>
      <c r="Q1956" s="7" t="s">
        <v>3095</v>
      </c>
      <c r="R1956" s="7" t="s">
        <v>273</v>
      </c>
      <c r="S1956" s="7" t="s">
        <v>273</v>
      </c>
      <c r="T1956" s="7" t="s">
        <v>54</v>
      </c>
      <c r="U1956" s="7" t="s">
        <v>274</v>
      </c>
      <c r="V1956" s="7" t="s">
        <v>137</v>
      </c>
      <c r="W1956" s="7" t="s">
        <v>57</v>
      </c>
      <c r="X1956" s="7" t="s">
        <v>103</v>
      </c>
      <c r="Y1956" s="8">
        <v>44562</v>
      </c>
      <c r="Z1956" s="8">
        <v>44742</v>
      </c>
      <c r="AA1956" s="7" t="s">
        <v>0</v>
      </c>
      <c r="AB1956" s="7" t="s">
        <v>64</v>
      </c>
      <c r="AC1956" s="7" t="s">
        <v>278</v>
      </c>
      <c r="AD1956" s="7" t="s">
        <v>144</v>
      </c>
      <c r="AE1956" s="7" t="s">
        <v>82</v>
      </c>
      <c r="AF1956" s="7" t="s">
        <v>0</v>
      </c>
      <c r="AG1956" s="7" t="s">
        <v>0</v>
      </c>
      <c r="AH1956" s="9" t="s">
        <v>10865</v>
      </c>
      <c r="AI1956" s="9" t="s">
        <v>10866</v>
      </c>
      <c r="AJ1956" s="9" t="s">
        <v>10867</v>
      </c>
      <c r="AK1956" s="7" t="s">
        <v>61</v>
      </c>
      <c r="AL1956" s="7" t="s">
        <v>61</v>
      </c>
      <c r="AM1956" s="7" t="s">
        <v>0</v>
      </c>
      <c r="AN1956" s="7" t="s">
        <v>0</v>
      </c>
      <c r="AO1956" s="7" t="s">
        <v>0</v>
      </c>
      <c r="AP1956" s="7" t="s">
        <v>0</v>
      </c>
      <c r="AQ1956" s="7" t="s">
        <v>61</v>
      </c>
      <c r="AR1956" s="7" t="s">
        <v>0</v>
      </c>
      <c r="AS1956" s="10" t="str">
        <f>HYPERLINK("https://tessa.gazprom-neft.local/edo/card/c999bf9d-f15e-4b84-aefa-2920afa64d17", "https://tessa.gazprom-neft.local/edo/card/c999bf9d-f15e-4b84-aefa-2920afa64d17")</f>
        <v>https://tessa.gazprom-neft.local/edo/card/c999bf9d-f15e-4b84-aefa-2920afa64d17</v>
      </c>
    </row>
    <row r="1957" spans="1:45" x14ac:dyDescent="0.25">
      <c r="A1957" s="6" t="s">
        <v>44</v>
      </c>
      <c r="B1957" s="7" t="s">
        <v>900</v>
      </c>
      <c r="C1957" s="7" t="s">
        <v>67</v>
      </c>
      <c r="D1957" s="8">
        <v>44621</v>
      </c>
      <c r="E1957" s="8" t="s">
        <v>0</v>
      </c>
      <c r="F1957" s="16" t="s">
        <v>901</v>
      </c>
      <c r="G1957" s="7" t="s">
        <v>902</v>
      </c>
      <c r="H1957" s="7" t="s">
        <v>894</v>
      </c>
      <c r="I1957" s="7" t="s">
        <v>0</v>
      </c>
      <c r="J1957" s="7" t="s">
        <v>51</v>
      </c>
      <c r="K1957" s="7" t="s">
        <v>47</v>
      </c>
      <c r="L1957" s="7" t="s">
        <v>48</v>
      </c>
      <c r="M1957" s="7" t="s">
        <v>0</v>
      </c>
      <c r="N1957" s="7" t="s">
        <v>3483</v>
      </c>
      <c r="O1957" s="7" t="s">
        <v>0</v>
      </c>
      <c r="P1957" s="7" t="s">
        <v>3484</v>
      </c>
      <c r="Q1957" s="7" t="s">
        <v>3485</v>
      </c>
      <c r="R1957" s="7" t="s">
        <v>1441</v>
      </c>
      <c r="S1957" s="7" t="s">
        <v>209</v>
      </c>
      <c r="T1957" s="7" t="s">
        <v>54</v>
      </c>
      <c r="U1957" s="7" t="s">
        <v>210</v>
      </c>
      <c r="V1957" s="7" t="s">
        <v>211</v>
      </c>
      <c r="W1957" s="7" t="s">
        <v>57</v>
      </c>
      <c r="X1957" s="7" t="s">
        <v>103</v>
      </c>
      <c r="Y1957" s="8">
        <v>44621</v>
      </c>
      <c r="Z1957" s="8">
        <v>45657</v>
      </c>
      <c r="AA1957" s="7" t="s">
        <v>212</v>
      </c>
      <c r="AB1957" s="7" t="s">
        <v>130</v>
      </c>
      <c r="AC1957" s="7" t="s">
        <v>65</v>
      </c>
      <c r="AD1957" s="7" t="s">
        <v>80</v>
      </c>
      <c r="AE1957" s="7" t="s">
        <v>0</v>
      </c>
      <c r="AF1957" s="7" t="s">
        <v>0</v>
      </c>
      <c r="AG1957" s="7" t="s">
        <v>0</v>
      </c>
      <c r="AH1957" s="9" t="s">
        <v>0</v>
      </c>
      <c r="AI1957" s="9" t="s">
        <v>0</v>
      </c>
      <c r="AJ1957" s="9" t="s">
        <v>0</v>
      </c>
      <c r="AK1957" s="7" t="s">
        <v>61</v>
      </c>
      <c r="AL1957" s="7" t="s">
        <v>61</v>
      </c>
      <c r="AM1957" s="7" t="s">
        <v>0</v>
      </c>
      <c r="AN1957" s="7" t="s">
        <v>0</v>
      </c>
      <c r="AO1957" s="7" t="s">
        <v>0</v>
      </c>
      <c r="AP1957" s="7" t="s">
        <v>0</v>
      </c>
      <c r="AQ1957" s="7" t="s">
        <v>61</v>
      </c>
      <c r="AR1957" s="7" t="s">
        <v>0</v>
      </c>
      <c r="AS1957" s="10" t="str">
        <f>HYPERLINK("https://tessa.gazprom-neft.local/edo/card/0956ff8f-ac0c-4d83-9d7b-89e013e12cf8", "https://tessa.gazprom-neft.local/edo/card/0956ff8f-ac0c-4d83-9d7b-89e013e12cf8")</f>
        <v>https://tessa.gazprom-neft.local/edo/card/0956ff8f-ac0c-4d83-9d7b-89e013e12cf8</v>
      </c>
    </row>
    <row r="1958" spans="1:45" hidden="1" x14ac:dyDescent="0.25">
      <c r="A1958" s="6" t="s">
        <v>44</v>
      </c>
      <c r="B1958" s="7" t="s">
        <v>374</v>
      </c>
      <c r="C1958" s="7" t="s">
        <v>46</v>
      </c>
      <c r="D1958" s="8">
        <v>44620</v>
      </c>
      <c r="E1958" s="8" t="s">
        <v>0</v>
      </c>
      <c r="F1958" s="16" t="s">
        <v>375</v>
      </c>
      <c r="G1958" s="7" t="s">
        <v>376</v>
      </c>
      <c r="H1958" s="7" t="s">
        <v>0</v>
      </c>
      <c r="I1958" s="7" t="s">
        <v>1880</v>
      </c>
      <c r="J1958" s="7" t="s">
        <v>1880</v>
      </c>
      <c r="K1958" s="7" t="s">
        <v>47</v>
      </c>
      <c r="L1958" s="7" t="s">
        <v>96</v>
      </c>
      <c r="M1958" s="7" t="s">
        <v>0</v>
      </c>
      <c r="N1958" s="7" t="s">
        <v>1879</v>
      </c>
      <c r="O1958" s="7" t="s">
        <v>0</v>
      </c>
      <c r="P1958" s="7" t="s">
        <v>1881</v>
      </c>
      <c r="Q1958" s="7" t="s">
        <v>1882</v>
      </c>
      <c r="R1958" s="7" t="s">
        <v>293</v>
      </c>
      <c r="S1958" s="7" t="s">
        <v>293</v>
      </c>
      <c r="T1958" s="7" t="s">
        <v>54</v>
      </c>
      <c r="U1958" s="7" t="s">
        <v>294</v>
      </c>
      <c r="V1958" s="7" t="s">
        <v>295</v>
      </c>
      <c r="W1958" s="7" t="s">
        <v>57</v>
      </c>
      <c r="X1958" s="7" t="s">
        <v>103</v>
      </c>
      <c r="Y1958" s="8">
        <v>44620</v>
      </c>
      <c r="Z1958" s="8">
        <v>44742</v>
      </c>
      <c r="AA1958" s="7" t="s">
        <v>296</v>
      </c>
      <c r="AB1958" s="7" t="s">
        <v>500</v>
      </c>
      <c r="AC1958" s="7" t="s">
        <v>278</v>
      </c>
      <c r="AD1958" s="7" t="s">
        <v>80</v>
      </c>
      <c r="AE1958" s="7" t="s">
        <v>82</v>
      </c>
      <c r="AF1958" s="7" t="s">
        <v>0</v>
      </c>
      <c r="AG1958" s="7" t="s">
        <v>0</v>
      </c>
      <c r="AH1958" s="9" t="s">
        <v>11161</v>
      </c>
      <c r="AI1958" s="9" t="s">
        <v>11162</v>
      </c>
      <c r="AJ1958" s="9" t="s">
        <v>11163</v>
      </c>
      <c r="AK1958" s="7" t="s">
        <v>61</v>
      </c>
      <c r="AL1958" s="7" t="s">
        <v>61</v>
      </c>
      <c r="AM1958" s="7" t="s">
        <v>0</v>
      </c>
      <c r="AN1958" s="7" t="s">
        <v>0</v>
      </c>
      <c r="AO1958" s="7" t="s">
        <v>0</v>
      </c>
      <c r="AP1958" s="7" t="s">
        <v>0</v>
      </c>
      <c r="AQ1958" s="7" t="s">
        <v>61</v>
      </c>
      <c r="AR1958" s="7" t="s">
        <v>0</v>
      </c>
      <c r="AS1958" s="10" t="str">
        <f>HYPERLINK("https://tessa.gazprom-neft.local/edo/card/ba7d94aa-61dc-4aea-944a-9ea4466739cd", "https://tessa.gazprom-neft.local/edo/card/ba7d94aa-61dc-4aea-944a-9ea4466739cd")</f>
        <v>https://tessa.gazprom-neft.local/edo/card/ba7d94aa-61dc-4aea-944a-9ea4466739cd</v>
      </c>
    </row>
    <row r="1959" spans="1:45" x14ac:dyDescent="0.25">
      <c r="A1959" s="6" t="s">
        <v>44</v>
      </c>
      <c r="B1959" s="7" t="s">
        <v>793</v>
      </c>
      <c r="C1959" s="7" t="s">
        <v>67</v>
      </c>
      <c r="D1959" s="8">
        <v>44620</v>
      </c>
      <c r="E1959" s="8" t="s">
        <v>0</v>
      </c>
      <c r="F1959" s="16" t="s">
        <v>794</v>
      </c>
      <c r="G1959" s="7" t="s">
        <v>795</v>
      </c>
      <c r="H1959" s="7" t="s">
        <v>2055</v>
      </c>
      <c r="I1959" s="7" t="s">
        <v>0</v>
      </c>
      <c r="J1959" s="7" t="s">
        <v>156</v>
      </c>
      <c r="K1959" s="7" t="s">
        <v>47</v>
      </c>
      <c r="L1959" s="7" t="s">
        <v>48</v>
      </c>
      <c r="M1959" s="7" t="s">
        <v>0</v>
      </c>
      <c r="N1959" s="7" t="s">
        <v>2054</v>
      </c>
      <c r="O1959" s="7" t="s">
        <v>0</v>
      </c>
      <c r="P1959" s="7" t="s">
        <v>2056</v>
      </c>
      <c r="Q1959" s="7" t="s">
        <v>2057</v>
      </c>
      <c r="R1959" s="7" t="s">
        <v>282</v>
      </c>
      <c r="S1959" s="7" t="s">
        <v>282</v>
      </c>
      <c r="T1959" s="7" t="s">
        <v>54</v>
      </c>
      <c r="U1959" s="7" t="s">
        <v>55</v>
      </c>
      <c r="V1959" s="7" t="s">
        <v>56</v>
      </c>
      <c r="W1959" s="7" t="s">
        <v>57</v>
      </c>
      <c r="X1959" s="7" t="s">
        <v>103</v>
      </c>
      <c r="Y1959" s="8">
        <v>44620</v>
      </c>
      <c r="Z1959" s="8">
        <v>44926</v>
      </c>
      <c r="AA1959" s="7" t="s">
        <v>0</v>
      </c>
      <c r="AB1959" s="7" t="s">
        <v>64</v>
      </c>
      <c r="AC1959" s="7" t="s">
        <v>65</v>
      </c>
      <c r="AD1959" s="7" t="s">
        <v>0</v>
      </c>
      <c r="AE1959" s="7" t="s">
        <v>0</v>
      </c>
      <c r="AF1959" s="7" t="s">
        <v>0</v>
      </c>
      <c r="AG1959" s="7" t="s">
        <v>0</v>
      </c>
      <c r="AH1959" s="9" t="s">
        <v>0</v>
      </c>
      <c r="AI1959" s="9" t="s">
        <v>0</v>
      </c>
      <c r="AJ1959" s="9" t="s">
        <v>0</v>
      </c>
      <c r="AK1959" s="7" t="s">
        <v>61</v>
      </c>
      <c r="AL1959" s="7" t="s">
        <v>61</v>
      </c>
      <c r="AM1959" s="7" t="s">
        <v>0</v>
      </c>
      <c r="AN1959" s="7" t="s">
        <v>0</v>
      </c>
      <c r="AO1959" s="7" t="s">
        <v>0</v>
      </c>
      <c r="AP1959" s="7" t="s">
        <v>0</v>
      </c>
      <c r="AQ1959" s="7" t="s">
        <v>61</v>
      </c>
      <c r="AR1959" s="7" t="s">
        <v>0</v>
      </c>
      <c r="AS1959" s="10" t="str">
        <f>HYPERLINK("https://tessa.gazprom-neft.local/edo/card/c9a5e738-1188-4f8f-b7c7-527abddc9066", "https://tessa.gazprom-neft.local/edo/card/c9a5e738-1188-4f8f-b7c7-527abddc9066")</f>
        <v>https://tessa.gazprom-neft.local/edo/card/c9a5e738-1188-4f8f-b7c7-527abddc9066</v>
      </c>
    </row>
    <row r="1960" spans="1:45" x14ac:dyDescent="0.25">
      <c r="A1960" s="6" t="s">
        <v>44</v>
      </c>
      <c r="B1960" s="7" t="s">
        <v>793</v>
      </c>
      <c r="C1960" s="7" t="s">
        <v>67</v>
      </c>
      <c r="D1960" s="8">
        <v>44620</v>
      </c>
      <c r="E1960" s="8" t="s">
        <v>0</v>
      </c>
      <c r="F1960" s="16" t="s">
        <v>794</v>
      </c>
      <c r="G1960" s="7" t="s">
        <v>795</v>
      </c>
      <c r="H1960" s="7" t="s">
        <v>2069</v>
      </c>
      <c r="I1960" s="7" t="s">
        <v>0</v>
      </c>
      <c r="J1960" s="7" t="s">
        <v>271</v>
      </c>
      <c r="K1960" s="7" t="s">
        <v>47</v>
      </c>
      <c r="L1960" s="7" t="s">
        <v>48</v>
      </c>
      <c r="M1960" s="7" t="s">
        <v>0</v>
      </c>
      <c r="N1960" s="7" t="s">
        <v>2068</v>
      </c>
      <c r="O1960" s="7" t="s">
        <v>0</v>
      </c>
      <c r="P1960" s="7" t="s">
        <v>2070</v>
      </c>
      <c r="Q1960" s="7" t="s">
        <v>2057</v>
      </c>
      <c r="R1960" s="7" t="s">
        <v>282</v>
      </c>
      <c r="S1960" s="7" t="s">
        <v>0</v>
      </c>
      <c r="T1960" s="7" t="s">
        <v>54</v>
      </c>
      <c r="U1960" s="7" t="s">
        <v>55</v>
      </c>
      <c r="V1960" s="7" t="s">
        <v>56</v>
      </c>
      <c r="W1960" s="7" t="s">
        <v>57</v>
      </c>
      <c r="X1960" s="7" t="s">
        <v>103</v>
      </c>
      <c r="Y1960" s="8">
        <v>44620</v>
      </c>
      <c r="Z1960" s="8">
        <v>45291</v>
      </c>
      <c r="AA1960" s="7" t="s">
        <v>0</v>
      </c>
      <c r="AB1960" s="7" t="s">
        <v>64</v>
      </c>
      <c r="AC1960" s="7" t="s">
        <v>65</v>
      </c>
      <c r="AD1960" s="7" t="s">
        <v>0</v>
      </c>
      <c r="AE1960" s="7" t="s">
        <v>0</v>
      </c>
      <c r="AF1960" s="7" t="s">
        <v>0</v>
      </c>
      <c r="AG1960" s="7" t="s">
        <v>0</v>
      </c>
      <c r="AH1960" s="9" t="s">
        <v>0</v>
      </c>
      <c r="AI1960" s="9" t="s">
        <v>0</v>
      </c>
      <c r="AJ1960" s="9" t="s">
        <v>0</v>
      </c>
      <c r="AK1960" s="7" t="s">
        <v>61</v>
      </c>
      <c r="AL1960" s="7" t="s">
        <v>61</v>
      </c>
      <c r="AM1960" s="7" t="s">
        <v>0</v>
      </c>
      <c r="AN1960" s="7" t="s">
        <v>0</v>
      </c>
      <c r="AO1960" s="7" t="s">
        <v>0</v>
      </c>
      <c r="AP1960" s="7" t="s">
        <v>0</v>
      </c>
      <c r="AQ1960" s="7" t="s">
        <v>61</v>
      </c>
      <c r="AR1960" s="7" t="s">
        <v>0</v>
      </c>
      <c r="AS1960" s="10" t="str">
        <f>HYPERLINK("https://tessa.gazprom-neft.local/edo/card/67ecaecb-b402-4e47-89f6-500b90a2f3c8", "https://tessa.gazprom-neft.local/edo/card/67ecaecb-b402-4e47-89f6-500b90a2f3c8")</f>
        <v>https://tessa.gazprom-neft.local/edo/card/67ecaecb-b402-4e47-89f6-500b90a2f3c8</v>
      </c>
    </row>
    <row r="1961" spans="1:45" x14ac:dyDescent="0.25">
      <c r="A1961" s="6" t="s">
        <v>44</v>
      </c>
      <c r="B1961" s="7" t="s">
        <v>971</v>
      </c>
      <c r="C1961" s="7" t="s">
        <v>67</v>
      </c>
      <c r="D1961" s="8">
        <v>44620</v>
      </c>
      <c r="E1961" s="8" t="s">
        <v>0</v>
      </c>
      <c r="F1961" s="16" t="s">
        <v>972</v>
      </c>
      <c r="G1961" s="7" t="s">
        <v>973</v>
      </c>
      <c r="H1961" s="7" t="s">
        <v>2141</v>
      </c>
      <c r="I1961" s="7" t="s">
        <v>0</v>
      </c>
      <c r="J1961" s="7" t="s">
        <v>1098</v>
      </c>
      <c r="K1961" s="7" t="s">
        <v>47</v>
      </c>
      <c r="L1961" s="7" t="s">
        <v>48</v>
      </c>
      <c r="M1961" s="7" t="s">
        <v>0</v>
      </c>
      <c r="N1961" s="7" t="s">
        <v>2140</v>
      </c>
      <c r="O1961" s="7" t="s">
        <v>0</v>
      </c>
      <c r="P1961" s="7" t="s">
        <v>2142</v>
      </c>
      <c r="Q1961" s="7" t="s">
        <v>2143</v>
      </c>
      <c r="R1961" s="7" t="s">
        <v>339</v>
      </c>
      <c r="S1961" s="7" t="s">
        <v>339</v>
      </c>
      <c r="T1961" s="7" t="s">
        <v>54</v>
      </c>
      <c r="U1961" s="7" t="s">
        <v>303</v>
      </c>
      <c r="V1961" s="7" t="s">
        <v>137</v>
      </c>
      <c r="W1961" s="7" t="s">
        <v>57</v>
      </c>
      <c r="X1961" s="7" t="s">
        <v>103</v>
      </c>
      <c r="Y1961" s="8">
        <v>44621</v>
      </c>
      <c r="Z1961" s="8">
        <v>44831</v>
      </c>
      <c r="AA1961" s="7" t="s">
        <v>0</v>
      </c>
      <c r="AB1961" s="7" t="s">
        <v>64</v>
      </c>
      <c r="AC1961" s="7" t="s">
        <v>65</v>
      </c>
      <c r="AD1961" s="7" t="s">
        <v>0</v>
      </c>
      <c r="AE1961" s="7" t="s">
        <v>0</v>
      </c>
      <c r="AF1961" s="7" t="s">
        <v>0</v>
      </c>
      <c r="AG1961" s="7" t="s">
        <v>0</v>
      </c>
      <c r="AH1961" s="9" t="s">
        <v>0</v>
      </c>
      <c r="AI1961" s="9" t="s">
        <v>0</v>
      </c>
      <c r="AJ1961" s="9" t="s">
        <v>0</v>
      </c>
      <c r="AK1961" s="7" t="s">
        <v>61</v>
      </c>
      <c r="AL1961" s="7" t="s">
        <v>61</v>
      </c>
      <c r="AM1961" s="7" t="s">
        <v>0</v>
      </c>
      <c r="AN1961" s="7" t="s">
        <v>0</v>
      </c>
      <c r="AO1961" s="7" t="s">
        <v>0</v>
      </c>
      <c r="AP1961" s="7" t="s">
        <v>0</v>
      </c>
      <c r="AQ1961" s="7" t="s">
        <v>61</v>
      </c>
      <c r="AR1961" s="7" t="s">
        <v>0</v>
      </c>
      <c r="AS1961" s="10" t="str">
        <f>HYPERLINK("https://tessa.gazprom-neft.local/edo/card/19450955-5ec8-461e-80eb-3033e77d0dbd", "https://tessa.gazprom-neft.local/edo/card/19450955-5ec8-461e-80eb-3033e77d0dbd")</f>
        <v>https://tessa.gazprom-neft.local/edo/card/19450955-5ec8-461e-80eb-3033e77d0dbd</v>
      </c>
    </row>
    <row r="1962" spans="1:45" hidden="1" x14ac:dyDescent="0.25">
      <c r="A1962" s="6" t="s">
        <v>44</v>
      </c>
      <c r="B1962" s="7" t="s">
        <v>2132</v>
      </c>
      <c r="C1962" s="7" t="s">
        <v>67</v>
      </c>
      <c r="D1962" s="8">
        <v>44620</v>
      </c>
      <c r="E1962" s="8" t="s">
        <v>0</v>
      </c>
      <c r="F1962" s="16" t="s">
        <v>2133</v>
      </c>
      <c r="G1962" s="7" t="s">
        <v>739</v>
      </c>
      <c r="H1962" s="7" t="s">
        <v>0</v>
      </c>
      <c r="I1962" s="7" t="s">
        <v>2169</v>
      </c>
      <c r="J1962" s="7" t="s">
        <v>2169</v>
      </c>
      <c r="K1962" s="7" t="s">
        <v>85</v>
      </c>
      <c r="L1962" s="7" t="s">
        <v>96</v>
      </c>
      <c r="M1962" s="7" t="s">
        <v>205</v>
      </c>
      <c r="N1962" s="7" t="s">
        <v>2168</v>
      </c>
      <c r="O1962" s="7" t="s">
        <v>0</v>
      </c>
      <c r="P1962" s="7" t="s">
        <v>2170</v>
      </c>
      <c r="Q1962" s="7" t="s">
        <v>2171</v>
      </c>
      <c r="R1962" s="7" t="s">
        <v>1441</v>
      </c>
      <c r="S1962" s="7" t="s">
        <v>1753</v>
      </c>
      <c r="T1962" s="7" t="s">
        <v>54</v>
      </c>
      <c r="U1962" s="7" t="s">
        <v>210</v>
      </c>
      <c r="V1962" s="7" t="s">
        <v>211</v>
      </c>
      <c r="W1962" s="7" t="s">
        <v>57</v>
      </c>
      <c r="X1962" s="7" t="s">
        <v>103</v>
      </c>
      <c r="Y1962" s="8">
        <v>44620</v>
      </c>
      <c r="Z1962" s="8">
        <v>45016</v>
      </c>
      <c r="AA1962" s="7" t="s">
        <v>212</v>
      </c>
      <c r="AB1962" s="7" t="s">
        <v>130</v>
      </c>
      <c r="AC1962" s="7" t="s">
        <v>79</v>
      </c>
      <c r="AD1962" s="7" t="s">
        <v>80</v>
      </c>
      <c r="AE1962" s="7" t="s">
        <v>82</v>
      </c>
      <c r="AF1962" s="7" t="s">
        <v>0</v>
      </c>
      <c r="AG1962" s="7" t="s">
        <v>0</v>
      </c>
      <c r="AH1962" s="9" t="s">
        <v>11267</v>
      </c>
      <c r="AI1962" s="9" t="s">
        <v>11268</v>
      </c>
      <c r="AJ1962" s="9" t="s">
        <v>11269</v>
      </c>
      <c r="AK1962" s="7" t="s">
        <v>61</v>
      </c>
      <c r="AL1962" s="7" t="s">
        <v>61</v>
      </c>
      <c r="AM1962" s="7" t="s">
        <v>0</v>
      </c>
      <c r="AN1962" s="7" t="s">
        <v>0</v>
      </c>
      <c r="AO1962" s="7" t="s">
        <v>0</v>
      </c>
      <c r="AP1962" s="7" t="s">
        <v>0</v>
      </c>
      <c r="AQ1962" s="7" t="s">
        <v>61</v>
      </c>
      <c r="AR1962" s="7" t="s">
        <v>0</v>
      </c>
      <c r="AS1962" s="10" t="str">
        <f>HYPERLINK("https://tessa.gazprom-neft.local/edo/card/d092494b-32b2-4ae1-80fe-763ce8b7656c", "https://tessa.gazprom-neft.local/edo/card/d092494b-32b2-4ae1-80fe-763ce8b7656c")</f>
        <v>https://tessa.gazprom-neft.local/edo/card/d092494b-32b2-4ae1-80fe-763ce8b7656c</v>
      </c>
    </row>
    <row r="1963" spans="1:45" hidden="1" x14ac:dyDescent="0.25">
      <c r="A1963" s="6" t="s">
        <v>44</v>
      </c>
      <c r="B1963" s="7" t="s">
        <v>0</v>
      </c>
      <c r="C1963" s="7" t="s">
        <v>67</v>
      </c>
      <c r="D1963" s="8">
        <v>44620</v>
      </c>
      <c r="E1963" s="8" t="s">
        <v>0</v>
      </c>
      <c r="F1963" s="16" t="s">
        <v>8336</v>
      </c>
      <c r="G1963" s="7" t="s">
        <v>0</v>
      </c>
      <c r="H1963" s="7" t="s">
        <v>8334</v>
      </c>
      <c r="I1963" s="7" t="s">
        <v>0</v>
      </c>
      <c r="J1963" s="7" t="s">
        <v>8335</v>
      </c>
      <c r="K1963" s="7" t="s">
        <v>47</v>
      </c>
      <c r="L1963" s="7" t="s">
        <v>239</v>
      </c>
      <c r="M1963" s="7" t="s">
        <v>0</v>
      </c>
      <c r="N1963" s="7" t="s">
        <v>8333</v>
      </c>
      <c r="O1963" s="7" t="s">
        <v>0</v>
      </c>
      <c r="P1963" s="7" t="s">
        <v>239</v>
      </c>
      <c r="Q1963" s="7" t="s">
        <v>7666</v>
      </c>
      <c r="R1963" s="7" t="s">
        <v>1476</v>
      </c>
      <c r="S1963" s="7" t="s">
        <v>1476</v>
      </c>
      <c r="T1963" s="7" t="s">
        <v>54</v>
      </c>
      <c r="U1963" s="7" t="s">
        <v>101</v>
      </c>
      <c r="V1963" s="7" t="s">
        <v>102</v>
      </c>
      <c r="W1963" s="7" t="s">
        <v>57</v>
      </c>
      <c r="X1963" s="7" t="s">
        <v>58</v>
      </c>
      <c r="Y1963" s="8">
        <v>44620</v>
      </c>
      <c r="Z1963" s="8" t="s">
        <v>0</v>
      </c>
      <c r="AA1963" s="7" t="s">
        <v>6296</v>
      </c>
      <c r="AB1963" s="7" t="s">
        <v>8337</v>
      </c>
      <c r="AC1963" s="7" t="s">
        <v>79</v>
      </c>
      <c r="AD1963" s="7" t="s">
        <v>144</v>
      </c>
      <c r="AE1963" s="7" t="s">
        <v>82</v>
      </c>
      <c r="AF1963" s="7" t="s">
        <v>0</v>
      </c>
      <c r="AG1963" s="7" t="s">
        <v>0</v>
      </c>
      <c r="AH1963" s="9" t="s">
        <v>13510</v>
      </c>
      <c r="AI1963" s="9" t="s">
        <v>13511</v>
      </c>
      <c r="AJ1963" s="9" t="s">
        <v>13512</v>
      </c>
      <c r="AK1963" s="7" t="s">
        <v>61</v>
      </c>
      <c r="AL1963" s="7" t="s">
        <v>61</v>
      </c>
      <c r="AM1963" s="7" t="s">
        <v>0</v>
      </c>
      <c r="AN1963" s="7" t="s">
        <v>0</v>
      </c>
      <c r="AO1963" s="7" t="s">
        <v>0</v>
      </c>
      <c r="AP1963" s="7" t="s">
        <v>0</v>
      </c>
      <c r="AQ1963" s="7" t="s">
        <v>61</v>
      </c>
      <c r="AR1963" s="7" t="s">
        <v>0</v>
      </c>
      <c r="AS1963" s="10" t="str">
        <f>HYPERLINK("https://tessa.gazprom-neft.local/edo/card/134989b8-4bd9-43d2-b732-e27be88d65f1", "https://tessa.gazprom-neft.local/edo/card/134989b8-4bd9-43d2-b732-e27be88d65f1")</f>
        <v>https://tessa.gazprom-neft.local/edo/card/134989b8-4bd9-43d2-b732-e27be88d65f1</v>
      </c>
    </row>
    <row r="1964" spans="1:45" hidden="1" x14ac:dyDescent="0.25">
      <c r="A1964" s="6" t="s">
        <v>44</v>
      </c>
      <c r="B1964" s="7" t="s">
        <v>253</v>
      </c>
      <c r="C1964" s="7" t="s">
        <v>67</v>
      </c>
      <c r="D1964" s="8">
        <v>44616</v>
      </c>
      <c r="E1964" s="8" t="s">
        <v>0</v>
      </c>
      <c r="F1964" s="16" t="s">
        <v>254</v>
      </c>
      <c r="G1964" s="7" t="s">
        <v>255</v>
      </c>
      <c r="H1964" s="7" t="s">
        <v>2305</v>
      </c>
      <c r="I1964" s="7" t="s">
        <v>0</v>
      </c>
      <c r="J1964" s="7" t="s">
        <v>2307</v>
      </c>
      <c r="K1964" s="7" t="s">
        <v>47</v>
      </c>
      <c r="L1964" s="7" t="s">
        <v>239</v>
      </c>
      <c r="M1964" s="7" t="s">
        <v>0</v>
      </c>
      <c r="N1964" s="7" t="s">
        <v>2304</v>
      </c>
      <c r="O1964" s="7" t="s">
        <v>0</v>
      </c>
      <c r="P1964" s="7" t="s">
        <v>2306</v>
      </c>
      <c r="Q1964" s="7" t="s">
        <v>2308</v>
      </c>
      <c r="R1964" s="7" t="s">
        <v>891</v>
      </c>
      <c r="S1964" s="7" t="s">
        <v>0</v>
      </c>
      <c r="T1964" s="7" t="s">
        <v>54</v>
      </c>
      <c r="U1964" s="7" t="s">
        <v>892</v>
      </c>
      <c r="V1964" s="7" t="s">
        <v>56</v>
      </c>
      <c r="W1964" s="7" t="s">
        <v>57</v>
      </c>
      <c r="X1964" s="7" t="s">
        <v>103</v>
      </c>
      <c r="Y1964" s="8">
        <v>44616</v>
      </c>
      <c r="Z1964" s="8">
        <v>44650</v>
      </c>
      <c r="AA1964" s="7" t="s">
        <v>59</v>
      </c>
      <c r="AB1964" s="7" t="s">
        <v>256</v>
      </c>
      <c r="AC1964" s="7" t="s">
        <v>79</v>
      </c>
      <c r="AD1964" s="7" t="s">
        <v>144</v>
      </c>
      <c r="AE1964" s="7" t="s">
        <v>82</v>
      </c>
      <c r="AF1964" s="7" t="s">
        <v>0</v>
      </c>
      <c r="AG1964" s="7" t="s">
        <v>0</v>
      </c>
      <c r="AH1964" s="9" t="s">
        <v>11314</v>
      </c>
      <c r="AI1964" s="9" t="s">
        <v>11315</v>
      </c>
      <c r="AJ1964" s="9" t="s">
        <v>11316</v>
      </c>
      <c r="AK1964" s="7" t="s">
        <v>61</v>
      </c>
      <c r="AL1964" s="7" t="s">
        <v>61</v>
      </c>
      <c r="AM1964" s="7" t="s">
        <v>0</v>
      </c>
      <c r="AN1964" s="7" t="s">
        <v>0</v>
      </c>
      <c r="AO1964" s="7" t="s">
        <v>0</v>
      </c>
      <c r="AP1964" s="7" t="s">
        <v>0</v>
      </c>
      <c r="AQ1964" s="7" t="s">
        <v>61</v>
      </c>
      <c r="AR1964" s="7" t="s">
        <v>0</v>
      </c>
      <c r="AS1964" s="10" t="str">
        <f>HYPERLINK("https://tessa.gazprom-neft.local/edo/card/a0974eb7-4352-4224-ac9d-0af058c37984", "https://tessa.gazprom-neft.local/edo/card/a0974eb7-4352-4224-ac9d-0af058c37984")</f>
        <v>https://tessa.gazprom-neft.local/edo/card/a0974eb7-4352-4224-ac9d-0af058c37984</v>
      </c>
    </row>
    <row r="1965" spans="1:45" x14ac:dyDescent="0.25">
      <c r="A1965" s="6" t="s">
        <v>44</v>
      </c>
      <c r="B1965" s="7" t="s">
        <v>265</v>
      </c>
      <c r="C1965" s="7" t="s">
        <v>67</v>
      </c>
      <c r="D1965" s="8">
        <v>44614</v>
      </c>
      <c r="E1965" s="8" t="s">
        <v>0</v>
      </c>
      <c r="F1965" s="16" t="s">
        <v>266</v>
      </c>
      <c r="G1965" s="7" t="s">
        <v>267</v>
      </c>
      <c r="H1965" s="7" t="s">
        <v>261</v>
      </c>
      <c r="I1965" s="7" t="s">
        <v>0</v>
      </c>
      <c r="J1965" s="7" t="s">
        <v>955</v>
      </c>
      <c r="K1965" s="7" t="s">
        <v>47</v>
      </c>
      <c r="L1965" s="7" t="s">
        <v>48</v>
      </c>
      <c r="M1965" s="7" t="s">
        <v>0</v>
      </c>
      <c r="N1965" s="7" t="s">
        <v>2011</v>
      </c>
      <c r="O1965" s="7" t="s">
        <v>0</v>
      </c>
      <c r="P1965" s="7" t="s">
        <v>2012</v>
      </c>
      <c r="Q1965" s="7" t="s">
        <v>2013</v>
      </c>
      <c r="R1965" s="7" t="s">
        <v>198</v>
      </c>
      <c r="S1965" s="7" t="s">
        <v>198</v>
      </c>
      <c r="T1965" s="7" t="s">
        <v>54</v>
      </c>
      <c r="U1965" s="7" t="s">
        <v>199</v>
      </c>
      <c r="V1965" s="7" t="s">
        <v>211</v>
      </c>
      <c r="W1965" s="7" t="s">
        <v>57</v>
      </c>
      <c r="X1965" s="7" t="s">
        <v>103</v>
      </c>
      <c r="Y1965" s="8">
        <v>44614</v>
      </c>
      <c r="Z1965" s="8">
        <v>45657</v>
      </c>
      <c r="AA1965" s="7" t="s">
        <v>212</v>
      </c>
      <c r="AB1965" s="7" t="s">
        <v>2014</v>
      </c>
      <c r="AC1965" s="7" t="s">
        <v>65</v>
      </c>
      <c r="AD1965" s="7" t="s">
        <v>0</v>
      </c>
      <c r="AE1965" s="7" t="s">
        <v>0</v>
      </c>
      <c r="AF1965" s="7" t="s">
        <v>0</v>
      </c>
      <c r="AG1965" s="7" t="s">
        <v>0</v>
      </c>
      <c r="AH1965" s="9" t="s">
        <v>0</v>
      </c>
      <c r="AI1965" s="9" t="s">
        <v>0</v>
      </c>
      <c r="AJ1965" s="9" t="s">
        <v>0</v>
      </c>
      <c r="AK1965" s="7" t="s">
        <v>61</v>
      </c>
      <c r="AL1965" s="7" t="s">
        <v>61</v>
      </c>
      <c r="AM1965" s="7" t="s">
        <v>0</v>
      </c>
      <c r="AN1965" s="7" t="s">
        <v>0</v>
      </c>
      <c r="AO1965" s="7" t="s">
        <v>0</v>
      </c>
      <c r="AP1965" s="7" t="s">
        <v>0</v>
      </c>
      <c r="AQ1965" s="7" t="s">
        <v>61</v>
      </c>
      <c r="AR1965" s="7" t="s">
        <v>0</v>
      </c>
      <c r="AS1965" s="10" t="str">
        <f>HYPERLINK("https://tessa.gazprom-neft.local/edo/card/d0ffd0a4-27e8-4087-a902-dc9dccceabc6", "https://tessa.gazprom-neft.local/edo/card/d0ffd0a4-27e8-4087-a902-dc9dccceabc6")</f>
        <v>https://tessa.gazprom-neft.local/edo/card/d0ffd0a4-27e8-4087-a902-dc9dccceabc6</v>
      </c>
    </row>
    <row r="1966" spans="1:45" hidden="1" x14ac:dyDescent="0.25">
      <c r="A1966" s="6" t="s">
        <v>44</v>
      </c>
      <c r="B1966" s="7" t="s">
        <v>793</v>
      </c>
      <c r="C1966" s="7" t="s">
        <v>46</v>
      </c>
      <c r="D1966" s="8">
        <v>44614</v>
      </c>
      <c r="E1966" s="8" t="s">
        <v>0</v>
      </c>
      <c r="F1966" s="16" t="s">
        <v>794</v>
      </c>
      <c r="G1966" s="7" t="s">
        <v>795</v>
      </c>
      <c r="H1966" s="7" t="s">
        <v>0</v>
      </c>
      <c r="I1966" s="7" t="s">
        <v>4977</v>
      </c>
      <c r="J1966" s="7" t="s">
        <v>4977</v>
      </c>
      <c r="K1966" s="7" t="s">
        <v>47</v>
      </c>
      <c r="L1966" s="7" t="s">
        <v>96</v>
      </c>
      <c r="M1966" s="7" t="s">
        <v>0</v>
      </c>
      <c r="N1966" s="7" t="s">
        <v>4976</v>
      </c>
      <c r="O1966" s="7" t="s">
        <v>0</v>
      </c>
      <c r="P1966" s="7" t="s">
        <v>4978</v>
      </c>
      <c r="Q1966" s="7" t="s">
        <v>402</v>
      </c>
      <c r="R1966" s="7" t="s">
        <v>361</v>
      </c>
      <c r="S1966" s="7" t="s">
        <v>361</v>
      </c>
      <c r="T1966" s="7" t="s">
        <v>54</v>
      </c>
      <c r="U1966" s="7" t="s">
        <v>362</v>
      </c>
      <c r="V1966" s="7" t="s">
        <v>295</v>
      </c>
      <c r="W1966" s="7" t="s">
        <v>57</v>
      </c>
      <c r="X1966" s="7" t="s">
        <v>103</v>
      </c>
      <c r="Y1966" s="8">
        <v>44713</v>
      </c>
      <c r="Z1966" s="8">
        <v>44926</v>
      </c>
      <c r="AA1966" s="7" t="s">
        <v>296</v>
      </c>
      <c r="AB1966" s="7" t="s">
        <v>366</v>
      </c>
      <c r="AC1966" s="7" t="s">
        <v>278</v>
      </c>
      <c r="AD1966" s="7" t="s">
        <v>367</v>
      </c>
      <c r="AE1966" s="7" t="s">
        <v>82</v>
      </c>
      <c r="AF1966" s="7" t="s">
        <v>0</v>
      </c>
      <c r="AG1966" s="7" t="s">
        <v>0</v>
      </c>
      <c r="AH1966" s="9" t="s">
        <v>12289</v>
      </c>
      <c r="AI1966" s="9" t="s">
        <v>12290</v>
      </c>
      <c r="AJ1966" s="9" t="s">
        <v>12291</v>
      </c>
      <c r="AK1966" s="7" t="s">
        <v>61</v>
      </c>
      <c r="AL1966" s="7" t="s">
        <v>61</v>
      </c>
      <c r="AM1966" s="7" t="s">
        <v>0</v>
      </c>
      <c r="AN1966" s="7" t="s">
        <v>0</v>
      </c>
      <c r="AO1966" s="7" t="s">
        <v>0</v>
      </c>
      <c r="AP1966" s="7" t="s">
        <v>0</v>
      </c>
      <c r="AQ1966" s="7" t="s">
        <v>61</v>
      </c>
      <c r="AR1966" s="7" t="s">
        <v>0</v>
      </c>
      <c r="AS1966" s="10" t="str">
        <f>HYPERLINK("https://tessa.gazprom-neft.local/edo/card/55d4ee1b-b1d0-4aa5-bace-080c22a62239", "https://tessa.gazprom-neft.local/edo/card/55d4ee1b-b1d0-4aa5-bace-080c22a62239")</f>
        <v>https://tessa.gazprom-neft.local/edo/card/55d4ee1b-b1d0-4aa5-bace-080c22a62239</v>
      </c>
    </row>
    <row r="1967" spans="1:45" hidden="1" x14ac:dyDescent="0.25">
      <c r="A1967" s="6" t="s">
        <v>44</v>
      </c>
      <c r="B1967" s="7" t="s">
        <v>1754</v>
      </c>
      <c r="C1967" s="7" t="s">
        <v>67</v>
      </c>
      <c r="D1967" s="8">
        <v>44613</v>
      </c>
      <c r="E1967" s="8" t="s">
        <v>0</v>
      </c>
      <c r="F1967" s="16" t="s">
        <v>1755</v>
      </c>
      <c r="G1967" s="7" t="s">
        <v>1756</v>
      </c>
      <c r="H1967" s="7" t="s">
        <v>0</v>
      </c>
      <c r="I1967" s="7" t="s">
        <v>1751</v>
      </c>
      <c r="J1967" s="7" t="s">
        <v>1751</v>
      </c>
      <c r="K1967" s="7" t="s">
        <v>85</v>
      </c>
      <c r="L1967" s="7" t="s">
        <v>96</v>
      </c>
      <c r="M1967" s="7" t="s">
        <v>1749</v>
      </c>
      <c r="N1967" s="7" t="s">
        <v>1750</v>
      </c>
      <c r="O1967" s="7" t="s">
        <v>0</v>
      </c>
      <c r="P1967" s="7" t="s">
        <v>1749</v>
      </c>
      <c r="Q1967" s="7" t="s">
        <v>1752</v>
      </c>
      <c r="R1967" s="7" t="s">
        <v>1441</v>
      </c>
      <c r="S1967" s="7" t="s">
        <v>1753</v>
      </c>
      <c r="T1967" s="7" t="s">
        <v>54</v>
      </c>
      <c r="U1967" s="7" t="s">
        <v>210</v>
      </c>
      <c r="V1967" s="7" t="s">
        <v>211</v>
      </c>
      <c r="W1967" s="7" t="s">
        <v>57</v>
      </c>
      <c r="X1967" s="7" t="s">
        <v>103</v>
      </c>
      <c r="Y1967" s="8">
        <v>44613</v>
      </c>
      <c r="Z1967" s="8">
        <v>45000</v>
      </c>
      <c r="AA1967" s="7" t="s">
        <v>212</v>
      </c>
      <c r="AB1967" s="7" t="s">
        <v>423</v>
      </c>
      <c r="AC1967" s="7" t="s">
        <v>79</v>
      </c>
      <c r="AD1967" s="7" t="s">
        <v>80</v>
      </c>
      <c r="AE1967" s="7" t="s">
        <v>82</v>
      </c>
      <c r="AF1967" s="7" t="s">
        <v>0</v>
      </c>
      <c r="AG1967" s="7" t="s">
        <v>0</v>
      </c>
      <c r="AH1967" s="9" t="s">
        <v>11109</v>
      </c>
      <c r="AI1967" s="9" t="s">
        <v>11110</v>
      </c>
      <c r="AJ1967" s="9" t="s">
        <v>11111</v>
      </c>
      <c r="AK1967" s="7" t="s">
        <v>61</v>
      </c>
      <c r="AL1967" s="7" t="s">
        <v>61</v>
      </c>
      <c r="AM1967" s="7" t="s">
        <v>0</v>
      </c>
      <c r="AN1967" s="7" t="s">
        <v>0</v>
      </c>
      <c r="AO1967" s="7" t="s">
        <v>0</v>
      </c>
      <c r="AP1967" s="7" t="s">
        <v>0</v>
      </c>
      <c r="AQ1967" s="7" t="s">
        <v>61</v>
      </c>
      <c r="AR1967" s="7" t="s">
        <v>0</v>
      </c>
      <c r="AS1967" s="10" t="str">
        <f>HYPERLINK("https://tessa.gazprom-neft.local/edo/card/122e5e0c-c169-4a38-8bd5-68dd03ed6a31", "https://tessa.gazprom-neft.local/edo/card/122e5e0c-c169-4a38-8bd5-68dd03ed6a31")</f>
        <v>https://tessa.gazprom-neft.local/edo/card/122e5e0c-c169-4a38-8bd5-68dd03ed6a31</v>
      </c>
    </row>
    <row r="1968" spans="1:45" hidden="1" x14ac:dyDescent="0.25">
      <c r="A1968" s="6" t="s">
        <v>44</v>
      </c>
      <c r="B1968" s="7" t="s">
        <v>1909</v>
      </c>
      <c r="C1968" s="7" t="s">
        <v>67</v>
      </c>
      <c r="D1968" s="8">
        <v>44613</v>
      </c>
      <c r="E1968" s="8" t="s">
        <v>0</v>
      </c>
      <c r="F1968" s="16" t="s">
        <v>1910</v>
      </c>
      <c r="G1968" s="7" t="s">
        <v>1911</v>
      </c>
      <c r="H1968" s="7" t="s">
        <v>1906</v>
      </c>
      <c r="I1968" s="7" t="s">
        <v>0</v>
      </c>
      <c r="J1968" s="7" t="s">
        <v>156</v>
      </c>
      <c r="K1968" s="7" t="s">
        <v>47</v>
      </c>
      <c r="L1968" s="7" t="s">
        <v>239</v>
      </c>
      <c r="M1968" s="7" t="s">
        <v>0</v>
      </c>
      <c r="N1968" s="7" t="s">
        <v>1905</v>
      </c>
      <c r="O1968" s="7" t="s">
        <v>0</v>
      </c>
      <c r="P1968" s="7" t="s">
        <v>1907</v>
      </c>
      <c r="Q1968" s="7" t="s">
        <v>1908</v>
      </c>
      <c r="R1968" s="7" t="s">
        <v>220</v>
      </c>
      <c r="S1968" s="7" t="s">
        <v>0</v>
      </c>
      <c r="T1968" s="7" t="s">
        <v>54</v>
      </c>
      <c r="U1968" s="7" t="s">
        <v>222</v>
      </c>
      <c r="V1968" s="7" t="s">
        <v>382</v>
      </c>
      <c r="W1968" s="7" t="s">
        <v>57</v>
      </c>
      <c r="X1968" s="7" t="s">
        <v>103</v>
      </c>
      <c r="Y1968" s="8">
        <v>44613</v>
      </c>
      <c r="Z1968" s="8">
        <v>44722</v>
      </c>
      <c r="AA1968" s="7" t="s">
        <v>383</v>
      </c>
      <c r="AB1968" s="7" t="s">
        <v>387</v>
      </c>
      <c r="AC1968" s="7" t="s">
        <v>79</v>
      </c>
      <c r="AD1968" s="7" t="s">
        <v>80</v>
      </c>
      <c r="AE1968" s="7" t="s">
        <v>82</v>
      </c>
      <c r="AF1968" s="7" t="s">
        <v>0</v>
      </c>
      <c r="AG1968" s="7" t="s">
        <v>0</v>
      </c>
      <c r="AH1968" s="9" t="s">
        <v>11173</v>
      </c>
      <c r="AI1968" s="9" t="s">
        <v>11174</v>
      </c>
      <c r="AJ1968" s="9" t="s">
        <v>11175</v>
      </c>
      <c r="AK1968" s="7" t="s">
        <v>61</v>
      </c>
      <c r="AL1968" s="7" t="s">
        <v>61</v>
      </c>
      <c r="AM1968" s="7" t="s">
        <v>0</v>
      </c>
      <c r="AN1968" s="7" t="s">
        <v>0</v>
      </c>
      <c r="AO1968" s="7" t="s">
        <v>0</v>
      </c>
      <c r="AP1968" s="7" t="s">
        <v>0</v>
      </c>
      <c r="AQ1968" s="7" t="s">
        <v>61</v>
      </c>
      <c r="AR1968" s="7" t="s">
        <v>0</v>
      </c>
      <c r="AS1968" s="10" t="str">
        <f>HYPERLINK("https://tessa.gazprom-neft.local/edo/card/0238e9d9-c4b2-4352-aa46-b235dda4a420", "https://tessa.gazprom-neft.local/edo/card/0238e9d9-c4b2-4352-aa46-b235dda4a420")</f>
        <v>https://tessa.gazprom-neft.local/edo/card/0238e9d9-c4b2-4352-aa46-b235dda4a420</v>
      </c>
    </row>
    <row r="1969" spans="1:45" hidden="1" x14ac:dyDescent="0.25">
      <c r="A1969" s="6" t="s">
        <v>44</v>
      </c>
      <c r="B1969" s="7" t="s">
        <v>1981</v>
      </c>
      <c r="C1969" s="7" t="s">
        <v>67</v>
      </c>
      <c r="D1969" s="8">
        <v>44613</v>
      </c>
      <c r="E1969" s="8" t="s">
        <v>0</v>
      </c>
      <c r="F1969" s="16" t="s">
        <v>1982</v>
      </c>
      <c r="G1969" s="7" t="s">
        <v>1983</v>
      </c>
      <c r="H1969" s="7" t="s">
        <v>0</v>
      </c>
      <c r="I1969" s="7" t="s">
        <v>1979</v>
      </c>
      <c r="J1969" s="7" t="s">
        <v>1979</v>
      </c>
      <c r="K1969" s="7" t="s">
        <v>85</v>
      </c>
      <c r="L1969" s="7" t="s">
        <v>96</v>
      </c>
      <c r="M1969" s="7" t="s">
        <v>1977</v>
      </c>
      <c r="N1969" s="7" t="s">
        <v>1978</v>
      </c>
      <c r="O1969" s="7" t="s">
        <v>0</v>
      </c>
      <c r="P1969" s="7" t="s">
        <v>1977</v>
      </c>
      <c r="Q1969" s="7" t="s">
        <v>1980</v>
      </c>
      <c r="R1969" s="7" t="s">
        <v>177</v>
      </c>
      <c r="S1969" s="7" t="s">
        <v>1753</v>
      </c>
      <c r="T1969" s="7" t="s">
        <v>54</v>
      </c>
      <c r="U1969" s="7" t="s">
        <v>210</v>
      </c>
      <c r="V1969" s="7" t="s">
        <v>137</v>
      </c>
      <c r="W1969" s="7" t="s">
        <v>57</v>
      </c>
      <c r="X1969" s="7" t="s">
        <v>103</v>
      </c>
      <c r="Y1969" s="8">
        <v>44613</v>
      </c>
      <c r="Z1969" s="8">
        <v>44926</v>
      </c>
      <c r="AA1969" s="7" t="s">
        <v>0</v>
      </c>
      <c r="AB1969" s="7" t="s">
        <v>1984</v>
      </c>
      <c r="AC1969" s="7" t="s">
        <v>79</v>
      </c>
      <c r="AD1969" s="7" t="s">
        <v>80</v>
      </c>
      <c r="AE1969" s="7" t="s">
        <v>82</v>
      </c>
      <c r="AF1969" s="7" t="s">
        <v>0</v>
      </c>
      <c r="AG1969" s="7" t="s">
        <v>0</v>
      </c>
      <c r="AH1969" s="9" t="s">
        <v>11201</v>
      </c>
      <c r="AI1969" s="9" t="s">
        <v>11202</v>
      </c>
      <c r="AJ1969" s="9" t="s">
        <v>11203</v>
      </c>
      <c r="AK1969" s="7" t="s">
        <v>61</v>
      </c>
      <c r="AL1969" s="7" t="s">
        <v>61</v>
      </c>
      <c r="AM1969" s="7" t="s">
        <v>0</v>
      </c>
      <c r="AN1969" s="7" t="s">
        <v>0</v>
      </c>
      <c r="AO1969" s="7" t="s">
        <v>0</v>
      </c>
      <c r="AP1969" s="7" t="s">
        <v>0</v>
      </c>
      <c r="AQ1969" s="7" t="s">
        <v>61</v>
      </c>
      <c r="AR1969" s="7" t="s">
        <v>0</v>
      </c>
      <c r="AS1969" s="10" t="str">
        <f>HYPERLINK("https://tessa.gazprom-neft.local/edo/card/0f48b5f3-51f8-4fe9-8756-2075dabcef71", "https://tessa.gazprom-neft.local/edo/card/0f48b5f3-51f8-4fe9-8756-2075dabcef71")</f>
        <v>https://tessa.gazprom-neft.local/edo/card/0f48b5f3-51f8-4fe9-8756-2075dabcef71</v>
      </c>
    </row>
    <row r="1970" spans="1:45" hidden="1" x14ac:dyDescent="0.25">
      <c r="A1970" s="6" t="s">
        <v>44</v>
      </c>
      <c r="B1970" s="7" t="s">
        <v>1754</v>
      </c>
      <c r="C1970" s="7" t="s">
        <v>67</v>
      </c>
      <c r="D1970" s="8">
        <v>44613</v>
      </c>
      <c r="E1970" s="8" t="s">
        <v>0</v>
      </c>
      <c r="F1970" s="16" t="s">
        <v>1755</v>
      </c>
      <c r="G1970" s="7" t="s">
        <v>1756</v>
      </c>
      <c r="H1970" s="7" t="s">
        <v>0</v>
      </c>
      <c r="I1970" s="7" t="s">
        <v>2023</v>
      </c>
      <c r="J1970" s="7" t="s">
        <v>2023</v>
      </c>
      <c r="K1970" s="7" t="s">
        <v>85</v>
      </c>
      <c r="L1970" s="7" t="s">
        <v>86</v>
      </c>
      <c r="M1970" s="7" t="s">
        <v>216</v>
      </c>
      <c r="N1970" s="7" t="s">
        <v>2022</v>
      </c>
      <c r="O1970" s="7" t="s">
        <v>0</v>
      </c>
      <c r="P1970" s="7" t="s">
        <v>2024</v>
      </c>
      <c r="Q1970" s="7" t="s">
        <v>2025</v>
      </c>
      <c r="R1970" s="7" t="s">
        <v>1441</v>
      </c>
      <c r="S1970" s="7" t="s">
        <v>1753</v>
      </c>
      <c r="T1970" s="7" t="s">
        <v>54</v>
      </c>
      <c r="U1970" s="7" t="s">
        <v>210</v>
      </c>
      <c r="V1970" s="7" t="s">
        <v>211</v>
      </c>
      <c r="W1970" s="7" t="s">
        <v>57</v>
      </c>
      <c r="X1970" s="7" t="s">
        <v>58</v>
      </c>
      <c r="Y1970" s="8">
        <v>44613</v>
      </c>
      <c r="Z1970" s="8" t="s">
        <v>0</v>
      </c>
      <c r="AA1970" s="7" t="s">
        <v>212</v>
      </c>
      <c r="AB1970" s="7" t="s">
        <v>228</v>
      </c>
      <c r="AC1970" s="7" t="s">
        <v>65</v>
      </c>
      <c r="AD1970" s="7" t="s">
        <v>0</v>
      </c>
      <c r="AE1970" s="7" t="s">
        <v>0</v>
      </c>
      <c r="AF1970" s="7" t="s">
        <v>0</v>
      </c>
      <c r="AG1970" s="7" t="s">
        <v>0</v>
      </c>
      <c r="AH1970" s="9" t="s">
        <v>0</v>
      </c>
      <c r="AI1970" s="9" t="s">
        <v>0</v>
      </c>
      <c r="AJ1970" s="9" t="s">
        <v>0</v>
      </c>
      <c r="AK1970" s="7" t="s">
        <v>61</v>
      </c>
      <c r="AL1970" s="7" t="s">
        <v>61</v>
      </c>
      <c r="AM1970" s="7" t="s">
        <v>0</v>
      </c>
      <c r="AN1970" s="7" t="s">
        <v>0</v>
      </c>
      <c r="AO1970" s="7" t="s">
        <v>0</v>
      </c>
      <c r="AP1970" s="7" t="s">
        <v>0</v>
      </c>
      <c r="AQ1970" s="7" t="s">
        <v>61</v>
      </c>
      <c r="AR1970" s="7" t="s">
        <v>0</v>
      </c>
      <c r="AS1970" s="10" t="str">
        <f>HYPERLINK("https://tessa.gazprom-neft.local/edo/card/9d902ad6-bcf6-405f-bd66-b9c145771362", "https://tessa.gazprom-neft.local/edo/card/9d902ad6-bcf6-405f-bd66-b9c145771362")</f>
        <v>https://tessa.gazprom-neft.local/edo/card/9d902ad6-bcf6-405f-bd66-b9c145771362</v>
      </c>
    </row>
    <row r="1971" spans="1:45" x14ac:dyDescent="0.25">
      <c r="A1971" s="6" t="s">
        <v>44</v>
      </c>
      <c r="B1971" s="7" t="s">
        <v>1084</v>
      </c>
      <c r="C1971" s="7" t="s">
        <v>67</v>
      </c>
      <c r="D1971" s="8">
        <v>44610</v>
      </c>
      <c r="E1971" s="8" t="s">
        <v>0</v>
      </c>
      <c r="F1971" s="16" t="s">
        <v>1085</v>
      </c>
      <c r="G1971" s="7" t="s">
        <v>1086</v>
      </c>
      <c r="H1971" s="7" t="s">
        <v>1079</v>
      </c>
      <c r="I1971" s="7" t="s">
        <v>0</v>
      </c>
      <c r="J1971" s="7" t="s">
        <v>156</v>
      </c>
      <c r="K1971" s="7" t="s">
        <v>47</v>
      </c>
      <c r="L1971" s="7" t="s">
        <v>48</v>
      </c>
      <c r="M1971" s="7" t="s">
        <v>0</v>
      </c>
      <c r="N1971" s="7" t="s">
        <v>1716</v>
      </c>
      <c r="O1971" s="7" t="s">
        <v>0</v>
      </c>
      <c r="P1971" s="7" t="s">
        <v>1474</v>
      </c>
      <c r="Q1971" s="7" t="s">
        <v>1717</v>
      </c>
      <c r="R1971" s="7" t="s">
        <v>1083</v>
      </c>
      <c r="S1971" s="7" t="s">
        <v>1718</v>
      </c>
      <c r="T1971" s="7" t="s">
        <v>54</v>
      </c>
      <c r="U1971" s="7" t="s">
        <v>274</v>
      </c>
      <c r="V1971" s="7" t="s">
        <v>846</v>
      </c>
      <c r="W1971" s="7" t="s">
        <v>57</v>
      </c>
      <c r="X1971" s="7" t="s">
        <v>103</v>
      </c>
      <c r="Y1971" s="8">
        <v>44608</v>
      </c>
      <c r="Z1971" s="8">
        <v>44926</v>
      </c>
      <c r="AA1971" s="7" t="s">
        <v>1639</v>
      </c>
      <c r="AB1971" s="7" t="s">
        <v>64</v>
      </c>
      <c r="AC1971" s="7" t="s">
        <v>65</v>
      </c>
      <c r="AD1971" s="7" t="s">
        <v>0</v>
      </c>
      <c r="AE1971" s="7" t="s">
        <v>0</v>
      </c>
      <c r="AF1971" s="7" t="s">
        <v>0</v>
      </c>
      <c r="AG1971" s="7" t="s">
        <v>0</v>
      </c>
      <c r="AH1971" s="9" t="s">
        <v>0</v>
      </c>
      <c r="AI1971" s="9" t="s">
        <v>0</v>
      </c>
      <c r="AJ1971" s="9" t="s">
        <v>0</v>
      </c>
      <c r="AK1971" s="7" t="s">
        <v>61</v>
      </c>
      <c r="AL1971" s="7" t="s">
        <v>61</v>
      </c>
      <c r="AM1971" s="7" t="s">
        <v>0</v>
      </c>
      <c r="AN1971" s="7" t="s">
        <v>0</v>
      </c>
      <c r="AO1971" s="7" t="s">
        <v>0</v>
      </c>
      <c r="AP1971" s="7" t="s">
        <v>0</v>
      </c>
      <c r="AQ1971" s="7" t="s">
        <v>61</v>
      </c>
      <c r="AR1971" s="7" t="s">
        <v>0</v>
      </c>
      <c r="AS1971" s="10" t="str">
        <f>HYPERLINK("https://tessa.gazprom-neft.local/edo/card/15b13b93-7280-4634-a8bf-f2d28705a22b", "https://tessa.gazprom-neft.local/edo/card/15b13b93-7280-4634-a8bf-f2d28705a22b")</f>
        <v>https://tessa.gazprom-neft.local/edo/card/15b13b93-7280-4634-a8bf-f2d28705a22b</v>
      </c>
    </row>
    <row r="1972" spans="1:45" hidden="1" x14ac:dyDescent="0.25">
      <c r="A1972" s="6" t="s">
        <v>44</v>
      </c>
      <c r="B1972" s="7" t="s">
        <v>245</v>
      </c>
      <c r="C1972" s="7" t="s">
        <v>67</v>
      </c>
      <c r="D1972" s="8">
        <v>44610</v>
      </c>
      <c r="E1972" s="8" t="s">
        <v>0</v>
      </c>
      <c r="F1972" s="16" t="s">
        <v>246</v>
      </c>
      <c r="G1972" s="7" t="s">
        <v>247</v>
      </c>
      <c r="H1972" s="7" t="s">
        <v>1808</v>
      </c>
      <c r="I1972" s="7" t="s">
        <v>0</v>
      </c>
      <c r="J1972" s="7" t="s">
        <v>1810</v>
      </c>
      <c r="K1972" s="7" t="s">
        <v>47</v>
      </c>
      <c r="L1972" s="7" t="s">
        <v>239</v>
      </c>
      <c r="M1972" s="7" t="s">
        <v>0</v>
      </c>
      <c r="N1972" s="7" t="s">
        <v>1807</v>
      </c>
      <c r="O1972" s="7" t="s">
        <v>0</v>
      </c>
      <c r="P1972" s="7" t="s">
        <v>1809</v>
      </c>
      <c r="Q1972" s="7" t="s">
        <v>1811</v>
      </c>
      <c r="R1972" s="7" t="s">
        <v>244</v>
      </c>
      <c r="S1972" s="7" t="s">
        <v>56</v>
      </c>
      <c r="T1972" s="7" t="s">
        <v>54</v>
      </c>
      <c r="U1972" s="7" t="s">
        <v>55</v>
      </c>
      <c r="V1972" s="7" t="s">
        <v>56</v>
      </c>
      <c r="W1972" s="7" t="s">
        <v>57</v>
      </c>
      <c r="X1972" s="7" t="s">
        <v>103</v>
      </c>
      <c r="Y1972" s="8">
        <v>44610</v>
      </c>
      <c r="Z1972" s="8">
        <v>44925</v>
      </c>
      <c r="AA1972" s="7" t="s">
        <v>59</v>
      </c>
      <c r="AB1972" s="7" t="s">
        <v>256</v>
      </c>
      <c r="AC1972" s="7" t="s">
        <v>79</v>
      </c>
      <c r="AD1972" s="7" t="s">
        <v>144</v>
      </c>
      <c r="AE1972" s="7" t="s">
        <v>82</v>
      </c>
      <c r="AF1972" s="7" t="s">
        <v>0</v>
      </c>
      <c r="AG1972" s="7" t="s">
        <v>0</v>
      </c>
      <c r="AH1972" s="9" t="s">
        <v>11134</v>
      </c>
      <c r="AI1972" s="9" t="s">
        <v>11135</v>
      </c>
      <c r="AJ1972" s="9" t="s">
        <v>11136</v>
      </c>
      <c r="AK1972" s="7" t="s">
        <v>61</v>
      </c>
      <c r="AL1972" s="7" t="s">
        <v>61</v>
      </c>
      <c r="AM1972" s="7" t="s">
        <v>0</v>
      </c>
      <c r="AN1972" s="7" t="s">
        <v>0</v>
      </c>
      <c r="AO1972" s="7" t="s">
        <v>0</v>
      </c>
      <c r="AP1972" s="7" t="s">
        <v>0</v>
      </c>
      <c r="AQ1972" s="7" t="s">
        <v>61</v>
      </c>
      <c r="AR1972" s="7" t="s">
        <v>0</v>
      </c>
      <c r="AS1972" s="10" t="str">
        <f>HYPERLINK("https://tessa.gazprom-neft.local/edo/card/1301a4f2-946d-4b5c-b325-6ae20917a3a5", "https://tessa.gazprom-neft.local/edo/card/1301a4f2-946d-4b5c-b325-6ae20917a3a5")</f>
        <v>https://tessa.gazprom-neft.local/edo/card/1301a4f2-946d-4b5c-b325-6ae20917a3a5</v>
      </c>
    </row>
    <row r="1973" spans="1:45" hidden="1" x14ac:dyDescent="0.25">
      <c r="A1973" s="6" t="s">
        <v>44</v>
      </c>
      <c r="B1973" s="7" t="s">
        <v>245</v>
      </c>
      <c r="C1973" s="7" t="s">
        <v>67</v>
      </c>
      <c r="D1973" s="8">
        <v>44610</v>
      </c>
      <c r="E1973" s="8" t="s">
        <v>0</v>
      </c>
      <c r="F1973" s="16" t="s">
        <v>246</v>
      </c>
      <c r="G1973" s="7" t="s">
        <v>247</v>
      </c>
      <c r="H1973" s="7" t="s">
        <v>1822</v>
      </c>
      <c r="I1973" s="7" t="s">
        <v>0</v>
      </c>
      <c r="J1973" s="7" t="s">
        <v>1823</v>
      </c>
      <c r="K1973" s="7" t="s">
        <v>47</v>
      </c>
      <c r="L1973" s="7" t="s">
        <v>239</v>
      </c>
      <c r="M1973" s="7" t="s">
        <v>0</v>
      </c>
      <c r="N1973" s="7" t="s">
        <v>1821</v>
      </c>
      <c r="O1973" s="7" t="s">
        <v>0</v>
      </c>
      <c r="P1973" s="7" t="s">
        <v>957</v>
      </c>
      <c r="Q1973" s="7" t="s">
        <v>1824</v>
      </c>
      <c r="R1973" s="7" t="s">
        <v>244</v>
      </c>
      <c r="S1973" s="7" t="s">
        <v>0</v>
      </c>
      <c r="T1973" s="7" t="s">
        <v>54</v>
      </c>
      <c r="U1973" s="7" t="s">
        <v>55</v>
      </c>
      <c r="V1973" s="7" t="s">
        <v>56</v>
      </c>
      <c r="W1973" s="7" t="s">
        <v>57</v>
      </c>
      <c r="X1973" s="7" t="s">
        <v>103</v>
      </c>
      <c r="Y1973" s="8">
        <v>44610</v>
      </c>
      <c r="Z1973" s="8">
        <v>44925</v>
      </c>
      <c r="AA1973" s="7" t="s">
        <v>59</v>
      </c>
      <c r="AB1973" s="7" t="s">
        <v>256</v>
      </c>
      <c r="AC1973" s="7" t="s">
        <v>79</v>
      </c>
      <c r="AD1973" s="7" t="s">
        <v>144</v>
      </c>
      <c r="AE1973" s="7" t="s">
        <v>82</v>
      </c>
      <c r="AF1973" s="7" t="s">
        <v>0</v>
      </c>
      <c r="AG1973" s="7" t="s">
        <v>0</v>
      </c>
      <c r="AH1973" s="9" t="s">
        <v>11140</v>
      </c>
      <c r="AI1973" s="9" t="s">
        <v>11141</v>
      </c>
      <c r="AJ1973" s="9" t="s">
        <v>11142</v>
      </c>
      <c r="AK1973" s="7" t="s">
        <v>61</v>
      </c>
      <c r="AL1973" s="7" t="s">
        <v>61</v>
      </c>
      <c r="AM1973" s="7" t="s">
        <v>0</v>
      </c>
      <c r="AN1973" s="7" t="s">
        <v>0</v>
      </c>
      <c r="AO1973" s="7" t="s">
        <v>0</v>
      </c>
      <c r="AP1973" s="7" t="s">
        <v>0</v>
      </c>
      <c r="AQ1973" s="7" t="s">
        <v>61</v>
      </c>
      <c r="AR1973" s="7" t="s">
        <v>0</v>
      </c>
      <c r="AS1973" s="10" t="str">
        <f>HYPERLINK("https://tessa.gazprom-neft.local/edo/card/12762812-b680-47ce-94dd-5c00bf73bcb2", "https://tessa.gazprom-neft.local/edo/card/12762812-b680-47ce-94dd-5c00bf73bcb2")</f>
        <v>https://tessa.gazprom-neft.local/edo/card/12762812-b680-47ce-94dd-5c00bf73bcb2</v>
      </c>
    </row>
    <row r="1974" spans="1:45" x14ac:dyDescent="0.25">
      <c r="A1974" s="6" t="s">
        <v>44</v>
      </c>
      <c r="B1974" s="7" t="s">
        <v>964</v>
      </c>
      <c r="C1974" s="7" t="s">
        <v>67</v>
      </c>
      <c r="D1974" s="8">
        <v>44610</v>
      </c>
      <c r="E1974" s="8" t="s">
        <v>0</v>
      </c>
      <c r="F1974" s="16" t="s">
        <v>965</v>
      </c>
      <c r="G1974" s="7" t="s">
        <v>966</v>
      </c>
      <c r="H1974" s="7" t="s">
        <v>1832</v>
      </c>
      <c r="I1974" s="7" t="s">
        <v>0</v>
      </c>
      <c r="J1974" s="7" t="s">
        <v>263</v>
      </c>
      <c r="K1974" s="7" t="s">
        <v>47</v>
      </c>
      <c r="L1974" s="7" t="s">
        <v>48</v>
      </c>
      <c r="M1974" s="7" t="s">
        <v>0</v>
      </c>
      <c r="N1974" s="7" t="s">
        <v>1831</v>
      </c>
      <c r="O1974" s="7" t="s">
        <v>0</v>
      </c>
      <c r="P1974" s="7" t="s">
        <v>1833</v>
      </c>
      <c r="Q1974" s="7" t="s">
        <v>1834</v>
      </c>
      <c r="R1974" s="7" t="s">
        <v>659</v>
      </c>
      <c r="S1974" s="7" t="s">
        <v>1120</v>
      </c>
      <c r="T1974" s="7" t="s">
        <v>54</v>
      </c>
      <c r="U1974" s="7" t="s">
        <v>362</v>
      </c>
      <c r="V1974" s="7" t="s">
        <v>295</v>
      </c>
      <c r="W1974" s="7" t="s">
        <v>57</v>
      </c>
      <c r="X1974" s="7" t="s">
        <v>103</v>
      </c>
      <c r="Y1974" s="8">
        <v>44610</v>
      </c>
      <c r="Z1974" s="8">
        <v>44926</v>
      </c>
      <c r="AA1974" s="7" t="s">
        <v>296</v>
      </c>
      <c r="AB1974" s="7" t="s">
        <v>130</v>
      </c>
      <c r="AC1974" s="7" t="s">
        <v>79</v>
      </c>
      <c r="AD1974" s="7" t="s">
        <v>514</v>
      </c>
      <c r="AE1974" s="7" t="s">
        <v>82</v>
      </c>
      <c r="AF1974" s="7" t="s">
        <v>0</v>
      </c>
      <c r="AG1974" s="7" t="s">
        <v>0</v>
      </c>
      <c r="AH1974" s="9">
        <v>0.01</v>
      </c>
      <c r="AI1974" s="9">
        <v>0.01</v>
      </c>
      <c r="AJ1974" s="9">
        <v>0</v>
      </c>
      <c r="AK1974" s="7" t="s">
        <v>61</v>
      </c>
      <c r="AL1974" s="7" t="s">
        <v>61</v>
      </c>
      <c r="AM1974" s="7" t="s">
        <v>0</v>
      </c>
      <c r="AN1974" s="7" t="s">
        <v>0</v>
      </c>
      <c r="AO1974" s="7" t="s">
        <v>0</v>
      </c>
      <c r="AP1974" s="7" t="s">
        <v>0</v>
      </c>
      <c r="AQ1974" s="7" t="s">
        <v>61</v>
      </c>
      <c r="AR1974" s="7" t="s">
        <v>0</v>
      </c>
      <c r="AS1974" s="10" t="str">
        <f>HYPERLINK("https://tessa.gazprom-neft.local/edo/card/5bf2d72d-90b3-44aa-ae94-e51c145ea2c7", "https://tessa.gazprom-neft.local/edo/card/5bf2d72d-90b3-44aa-ae94-e51c145ea2c7")</f>
        <v>https://tessa.gazprom-neft.local/edo/card/5bf2d72d-90b3-44aa-ae94-e51c145ea2c7</v>
      </c>
    </row>
    <row r="1975" spans="1:45" hidden="1" x14ac:dyDescent="0.25">
      <c r="A1975" s="6" t="s">
        <v>44</v>
      </c>
      <c r="B1975" s="7" t="s">
        <v>245</v>
      </c>
      <c r="C1975" s="7" t="s">
        <v>67</v>
      </c>
      <c r="D1975" s="8">
        <v>44610</v>
      </c>
      <c r="E1975" s="8" t="s">
        <v>0</v>
      </c>
      <c r="F1975" s="16" t="s">
        <v>246</v>
      </c>
      <c r="G1975" s="7" t="s">
        <v>247</v>
      </c>
      <c r="H1975" s="7" t="s">
        <v>1822</v>
      </c>
      <c r="I1975" s="7" t="s">
        <v>0</v>
      </c>
      <c r="J1975" s="7" t="s">
        <v>1868</v>
      </c>
      <c r="K1975" s="7" t="s">
        <v>47</v>
      </c>
      <c r="L1975" s="7" t="s">
        <v>239</v>
      </c>
      <c r="M1975" s="7" t="s">
        <v>0</v>
      </c>
      <c r="N1975" s="7" t="s">
        <v>1866</v>
      </c>
      <c r="O1975" s="7" t="s">
        <v>0</v>
      </c>
      <c r="P1975" s="7" t="s">
        <v>1867</v>
      </c>
      <c r="Q1975" s="7" t="s">
        <v>1824</v>
      </c>
      <c r="R1975" s="7" t="s">
        <v>244</v>
      </c>
      <c r="S1975" s="7" t="s">
        <v>0</v>
      </c>
      <c r="T1975" s="7" t="s">
        <v>54</v>
      </c>
      <c r="U1975" s="7" t="s">
        <v>55</v>
      </c>
      <c r="V1975" s="7" t="s">
        <v>56</v>
      </c>
      <c r="W1975" s="7" t="s">
        <v>57</v>
      </c>
      <c r="X1975" s="7" t="s">
        <v>103</v>
      </c>
      <c r="Y1975" s="8">
        <v>44610</v>
      </c>
      <c r="Z1975" s="8">
        <v>44925</v>
      </c>
      <c r="AA1975" s="7" t="s">
        <v>59</v>
      </c>
      <c r="AB1975" s="7" t="s">
        <v>256</v>
      </c>
      <c r="AC1975" s="7" t="s">
        <v>79</v>
      </c>
      <c r="AD1975" s="7" t="s">
        <v>144</v>
      </c>
      <c r="AE1975" s="7" t="s">
        <v>82</v>
      </c>
      <c r="AF1975" s="7" t="s">
        <v>0</v>
      </c>
      <c r="AG1975" s="7" t="s">
        <v>0</v>
      </c>
      <c r="AH1975" s="9" t="s">
        <v>11155</v>
      </c>
      <c r="AI1975" s="9" t="s">
        <v>11156</v>
      </c>
      <c r="AJ1975" s="9" t="s">
        <v>11157</v>
      </c>
      <c r="AK1975" s="7" t="s">
        <v>61</v>
      </c>
      <c r="AL1975" s="7" t="s">
        <v>61</v>
      </c>
      <c r="AM1975" s="7" t="s">
        <v>0</v>
      </c>
      <c r="AN1975" s="7" t="s">
        <v>0</v>
      </c>
      <c r="AO1975" s="7" t="s">
        <v>0</v>
      </c>
      <c r="AP1975" s="7" t="s">
        <v>0</v>
      </c>
      <c r="AQ1975" s="7" t="s">
        <v>61</v>
      </c>
      <c r="AR1975" s="7" t="s">
        <v>0</v>
      </c>
      <c r="AS1975" s="10" t="str">
        <f>HYPERLINK("https://tessa.gazprom-neft.local/edo/card/5fe7d68d-9668-41bd-a5dc-26f866ed5704", "https://tessa.gazprom-neft.local/edo/card/5fe7d68d-9668-41bd-a5dc-26f866ed5704")</f>
        <v>https://tessa.gazprom-neft.local/edo/card/5fe7d68d-9668-41bd-a5dc-26f866ed5704</v>
      </c>
    </row>
    <row r="1976" spans="1:45" hidden="1" x14ac:dyDescent="0.25">
      <c r="A1976" s="6" t="s">
        <v>44</v>
      </c>
      <c r="B1976" s="7" t="s">
        <v>705</v>
      </c>
      <c r="C1976" s="7" t="s">
        <v>67</v>
      </c>
      <c r="D1976" s="8">
        <v>44610</v>
      </c>
      <c r="E1976" s="8" t="s">
        <v>0</v>
      </c>
      <c r="F1976" s="16" t="s">
        <v>706</v>
      </c>
      <c r="G1976" s="7" t="s">
        <v>707</v>
      </c>
      <c r="H1976" s="7" t="s">
        <v>0</v>
      </c>
      <c r="I1976" s="7" t="s">
        <v>2034</v>
      </c>
      <c r="J1976" s="7" t="s">
        <v>2034</v>
      </c>
      <c r="K1976" s="7" t="s">
        <v>47</v>
      </c>
      <c r="L1976" s="7" t="s">
        <v>86</v>
      </c>
      <c r="M1976" s="7" t="s">
        <v>0</v>
      </c>
      <c r="N1976" s="7" t="s">
        <v>2033</v>
      </c>
      <c r="O1976" s="7" t="s">
        <v>0</v>
      </c>
      <c r="P1976" s="7" t="s">
        <v>2035</v>
      </c>
      <c r="Q1976" s="7" t="s">
        <v>2036</v>
      </c>
      <c r="R1976" s="7" t="s">
        <v>799</v>
      </c>
      <c r="S1976" s="7" t="s">
        <v>0</v>
      </c>
      <c r="T1976" s="7" t="s">
        <v>54</v>
      </c>
      <c r="U1976" s="7" t="s">
        <v>55</v>
      </c>
      <c r="V1976" s="7" t="s">
        <v>137</v>
      </c>
      <c r="W1976" s="7" t="s">
        <v>57</v>
      </c>
      <c r="X1976" s="7" t="s">
        <v>58</v>
      </c>
      <c r="Y1976" s="8">
        <v>44610</v>
      </c>
      <c r="Z1976" s="8" t="s">
        <v>0</v>
      </c>
      <c r="AA1976" s="7" t="s">
        <v>0</v>
      </c>
      <c r="AB1976" s="7" t="s">
        <v>2037</v>
      </c>
      <c r="AC1976" s="7" t="s">
        <v>65</v>
      </c>
      <c r="AD1976" s="7" t="s">
        <v>0</v>
      </c>
      <c r="AE1976" s="7" t="s">
        <v>0</v>
      </c>
      <c r="AF1976" s="7" t="s">
        <v>0</v>
      </c>
      <c r="AG1976" s="7" t="s">
        <v>0</v>
      </c>
      <c r="AH1976" s="9" t="s">
        <v>0</v>
      </c>
      <c r="AI1976" s="9" t="s">
        <v>0</v>
      </c>
      <c r="AJ1976" s="9" t="s">
        <v>0</v>
      </c>
      <c r="AK1976" s="7" t="s">
        <v>61</v>
      </c>
      <c r="AL1976" s="7" t="s">
        <v>61</v>
      </c>
      <c r="AM1976" s="7" t="s">
        <v>0</v>
      </c>
      <c r="AN1976" s="7" t="s">
        <v>0</v>
      </c>
      <c r="AO1976" s="7" t="s">
        <v>0</v>
      </c>
      <c r="AP1976" s="7" t="s">
        <v>0</v>
      </c>
      <c r="AQ1976" s="7" t="s">
        <v>61</v>
      </c>
      <c r="AR1976" s="7" t="s">
        <v>0</v>
      </c>
      <c r="AS1976" s="10" t="str">
        <f>HYPERLINK("https://tessa.gazprom-neft.local/edo/card/61e8376e-6d5f-471a-9fe2-fe4b69cd63e0", "https://tessa.gazprom-neft.local/edo/card/61e8376e-6d5f-471a-9fe2-fe4b69cd63e0")</f>
        <v>https://tessa.gazprom-neft.local/edo/card/61e8376e-6d5f-471a-9fe2-fe4b69cd63e0</v>
      </c>
    </row>
    <row r="1977" spans="1:45" x14ac:dyDescent="0.25">
      <c r="A1977" s="6" t="s">
        <v>44</v>
      </c>
      <c r="B1977" s="7" t="s">
        <v>275</v>
      </c>
      <c r="C1977" s="7" t="s">
        <v>67</v>
      </c>
      <c r="D1977" s="8">
        <v>44610</v>
      </c>
      <c r="E1977" s="8" t="s">
        <v>0</v>
      </c>
      <c r="F1977" s="16" t="s">
        <v>276</v>
      </c>
      <c r="G1977" s="7" t="s">
        <v>277</v>
      </c>
      <c r="H1977" s="7" t="s">
        <v>2158</v>
      </c>
      <c r="I1977" s="7" t="s">
        <v>0</v>
      </c>
      <c r="J1977" s="7" t="s">
        <v>156</v>
      </c>
      <c r="K1977" s="7" t="s">
        <v>47</v>
      </c>
      <c r="L1977" s="7" t="s">
        <v>48</v>
      </c>
      <c r="M1977" s="7" t="s">
        <v>0</v>
      </c>
      <c r="N1977" s="7" t="s">
        <v>2157</v>
      </c>
      <c r="O1977" s="7" t="s">
        <v>0</v>
      </c>
      <c r="P1977" s="7" t="s">
        <v>2159</v>
      </c>
      <c r="Q1977" s="7" t="s">
        <v>2160</v>
      </c>
      <c r="R1977" s="7" t="s">
        <v>273</v>
      </c>
      <c r="S1977" s="7" t="s">
        <v>273</v>
      </c>
      <c r="T1977" s="7" t="s">
        <v>54</v>
      </c>
      <c r="U1977" s="7" t="s">
        <v>274</v>
      </c>
      <c r="V1977" s="7" t="s">
        <v>137</v>
      </c>
      <c r="W1977" s="7" t="s">
        <v>57</v>
      </c>
      <c r="X1977" s="7" t="s">
        <v>103</v>
      </c>
      <c r="Y1977" s="8">
        <v>44610</v>
      </c>
      <c r="Z1977" s="8">
        <v>44926</v>
      </c>
      <c r="AA1977" s="7" t="s">
        <v>0</v>
      </c>
      <c r="AB1977" s="7" t="s">
        <v>130</v>
      </c>
      <c r="AC1977" s="7" t="s">
        <v>278</v>
      </c>
      <c r="AD1977" s="7" t="s">
        <v>80</v>
      </c>
      <c r="AE1977" s="7" t="s">
        <v>82</v>
      </c>
      <c r="AF1977" s="7" t="s">
        <v>0</v>
      </c>
      <c r="AG1977" s="7" t="s">
        <v>0</v>
      </c>
      <c r="AH1977" s="9" t="s">
        <v>11261</v>
      </c>
      <c r="AI1977" s="9" t="s">
        <v>11262</v>
      </c>
      <c r="AJ1977" s="9" t="s">
        <v>11263</v>
      </c>
      <c r="AK1977" s="7" t="s">
        <v>61</v>
      </c>
      <c r="AL1977" s="7" t="s">
        <v>61</v>
      </c>
      <c r="AM1977" s="7" t="s">
        <v>0</v>
      </c>
      <c r="AN1977" s="7" t="s">
        <v>0</v>
      </c>
      <c r="AO1977" s="7" t="s">
        <v>0</v>
      </c>
      <c r="AP1977" s="7" t="s">
        <v>0</v>
      </c>
      <c r="AQ1977" s="7" t="s">
        <v>61</v>
      </c>
      <c r="AR1977" s="7" t="s">
        <v>0</v>
      </c>
      <c r="AS1977" s="10" t="str">
        <f>HYPERLINK("https://tessa.gazprom-neft.local/edo/card/3c991189-dc85-449a-8830-b52f9ba6b4da", "https://tessa.gazprom-neft.local/edo/card/3c991189-dc85-449a-8830-b52f9ba6b4da")</f>
        <v>https://tessa.gazprom-neft.local/edo/card/3c991189-dc85-449a-8830-b52f9ba6b4da</v>
      </c>
    </row>
    <row r="1978" spans="1:45" hidden="1" x14ac:dyDescent="0.25">
      <c r="A1978" s="6" t="s">
        <v>44</v>
      </c>
      <c r="B1978" s="7" t="s">
        <v>1017</v>
      </c>
      <c r="C1978" s="7" t="s">
        <v>67</v>
      </c>
      <c r="D1978" s="8">
        <v>44607</v>
      </c>
      <c r="E1978" s="8" t="s">
        <v>0</v>
      </c>
      <c r="F1978" s="16" t="s">
        <v>1018</v>
      </c>
      <c r="G1978" s="7" t="s">
        <v>1019</v>
      </c>
      <c r="H1978" s="7" t="s">
        <v>0</v>
      </c>
      <c r="I1978" s="7" t="s">
        <v>1014</v>
      </c>
      <c r="J1978" s="7" t="s">
        <v>1014</v>
      </c>
      <c r="K1978" s="7" t="s">
        <v>47</v>
      </c>
      <c r="L1978" s="7" t="s">
        <v>96</v>
      </c>
      <c r="M1978" s="7" t="s">
        <v>0</v>
      </c>
      <c r="N1978" s="7" t="s">
        <v>1013</v>
      </c>
      <c r="O1978" s="7" t="s">
        <v>0</v>
      </c>
      <c r="P1978" s="7" t="s">
        <v>1015</v>
      </c>
      <c r="Q1978" s="7" t="s">
        <v>1016</v>
      </c>
      <c r="R1978" s="7" t="s">
        <v>53</v>
      </c>
      <c r="S1978" s="7" t="s">
        <v>53</v>
      </c>
      <c r="T1978" s="7" t="s">
        <v>54</v>
      </c>
      <c r="U1978" s="7" t="s">
        <v>55</v>
      </c>
      <c r="V1978" s="7" t="s">
        <v>56</v>
      </c>
      <c r="W1978" s="7" t="s">
        <v>57</v>
      </c>
      <c r="X1978" s="7" t="s">
        <v>103</v>
      </c>
      <c r="Y1978" s="8">
        <v>44607</v>
      </c>
      <c r="Z1978" s="8">
        <v>45291</v>
      </c>
      <c r="AA1978" s="7" t="s">
        <v>59</v>
      </c>
      <c r="AB1978" s="7" t="s">
        <v>64</v>
      </c>
      <c r="AC1978" s="7" t="s">
        <v>79</v>
      </c>
      <c r="AD1978" s="7" t="s">
        <v>514</v>
      </c>
      <c r="AE1978" s="7" t="s">
        <v>82</v>
      </c>
      <c r="AF1978" s="7" t="s">
        <v>0</v>
      </c>
      <c r="AG1978" s="7" t="s">
        <v>0</v>
      </c>
      <c r="AH1978" s="9" t="s">
        <v>10895</v>
      </c>
      <c r="AI1978" s="9" t="s">
        <v>10896</v>
      </c>
      <c r="AJ1978" s="9" t="s">
        <v>10897</v>
      </c>
      <c r="AK1978" s="7" t="s">
        <v>61</v>
      </c>
      <c r="AL1978" s="7" t="s">
        <v>61</v>
      </c>
      <c r="AM1978" s="7" t="s">
        <v>0</v>
      </c>
      <c r="AN1978" s="7" t="s">
        <v>0</v>
      </c>
      <c r="AO1978" s="7" t="s">
        <v>0</v>
      </c>
      <c r="AP1978" s="7" t="s">
        <v>0</v>
      </c>
      <c r="AQ1978" s="7" t="s">
        <v>61</v>
      </c>
      <c r="AR1978" s="7" t="s">
        <v>0</v>
      </c>
      <c r="AS1978" s="10" t="str">
        <f>HYPERLINK("https://tessa.gazprom-neft.local/edo/card/9a4fa7e9-efc4-4a44-8b9c-b8b4e22ceba6", "https://tessa.gazprom-neft.local/edo/card/9a4fa7e9-efc4-4a44-8b9c-b8b4e22ceba6")</f>
        <v>https://tessa.gazprom-neft.local/edo/card/9a4fa7e9-efc4-4a44-8b9c-b8b4e22ceba6</v>
      </c>
    </row>
    <row r="1979" spans="1:45" hidden="1" x14ac:dyDescent="0.25">
      <c r="A1979" s="6" t="s">
        <v>44</v>
      </c>
      <c r="B1979" s="7" t="s">
        <v>1075</v>
      </c>
      <c r="C1979" s="7" t="s">
        <v>46</v>
      </c>
      <c r="D1979" s="8">
        <v>44607</v>
      </c>
      <c r="E1979" s="8" t="s">
        <v>0</v>
      </c>
      <c r="F1979" s="16" t="s">
        <v>1076</v>
      </c>
      <c r="G1979" s="7" t="s">
        <v>1077</v>
      </c>
      <c r="H1979" s="7" t="s">
        <v>0</v>
      </c>
      <c r="I1979" s="7" t="s">
        <v>1187</v>
      </c>
      <c r="J1979" s="7" t="s">
        <v>1187</v>
      </c>
      <c r="K1979" s="7" t="s">
        <v>85</v>
      </c>
      <c r="L1979" s="7" t="s">
        <v>96</v>
      </c>
      <c r="M1979" s="7" t="s">
        <v>183</v>
      </c>
      <c r="N1979" s="7" t="s">
        <v>1186</v>
      </c>
      <c r="O1979" s="7" t="s">
        <v>0</v>
      </c>
      <c r="P1979" s="7" t="s">
        <v>183</v>
      </c>
      <c r="Q1979" s="7" t="s">
        <v>1072</v>
      </c>
      <c r="R1979" s="7" t="s">
        <v>1073</v>
      </c>
      <c r="S1979" s="7" t="s">
        <v>0</v>
      </c>
      <c r="T1979" s="7" t="s">
        <v>54</v>
      </c>
      <c r="U1979" s="7" t="s">
        <v>1074</v>
      </c>
      <c r="V1979" s="7" t="s">
        <v>137</v>
      </c>
      <c r="W1979" s="7" t="s">
        <v>57</v>
      </c>
      <c r="X1979" s="7" t="s">
        <v>103</v>
      </c>
      <c r="Y1979" s="8">
        <v>44607</v>
      </c>
      <c r="Z1979" s="8">
        <v>44926</v>
      </c>
      <c r="AA1979" s="7" t="s">
        <v>0</v>
      </c>
      <c r="AB1979" s="7" t="s">
        <v>192</v>
      </c>
      <c r="AC1979" s="7" t="s">
        <v>79</v>
      </c>
      <c r="AD1979" s="7" t="s">
        <v>80</v>
      </c>
      <c r="AE1979" s="7" t="s">
        <v>193</v>
      </c>
      <c r="AF1979" s="7" t="s">
        <v>0</v>
      </c>
      <c r="AG1979" s="7" t="s">
        <v>0</v>
      </c>
      <c r="AH1979" s="9" t="s">
        <v>10946</v>
      </c>
      <c r="AI1979" s="9" t="s">
        <v>10947</v>
      </c>
      <c r="AJ1979" s="9" t="s">
        <v>10948</v>
      </c>
      <c r="AK1979" s="7" t="s">
        <v>61</v>
      </c>
      <c r="AL1979" s="7" t="s">
        <v>61</v>
      </c>
      <c r="AM1979" s="7" t="s">
        <v>0</v>
      </c>
      <c r="AN1979" s="7" t="s">
        <v>0</v>
      </c>
      <c r="AO1979" s="7" t="s">
        <v>0</v>
      </c>
      <c r="AP1979" s="7" t="s">
        <v>0</v>
      </c>
      <c r="AQ1979" s="7" t="s">
        <v>61</v>
      </c>
      <c r="AR1979" s="7" t="s">
        <v>0</v>
      </c>
      <c r="AS1979" s="10" t="str">
        <f>HYPERLINK("https://tessa.gazprom-neft.local/edo/card/9fad3cd6-9d6a-489b-b19c-6bf621bbd5bb", "https://tessa.gazprom-neft.local/edo/card/9fad3cd6-9d6a-489b-b19c-6bf621bbd5bb")</f>
        <v>https://tessa.gazprom-neft.local/edo/card/9fad3cd6-9d6a-489b-b19c-6bf621bbd5bb</v>
      </c>
    </row>
    <row r="1980" spans="1:45" hidden="1" x14ac:dyDescent="0.25">
      <c r="A1980" s="6" t="s">
        <v>44</v>
      </c>
      <c r="B1980" s="7" t="s">
        <v>297</v>
      </c>
      <c r="C1980" s="7" t="s">
        <v>67</v>
      </c>
      <c r="D1980" s="8">
        <v>44607</v>
      </c>
      <c r="E1980" s="8" t="s">
        <v>0</v>
      </c>
      <c r="F1980" s="16" t="s">
        <v>298</v>
      </c>
      <c r="G1980" s="7" t="s">
        <v>299</v>
      </c>
      <c r="H1980" s="7" t="s">
        <v>0</v>
      </c>
      <c r="I1980" s="7" t="s">
        <v>0</v>
      </c>
      <c r="J1980" s="7" t="s">
        <v>51</v>
      </c>
      <c r="K1980" s="7" t="s">
        <v>47</v>
      </c>
      <c r="L1980" s="7" t="s">
        <v>239</v>
      </c>
      <c r="M1980" s="7" t="s">
        <v>0</v>
      </c>
      <c r="N1980" s="7" t="s">
        <v>1323</v>
      </c>
      <c r="O1980" s="7" t="s">
        <v>0</v>
      </c>
      <c r="P1980" s="7" t="s">
        <v>1324</v>
      </c>
      <c r="Q1980" s="7" t="s">
        <v>996</v>
      </c>
      <c r="R1980" s="7" t="s">
        <v>198</v>
      </c>
      <c r="S1980" s="7" t="s">
        <v>198</v>
      </c>
      <c r="T1980" s="7" t="s">
        <v>54</v>
      </c>
      <c r="U1980" s="7" t="s">
        <v>199</v>
      </c>
      <c r="V1980" s="7" t="s">
        <v>211</v>
      </c>
      <c r="W1980" s="7" t="s">
        <v>57</v>
      </c>
      <c r="X1980" s="7" t="s">
        <v>103</v>
      </c>
      <c r="Y1980" s="8">
        <v>44593</v>
      </c>
      <c r="Z1980" s="8">
        <v>44926</v>
      </c>
      <c r="AA1980" s="7" t="s">
        <v>212</v>
      </c>
      <c r="AB1980" s="7" t="s">
        <v>366</v>
      </c>
      <c r="AC1980" s="7" t="s">
        <v>79</v>
      </c>
      <c r="AD1980" s="7" t="s">
        <v>367</v>
      </c>
      <c r="AE1980" s="7" t="s">
        <v>82</v>
      </c>
      <c r="AF1980" s="7" t="s">
        <v>0</v>
      </c>
      <c r="AG1980" s="7" t="s">
        <v>0</v>
      </c>
      <c r="AH1980" s="9" t="s">
        <v>10886</v>
      </c>
      <c r="AI1980" s="9" t="s">
        <v>10887</v>
      </c>
      <c r="AJ1980" s="9" t="s">
        <v>10888</v>
      </c>
      <c r="AK1980" s="7" t="s">
        <v>61</v>
      </c>
      <c r="AL1980" s="7" t="s">
        <v>61</v>
      </c>
      <c r="AM1980" s="7" t="s">
        <v>0</v>
      </c>
      <c r="AN1980" s="7" t="s">
        <v>0</v>
      </c>
      <c r="AO1980" s="7" t="s">
        <v>0</v>
      </c>
      <c r="AP1980" s="7" t="s">
        <v>0</v>
      </c>
      <c r="AQ1980" s="7" t="s">
        <v>61</v>
      </c>
      <c r="AR1980" s="7" t="s">
        <v>0</v>
      </c>
      <c r="AS1980" s="10" t="str">
        <f>HYPERLINK("https://tessa.gazprom-neft.local/edo/card/45a9c664-8051-4894-b87b-ac7da2d918c2", "https://tessa.gazprom-neft.local/edo/card/45a9c664-8051-4894-b87b-ac7da2d918c2")</f>
        <v>https://tessa.gazprom-neft.local/edo/card/45a9c664-8051-4894-b87b-ac7da2d918c2</v>
      </c>
    </row>
    <row r="1981" spans="1:45" hidden="1" x14ac:dyDescent="0.25">
      <c r="A1981" s="6" t="s">
        <v>44</v>
      </c>
      <c r="B1981" s="7" t="s">
        <v>297</v>
      </c>
      <c r="C1981" s="7" t="s">
        <v>46</v>
      </c>
      <c r="D1981" s="8">
        <v>44607</v>
      </c>
      <c r="E1981" s="8" t="s">
        <v>0</v>
      </c>
      <c r="F1981" s="16" t="s">
        <v>298</v>
      </c>
      <c r="G1981" s="7" t="s">
        <v>299</v>
      </c>
      <c r="H1981" s="7" t="s">
        <v>0</v>
      </c>
      <c r="I1981" s="7" t="s">
        <v>2936</v>
      </c>
      <c r="J1981" s="7" t="s">
        <v>2936</v>
      </c>
      <c r="K1981" s="7" t="s">
        <v>47</v>
      </c>
      <c r="L1981" s="7" t="s">
        <v>96</v>
      </c>
      <c r="M1981" s="7" t="s">
        <v>0</v>
      </c>
      <c r="N1981" s="7" t="s">
        <v>2935</v>
      </c>
      <c r="O1981" s="7" t="s">
        <v>0</v>
      </c>
      <c r="P1981" s="7" t="s">
        <v>2937</v>
      </c>
      <c r="Q1981" s="7" t="s">
        <v>2938</v>
      </c>
      <c r="R1981" s="7" t="s">
        <v>1924</v>
      </c>
      <c r="S1981" s="7" t="s">
        <v>1924</v>
      </c>
      <c r="T1981" s="7" t="s">
        <v>54</v>
      </c>
      <c r="U1981" s="7" t="s">
        <v>73</v>
      </c>
      <c r="V1981" s="7" t="s">
        <v>56</v>
      </c>
      <c r="W1981" s="7" t="s">
        <v>57</v>
      </c>
      <c r="X1981" s="7" t="s">
        <v>103</v>
      </c>
      <c r="Y1981" s="8">
        <v>44607</v>
      </c>
      <c r="Z1981" s="8">
        <v>44834</v>
      </c>
      <c r="AA1981" s="7" t="s">
        <v>0</v>
      </c>
      <c r="AB1981" s="7" t="s">
        <v>366</v>
      </c>
      <c r="AC1981" s="7" t="s">
        <v>278</v>
      </c>
      <c r="AD1981" s="7" t="s">
        <v>367</v>
      </c>
      <c r="AE1981" s="7" t="s">
        <v>82</v>
      </c>
      <c r="AF1981" s="7" t="s">
        <v>0</v>
      </c>
      <c r="AG1981" s="7" t="s">
        <v>0</v>
      </c>
      <c r="AH1981" s="9" t="s">
        <v>11495</v>
      </c>
      <c r="AI1981" s="9" t="s">
        <v>11496</v>
      </c>
      <c r="AJ1981" s="9" t="s">
        <v>11497</v>
      </c>
      <c r="AK1981" s="7" t="s">
        <v>61</v>
      </c>
      <c r="AL1981" s="7" t="s">
        <v>61</v>
      </c>
      <c r="AM1981" s="7" t="s">
        <v>0</v>
      </c>
      <c r="AN1981" s="7" t="s">
        <v>0</v>
      </c>
      <c r="AO1981" s="7" t="s">
        <v>0</v>
      </c>
      <c r="AP1981" s="7" t="s">
        <v>0</v>
      </c>
      <c r="AQ1981" s="7" t="s">
        <v>61</v>
      </c>
      <c r="AR1981" s="7" t="s">
        <v>0</v>
      </c>
      <c r="AS1981" s="10" t="str">
        <f>HYPERLINK("https://tessa.gazprom-neft.local/edo/card/c9c7daec-b458-4ef0-abac-117a1dd62182", "https://tessa.gazprom-neft.local/edo/card/c9c7daec-b458-4ef0-abac-117a1dd62182")</f>
        <v>https://tessa.gazprom-neft.local/edo/card/c9c7daec-b458-4ef0-abac-117a1dd62182</v>
      </c>
    </row>
    <row r="1982" spans="1:45" hidden="1" x14ac:dyDescent="0.25">
      <c r="A1982" s="6" t="s">
        <v>44</v>
      </c>
      <c r="B1982" s="7" t="s">
        <v>297</v>
      </c>
      <c r="C1982" s="7" t="s">
        <v>46</v>
      </c>
      <c r="D1982" s="8">
        <v>44607</v>
      </c>
      <c r="E1982" s="8" t="s">
        <v>0</v>
      </c>
      <c r="F1982" s="16" t="s">
        <v>298</v>
      </c>
      <c r="G1982" s="7" t="s">
        <v>299</v>
      </c>
      <c r="H1982" s="7" t="s">
        <v>0</v>
      </c>
      <c r="I1982" s="7" t="s">
        <v>2965</v>
      </c>
      <c r="J1982" s="7" t="s">
        <v>2965</v>
      </c>
      <c r="K1982" s="7" t="s">
        <v>47</v>
      </c>
      <c r="L1982" s="7" t="s">
        <v>96</v>
      </c>
      <c r="M1982" s="7" t="s">
        <v>0</v>
      </c>
      <c r="N1982" s="7" t="s">
        <v>2964</v>
      </c>
      <c r="O1982" s="7" t="s">
        <v>0</v>
      </c>
      <c r="P1982" s="7" t="s">
        <v>2966</v>
      </c>
      <c r="Q1982" s="7" t="s">
        <v>2967</v>
      </c>
      <c r="R1982" s="7" t="s">
        <v>1924</v>
      </c>
      <c r="S1982" s="7" t="s">
        <v>1924</v>
      </c>
      <c r="T1982" s="7" t="s">
        <v>54</v>
      </c>
      <c r="U1982" s="7" t="s">
        <v>73</v>
      </c>
      <c r="V1982" s="7" t="s">
        <v>56</v>
      </c>
      <c r="W1982" s="7" t="s">
        <v>57</v>
      </c>
      <c r="X1982" s="7" t="s">
        <v>103</v>
      </c>
      <c r="Y1982" s="8">
        <v>44607</v>
      </c>
      <c r="Z1982" s="8">
        <v>44834</v>
      </c>
      <c r="AA1982" s="7" t="s">
        <v>0</v>
      </c>
      <c r="AB1982" s="7" t="s">
        <v>366</v>
      </c>
      <c r="AC1982" s="7" t="s">
        <v>278</v>
      </c>
      <c r="AD1982" s="7" t="s">
        <v>367</v>
      </c>
      <c r="AE1982" s="7" t="s">
        <v>82</v>
      </c>
      <c r="AF1982" s="7" t="s">
        <v>0</v>
      </c>
      <c r="AG1982" s="7" t="s">
        <v>0</v>
      </c>
      <c r="AH1982" s="9" t="s">
        <v>11504</v>
      </c>
      <c r="AI1982" s="9" t="s">
        <v>11505</v>
      </c>
      <c r="AJ1982" s="9" t="s">
        <v>11506</v>
      </c>
      <c r="AK1982" s="7" t="s">
        <v>61</v>
      </c>
      <c r="AL1982" s="7" t="s">
        <v>61</v>
      </c>
      <c r="AM1982" s="7" t="s">
        <v>0</v>
      </c>
      <c r="AN1982" s="7" t="s">
        <v>0</v>
      </c>
      <c r="AO1982" s="7" t="s">
        <v>0</v>
      </c>
      <c r="AP1982" s="7" t="s">
        <v>0</v>
      </c>
      <c r="AQ1982" s="7" t="s">
        <v>61</v>
      </c>
      <c r="AR1982" s="7" t="s">
        <v>0</v>
      </c>
      <c r="AS1982" s="10" t="str">
        <f>HYPERLINK("https://tessa.gazprom-neft.local/edo/card/8d8da479-14d7-416f-bf12-b78bb9133822", "https://tessa.gazprom-neft.local/edo/card/8d8da479-14d7-416f-bf12-b78bb9133822")</f>
        <v>https://tessa.gazprom-neft.local/edo/card/8d8da479-14d7-416f-bf12-b78bb9133822</v>
      </c>
    </row>
    <row r="1983" spans="1:45" hidden="1" x14ac:dyDescent="0.25">
      <c r="A1983" s="6" t="s">
        <v>44</v>
      </c>
      <c r="B1983" s="7" t="s">
        <v>3100</v>
      </c>
      <c r="C1983" s="7" t="s">
        <v>46</v>
      </c>
      <c r="D1983" s="8">
        <v>44607</v>
      </c>
      <c r="E1983" s="8" t="s">
        <v>0</v>
      </c>
      <c r="F1983" s="16" t="s">
        <v>3101</v>
      </c>
      <c r="G1983" s="7" t="s">
        <v>3102</v>
      </c>
      <c r="H1983" s="7" t="s">
        <v>0</v>
      </c>
      <c r="I1983" s="7" t="s">
        <v>9595</v>
      </c>
      <c r="J1983" s="7" t="s">
        <v>9595</v>
      </c>
      <c r="K1983" s="7" t="s">
        <v>47</v>
      </c>
      <c r="L1983" s="7" t="s">
        <v>96</v>
      </c>
      <c r="M1983" s="7" t="s">
        <v>0</v>
      </c>
      <c r="N1983" s="7" t="s">
        <v>9594</v>
      </c>
      <c r="O1983" s="7" t="s">
        <v>0</v>
      </c>
      <c r="P1983" s="7" t="s">
        <v>9596</v>
      </c>
      <c r="Q1983" s="7" t="s">
        <v>9597</v>
      </c>
      <c r="R1983" s="7" t="s">
        <v>293</v>
      </c>
      <c r="S1983" s="7" t="s">
        <v>2336</v>
      </c>
      <c r="T1983" s="7" t="s">
        <v>54</v>
      </c>
      <c r="U1983" s="7" t="s">
        <v>307</v>
      </c>
      <c r="V1983" s="7" t="s">
        <v>382</v>
      </c>
      <c r="W1983" s="7" t="s">
        <v>57</v>
      </c>
      <c r="X1983" s="7" t="s">
        <v>58</v>
      </c>
      <c r="Y1983" s="8">
        <v>44607</v>
      </c>
      <c r="Z1983" s="8" t="s">
        <v>0</v>
      </c>
      <c r="AA1983" s="7" t="s">
        <v>383</v>
      </c>
      <c r="AB1983" s="7" t="s">
        <v>1546</v>
      </c>
      <c r="AC1983" s="7" t="s">
        <v>79</v>
      </c>
      <c r="AD1983" s="7" t="s">
        <v>80</v>
      </c>
      <c r="AE1983" s="7" t="s">
        <v>82</v>
      </c>
      <c r="AF1983" s="7" t="s">
        <v>0</v>
      </c>
      <c r="AG1983" s="7" t="s">
        <v>0</v>
      </c>
      <c r="AH1983" s="9" t="s">
        <v>13998</v>
      </c>
      <c r="AI1983" s="9" t="s">
        <v>13999</v>
      </c>
      <c r="AJ1983" s="9" t="s">
        <v>14000</v>
      </c>
      <c r="AK1983" s="7" t="s">
        <v>61</v>
      </c>
      <c r="AL1983" s="7" t="s">
        <v>61</v>
      </c>
      <c r="AM1983" s="7" t="s">
        <v>0</v>
      </c>
      <c r="AN1983" s="7" t="s">
        <v>0</v>
      </c>
      <c r="AO1983" s="7" t="s">
        <v>0</v>
      </c>
      <c r="AP1983" s="7" t="s">
        <v>0</v>
      </c>
      <c r="AQ1983" s="7" t="s">
        <v>61</v>
      </c>
      <c r="AR1983" s="7" t="s">
        <v>0</v>
      </c>
      <c r="AS1983" s="10" t="str">
        <f>HYPERLINK("https://tessa.gazprom-neft.local/edo/card/5adfc2c8-cdf4-48e4-9952-87badfcc370e", "https://tessa.gazprom-neft.local/edo/card/5adfc2c8-cdf4-48e4-9952-87badfcc370e")</f>
        <v>https://tessa.gazprom-neft.local/edo/card/5adfc2c8-cdf4-48e4-9952-87badfcc370e</v>
      </c>
    </row>
    <row r="1984" spans="1:45" hidden="1" x14ac:dyDescent="0.25">
      <c r="A1984" s="6" t="s">
        <v>44</v>
      </c>
      <c r="B1984" s="7" t="s">
        <v>3100</v>
      </c>
      <c r="C1984" s="7" t="s">
        <v>46</v>
      </c>
      <c r="D1984" s="8">
        <v>44607</v>
      </c>
      <c r="E1984" s="8" t="s">
        <v>0</v>
      </c>
      <c r="F1984" s="16" t="s">
        <v>3101</v>
      </c>
      <c r="G1984" s="7" t="s">
        <v>3102</v>
      </c>
      <c r="H1984" s="7" t="s">
        <v>0</v>
      </c>
      <c r="I1984" s="7" t="s">
        <v>9670</v>
      </c>
      <c r="J1984" s="7" t="s">
        <v>9670</v>
      </c>
      <c r="K1984" s="7" t="s">
        <v>85</v>
      </c>
      <c r="L1984" s="7" t="s">
        <v>86</v>
      </c>
      <c r="M1984" s="7" t="s">
        <v>216</v>
      </c>
      <c r="N1984" s="7" t="s">
        <v>9669</v>
      </c>
      <c r="O1984" s="7" t="s">
        <v>0</v>
      </c>
      <c r="P1984" s="7" t="s">
        <v>216</v>
      </c>
      <c r="Q1984" s="7" t="s">
        <v>9671</v>
      </c>
      <c r="R1984" s="7" t="s">
        <v>293</v>
      </c>
      <c r="S1984" s="7" t="s">
        <v>0</v>
      </c>
      <c r="T1984" s="7" t="s">
        <v>54</v>
      </c>
      <c r="U1984" s="7" t="s">
        <v>222</v>
      </c>
      <c r="V1984" s="7" t="s">
        <v>382</v>
      </c>
      <c r="W1984" s="7" t="s">
        <v>57</v>
      </c>
      <c r="X1984" s="7" t="s">
        <v>58</v>
      </c>
      <c r="Y1984" s="8">
        <v>44607</v>
      </c>
      <c r="Z1984" s="8" t="s">
        <v>0</v>
      </c>
      <c r="AA1984" s="7" t="s">
        <v>383</v>
      </c>
      <c r="AB1984" s="7" t="s">
        <v>228</v>
      </c>
      <c r="AC1984" s="7" t="s">
        <v>65</v>
      </c>
      <c r="AD1984" s="7" t="s">
        <v>0</v>
      </c>
      <c r="AE1984" s="7" t="s">
        <v>0</v>
      </c>
      <c r="AF1984" s="7" t="s">
        <v>0</v>
      </c>
      <c r="AG1984" s="7" t="s">
        <v>0</v>
      </c>
      <c r="AH1984" s="9" t="s">
        <v>0</v>
      </c>
      <c r="AI1984" s="9" t="s">
        <v>0</v>
      </c>
      <c r="AJ1984" s="9" t="s">
        <v>0</v>
      </c>
      <c r="AK1984" s="7" t="s">
        <v>61</v>
      </c>
      <c r="AL1984" s="7" t="s">
        <v>61</v>
      </c>
      <c r="AM1984" s="7" t="s">
        <v>0</v>
      </c>
      <c r="AN1984" s="7" t="s">
        <v>0</v>
      </c>
      <c r="AO1984" s="7" t="s">
        <v>0</v>
      </c>
      <c r="AP1984" s="7" t="s">
        <v>0</v>
      </c>
      <c r="AQ1984" s="7" t="s">
        <v>61</v>
      </c>
      <c r="AR1984" s="7" t="s">
        <v>0</v>
      </c>
      <c r="AS1984" s="10" t="str">
        <f>HYPERLINK("https://tessa.gazprom-neft.local/edo/card/1b584185-9f85-4bdb-ad9d-2bbbc2d356f4", "https://tessa.gazprom-neft.local/edo/card/1b584185-9f85-4bdb-ad9d-2bbbc2d356f4")</f>
        <v>https://tessa.gazprom-neft.local/edo/card/1b584185-9f85-4bdb-ad9d-2bbbc2d356f4</v>
      </c>
    </row>
    <row r="1985" spans="1:45" hidden="1" x14ac:dyDescent="0.25">
      <c r="A1985" s="6" t="s">
        <v>44</v>
      </c>
      <c r="B1985" s="7" t="s">
        <v>0</v>
      </c>
      <c r="C1985" s="7" t="s">
        <v>67</v>
      </c>
      <c r="D1985" s="8">
        <v>44606</v>
      </c>
      <c r="E1985" s="8" t="s">
        <v>0</v>
      </c>
      <c r="F1985" s="16" t="s">
        <v>1235</v>
      </c>
      <c r="G1985" s="7" t="s">
        <v>0</v>
      </c>
      <c r="H1985" s="7" t="s">
        <v>0</v>
      </c>
      <c r="I1985" s="7" t="s">
        <v>1233</v>
      </c>
      <c r="J1985" s="7" t="s">
        <v>1233</v>
      </c>
      <c r="K1985" s="7" t="s">
        <v>47</v>
      </c>
      <c r="L1985" s="7" t="s">
        <v>96</v>
      </c>
      <c r="M1985" s="7" t="s">
        <v>0</v>
      </c>
      <c r="N1985" s="7" t="s">
        <v>1232</v>
      </c>
      <c r="O1985" s="7" t="s">
        <v>0</v>
      </c>
      <c r="P1985" s="7" t="s">
        <v>1234</v>
      </c>
      <c r="Q1985" s="7" t="s">
        <v>1234</v>
      </c>
      <c r="R1985" s="7" t="s">
        <v>751</v>
      </c>
      <c r="S1985" s="7" t="s">
        <v>590</v>
      </c>
      <c r="T1985" s="7" t="s">
        <v>54</v>
      </c>
      <c r="U1985" s="7" t="s">
        <v>125</v>
      </c>
      <c r="V1985" s="7" t="s">
        <v>382</v>
      </c>
      <c r="W1985" s="7" t="s">
        <v>57</v>
      </c>
      <c r="X1985" s="7" t="s">
        <v>103</v>
      </c>
      <c r="Y1985" s="8">
        <v>44606</v>
      </c>
      <c r="Z1985" s="8">
        <v>45657</v>
      </c>
      <c r="AA1985" s="7" t="s">
        <v>383</v>
      </c>
      <c r="AB1985" s="7" t="s">
        <v>387</v>
      </c>
      <c r="AC1985" s="7" t="s">
        <v>79</v>
      </c>
      <c r="AD1985" s="7" t="s">
        <v>144</v>
      </c>
      <c r="AE1985" s="7" t="s">
        <v>82</v>
      </c>
      <c r="AF1985" s="7" t="s">
        <v>0</v>
      </c>
      <c r="AG1985" s="7" t="s">
        <v>0</v>
      </c>
      <c r="AH1985" s="9" t="s">
        <v>10961</v>
      </c>
      <c r="AI1985" s="9" t="s">
        <v>10962</v>
      </c>
      <c r="AJ1985" s="9" t="s">
        <v>10963</v>
      </c>
      <c r="AK1985" s="7" t="s">
        <v>61</v>
      </c>
      <c r="AL1985" s="7" t="s">
        <v>61</v>
      </c>
      <c r="AM1985" s="7" t="s">
        <v>0</v>
      </c>
      <c r="AN1985" s="7" t="s">
        <v>0</v>
      </c>
      <c r="AO1985" s="7" t="s">
        <v>0</v>
      </c>
      <c r="AP1985" s="7" t="s">
        <v>0</v>
      </c>
      <c r="AQ1985" s="7" t="s">
        <v>61</v>
      </c>
      <c r="AR1985" s="7" t="s">
        <v>0</v>
      </c>
      <c r="AS1985" s="10" t="str">
        <f>HYPERLINK("https://tessa.gazprom-neft.local/edo/card/40c483a5-b214-4177-8705-5c6a079a469b", "https://tessa.gazprom-neft.local/edo/card/40c483a5-b214-4177-8705-5c6a079a469b")</f>
        <v>https://tessa.gazprom-neft.local/edo/card/40c483a5-b214-4177-8705-5c6a079a469b</v>
      </c>
    </row>
    <row r="1986" spans="1:45" hidden="1" x14ac:dyDescent="0.25">
      <c r="A1986" s="6" t="s">
        <v>44</v>
      </c>
      <c r="B1986" s="7" t="s">
        <v>0</v>
      </c>
      <c r="C1986" s="7" t="s">
        <v>67</v>
      </c>
      <c r="D1986" s="8">
        <v>44606</v>
      </c>
      <c r="E1986" s="8" t="s">
        <v>0</v>
      </c>
      <c r="F1986" s="16" t="s">
        <v>1257</v>
      </c>
      <c r="G1986" s="7" t="s">
        <v>0</v>
      </c>
      <c r="H1986" s="7" t="s">
        <v>1254</v>
      </c>
      <c r="I1986" s="7" t="s">
        <v>0</v>
      </c>
      <c r="J1986" s="7" t="s">
        <v>51</v>
      </c>
      <c r="K1986" s="7" t="s">
        <v>85</v>
      </c>
      <c r="L1986" s="7" t="s">
        <v>239</v>
      </c>
      <c r="M1986" s="7" t="s">
        <v>1252</v>
      </c>
      <c r="N1986" s="7" t="s">
        <v>1253</v>
      </c>
      <c r="O1986" s="7" t="s">
        <v>0</v>
      </c>
      <c r="P1986" s="7" t="s">
        <v>1252</v>
      </c>
      <c r="Q1986" s="7" t="s">
        <v>1255</v>
      </c>
      <c r="R1986" s="7" t="s">
        <v>1256</v>
      </c>
      <c r="S1986" s="7" t="s">
        <v>1256</v>
      </c>
      <c r="T1986" s="7" t="s">
        <v>54</v>
      </c>
      <c r="U1986" s="7" t="s">
        <v>591</v>
      </c>
      <c r="V1986" s="7" t="s">
        <v>382</v>
      </c>
      <c r="W1986" s="7" t="s">
        <v>57</v>
      </c>
      <c r="X1986" s="7" t="s">
        <v>58</v>
      </c>
      <c r="Y1986" s="8">
        <v>44604</v>
      </c>
      <c r="Z1986" s="8" t="s">
        <v>0</v>
      </c>
      <c r="AA1986" s="7" t="s">
        <v>383</v>
      </c>
      <c r="AB1986" s="7" t="s">
        <v>387</v>
      </c>
      <c r="AC1986" s="7" t="s">
        <v>79</v>
      </c>
      <c r="AD1986" s="7" t="s">
        <v>80</v>
      </c>
      <c r="AE1986" s="7" t="s">
        <v>82</v>
      </c>
      <c r="AF1986" s="7" t="s">
        <v>0</v>
      </c>
      <c r="AG1986" s="7" t="s">
        <v>0</v>
      </c>
      <c r="AH1986" s="9" t="s">
        <v>10970</v>
      </c>
      <c r="AI1986" s="9" t="s">
        <v>10971</v>
      </c>
      <c r="AJ1986" s="9" t="s">
        <v>10972</v>
      </c>
      <c r="AK1986" s="7" t="s">
        <v>61</v>
      </c>
      <c r="AL1986" s="7" t="s">
        <v>61</v>
      </c>
      <c r="AM1986" s="7" t="s">
        <v>0</v>
      </c>
      <c r="AN1986" s="7" t="s">
        <v>0</v>
      </c>
      <c r="AO1986" s="7" t="s">
        <v>0</v>
      </c>
      <c r="AP1986" s="7" t="s">
        <v>0</v>
      </c>
      <c r="AQ1986" s="7" t="s">
        <v>61</v>
      </c>
      <c r="AR1986" s="7" t="s">
        <v>0</v>
      </c>
      <c r="AS1986" s="10" t="str">
        <f>HYPERLINK("https://tessa.gazprom-neft.local/edo/card/34211d37-5b73-458d-b966-7a6dc95aca3e", "https://tessa.gazprom-neft.local/edo/card/34211d37-5b73-458d-b966-7a6dc95aca3e")</f>
        <v>https://tessa.gazprom-neft.local/edo/card/34211d37-5b73-458d-b966-7a6dc95aca3e</v>
      </c>
    </row>
    <row r="1987" spans="1:45" hidden="1" x14ac:dyDescent="0.25">
      <c r="A1987" s="6" t="s">
        <v>44</v>
      </c>
      <c r="B1987" s="7" t="s">
        <v>900</v>
      </c>
      <c r="C1987" s="7" t="s">
        <v>67</v>
      </c>
      <c r="D1987" s="8">
        <v>44606</v>
      </c>
      <c r="E1987" s="8" t="s">
        <v>0</v>
      </c>
      <c r="F1987" s="16" t="s">
        <v>901</v>
      </c>
      <c r="G1987" s="7" t="s">
        <v>902</v>
      </c>
      <c r="H1987" s="7" t="s">
        <v>0</v>
      </c>
      <c r="I1987" s="7" t="s">
        <v>894</v>
      </c>
      <c r="J1987" s="7" t="s">
        <v>894</v>
      </c>
      <c r="K1987" s="7" t="s">
        <v>47</v>
      </c>
      <c r="L1987" s="7" t="s">
        <v>96</v>
      </c>
      <c r="M1987" s="7" t="s">
        <v>0</v>
      </c>
      <c r="N1987" s="7" t="s">
        <v>1438</v>
      </c>
      <c r="O1987" s="7" t="s">
        <v>0</v>
      </c>
      <c r="P1987" s="7" t="s">
        <v>1439</v>
      </c>
      <c r="Q1987" s="7" t="s">
        <v>1440</v>
      </c>
      <c r="R1987" s="7" t="s">
        <v>1441</v>
      </c>
      <c r="S1987" s="7" t="s">
        <v>898</v>
      </c>
      <c r="T1987" s="7" t="s">
        <v>54</v>
      </c>
      <c r="U1987" s="7" t="s">
        <v>210</v>
      </c>
      <c r="V1987" s="7" t="s">
        <v>211</v>
      </c>
      <c r="W1987" s="7" t="s">
        <v>57</v>
      </c>
      <c r="X1987" s="7" t="s">
        <v>103</v>
      </c>
      <c r="Y1987" s="8">
        <v>44606</v>
      </c>
      <c r="Z1987" s="8">
        <v>45657</v>
      </c>
      <c r="AA1987" s="7" t="s">
        <v>212</v>
      </c>
      <c r="AB1987" s="7" t="s">
        <v>130</v>
      </c>
      <c r="AC1987" s="7" t="s">
        <v>79</v>
      </c>
      <c r="AD1987" s="7" t="s">
        <v>80</v>
      </c>
      <c r="AE1987" s="7" t="s">
        <v>82</v>
      </c>
      <c r="AF1987" s="7" t="s">
        <v>0</v>
      </c>
      <c r="AG1987" s="7" t="s">
        <v>0</v>
      </c>
      <c r="AH1987" s="9" t="s">
        <v>11026</v>
      </c>
      <c r="AI1987" s="9" t="s">
        <v>11027</v>
      </c>
      <c r="AJ1987" s="9" t="s">
        <v>11028</v>
      </c>
      <c r="AK1987" s="7" t="s">
        <v>61</v>
      </c>
      <c r="AL1987" s="7" t="s">
        <v>61</v>
      </c>
      <c r="AM1987" s="7" t="s">
        <v>0</v>
      </c>
      <c r="AN1987" s="7" t="s">
        <v>0</v>
      </c>
      <c r="AO1987" s="7" t="s">
        <v>0</v>
      </c>
      <c r="AP1987" s="7" t="s">
        <v>0</v>
      </c>
      <c r="AQ1987" s="7" t="s">
        <v>61</v>
      </c>
      <c r="AR1987" s="7" t="s">
        <v>0</v>
      </c>
      <c r="AS1987" s="10" t="str">
        <f>HYPERLINK("https://tessa.gazprom-neft.local/edo/card/4ce19ed2-f894-442d-a10e-0cd6c5de6998", "https://tessa.gazprom-neft.local/edo/card/4ce19ed2-f894-442d-a10e-0cd6c5de6998")</f>
        <v>https://tessa.gazprom-neft.local/edo/card/4ce19ed2-f894-442d-a10e-0cd6c5de6998</v>
      </c>
    </row>
    <row r="1988" spans="1:45" x14ac:dyDescent="0.25">
      <c r="A1988" s="6" t="s">
        <v>44</v>
      </c>
      <c r="B1988" s="7" t="s">
        <v>1552</v>
      </c>
      <c r="C1988" s="7" t="s">
        <v>492</v>
      </c>
      <c r="D1988" s="8">
        <v>44606</v>
      </c>
      <c r="E1988" s="8" t="s">
        <v>0</v>
      </c>
      <c r="F1988" s="16" t="s">
        <v>1553</v>
      </c>
      <c r="G1988" s="7" t="s">
        <v>1554</v>
      </c>
      <c r="H1988" s="7" t="s">
        <v>1548</v>
      </c>
      <c r="I1988" s="7" t="s">
        <v>0</v>
      </c>
      <c r="J1988" s="7" t="s">
        <v>955</v>
      </c>
      <c r="K1988" s="7" t="s">
        <v>47</v>
      </c>
      <c r="L1988" s="7" t="s">
        <v>48</v>
      </c>
      <c r="M1988" s="7" t="s">
        <v>0</v>
      </c>
      <c r="N1988" s="7" t="s">
        <v>1547</v>
      </c>
      <c r="O1988" s="7" t="s">
        <v>0</v>
      </c>
      <c r="P1988" s="7" t="s">
        <v>1549</v>
      </c>
      <c r="Q1988" s="7" t="s">
        <v>1550</v>
      </c>
      <c r="R1988" s="7" t="s">
        <v>1551</v>
      </c>
      <c r="S1988" s="7" t="s">
        <v>1551</v>
      </c>
      <c r="T1988" s="7" t="s">
        <v>54</v>
      </c>
      <c r="U1988" s="7" t="s">
        <v>210</v>
      </c>
      <c r="V1988" s="7" t="s">
        <v>211</v>
      </c>
      <c r="W1988" s="7" t="s">
        <v>57</v>
      </c>
      <c r="X1988" s="7" t="s">
        <v>58</v>
      </c>
      <c r="Y1988" s="8">
        <v>44606</v>
      </c>
      <c r="Z1988" s="8" t="s">
        <v>0</v>
      </c>
      <c r="AA1988" s="7" t="s">
        <v>212</v>
      </c>
      <c r="AB1988" s="7" t="s">
        <v>1555</v>
      </c>
      <c r="AC1988" s="7" t="s">
        <v>65</v>
      </c>
      <c r="AD1988" s="7" t="s">
        <v>80</v>
      </c>
      <c r="AE1988" s="7" t="s">
        <v>0</v>
      </c>
      <c r="AF1988" s="7" t="s">
        <v>0</v>
      </c>
      <c r="AG1988" s="7" t="s">
        <v>0</v>
      </c>
      <c r="AH1988" s="9" t="s">
        <v>0</v>
      </c>
      <c r="AI1988" s="9" t="s">
        <v>0</v>
      </c>
      <c r="AJ1988" s="9" t="s">
        <v>0</v>
      </c>
      <c r="AK1988" s="7" t="s">
        <v>61</v>
      </c>
      <c r="AL1988" s="7" t="s">
        <v>61</v>
      </c>
      <c r="AM1988" s="7" t="s">
        <v>0</v>
      </c>
      <c r="AN1988" s="7" t="s">
        <v>0</v>
      </c>
      <c r="AO1988" s="7" t="s">
        <v>0</v>
      </c>
      <c r="AP1988" s="7" t="s">
        <v>0</v>
      </c>
      <c r="AQ1988" s="7" t="s">
        <v>61</v>
      </c>
      <c r="AR1988" s="7" t="s">
        <v>0</v>
      </c>
      <c r="AS1988" s="10" t="str">
        <f>HYPERLINK("https://tessa.gazprom-neft.local/edo/card/42cc3c15-9099-4446-bd58-ce1281eba2d5", "https://tessa.gazprom-neft.local/edo/card/42cc3c15-9099-4446-bd58-ce1281eba2d5")</f>
        <v>https://tessa.gazprom-neft.local/edo/card/42cc3c15-9099-4446-bd58-ce1281eba2d5</v>
      </c>
    </row>
    <row r="1989" spans="1:45" hidden="1" x14ac:dyDescent="0.25">
      <c r="A1989" s="6" t="s">
        <v>44</v>
      </c>
      <c r="B1989" s="7" t="s">
        <v>0</v>
      </c>
      <c r="C1989" s="7" t="s">
        <v>67</v>
      </c>
      <c r="D1989" s="8">
        <v>44606</v>
      </c>
      <c r="E1989" s="8" t="s">
        <v>0</v>
      </c>
      <c r="F1989" s="16" t="s">
        <v>1257</v>
      </c>
      <c r="G1989" s="7" t="s">
        <v>0</v>
      </c>
      <c r="H1989" s="7" t="s">
        <v>0</v>
      </c>
      <c r="I1989" s="7" t="s">
        <v>2218</v>
      </c>
      <c r="J1989" s="7" t="s">
        <v>2218</v>
      </c>
      <c r="K1989" s="7" t="s">
        <v>85</v>
      </c>
      <c r="L1989" s="7" t="s">
        <v>86</v>
      </c>
      <c r="M1989" s="7" t="s">
        <v>216</v>
      </c>
      <c r="N1989" s="7" t="s">
        <v>2217</v>
      </c>
      <c r="O1989" s="7" t="s">
        <v>0</v>
      </c>
      <c r="P1989" s="7" t="s">
        <v>216</v>
      </c>
      <c r="Q1989" s="7" t="s">
        <v>2219</v>
      </c>
      <c r="R1989" s="7" t="s">
        <v>1256</v>
      </c>
      <c r="S1989" s="7" t="s">
        <v>1256</v>
      </c>
      <c r="T1989" s="7" t="s">
        <v>54</v>
      </c>
      <c r="U1989" s="7" t="s">
        <v>591</v>
      </c>
      <c r="V1989" s="7" t="s">
        <v>102</v>
      </c>
      <c r="W1989" s="7" t="s">
        <v>57</v>
      </c>
      <c r="X1989" s="7" t="s">
        <v>58</v>
      </c>
      <c r="Y1989" s="8">
        <v>44606</v>
      </c>
      <c r="Z1989" s="8" t="s">
        <v>0</v>
      </c>
      <c r="AA1989" s="7" t="s">
        <v>104</v>
      </c>
      <c r="AB1989" s="7" t="s">
        <v>228</v>
      </c>
      <c r="AC1989" s="7" t="s">
        <v>65</v>
      </c>
      <c r="AD1989" s="7" t="s">
        <v>0</v>
      </c>
      <c r="AE1989" s="7" t="s">
        <v>0</v>
      </c>
      <c r="AF1989" s="7" t="s">
        <v>0</v>
      </c>
      <c r="AG1989" s="7" t="s">
        <v>0</v>
      </c>
      <c r="AH1989" s="9" t="s">
        <v>0</v>
      </c>
      <c r="AI1989" s="9" t="s">
        <v>0</v>
      </c>
      <c r="AJ1989" s="9" t="s">
        <v>0</v>
      </c>
      <c r="AK1989" s="7" t="s">
        <v>61</v>
      </c>
      <c r="AL1989" s="7" t="s">
        <v>61</v>
      </c>
      <c r="AM1989" s="7" t="s">
        <v>0</v>
      </c>
      <c r="AN1989" s="7" t="s">
        <v>0</v>
      </c>
      <c r="AO1989" s="7" t="s">
        <v>0</v>
      </c>
      <c r="AP1989" s="7" t="s">
        <v>0</v>
      </c>
      <c r="AQ1989" s="7" t="s">
        <v>61</v>
      </c>
      <c r="AR1989" s="7" t="s">
        <v>0</v>
      </c>
      <c r="AS1989" s="10" t="str">
        <f>HYPERLINK("https://tessa.gazprom-neft.local/edo/card/16f281fc-7512-42ba-b3a6-1b982b37e158", "https://tessa.gazprom-neft.local/edo/card/16f281fc-7512-42ba-b3a6-1b982b37e158")</f>
        <v>https://tessa.gazprom-neft.local/edo/card/16f281fc-7512-42ba-b3a6-1b982b37e158</v>
      </c>
    </row>
    <row r="1990" spans="1:45" hidden="1" x14ac:dyDescent="0.25">
      <c r="A1990" s="6" t="s">
        <v>44</v>
      </c>
      <c r="B1990" s="7" t="s">
        <v>1084</v>
      </c>
      <c r="C1990" s="7" t="s">
        <v>67</v>
      </c>
      <c r="D1990" s="8">
        <v>44606</v>
      </c>
      <c r="E1990" s="8" t="s">
        <v>0</v>
      </c>
      <c r="F1990" s="16" t="s">
        <v>1085</v>
      </c>
      <c r="G1990" s="7" t="s">
        <v>1086</v>
      </c>
      <c r="H1990" s="7" t="s">
        <v>0</v>
      </c>
      <c r="I1990" s="7" t="s">
        <v>2455</v>
      </c>
      <c r="J1990" s="7" t="s">
        <v>2455</v>
      </c>
      <c r="K1990" s="7" t="s">
        <v>47</v>
      </c>
      <c r="L1990" s="7" t="s">
        <v>86</v>
      </c>
      <c r="M1990" s="7" t="s">
        <v>0</v>
      </c>
      <c r="N1990" s="7" t="s">
        <v>2454</v>
      </c>
      <c r="O1990" s="7" t="s">
        <v>0</v>
      </c>
      <c r="P1990" s="7" t="s">
        <v>2456</v>
      </c>
      <c r="Q1990" s="7" t="s">
        <v>2457</v>
      </c>
      <c r="R1990" s="7" t="s">
        <v>540</v>
      </c>
      <c r="S1990" s="7" t="s">
        <v>0</v>
      </c>
      <c r="T1990" s="7" t="s">
        <v>54</v>
      </c>
      <c r="U1990" s="7" t="s">
        <v>541</v>
      </c>
      <c r="V1990" s="7" t="s">
        <v>56</v>
      </c>
      <c r="W1990" s="7" t="s">
        <v>57</v>
      </c>
      <c r="X1990" s="7" t="s">
        <v>223</v>
      </c>
      <c r="Y1990" s="8">
        <v>44606</v>
      </c>
      <c r="Z1990" s="8" t="s">
        <v>0</v>
      </c>
      <c r="AA1990" s="7" t="s">
        <v>59</v>
      </c>
      <c r="AB1990" s="7" t="s">
        <v>130</v>
      </c>
      <c r="AC1990" s="7" t="s">
        <v>65</v>
      </c>
      <c r="AD1990" s="7" t="s">
        <v>0</v>
      </c>
      <c r="AE1990" s="7" t="s">
        <v>0</v>
      </c>
      <c r="AF1990" s="7" t="s">
        <v>0</v>
      </c>
      <c r="AG1990" s="7" t="s">
        <v>0</v>
      </c>
      <c r="AH1990" s="9" t="s">
        <v>0</v>
      </c>
      <c r="AI1990" s="9" t="s">
        <v>0</v>
      </c>
      <c r="AJ1990" s="9" t="s">
        <v>0</v>
      </c>
      <c r="AK1990" s="7" t="s">
        <v>61</v>
      </c>
      <c r="AL1990" s="7" t="s">
        <v>61</v>
      </c>
      <c r="AM1990" s="7" t="s">
        <v>0</v>
      </c>
      <c r="AN1990" s="7" t="s">
        <v>0</v>
      </c>
      <c r="AO1990" s="7" t="s">
        <v>0</v>
      </c>
      <c r="AP1990" s="7" t="s">
        <v>0</v>
      </c>
      <c r="AQ1990" s="7" t="s">
        <v>61</v>
      </c>
      <c r="AR1990" s="7" t="s">
        <v>0</v>
      </c>
      <c r="AS1990" s="10" t="str">
        <f>HYPERLINK("https://tessa.gazprom-neft.local/edo/card/f749c110-4b30-462c-972b-08736542068b", "https://tessa.gazprom-neft.local/edo/card/f749c110-4b30-462c-972b-08736542068b")</f>
        <v>https://tessa.gazprom-neft.local/edo/card/f749c110-4b30-462c-972b-08736542068b</v>
      </c>
    </row>
    <row r="1991" spans="1:45" hidden="1" x14ac:dyDescent="0.25">
      <c r="A1991" s="6" t="s">
        <v>44</v>
      </c>
      <c r="B1991" s="7" t="s">
        <v>0</v>
      </c>
      <c r="C1991" s="7" t="s">
        <v>67</v>
      </c>
      <c r="D1991" s="8">
        <v>44603</v>
      </c>
      <c r="E1991" s="8" t="s">
        <v>0</v>
      </c>
      <c r="F1991" s="16" t="s">
        <v>1490</v>
      </c>
      <c r="G1991" s="7" t="s">
        <v>0</v>
      </c>
      <c r="H1991" s="7" t="s">
        <v>0</v>
      </c>
      <c r="I1991" s="7" t="s">
        <v>1488</v>
      </c>
      <c r="J1991" s="7" t="s">
        <v>1488</v>
      </c>
      <c r="K1991" s="7" t="s">
        <v>85</v>
      </c>
      <c r="L1991" s="7" t="s">
        <v>86</v>
      </c>
      <c r="M1991" s="7" t="s">
        <v>83</v>
      </c>
      <c r="N1991" s="7" t="s">
        <v>1487</v>
      </c>
      <c r="O1991" s="7" t="s">
        <v>0</v>
      </c>
      <c r="P1991" s="7" t="s">
        <v>83</v>
      </c>
      <c r="Q1991" s="7" t="s">
        <v>1489</v>
      </c>
      <c r="R1991" s="7" t="s">
        <v>659</v>
      </c>
      <c r="S1991" s="7" t="s">
        <v>659</v>
      </c>
      <c r="T1991" s="7" t="s">
        <v>54</v>
      </c>
      <c r="U1991" s="7" t="s">
        <v>303</v>
      </c>
      <c r="V1991" s="7" t="s">
        <v>91</v>
      </c>
      <c r="W1991" s="7" t="s">
        <v>57</v>
      </c>
      <c r="X1991" s="7" t="s">
        <v>103</v>
      </c>
      <c r="Y1991" s="8">
        <v>44603</v>
      </c>
      <c r="Z1991" s="8">
        <v>46387</v>
      </c>
      <c r="AA1991" s="7" t="s">
        <v>92</v>
      </c>
      <c r="AB1991" s="7" t="s">
        <v>94</v>
      </c>
      <c r="AC1991" s="7" t="s">
        <v>65</v>
      </c>
      <c r="AD1991" s="7" t="s">
        <v>0</v>
      </c>
      <c r="AE1991" s="7" t="s">
        <v>0</v>
      </c>
      <c r="AF1991" s="7" t="s">
        <v>0</v>
      </c>
      <c r="AG1991" s="7" t="s">
        <v>0</v>
      </c>
      <c r="AH1991" s="9" t="s">
        <v>0</v>
      </c>
      <c r="AI1991" s="9" t="s">
        <v>0</v>
      </c>
      <c r="AJ1991" s="9" t="s">
        <v>0</v>
      </c>
      <c r="AK1991" s="7" t="s">
        <v>61</v>
      </c>
      <c r="AL1991" s="7" t="s">
        <v>61</v>
      </c>
      <c r="AM1991" s="7" t="s">
        <v>0</v>
      </c>
      <c r="AN1991" s="7" t="s">
        <v>0</v>
      </c>
      <c r="AO1991" s="7" t="s">
        <v>0</v>
      </c>
      <c r="AP1991" s="7" t="s">
        <v>0</v>
      </c>
      <c r="AQ1991" s="7" t="s">
        <v>61</v>
      </c>
      <c r="AR1991" s="7" t="s">
        <v>0</v>
      </c>
      <c r="AS1991" s="10" t="str">
        <f>HYPERLINK("https://tessa.gazprom-neft.local/edo/card/6215b66e-6d8b-46de-b3d0-3a8f0ea2a419", "https://tessa.gazprom-neft.local/edo/card/6215b66e-6d8b-46de-b3d0-3a8f0ea2a419")</f>
        <v>https://tessa.gazprom-neft.local/edo/card/6215b66e-6d8b-46de-b3d0-3a8f0ea2a419</v>
      </c>
    </row>
    <row r="1992" spans="1:45" hidden="1" x14ac:dyDescent="0.25">
      <c r="A1992" s="6" t="s">
        <v>44</v>
      </c>
      <c r="B1992" s="7" t="s">
        <v>245</v>
      </c>
      <c r="C1992" s="7" t="s">
        <v>67</v>
      </c>
      <c r="D1992" s="8">
        <v>44603</v>
      </c>
      <c r="E1992" s="8" t="s">
        <v>0</v>
      </c>
      <c r="F1992" s="16" t="s">
        <v>246</v>
      </c>
      <c r="G1992" s="7" t="s">
        <v>247</v>
      </c>
      <c r="H1992" s="7" t="s">
        <v>574</v>
      </c>
      <c r="I1992" s="7" t="s">
        <v>0</v>
      </c>
      <c r="J1992" s="7" t="s">
        <v>1512</v>
      </c>
      <c r="K1992" s="7" t="s">
        <v>47</v>
      </c>
      <c r="L1992" s="7" t="s">
        <v>239</v>
      </c>
      <c r="M1992" s="7" t="s">
        <v>0</v>
      </c>
      <c r="N1992" s="7" t="s">
        <v>1510</v>
      </c>
      <c r="O1992" s="7" t="s">
        <v>0</v>
      </c>
      <c r="P1992" s="7" t="s">
        <v>1511</v>
      </c>
      <c r="Q1992" s="7" t="s">
        <v>1513</v>
      </c>
      <c r="R1992" s="7" t="s">
        <v>540</v>
      </c>
      <c r="S1992" s="7" t="s">
        <v>0</v>
      </c>
      <c r="T1992" s="7" t="s">
        <v>54</v>
      </c>
      <c r="U1992" s="7" t="s">
        <v>541</v>
      </c>
      <c r="V1992" s="7" t="s">
        <v>56</v>
      </c>
      <c r="W1992" s="7" t="s">
        <v>57</v>
      </c>
      <c r="X1992" s="7" t="s">
        <v>103</v>
      </c>
      <c r="Y1992" s="8">
        <v>44603</v>
      </c>
      <c r="Z1992" s="8">
        <v>44890</v>
      </c>
      <c r="AA1992" s="7" t="s">
        <v>59</v>
      </c>
      <c r="AB1992" s="7" t="s">
        <v>256</v>
      </c>
      <c r="AC1992" s="7" t="s">
        <v>79</v>
      </c>
      <c r="AD1992" s="7" t="s">
        <v>144</v>
      </c>
      <c r="AE1992" s="7" t="s">
        <v>82</v>
      </c>
      <c r="AF1992" s="7" t="s">
        <v>0</v>
      </c>
      <c r="AG1992" s="7" t="s">
        <v>0</v>
      </c>
      <c r="AH1992" s="9" t="s">
        <v>11045</v>
      </c>
      <c r="AI1992" s="9" t="s">
        <v>11046</v>
      </c>
      <c r="AJ1992" s="9" t="s">
        <v>11047</v>
      </c>
      <c r="AK1992" s="7" t="s">
        <v>61</v>
      </c>
      <c r="AL1992" s="7" t="s">
        <v>61</v>
      </c>
      <c r="AM1992" s="7" t="s">
        <v>0</v>
      </c>
      <c r="AN1992" s="7" t="s">
        <v>0</v>
      </c>
      <c r="AO1992" s="7" t="s">
        <v>0</v>
      </c>
      <c r="AP1992" s="7" t="s">
        <v>0</v>
      </c>
      <c r="AQ1992" s="7" t="s">
        <v>61</v>
      </c>
      <c r="AR1992" s="7" t="s">
        <v>0</v>
      </c>
      <c r="AS1992" s="10" t="str">
        <f>HYPERLINK("https://tessa.gazprom-neft.local/edo/card/d689d74f-10d9-4c64-bde6-c5821e587fde", "https://tessa.gazprom-neft.local/edo/card/d689d74f-10d9-4c64-bde6-c5821e587fde")</f>
        <v>https://tessa.gazprom-neft.local/edo/card/d689d74f-10d9-4c64-bde6-c5821e587fde</v>
      </c>
    </row>
    <row r="1993" spans="1:45" hidden="1" x14ac:dyDescent="0.25">
      <c r="A1993" s="6" t="s">
        <v>44</v>
      </c>
      <c r="B1993" s="7" t="s">
        <v>753</v>
      </c>
      <c r="C1993" s="7" t="s">
        <v>67</v>
      </c>
      <c r="D1993" s="8">
        <v>44603</v>
      </c>
      <c r="E1993" s="8" t="s">
        <v>0</v>
      </c>
      <c r="F1993" s="16" t="s">
        <v>754</v>
      </c>
      <c r="G1993" s="7" t="s">
        <v>755</v>
      </c>
      <c r="H1993" s="7" t="s">
        <v>748</v>
      </c>
      <c r="I1993" s="7" t="s">
        <v>0</v>
      </c>
      <c r="J1993" s="7" t="s">
        <v>271</v>
      </c>
      <c r="K1993" s="7" t="s">
        <v>47</v>
      </c>
      <c r="L1993" s="7" t="s">
        <v>239</v>
      </c>
      <c r="M1993" s="7" t="s">
        <v>0</v>
      </c>
      <c r="N1993" s="7" t="s">
        <v>9282</v>
      </c>
      <c r="O1993" s="7" t="s">
        <v>0</v>
      </c>
      <c r="P1993" s="7" t="s">
        <v>9283</v>
      </c>
      <c r="Q1993" s="7" t="s">
        <v>9284</v>
      </c>
      <c r="R1993" s="7" t="s">
        <v>1575</v>
      </c>
      <c r="S1993" s="7" t="s">
        <v>1575</v>
      </c>
      <c r="T1993" s="7" t="s">
        <v>54</v>
      </c>
      <c r="U1993" s="7" t="s">
        <v>222</v>
      </c>
      <c r="V1993" s="7" t="s">
        <v>382</v>
      </c>
      <c r="W1993" s="7" t="s">
        <v>57</v>
      </c>
      <c r="X1993" s="7" t="s">
        <v>58</v>
      </c>
      <c r="Y1993" s="8">
        <v>44603</v>
      </c>
      <c r="Z1993" s="8" t="s">
        <v>0</v>
      </c>
      <c r="AA1993" s="7" t="s">
        <v>383</v>
      </c>
      <c r="AB1993" s="7" t="s">
        <v>387</v>
      </c>
      <c r="AC1993" s="7" t="s">
        <v>79</v>
      </c>
      <c r="AD1993" s="7" t="s">
        <v>80</v>
      </c>
      <c r="AE1993" s="7" t="s">
        <v>82</v>
      </c>
      <c r="AF1993" s="7" t="s">
        <v>0</v>
      </c>
      <c r="AG1993" s="7" t="s">
        <v>0</v>
      </c>
      <c r="AH1993" s="9" t="s">
        <v>13862</v>
      </c>
      <c r="AI1993" s="9" t="s">
        <v>13863</v>
      </c>
      <c r="AJ1993" s="9" t="s">
        <v>13864</v>
      </c>
      <c r="AK1993" s="7" t="s">
        <v>61</v>
      </c>
      <c r="AL1993" s="7" t="s">
        <v>61</v>
      </c>
      <c r="AM1993" s="7" t="s">
        <v>0</v>
      </c>
      <c r="AN1993" s="7" t="s">
        <v>0</v>
      </c>
      <c r="AO1993" s="7" t="s">
        <v>0</v>
      </c>
      <c r="AP1993" s="7" t="s">
        <v>0</v>
      </c>
      <c r="AQ1993" s="7" t="s">
        <v>61</v>
      </c>
      <c r="AR1993" s="7" t="s">
        <v>0</v>
      </c>
      <c r="AS1993" s="10" t="str">
        <f>HYPERLINK("https://tessa.gazprom-neft.local/edo/card/f682b64b-4116-4550-868b-a984f2c5881f", "https://tessa.gazprom-neft.local/edo/card/f682b64b-4116-4550-868b-a984f2c5881f")</f>
        <v>https://tessa.gazprom-neft.local/edo/card/f682b64b-4116-4550-868b-a984f2c5881f</v>
      </c>
    </row>
    <row r="1994" spans="1:45" hidden="1" x14ac:dyDescent="0.25">
      <c r="A1994" s="6" t="s">
        <v>44</v>
      </c>
      <c r="B1994" s="7" t="s">
        <v>1126</v>
      </c>
      <c r="C1994" s="7" t="s">
        <v>46</v>
      </c>
      <c r="D1994" s="8">
        <v>44602</v>
      </c>
      <c r="E1994" s="8" t="s">
        <v>0</v>
      </c>
      <c r="F1994" s="16" t="s">
        <v>1127</v>
      </c>
      <c r="G1994" s="7" t="s">
        <v>1128</v>
      </c>
      <c r="H1994" s="7" t="s">
        <v>0</v>
      </c>
      <c r="I1994" s="7" t="s">
        <v>1123</v>
      </c>
      <c r="J1994" s="7" t="s">
        <v>1123</v>
      </c>
      <c r="K1994" s="7" t="s">
        <v>85</v>
      </c>
      <c r="L1994" s="7" t="s">
        <v>96</v>
      </c>
      <c r="M1994" s="7" t="s">
        <v>1121</v>
      </c>
      <c r="N1994" s="7" t="s">
        <v>1122</v>
      </c>
      <c r="O1994" s="7" t="s">
        <v>0</v>
      </c>
      <c r="P1994" s="7" t="s">
        <v>1121</v>
      </c>
      <c r="Q1994" s="7" t="s">
        <v>1124</v>
      </c>
      <c r="R1994" s="7" t="s">
        <v>1125</v>
      </c>
      <c r="S1994" s="7" t="s">
        <v>1125</v>
      </c>
      <c r="T1994" s="7" t="s">
        <v>54</v>
      </c>
      <c r="U1994" s="7" t="s">
        <v>188</v>
      </c>
      <c r="V1994" s="7" t="s">
        <v>187</v>
      </c>
      <c r="W1994" s="7" t="s">
        <v>57</v>
      </c>
      <c r="X1994" s="7" t="s">
        <v>103</v>
      </c>
      <c r="Y1994" s="8">
        <v>44593</v>
      </c>
      <c r="Z1994" s="8">
        <v>44651</v>
      </c>
      <c r="AA1994" s="7" t="s">
        <v>922</v>
      </c>
      <c r="AB1994" s="7" t="s">
        <v>500</v>
      </c>
      <c r="AC1994" s="7" t="s">
        <v>79</v>
      </c>
      <c r="AD1994" s="7" t="s">
        <v>80</v>
      </c>
      <c r="AE1994" s="7" t="s">
        <v>118</v>
      </c>
      <c r="AF1994" s="7" t="s">
        <v>0</v>
      </c>
      <c r="AG1994" s="7" t="s">
        <v>0</v>
      </c>
      <c r="AH1994" s="9" t="s">
        <v>10932</v>
      </c>
      <c r="AI1994" s="9" t="s">
        <v>10932</v>
      </c>
      <c r="AJ1994" s="9">
        <v>0</v>
      </c>
      <c r="AK1994" s="7" t="s">
        <v>61</v>
      </c>
      <c r="AL1994" s="7" t="s">
        <v>61</v>
      </c>
      <c r="AM1994" s="7" t="s">
        <v>0</v>
      </c>
      <c r="AN1994" s="7" t="s">
        <v>0</v>
      </c>
      <c r="AO1994" s="7" t="s">
        <v>0</v>
      </c>
      <c r="AP1994" s="7" t="s">
        <v>0</v>
      </c>
      <c r="AQ1994" s="7" t="s">
        <v>61</v>
      </c>
      <c r="AR1994" s="7" t="s">
        <v>0</v>
      </c>
      <c r="AS1994" s="10" t="str">
        <f>HYPERLINK("https://tessa.gazprom-neft.local/edo/card/60e42140-5676-4fac-beac-3d44f42005c0", "https://tessa.gazprom-neft.local/edo/card/60e42140-5676-4fac-beac-3d44f42005c0")</f>
        <v>https://tessa.gazprom-neft.local/edo/card/60e42140-5676-4fac-beac-3d44f42005c0</v>
      </c>
    </row>
    <row r="1995" spans="1:45" hidden="1" x14ac:dyDescent="0.25">
      <c r="A1995" s="6" t="s">
        <v>44</v>
      </c>
      <c r="B1995" s="7" t="s">
        <v>661</v>
      </c>
      <c r="C1995" s="7" t="s">
        <v>67</v>
      </c>
      <c r="D1995" s="8">
        <v>44602</v>
      </c>
      <c r="E1995" s="8" t="s">
        <v>0</v>
      </c>
      <c r="F1995" s="16" t="s">
        <v>662</v>
      </c>
      <c r="G1995" s="7" t="s">
        <v>663</v>
      </c>
      <c r="H1995" s="7" t="s">
        <v>1426</v>
      </c>
      <c r="I1995" s="7" t="s">
        <v>0</v>
      </c>
      <c r="J1995" s="7" t="s">
        <v>1428</v>
      </c>
      <c r="K1995" s="7" t="s">
        <v>47</v>
      </c>
      <c r="L1995" s="7" t="s">
        <v>239</v>
      </c>
      <c r="M1995" s="7" t="s">
        <v>0</v>
      </c>
      <c r="N1995" s="7" t="s">
        <v>1425</v>
      </c>
      <c r="O1995" s="7" t="s">
        <v>0</v>
      </c>
      <c r="P1995" s="7" t="s">
        <v>1427</v>
      </c>
      <c r="Q1995" s="7" t="s">
        <v>1429</v>
      </c>
      <c r="R1995" s="7" t="s">
        <v>659</v>
      </c>
      <c r="S1995" s="7" t="s">
        <v>660</v>
      </c>
      <c r="T1995" s="7" t="s">
        <v>54</v>
      </c>
      <c r="U1995" s="7" t="s">
        <v>283</v>
      </c>
      <c r="V1995" s="7" t="s">
        <v>102</v>
      </c>
      <c r="W1995" s="7" t="s">
        <v>57</v>
      </c>
      <c r="X1995" s="7" t="s">
        <v>103</v>
      </c>
      <c r="Y1995" s="8">
        <v>44602</v>
      </c>
      <c r="Z1995" s="8">
        <v>44926</v>
      </c>
      <c r="AA1995" s="7" t="s">
        <v>104</v>
      </c>
      <c r="AB1995" s="7" t="s">
        <v>130</v>
      </c>
      <c r="AC1995" s="7" t="s">
        <v>79</v>
      </c>
      <c r="AD1995" s="7" t="s">
        <v>514</v>
      </c>
      <c r="AE1995" s="7" t="s">
        <v>82</v>
      </c>
      <c r="AF1995" s="7" t="s">
        <v>0</v>
      </c>
      <c r="AG1995" s="7" t="s">
        <v>0</v>
      </c>
      <c r="AH1995" s="9" t="s">
        <v>11020</v>
      </c>
      <c r="AI1995" s="9" t="s">
        <v>11021</v>
      </c>
      <c r="AJ1995" s="9" t="s">
        <v>11022</v>
      </c>
      <c r="AK1995" s="7" t="s">
        <v>61</v>
      </c>
      <c r="AL1995" s="7" t="s">
        <v>61</v>
      </c>
      <c r="AM1995" s="7" t="s">
        <v>0</v>
      </c>
      <c r="AN1995" s="7" t="s">
        <v>0</v>
      </c>
      <c r="AO1995" s="7" t="s">
        <v>0</v>
      </c>
      <c r="AP1995" s="7" t="s">
        <v>0</v>
      </c>
      <c r="AQ1995" s="7" t="s">
        <v>61</v>
      </c>
      <c r="AR1995" s="7" t="s">
        <v>0</v>
      </c>
      <c r="AS1995" s="10" t="str">
        <f>HYPERLINK("https://tessa.gazprom-neft.local/edo/card/2899cd08-aa59-4be8-8d2a-bf05ebcba40b", "https://tessa.gazprom-neft.local/edo/card/2899cd08-aa59-4be8-8d2a-bf05ebcba40b")</f>
        <v>https://tessa.gazprom-neft.local/edo/card/2899cd08-aa59-4be8-8d2a-bf05ebcba40b</v>
      </c>
    </row>
    <row r="1996" spans="1:45" x14ac:dyDescent="0.25">
      <c r="A1996" s="6" t="s">
        <v>44</v>
      </c>
      <c r="B1996" s="7" t="s">
        <v>245</v>
      </c>
      <c r="C1996" s="7" t="s">
        <v>67</v>
      </c>
      <c r="D1996" s="8">
        <v>44602</v>
      </c>
      <c r="E1996" s="8" t="s">
        <v>0</v>
      </c>
      <c r="F1996" s="16" t="s">
        <v>246</v>
      </c>
      <c r="G1996" s="7" t="s">
        <v>247</v>
      </c>
      <c r="H1996" s="7" t="s">
        <v>574</v>
      </c>
      <c r="I1996" s="7" t="s">
        <v>0</v>
      </c>
      <c r="J1996" s="7" t="s">
        <v>156</v>
      </c>
      <c r="K1996" s="7" t="s">
        <v>47</v>
      </c>
      <c r="L1996" s="7" t="s">
        <v>48</v>
      </c>
      <c r="M1996" s="7" t="s">
        <v>0</v>
      </c>
      <c r="N1996" s="7" t="s">
        <v>1473</v>
      </c>
      <c r="O1996" s="7" t="s">
        <v>0</v>
      </c>
      <c r="P1996" s="7" t="s">
        <v>1474</v>
      </c>
      <c r="Q1996" s="7" t="s">
        <v>1475</v>
      </c>
      <c r="R1996" s="7" t="s">
        <v>1476</v>
      </c>
      <c r="S1996" s="7" t="s">
        <v>1476</v>
      </c>
      <c r="T1996" s="7" t="s">
        <v>54</v>
      </c>
      <c r="U1996" s="7" t="s">
        <v>101</v>
      </c>
      <c r="V1996" s="7" t="s">
        <v>56</v>
      </c>
      <c r="W1996" s="7" t="s">
        <v>57</v>
      </c>
      <c r="X1996" s="7" t="s">
        <v>103</v>
      </c>
      <c r="Y1996" s="8">
        <v>44602</v>
      </c>
      <c r="Z1996" s="8">
        <v>46387</v>
      </c>
      <c r="AA1996" s="7" t="s">
        <v>59</v>
      </c>
      <c r="AB1996" s="7" t="s">
        <v>545</v>
      </c>
      <c r="AC1996" s="7" t="s">
        <v>65</v>
      </c>
      <c r="AD1996" s="7" t="s">
        <v>0</v>
      </c>
      <c r="AE1996" s="7" t="s">
        <v>0</v>
      </c>
      <c r="AF1996" s="7" t="s">
        <v>0</v>
      </c>
      <c r="AG1996" s="7" t="s">
        <v>0</v>
      </c>
      <c r="AH1996" s="9" t="s">
        <v>0</v>
      </c>
      <c r="AI1996" s="9" t="s">
        <v>0</v>
      </c>
      <c r="AJ1996" s="9" t="s">
        <v>0</v>
      </c>
      <c r="AK1996" s="7" t="s">
        <v>61</v>
      </c>
      <c r="AL1996" s="7" t="s">
        <v>61</v>
      </c>
      <c r="AM1996" s="7" t="s">
        <v>0</v>
      </c>
      <c r="AN1996" s="7" t="s">
        <v>0</v>
      </c>
      <c r="AO1996" s="7" t="s">
        <v>0</v>
      </c>
      <c r="AP1996" s="7" t="s">
        <v>0</v>
      </c>
      <c r="AQ1996" s="7" t="s">
        <v>61</v>
      </c>
      <c r="AR1996" s="7" t="s">
        <v>0</v>
      </c>
      <c r="AS1996" s="10" t="str">
        <f>HYPERLINK("https://tessa.gazprom-neft.local/edo/card/2cbe206a-53d1-41cf-b96c-04fa21ee1f8c", "https://tessa.gazprom-neft.local/edo/card/2cbe206a-53d1-41cf-b96c-04fa21ee1f8c")</f>
        <v>https://tessa.gazprom-neft.local/edo/card/2cbe206a-53d1-41cf-b96c-04fa21ee1f8c</v>
      </c>
    </row>
    <row r="1997" spans="1:45" hidden="1" x14ac:dyDescent="0.25">
      <c r="A1997" s="6" t="s">
        <v>44</v>
      </c>
      <c r="B1997" s="7" t="s">
        <v>557</v>
      </c>
      <c r="C1997" s="7" t="s">
        <v>46</v>
      </c>
      <c r="D1997" s="8">
        <v>44601</v>
      </c>
      <c r="E1997" s="8" t="s">
        <v>0</v>
      </c>
      <c r="F1997" s="16" t="s">
        <v>558</v>
      </c>
      <c r="G1997" s="7" t="s">
        <v>559</v>
      </c>
      <c r="H1997" s="7" t="s">
        <v>0</v>
      </c>
      <c r="I1997" s="7" t="s">
        <v>554</v>
      </c>
      <c r="J1997" s="7" t="s">
        <v>554</v>
      </c>
      <c r="K1997" s="7" t="s">
        <v>47</v>
      </c>
      <c r="L1997" s="7" t="s">
        <v>96</v>
      </c>
      <c r="M1997" s="7" t="s">
        <v>0</v>
      </c>
      <c r="N1997" s="7" t="s">
        <v>553</v>
      </c>
      <c r="O1997" s="7" t="s">
        <v>0</v>
      </c>
      <c r="P1997" s="7" t="s">
        <v>555</v>
      </c>
      <c r="Q1997" s="7" t="s">
        <v>556</v>
      </c>
      <c r="R1997" s="7" t="s">
        <v>293</v>
      </c>
      <c r="S1997" s="7" t="s">
        <v>293</v>
      </c>
      <c r="T1997" s="7" t="s">
        <v>54</v>
      </c>
      <c r="U1997" s="7" t="s">
        <v>294</v>
      </c>
      <c r="V1997" s="7" t="s">
        <v>340</v>
      </c>
      <c r="W1997" s="7" t="s">
        <v>57</v>
      </c>
      <c r="X1997" s="7" t="s">
        <v>58</v>
      </c>
      <c r="Y1997" s="8">
        <v>44601</v>
      </c>
      <c r="Z1997" s="8" t="s">
        <v>0</v>
      </c>
      <c r="AA1997" s="7" t="s">
        <v>341</v>
      </c>
      <c r="AB1997" s="7" t="s">
        <v>560</v>
      </c>
      <c r="AC1997" s="7" t="s">
        <v>278</v>
      </c>
      <c r="AD1997" s="7" t="s">
        <v>80</v>
      </c>
      <c r="AE1997" s="7" t="s">
        <v>118</v>
      </c>
      <c r="AF1997" s="7" t="s">
        <v>0</v>
      </c>
      <c r="AG1997" s="7" t="s">
        <v>0</v>
      </c>
      <c r="AH1997" s="9" t="s">
        <v>10764</v>
      </c>
      <c r="AI1997" s="9" t="s">
        <v>10764</v>
      </c>
      <c r="AJ1997" s="9">
        <v>0</v>
      </c>
      <c r="AK1997" s="7" t="s">
        <v>61</v>
      </c>
      <c r="AL1997" s="7" t="s">
        <v>61</v>
      </c>
      <c r="AM1997" s="7" t="s">
        <v>0</v>
      </c>
      <c r="AN1997" s="7" t="s">
        <v>0</v>
      </c>
      <c r="AO1997" s="7" t="s">
        <v>0</v>
      </c>
      <c r="AP1997" s="7" t="s">
        <v>0</v>
      </c>
      <c r="AQ1997" s="7" t="s">
        <v>61</v>
      </c>
      <c r="AR1997" s="7" t="s">
        <v>0</v>
      </c>
      <c r="AS1997" s="10" t="str">
        <f>HYPERLINK("https://tessa.gazprom-neft.local/edo/card/6e7dfdd9-dc45-4650-b437-7d87059ca68b", "https://tessa.gazprom-neft.local/edo/card/6e7dfdd9-dc45-4650-b437-7d87059ca68b")</f>
        <v>https://tessa.gazprom-neft.local/edo/card/6e7dfdd9-dc45-4650-b437-7d87059ca68b</v>
      </c>
    </row>
    <row r="1998" spans="1:45" hidden="1" x14ac:dyDescent="0.25">
      <c r="A1998" s="6" t="s">
        <v>44</v>
      </c>
      <c r="B1998" s="7" t="s">
        <v>374</v>
      </c>
      <c r="C1998" s="7" t="s">
        <v>67</v>
      </c>
      <c r="D1998" s="8">
        <v>44601</v>
      </c>
      <c r="E1998" s="8" t="s">
        <v>0</v>
      </c>
      <c r="F1998" s="16" t="s">
        <v>375</v>
      </c>
      <c r="G1998" s="7" t="s">
        <v>376</v>
      </c>
      <c r="H1998" s="7" t="s">
        <v>0</v>
      </c>
      <c r="I1998" s="7" t="s">
        <v>981</v>
      </c>
      <c r="J1998" s="7" t="s">
        <v>981</v>
      </c>
      <c r="K1998" s="7" t="s">
        <v>47</v>
      </c>
      <c r="L1998" s="7" t="s">
        <v>96</v>
      </c>
      <c r="M1998" s="7" t="s">
        <v>0</v>
      </c>
      <c r="N1998" s="7" t="s">
        <v>980</v>
      </c>
      <c r="O1998" s="7" t="s">
        <v>0</v>
      </c>
      <c r="P1998" s="7" t="s">
        <v>982</v>
      </c>
      <c r="Q1998" s="7" t="s">
        <v>983</v>
      </c>
      <c r="R1998" s="7" t="s">
        <v>198</v>
      </c>
      <c r="S1998" s="7" t="s">
        <v>198</v>
      </c>
      <c r="T1998" s="7" t="s">
        <v>54</v>
      </c>
      <c r="U1998" s="7" t="s">
        <v>199</v>
      </c>
      <c r="V1998" s="7" t="s">
        <v>211</v>
      </c>
      <c r="W1998" s="7" t="s">
        <v>57</v>
      </c>
      <c r="X1998" s="7" t="s">
        <v>103</v>
      </c>
      <c r="Y1998" s="8">
        <v>44701</v>
      </c>
      <c r="Z1998" s="8">
        <v>45000</v>
      </c>
      <c r="AA1998" s="7" t="s">
        <v>212</v>
      </c>
      <c r="AB1998" s="7" t="s">
        <v>64</v>
      </c>
      <c r="AC1998" s="7" t="s">
        <v>79</v>
      </c>
      <c r="AD1998" s="7" t="s">
        <v>80</v>
      </c>
      <c r="AE1998" s="7" t="s">
        <v>82</v>
      </c>
      <c r="AF1998" s="7" t="s">
        <v>0</v>
      </c>
      <c r="AG1998" s="7" t="s">
        <v>0</v>
      </c>
      <c r="AH1998" s="9" t="s">
        <v>10877</v>
      </c>
      <c r="AI1998" s="9" t="s">
        <v>10878</v>
      </c>
      <c r="AJ1998" s="9" t="s">
        <v>10879</v>
      </c>
      <c r="AK1998" s="7" t="s">
        <v>61</v>
      </c>
      <c r="AL1998" s="7" t="s">
        <v>61</v>
      </c>
      <c r="AM1998" s="7" t="s">
        <v>0</v>
      </c>
      <c r="AN1998" s="7" t="s">
        <v>0</v>
      </c>
      <c r="AO1998" s="7" t="s">
        <v>0</v>
      </c>
      <c r="AP1998" s="7" t="s">
        <v>0</v>
      </c>
      <c r="AQ1998" s="7" t="s">
        <v>61</v>
      </c>
      <c r="AR1998" s="7" t="s">
        <v>0</v>
      </c>
      <c r="AS1998" s="10" t="str">
        <f>HYPERLINK("https://tessa.gazprom-neft.local/edo/card/7ae094a5-a442-4dd5-b66c-a01f9ae8cfb1", "https://tessa.gazprom-neft.local/edo/card/7ae094a5-a442-4dd5-b66c-a01f9ae8cfb1")</f>
        <v>https://tessa.gazprom-neft.local/edo/card/7ae094a5-a442-4dd5-b66c-a01f9ae8cfb1</v>
      </c>
    </row>
    <row r="1999" spans="1:45" hidden="1" x14ac:dyDescent="0.25">
      <c r="A1999" s="6" t="s">
        <v>44</v>
      </c>
      <c r="B1999" s="7" t="s">
        <v>885</v>
      </c>
      <c r="C1999" s="7" t="s">
        <v>67</v>
      </c>
      <c r="D1999" s="8">
        <v>44600</v>
      </c>
      <c r="E1999" s="8" t="s">
        <v>0</v>
      </c>
      <c r="F1999" s="16" t="s">
        <v>886</v>
      </c>
      <c r="G1999" s="7" t="s">
        <v>887</v>
      </c>
      <c r="H1999" s="7" t="s">
        <v>934</v>
      </c>
      <c r="I1999" s="7" t="s">
        <v>0</v>
      </c>
      <c r="J1999" s="7" t="s">
        <v>712</v>
      </c>
      <c r="K1999" s="7" t="s">
        <v>47</v>
      </c>
      <c r="L1999" s="7" t="s">
        <v>239</v>
      </c>
      <c r="M1999" s="7" t="s">
        <v>0</v>
      </c>
      <c r="N1999" s="7" t="s">
        <v>1271</v>
      </c>
      <c r="O1999" s="7" t="s">
        <v>0</v>
      </c>
      <c r="P1999" s="7" t="s">
        <v>1272</v>
      </c>
      <c r="Q1999" s="7" t="s">
        <v>1273</v>
      </c>
      <c r="R1999" s="7" t="s">
        <v>938</v>
      </c>
      <c r="S1999" s="7" t="s">
        <v>938</v>
      </c>
      <c r="T1999" s="7" t="s">
        <v>54</v>
      </c>
      <c r="U1999" s="7" t="s">
        <v>605</v>
      </c>
      <c r="V1999" s="7" t="s">
        <v>382</v>
      </c>
      <c r="W1999" s="7" t="s">
        <v>57</v>
      </c>
      <c r="X1999" s="7" t="s">
        <v>103</v>
      </c>
      <c r="Y1999" s="8">
        <v>44600</v>
      </c>
      <c r="Z1999" s="8">
        <v>44926</v>
      </c>
      <c r="AA1999" s="7" t="s">
        <v>383</v>
      </c>
      <c r="AB1999" s="7" t="s">
        <v>804</v>
      </c>
      <c r="AC1999" s="7" t="s">
        <v>79</v>
      </c>
      <c r="AD1999" s="7" t="s">
        <v>144</v>
      </c>
      <c r="AE1999" s="7" t="s">
        <v>889</v>
      </c>
      <c r="AF1999" s="7" t="s">
        <v>0</v>
      </c>
      <c r="AG1999" s="7" t="s">
        <v>0</v>
      </c>
      <c r="AH1999" s="9" t="s">
        <v>10979</v>
      </c>
      <c r="AI1999" s="9" t="s">
        <v>10979</v>
      </c>
      <c r="AJ1999" s="9">
        <v>0</v>
      </c>
      <c r="AK1999" s="7" t="s">
        <v>61</v>
      </c>
      <c r="AL1999" s="7" t="s">
        <v>61</v>
      </c>
      <c r="AM1999" s="7" t="s">
        <v>0</v>
      </c>
      <c r="AN1999" s="7" t="s">
        <v>0</v>
      </c>
      <c r="AO1999" s="7" t="s">
        <v>0</v>
      </c>
      <c r="AP1999" s="7" t="s">
        <v>0</v>
      </c>
      <c r="AQ1999" s="7" t="s">
        <v>61</v>
      </c>
      <c r="AR1999" s="7" t="s">
        <v>0</v>
      </c>
      <c r="AS1999" s="10" t="str">
        <f>HYPERLINK("https://tessa.gazprom-neft.local/edo/card/8d6a7f82-5254-4a5a-b449-cb2b1f5d7dd0", "https://tessa.gazprom-neft.local/edo/card/8d6a7f82-5254-4a5a-b449-cb2b1f5d7dd0")</f>
        <v>https://tessa.gazprom-neft.local/edo/card/8d6a7f82-5254-4a5a-b449-cb2b1f5d7dd0</v>
      </c>
    </row>
    <row r="2000" spans="1:45" x14ac:dyDescent="0.25">
      <c r="A2000" s="6" t="s">
        <v>44</v>
      </c>
      <c r="B2000" s="7" t="s">
        <v>793</v>
      </c>
      <c r="C2000" s="7" t="s">
        <v>67</v>
      </c>
      <c r="D2000" s="8">
        <v>44600</v>
      </c>
      <c r="E2000" s="8" t="s">
        <v>0</v>
      </c>
      <c r="F2000" s="16" t="s">
        <v>794</v>
      </c>
      <c r="G2000" s="7" t="s">
        <v>795</v>
      </c>
      <c r="H2000" s="7" t="s">
        <v>1367</v>
      </c>
      <c r="I2000" s="7" t="s">
        <v>0</v>
      </c>
      <c r="J2000" s="7" t="s">
        <v>51</v>
      </c>
      <c r="K2000" s="7" t="s">
        <v>47</v>
      </c>
      <c r="L2000" s="7" t="s">
        <v>48</v>
      </c>
      <c r="M2000" s="7" t="s">
        <v>0</v>
      </c>
      <c r="N2000" s="7" t="s">
        <v>1366</v>
      </c>
      <c r="O2000" s="7" t="s">
        <v>0</v>
      </c>
      <c r="P2000" s="7" t="s">
        <v>1368</v>
      </c>
      <c r="Q2000" s="7" t="s">
        <v>1369</v>
      </c>
      <c r="R2000" s="7" t="s">
        <v>282</v>
      </c>
      <c r="S2000" s="7" t="s">
        <v>282</v>
      </c>
      <c r="T2000" s="7" t="s">
        <v>54</v>
      </c>
      <c r="U2000" s="7" t="s">
        <v>55</v>
      </c>
      <c r="V2000" s="7" t="s">
        <v>56</v>
      </c>
      <c r="W2000" s="7" t="s">
        <v>57</v>
      </c>
      <c r="X2000" s="7" t="s">
        <v>103</v>
      </c>
      <c r="Y2000" s="8">
        <v>44600</v>
      </c>
      <c r="Z2000" s="8">
        <v>45291</v>
      </c>
      <c r="AA2000" s="7" t="s">
        <v>0</v>
      </c>
      <c r="AB2000" s="7" t="s">
        <v>64</v>
      </c>
      <c r="AC2000" s="7" t="s">
        <v>65</v>
      </c>
      <c r="AD2000" s="7" t="s">
        <v>0</v>
      </c>
      <c r="AE2000" s="7" t="s">
        <v>0</v>
      </c>
      <c r="AF2000" s="7" t="s">
        <v>0</v>
      </c>
      <c r="AG2000" s="7" t="s">
        <v>0</v>
      </c>
      <c r="AH2000" s="9" t="s">
        <v>0</v>
      </c>
      <c r="AI2000" s="9" t="s">
        <v>0</v>
      </c>
      <c r="AJ2000" s="9" t="s">
        <v>0</v>
      </c>
      <c r="AK2000" s="7" t="s">
        <v>61</v>
      </c>
      <c r="AL2000" s="7" t="s">
        <v>61</v>
      </c>
      <c r="AM2000" s="7" t="s">
        <v>0</v>
      </c>
      <c r="AN2000" s="7" t="s">
        <v>0</v>
      </c>
      <c r="AO2000" s="7" t="s">
        <v>0</v>
      </c>
      <c r="AP2000" s="7" t="s">
        <v>0</v>
      </c>
      <c r="AQ2000" s="7" t="s">
        <v>61</v>
      </c>
      <c r="AR2000" s="7" t="s">
        <v>0</v>
      </c>
      <c r="AS2000" s="10" t="str">
        <f>HYPERLINK("https://tessa.gazprom-neft.local/edo/card/c3fa269a-f857-4c10-bb40-8cbed43e57f0", "https://tessa.gazprom-neft.local/edo/card/c3fa269a-f857-4c10-bb40-8cbed43e57f0")</f>
        <v>https://tessa.gazprom-neft.local/edo/card/c3fa269a-f857-4c10-bb40-8cbed43e57f0</v>
      </c>
    </row>
    <row r="2001" spans="1:45" x14ac:dyDescent="0.25">
      <c r="A2001" s="6" t="s">
        <v>44</v>
      </c>
      <c r="B2001" s="7" t="s">
        <v>75</v>
      </c>
      <c r="C2001" s="7" t="s">
        <v>67</v>
      </c>
      <c r="D2001" s="8">
        <v>44600</v>
      </c>
      <c r="E2001" s="8" t="s">
        <v>0</v>
      </c>
      <c r="F2001" s="16" t="s">
        <v>76</v>
      </c>
      <c r="G2001" s="7" t="s">
        <v>77</v>
      </c>
      <c r="H2001" s="7" t="s">
        <v>68</v>
      </c>
      <c r="I2001" s="7" t="s">
        <v>0</v>
      </c>
      <c r="J2001" s="7" t="s">
        <v>271</v>
      </c>
      <c r="K2001" s="7" t="s">
        <v>47</v>
      </c>
      <c r="L2001" s="7" t="s">
        <v>48</v>
      </c>
      <c r="M2001" s="7" t="s">
        <v>0</v>
      </c>
      <c r="N2001" s="7" t="s">
        <v>1411</v>
      </c>
      <c r="O2001" s="7" t="s">
        <v>0</v>
      </c>
      <c r="P2001" s="7" t="s">
        <v>69</v>
      </c>
      <c r="Q2001" s="7" t="s">
        <v>71</v>
      </c>
      <c r="R2001" s="7" t="s">
        <v>72</v>
      </c>
      <c r="S2001" s="7" t="s">
        <v>0</v>
      </c>
      <c r="T2001" s="7" t="s">
        <v>54</v>
      </c>
      <c r="U2001" s="7" t="s">
        <v>73</v>
      </c>
      <c r="V2001" s="7" t="s">
        <v>56</v>
      </c>
      <c r="W2001" s="7" t="s">
        <v>57</v>
      </c>
      <c r="X2001" s="7" t="s">
        <v>58</v>
      </c>
      <c r="Y2001" s="8">
        <v>44600</v>
      </c>
      <c r="Z2001" s="8" t="s">
        <v>0</v>
      </c>
      <c r="AA2001" s="7" t="s">
        <v>59</v>
      </c>
      <c r="AB2001" s="7" t="s">
        <v>130</v>
      </c>
      <c r="AC2001" s="7" t="s">
        <v>65</v>
      </c>
      <c r="AD2001" s="7" t="s">
        <v>0</v>
      </c>
      <c r="AE2001" s="7" t="s">
        <v>0</v>
      </c>
      <c r="AF2001" s="7" t="s">
        <v>0</v>
      </c>
      <c r="AG2001" s="7" t="s">
        <v>0</v>
      </c>
      <c r="AH2001" s="9" t="s">
        <v>0</v>
      </c>
      <c r="AI2001" s="9" t="s">
        <v>0</v>
      </c>
      <c r="AJ2001" s="9" t="s">
        <v>0</v>
      </c>
      <c r="AK2001" s="7" t="s">
        <v>61</v>
      </c>
      <c r="AL2001" s="7" t="s">
        <v>61</v>
      </c>
      <c r="AM2001" s="7" t="s">
        <v>0</v>
      </c>
      <c r="AN2001" s="7" t="s">
        <v>0</v>
      </c>
      <c r="AO2001" s="7" t="s">
        <v>0</v>
      </c>
      <c r="AP2001" s="7" t="s">
        <v>0</v>
      </c>
      <c r="AQ2001" s="7" t="s">
        <v>61</v>
      </c>
      <c r="AR2001" s="7" t="s">
        <v>0</v>
      </c>
      <c r="AS2001" s="10" t="str">
        <f>HYPERLINK("https://tessa.gazprom-neft.local/edo/card/fd122973-4f56-465d-b527-6bcd18798873", "https://tessa.gazprom-neft.local/edo/card/fd122973-4f56-465d-b527-6bcd18798873")</f>
        <v>https://tessa.gazprom-neft.local/edo/card/fd122973-4f56-465d-b527-6bcd18798873</v>
      </c>
    </row>
    <row r="2002" spans="1:45" hidden="1" x14ac:dyDescent="0.25">
      <c r="A2002" s="6" t="s">
        <v>44</v>
      </c>
      <c r="B2002" s="7" t="s">
        <v>75</v>
      </c>
      <c r="C2002" s="7" t="s">
        <v>67</v>
      </c>
      <c r="D2002" s="8">
        <v>44600</v>
      </c>
      <c r="E2002" s="8" t="s">
        <v>0</v>
      </c>
      <c r="F2002" s="16" t="s">
        <v>76</v>
      </c>
      <c r="G2002" s="7" t="s">
        <v>77</v>
      </c>
      <c r="H2002" s="7" t="s">
        <v>68</v>
      </c>
      <c r="I2002" s="7" t="s">
        <v>0</v>
      </c>
      <c r="J2002" s="7" t="s">
        <v>156</v>
      </c>
      <c r="K2002" s="7" t="s">
        <v>47</v>
      </c>
      <c r="L2002" s="7" t="s">
        <v>239</v>
      </c>
      <c r="M2002" s="7" t="s">
        <v>0</v>
      </c>
      <c r="N2002" s="7" t="s">
        <v>2878</v>
      </c>
      <c r="O2002" s="7" t="s">
        <v>0</v>
      </c>
      <c r="P2002" s="7" t="s">
        <v>2879</v>
      </c>
      <c r="Q2002" s="7" t="s">
        <v>2879</v>
      </c>
      <c r="R2002" s="7" t="s">
        <v>72</v>
      </c>
      <c r="S2002" s="7" t="s">
        <v>72</v>
      </c>
      <c r="T2002" s="7" t="s">
        <v>54</v>
      </c>
      <c r="U2002" s="7" t="s">
        <v>73</v>
      </c>
      <c r="V2002" s="7" t="s">
        <v>56</v>
      </c>
      <c r="W2002" s="7" t="s">
        <v>57</v>
      </c>
      <c r="X2002" s="7" t="s">
        <v>103</v>
      </c>
      <c r="Y2002" s="8">
        <v>44600</v>
      </c>
      <c r="Z2002" s="8">
        <v>44985</v>
      </c>
      <c r="AA2002" s="7" t="s">
        <v>59</v>
      </c>
      <c r="AB2002" s="7" t="s">
        <v>130</v>
      </c>
      <c r="AC2002" s="7" t="s">
        <v>79</v>
      </c>
      <c r="AD2002" s="7" t="s">
        <v>514</v>
      </c>
      <c r="AE2002" s="7" t="s">
        <v>82</v>
      </c>
      <c r="AF2002" s="7" t="s">
        <v>0</v>
      </c>
      <c r="AG2002" s="7" t="s">
        <v>0</v>
      </c>
      <c r="AH2002" s="9" t="s">
        <v>11474</v>
      </c>
      <c r="AI2002" s="9" t="s">
        <v>11475</v>
      </c>
      <c r="AJ2002" s="9" t="s">
        <v>11476</v>
      </c>
      <c r="AK2002" s="7" t="s">
        <v>61</v>
      </c>
      <c r="AL2002" s="7" t="s">
        <v>61</v>
      </c>
      <c r="AM2002" s="7" t="s">
        <v>0</v>
      </c>
      <c r="AN2002" s="7" t="s">
        <v>0</v>
      </c>
      <c r="AO2002" s="7" t="s">
        <v>0</v>
      </c>
      <c r="AP2002" s="7" t="s">
        <v>0</v>
      </c>
      <c r="AQ2002" s="7" t="s">
        <v>61</v>
      </c>
      <c r="AR2002" s="7" t="s">
        <v>0</v>
      </c>
      <c r="AS2002" s="10" t="str">
        <f>HYPERLINK("https://tessa.gazprom-neft.local/edo/card/b8b02555-aad0-4c1b-a28d-81eb5d2ed6d4", "https://tessa.gazprom-neft.local/edo/card/b8b02555-aad0-4c1b-a28d-81eb5d2ed6d4")</f>
        <v>https://tessa.gazprom-neft.local/edo/card/b8b02555-aad0-4c1b-a28d-81eb5d2ed6d4</v>
      </c>
    </row>
    <row r="2003" spans="1:45" hidden="1" x14ac:dyDescent="0.25">
      <c r="A2003" s="6" t="s">
        <v>44</v>
      </c>
      <c r="B2003" s="7" t="s">
        <v>964</v>
      </c>
      <c r="C2003" s="7" t="s">
        <v>46</v>
      </c>
      <c r="D2003" s="8">
        <v>44599</v>
      </c>
      <c r="E2003" s="8" t="s">
        <v>0</v>
      </c>
      <c r="F2003" s="16" t="s">
        <v>965</v>
      </c>
      <c r="G2003" s="7" t="s">
        <v>966</v>
      </c>
      <c r="H2003" s="7" t="s">
        <v>0</v>
      </c>
      <c r="I2003" s="7" t="s">
        <v>961</v>
      </c>
      <c r="J2003" s="7" t="s">
        <v>961</v>
      </c>
      <c r="K2003" s="7" t="s">
        <v>47</v>
      </c>
      <c r="L2003" s="7" t="s">
        <v>96</v>
      </c>
      <c r="M2003" s="7" t="s">
        <v>0</v>
      </c>
      <c r="N2003" s="7" t="s">
        <v>960</v>
      </c>
      <c r="O2003" s="7" t="s">
        <v>0</v>
      </c>
      <c r="P2003" s="7" t="s">
        <v>962</v>
      </c>
      <c r="Q2003" s="7" t="s">
        <v>963</v>
      </c>
      <c r="R2003" s="7" t="s">
        <v>361</v>
      </c>
      <c r="S2003" s="7" t="s">
        <v>361</v>
      </c>
      <c r="T2003" s="7" t="s">
        <v>54</v>
      </c>
      <c r="U2003" s="7" t="s">
        <v>362</v>
      </c>
      <c r="V2003" s="7" t="s">
        <v>295</v>
      </c>
      <c r="W2003" s="7" t="s">
        <v>57</v>
      </c>
      <c r="X2003" s="7" t="s">
        <v>103</v>
      </c>
      <c r="Y2003" s="8">
        <v>44562</v>
      </c>
      <c r="Z2003" s="8">
        <v>44926</v>
      </c>
      <c r="AA2003" s="7" t="s">
        <v>296</v>
      </c>
      <c r="AB2003" s="7" t="s">
        <v>366</v>
      </c>
      <c r="AC2003" s="7" t="s">
        <v>278</v>
      </c>
      <c r="AD2003" s="7" t="s">
        <v>367</v>
      </c>
      <c r="AE2003" s="7" t="s">
        <v>82</v>
      </c>
      <c r="AF2003" s="7" t="s">
        <v>0</v>
      </c>
      <c r="AG2003" s="7" t="s">
        <v>0</v>
      </c>
      <c r="AH2003" s="9" t="s">
        <v>10874</v>
      </c>
      <c r="AI2003" s="9" t="s">
        <v>10875</v>
      </c>
      <c r="AJ2003" s="9" t="s">
        <v>10876</v>
      </c>
      <c r="AK2003" s="7" t="s">
        <v>61</v>
      </c>
      <c r="AL2003" s="7" t="s">
        <v>61</v>
      </c>
      <c r="AM2003" s="7" t="s">
        <v>0</v>
      </c>
      <c r="AN2003" s="7" t="s">
        <v>0</v>
      </c>
      <c r="AO2003" s="7" t="s">
        <v>0</v>
      </c>
      <c r="AP2003" s="7" t="s">
        <v>0</v>
      </c>
      <c r="AQ2003" s="7" t="s">
        <v>61</v>
      </c>
      <c r="AR2003" s="7" t="s">
        <v>0</v>
      </c>
      <c r="AS2003" s="10" t="str">
        <f>HYPERLINK("https://tessa.gazprom-neft.local/edo/card/60f92637-ce24-421f-9899-4f606c546bb1", "https://tessa.gazprom-neft.local/edo/card/60f92637-ce24-421f-9899-4f606c546bb1")</f>
        <v>https://tessa.gazprom-neft.local/edo/card/60f92637-ce24-421f-9899-4f606c546bb1</v>
      </c>
    </row>
    <row r="2004" spans="1:45" hidden="1" x14ac:dyDescent="0.25">
      <c r="A2004" s="6" t="s">
        <v>44</v>
      </c>
      <c r="B2004" s="7" t="s">
        <v>374</v>
      </c>
      <c r="C2004" s="7" t="s">
        <v>67</v>
      </c>
      <c r="D2004" s="8">
        <v>44599</v>
      </c>
      <c r="E2004" s="8" t="s">
        <v>0</v>
      </c>
      <c r="F2004" s="16" t="s">
        <v>375</v>
      </c>
      <c r="G2004" s="7" t="s">
        <v>376</v>
      </c>
      <c r="H2004" s="7" t="s">
        <v>0</v>
      </c>
      <c r="I2004" s="7" t="s">
        <v>1158</v>
      </c>
      <c r="J2004" s="7" t="s">
        <v>1158</v>
      </c>
      <c r="K2004" s="7" t="s">
        <v>85</v>
      </c>
      <c r="L2004" s="7" t="s">
        <v>96</v>
      </c>
      <c r="M2004" s="7" t="s">
        <v>1156</v>
      </c>
      <c r="N2004" s="7" t="s">
        <v>1157</v>
      </c>
      <c r="O2004" s="7" t="s">
        <v>0</v>
      </c>
      <c r="P2004" s="7" t="s">
        <v>1156</v>
      </c>
      <c r="Q2004" s="7" t="s">
        <v>1159</v>
      </c>
      <c r="R2004" s="7" t="s">
        <v>53</v>
      </c>
      <c r="S2004" s="7" t="s">
        <v>53</v>
      </c>
      <c r="T2004" s="7" t="s">
        <v>54</v>
      </c>
      <c r="U2004" s="7" t="s">
        <v>55</v>
      </c>
      <c r="V2004" s="7" t="s">
        <v>56</v>
      </c>
      <c r="W2004" s="7" t="s">
        <v>57</v>
      </c>
      <c r="X2004" s="7" t="s">
        <v>103</v>
      </c>
      <c r="Y2004" s="8">
        <v>44621</v>
      </c>
      <c r="Z2004" s="8">
        <v>46387</v>
      </c>
      <c r="AA2004" s="7" t="s">
        <v>59</v>
      </c>
      <c r="AB2004" s="7" t="s">
        <v>64</v>
      </c>
      <c r="AC2004" s="7" t="s">
        <v>79</v>
      </c>
      <c r="AD2004" s="7" t="s">
        <v>80</v>
      </c>
      <c r="AE2004" s="7" t="s">
        <v>82</v>
      </c>
      <c r="AF2004" s="7" t="s">
        <v>0</v>
      </c>
      <c r="AG2004" s="7" t="s">
        <v>0</v>
      </c>
      <c r="AH2004" s="9" t="s">
        <v>10936</v>
      </c>
      <c r="AI2004" s="9" t="s">
        <v>10937</v>
      </c>
      <c r="AJ2004" s="9" t="s">
        <v>10938</v>
      </c>
      <c r="AK2004" s="7" t="s">
        <v>61</v>
      </c>
      <c r="AL2004" s="7" t="s">
        <v>61</v>
      </c>
      <c r="AM2004" s="7" t="s">
        <v>0</v>
      </c>
      <c r="AN2004" s="7" t="s">
        <v>0</v>
      </c>
      <c r="AO2004" s="7" t="s">
        <v>0</v>
      </c>
      <c r="AP2004" s="7" t="s">
        <v>0</v>
      </c>
      <c r="AQ2004" s="7" t="s">
        <v>61</v>
      </c>
      <c r="AR2004" s="7" t="s">
        <v>0</v>
      </c>
      <c r="AS2004" s="10" t="str">
        <f>HYPERLINK("https://tessa.gazprom-neft.local/edo/card/13cac0b1-0914-4e29-b42e-c668d0665c27", "https://tessa.gazprom-neft.local/edo/card/13cac0b1-0914-4e29-b42e-c668d0665c27")</f>
        <v>https://tessa.gazprom-neft.local/edo/card/13cac0b1-0914-4e29-b42e-c668d0665c27</v>
      </c>
    </row>
    <row r="2005" spans="1:45" x14ac:dyDescent="0.25">
      <c r="A2005" s="6" t="s">
        <v>44</v>
      </c>
      <c r="B2005" s="7" t="s">
        <v>1640</v>
      </c>
      <c r="C2005" s="7" t="s">
        <v>67</v>
      </c>
      <c r="D2005" s="8">
        <v>44595</v>
      </c>
      <c r="E2005" s="8" t="s">
        <v>0</v>
      </c>
      <c r="F2005" s="16" t="s">
        <v>1641</v>
      </c>
      <c r="G2005" s="7" t="s">
        <v>1642</v>
      </c>
      <c r="H2005" s="7" t="s">
        <v>1801</v>
      </c>
      <c r="I2005" s="7" t="s">
        <v>0</v>
      </c>
      <c r="J2005" s="7" t="s">
        <v>271</v>
      </c>
      <c r="K2005" s="7" t="s">
        <v>47</v>
      </c>
      <c r="L2005" s="7" t="s">
        <v>48</v>
      </c>
      <c r="M2005" s="7" t="s">
        <v>0</v>
      </c>
      <c r="N2005" s="7" t="s">
        <v>1800</v>
      </c>
      <c r="O2005" s="7" t="s">
        <v>0</v>
      </c>
      <c r="P2005" s="7" t="s">
        <v>312</v>
      </c>
      <c r="Q2005" s="7" t="s">
        <v>1802</v>
      </c>
      <c r="R2005" s="7" t="s">
        <v>1083</v>
      </c>
      <c r="S2005" s="7" t="s">
        <v>273</v>
      </c>
      <c r="T2005" s="7" t="s">
        <v>54</v>
      </c>
      <c r="U2005" s="7" t="s">
        <v>274</v>
      </c>
      <c r="V2005" s="7" t="s">
        <v>723</v>
      </c>
      <c r="W2005" s="7" t="s">
        <v>57</v>
      </c>
      <c r="X2005" s="7" t="s">
        <v>103</v>
      </c>
      <c r="Y2005" s="8">
        <v>44595</v>
      </c>
      <c r="Z2005" s="8">
        <v>45657</v>
      </c>
      <c r="AA2005" s="7" t="s">
        <v>1031</v>
      </c>
      <c r="AB2005" s="7" t="s">
        <v>64</v>
      </c>
      <c r="AC2005" s="7" t="s">
        <v>278</v>
      </c>
      <c r="AD2005" s="7" t="s">
        <v>80</v>
      </c>
      <c r="AE2005" s="7" t="s">
        <v>82</v>
      </c>
      <c r="AF2005" s="7" t="s">
        <v>0</v>
      </c>
      <c r="AG2005" s="7" t="s">
        <v>0</v>
      </c>
      <c r="AH2005" s="9" t="s">
        <v>11131</v>
      </c>
      <c r="AI2005" s="9" t="s">
        <v>11132</v>
      </c>
      <c r="AJ2005" s="9" t="s">
        <v>11133</v>
      </c>
      <c r="AK2005" s="7" t="s">
        <v>61</v>
      </c>
      <c r="AL2005" s="7" t="s">
        <v>61</v>
      </c>
      <c r="AM2005" s="7" t="s">
        <v>0</v>
      </c>
      <c r="AN2005" s="7" t="s">
        <v>0</v>
      </c>
      <c r="AO2005" s="7" t="s">
        <v>0</v>
      </c>
      <c r="AP2005" s="7" t="s">
        <v>0</v>
      </c>
      <c r="AQ2005" s="7" t="s">
        <v>61</v>
      </c>
      <c r="AR2005" s="7" t="s">
        <v>0</v>
      </c>
      <c r="AS2005" s="10" t="str">
        <f>HYPERLINK("https://tessa.gazprom-neft.local/edo/card/dc36d4f9-89fb-4a2d-883f-529c2a1191fd", "https://tessa.gazprom-neft.local/edo/card/dc36d4f9-89fb-4a2d-883f-529c2a1191fd")</f>
        <v>https://tessa.gazprom-neft.local/edo/card/dc36d4f9-89fb-4a2d-883f-529c2a1191fd</v>
      </c>
    </row>
    <row r="2006" spans="1:45" hidden="1" x14ac:dyDescent="0.25">
      <c r="A2006" s="6" t="s">
        <v>44</v>
      </c>
      <c r="B2006" s="7" t="s">
        <v>245</v>
      </c>
      <c r="C2006" s="7" t="s">
        <v>67</v>
      </c>
      <c r="D2006" s="8">
        <v>44594</v>
      </c>
      <c r="E2006" s="8" t="s">
        <v>0</v>
      </c>
      <c r="F2006" s="16" t="s">
        <v>246</v>
      </c>
      <c r="G2006" s="7" t="s">
        <v>247</v>
      </c>
      <c r="H2006" s="7" t="s">
        <v>1822</v>
      </c>
      <c r="I2006" s="7" t="s">
        <v>0</v>
      </c>
      <c r="J2006" s="7" t="s">
        <v>1896</v>
      </c>
      <c r="K2006" s="7" t="s">
        <v>47</v>
      </c>
      <c r="L2006" s="7" t="s">
        <v>239</v>
      </c>
      <c r="M2006" s="7" t="s">
        <v>0</v>
      </c>
      <c r="N2006" s="7" t="s">
        <v>1894</v>
      </c>
      <c r="O2006" s="7" t="s">
        <v>0</v>
      </c>
      <c r="P2006" s="7" t="s">
        <v>1895</v>
      </c>
      <c r="Q2006" s="7" t="s">
        <v>1897</v>
      </c>
      <c r="R2006" s="7" t="s">
        <v>244</v>
      </c>
      <c r="S2006" s="7" t="s">
        <v>0</v>
      </c>
      <c r="T2006" s="7" t="s">
        <v>54</v>
      </c>
      <c r="U2006" s="7" t="s">
        <v>55</v>
      </c>
      <c r="V2006" s="7" t="s">
        <v>56</v>
      </c>
      <c r="W2006" s="7" t="s">
        <v>57</v>
      </c>
      <c r="X2006" s="7" t="s">
        <v>103</v>
      </c>
      <c r="Y2006" s="8">
        <v>44594</v>
      </c>
      <c r="Z2006" s="8">
        <v>44712</v>
      </c>
      <c r="AA2006" s="7" t="s">
        <v>0</v>
      </c>
      <c r="AB2006" s="7" t="s">
        <v>256</v>
      </c>
      <c r="AC2006" s="7" t="s">
        <v>79</v>
      </c>
      <c r="AD2006" s="7" t="s">
        <v>144</v>
      </c>
      <c r="AE2006" s="7" t="s">
        <v>82</v>
      </c>
      <c r="AF2006" s="7" t="s">
        <v>0</v>
      </c>
      <c r="AG2006" s="7" t="s">
        <v>0</v>
      </c>
      <c r="AH2006" s="9" t="s">
        <v>11167</v>
      </c>
      <c r="AI2006" s="9" t="s">
        <v>11168</v>
      </c>
      <c r="AJ2006" s="9" t="s">
        <v>11169</v>
      </c>
      <c r="AK2006" s="7" t="s">
        <v>61</v>
      </c>
      <c r="AL2006" s="7" t="s">
        <v>61</v>
      </c>
      <c r="AM2006" s="7" t="s">
        <v>0</v>
      </c>
      <c r="AN2006" s="7" t="s">
        <v>0</v>
      </c>
      <c r="AO2006" s="7" t="s">
        <v>0</v>
      </c>
      <c r="AP2006" s="7" t="s">
        <v>0</v>
      </c>
      <c r="AQ2006" s="7" t="s">
        <v>61</v>
      </c>
      <c r="AR2006" s="7" t="s">
        <v>0</v>
      </c>
      <c r="AS2006" s="10" t="str">
        <f>HYPERLINK("https://tessa.gazprom-neft.local/edo/card/6a12b148-4669-4829-8748-a18fdb31d2f4", "https://tessa.gazprom-neft.local/edo/card/6a12b148-4669-4829-8748-a18fdb31d2f4")</f>
        <v>https://tessa.gazprom-neft.local/edo/card/6a12b148-4669-4829-8748-a18fdb31d2f4</v>
      </c>
    </row>
    <row r="2007" spans="1:45" hidden="1" x14ac:dyDescent="0.25">
      <c r="A2007" s="6" t="s">
        <v>44</v>
      </c>
      <c r="B2007" s="7" t="s">
        <v>297</v>
      </c>
      <c r="C2007" s="7" t="s">
        <v>67</v>
      </c>
      <c r="D2007" s="8">
        <v>44593</v>
      </c>
      <c r="E2007" s="8" t="s">
        <v>0</v>
      </c>
      <c r="F2007" s="16" t="s">
        <v>298</v>
      </c>
      <c r="G2007" s="7" t="s">
        <v>299</v>
      </c>
      <c r="H2007" s="7" t="s">
        <v>0</v>
      </c>
      <c r="I2007" s="7" t="s">
        <v>995</v>
      </c>
      <c r="J2007" s="7" t="s">
        <v>995</v>
      </c>
      <c r="K2007" s="7" t="s">
        <v>47</v>
      </c>
      <c r="L2007" s="7" t="s">
        <v>96</v>
      </c>
      <c r="M2007" s="7" t="s">
        <v>0</v>
      </c>
      <c r="N2007" s="7" t="s">
        <v>994</v>
      </c>
      <c r="O2007" s="7" t="s">
        <v>0</v>
      </c>
      <c r="P2007" s="7" t="s">
        <v>366</v>
      </c>
      <c r="Q2007" s="7" t="s">
        <v>996</v>
      </c>
      <c r="R2007" s="7" t="s">
        <v>198</v>
      </c>
      <c r="S2007" s="7" t="s">
        <v>198</v>
      </c>
      <c r="T2007" s="7" t="s">
        <v>54</v>
      </c>
      <c r="U2007" s="7" t="s">
        <v>199</v>
      </c>
      <c r="V2007" s="7" t="s">
        <v>211</v>
      </c>
      <c r="W2007" s="7" t="s">
        <v>57</v>
      </c>
      <c r="X2007" s="7" t="s">
        <v>103</v>
      </c>
      <c r="Y2007" s="8">
        <v>44593</v>
      </c>
      <c r="Z2007" s="8">
        <v>44926</v>
      </c>
      <c r="AA2007" s="7" t="s">
        <v>212</v>
      </c>
      <c r="AB2007" s="7" t="s">
        <v>366</v>
      </c>
      <c r="AC2007" s="7" t="s">
        <v>79</v>
      </c>
      <c r="AD2007" s="7" t="s">
        <v>367</v>
      </c>
      <c r="AE2007" s="7" t="s">
        <v>82</v>
      </c>
      <c r="AF2007" s="7" t="s">
        <v>0</v>
      </c>
      <c r="AG2007" s="7" t="s">
        <v>0</v>
      </c>
      <c r="AH2007" s="9" t="s">
        <v>10886</v>
      </c>
      <c r="AI2007" s="9" t="s">
        <v>10887</v>
      </c>
      <c r="AJ2007" s="9" t="s">
        <v>10888</v>
      </c>
      <c r="AK2007" s="7" t="s">
        <v>61</v>
      </c>
      <c r="AL2007" s="7" t="s">
        <v>61</v>
      </c>
      <c r="AM2007" s="7" t="s">
        <v>0</v>
      </c>
      <c r="AN2007" s="7" t="s">
        <v>0</v>
      </c>
      <c r="AO2007" s="7" t="s">
        <v>0</v>
      </c>
      <c r="AP2007" s="7" t="s">
        <v>0</v>
      </c>
      <c r="AQ2007" s="7" t="s">
        <v>61</v>
      </c>
      <c r="AR2007" s="7" t="s">
        <v>0</v>
      </c>
      <c r="AS2007" s="10" t="str">
        <f>HYPERLINK("https://tessa.gazprom-neft.local/edo/card/793a9ab6-382d-44c3-8a54-9483bba85de4", "https://tessa.gazprom-neft.local/edo/card/793a9ab6-382d-44c3-8a54-9483bba85de4")</f>
        <v>https://tessa.gazprom-neft.local/edo/card/793a9ab6-382d-44c3-8a54-9483bba85de4</v>
      </c>
    </row>
    <row r="2008" spans="1:45" hidden="1" x14ac:dyDescent="0.25">
      <c r="A2008" s="6" t="s">
        <v>44</v>
      </c>
      <c r="B2008" s="7" t="s">
        <v>0</v>
      </c>
      <c r="C2008" s="7" t="s">
        <v>46</v>
      </c>
      <c r="D2008" s="8">
        <v>44593</v>
      </c>
      <c r="E2008" s="8" t="s">
        <v>0</v>
      </c>
      <c r="F2008" s="16" t="s">
        <v>1090</v>
      </c>
      <c r="G2008" s="7" t="s">
        <v>0</v>
      </c>
      <c r="H2008" s="7" t="s">
        <v>0</v>
      </c>
      <c r="I2008" s="7" t="s">
        <v>1088</v>
      </c>
      <c r="J2008" s="7" t="s">
        <v>1088</v>
      </c>
      <c r="K2008" s="7" t="s">
        <v>47</v>
      </c>
      <c r="L2008" s="7" t="s">
        <v>96</v>
      </c>
      <c r="M2008" s="7" t="s">
        <v>0</v>
      </c>
      <c r="N2008" s="7" t="s">
        <v>1087</v>
      </c>
      <c r="O2008" s="7" t="s">
        <v>0</v>
      </c>
      <c r="P2008" s="7" t="s">
        <v>1089</v>
      </c>
      <c r="Q2008" s="7" t="s">
        <v>402</v>
      </c>
      <c r="R2008" s="7" t="s">
        <v>361</v>
      </c>
      <c r="S2008" s="7" t="s">
        <v>361</v>
      </c>
      <c r="T2008" s="7" t="s">
        <v>54</v>
      </c>
      <c r="U2008" s="7" t="s">
        <v>362</v>
      </c>
      <c r="V2008" s="7" t="s">
        <v>295</v>
      </c>
      <c r="W2008" s="7" t="s">
        <v>57</v>
      </c>
      <c r="X2008" s="7" t="s">
        <v>103</v>
      </c>
      <c r="Y2008" s="8">
        <v>44593</v>
      </c>
      <c r="Z2008" s="8">
        <v>44743</v>
      </c>
      <c r="AA2008" s="7" t="s">
        <v>296</v>
      </c>
      <c r="AB2008" s="7" t="s">
        <v>366</v>
      </c>
      <c r="AC2008" s="7" t="s">
        <v>278</v>
      </c>
      <c r="AD2008" s="7" t="s">
        <v>367</v>
      </c>
      <c r="AE2008" s="7" t="s">
        <v>82</v>
      </c>
      <c r="AF2008" s="7" t="s">
        <v>0</v>
      </c>
      <c r="AG2008" s="7" t="s">
        <v>0</v>
      </c>
      <c r="AH2008" s="9" t="s">
        <v>10919</v>
      </c>
      <c r="AI2008" s="9" t="s">
        <v>10920</v>
      </c>
      <c r="AJ2008" s="9" t="s">
        <v>10921</v>
      </c>
      <c r="AK2008" s="7" t="s">
        <v>61</v>
      </c>
      <c r="AL2008" s="7" t="s">
        <v>61</v>
      </c>
      <c r="AM2008" s="7" t="s">
        <v>0</v>
      </c>
      <c r="AN2008" s="7" t="s">
        <v>0</v>
      </c>
      <c r="AO2008" s="7" t="s">
        <v>0</v>
      </c>
      <c r="AP2008" s="7" t="s">
        <v>0</v>
      </c>
      <c r="AQ2008" s="7" t="s">
        <v>61</v>
      </c>
      <c r="AR2008" s="7" t="s">
        <v>0</v>
      </c>
      <c r="AS2008" s="10" t="str">
        <f>HYPERLINK("https://tessa.gazprom-neft.local/edo/card/2f0be075-ddc7-4159-a0ae-1ada472bd2d5", "https://tessa.gazprom-neft.local/edo/card/2f0be075-ddc7-4159-a0ae-1ada472bd2d5")</f>
        <v>https://tessa.gazprom-neft.local/edo/card/2f0be075-ddc7-4159-a0ae-1ada472bd2d5</v>
      </c>
    </row>
    <row r="2009" spans="1:45" hidden="1" x14ac:dyDescent="0.25">
      <c r="A2009" s="6" t="s">
        <v>44</v>
      </c>
      <c r="B2009" s="7" t="s">
        <v>1691</v>
      </c>
      <c r="C2009" s="7" t="s">
        <v>67</v>
      </c>
      <c r="D2009" s="8">
        <v>44593</v>
      </c>
      <c r="E2009" s="8" t="s">
        <v>0</v>
      </c>
      <c r="F2009" s="16" t="s">
        <v>1692</v>
      </c>
      <c r="G2009" s="7" t="s">
        <v>1693</v>
      </c>
      <c r="H2009" s="7" t="s">
        <v>0</v>
      </c>
      <c r="I2009" s="7" t="s">
        <v>1688</v>
      </c>
      <c r="J2009" s="7" t="s">
        <v>1688</v>
      </c>
      <c r="K2009" s="7" t="s">
        <v>47</v>
      </c>
      <c r="L2009" s="7" t="s">
        <v>86</v>
      </c>
      <c r="M2009" s="7" t="s">
        <v>0</v>
      </c>
      <c r="N2009" s="7" t="s">
        <v>1687</v>
      </c>
      <c r="O2009" s="7" t="s">
        <v>0</v>
      </c>
      <c r="P2009" s="7" t="s">
        <v>1689</v>
      </c>
      <c r="Q2009" s="7" t="s">
        <v>1690</v>
      </c>
      <c r="R2009" s="7" t="s">
        <v>604</v>
      </c>
      <c r="S2009" s="7" t="s">
        <v>604</v>
      </c>
      <c r="T2009" s="7" t="s">
        <v>54</v>
      </c>
      <c r="U2009" s="7" t="s">
        <v>605</v>
      </c>
      <c r="V2009" s="7" t="s">
        <v>382</v>
      </c>
      <c r="W2009" s="7" t="s">
        <v>57</v>
      </c>
      <c r="X2009" s="7" t="s">
        <v>103</v>
      </c>
      <c r="Y2009" s="8">
        <v>44602</v>
      </c>
      <c r="Z2009" s="8">
        <v>45199</v>
      </c>
      <c r="AA2009" s="7" t="s">
        <v>383</v>
      </c>
      <c r="AB2009" s="7" t="s">
        <v>1694</v>
      </c>
      <c r="AC2009" s="7" t="s">
        <v>79</v>
      </c>
      <c r="AD2009" s="7" t="s">
        <v>80</v>
      </c>
      <c r="AE2009" s="7" t="s">
        <v>889</v>
      </c>
      <c r="AF2009" s="7" t="s">
        <v>0</v>
      </c>
      <c r="AG2009" s="7" t="s">
        <v>0</v>
      </c>
      <c r="AH2009" s="9" t="s">
        <v>11093</v>
      </c>
      <c r="AI2009" s="9" t="s">
        <v>11093</v>
      </c>
      <c r="AJ2009" s="9">
        <v>0</v>
      </c>
      <c r="AK2009" s="7" t="s">
        <v>61</v>
      </c>
      <c r="AL2009" s="7" t="s">
        <v>61</v>
      </c>
      <c r="AM2009" s="7" t="s">
        <v>0</v>
      </c>
      <c r="AN2009" s="7" t="s">
        <v>0</v>
      </c>
      <c r="AO2009" s="7" t="s">
        <v>0</v>
      </c>
      <c r="AP2009" s="7" t="s">
        <v>0</v>
      </c>
      <c r="AQ2009" s="7" t="s">
        <v>61</v>
      </c>
      <c r="AR2009" s="7" t="s">
        <v>0</v>
      </c>
      <c r="AS2009" s="10" t="str">
        <f>HYPERLINK("https://tessa.gazprom-neft.local/edo/card/52867a60-c326-47f3-b4ea-5cb33d0c70c7", "https://tessa.gazprom-neft.local/edo/card/52867a60-c326-47f3-b4ea-5cb33d0c70c7")</f>
        <v>https://tessa.gazprom-neft.local/edo/card/52867a60-c326-47f3-b4ea-5cb33d0c70c7</v>
      </c>
    </row>
    <row r="2010" spans="1:45" hidden="1" x14ac:dyDescent="0.25">
      <c r="A2010" s="6" t="s">
        <v>44</v>
      </c>
      <c r="B2010" s="7" t="s">
        <v>245</v>
      </c>
      <c r="C2010" s="7" t="s">
        <v>67</v>
      </c>
      <c r="D2010" s="8">
        <v>44593</v>
      </c>
      <c r="E2010" s="8" t="s">
        <v>0</v>
      </c>
      <c r="F2010" s="16" t="s">
        <v>246</v>
      </c>
      <c r="G2010" s="7" t="s">
        <v>247</v>
      </c>
      <c r="H2010" s="7" t="s">
        <v>574</v>
      </c>
      <c r="I2010" s="7" t="s">
        <v>0</v>
      </c>
      <c r="J2010" s="7" t="s">
        <v>1789</v>
      </c>
      <c r="K2010" s="7" t="s">
        <v>47</v>
      </c>
      <c r="L2010" s="7" t="s">
        <v>239</v>
      </c>
      <c r="M2010" s="7" t="s">
        <v>0</v>
      </c>
      <c r="N2010" s="7" t="s">
        <v>1787</v>
      </c>
      <c r="O2010" s="7" t="s">
        <v>0</v>
      </c>
      <c r="P2010" s="7" t="s">
        <v>1788</v>
      </c>
      <c r="Q2010" s="7" t="s">
        <v>1790</v>
      </c>
      <c r="R2010" s="7" t="s">
        <v>1791</v>
      </c>
      <c r="S2010" s="7" t="s">
        <v>1791</v>
      </c>
      <c r="T2010" s="7" t="s">
        <v>54</v>
      </c>
      <c r="U2010" s="7" t="s">
        <v>1792</v>
      </c>
      <c r="V2010" s="7" t="s">
        <v>846</v>
      </c>
      <c r="W2010" s="7" t="s">
        <v>57</v>
      </c>
      <c r="X2010" s="7" t="s">
        <v>103</v>
      </c>
      <c r="Y2010" s="8">
        <v>44593</v>
      </c>
      <c r="Z2010" s="8">
        <v>45022</v>
      </c>
      <c r="AA2010" s="7" t="s">
        <v>1639</v>
      </c>
      <c r="AB2010" s="7" t="s">
        <v>256</v>
      </c>
      <c r="AC2010" s="7" t="s">
        <v>79</v>
      </c>
      <c r="AD2010" s="7" t="s">
        <v>144</v>
      </c>
      <c r="AE2010" s="7" t="s">
        <v>82</v>
      </c>
      <c r="AF2010" s="7" t="s">
        <v>0</v>
      </c>
      <c r="AG2010" s="7" t="s">
        <v>0</v>
      </c>
      <c r="AH2010" s="9" t="s">
        <v>11122</v>
      </c>
      <c r="AI2010" s="9" t="s">
        <v>11123</v>
      </c>
      <c r="AJ2010" s="9" t="s">
        <v>11124</v>
      </c>
      <c r="AK2010" s="7" t="s">
        <v>61</v>
      </c>
      <c r="AL2010" s="7" t="s">
        <v>61</v>
      </c>
      <c r="AM2010" s="7" t="s">
        <v>0</v>
      </c>
      <c r="AN2010" s="7" t="s">
        <v>0</v>
      </c>
      <c r="AO2010" s="7" t="s">
        <v>0</v>
      </c>
      <c r="AP2010" s="7" t="s">
        <v>0</v>
      </c>
      <c r="AQ2010" s="7" t="s">
        <v>61</v>
      </c>
      <c r="AR2010" s="7" t="s">
        <v>0</v>
      </c>
      <c r="AS2010" s="10" t="str">
        <f>HYPERLINK("https://tessa.gazprom-neft.local/edo/card/22724cff-3ecb-424c-8d08-2664cbc17b63", "https://tessa.gazprom-neft.local/edo/card/22724cff-3ecb-424c-8d08-2664cbc17b63")</f>
        <v>https://tessa.gazprom-neft.local/edo/card/22724cff-3ecb-424c-8d08-2664cbc17b63</v>
      </c>
    </row>
    <row r="2011" spans="1:45" x14ac:dyDescent="0.25">
      <c r="A2011" s="6" t="s">
        <v>44</v>
      </c>
      <c r="B2011" s="7" t="s">
        <v>410</v>
      </c>
      <c r="C2011" s="7" t="s">
        <v>67</v>
      </c>
      <c r="D2011" s="8">
        <v>44593</v>
      </c>
      <c r="E2011" s="8" t="s">
        <v>0</v>
      </c>
      <c r="F2011" s="16" t="s">
        <v>411</v>
      </c>
      <c r="G2011" s="7" t="s">
        <v>412</v>
      </c>
      <c r="H2011" s="7" t="s">
        <v>2245</v>
      </c>
      <c r="I2011" s="7" t="s">
        <v>0</v>
      </c>
      <c r="J2011" s="7" t="s">
        <v>51</v>
      </c>
      <c r="K2011" s="7" t="s">
        <v>47</v>
      </c>
      <c r="L2011" s="7" t="s">
        <v>48</v>
      </c>
      <c r="M2011" s="7" t="s">
        <v>0</v>
      </c>
      <c r="N2011" s="7" t="s">
        <v>2244</v>
      </c>
      <c r="O2011" s="7" t="s">
        <v>0</v>
      </c>
      <c r="P2011" s="7" t="s">
        <v>2246</v>
      </c>
      <c r="Q2011" s="7" t="s">
        <v>2247</v>
      </c>
      <c r="R2011" s="7" t="s">
        <v>427</v>
      </c>
      <c r="S2011" s="7" t="s">
        <v>0</v>
      </c>
      <c r="T2011" s="7" t="s">
        <v>54</v>
      </c>
      <c r="U2011" s="7" t="s">
        <v>428</v>
      </c>
      <c r="V2011" s="7" t="s">
        <v>340</v>
      </c>
      <c r="W2011" s="7" t="s">
        <v>57</v>
      </c>
      <c r="X2011" s="7" t="s">
        <v>103</v>
      </c>
      <c r="Y2011" s="8">
        <v>44593</v>
      </c>
      <c r="Z2011" s="8">
        <v>45291</v>
      </c>
      <c r="AA2011" s="7" t="s">
        <v>341</v>
      </c>
      <c r="AB2011" s="7" t="s">
        <v>64</v>
      </c>
      <c r="AC2011" s="7" t="s">
        <v>79</v>
      </c>
      <c r="AD2011" s="7" t="s">
        <v>80</v>
      </c>
      <c r="AE2011" s="7" t="s">
        <v>82</v>
      </c>
      <c r="AF2011" s="7" t="s">
        <v>0</v>
      </c>
      <c r="AG2011" s="7" t="s">
        <v>0</v>
      </c>
      <c r="AH2011" s="9" t="s">
        <v>11293</v>
      </c>
      <c r="AI2011" s="9" t="s">
        <v>11294</v>
      </c>
      <c r="AJ2011" s="9" t="s">
        <v>11295</v>
      </c>
      <c r="AK2011" s="7" t="s">
        <v>61</v>
      </c>
      <c r="AL2011" s="7" t="s">
        <v>61</v>
      </c>
      <c r="AM2011" s="7" t="s">
        <v>0</v>
      </c>
      <c r="AN2011" s="7" t="s">
        <v>0</v>
      </c>
      <c r="AO2011" s="7" t="s">
        <v>0</v>
      </c>
      <c r="AP2011" s="7" t="s">
        <v>0</v>
      </c>
      <c r="AQ2011" s="7" t="s">
        <v>61</v>
      </c>
      <c r="AR2011" s="7" t="s">
        <v>0</v>
      </c>
      <c r="AS2011" s="10" t="str">
        <f>HYPERLINK("https://tessa.gazprom-neft.local/edo/card/af4cb8df-eaab-4e9f-88bd-89a5be5de173", "https://tessa.gazprom-neft.local/edo/card/af4cb8df-eaab-4e9f-88bd-89a5be5de173")</f>
        <v>https://tessa.gazprom-neft.local/edo/card/af4cb8df-eaab-4e9f-88bd-89a5be5de173</v>
      </c>
    </row>
    <row r="2012" spans="1:45" x14ac:dyDescent="0.25">
      <c r="A2012" s="6" t="s">
        <v>44</v>
      </c>
      <c r="B2012" s="7" t="s">
        <v>0</v>
      </c>
      <c r="C2012" s="7" t="s">
        <v>46</v>
      </c>
      <c r="D2012" s="8">
        <v>44593</v>
      </c>
      <c r="E2012" s="8" t="s">
        <v>0</v>
      </c>
      <c r="F2012" s="16" t="s">
        <v>2323</v>
      </c>
      <c r="G2012" s="7" t="s">
        <v>0</v>
      </c>
      <c r="H2012" s="7" t="s">
        <v>2321</v>
      </c>
      <c r="I2012" s="7" t="s">
        <v>0</v>
      </c>
      <c r="J2012" s="7" t="s">
        <v>51</v>
      </c>
      <c r="K2012" s="7" t="s">
        <v>47</v>
      </c>
      <c r="L2012" s="7" t="s">
        <v>48</v>
      </c>
      <c r="M2012" s="7" t="s">
        <v>0</v>
      </c>
      <c r="N2012" s="7" t="s">
        <v>2320</v>
      </c>
      <c r="O2012" s="7" t="s">
        <v>0</v>
      </c>
      <c r="P2012" s="7" t="s">
        <v>50</v>
      </c>
      <c r="Q2012" s="7" t="s">
        <v>2322</v>
      </c>
      <c r="R2012" s="7" t="s">
        <v>1083</v>
      </c>
      <c r="S2012" s="7" t="s">
        <v>1519</v>
      </c>
      <c r="T2012" s="7" t="s">
        <v>54</v>
      </c>
      <c r="U2012" s="7" t="s">
        <v>274</v>
      </c>
      <c r="V2012" s="7" t="s">
        <v>56</v>
      </c>
      <c r="W2012" s="7" t="s">
        <v>57</v>
      </c>
      <c r="X2012" s="7" t="s">
        <v>103</v>
      </c>
      <c r="Y2012" s="8">
        <v>44593</v>
      </c>
      <c r="Z2012" s="8">
        <v>44926</v>
      </c>
      <c r="AA2012" s="7" t="s">
        <v>0</v>
      </c>
      <c r="AB2012" s="7" t="s">
        <v>64</v>
      </c>
      <c r="AC2012" s="7" t="s">
        <v>278</v>
      </c>
      <c r="AD2012" s="7" t="s">
        <v>80</v>
      </c>
      <c r="AE2012" s="7" t="s">
        <v>82</v>
      </c>
      <c r="AF2012" s="7" t="s">
        <v>0</v>
      </c>
      <c r="AG2012" s="7" t="s">
        <v>0</v>
      </c>
      <c r="AH2012" s="9" t="s">
        <v>11318</v>
      </c>
      <c r="AI2012" s="9" t="s">
        <v>11319</v>
      </c>
      <c r="AJ2012" s="9" t="s">
        <v>11320</v>
      </c>
      <c r="AK2012" s="7" t="s">
        <v>61</v>
      </c>
      <c r="AL2012" s="7" t="s">
        <v>61</v>
      </c>
      <c r="AM2012" s="7" t="s">
        <v>0</v>
      </c>
      <c r="AN2012" s="7" t="s">
        <v>0</v>
      </c>
      <c r="AO2012" s="7" t="s">
        <v>0</v>
      </c>
      <c r="AP2012" s="7" t="s">
        <v>0</v>
      </c>
      <c r="AQ2012" s="7" t="s">
        <v>61</v>
      </c>
      <c r="AR2012" s="7" t="s">
        <v>0</v>
      </c>
      <c r="AS2012" s="10" t="str">
        <f>HYPERLINK("https://tessa.gazprom-neft.local/edo/card/2bf82415-adf5-4324-b523-e2e2aad18570", "https://tessa.gazprom-neft.local/edo/card/2bf82415-adf5-4324-b523-e2e2aad18570")</f>
        <v>https://tessa.gazprom-neft.local/edo/card/2bf82415-adf5-4324-b523-e2e2aad18570</v>
      </c>
    </row>
    <row r="2013" spans="1:45" x14ac:dyDescent="0.25">
      <c r="A2013" s="6" t="s">
        <v>44</v>
      </c>
      <c r="B2013" s="7" t="s">
        <v>436</v>
      </c>
      <c r="C2013" s="7" t="s">
        <v>67</v>
      </c>
      <c r="D2013" s="8">
        <v>44593</v>
      </c>
      <c r="E2013" s="8" t="s">
        <v>0</v>
      </c>
      <c r="F2013" s="16" t="s">
        <v>437</v>
      </c>
      <c r="G2013" s="7" t="s">
        <v>438</v>
      </c>
      <c r="H2013" s="7" t="s">
        <v>2614</v>
      </c>
      <c r="I2013" s="7" t="s">
        <v>0</v>
      </c>
      <c r="J2013" s="7" t="s">
        <v>2616</v>
      </c>
      <c r="K2013" s="7" t="s">
        <v>47</v>
      </c>
      <c r="L2013" s="7" t="s">
        <v>48</v>
      </c>
      <c r="M2013" s="7" t="s">
        <v>0</v>
      </c>
      <c r="N2013" s="7" t="s">
        <v>2613</v>
      </c>
      <c r="O2013" s="7" t="s">
        <v>0</v>
      </c>
      <c r="P2013" s="7" t="s">
        <v>2615</v>
      </c>
      <c r="Q2013" s="7" t="s">
        <v>2617</v>
      </c>
      <c r="R2013" s="7" t="s">
        <v>1586</v>
      </c>
      <c r="S2013" s="7" t="s">
        <v>0</v>
      </c>
      <c r="T2013" s="7" t="s">
        <v>54</v>
      </c>
      <c r="U2013" s="7" t="s">
        <v>428</v>
      </c>
      <c r="V2013" s="7" t="s">
        <v>340</v>
      </c>
      <c r="W2013" s="7" t="s">
        <v>57</v>
      </c>
      <c r="X2013" s="7" t="s">
        <v>58</v>
      </c>
      <c r="Y2013" s="8">
        <v>44593</v>
      </c>
      <c r="Z2013" s="8" t="s">
        <v>0</v>
      </c>
      <c r="AA2013" s="7" t="s">
        <v>341</v>
      </c>
      <c r="AB2013" s="7" t="s">
        <v>2618</v>
      </c>
      <c r="AC2013" s="7" t="s">
        <v>65</v>
      </c>
      <c r="AD2013" s="7" t="s">
        <v>0</v>
      </c>
      <c r="AE2013" s="7" t="s">
        <v>0</v>
      </c>
      <c r="AF2013" s="7" t="s">
        <v>0</v>
      </c>
      <c r="AG2013" s="7" t="s">
        <v>0</v>
      </c>
      <c r="AH2013" s="9" t="s">
        <v>0</v>
      </c>
      <c r="AI2013" s="9" t="s">
        <v>0</v>
      </c>
      <c r="AJ2013" s="9" t="s">
        <v>0</v>
      </c>
      <c r="AK2013" s="7" t="s">
        <v>61</v>
      </c>
      <c r="AL2013" s="7" t="s">
        <v>61</v>
      </c>
      <c r="AM2013" s="7" t="s">
        <v>0</v>
      </c>
      <c r="AN2013" s="7" t="s">
        <v>0</v>
      </c>
      <c r="AO2013" s="7" t="s">
        <v>0</v>
      </c>
      <c r="AP2013" s="7" t="s">
        <v>0</v>
      </c>
      <c r="AQ2013" s="7" t="s">
        <v>61</v>
      </c>
      <c r="AR2013" s="7" t="s">
        <v>0</v>
      </c>
      <c r="AS2013" s="10" t="str">
        <f>HYPERLINK("https://tessa.gazprom-neft.local/edo/card/c6e07ccf-ad91-4b47-a35b-809bc849340e", "https://tessa.gazprom-neft.local/edo/card/c6e07ccf-ad91-4b47-a35b-809bc849340e")</f>
        <v>https://tessa.gazprom-neft.local/edo/card/c6e07ccf-ad91-4b47-a35b-809bc849340e</v>
      </c>
    </row>
    <row r="2014" spans="1:45" x14ac:dyDescent="0.25">
      <c r="A2014" s="6" t="s">
        <v>44</v>
      </c>
      <c r="B2014" s="7" t="s">
        <v>1386</v>
      </c>
      <c r="C2014" s="7" t="s">
        <v>67</v>
      </c>
      <c r="D2014" s="8">
        <v>44593</v>
      </c>
      <c r="E2014" s="8" t="s">
        <v>0</v>
      </c>
      <c r="F2014" s="16" t="s">
        <v>1387</v>
      </c>
      <c r="G2014" s="7" t="s">
        <v>1388</v>
      </c>
      <c r="H2014" s="7" t="s">
        <v>2699</v>
      </c>
      <c r="I2014" s="7" t="s">
        <v>0</v>
      </c>
      <c r="J2014" s="7" t="s">
        <v>51</v>
      </c>
      <c r="K2014" s="7" t="s">
        <v>47</v>
      </c>
      <c r="L2014" s="7" t="s">
        <v>48</v>
      </c>
      <c r="M2014" s="7" t="s">
        <v>0</v>
      </c>
      <c r="N2014" s="7" t="s">
        <v>2698</v>
      </c>
      <c r="O2014" s="7" t="s">
        <v>0</v>
      </c>
      <c r="P2014" s="7" t="s">
        <v>2700</v>
      </c>
      <c r="Q2014" s="7" t="s">
        <v>2701</v>
      </c>
      <c r="R2014" s="7" t="s">
        <v>2702</v>
      </c>
      <c r="S2014" s="7" t="s">
        <v>2702</v>
      </c>
      <c r="T2014" s="7" t="s">
        <v>54</v>
      </c>
      <c r="U2014" s="7" t="s">
        <v>1464</v>
      </c>
      <c r="V2014" s="7" t="s">
        <v>864</v>
      </c>
      <c r="W2014" s="7" t="s">
        <v>57</v>
      </c>
      <c r="X2014" s="7" t="s">
        <v>103</v>
      </c>
      <c r="Y2014" s="8">
        <v>44593</v>
      </c>
      <c r="Z2014" s="8">
        <v>44926</v>
      </c>
      <c r="AA2014" s="7" t="s">
        <v>1343</v>
      </c>
      <c r="AB2014" s="7" t="s">
        <v>64</v>
      </c>
      <c r="AC2014" s="7" t="s">
        <v>65</v>
      </c>
      <c r="AD2014" s="7" t="s">
        <v>0</v>
      </c>
      <c r="AE2014" s="7" t="s">
        <v>0</v>
      </c>
      <c r="AF2014" s="7" t="s">
        <v>0</v>
      </c>
      <c r="AG2014" s="7" t="s">
        <v>0</v>
      </c>
      <c r="AH2014" s="9" t="s">
        <v>0</v>
      </c>
      <c r="AI2014" s="9" t="s">
        <v>0</v>
      </c>
      <c r="AJ2014" s="9" t="s">
        <v>0</v>
      </c>
      <c r="AK2014" s="7" t="s">
        <v>61</v>
      </c>
      <c r="AL2014" s="7" t="s">
        <v>61</v>
      </c>
      <c r="AM2014" s="7" t="s">
        <v>0</v>
      </c>
      <c r="AN2014" s="7" t="s">
        <v>0</v>
      </c>
      <c r="AO2014" s="7" t="s">
        <v>0</v>
      </c>
      <c r="AP2014" s="7" t="s">
        <v>0</v>
      </c>
      <c r="AQ2014" s="7" t="s">
        <v>61</v>
      </c>
      <c r="AR2014" s="7" t="s">
        <v>0</v>
      </c>
      <c r="AS2014" s="10" t="str">
        <f>HYPERLINK("https://tessa.gazprom-neft.local/edo/card/6e0dff7d-37a1-420b-9747-fcb571fca153", "https://tessa.gazprom-neft.local/edo/card/6e0dff7d-37a1-420b-9747-fcb571fca153")</f>
        <v>https://tessa.gazprom-neft.local/edo/card/6e0dff7d-37a1-420b-9747-fcb571fca153</v>
      </c>
    </row>
    <row r="2015" spans="1:45" hidden="1" x14ac:dyDescent="0.25">
      <c r="A2015" s="6" t="s">
        <v>44</v>
      </c>
      <c r="B2015" s="7" t="s">
        <v>170</v>
      </c>
      <c r="C2015" s="7" t="s">
        <v>67</v>
      </c>
      <c r="D2015" s="8">
        <v>44591</v>
      </c>
      <c r="E2015" s="8" t="s">
        <v>0</v>
      </c>
      <c r="F2015" s="16" t="s">
        <v>171</v>
      </c>
      <c r="G2015" s="7" t="s">
        <v>172</v>
      </c>
      <c r="H2015" s="7" t="s">
        <v>1046</v>
      </c>
      <c r="I2015" s="7" t="s">
        <v>0</v>
      </c>
      <c r="J2015" s="7" t="s">
        <v>70</v>
      </c>
      <c r="K2015" s="7" t="s">
        <v>47</v>
      </c>
      <c r="L2015" s="7" t="s">
        <v>239</v>
      </c>
      <c r="M2015" s="7" t="s">
        <v>0</v>
      </c>
      <c r="N2015" s="7" t="s">
        <v>1045</v>
      </c>
      <c r="O2015" s="7" t="s">
        <v>0</v>
      </c>
      <c r="P2015" s="7" t="s">
        <v>1047</v>
      </c>
      <c r="Q2015" s="7" t="s">
        <v>1048</v>
      </c>
      <c r="R2015" s="7" t="s">
        <v>166</v>
      </c>
      <c r="S2015" s="7" t="s">
        <v>166</v>
      </c>
      <c r="T2015" s="7" t="s">
        <v>54</v>
      </c>
      <c r="U2015" s="7" t="s">
        <v>167</v>
      </c>
      <c r="V2015" s="7" t="s">
        <v>137</v>
      </c>
      <c r="W2015" s="7" t="s">
        <v>57</v>
      </c>
      <c r="X2015" s="7" t="s">
        <v>103</v>
      </c>
      <c r="Y2015" s="8">
        <v>44591</v>
      </c>
      <c r="Z2015" s="8">
        <v>44620</v>
      </c>
      <c r="AA2015" s="7" t="s">
        <v>0</v>
      </c>
      <c r="AB2015" s="7" t="s">
        <v>1049</v>
      </c>
      <c r="AC2015" s="7" t="s">
        <v>79</v>
      </c>
      <c r="AD2015" s="7" t="s">
        <v>80</v>
      </c>
      <c r="AE2015" s="7" t="s">
        <v>82</v>
      </c>
      <c r="AF2015" s="7" t="s">
        <v>0</v>
      </c>
      <c r="AG2015" s="7" t="s">
        <v>0</v>
      </c>
      <c r="AH2015" s="9" t="s">
        <v>10907</v>
      </c>
      <c r="AI2015" s="9" t="s">
        <v>10908</v>
      </c>
      <c r="AJ2015" s="9" t="s">
        <v>10909</v>
      </c>
      <c r="AK2015" s="7" t="s">
        <v>61</v>
      </c>
      <c r="AL2015" s="7" t="s">
        <v>61</v>
      </c>
      <c r="AM2015" s="7" t="s">
        <v>0</v>
      </c>
      <c r="AN2015" s="7" t="s">
        <v>0</v>
      </c>
      <c r="AO2015" s="7" t="s">
        <v>0</v>
      </c>
      <c r="AP2015" s="7" t="s">
        <v>0</v>
      </c>
      <c r="AQ2015" s="7" t="s">
        <v>61</v>
      </c>
      <c r="AR2015" s="7" t="s">
        <v>0</v>
      </c>
      <c r="AS2015" s="10" t="str">
        <f>HYPERLINK("https://tessa.gazprom-neft.local/edo/card/7dd203e9-d289-4bac-9b28-961fbe4825ca", "https://tessa.gazprom-neft.local/edo/card/7dd203e9-d289-4bac-9b28-961fbe4825ca")</f>
        <v>https://tessa.gazprom-neft.local/edo/card/7dd203e9-d289-4bac-9b28-961fbe4825ca</v>
      </c>
    </row>
    <row r="2016" spans="1:45" hidden="1" x14ac:dyDescent="0.25">
      <c r="A2016" s="6" t="s">
        <v>44</v>
      </c>
      <c r="B2016" s="7" t="s">
        <v>964</v>
      </c>
      <c r="C2016" s="7" t="s">
        <v>46</v>
      </c>
      <c r="D2016" s="8">
        <v>44589</v>
      </c>
      <c r="E2016" s="8" t="s">
        <v>0</v>
      </c>
      <c r="F2016" s="16" t="s">
        <v>965</v>
      </c>
      <c r="G2016" s="7" t="s">
        <v>966</v>
      </c>
      <c r="H2016" s="7" t="s">
        <v>0</v>
      </c>
      <c r="I2016" s="7" t="s">
        <v>1210</v>
      </c>
      <c r="J2016" s="7" t="s">
        <v>1210</v>
      </c>
      <c r="K2016" s="7" t="s">
        <v>47</v>
      </c>
      <c r="L2016" s="7" t="s">
        <v>96</v>
      </c>
      <c r="M2016" s="7" t="s">
        <v>0</v>
      </c>
      <c r="N2016" s="7" t="s">
        <v>1209</v>
      </c>
      <c r="O2016" s="7" t="s">
        <v>0</v>
      </c>
      <c r="P2016" s="7" t="s">
        <v>1121</v>
      </c>
      <c r="Q2016" s="7" t="s">
        <v>1211</v>
      </c>
      <c r="R2016" s="7" t="s">
        <v>293</v>
      </c>
      <c r="S2016" s="7" t="s">
        <v>293</v>
      </c>
      <c r="T2016" s="7" t="s">
        <v>54</v>
      </c>
      <c r="U2016" s="7" t="s">
        <v>294</v>
      </c>
      <c r="V2016" s="7" t="s">
        <v>295</v>
      </c>
      <c r="W2016" s="7" t="s">
        <v>57</v>
      </c>
      <c r="X2016" s="7" t="s">
        <v>103</v>
      </c>
      <c r="Y2016" s="8">
        <v>44620</v>
      </c>
      <c r="Z2016" s="8">
        <v>44926</v>
      </c>
      <c r="AA2016" s="7" t="s">
        <v>296</v>
      </c>
      <c r="AB2016" s="7" t="s">
        <v>500</v>
      </c>
      <c r="AC2016" s="7" t="s">
        <v>278</v>
      </c>
      <c r="AD2016" s="7" t="s">
        <v>80</v>
      </c>
      <c r="AE2016" s="7" t="s">
        <v>82</v>
      </c>
      <c r="AF2016" s="7" t="s">
        <v>0</v>
      </c>
      <c r="AG2016" s="7" t="s">
        <v>0</v>
      </c>
      <c r="AH2016" s="9" t="s">
        <v>10955</v>
      </c>
      <c r="AI2016" s="9" t="s">
        <v>10956</v>
      </c>
      <c r="AJ2016" s="9" t="s">
        <v>10957</v>
      </c>
      <c r="AK2016" s="7" t="s">
        <v>61</v>
      </c>
      <c r="AL2016" s="7" t="s">
        <v>61</v>
      </c>
      <c r="AM2016" s="7" t="s">
        <v>0</v>
      </c>
      <c r="AN2016" s="7" t="s">
        <v>0</v>
      </c>
      <c r="AO2016" s="7" t="s">
        <v>0</v>
      </c>
      <c r="AP2016" s="7" t="s">
        <v>0</v>
      </c>
      <c r="AQ2016" s="7" t="s">
        <v>61</v>
      </c>
      <c r="AR2016" s="7" t="s">
        <v>0</v>
      </c>
      <c r="AS2016" s="10" t="str">
        <f>HYPERLINK("https://tessa.gazprom-neft.local/edo/card/2a0a2ac1-1a9e-4039-ab65-c4243ed98abc", "https://tessa.gazprom-neft.local/edo/card/2a0a2ac1-1a9e-4039-ab65-c4243ed98abc")</f>
        <v>https://tessa.gazprom-neft.local/edo/card/2a0a2ac1-1a9e-4039-ab65-c4243ed98abc</v>
      </c>
    </row>
    <row r="2017" spans="1:45" x14ac:dyDescent="0.25">
      <c r="A2017" s="6" t="s">
        <v>44</v>
      </c>
      <c r="B2017" s="7" t="s">
        <v>964</v>
      </c>
      <c r="C2017" s="7" t="s">
        <v>46</v>
      </c>
      <c r="D2017" s="8">
        <v>44589</v>
      </c>
      <c r="E2017" s="8" t="s">
        <v>0</v>
      </c>
      <c r="F2017" s="16" t="s">
        <v>965</v>
      </c>
      <c r="G2017" s="7" t="s">
        <v>966</v>
      </c>
      <c r="H2017" s="7" t="s">
        <v>1210</v>
      </c>
      <c r="I2017" s="7" t="s">
        <v>0</v>
      </c>
      <c r="J2017" s="7" t="s">
        <v>51</v>
      </c>
      <c r="K2017" s="7" t="s">
        <v>47</v>
      </c>
      <c r="L2017" s="7" t="s">
        <v>48</v>
      </c>
      <c r="M2017" s="7" t="s">
        <v>0</v>
      </c>
      <c r="N2017" s="7" t="s">
        <v>1850</v>
      </c>
      <c r="O2017" s="7" t="s">
        <v>0</v>
      </c>
      <c r="P2017" s="7" t="s">
        <v>1851</v>
      </c>
      <c r="Q2017" s="7" t="s">
        <v>1852</v>
      </c>
      <c r="R2017" s="7" t="s">
        <v>293</v>
      </c>
      <c r="S2017" s="7" t="s">
        <v>293</v>
      </c>
      <c r="T2017" s="7" t="s">
        <v>54</v>
      </c>
      <c r="U2017" s="7" t="s">
        <v>362</v>
      </c>
      <c r="V2017" s="7" t="s">
        <v>295</v>
      </c>
      <c r="W2017" s="7" t="s">
        <v>57</v>
      </c>
      <c r="X2017" s="7" t="s">
        <v>103</v>
      </c>
      <c r="Y2017" s="8">
        <v>44620</v>
      </c>
      <c r="Z2017" s="8">
        <v>44926</v>
      </c>
      <c r="AA2017" s="7" t="s">
        <v>296</v>
      </c>
      <c r="AB2017" s="7" t="s">
        <v>500</v>
      </c>
      <c r="AC2017" s="7" t="s">
        <v>65</v>
      </c>
      <c r="AD2017" s="7" t="s">
        <v>0</v>
      </c>
      <c r="AE2017" s="7" t="s">
        <v>0</v>
      </c>
      <c r="AF2017" s="7" t="s">
        <v>0</v>
      </c>
      <c r="AG2017" s="7" t="s">
        <v>0</v>
      </c>
      <c r="AH2017" s="9" t="s">
        <v>0</v>
      </c>
      <c r="AI2017" s="9" t="s">
        <v>0</v>
      </c>
      <c r="AJ2017" s="9" t="s">
        <v>0</v>
      </c>
      <c r="AK2017" s="7" t="s">
        <v>61</v>
      </c>
      <c r="AL2017" s="7" t="s">
        <v>61</v>
      </c>
      <c r="AM2017" s="7" t="s">
        <v>0</v>
      </c>
      <c r="AN2017" s="7" t="s">
        <v>0</v>
      </c>
      <c r="AO2017" s="7" t="s">
        <v>0</v>
      </c>
      <c r="AP2017" s="7" t="s">
        <v>0</v>
      </c>
      <c r="AQ2017" s="7" t="s">
        <v>61</v>
      </c>
      <c r="AR2017" s="7" t="s">
        <v>0</v>
      </c>
      <c r="AS2017" s="10" t="str">
        <f>HYPERLINK("https://tessa.gazprom-neft.local/edo/card/96677fde-cc68-41d1-a311-b93b5f0bba3e", "https://tessa.gazprom-neft.local/edo/card/96677fde-cc68-41d1-a311-b93b5f0bba3e")</f>
        <v>https://tessa.gazprom-neft.local/edo/card/96677fde-cc68-41d1-a311-b93b5f0bba3e</v>
      </c>
    </row>
    <row r="2018" spans="1:45" x14ac:dyDescent="0.25">
      <c r="A2018" s="6" t="s">
        <v>44</v>
      </c>
      <c r="B2018" s="7" t="s">
        <v>964</v>
      </c>
      <c r="C2018" s="7" t="s">
        <v>46</v>
      </c>
      <c r="D2018" s="8">
        <v>44589</v>
      </c>
      <c r="E2018" s="8" t="s">
        <v>0</v>
      </c>
      <c r="F2018" s="16" t="s">
        <v>965</v>
      </c>
      <c r="G2018" s="7" t="s">
        <v>966</v>
      </c>
      <c r="H2018" s="7" t="s">
        <v>1210</v>
      </c>
      <c r="I2018" s="7" t="s">
        <v>0</v>
      </c>
      <c r="J2018" s="7" t="s">
        <v>271</v>
      </c>
      <c r="K2018" s="7" t="s">
        <v>47</v>
      </c>
      <c r="L2018" s="7" t="s">
        <v>48</v>
      </c>
      <c r="M2018" s="7" t="s">
        <v>0</v>
      </c>
      <c r="N2018" s="7" t="s">
        <v>4589</v>
      </c>
      <c r="O2018" s="7" t="s">
        <v>0</v>
      </c>
      <c r="P2018" s="7" t="s">
        <v>4590</v>
      </c>
      <c r="Q2018" s="7" t="s">
        <v>4591</v>
      </c>
      <c r="R2018" s="7" t="s">
        <v>293</v>
      </c>
      <c r="S2018" s="7" t="s">
        <v>0</v>
      </c>
      <c r="T2018" s="7" t="s">
        <v>54</v>
      </c>
      <c r="U2018" s="7" t="s">
        <v>362</v>
      </c>
      <c r="V2018" s="7" t="s">
        <v>295</v>
      </c>
      <c r="W2018" s="7" t="s">
        <v>57</v>
      </c>
      <c r="X2018" s="7" t="s">
        <v>103</v>
      </c>
      <c r="Y2018" s="8">
        <v>44589</v>
      </c>
      <c r="Z2018" s="8">
        <v>44926</v>
      </c>
      <c r="AA2018" s="7" t="s">
        <v>296</v>
      </c>
      <c r="AB2018" s="7" t="s">
        <v>500</v>
      </c>
      <c r="AC2018" s="7" t="s">
        <v>65</v>
      </c>
      <c r="AD2018" s="7" t="s">
        <v>80</v>
      </c>
      <c r="AE2018" s="7" t="s">
        <v>0</v>
      </c>
      <c r="AF2018" s="7" t="s">
        <v>0</v>
      </c>
      <c r="AG2018" s="7" t="s">
        <v>0</v>
      </c>
      <c r="AH2018" s="9" t="s">
        <v>0</v>
      </c>
      <c r="AI2018" s="9" t="s">
        <v>0</v>
      </c>
      <c r="AJ2018" s="9" t="s">
        <v>0</v>
      </c>
      <c r="AK2018" s="7" t="s">
        <v>61</v>
      </c>
      <c r="AL2018" s="7" t="s">
        <v>61</v>
      </c>
      <c r="AM2018" s="7" t="s">
        <v>0</v>
      </c>
      <c r="AN2018" s="7" t="s">
        <v>0</v>
      </c>
      <c r="AO2018" s="7" t="s">
        <v>0</v>
      </c>
      <c r="AP2018" s="7" t="s">
        <v>0</v>
      </c>
      <c r="AQ2018" s="7" t="s">
        <v>61</v>
      </c>
      <c r="AR2018" s="7" t="s">
        <v>0</v>
      </c>
      <c r="AS2018" s="10" t="str">
        <f>HYPERLINK("https://tessa.gazprom-neft.local/edo/card/36935f0d-6223-4b69-a31e-bf0f0f2da4aa", "https://tessa.gazprom-neft.local/edo/card/36935f0d-6223-4b69-a31e-bf0f0f2da4aa")</f>
        <v>https://tessa.gazprom-neft.local/edo/card/36935f0d-6223-4b69-a31e-bf0f0f2da4aa</v>
      </c>
    </row>
    <row r="2019" spans="1:45" hidden="1" x14ac:dyDescent="0.25">
      <c r="A2019" s="6" t="s">
        <v>44</v>
      </c>
      <c r="B2019" s="7" t="s">
        <v>542</v>
      </c>
      <c r="C2019" s="7" t="s">
        <v>67</v>
      </c>
      <c r="D2019" s="8">
        <v>44587</v>
      </c>
      <c r="E2019" s="8" t="s">
        <v>0</v>
      </c>
      <c r="F2019" s="16" t="s">
        <v>543</v>
      </c>
      <c r="G2019" s="7" t="s">
        <v>544</v>
      </c>
      <c r="H2019" s="7" t="s">
        <v>536</v>
      </c>
      <c r="I2019" s="7" t="s">
        <v>0</v>
      </c>
      <c r="J2019" s="7" t="s">
        <v>538</v>
      </c>
      <c r="K2019" s="7" t="s">
        <v>47</v>
      </c>
      <c r="L2019" s="7" t="s">
        <v>239</v>
      </c>
      <c r="M2019" s="7" t="s">
        <v>0</v>
      </c>
      <c r="N2019" s="7" t="s">
        <v>535</v>
      </c>
      <c r="O2019" s="7" t="s">
        <v>0</v>
      </c>
      <c r="P2019" s="7" t="s">
        <v>537</v>
      </c>
      <c r="Q2019" s="7" t="s">
        <v>539</v>
      </c>
      <c r="R2019" s="7" t="s">
        <v>540</v>
      </c>
      <c r="S2019" s="7" t="s">
        <v>0</v>
      </c>
      <c r="T2019" s="7" t="s">
        <v>54</v>
      </c>
      <c r="U2019" s="7" t="s">
        <v>541</v>
      </c>
      <c r="V2019" s="7" t="s">
        <v>56</v>
      </c>
      <c r="W2019" s="7" t="s">
        <v>57</v>
      </c>
      <c r="X2019" s="7" t="s">
        <v>103</v>
      </c>
      <c r="Y2019" s="8">
        <v>44587</v>
      </c>
      <c r="Z2019" s="8">
        <v>45285</v>
      </c>
      <c r="AA2019" s="7" t="s">
        <v>59</v>
      </c>
      <c r="AB2019" s="7" t="s">
        <v>545</v>
      </c>
      <c r="AC2019" s="7" t="s">
        <v>79</v>
      </c>
      <c r="AD2019" s="7" t="s">
        <v>144</v>
      </c>
      <c r="AE2019" s="7" t="s">
        <v>82</v>
      </c>
      <c r="AF2019" s="7" t="s">
        <v>0</v>
      </c>
      <c r="AG2019" s="7" t="s">
        <v>0</v>
      </c>
      <c r="AH2019" s="9" t="s">
        <v>10761</v>
      </c>
      <c r="AI2019" s="9" t="s">
        <v>10762</v>
      </c>
      <c r="AJ2019" s="9" t="s">
        <v>10763</v>
      </c>
      <c r="AK2019" s="7" t="s">
        <v>61</v>
      </c>
      <c r="AL2019" s="7" t="s">
        <v>61</v>
      </c>
      <c r="AM2019" s="7" t="s">
        <v>0</v>
      </c>
      <c r="AN2019" s="7" t="s">
        <v>0</v>
      </c>
      <c r="AO2019" s="7" t="s">
        <v>0</v>
      </c>
      <c r="AP2019" s="7" t="s">
        <v>0</v>
      </c>
      <c r="AQ2019" s="7" t="s">
        <v>61</v>
      </c>
      <c r="AR2019" s="7" t="s">
        <v>0</v>
      </c>
      <c r="AS2019" s="10" t="str">
        <f>HYPERLINK("https://tessa.gazprom-neft.local/edo/card/a0bba044-bea9-4683-93cf-10cfd4d6872b", "https://tessa.gazprom-neft.local/edo/card/a0bba044-bea9-4683-93cf-10cfd4d6872b")</f>
        <v>https://tessa.gazprom-neft.local/edo/card/a0bba044-bea9-4683-93cf-10cfd4d6872b</v>
      </c>
    </row>
    <row r="2020" spans="1:45" hidden="1" x14ac:dyDescent="0.25">
      <c r="A2020" s="6" t="s">
        <v>44</v>
      </c>
      <c r="B2020" s="7" t="s">
        <v>885</v>
      </c>
      <c r="C2020" s="7" t="s">
        <v>67</v>
      </c>
      <c r="D2020" s="8">
        <v>44587</v>
      </c>
      <c r="E2020" s="8" t="s">
        <v>0</v>
      </c>
      <c r="F2020" s="16" t="s">
        <v>886</v>
      </c>
      <c r="G2020" s="7" t="s">
        <v>887</v>
      </c>
      <c r="H2020" s="7" t="s">
        <v>934</v>
      </c>
      <c r="I2020" s="7" t="s">
        <v>0</v>
      </c>
      <c r="J2020" s="7" t="s">
        <v>936</v>
      </c>
      <c r="K2020" s="7" t="s">
        <v>47</v>
      </c>
      <c r="L2020" s="7" t="s">
        <v>239</v>
      </c>
      <c r="M2020" s="7" t="s">
        <v>0</v>
      </c>
      <c r="N2020" s="7" t="s">
        <v>933</v>
      </c>
      <c r="O2020" s="7" t="s">
        <v>0</v>
      </c>
      <c r="P2020" s="7" t="s">
        <v>935</v>
      </c>
      <c r="Q2020" s="7" t="s">
        <v>937</v>
      </c>
      <c r="R2020" s="7" t="s">
        <v>938</v>
      </c>
      <c r="S2020" s="7" t="s">
        <v>938</v>
      </c>
      <c r="T2020" s="7" t="s">
        <v>54</v>
      </c>
      <c r="U2020" s="7" t="s">
        <v>605</v>
      </c>
      <c r="V2020" s="7" t="s">
        <v>382</v>
      </c>
      <c r="W2020" s="7" t="s">
        <v>57</v>
      </c>
      <c r="X2020" s="7" t="s">
        <v>103</v>
      </c>
      <c r="Y2020" s="8">
        <v>44587</v>
      </c>
      <c r="Z2020" s="8">
        <v>44926</v>
      </c>
      <c r="AA2020" s="7" t="s">
        <v>383</v>
      </c>
      <c r="AB2020" s="7" t="s">
        <v>804</v>
      </c>
      <c r="AC2020" s="7" t="s">
        <v>79</v>
      </c>
      <c r="AD2020" s="7" t="s">
        <v>144</v>
      </c>
      <c r="AE2020" s="7" t="s">
        <v>889</v>
      </c>
      <c r="AF2020" s="7" t="s">
        <v>0</v>
      </c>
      <c r="AG2020" s="7" t="s">
        <v>0</v>
      </c>
      <c r="AH2020" s="9" t="s">
        <v>10864</v>
      </c>
      <c r="AI2020" s="9" t="s">
        <v>10864</v>
      </c>
      <c r="AJ2020" s="9">
        <v>0</v>
      </c>
      <c r="AK2020" s="7" t="s">
        <v>61</v>
      </c>
      <c r="AL2020" s="7" t="s">
        <v>61</v>
      </c>
      <c r="AM2020" s="7" t="s">
        <v>0</v>
      </c>
      <c r="AN2020" s="7" t="s">
        <v>0</v>
      </c>
      <c r="AO2020" s="7" t="s">
        <v>0</v>
      </c>
      <c r="AP2020" s="7" t="s">
        <v>0</v>
      </c>
      <c r="AQ2020" s="7" t="s">
        <v>61</v>
      </c>
      <c r="AR2020" s="7" t="s">
        <v>0</v>
      </c>
      <c r="AS2020" s="10" t="str">
        <f>HYPERLINK("https://tessa.gazprom-neft.local/edo/card/5304a625-7b35-47f0-920f-2e51ac5c9527", "https://tessa.gazprom-neft.local/edo/card/5304a625-7b35-47f0-920f-2e51ac5c9527")</f>
        <v>https://tessa.gazprom-neft.local/edo/card/5304a625-7b35-47f0-920f-2e51ac5c9527</v>
      </c>
    </row>
    <row r="2021" spans="1:45" hidden="1" x14ac:dyDescent="0.25">
      <c r="A2021" s="6" t="s">
        <v>44</v>
      </c>
      <c r="B2021" s="7" t="s">
        <v>661</v>
      </c>
      <c r="C2021" s="7" t="s">
        <v>67</v>
      </c>
      <c r="D2021" s="8">
        <v>44586</v>
      </c>
      <c r="E2021" s="8" t="s">
        <v>0</v>
      </c>
      <c r="F2021" s="16" t="s">
        <v>662</v>
      </c>
      <c r="G2021" s="7" t="s">
        <v>663</v>
      </c>
      <c r="H2021" s="7" t="s">
        <v>1426</v>
      </c>
      <c r="I2021" s="7" t="s">
        <v>0</v>
      </c>
      <c r="J2021" s="7" t="s">
        <v>51</v>
      </c>
      <c r="K2021" s="7" t="s">
        <v>47</v>
      </c>
      <c r="L2021" s="7" t="s">
        <v>1446</v>
      </c>
      <c r="M2021" s="7" t="s">
        <v>0</v>
      </c>
      <c r="N2021" s="7" t="s">
        <v>1445</v>
      </c>
      <c r="O2021" s="7" t="s">
        <v>538</v>
      </c>
      <c r="P2021" s="7" t="s">
        <v>1447</v>
      </c>
      <c r="Q2021" s="7" t="s">
        <v>1448</v>
      </c>
      <c r="R2021" s="7" t="s">
        <v>659</v>
      </c>
      <c r="S2021" s="7" t="s">
        <v>660</v>
      </c>
      <c r="T2021" s="7" t="s">
        <v>54</v>
      </c>
      <c r="U2021" s="7" t="s">
        <v>283</v>
      </c>
      <c r="V2021" s="7" t="s">
        <v>102</v>
      </c>
      <c r="W2021" s="7" t="s">
        <v>57</v>
      </c>
      <c r="X2021" s="7" t="s">
        <v>103</v>
      </c>
      <c r="Y2021" s="8">
        <v>44546</v>
      </c>
      <c r="Z2021" s="8">
        <v>44586</v>
      </c>
      <c r="AA2021" s="7" t="s">
        <v>104</v>
      </c>
      <c r="AB2021" s="7" t="s">
        <v>130</v>
      </c>
      <c r="AC2021" s="7" t="s">
        <v>79</v>
      </c>
      <c r="AD2021" s="7" t="s">
        <v>514</v>
      </c>
      <c r="AE2021" s="7" t="s">
        <v>82</v>
      </c>
      <c r="AF2021" s="7" t="s">
        <v>0</v>
      </c>
      <c r="AG2021" s="7" t="s">
        <v>0</v>
      </c>
      <c r="AH2021" s="9">
        <v>0.01</v>
      </c>
      <c r="AI2021" s="9">
        <v>0.01</v>
      </c>
      <c r="AJ2021" s="9">
        <v>0</v>
      </c>
      <c r="AK2021" s="7" t="s">
        <v>61</v>
      </c>
      <c r="AL2021" s="7" t="s">
        <v>61</v>
      </c>
      <c r="AM2021" s="7" t="s">
        <v>0</v>
      </c>
      <c r="AN2021" s="7" t="s">
        <v>0</v>
      </c>
      <c r="AO2021" s="7" t="s">
        <v>0</v>
      </c>
      <c r="AP2021" s="7" t="s">
        <v>0</v>
      </c>
      <c r="AQ2021" s="7" t="s">
        <v>61</v>
      </c>
      <c r="AR2021" s="7" t="s">
        <v>0</v>
      </c>
      <c r="AS2021" s="10" t="str">
        <f>HYPERLINK("https://tessa.gazprom-neft.local/edo/card/aaf259df-128b-470d-a2b0-98e1061f0cf1", "https://tessa.gazprom-neft.local/edo/card/aaf259df-128b-470d-a2b0-98e1061f0cf1")</f>
        <v>https://tessa.gazprom-neft.local/edo/card/aaf259df-128b-470d-a2b0-98e1061f0cf1</v>
      </c>
    </row>
    <row r="2022" spans="1:45" hidden="1" x14ac:dyDescent="0.25">
      <c r="A2022" s="6" t="s">
        <v>44</v>
      </c>
      <c r="B2022" s="7" t="s">
        <v>661</v>
      </c>
      <c r="C2022" s="7" t="s">
        <v>67</v>
      </c>
      <c r="D2022" s="8">
        <v>44582</v>
      </c>
      <c r="E2022" s="8" t="s">
        <v>0</v>
      </c>
      <c r="F2022" s="16" t="s">
        <v>662</v>
      </c>
      <c r="G2022" s="7" t="s">
        <v>663</v>
      </c>
      <c r="H2022" s="7" t="s">
        <v>655</v>
      </c>
      <c r="I2022" s="7" t="s">
        <v>0</v>
      </c>
      <c r="J2022" s="7" t="s">
        <v>657</v>
      </c>
      <c r="K2022" s="7" t="s">
        <v>47</v>
      </c>
      <c r="L2022" s="7" t="s">
        <v>239</v>
      </c>
      <c r="M2022" s="7" t="s">
        <v>0</v>
      </c>
      <c r="N2022" s="7" t="s">
        <v>654</v>
      </c>
      <c r="O2022" s="7" t="s">
        <v>0</v>
      </c>
      <c r="P2022" s="7" t="s">
        <v>656</v>
      </c>
      <c r="Q2022" s="7" t="s">
        <v>658</v>
      </c>
      <c r="R2022" s="7" t="s">
        <v>659</v>
      </c>
      <c r="S2022" s="7" t="s">
        <v>660</v>
      </c>
      <c r="T2022" s="7" t="s">
        <v>54</v>
      </c>
      <c r="U2022" s="7" t="s">
        <v>283</v>
      </c>
      <c r="V2022" s="7" t="s">
        <v>102</v>
      </c>
      <c r="W2022" s="7" t="s">
        <v>57</v>
      </c>
      <c r="X2022" s="7" t="s">
        <v>103</v>
      </c>
      <c r="Y2022" s="8">
        <v>44582</v>
      </c>
      <c r="Z2022" s="8">
        <v>44661</v>
      </c>
      <c r="AA2022" s="7" t="s">
        <v>104</v>
      </c>
      <c r="AB2022" s="7" t="s">
        <v>130</v>
      </c>
      <c r="AC2022" s="7" t="s">
        <v>79</v>
      </c>
      <c r="AD2022" s="7" t="s">
        <v>514</v>
      </c>
      <c r="AE2022" s="7" t="s">
        <v>82</v>
      </c>
      <c r="AF2022" s="7" t="s">
        <v>0</v>
      </c>
      <c r="AG2022" s="7" t="s">
        <v>0</v>
      </c>
      <c r="AH2022" s="9" t="s">
        <v>10801</v>
      </c>
      <c r="AI2022" s="9" t="s">
        <v>10802</v>
      </c>
      <c r="AJ2022" s="9" t="s">
        <v>10803</v>
      </c>
      <c r="AK2022" s="7" t="s">
        <v>61</v>
      </c>
      <c r="AL2022" s="7" t="s">
        <v>61</v>
      </c>
      <c r="AM2022" s="7" t="s">
        <v>0</v>
      </c>
      <c r="AN2022" s="7" t="s">
        <v>0</v>
      </c>
      <c r="AO2022" s="7" t="s">
        <v>0</v>
      </c>
      <c r="AP2022" s="7" t="s">
        <v>0</v>
      </c>
      <c r="AQ2022" s="7" t="s">
        <v>61</v>
      </c>
      <c r="AR2022" s="7" t="s">
        <v>0</v>
      </c>
      <c r="AS2022" s="10" t="str">
        <f>HYPERLINK("https://tessa.gazprom-neft.local/edo/card/2350f654-5673-4957-bf7c-9abc03d60b2f", "https://tessa.gazprom-neft.local/edo/card/2350f654-5673-4957-bf7c-9abc03d60b2f")</f>
        <v>https://tessa.gazprom-neft.local/edo/card/2350f654-5673-4957-bf7c-9abc03d60b2f</v>
      </c>
    </row>
    <row r="2023" spans="1:45" hidden="1" x14ac:dyDescent="0.25">
      <c r="A2023" s="6" t="s">
        <v>44</v>
      </c>
      <c r="B2023" s="7" t="s">
        <v>680</v>
      </c>
      <c r="C2023" s="7" t="s">
        <v>46</v>
      </c>
      <c r="D2023" s="8">
        <v>44582</v>
      </c>
      <c r="E2023" s="8" t="s">
        <v>0</v>
      </c>
      <c r="F2023" s="16" t="s">
        <v>681</v>
      </c>
      <c r="G2023" s="7" t="s">
        <v>682</v>
      </c>
      <c r="H2023" s="7" t="s">
        <v>0</v>
      </c>
      <c r="I2023" s="7" t="s">
        <v>677</v>
      </c>
      <c r="J2023" s="7" t="s">
        <v>677</v>
      </c>
      <c r="K2023" s="7" t="s">
        <v>85</v>
      </c>
      <c r="L2023" s="7" t="s">
        <v>96</v>
      </c>
      <c r="M2023" s="7" t="s">
        <v>183</v>
      </c>
      <c r="N2023" s="7" t="s">
        <v>676</v>
      </c>
      <c r="O2023" s="7" t="s">
        <v>0</v>
      </c>
      <c r="P2023" s="7" t="s">
        <v>183</v>
      </c>
      <c r="Q2023" s="7" t="s">
        <v>678</v>
      </c>
      <c r="R2023" s="7" t="s">
        <v>679</v>
      </c>
      <c r="S2023" s="7" t="s">
        <v>679</v>
      </c>
      <c r="T2023" s="7" t="s">
        <v>54</v>
      </c>
      <c r="U2023" s="7" t="s">
        <v>362</v>
      </c>
      <c r="V2023" s="7" t="s">
        <v>137</v>
      </c>
      <c r="W2023" s="7" t="s">
        <v>57</v>
      </c>
      <c r="X2023" s="7" t="s">
        <v>103</v>
      </c>
      <c r="Y2023" s="8">
        <v>44582</v>
      </c>
      <c r="Z2023" s="8">
        <v>44926</v>
      </c>
      <c r="AA2023" s="7" t="s">
        <v>0</v>
      </c>
      <c r="AB2023" s="7" t="s">
        <v>192</v>
      </c>
      <c r="AC2023" s="7" t="s">
        <v>79</v>
      </c>
      <c r="AD2023" s="7" t="s">
        <v>514</v>
      </c>
      <c r="AE2023" s="7" t="s">
        <v>193</v>
      </c>
      <c r="AF2023" s="7" t="s">
        <v>0</v>
      </c>
      <c r="AG2023" s="7" t="s">
        <v>0</v>
      </c>
      <c r="AH2023" s="9" t="s">
        <v>10807</v>
      </c>
      <c r="AI2023" s="9" t="s">
        <v>10808</v>
      </c>
      <c r="AJ2023" s="9" t="s">
        <v>10809</v>
      </c>
      <c r="AK2023" s="7" t="s">
        <v>61</v>
      </c>
      <c r="AL2023" s="7" t="s">
        <v>61</v>
      </c>
      <c r="AM2023" s="7" t="s">
        <v>0</v>
      </c>
      <c r="AN2023" s="7" t="s">
        <v>0</v>
      </c>
      <c r="AO2023" s="7" t="s">
        <v>0</v>
      </c>
      <c r="AP2023" s="7" t="s">
        <v>0</v>
      </c>
      <c r="AQ2023" s="7" t="s">
        <v>61</v>
      </c>
      <c r="AR2023" s="7" t="s">
        <v>0</v>
      </c>
      <c r="AS2023" s="10" t="str">
        <f>HYPERLINK("https://tessa.gazprom-neft.local/edo/card/a1516a60-7641-43c7-92d1-bcd4f3b1f4f1", "https://tessa.gazprom-neft.local/edo/card/a1516a60-7641-43c7-92d1-bcd4f3b1f4f1")</f>
        <v>https://tessa.gazprom-neft.local/edo/card/a1516a60-7641-43c7-92d1-bcd4f3b1f4f1</v>
      </c>
    </row>
    <row r="2024" spans="1:45" hidden="1" x14ac:dyDescent="0.25">
      <c r="A2024" s="6" t="s">
        <v>44</v>
      </c>
      <c r="B2024" s="7" t="s">
        <v>705</v>
      </c>
      <c r="C2024" s="7" t="s">
        <v>67</v>
      </c>
      <c r="D2024" s="8">
        <v>44582</v>
      </c>
      <c r="E2024" s="8" t="s">
        <v>0</v>
      </c>
      <c r="F2024" s="16" t="s">
        <v>706</v>
      </c>
      <c r="G2024" s="7" t="s">
        <v>707</v>
      </c>
      <c r="H2024" s="7" t="s">
        <v>0</v>
      </c>
      <c r="I2024" s="7" t="s">
        <v>779</v>
      </c>
      <c r="J2024" s="7" t="s">
        <v>779</v>
      </c>
      <c r="K2024" s="7" t="s">
        <v>85</v>
      </c>
      <c r="L2024" s="7" t="s">
        <v>86</v>
      </c>
      <c r="M2024" s="7" t="s">
        <v>289</v>
      </c>
      <c r="N2024" s="7" t="s">
        <v>778</v>
      </c>
      <c r="O2024" s="7" t="s">
        <v>0</v>
      </c>
      <c r="P2024" s="7" t="s">
        <v>289</v>
      </c>
      <c r="Q2024" s="7" t="s">
        <v>780</v>
      </c>
      <c r="R2024" s="7" t="s">
        <v>540</v>
      </c>
      <c r="S2024" s="7" t="s">
        <v>0</v>
      </c>
      <c r="T2024" s="7" t="s">
        <v>54</v>
      </c>
      <c r="U2024" s="7" t="s">
        <v>541</v>
      </c>
      <c r="V2024" s="7" t="s">
        <v>56</v>
      </c>
      <c r="W2024" s="7" t="s">
        <v>57</v>
      </c>
      <c r="X2024" s="7" t="s">
        <v>223</v>
      </c>
      <c r="Y2024" s="8">
        <v>44585</v>
      </c>
      <c r="Z2024" s="8" t="s">
        <v>0</v>
      </c>
      <c r="AA2024" s="7" t="s">
        <v>59</v>
      </c>
      <c r="AB2024" s="7" t="s">
        <v>300</v>
      </c>
      <c r="AC2024" s="7" t="s">
        <v>65</v>
      </c>
      <c r="AD2024" s="7" t="s">
        <v>144</v>
      </c>
      <c r="AE2024" s="7" t="s">
        <v>0</v>
      </c>
      <c r="AF2024" s="7" t="s">
        <v>0</v>
      </c>
      <c r="AG2024" s="7" t="s">
        <v>0</v>
      </c>
      <c r="AH2024" s="9" t="s">
        <v>0</v>
      </c>
      <c r="AI2024" s="9" t="s">
        <v>0</v>
      </c>
      <c r="AJ2024" s="9" t="s">
        <v>0</v>
      </c>
      <c r="AK2024" s="7" t="s">
        <v>61</v>
      </c>
      <c r="AL2024" s="7" t="s">
        <v>61</v>
      </c>
      <c r="AM2024" s="7" t="s">
        <v>0</v>
      </c>
      <c r="AN2024" s="7" t="s">
        <v>0</v>
      </c>
      <c r="AO2024" s="7" t="s">
        <v>0</v>
      </c>
      <c r="AP2024" s="7" t="s">
        <v>0</v>
      </c>
      <c r="AQ2024" s="7" t="s">
        <v>61</v>
      </c>
      <c r="AR2024" s="7" t="s">
        <v>0</v>
      </c>
      <c r="AS2024" s="10" t="str">
        <f>HYPERLINK("https://tessa.gazprom-neft.local/edo/card/e7bb574f-6e6f-4fb5-a0a5-1fbfb1adfa0c", "https://tessa.gazprom-neft.local/edo/card/e7bb574f-6e6f-4fb5-a0a5-1fbfb1adfa0c")</f>
        <v>https://tessa.gazprom-neft.local/edo/card/e7bb574f-6e6f-4fb5-a0a5-1fbfb1adfa0c</v>
      </c>
    </row>
    <row r="2025" spans="1:45" hidden="1" x14ac:dyDescent="0.25">
      <c r="A2025" s="6" t="s">
        <v>44</v>
      </c>
      <c r="B2025" s="7" t="s">
        <v>245</v>
      </c>
      <c r="C2025" s="7" t="s">
        <v>67</v>
      </c>
      <c r="D2025" s="8">
        <v>44581</v>
      </c>
      <c r="E2025" s="8" t="s">
        <v>0</v>
      </c>
      <c r="F2025" s="16" t="s">
        <v>246</v>
      </c>
      <c r="G2025" s="7" t="s">
        <v>247</v>
      </c>
      <c r="H2025" s="7" t="s">
        <v>574</v>
      </c>
      <c r="I2025" s="7" t="s">
        <v>0</v>
      </c>
      <c r="J2025" s="7" t="s">
        <v>576</v>
      </c>
      <c r="K2025" s="7" t="s">
        <v>47</v>
      </c>
      <c r="L2025" s="7" t="s">
        <v>239</v>
      </c>
      <c r="M2025" s="7" t="s">
        <v>0</v>
      </c>
      <c r="N2025" s="7" t="s">
        <v>573</v>
      </c>
      <c r="O2025" s="7" t="s">
        <v>0</v>
      </c>
      <c r="P2025" s="7" t="s">
        <v>575</v>
      </c>
      <c r="Q2025" s="7" t="s">
        <v>577</v>
      </c>
      <c r="R2025" s="7" t="s">
        <v>540</v>
      </c>
      <c r="S2025" s="7" t="s">
        <v>0</v>
      </c>
      <c r="T2025" s="7" t="s">
        <v>54</v>
      </c>
      <c r="U2025" s="7" t="s">
        <v>541</v>
      </c>
      <c r="V2025" s="7" t="s">
        <v>56</v>
      </c>
      <c r="W2025" s="7" t="s">
        <v>57</v>
      </c>
      <c r="X2025" s="7" t="s">
        <v>103</v>
      </c>
      <c r="Y2025" s="8">
        <v>44581</v>
      </c>
      <c r="Z2025" s="8">
        <v>45102</v>
      </c>
      <c r="AA2025" s="7" t="s">
        <v>59</v>
      </c>
      <c r="AB2025" s="7" t="s">
        <v>256</v>
      </c>
      <c r="AC2025" s="7" t="s">
        <v>79</v>
      </c>
      <c r="AD2025" s="7" t="s">
        <v>144</v>
      </c>
      <c r="AE2025" s="7" t="s">
        <v>82</v>
      </c>
      <c r="AF2025" s="7" t="s">
        <v>0</v>
      </c>
      <c r="AG2025" s="7" t="s">
        <v>0</v>
      </c>
      <c r="AH2025" s="9" t="s">
        <v>10765</v>
      </c>
      <c r="AI2025" s="9" t="s">
        <v>10766</v>
      </c>
      <c r="AJ2025" s="9" t="s">
        <v>10767</v>
      </c>
      <c r="AK2025" s="7" t="s">
        <v>61</v>
      </c>
      <c r="AL2025" s="7" t="s">
        <v>61</v>
      </c>
      <c r="AM2025" s="7" t="s">
        <v>0</v>
      </c>
      <c r="AN2025" s="7" t="s">
        <v>0</v>
      </c>
      <c r="AO2025" s="7" t="s">
        <v>0</v>
      </c>
      <c r="AP2025" s="7" t="s">
        <v>0</v>
      </c>
      <c r="AQ2025" s="7" t="s">
        <v>61</v>
      </c>
      <c r="AR2025" s="7" t="s">
        <v>0</v>
      </c>
      <c r="AS2025" s="10" t="str">
        <f>HYPERLINK("https://tessa.gazprom-neft.local/edo/card/d8a59bb1-8ac5-480b-ab72-a1022b212681", "https://tessa.gazprom-neft.local/edo/card/d8a59bb1-8ac5-480b-ab72-a1022b212681")</f>
        <v>https://tessa.gazprom-neft.local/edo/card/d8a59bb1-8ac5-480b-ab72-a1022b212681</v>
      </c>
    </row>
    <row r="2026" spans="1:45" hidden="1" x14ac:dyDescent="0.25">
      <c r="A2026" s="6" t="s">
        <v>44</v>
      </c>
      <c r="B2026" s="7" t="s">
        <v>245</v>
      </c>
      <c r="C2026" s="7" t="s">
        <v>67</v>
      </c>
      <c r="D2026" s="8">
        <v>44581</v>
      </c>
      <c r="E2026" s="8" t="s">
        <v>0</v>
      </c>
      <c r="F2026" s="16" t="s">
        <v>246</v>
      </c>
      <c r="G2026" s="7" t="s">
        <v>247</v>
      </c>
      <c r="H2026" s="7" t="s">
        <v>574</v>
      </c>
      <c r="I2026" s="7" t="s">
        <v>0</v>
      </c>
      <c r="J2026" s="7" t="s">
        <v>597</v>
      </c>
      <c r="K2026" s="7" t="s">
        <v>47</v>
      </c>
      <c r="L2026" s="7" t="s">
        <v>239</v>
      </c>
      <c r="M2026" s="7" t="s">
        <v>0</v>
      </c>
      <c r="N2026" s="7" t="s">
        <v>595</v>
      </c>
      <c r="O2026" s="7" t="s">
        <v>0</v>
      </c>
      <c r="P2026" s="7" t="s">
        <v>596</v>
      </c>
      <c r="Q2026" s="7" t="s">
        <v>598</v>
      </c>
      <c r="R2026" s="7" t="s">
        <v>540</v>
      </c>
      <c r="S2026" s="7" t="s">
        <v>0</v>
      </c>
      <c r="T2026" s="7" t="s">
        <v>54</v>
      </c>
      <c r="U2026" s="7" t="s">
        <v>541</v>
      </c>
      <c r="V2026" s="7" t="s">
        <v>56</v>
      </c>
      <c r="W2026" s="7" t="s">
        <v>57</v>
      </c>
      <c r="X2026" s="7" t="s">
        <v>103</v>
      </c>
      <c r="Y2026" s="8">
        <v>44581</v>
      </c>
      <c r="Z2026" s="8">
        <v>44925</v>
      </c>
      <c r="AA2026" s="7" t="s">
        <v>59</v>
      </c>
      <c r="AB2026" s="7" t="s">
        <v>256</v>
      </c>
      <c r="AC2026" s="7" t="s">
        <v>79</v>
      </c>
      <c r="AD2026" s="7" t="s">
        <v>144</v>
      </c>
      <c r="AE2026" s="7" t="s">
        <v>82</v>
      </c>
      <c r="AF2026" s="7" t="s">
        <v>0</v>
      </c>
      <c r="AG2026" s="7" t="s">
        <v>0</v>
      </c>
      <c r="AH2026" s="9" t="s">
        <v>10774</v>
      </c>
      <c r="AI2026" s="9" t="s">
        <v>10775</v>
      </c>
      <c r="AJ2026" s="9" t="s">
        <v>10776</v>
      </c>
      <c r="AK2026" s="7" t="s">
        <v>61</v>
      </c>
      <c r="AL2026" s="7" t="s">
        <v>61</v>
      </c>
      <c r="AM2026" s="7" t="s">
        <v>0</v>
      </c>
      <c r="AN2026" s="7" t="s">
        <v>0</v>
      </c>
      <c r="AO2026" s="7" t="s">
        <v>0</v>
      </c>
      <c r="AP2026" s="7" t="s">
        <v>0</v>
      </c>
      <c r="AQ2026" s="7" t="s">
        <v>61</v>
      </c>
      <c r="AR2026" s="7" t="s">
        <v>0</v>
      </c>
      <c r="AS2026" s="10" t="str">
        <f>HYPERLINK("https://tessa.gazprom-neft.local/edo/card/710cc329-0ee9-4355-912a-fa497f2e328b", "https://tessa.gazprom-neft.local/edo/card/710cc329-0ee9-4355-912a-fa497f2e328b")</f>
        <v>https://tessa.gazprom-neft.local/edo/card/710cc329-0ee9-4355-912a-fa497f2e328b</v>
      </c>
    </row>
    <row r="2027" spans="1:45" hidden="1" x14ac:dyDescent="0.25">
      <c r="A2027" s="6" t="s">
        <v>44</v>
      </c>
      <c r="B2027" s="7" t="s">
        <v>245</v>
      </c>
      <c r="C2027" s="7" t="s">
        <v>67</v>
      </c>
      <c r="D2027" s="8">
        <v>44581</v>
      </c>
      <c r="E2027" s="8" t="s">
        <v>0</v>
      </c>
      <c r="F2027" s="16" t="s">
        <v>246</v>
      </c>
      <c r="G2027" s="7" t="s">
        <v>247</v>
      </c>
      <c r="H2027" s="7" t="s">
        <v>574</v>
      </c>
      <c r="I2027" s="7" t="s">
        <v>0</v>
      </c>
      <c r="J2027" s="7" t="s">
        <v>614</v>
      </c>
      <c r="K2027" s="7" t="s">
        <v>47</v>
      </c>
      <c r="L2027" s="7" t="s">
        <v>239</v>
      </c>
      <c r="M2027" s="7" t="s">
        <v>0</v>
      </c>
      <c r="N2027" s="7" t="s">
        <v>612</v>
      </c>
      <c r="O2027" s="7" t="s">
        <v>0</v>
      </c>
      <c r="P2027" s="7" t="s">
        <v>613</v>
      </c>
      <c r="Q2027" s="7" t="s">
        <v>615</v>
      </c>
      <c r="R2027" s="7" t="s">
        <v>540</v>
      </c>
      <c r="S2027" s="7" t="s">
        <v>0</v>
      </c>
      <c r="T2027" s="7" t="s">
        <v>54</v>
      </c>
      <c r="U2027" s="7" t="s">
        <v>541</v>
      </c>
      <c r="V2027" s="7" t="s">
        <v>56</v>
      </c>
      <c r="W2027" s="7" t="s">
        <v>57</v>
      </c>
      <c r="X2027" s="7" t="s">
        <v>103</v>
      </c>
      <c r="Y2027" s="8">
        <v>44581</v>
      </c>
      <c r="Z2027" s="8">
        <v>44890</v>
      </c>
      <c r="AA2027" s="7" t="s">
        <v>59</v>
      </c>
      <c r="AB2027" s="7" t="s">
        <v>256</v>
      </c>
      <c r="AC2027" s="7" t="s">
        <v>79</v>
      </c>
      <c r="AD2027" s="7" t="s">
        <v>144</v>
      </c>
      <c r="AE2027" s="7" t="s">
        <v>82</v>
      </c>
      <c r="AF2027" s="7" t="s">
        <v>0</v>
      </c>
      <c r="AG2027" s="7" t="s">
        <v>0</v>
      </c>
      <c r="AH2027" s="9" t="s">
        <v>10780</v>
      </c>
      <c r="AI2027" s="9" t="s">
        <v>10781</v>
      </c>
      <c r="AJ2027" s="9" t="s">
        <v>10782</v>
      </c>
      <c r="AK2027" s="7" t="s">
        <v>61</v>
      </c>
      <c r="AL2027" s="7" t="s">
        <v>61</v>
      </c>
      <c r="AM2027" s="7" t="s">
        <v>0</v>
      </c>
      <c r="AN2027" s="7" t="s">
        <v>0</v>
      </c>
      <c r="AO2027" s="7" t="s">
        <v>0</v>
      </c>
      <c r="AP2027" s="7" t="s">
        <v>0</v>
      </c>
      <c r="AQ2027" s="7" t="s">
        <v>61</v>
      </c>
      <c r="AR2027" s="7" t="s">
        <v>0</v>
      </c>
      <c r="AS2027" s="10" t="str">
        <f>HYPERLINK("https://tessa.gazprom-neft.local/edo/card/1e69e395-f158-4a66-bf8a-1ce49d0aa229", "https://tessa.gazprom-neft.local/edo/card/1e69e395-f158-4a66-bf8a-1ce49d0aa229")</f>
        <v>https://tessa.gazprom-neft.local/edo/card/1e69e395-f158-4a66-bf8a-1ce49d0aa229</v>
      </c>
    </row>
    <row r="2028" spans="1:45" hidden="1" x14ac:dyDescent="0.25">
      <c r="A2028" s="6" t="s">
        <v>44</v>
      </c>
      <c r="B2028" s="7" t="s">
        <v>245</v>
      </c>
      <c r="C2028" s="7" t="s">
        <v>67</v>
      </c>
      <c r="D2028" s="8">
        <v>44581</v>
      </c>
      <c r="E2028" s="8" t="s">
        <v>0</v>
      </c>
      <c r="F2028" s="16" t="s">
        <v>246</v>
      </c>
      <c r="G2028" s="7" t="s">
        <v>247</v>
      </c>
      <c r="H2028" s="7" t="s">
        <v>574</v>
      </c>
      <c r="I2028" s="7" t="s">
        <v>0</v>
      </c>
      <c r="J2028" s="7" t="s">
        <v>630</v>
      </c>
      <c r="K2028" s="7" t="s">
        <v>47</v>
      </c>
      <c r="L2028" s="7" t="s">
        <v>239</v>
      </c>
      <c r="M2028" s="7" t="s">
        <v>0</v>
      </c>
      <c r="N2028" s="7" t="s">
        <v>628</v>
      </c>
      <c r="O2028" s="7" t="s">
        <v>0</v>
      </c>
      <c r="P2028" s="7" t="s">
        <v>629</v>
      </c>
      <c r="Q2028" s="7" t="s">
        <v>631</v>
      </c>
      <c r="R2028" s="7" t="s">
        <v>540</v>
      </c>
      <c r="S2028" s="7" t="s">
        <v>0</v>
      </c>
      <c r="T2028" s="7" t="s">
        <v>54</v>
      </c>
      <c r="U2028" s="7" t="s">
        <v>541</v>
      </c>
      <c r="V2028" s="7" t="s">
        <v>56</v>
      </c>
      <c r="W2028" s="7" t="s">
        <v>57</v>
      </c>
      <c r="X2028" s="7" t="s">
        <v>103</v>
      </c>
      <c r="Y2028" s="8">
        <v>44581</v>
      </c>
      <c r="Z2028" s="8">
        <v>45071</v>
      </c>
      <c r="AA2028" s="7" t="s">
        <v>59</v>
      </c>
      <c r="AB2028" s="7" t="s">
        <v>256</v>
      </c>
      <c r="AC2028" s="7" t="s">
        <v>79</v>
      </c>
      <c r="AD2028" s="7" t="s">
        <v>144</v>
      </c>
      <c r="AE2028" s="7" t="s">
        <v>82</v>
      </c>
      <c r="AF2028" s="7" t="s">
        <v>0</v>
      </c>
      <c r="AG2028" s="7" t="s">
        <v>0</v>
      </c>
      <c r="AH2028" s="9" t="s">
        <v>10789</v>
      </c>
      <c r="AI2028" s="9" t="s">
        <v>10790</v>
      </c>
      <c r="AJ2028" s="9" t="s">
        <v>10791</v>
      </c>
      <c r="AK2028" s="7" t="s">
        <v>61</v>
      </c>
      <c r="AL2028" s="7" t="s">
        <v>61</v>
      </c>
      <c r="AM2028" s="7" t="s">
        <v>0</v>
      </c>
      <c r="AN2028" s="7" t="s">
        <v>0</v>
      </c>
      <c r="AO2028" s="7" t="s">
        <v>0</v>
      </c>
      <c r="AP2028" s="7" t="s">
        <v>0</v>
      </c>
      <c r="AQ2028" s="7" t="s">
        <v>61</v>
      </c>
      <c r="AR2028" s="7" t="s">
        <v>0</v>
      </c>
      <c r="AS2028" s="10" t="str">
        <f>HYPERLINK("https://tessa.gazprom-neft.local/edo/card/b95d1e87-024d-4dde-a3e2-12a4e87a08a5", "https://tessa.gazprom-neft.local/edo/card/b95d1e87-024d-4dde-a3e2-12a4e87a08a5")</f>
        <v>https://tessa.gazprom-neft.local/edo/card/b95d1e87-024d-4dde-a3e2-12a4e87a08a5</v>
      </c>
    </row>
    <row r="2029" spans="1:45" hidden="1" x14ac:dyDescent="0.25">
      <c r="A2029" s="6" t="s">
        <v>44</v>
      </c>
      <c r="B2029" s="7" t="s">
        <v>727</v>
      </c>
      <c r="C2029" s="7" t="s">
        <v>67</v>
      </c>
      <c r="D2029" s="8">
        <v>44581</v>
      </c>
      <c r="E2029" s="8" t="s">
        <v>0</v>
      </c>
      <c r="F2029" s="16" t="s">
        <v>728</v>
      </c>
      <c r="G2029" s="7" t="s">
        <v>729</v>
      </c>
      <c r="H2029" s="7" t="s">
        <v>0</v>
      </c>
      <c r="I2029" s="7" t="s">
        <v>4142</v>
      </c>
      <c r="J2029" s="7" t="s">
        <v>4142</v>
      </c>
      <c r="K2029" s="7" t="s">
        <v>85</v>
      </c>
      <c r="L2029" s="7" t="s">
        <v>86</v>
      </c>
      <c r="M2029" s="7" t="s">
        <v>289</v>
      </c>
      <c r="N2029" s="7" t="s">
        <v>4141</v>
      </c>
      <c r="O2029" s="7" t="s">
        <v>0</v>
      </c>
      <c r="P2029" s="7" t="s">
        <v>289</v>
      </c>
      <c r="Q2029" s="7" t="s">
        <v>780</v>
      </c>
      <c r="R2029" s="7" t="s">
        <v>540</v>
      </c>
      <c r="S2029" s="7" t="s">
        <v>0</v>
      </c>
      <c r="T2029" s="7" t="s">
        <v>54</v>
      </c>
      <c r="U2029" s="7" t="s">
        <v>541</v>
      </c>
      <c r="V2029" s="7" t="s">
        <v>56</v>
      </c>
      <c r="W2029" s="7" t="s">
        <v>57</v>
      </c>
      <c r="X2029" s="7" t="s">
        <v>223</v>
      </c>
      <c r="Y2029" s="8">
        <v>44581</v>
      </c>
      <c r="Z2029" s="8" t="s">
        <v>0</v>
      </c>
      <c r="AA2029" s="7" t="s">
        <v>59</v>
      </c>
      <c r="AB2029" s="7" t="s">
        <v>300</v>
      </c>
      <c r="AC2029" s="7" t="s">
        <v>65</v>
      </c>
      <c r="AD2029" s="7" t="s">
        <v>144</v>
      </c>
      <c r="AE2029" s="7" t="s">
        <v>0</v>
      </c>
      <c r="AF2029" s="7" t="s">
        <v>0</v>
      </c>
      <c r="AG2029" s="7" t="s">
        <v>0</v>
      </c>
      <c r="AH2029" s="9" t="s">
        <v>0</v>
      </c>
      <c r="AI2029" s="9" t="s">
        <v>0</v>
      </c>
      <c r="AJ2029" s="9" t="s">
        <v>0</v>
      </c>
      <c r="AK2029" s="7" t="s">
        <v>61</v>
      </c>
      <c r="AL2029" s="7" t="s">
        <v>61</v>
      </c>
      <c r="AM2029" s="7" t="s">
        <v>0</v>
      </c>
      <c r="AN2029" s="7" t="s">
        <v>0</v>
      </c>
      <c r="AO2029" s="7" t="s">
        <v>0</v>
      </c>
      <c r="AP2029" s="7" t="s">
        <v>0</v>
      </c>
      <c r="AQ2029" s="7" t="s">
        <v>61</v>
      </c>
      <c r="AR2029" s="7" t="s">
        <v>0</v>
      </c>
      <c r="AS2029" s="10" t="str">
        <f>HYPERLINK("https://tessa.gazprom-neft.local/edo/card/47f1a766-3a32-4911-ab67-01feae434879", "https://tessa.gazprom-neft.local/edo/card/47f1a766-3a32-4911-ab67-01feae434879")</f>
        <v>https://tessa.gazprom-neft.local/edo/card/47f1a766-3a32-4911-ab67-01feae434879</v>
      </c>
    </row>
    <row r="2030" spans="1:45" hidden="1" x14ac:dyDescent="0.25">
      <c r="A2030" s="6" t="s">
        <v>44</v>
      </c>
      <c r="B2030" s="7" t="s">
        <v>297</v>
      </c>
      <c r="C2030" s="7" t="s">
        <v>67</v>
      </c>
      <c r="D2030" s="8">
        <v>44579</v>
      </c>
      <c r="E2030" s="8" t="s">
        <v>0</v>
      </c>
      <c r="F2030" s="16" t="s">
        <v>298</v>
      </c>
      <c r="G2030" s="7" t="s">
        <v>299</v>
      </c>
      <c r="H2030" s="7" t="s">
        <v>0</v>
      </c>
      <c r="I2030" s="7" t="s">
        <v>291</v>
      </c>
      <c r="J2030" s="7" t="s">
        <v>291</v>
      </c>
      <c r="K2030" s="7" t="s">
        <v>85</v>
      </c>
      <c r="L2030" s="7" t="s">
        <v>86</v>
      </c>
      <c r="M2030" s="7" t="s">
        <v>289</v>
      </c>
      <c r="N2030" s="7" t="s">
        <v>290</v>
      </c>
      <c r="O2030" s="7" t="s">
        <v>0</v>
      </c>
      <c r="P2030" s="7" t="s">
        <v>289</v>
      </c>
      <c r="Q2030" s="7" t="s">
        <v>292</v>
      </c>
      <c r="R2030" s="7" t="s">
        <v>293</v>
      </c>
      <c r="S2030" s="7" t="s">
        <v>293</v>
      </c>
      <c r="T2030" s="7" t="s">
        <v>54</v>
      </c>
      <c r="U2030" s="7" t="s">
        <v>294</v>
      </c>
      <c r="V2030" s="7" t="s">
        <v>295</v>
      </c>
      <c r="W2030" s="7" t="s">
        <v>57</v>
      </c>
      <c r="X2030" s="7" t="s">
        <v>223</v>
      </c>
      <c r="Y2030" s="8">
        <v>44579</v>
      </c>
      <c r="Z2030" s="8" t="s">
        <v>0</v>
      </c>
      <c r="AA2030" s="7" t="s">
        <v>296</v>
      </c>
      <c r="AB2030" s="7" t="s">
        <v>300</v>
      </c>
      <c r="AC2030" s="7" t="s">
        <v>65</v>
      </c>
      <c r="AD2030" s="7" t="s">
        <v>0</v>
      </c>
      <c r="AE2030" s="7" t="s">
        <v>0</v>
      </c>
      <c r="AF2030" s="7" t="s">
        <v>0</v>
      </c>
      <c r="AG2030" s="7" t="s">
        <v>0</v>
      </c>
      <c r="AH2030" s="9" t="s">
        <v>0</v>
      </c>
      <c r="AI2030" s="9" t="s">
        <v>0</v>
      </c>
      <c r="AJ2030" s="9" t="s">
        <v>0</v>
      </c>
      <c r="AK2030" s="7" t="s">
        <v>61</v>
      </c>
      <c r="AL2030" s="7" t="s">
        <v>61</v>
      </c>
      <c r="AM2030" s="7" t="s">
        <v>0</v>
      </c>
      <c r="AN2030" s="7" t="s">
        <v>0</v>
      </c>
      <c r="AO2030" s="7" t="s">
        <v>0</v>
      </c>
      <c r="AP2030" s="7" t="s">
        <v>0</v>
      </c>
      <c r="AQ2030" s="7" t="s">
        <v>61</v>
      </c>
      <c r="AR2030" s="7" t="s">
        <v>0</v>
      </c>
      <c r="AS2030" s="10" t="str">
        <f>HYPERLINK("https://tessa.gazprom-neft.local/edo/card/236226e6-116d-41c1-8e71-945c73ed68a6", "https://tessa.gazprom-neft.local/edo/card/236226e6-116d-41c1-8e71-945c73ed68a6")</f>
        <v>https://tessa.gazprom-neft.local/edo/card/236226e6-116d-41c1-8e71-945c73ed68a6</v>
      </c>
    </row>
    <row r="2031" spans="1:45" hidden="1" x14ac:dyDescent="0.25">
      <c r="A2031" s="6" t="s">
        <v>44</v>
      </c>
      <c r="B2031" s="7" t="s">
        <v>488</v>
      </c>
      <c r="C2031" s="7" t="s">
        <v>46</v>
      </c>
      <c r="D2031" s="8">
        <v>44579</v>
      </c>
      <c r="E2031" s="8" t="s">
        <v>0</v>
      </c>
      <c r="F2031" s="16" t="s">
        <v>489</v>
      </c>
      <c r="G2031" s="7" t="s">
        <v>490</v>
      </c>
      <c r="H2031" s="7" t="s">
        <v>0</v>
      </c>
      <c r="I2031" s="7" t="s">
        <v>486</v>
      </c>
      <c r="J2031" s="7" t="s">
        <v>486</v>
      </c>
      <c r="K2031" s="7" t="s">
        <v>85</v>
      </c>
      <c r="L2031" s="7" t="s">
        <v>86</v>
      </c>
      <c r="M2031" s="7" t="s">
        <v>289</v>
      </c>
      <c r="N2031" s="7" t="s">
        <v>485</v>
      </c>
      <c r="O2031" s="7" t="s">
        <v>0</v>
      </c>
      <c r="P2031" s="7" t="s">
        <v>289</v>
      </c>
      <c r="Q2031" s="7" t="s">
        <v>487</v>
      </c>
      <c r="R2031" s="7" t="s">
        <v>282</v>
      </c>
      <c r="S2031" s="7" t="s">
        <v>282</v>
      </c>
      <c r="T2031" s="7" t="s">
        <v>54</v>
      </c>
      <c r="U2031" s="7" t="s">
        <v>55</v>
      </c>
      <c r="V2031" s="7" t="s">
        <v>56</v>
      </c>
      <c r="W2031" s="7" t="s">
        <v>57</v>
      </c>
      <c r="X2031" s="7" t="s">
        <v>223</v>
      </c>
      <c r="Y2031" s="8">
        <v>44579</v>
      </c>
      <c r="Z2031" s="8" t="s">
        <v>0</v>
      </c>
      <c r="AA2031" s="7" t="s">
        <v>0</v>
      </c>
      <c r="AB2031" s="7" t="s">
        <v>300</v>
      </c>
      <c r="AC2031" s="7" t="s">
        <v>65</v>
      </c>
      <c r="AD2031" s="7" t="s">
        <v>0</v>
      </c>
      <c r="AE2031" s="7" t="s">
        <v>0</v>
      </c>
      <c r="AF2031" s="7" t="s">
        <v>0</v>
      </c>
      <c r="AG2031" s="7" t="s">
        <v>0</v>
      </c>
      <c r="AH2031" s="9" t="s">
        <v>0</v>
      </c>
      <c r="AI2031" s="9" t="s">
        <v>0</v>
      </c>
      <c r="AJ2031" s="9" t="s">
        <v>0</v>
      </c>
      <c r="AK2031" s="7" t="s">
        <v>61</v>
      </c>
      <c r="AL2031" s="7" t="s">
        <v>61</v>
      </c>
      <c r="AM2031" s="7" t="s">
        <v>0</v>
      </c>
      <c r="AN2031" s="7" t="s">
        <v>0</v>
      </c>
      <c r="AO2031" s="7" t="s">
        <v>0</v>
      </c>
      <c r="AP2031" s="7" t="s">
        <v>0</v>
      </c>
      <c r="AQ2031" s="7" t="s">
        <v>61</v>
      </c>
      <c r="AR2031" s="7" t="s">
        <v>0</v>
      </c>
      <c r="AS2031" s="10" t="str">
        <f>HYPERLINK("https://tessa.gazprom-neft.local/edo/card/3e723262-dfbe-4a26-8ac5-317c393883e5", "https://tessa.gazprom-neft.local/edo/card/3e723262-dfbe-4a26-8ac5-317c393883e5")</f>
        <v>https://tessa.gazprom-neft.local/edo/card/3e723262-dfbe-4a26-8ac5-317c393883e5</v>
      </c>
    </row>
    <row r="2032" spans="1:45" hidden="1" x14ac:dyDescent="0.25">
      <c r="A2032" s="6" t="s">
        <v>44</v>
      </c>
      <c r="B2032" s="7" t="s">
        <v>245</v>
      </c>
      <c r="C2032" s="7" t="s">
        <v>67</v>
      </c>
      <c r="D2032" s="8">
        <v>44579</v>
      </c>
      <c r="E2032" s="8" t="s">
        <v>0</v>
      </c>
      <c r="F2032" s="16" t="s">
        <v>246</v>
      </c>
      <c r="G2032" s="7" t="s">
        <v>247</v>
      </c>
      <c r="H2032" s="7" t="s">
        <v>758</v>
      </c>
      <c r="I2032" s="7" t="s">
        <v>0</v>
      </c>
      <c r="J2032" s="7" t="s">
        <v>760</v>
      </c>
      <c r="K2032" s="7" t="s">
        <v>47</v>
      </c>
      <c r="L2032" s="7" t="s">
        <v>239</v>
      </c>
      <c r="M2032" s="7" t="s">
        <v>0</v>
      </c>
      <c r="N2032" s="7" t="s">
        <v>757</v>
      </c>
      <c r="O2032" s="7" t="s">
        <v>0</v>
      </c>
      <c r="P2032" s="7" t="s">
        <v>759</v>
      </c>
      <c r="Q2032" s="7" t="s">
        <v>761</v>
      </c>
      <c r="R2032" s="7" t="s">
        <v>244</v>
      </c>
      <c r="S2032" s="7" t="s">
        <v>244</v>
      </c>
      <c r="T2032" s="7" t="s">
        <v>54</v>
      </c>
      <c r="U2032" s="7" t="s">
        <v>55</v>
      </c>
      <c r="V2032" s="7" t="s">
        <v>56</v>
      </c>
      <c r="W2032" s="7" t="s">
        <v>57</v>
      </c>
      <c r="X2032" s="7" t="s">
        <v>103</v>
      </c>
      <c r="Y2032" s="8">
        <v>44579</v>
      </c>
      <c r="Z2032" s="8">
        <v>44925</v>
      </c>
      <c r="AA2032" s="7" t="s">
        <v>59</v>
      </c>
      <c r="AB2032" s="7" t="s">
        <v>256</v>
      </c>
      <c r="AC2032" s="7" t="s">
        <v>79</v>
      </c>
      <c r="AD2032" s="7" t="s">
        <v>144</v>
      </c>
      <c r="AE2032" s="7" t="s">
        <v>82</v>
      </c>
      <c r="AF2032" s="7" t="s">
        <v>0</v>
      </c>
      <c r="AG2032" s="7" t="s">
        <v>0</v>
      </c>
      <c r="AH2032" s="9" t="s">
        <v>10826</v>
      </c>
      <c r="AI2032" s="9" t="s">
        <v>10827</v>
      </c>
      <c r="AJ2032" s="9" t="s">
        <v>10828</v>
      </c>
      <c r="AK2032" s="7" t="s">
        <v>61</v>
      </c>
      <c r="AL2032" s="7" t="s">
        <v>61</v>
      </c>
      <c r="AM2032" s="7" t="s">
        <v>0</v>
      </c>
      <c r="AN2032" s="7" t="s">
        <v>0</v>
      </c>
      <c r="AO2032" s="7" t="s">
        <v>0</v>
      </c>
      <c r="AP2032" s="7" t="s">
        <v>0</v>
      </c>
      <c r="AQ2032" s="7" t="s">
        <v>61</v>
      </c>
      <c r="AR2032" s="7" t="s">
        <v>0</v>
      </c>
      <c r="AS2032" s="10" t="str">
        <f>HYPERLINK("https://tessa.gazprom-neft.local/edo/card/c6ab6b26-5684-4c03-bca4-36fb7909c5ee", "https://tessa.gazprom-neft.local/edo/card/c6ab6b26-5684-4c03-bca4-36fb7909c5ee")</f>
        <v>https://tessa.gazprom-neft.local/edo/card/c6ab6b26-5684-4c03-bca4-36fb7909c5ee</v>
      </c>
    </row>
    <row r="2033" spans="1:45" hidden="1" x14ac:dyDescent="0.25">
      <c r="A2033" s="6" t="s">
        <v>44</v>
      </c>
      <c r="B2033" s="7" t="s">
        <v>2408</v>
      </c>
      <c r="C2033" s="7" t="s">
        <v>46</v>
      </c>
      <c r="D2033" s="8">
        <v>44578</v>
      </c>
      <c r="E2033" s="8" t="s">
        <v>0</v>
      </c>
      <c r="F2033" s="16" t="s">
        <v>2409</v>
      </c>
      <c r="G2033" s="7" t="s">
        <v>2410</v>
      </c>
      <c r="H2033" s="7" t="s">
        <v>0</v>
      </c>
      <c r="I2033" s="7" t="s">
        <v>2405</v>
      </c>
      <c r="J2033" s="7" t="s">
        <v>2405</v>
      </c>
      <c r="K2033" s="7" t="s">
        <v>47</v>
      </c>
      <c r="L2033" s="7" t="s">
        <v>96</v>
      </c>
      <c r="M2033" s="7" t="s">
        <v>0</v>
      </c>
      <c r="N2033" s="7" t="s">
        <v>2404</v>
      </c>
      <c r="O2033" s="7" t="s">
        <v>0</v>
      </c>
      <c r="P2033" s="7" t="s">
        <v>2406</v>
      </c>
      <c r="Q2033" s="7" t="s">
        <v>2406</v>
      </c>
      <c r="R2033" s="7" t="s">
        <v>1083</v>
      </c>
      <c r="S2033" s="7" t="s">
        <v>2407</v>
      </c>
      <c r="T2033" s="7" t="s">
        <v>54</v>
      </c>
      <c r="U2033" s="7" t="s">
        <v>274</v>
      </c>
      <c r="V2033" s="7" t="s">
        <v>56</v>
      </c>
      <c r="W2033" s="7" t="s">
        <v>57</v>
      </c>
      <c r="X2033" s="7" t="s">
        <v>103</v>
      </c>
      <c r="Y2033" s="8">
        <v>44578</v>
      </c>
      <c r="Z2033" s="8">
        <v>45291</v>
      </c>
      <c r="AA2033" s="7" t="s">
        <v>0</v>
      </c>
      <c r="AB2033" s="7" t="s">
        <v>64</v>
      </c>
      <c r="AC2033" s="7" t="s">
        <v>278</v>
      </c>
      <c r="AD2033" s="7" t="s">
        <v>80</v>
      </c>
      <c r="AE2033" s="7" t="s">
        <v>82</v>
      </c>
      <c r="AF2033" s="7" t="s">
        <v>0</v>
      </c>
      <c r="AG2033" s="7" t="s">
        <v>0</v>
      </c>
      <c r="AH2033" s="9" t="s">
        <v>11339</v>
      </c>
      <c r="AI2033" s="9" t="s">
        <v>11340</v>
      </c>
      <c r="AJ2033" s="9" t="s">
        <v>11341</v>
      </c>
      <c r="AK2033" s="7" t="s">
        <v>61</v>
      </c>
      <c r="AL2033" s="7" t="s">
        <v>61</v>
      </c>
      <c r="AM2033" s="7" t="s">
        <v>0</v>
      </c>
      <c r="AN2033" s="7" t="s">
        <v>0</v>
      </c>
      <c r="AO2033" s="7" t="s">
        <v>0</v>
      </c>
      <c r="AP2033" s="7" t="s">
        <v>0</v>
      </c>
      <c r="AQ2033" s="7" t="s">
        <v>61</v>
      </c>
      <c r="AR2033" s="7" t="s">
        <v>0</v>
      </c>
      <c r="AS2033" s="10" t="str">
        <f>HYPERLINK("https://tessa.gazprom-neft.local/edo/card/b1554a75-2adf-498f-a2b6-491be25ba9cd", "https://tessa.gazprom-neft.local/edo/card/b1554a75-2adf-498f-a2b6-491be25ba9cd")</f>
        <v>https://tessa.gazprom-neft.local/edo/card/b1554a75-2adf-498f-a2b6-491be25ba9cd</v>
      </c>
    </row>
    <row r="2034" spans="1:45" x14ac:dyDescent="0.25">
      <c r="A2034" s="6" t="s">
        <v>44</v>
      </c>
      <c r="B2034" s="7" t="s">
        <v>852</v>
      </c>
      <c r="C2034" s="7" t="s">
        <v>67</v>
      </c>
      <c r="D2034" s="8">
        <v>44575</v>
      </c>
      <c r="E2034" s="8" t="s">
        <v>0</v>
      </c>
      <c r="F2034" s="16" t="s">
        <v>853</v>
      </c>
      <c r="G2034" s="7" t="s">
        <v>854</v>
      </c>
      <c r="H2034" s="7" t="s">
        <v>849</v>
      </c>
      <c r="I2034" s="7" t="s">
        <v>0</v>
      </c>
      <c r="J2034" s="7" t="s">
        <v>156</v>
      </c>
      <c r="K2034" s="7" t="s">
        <v>47</v>
      </c>
      <c r="L2034" s="7" t="s">
        <v>48</v>
      </c>
      <c r="M2034" s="7" t="s">
        <v>0</v>
      </c>
      <c r="N2034" s="7" t="s">
        <v>848</v>
      </c>
      <c r="O2034" s="7" t="s">
        <v>0</v>
      </c>
      <c r="P2034" s="7" t="s">
        <v>850</v>
      </c>
      <c r="Q2034" s="7" t="s">
        <v>851</v>
      </c>
      <c r="R2034" s="7" t="s">
        <v>110</v>
      </c>
      <c r="S2034" s="7" t="s">
        <v>110</v>
      </c>
      <c r="T2034" s="7" t="s">
        <v>54</v>
      </c>
      <c r="U2034" s="7" t="s">
        <v>111</v>
      </c>
      <c r="V2034" s="7" t="s">
        <v>112</v>
      </c>
      <c r="W2034" s="7" t="s">
        <v>57</v>
      </c>
      <c r="X2034" s="7" t="s">
        <v>58</v>
      </c>
      <c r="Y2034" s="8">
        <v>44575</v>
      </c>
      <c r="Z2034" s="8" t="s">
        <v>0</v>
      </c>
      <c r="AA2034" s="7" t="s">
        <v>113</v>
      </c>
      <c r="AB2034" s="7" t="s">
        <v>161</v>
      </c>
      <c r="AC2034" s="7" t="s">
        <v>65</v>
      </c>
      <c r="AD2034" s="7" t="s">
        <v>0</v>
      </c>
      <c r="AE2034" s="7" t="s">
        <v>0</v>
      </c>
      <c r="AF2034" s="7" t="s">
        <v>0</v>
      </c>
      <c r="AG2034" s="7" t="s">
        <v>0</v>
      </c>
      <c r="AH2034" s="9" t="s">
        <v>0</v>
      </c>
      <c r="AI2034" s="9" t="s">
        <v>0</v>
      </c>
      <c r="AJ2034" s="9" t="s">
        <v>0</v>
      </c>
      <c r="AK2034" s="7" t="s">
        <v>61</v>
      </c>
      <c r="AL2034" s="7" t="s">
        <v>61</v>
      </c>
      <c r="AM2034" s="7" t="s">
        <v>0</v>
      </c>
      <c r="AN2034" s="7" t="s">
        <v>0</v>
      </c>
      <c r="AO2034" s="7" t="s">
        <v>0</v>
      </c>
      <c r="AP2034" s="7" t="s">
        <v>0</v>
      </c>
      <c r="AQ2034" s="7" t="s">
        <v>61</v>
      </c>
      <c r="AR2034" s="7" t="s">
        <v>0</v>
      </c>
      <c r="AS2034" s="10" t="str">
        <f>HYPERLINK("https://tessa.gazprom-neft.local/edo/card/064190fa-77ad-4bac-98c3-286f618293ef", "https://tessa.gazprom-neft.local/edo/card/064190fa-77ad-4bac-98c3-286f618293ef")</f>
        <v>https://tessa.gazprom-neft.local/edo/card/064190fa-77ad-4bac-98c3-286f618293ef</v>
      </c>
    </row>
    <row r="2035" spans="1:45" hidden="1" x14ac:dyDescent="0.25">
      <c r="A2035" s="6" t="s">
        <v>44</v>
      </c>
      <c r="B2035" s="7" t="s">
        <v>542</v>
      </c>
      <c r="C2035" s="7" t="s">
        <v>67</v>
      </c>
      <c r="D2035" s="8">
        <v>44575</v>
      </c>
      <c r="E2035" s="8" t="s">
        <v>0</v>
      </c>
      <c r="F2035" s="16" t="s">
        <v>543</v>
      </c>
      <c r="G2035" s="7" t="s">
        <v>544</v>
      </c>
      <c r="H2035" s="7" t="s">
        <v>536</v>
      </c>
      <c r="I2035" s="7" t="s">
        <v>0</v>
      </c>
      <c r="J2035" s="7" t="s">
        <v>657</v>
      </c>
      <c r="K2035" s="7" t="s">
        <v>47</v>
      </c>
      <c r="L2035" s="7" t="s">
        <v>239</v>
      </c>
      <c r="M2035" s="7" t="s">
        <v>0</v>
      </c>
      <c r="N2035" s="7" t="s">
        <v>1222</v>
      </c>
      <c r="O2035" s="7" t="s">
        <v>0</v>
      </c>
      <c r="P2035" s="7" t="s">
        <v>1223</v>
      </c>
      <c r="Q2035" s="7" t="s">
        <v>1224</v>
      </c>
      <c r="R2035" s="7" t="s">
        <v>540</v>
      </c>
      <c r="S2035" s="7" t="s">
        <v>0</v>
      </c>
      <c r="T2035" s="7" t="s">
        <v>54</v>
      </c>
      <c r="U2035" s="7" t="s">
        <v>541</v>
      </c>
      <c r="V2035" s="7" t="s">
        <v>56</v>
      </c>
      <c r="W2035" s="7" t="s">
        <v>57</v>
      </c>
      <c r="X2035" s="7" t="s">
        <v>103</v>
      </c>
      <c r="Y2035" s="8">
        <v>44596</v>
      </c>
      <c r="Z2035" s="8">
        <v>44645</v>
      </c>
      <c r="AA2035" s="7" t="s">
        <v>59</v>
      </c>
      <c r="AB2035" s="7" t="s">
        <v>545</v>
      </c>
      <c r="AC2035" s="7" t="s">
        <v>79</v>
      </c>
      <c r="AD2035" s="7" t="s">
        <v>144</v>
      </c>
      <c r="AE2035" s="7" t="s">
        <v>82</v>
      </c>
      <c r="AF2035" s="7" t="s">
        <v>0</v>
      </c>
      <c r="AG2035" s="7" t="s">
        <v>0</v>
      </c>
      <c r="AH2035" s="9" t="s">
        <v>10958</v>
      </c>
      <c r="AI2035" s="9" t="s">
        <v>10959</v>
      </c>
      <c r="AJ2035" s="9" t="s">
        <v>10960</v>
      </c>
      <c r="AK2035" s="7" t="s">
        <v>61</v>
      </c>
      <c r="AL2035" s="7" t="s">
        <v>61</v>
      </c>
      <c r="AM2035" s="7" t="s">
        <v>0</v>
      </c>
      <c r="AN2035" s="7" t="s">
        <v>0</v>
      </c>
      <c r="AO2035" s="7" t="s">
        <v>0</v>
      </c>
      <c r="AP2035" s="7" t="s">
        <v>0</v>
      </c>
      <c r="AQ2035" s="7" t="s">
        <v>61</v>
      </c>
      <c r="AR2035" s="7" t="s">
        <v>0</v>
      </c>
      <c r="AS2035" s="10" t="str">
        <f>HYPERLINK("https://tessa.gazprom-neft.local/edo/card/68b7f748-c177-4826-8b28-8be59c20d400", "https://tessa.gazprom-neft.local/edo/card/68b7f748-c177-4826-8b28-8be59c20d400")</f>
        <v>https://tessa.gazprom-neft.local/edo/card/68b7f748-c177-4826-8b28-8be59c20d400</v>
      </c>
    </row>
    <row r="2036" spans="1:45" x14ac:dyDescent="0.25">
      <c r="A2036" s="6" t="s">
        <v>44</v>
      </c>
      <c r="B2036" s="7" t="s">
        <v>253</v>
      </c>
      <c r="C2036" s="7" t="s">
        <v>67</v>
      </c>
      <c r="D2036" s="8">
        <v>44574</v>
      </c>
      <c r="E2036" s="8" t="s">
        <v>0</v>
      </c>
      <c r="F2036" s="16" t="s">
        <v>254</v>
      </c>
      <c r="G2036" s="7" t="s">
        <v>255</v>
      </c>
      <c r="H2036" s="7" t="s">
        <v>250</v>
      </c>
      <c r="I2036" s="7" t="s">
        <v>0</v>
      </c>
      <c r="J2036" s="7" t="s">
        <v>51</v>
      </c>
      <c r="K2036" s="7" t="s">
        <v>47</v>
      </c>
      <c r="L2036" s="7" t="s">
        <v>48</v>
      </c>
      <c r="M2036" s="7" t="s">
        <v>0</v>
      </c>
      <c r="N2036" s="7" t="s">
        <v>249</v>
      </c>
      <c r="O2036" s="7" t="s">
        <v>0</v>
      </c>
      <c r="P2036" s="7" t="s">
        <v>251</v>
      </c>
      <c r="Q2036" s="7" t="s">
        <v>252</v>
      </c>
      <c r="R2036" s="7" t="s">
        <v>244</v>
      </c>
      <c r="S2036" s="7" t="s">
        <v>244</v>
      </c>
      <c r="T2036" s="7" t="s">
        <v>54</v>
      </c>
      <c r="U2036" s="7" t="s">
        <v>55</v>
      </c>
      <c r="V2036" s="7" t="s">
        <v>56</v>
      </c>
      <c r="W2036" s="7" t="s">
        <v>57</v>
      </c>
      <c r="X2036" s="7" t="s">
        <v>103</v>
      </c>
      <c r="Y2036" s="8">
        <v>44574</v>
      </c>
      <c r="Z2036" s="8">
        <v>44926</v>
      </c>
      <c r="AA2036" s="7" t="s">
        <v>59</v>
      </c>
      <c r="AB2036" s="7" t="s">
        <v>256</v>
      </c>
      <c r="AC2036" s="7" t="s">
        <v>65</v>
      </c>
      <c r="AD2036" s="7" t="s">
        <v>0</v>
      </c>
      <c r="AE2036" s="7" t="s">
        <v>0</v>
      </c>
      <c r="AF2036" s="7" t="s">
        <v>0</v>
      </c>
      <c r="AG2036" s="7" t="s">
        <v>0</v>
      </c>
      <c r="AH2036" s="9" t="s">
        <v>0</v>
      </c>
      <c r="AI2036" s="9" t="s">
        <v>0</v>
      </c>
      <c r="AJ2036" s="9" t="s">
        <v>0</v>
      </c>
      <c r="AK2036" s="7" t="s">
        <v>61</v>
      </c>
      <c r="AL2036" s="7" t="s">
        <v>61</v>
      </c>
      <c r="AM2036" s="7" t="s">
        <v>0</v>
      </c>
      <c r="AN2036" s="7" t="s">
        <v>0</v>
      </c>
      <c r="AO2036" s="7" t="s">
        <v>0</v>
      </c>
      <c r="AP2036" s="7" t="s">
        <v>0</v>
      </c>
      <c r="AQ2036" s="7" t="s">
        <v>61</v>
      </c>
      <c r="AR2036" s="7" t="s">
        <v>0</v>
      </c>
      <c r="AS2036" s="10" t="str">
        <f>HYPERLINK("https://tessa.gazprom-neft.local/edo/card/2f52d7de-c6ec-4e26-b4f6-355e0b112005", "https://tessa.gazprom-neft.local/edo/card/2f52d7de-c6ec-4e26-b4f6-355e0b112005")</f>
        <v>https://tessa.gazprom-neft.local/edo/card/2f52d7de-c6ec-4e26-b4f6-355e0b112005</v>
      </c>
    </row>
    <row r="2037" spans="1:45" hidden="1" x14ac:dyDescent="0.25">
      <c r="A2037" s="6" t="s">
        <v>44</v>
      </c>
      <c r="B2037" s="7" t="s">
        <v>275</v>
      </c>
      <c r="C2037" s="7" t="s">
        <v>46</v>
      </c>
      <c r="D2037" s="8">
        <v>44574</v>
      </c>
      <c r="E2037" s="8" t="s">
        <v>0</v>
      </c>
      <c r="F2037" s="16" t="s">
        <v>276</v>
      </c>
      <c r="G2037" s="7" t="s">
        <v>277</v>
      </c>
      <c r="H2037" s="7" t="s">
        <v>2920</v>
      </c>
      <c r="I2037" s="7" t="s">
        <v>0</v>
      </c>
      <c r="J2037" s="7" t="s">
        <v>657</v>
      </c>
      <c r="K2037" s="7" t="s">
        <v>47</v>
      </c>
      <c r="L2037" s="7" t="s">
        <v>239</v>
      </c>
      <c r="M2037" s="7" t="s">
        <v>0</v>
      </c>
      <c r="N2037" s="7" t="s">
        <v>2919</v>
      </c>
      <c r="O2037" s="7" t="s">
        <v>0</v>
      </c>
      <c r="P2037" s="7" t="s">
        <v>2921</v>
      </c>
      <c r="Q2037" s="7" t="s">
        <v>2922</v>
      </c>
      <c r="R2037" s="7" t="s">
        <v>273</v>
      </c>
      <c r="S2037" s="7" t="s">
        <v>273</v>
      </c>
      <c r="T2037" s="7" t="s">
        <v>54</v>
      </c>
      <c r="U2037" s="7" t="s">
        <v>274</v>
      </c>
      <c r="V2037" s="7" t="s">
        <v>723</v>
      </c>
      <c r="W2037" s="7" t="s">
        <v>57</v>
      </c>
      <c r="X2037" s="7" t="s">
        <v>103</v>
      </c>
      <c r="Y2037" s="8">
        <v>44608</v>
      </c>
      <c r="Z2037" s="8">
        <v>44651</v>
      </c>
      <c r="AA2037" s="7" t="s">
        <v>1031</v>
      </c>
      <c r="AB2037" s="7" t="s">
        <v>64</v>
      </c>
      <c r="AC2037" s="7" t="s">
        <v>278</v>
      </c>
      <c r="AD2037" s="7" t="s">
        <v>80</v>
      </c>
      <c r="AE2037" s="7" t="s">
        <v>82</v>
      </c>
      <c r="AF2037" s="7" t="s">
        <v>0</v>
      </c>
      <c r="AG2037" s="7" t="s">
        <v>0</v>
      </c>
      <c r="AH2037" s="9" t="s">
        <v>11492</v>
      </c>
      <c r="AI2037" s="9" t="s">
        <v>11493</v>
      </c>
      <c r="AJ2037" s="9" t="s">
        <v>11494</v>
      </c>
      <c r="AK2037" s="7" t="s">
        <v>61</v>
      </c>
      <c r="AL2037" s="7" t="s">
        <v>61</v>
      </c>
      <c r="AM2037" s="7" t="s">
        <v>0</v>
      </c>
      <c r="AN2037" s="7" t="s">
        <v>0</v>
      </c>
      <c r="AO2037" s="7" t="s">
        <v>0</v>
      </c>
      <c r="AP2037" s="7" t="s">
        <v>0</v>
      </c>
      <c r="AQ2037" s="7" t="s">
        <v>61</v>
      </c>
      <c r="AR2037" s="7" t="s">
        <v>0</v>
      </c>
      <c r="AS2037" s="10" t="str">
        <f>HYPERLINK("https://tessa.gazprom-neft.local/edo/card/75bd75ea-6bc7-469e-87f6-8ca0729ba5a1", "https://tessa.gazprom-neft.local/edo/card/75bd75ea-6bc7-469e-87f6-8ca0729ba5a1")</f>
        <v>https://tessa.gazprom-neft.local/edo/card/75bd75ea-6bc7-469e-87f6-8ca0729ba5a1</v>
      </c>
    </row>
    <row r="2038" spans="1:45" hidden="1" x14ac:dyDescent="0.25">
      <c r="A2038" s="6" t="s">
        <v>44</v>
      </c>
      <c r="B2038" s="7" t="s">
        <v>374</v>
      </c>
      <c r="C2038" s="7" t="s">
        <v>67</v>
      </c>
      <c r="D2038" s="8">
        <v>44572</v>
      </c>
      <c r="E2038" s="8" t="s">
        <v>0</v>
      </c>
      <c r="F2038" s="16" t="s">
        <v>375</v>
      </c>
      <c r="G2038" s="7" t="s">
        <v>376</v>
      </c>
      <c r="H2038" s="7" t="s">
        <v>0</v>
      </c>
      <c r="I2038" s="7" t="s">
        <v>7716</v>
      </c>
      <c r="J2038" s="7" t="s">
        <v>7716</v>
      </c>
      <c r="K2038" s="7" t="s">
        <v>47</v>
      </c>
      <c r="L2038" s="7" t="s">
        <v>96</v>
      </c>
      <c r="M2038" s="7" t="s">
        <v>0</v>
      </c>
      <c r="N2038" s="7" t="s">
        <v>9530</v>
      </c>
      <c r="O2038" s="7" t="s">
        <v>0</v>
      </c>
      <c r="P2038" s="7" t="s">
        <v>983</v>
      </c>
      <c r="Q2038" s="7" t="s">
        <v>9531</v>
      </c>
      <c r="R2038" s="7" t="s">
        <v>198</v>
      </c>
      <c r="S2038" s="7" t="s">
        <v>198</v>
      </c>
      <c r="T2038" s="7" t="s">
        <v>54</v>
      </c>
      <c r="U2038" s="7" t="s">
        <v>199</v>
      </c>
      <c r="V2038" s="7" t="s">
        <v>211</v>
      </c>
      <c r="W2038" s="7" t="s">
        <v>57</v>
      </c>
      <c r="X2038" s="7" t="s">
        <v>103</v>
      </c>
      <c r="Y2038" s="8">
        <v>44562</v>
      </c>
      <c r="Z2038" s="8">
        <v>45657</v>
      </c>
      <c r="AA2038" s="7" t="s">
        <v>212</v>
      </c>
      <c r="AB2038" s="7" t="s">
        <v>64</v>
      </c>
      <c r="AC2038" s="7" t="s">
        <v>79</v>
      </c>
      <c r="AD2038" s="7" t="s">
        <v>80</v>
      </c>
      <c r="AE2038" s="7" t="s">
        <v>82</v>
      </c>
      <c r="AF2038" s="7" t="s">
        <v>0</v>
      </c>
      <c r="AG2038" s="7" t="s">
        <v>0</v>
      </c>
      <c r="AH2038" s="9" t="s">
        <v>13971</v>
      </c>
      <c r="AI2038" s="9" t="s">
        <v>13972</v>
      </c>
      <c r="AJ2038" s="9" t="s">
        <v>13973</v>
      </c>
      <c r="AK2038" s="7" t="s">
        <v>61</v>
      </c>
      <c r="AL2038" s="7" t="s">
        <v>61</v>
      </c>
      <c r="AM2038" s="7" t="s">
        <v>0</v>
      </c>
      <c r="AN2038" s="7" t="s">
        <v>0</v>
      </c>
      <c r="AO2038" s="7" t="s">
        <v>0</v>
      </c>
      <c r="AP2038" s="7" t="s">
        <v>0</v>
      </c>
      <c r="AQ2038" s="7" t="s">
        <v>61</v>
      </c>
      <c r="AR2038" s="7" t="s">
        <v>0</v>
      </c>
      <c r="AS2038" s="10" t="str">
        <f>HYPERLINK("https://tessa.gazprom-neft.local/edo/card/fd09ec83-c8e6-4527-92d8-25ef590aa6a8", "https://tessa.gazprom-neft.local/edo/card/fd09ec83-c8e6-4527-92d8-25ef590aa6a8")</f>
        <v>https://tessa.gazprom-neft.local/edo/card/fd09ec83-c8e6-4527-92d8-25ef590aa6a8</v>
      </c>
    </row>
    <row r="2039" spans="1:45" hidden="1" x14ac:dyDescent="0.25">
      <c r="A2039" s="6" t="s">
        <v>44</v>
      </c>
      <c r="B2039" s="7" t="s">
        <v>1576</v>
      </c>
      <c r="C2039" s="7" t="s">
        <v>67</v>
      </c>
      <c r="D2039" s="8">
        <v>44571</v>
      </c>
      <c r="E2039" s="8" t="s">
        <v>0</v>
      </c>
      <c r="F2039" s="16" t="s">
        <v>1577</v>
      </c>
      <c r="G2039" s="7" t="s">
        <v>1578</v>
      </c>
      <c r="H2039" s="7" t="s">
        <v>0</v>
      </c>
      <c r="I2039" s="7" t="s">
        <v>1573</v>
      </c>
      <c r="J2039" s="7" t="s">
        <v>1573</v>
      </c>
      <c r="K2039" s="7" t="s">
        <v>85</v>
      </c>
      <c r="L2039" s="7" t="s">
        <v>86</v>
      </c>
      <c r="M2039" s="7" t="s">
        <v>83</v>
      </c>
      <c r="N2039" s="7" t="s">
        <v>1572</v>
      </c>
      <c r="O2039" s="7" t="s">
        <v>0</v>
      </c>
      <c r="P2039" s="7" t="s">
        <v>83</v>
      </c>
      <c r="Q2039" s="7" t="s">
        <v>1574</v>
      </c>
      <c r="R2039" s="7" t="s">
        <v>1575</v>
      </c>
      <c r="S2039" s="7" t="s">
        <v>1575</v>
      </c>
      <c r="T2039" s="7" t="s">
        <v>54</v>
      </c>
      <c r="U2039" s="7" t="s">
        <v>222</v>
      </c>
      <c r="V2039" s="7" t="s">
        <v>382</v>
      </c>
      <c r="W2039" s="7" t="s">
        <v>57</v>
      </c>
      <c r="X2039" s="7" t="s">
        <v>223</v>
      </c>
      <c r="Y2039" s="8">
        <v>44571</v>
      </c>
      <c r="Z2039" s="8" t="s">
        <v>0</v>
      </c>
      <c r="AA2039" s="7" t="s">
        <v>383</v>
      </c>
      <c r="AB2039" s="7" t="s">
        <v>94</v>
      </c>
      <c r="AC2039" s="7" t="s">
        <v>79</v>
      </c>
      <c r="AD2039" s="7" t="s">
        <v>144</v>
      </c>
      <c r="AE2039" s="7" t="s">
        <v>472</v>
      </c>
      <c r="AF2039" s="7" t="s">
        <v>119</v>
      </c>
      <c r="AG2039" s="7" t="s">
        <v>0</v>
      </c>
      <c r="AH2039" s="9">
        <v>0</v>
      </c>
      <c r="AI2039" s="9">
        <v>0</v>
      </c>
      <c r="AJ2039" s="9">
        <v>0</v>
      </c>
      <c r="AK2039" s="7" t="s">
        <v>61</v>
      </c>
      <c r="AL2039" s="7" t="s">
        <v>61</v>
      </c>
      <c r="AM2039" s="7" t="s">
        <v>0</v>
      </c>
      <c r="AN2039" s="7" t="s">
        <v>0</v>
      </c>
      <c r="AO2039" s="7" t="s">
        <v>0</v>
      </c>
      <c r="AP2039" s="7" t="s">
        <v>0</v>
      </c>
      <c r="AQ2039" s="7" t="s">
        <v>61</v>
      </c>
      <c r="AR2039" s="7" t="s">
        <v>0</v>
      </c>
      <c r="AS2039" s="10" t="str">
        <f>HYPERLINK("https://tessa.gazprom-neft.local/edo/card/52f44f6d-a79e-4b59-836b-939f3a4baf39", "https://tessa.gazprom-neft.local/edo/card/52f44f6d-a79e-4b59-836b-939f3a4baf39")</f>
        <v>https://tessa.gazprom-neft.local/edo/card/52f44f6d-a79e-4b59-836b-939f3a4baf39</v>
      </c>
    </row>
    <row r="2040" spans="1:45" hidden="1" x14ac:dyDescent="0.25">
      <c r="A2040" s="6" t="s">
        <v>44</v>
      </c>
      <c r="B2040" s="7" t="s">
        <v>1165</v>
      </c>
      <c r="C2040" s="7" t="s">
        <v>67</v>
      </c>
      <c r="D2040" s="8">
        <v>44571</v>
      </c>
      <c r="E2040" s="8" t="s">
        <v>0</v>
      </c>
      <c r="F2040" s="16" t="s">
        <v>1166</v>
      </c>
      <c r="G2040" s="7" t="s">
        <v>1167</v>
      </c>
      <c r="H2040" s="7" t="s">
        <v>4267</v>
      </c>
      <c r="I2040" s="7" t="s">
        <v>0</v>
      </c>
      <c r="J2040" s="7" t="s">
        <v>4301</v>
      </c>
      <c r="K2040" s="7" t="s">
        <v>47</v>
      </c>
      <c r="L2040" s="7" t="s">
        <v>239</v>
      </c>
      <c r="M2040" s="7" t="s">
        <v>0</v>
      </c>
      <c r="N2040" s="7" t="s">
        <v>4299</v>
      </c>
      <c r="O2040" s="7" t="s">
        <v>0</v>
      </c>
      <c r="P2040" s="7" t="s">
        <v>4300</v>
      </c>
      <c r="Q2040" s="7" t="s">
        <v>4302</v>
      </c>
      <c r="R2040" s="7" t="s">
        <v>244</v>
      </c>
      <c r="S2040" s="7" t="s">
        <v>0</v>
      </c>
      <c r="T2040" s="7" t="s">
        <v>54</v>
      </c>
      <c r="U2040" s="7" t="s">
        <v>55</v>
      </c>
      <c r="V2040" s="7" t="s">
        <v>56</v>
      </c>
      <c r="W2040" s="7" t="s">
        <v>57</v>
      </c>
      <c r="X2040" s="7" t="s">
        <v>103</v>
      </c>
      <c r="Y2040" s="8">
        <v>44562</v>
      </c>
      <c r="Z2040" s="8">
        <v>44926</v>
      </c>
      <c r="AA2040" s="7" t="s">
        <v>59</v>
      </c>
      <c r="AB2040" s="7" t="s">
        <v>256</v>
      </c>
      <c r="AC2040" s="7" t="s">
        <v>79</v>
      </c>
      <c r="AD2040" s="7" t="s">
        <v>144</v>
      </c>
      <c r="AE2040" s="7" t="s">
        <v>82</v>
      </c>
      <c r="AF2040" s="7" t="s">
        <v>0</v>
      </c>
      <c r="AG2040" s="7" t="s">
        <v>0</v>
      </c>
      <c r="AH2040" s="9" t="s">
        <v>12004</v>
      </c>
      <c r="AI2040" s="9" t="s">
        <v>12005</v>
      </c>
      <c r="AJ2040" s="9" t="s">
        <v>12006</v>
      </c>
      <c r="AK2040" s="7" t="s">
        <v>61</v>
      </c>
      <c r="AL2040" s="7" t="s">
        <v>61</v>
      </c>
      <c r="AM2040" s="7" t="s">
        <v>0</v>
      </c>
      <c r="AN2040" s="7" t="s">
        <v>0</v>
      </c>
      <c r="AO2040" s="7" t="s">
        <v>0</v>
      </c>
      <c r="AP2040" s="7" t="s">
        <v>0</v>
      </c>
      <c r="AQ2040" s="7" t="s">
        <v>61</v>
      </c>
      <c r="AR2040" s="7" t="s">
        <v>0</v>
      </c>
      <c r="AS2040" s="10" t="str">
        <f>HYPERLINK("https://tessa.gazprom-neft.local/edo/card/5780d38b-3a8e-4359-8f08-5f440f1cf201", "https://tessa.gazprom-neft.local/edo/card/5780d38b-3a8e-4359-8f08-5f440f1cf201")</f>
        <v>https://tessa.gazprom-neft.local/edo/card/5780d38b-3a8e-4359-8f08-5f440f1cf201</v>
      </c>
    </row>
    <row r="2041" spans="1:45" hidden="1" x14ac:dyDescent="0.25">
      <c r="A2041" s="6" t="s">
        <v>44</v>
      </c>
      <c r="B2041" s="7" t="s">
        <v>213</v>
      </c>
      <c r="C2041" s="7" t="s">
        <v>67</v>
      </c>
      <c r="D2041" s="8">
        <v>44568</v>
      </c>
      <c r="E2041" s="8" t="s">
        <v>0</v>
      </c>
      <c r="F2041" s="16" t="s">
        <v>214</v>
      </c>
      <c r="G2041" s="7" t="s">
        <v>215</v>
      </c>
      <c r="H2041" s="7" t="s">
        <v>0</v>
      </c>
      <c r="I2041" s="7" t="s">
        <v>207</v>
      </c>
      <c r="J2041" s="7" t="s">
        <v>207</v>
      </c>
      <c r="K2041" s="7" t="s">
        <v>85</v>
      </c>
      <c r="L2041" s="7" t="s">
        <v>96</v>
      </c>
      <c r="M2041" s="7" t="s">
        <v>205</v>
      </c>
      <c r="N2041" s="7" t="s">
        <v>206</v>
      </c>
      <c r="O2041" s="7" t="s">
        <v>0</v>
      </c>
      <c r="P2041" s="7" t="s">
        <v>205</v>
      </c>
      <c r="Q2041" s="7" t="s">
        <v>208</v>
      </c>
      <c r="R2041" s="7" t="s">
        <v>177</v>
      </c>
      <c r="S2041" s="7" t="s">
        <v>209</v>
      </c>
      <c r="T2041" s="7" t="s">
        <v>54</v>
      </c>
      <c r="U2041" s="7" t="s">
        <v>210</v>
      </c>
      <c r="V2041" s="7" t="s">
        <v>211</v>
      </c>
      <c r="W2041" s="7" t="s">
        <v>57</v>
      </c>
      <c r="X2041" s="7" t="s">
        <v>103</v>
      </c>
      <c r="Y2041" s="8">
        <v>44567</v>
      </c>
      <c r="Z2041" s="8">
        <v>45657</v>
      </c>
      <c r="AA2041" s="7" t="s">
        <v>212</v>
      </c>
      <c r="AB2041" s="7" t="s">
        <v>64</v>
      </c>
      <c r="AC2041" s="7" t="s">
        <v>79</v>
      </c>
      <c r="AD2041" s="7" t="s">
        <v>80</v>
      </c>
      <c r="AE2041" s="7" t="s">
        <v>82</v>
      </c>
      <c r="AF2041" s="7" t="s">
        <v>0</v>
      </c>
      <c r="AG2041" s="7" t="s">
        <v>0</v>
      </c>
      <c r="AH2041" s="9" t="s">
        <v>10711</v>
      </c>
      <c r="AI2041" s="9" t="s">
        <v>10712</v>
      </c>
      <c r="AJ2041" s="9" t="s">
        <v>10713</v>
      </c>
      <c r="AK2041" s="7" t="s">
        <v>61</v>
      </c>
      <c r="AL2041" s="7" t="s">
        <v>61</v>
      </c>
      <c r="AM2041" s="7" t="s">
        <v>0</v>
      </c>
      <c r="AN2041" s="7" t="s">
        <v>0</v>
      </c>
      <c r="AO2041" s="7" t="s">
        <v>0</v>
      </c>
      <c r="AP2041" s="7" t="s">
        <v>0</v>
      </c>
      <c r="AQ2041" s="7" t="s">
        <v>61</v>
      </c>
      <c r="AR2041" s="7" t="s">
        <v>0</v>
      </c>
      <c r="AS2041" s="10" t="str">
        <f>HYPERLINK("https://tessa.gazprom-neft.local/edo/card/c4416717-06c6-478f-8831-3951d1612f98", "https://tessa.gazprom-neft.local/edo/card/c4416717-06c6-478f-8831-3951d1612f98")</f>
        <v>https://tessa.gazprom-neft.local/edo/card/c4416717-06c6-478f-8831-3951d1612f98</v>
      </c>
    </row>
    <row r="2042" spans="1:45" hidden="1" x14ac:dyDescent="0.25">
      <c r="A2042" s="6" t="s">
        <v>44</v>
      </c>
      <c r="B2042" s="7" t="s">
        <v>225</v>
      </c>
      <c r="C2042" s="7" t="s">
        <v>67</v>
      </c>
      <c r="D2042" s="8">
        <v>44565</v>
      </c>
      <c r="E2042" s="8" t="s">
        <v>0</v>
      </c>
      <c r="F2042" s="16" t="s">
        <v>226</v>
      </c>
      <c r="G2042" s="7" t="s">
        <v>227</v>
      </c>
      <c r="H2042" s="7" t="s">
        <v>0</v>
      </c>
      <c r="I2042" s="7" t="s">
        <v>7952</v>
      </c>
      <c r="J2042" s="7" t="s">
        <v>7952</v>
      </c>
      <c r="K2042" s="7" t="s">
        <v>85</v>
      </c>
      <c r="L2042" s="7" t="s">
        <v>86</v>
      </c>
      <c r="M2042" s="7" t="s">
        <v>216</v>
      </c>
      <c r="N2042" s="7" t="s">
        <v>7951</v>
      </c>
      <c r="O2042" s="7" t="s">
        <v>0</v>
      </c>
      <c r="P2042" s="7" t="s">
        <v>216</v>
      </c>
      <c r="Q2042" s="7" t="s">
        <v>7953</v>
      </c>
      <c r="R2042" s="7" t="s">
        <v>220</v>
      </c>
      <c r="S2042" s="7" t="s">
        <v>221</v>
      </c>
      <c r="T2042" s="7" t="s">
        <v>54</v>
      </c>
      <c r="U2042" s="7" t="s">
        <v>222</v>
      </c>
      <c r="V2042" s="7" t="s">
        <v>382</v>
      </c>
      <c r="W2042" s="7" t="s">
        <v>57</v>
      </c>
      <c r="X2042" s="7" t="s">
        <v>58</v>
      </c>
      <c r="Y2042" s="8">
        <v>44565</v>
      </c>
      <c r="Z2042" s="8" t="s">
        <v>0</v>
      </c>
      <c r="AA2042" s="7" t="s">
        <v>383</v>
      </c>
      <c r="AB2042" s="7" t="s">
        <v>228</v>
      </c>
      <c r="AC2042" s="7" t="s">
        <v>65</v>
      </c>
      <c r="AD2042" s="7" t="s">
        <v>0</v>
      </c>
      <c r="AE2042" s="7" t="s">
        <v>0</v>
      </c>
      <c r="AF2042" s="7" t="s">
        <v>0</v>
      </c>
      <c r="AG2042" s="7" t="s">
        <v>0</v>
      </c>
      <c r="AH2042" s="9" t="s">
        <v>0</v>
      </c>
      <c r="AI2042" s="9" t="s">
        <v>0</v>
      </c>
      <c r="AJ2042" s="9" t="s">
        <v>0</v>
      </c>
      <c r="AK2042" s="7" t="s">
        <v>61</v>
      </c>
      <c r="AL2042" s="7" t="s">
        <v>61</v>
      </c>
      <c r="AM2042" s="7" t="s">
        <v>0</v>
      </c>
      <c r="AN2042" s="7" t="s">
        <v>0</v>
      </c>
      <c r="AO2042" s="7" t="s">
        <v>0</v>
      </c>
      <c r="AP2042" s="7" t="s">
        <v>0</v>
      </c>
      <c r="AQ2042" s="7" t="s">
        <v>61</v>
      </c>
      <c r="AR2042" s="7" t="s">
        <v>0</v>
      </c>
      <c r="AS2042" s="10" t="str">
        <f>HYPERLINK("https://tessa.gazprom-neft.local/edo/card/404ef490-a05e-4ec7-b519-8cc3bbee73f7", "https://tessa.gazprom-neft.local/edo/card/404ef490-a05e-4ec7-b519-8cc3bbee73f7")</f>
        <v>https://tessa.gazprom-neft.local/edo/card/404ef490-a05e-4ec7-b519-8cc3bbee73f7</v>
      </c>
    </row>
    <row r="2043" spans="1:45" hidden="1" x14ac:dyDescent="0.25">
      <c r="A2043" s="6" t="s">
        <v>44</v>
      </c>
      <c r="B2043" s="7" t="s">
        <v>0</v>
      </c>
      <c r="C2043" s="7" t="s">
        <v>67</v>
      </c>
      <c r="D2043" s="8">
        <v>44565</v>
      </c>
      <c r="E2043" s="8" t="s">
        <v>0</v>
      </c>
      <c r="F2043" s="16" t="s">
        <v>9659</v>
      </c>
      <c r="G2043" s="7" t="s">
        <v>0</v>
      </c>
      <c r="H2043" s="7" t="s">
        <v>0</v>
      </c>
      <c r="I2043" s="7" t="s">
        <v>3289</v>
      </c>
      <c r="J2043" s="7" t="s">
        <v>3289</v>
      </c>
      <c r="K2043" s="7" t="s">
        <v>47</v>
      </c>
      <c r="L2043" s="7" t="s">
        <v>96</v>
      </c>
      <c r="M2043" s="7" t="s">
        <v>0</v>
      </c>
      <c r="N2043" s="7" t="s">
        <v>9656</v>
      </c>
      <c r="O2043" s="7" t="s">
        <v>0</v>
      </c>
      <c r="P2043" s="7" t="s">
        <v>9657</v>
      </c>
      <c r="Q2043" s="7" t="s">
        <v>9658</v>
      </c>
      <c r="R2043" s="7" t="s">
        <v>4734</v>
      </c>
      <c r="S2043" s="7" t="s">
        <v>752</v>
      </c>
      <c r="T2043" s="7" t="s">
        <v>54</v>
      </c>
      <c r="U2043" s="7" t="s">
        <v>4736</v>
      </c>
      <c r="V2043" s="7" t="s">
        <v>56</v>
      </c>
      <c r="W2043" s="7" t="s">
        <v>57</v>
      </c>
      <c r="X2043" s="7" t="s">
        <v>103</v>
      </c>
      <c r="Y2043" s="8">
        <v>44565</v>
      </c>
      <c r="Z2043" s="8">
        <v>44722</v>
      </c>
      <c r="AA2043" s="7" t="s">
        <v>59</v>
      </c>
      <c r="AB2043" s="7" t="s">
        <v>387</v>
      </c>
      <c r="AC2043" s="7" t="s">
        <v>79</v>
      </c>
      <c r="AD2043" s="7" t="s">
        <v>80</v>
      </c>
      <c r="AE2043" s="7" t="s">
        <v>82</v>
      </c>
      <c r="AF2043" s="7" t="s">
        <v>0</v>
      </c>
      <c r="AG2043" s="7" t="s">
        <v>0</v>
      </c>
      <c r="AH2043" s="9" t="s">
        <v>14023</v>
      </c>
      <c r="AI2043" s="9" t="s">
        <v>14024</v>
      </c>
      <c r="AJ2043" s="9" t="s">
        <v>14025</v>
      </c>
      <c r="AK2043" s="7" t="s">
        <v>61</v>
      </c>
      <c r="AL2043" s="7" t="s">
        <v>61</v>
      </c>
      <c r="AM2043" s="7" t="s">
        <v>0</v>
      </c>
      <c r="AN2043" s="7" t="s">
        <v>0</v>
      </c>
      <c r="AO2043" s="7" t="s">
        <v>0</v>
      </c>
      <c r="AP2043" s="7" t="s">
        <v>0</v>
      </c>
      <c r="AQ2043" s="7" t="s">
        <v>61</v>
      </c>
      <c r="AR2043" s="7" t="s">
        <v>0</v>
      </c>
      <c r="AS2043" s="10" t="str">
        <f>HYPERLINK("https://tessa.gazprom-neft.local/edo/card/5deabe30-e112-4a26-a955-5d7f910107b1", "https://tessa.gazprom-neft.local/edo/card/5deabe30-e112-4a26-a955-5d7f910107b1")</f>
        <v>https://tessa.gazprom-neft.local/edo/card/5deabe30-e112-4a26-a955-5d7f910107b1</v>
      </c>
    </row>
    <row r="2044" spans="1:45" hidden="1" x14ac:dyDescent="0.25">
      <c r="A2044" s="6" t="s">
        <v>44</v>
      </c>
      <c r="B2044" s="7" t="s">
        <v>0</v>
      </c>
      <c r="C2044" s="7" t="s">
        <v>67</v>
      </c>
      <c r="D2044" s="8">
        <v>44564</v>
      </c>
      <c r="E2044" s="8" t="s">
        <v>0</v>
      </c>
      <c r="F2044" s="16" t="s">
        <v>9468</v>
      </c>
      <c r="G2044" s="7" t="s">
        <v>0</v>
      </c>
      <c r="H2044" s="7" t="s">
        <v>0</v>
      </c>
      <c r="I2044" s="7" t="s">
        <v>8259</v>
      </c>
      <c r="J2044" s="7" t="s">
        <v>8259</v>
      </c>
      <c r="K2044" s="7" t="s">
        <v>85</v>
      </c>
      <c r="L2044" s="7" t="s">
        <v>96</v>
      </c>
      <c r="M2044" s="7" t="s">
        <v>7764</v>
      </c>
      <c r="N2044" s="7" t="s">
        <v>9466</v>
      </c>
      <c r="O2044" s="7" t="s">
        <v>0</v>
      </c>
      <c r="P2044" s="7" t="s">
        <v>7764</v>
      </c>
      <c r="Q2044" s="7" t="s">
        <v>9467</v>
      </c>
      <c r="R2044" s="7" t="s">
        <v>751</v>
      </c>
      <c r="S2044" s="7" t="s">
        <v>1179</v>
      </c>
      <c r="T2044" s="7" t="s">
        <v>54</v>
      </c>
      <c r="U2044" s="7" t="s">
        <v>283</v>
      </c>
      <c r="V2044" s="7" t="s">
        <v>102</v>
      </c>
      <c r="W2044" s="7" t="s">
        <v>57</v>
      </c>
      <c r="X2044" s="7" t="s">
        <v>103</v>
      </c>
      <c r="Y2044" s="8">
        <v>44564</v>
      </c>
      <c r="Z2044" s="8">
        <v>45657</v>
      </c>
      <c r="AA2044" s="7" t="s">
        <v>104</v>
      </c>
      <c r="AB2044" s="7" t="s">
        <v>2546</v>
      </c>
      <c r="AC2044" s="7" t="s">
        <v>79</v>
      </c>
      <c r="AD2044" s="7" t="s">
        <v>80</v>
      </c>
      <c r="AE2044" s="7" t="s">
        <v>82</v>
      </c>
      <c r="AF2044" s="7" t="s">
        <v>0</v>
      </c>
      <c r="AG2044" s="7" t="s">
        <v>0</v>
      </c>
      <c r="AH2044" s="9" t="s">
        <v>13947</v>
      </c>
      <c r="AI2044" s="9" t="s">
        <v>13948</v>
      </c>
      <c r="AJ2044" s="9" t="s">
        <v>13949</v>
      </c>
      <c r="AK2044" s="7" t="s">
        <v>61</v>
      </c>
      <c r="AL2044" s="7" t="s">
        <v>61</v>
      </c>
      <c r="AM2044" s="7" t="s">
        <v>0</v>
      </c>
      <c r="AN2044" s="7" t="s">
        <v>0</v>
      </c>
      <c r="AO2044" s="7" t="s">
        <v>0</v>
      </c>
      <c r="AP2044" s="7" t="s">
        <v>0</v>
      </c>
      <c r="AQ2044" s="7" t="s">
        <v>61</v>
      </c>
      <c r="AR2044" s="7" t="s">
        <v>0</v>
      </c>
      <c r="AS2044" s="10" t="str">
        <f>HYPERLINK("https://tessa.gazprom-neft.local/edo/card/71b31189-4870-45c4-8ee9-36aacf94d03e", "https://tessa.gazprom-neft.local/edo/card/71b31189-4870-45c4-8ee9-36aacf94d03e")</f>
        <v>https://tessa.gazprom-neft.local/edo/card/71b31189-4870-45c4-8ee9-36aacf94d03e</v>
      </c>
    </row>
    <row r="2045" spans="1:45" hidden="1" x14ac:dyDescent="0.25">
      <c r="A2045" s="6" t="s">
        <v>44</v>
      </c>
      <c r="B2045" s="7" t="s">
        <v>0</v>
      </c>
      <c r="C2045" s="7" t="s">
        <v>46</v>
      </c>
      <c r="D2045" s="8">
        <v>44562</v>
      </c>
      <c r="E2045" s="8" t="s">
        <v>0</v>
      </c>
      <c r="F2045" s="16" t="s">
        <v>105</v>
      </c>
      <c r="G2045" s="7" t="s">
        <v>0</v>
      </c>
      <c r="H2045" s="7" t="s">
        <v>0</v>
      </c>
      <c r="I2045" s="7" t="s">
        <v>97</v>
      </c>
      <c r="J2045" s="7" t="s">
        <v>97</v>
      </c>
      <c r="K2045" s="7" t="s">
        <v>47</v>
      </c>
      <c r="L2045" s="7" t="s">
        <v>96</v>
      </c>
      <c r="M2045" s="7" t="s">
        <v>0</v>
      </c>
      <c r="N2045" s="7" t="s">
        <v>95</v>
      </c>
      <c r="O2045" s="7" t="s">
        <v>0</v>
      </c>
      <c r="P2045" s="7" t="s">
        <v>98</v>
      </c>
      <c r="Q2045" s="7" t="s">
        <v>99</v>
      </c>
      <c r="R2045" s="7" t="s">
        <v>100</v>
      </c>
      <c r="S2045" s="7" t="s">
        <v>100</v>
      </c>
      <c r="T2045" s="7" t="s">
        <v>54</v>
      </c>
      <c r="U2045" s="7" t="s">
        <v>101</v>
      </c>
      <c r="V2045" s="7" t="s">
        <v>102</v>
      </c>
      <c r="W2045" s="7" t="s">
        <v>57</v>
      </c>
      <c r="X2045" s="7" t="s">
        <v>103</v>
      </c>
      <c r="Y2045" s="8">
        <v>44562</v>
      </c>
      <c r="Z2045" s="8">
        <v>44926</v>
      </c>
      <c r="AA2045" s="7" t="s">
        <v>104</v>
      </c>
      <c r="AB2045" s="7" t="s">
        <v>64</v>
      </c>
      <c r="AC2045" s="7" t="s">
        <v>79</v>
      </c>
      <c r="AD2045" s="7" t="s">
        <v>80</v>
      </c>
      <c r="AE2045" s="7" t="s">
        <v>82</v>
      </c>
      <c r="AF2045" s="7" t="s">
        <v>0</v>
      </c>
      <c r="AG2045" s="7" t="s">
        <v>0</v>
      </c>
      <c r="AH2045" s="9" t="s">
        <v>10694</v>
      </c>
      <c r="AI2045" s="9" t="s">
        <v>10695</v>
      </c>
      <c r="AJ2045" s="9" t="s">
        <v>10696</v>
      </c>
      <c r="AK2045" s="7" t="s">
        <v>61</v>
      </c>
      <c r="AL2045" s="7" t="s">
        <v>61</v>
      </c>
      <c r="AM2045" s="7" t="s">
        <v>0</v>
      </c>
      <c r="AN2045" s="7" t="s">
        <v>0</v>
      </c>
      <c r="AO2045" s="7" t="s">
        <v>0</v>
      </c>
      <c r="AP2045" s="7" t="s">
        <v>0</v>
      </c>
      <c r="AQ2045" s="7" t="s">
        <v>61</v>
      </c>
      <c r="AR2045" s="7" t="s">
        <v>0</v>
      </c>
      <c r="AS2045" s="10" t="str">
        <f>HYPERLINK("https://tessa.gazprom-neft.local/edo/card/5dbdafb8-b33a-4362-9a58-149e62824da9", "https://tessa.gazprom-neft.local/edo/card/5dbdafb8-b33a-4362-9a58-149e62824da9")</f>
        <v>https://tessa.gazprom-neft.local/edo/card/5dbdafb8-b33a-4362-9a58-149e62824da9</v>
      </c>
    </row>
    <row r="2046" spans="1:45" x14ac:dyDescent="0.25">
      <c r="A2046" s="6" t="s">
        <v>44</v>
      </c>
      <c r="B2046" s="7" t="s">
        <v>410</v>
      </c>
      <c r="C2046" s="7" t="s">
        <v>67</v>
      </c>
      <c r="D2046" s="8">
        <v>44562</v>
      </c>
      <c r="E2046" s="8" t="s">
        <v>0</v>
      </c>
      <c r="F2046" s="16" t="s">
        <v>411</v>
      </c>
      <c r="G2046" s="7" t="s">
        <v>412</v>
      </c>
      <c r="H2046" s="7" t="s">
        <v>407</v>
      </c>
      <c r="I2046" s="7" t="s">
        <v>0</v>
      </c>
      <c r="J2046" s="7" t="s">
        <v>51</v>
      </c>
      <c r="K2046" s="7" t="s">
        <v>47</v>
      </c>
      <c r="L2046" s="7" t="s">
        <v>48</v>
      </c>
      <c r="M2046" s="7" t="s">
        <v>0</v>
      </c>
      <c r="N2046" s="7" t="s">
        <v>406</v>
      </c>
      <c r="O2046" s="7" t="s">
        <v>0</v>
      </c>
      <c r="P2046" s="7" t="s">
        <v>408</v>
      </c>
      <c r="Q2046" s="7" t="s">
        <v>409</v>
      </c>
      <c r="R2046" s="7" t="s">
        <v>110</v>
      </c>
      <c r="S2046" s="7" t="s">
        <v>110</v>
      </c>
      <c r="T2046" s="7" t="s">
        <v>54</v>
      </c>
      <c r="U2046" s="7" t="s">
        <v>111</v>
      </c>
      <c r="V2046" s="7" t="s">
        <v>112</v>
      </c>
      <c r="W2046" s="7" t="s">
        <v>57</v>
      </c>
      <c r="X2046" s="7" t="s">
        <v>58</v>
      </c>
      <c r="Y2046" s="8">
        <v>44562</v>
      </c>
      <c r="Z2046" s="8" t="s">
        <v>0</v>
      </c>
      <c r="AA2046" s="7" t="s">
        <v>113</v>
      </c>
      <c r="AB2046" s="7" t="s">
        <v>161</v>
      </c>
      <c r="AC2046" s="7" t="s">
        <v>79</v>
      </c>
      <c r="AD2046" s="7" t="s">
        <v>144</v>
      </c>
      <c r="AE2046" s="7" t="s">
        <v>82</v>
      </c>
      <c r="AF2046" s="7" t="s">
        <v>0</v>
      </c>
      <c r="AG2046" s="7" t="s">
        <v>0</v>
      </c>
      <c r="AH2046" s="9" t="s">
        <v>10737</v>
      </c>
      <c r="AI2046" s="9" t="s">
        <v>10738</v>
      </c>
      <c r="AJ2046" s="9" t="s">
        <v>10739</v>
      </c>
      <c r="AK2046" s="7" t="s">
        <v>61</v>
      </c>
      <c r="AL2046" s="7" t="s">
        <v>61</v>
      </c>
      <c r="AM2046" s="7" t="s">
        <v>0</v>
      </c>
      <c r="AN2046" s="7" t="s">
        <v>0</v>
      </c>
      <c r="AO2046" s="7" t="s">
        <v>0</v>
      </c>
      <c r="AP2046" s="7" t="s">
        <v>0</v>
      </c>
      <c r="AQ2046" s="7" t="s">
        <v>61</v>
      </c>
      <c r="AR2046" s="7" t="s">
        <v>0</v>
      </c>
      <c r="AS2046" s="10" t="str">
        <f>HYPERLINK("https://tessa.gazprom-neft.local/edo/card/b90a5b59-0948-4172-871c-f6d9c6923b67", "https://tessa.gazprom-neft.local/edo/card/b90a5b59-0948-4172-871c-f6d9c6923b67")</f>
        <v>https://tessa.gazprom-neft.local/edo/card/b90a5b59-0948-4172-871c-f6d9c6923b67</v>
      </c>
    </row>
    <row r="2047" spans="1:45" hidden="1" x14ac:dyDescent="0.25">
      <c r="A2047" s="6" t="s">
        <v>44</v>
      </c>
      <c r="B2047" s="7" t="s">
        <v>436</v>
      </c>
      <c r="C2047" s="7" t="s">
        <v>67</v>
      </c>
      <c r="D2047" s="8">
        <v>44562</v>
      </c>
      <c r="E2047" s="8" t="s">
        <v>0</v>
      </c>
      <c r="F2047" s="16" t="s">
        <v>437</v>
      </c>
      <c r="G2047" s="7" t="s">
        <v>438</v>
      </c>
      <c r="H2047" s="7" t="s">
        <v>0</v>
      </c>
      <c r="I2047" s="7" t="s">
        <v>433</v>
      </c>
      <c r="J2047" s="7" t="s">
        <v>433</v>
      </c>
      <c r="K2047" s="7" t="s">
        <v>47</v>
      </c>
      <c r="L2047" s="7" t="s">
        <v>96</v>
      </c>
      <c r="M2047" s="7" t="s">
        <v>0</v>
      </c>
      <c r="N2047" s="7" t="s">
        <v>432</v>
      </c>
      <c r="O2047" s="7" t="s">
        <v>0</v>
      </c>
      <c r="P2047" s="7" t="s">
        <v>434</v>
      </c>
      <c r="Q2047" s="7" t="s">
        <v>435</v>
      </c>
      <c r="R2047" s="7" t="s">
        <v>110</v>
      </c>
      <c r="S2047" s="7" t="s">
        <v>110</v>
      </c>
      <c r="T2047" s="7" t="s">
        <v>54</v>
      </c>
      <c r="U2047" s="7" t="s">
        <v>111</v>
      </c>
      <c r="V2047" s="7" t="s">
        <v>112</v>
      </c>
      <c r="W2047" s="7" t="s">
        <v>57</v>
      </c>
      <c r="X2047" s="7" t="s">
        <v>58</v>
      </c>
      <c r="Y2047" s="8">
        <v>44562</v>
      </c>
      <c r="Z2047" s="8" t="s">
        <v>0</v>
      </c>
      <c r="AA2047" s="7" t="s">
        <v>113</v>
      </c>
      <c r="AB2047" s="7" t="s">
        <v>439</v>
      </c>
      <c r="AC2047" s="7" t="s">
        <v>65</v>
      </c>
      <c r="AD2047" s="7" t="s">
        <v>0</v>
      </c>
      <c r="AE2047" s="7" t="s">
        <v>0</v>
      </c>
      <c r="AF2047" s="7" t="s">
        <v>0</v>
      </c>
      <c r="AG2047" s="7" t="s">
        <v>0</v>
      </c>
      <c r="AH2047" s="9" t="s">
        <v>0</v>
      </c>
      <c r="AI2047" s="9" t="s">
        <v>0</v>
      </c>
      <c r="AJ2047" s="9" t="s">
        <v>0</v>
      </c>
      <c r="AK2047" s="7" t="s">
        <v>61</v>
      </c>
      <c r="AL2047" s="7" t="s">
        <v>61</v>
      </c>
      <c r="AM2047" s="7" t="s">
        <v>0</v>
      </c>
      <c r="AN2047" s="7" t="s">
        <v>0</v>
      </c>
      <c r="AO2047" s="7" t="s">
        <v>0</v>
      </c>
      <c r="AP2047" s="7" t="s">
        <v>0</v>
      </c>
      <c r="AQ2047" s="7" t="s">
        <v>61</v>
      </c>
      <c r="AR2047" s="7" t="s">
        <v>0</v>
      </c>
      <c r="AS2047" s="10" t="str">
        <f>HYPERLINK("https://tessa.gazprom-neft.local/edo/card/46d736b5-c9e4-413f-835e-0243b72e9cf5", "https://tessa.gazprom-neft.local/edo/card/46d736b5-c9e4-413f-835e-0243b72e9cf5")</f>
        <v>https://tessa.gazprom-neft.local/edo/card/46d736b5-c9e4-413f-835e-0243b72e9cf5</v>
      </c>
    </row>
    <row r="2048" spans="1:45" hidden="1" x14ac:dyDescent="0.25">
      <c r="A2048" s="6" t="s">
        <v>44</v>
      </c>
      <c r="B2048" s="7" t="s">
        <v>436</v>
      </c>
      <c r="C2048" s="7" t="s">
        <v>46</v>
      </c>
      <c r="D2048" s="8">
        <v>44562</v>
      </c>
      <c r="E2048" s="8" t="s">
        <v>0</v>
      </c>
      <c r="F2048" s="16" t="s">
        <v>437</v>
      </c>
      <c r="G2048" s="7" t="s">
        <v>438</v>
      </c>
      <c r="H2048" s="7" t="s">
        <v>0</v>
      </c>
      <c r="I2048" s="7" t="s">
        <v>454</v>
      </c>
      <c r="J2048" s="7" t="s">
        <v>454</v>
      </c>
      <c r="K2048" s="7" t="s">
        <v>47</v>
      </c>
      <c r="L2048" s="7" t="s">
        <v>96</v>
      </c>
      <c r="M2048" s="7" t="s">
        <v>0</v>
      </c>
      <c r="N2048" s="7" t="s">
        <v>453</v>
      </c>
      <c r="O2048" s="7" t="s">
        <v>0</v>
      </c>
      <c r="P2048" s="7" t="s">
        <v>366</v>
      </c>
      <c r="Q2048" s="7" t="s">
        <v>455</v>
      </c>
      <c r="R2048" s="7" t="s">
        <v>110</v>
      </c>
      <c r="S2048" s="7" t="s">
        <v>0</v>
      </c>
      <c r="T2048" s="7" t="s">
        <v>54</v>
      </c>
      <c r="U2048" s="7" t="s">
        <v>111</v>
      </c>
      <c r="V2048" s="7" t="s">
        <v>112</v>
      </c>
      <c r="W2048" s="7" t="s">
        <v>57</v>
      </c>
      <c r="X2048" s="7" t="s">
        <v>58</v>
      </c>
      <c r="Y2048" s="8">
        <v>44562</v>
      </c>
      <c r="Z2048" s="8" t="s">
        <v>0</v>
      </c>
      <c r="AA2048" s="7" t="s">
        <v>113</v>
      </c>
      <c r="AB2048" s="7" t="s">
        <v>161</v>
      </c>
      <c r="AC2048" s="7" t="s">
        <v>79</v>
      </c>
      <c r="AD2048" s="7" t="s">
        <v>367</v>
      </c>
      <c r="AE2048" s="7" t="s">
        <v>82</v>
      </c>
      <c r="AF2048" s="7" t="s">
        <v>0</v>
      </c>
      <c r="AG2048" s="7" t="s">
        <v>0</v>
      </c>
      <c r="AH2048" s="9" t="s">
        <v>10746</v>
      </c>
      <c r="AI2048" s="9" t="s">
        <v>10747</v>
      </c>
      <c r="AJ2048" s="9" t="s">
        <v>10748</v>
      </c>
      <c r="AK2048" s="7" t="s">
        <v>61</v>
      </c>
      <c r="AL2048" s="7" t="s">
        <v>61</v>
      </c>
      <c r="AM2048" s="7" t="s">
        <v>0</v>
      </c>
      <c r="AN2048" s="7" t="s">
        <v>0</v>
      </c>
      <c r="AO2048" s="7" t="s">
        <v>0</v>
      </c>
      <c r="AP2048" s="7" t="s">
        <v>0</v>
      </c>
      <c r="AQ2048" s="7" t="s">
        <v>61</v>
      </c>
      <c r="AR2048" s="7" t="s">
        <v>0</v>
      </c>
      <c r="AS2048" s="10" t="str">
        <f>HYPERLINK("https://tessa.gazprom-neft.local/edo/card/bb62a464-2b1c-40fe-aa1f-2f263eb20d20", "https://tessa.gazprom-neft.local/edo/card/bb62a464-2b1c-40fe-aa1f-2f263eb20d20")</f>
        <v>https://tessa.gazprom-neft.local/edo/card/bb62a464-2b1c-40fe-aa1f-2f263eb20d20</v>
      </c>
    </row>
    <row r="2049" spans="1:45" hidden="1" x14ac:dyDescent="0.25">
      <c r="A2049" s="6" t="s">
        <v>44</v>
      </c>
      <c r="B2049" s="7" t="s">
        <v>114</v>
      </c>
      <c r="C2049" s="7" t="s">
        <v>46</v>
      </c>
      <c r="D2049" s="8">
        <v>44562</v>
      </c>
      <c r="E2049" s="8" t="s">
        <v>0</v>
      </c>
      <c r="F2049" s="16" t="s">
        <v>115</v>
      </c>
      <c r="G2049" s="7" t="s">
        <v>116</v>
      </c>
      <c r="H2049" s="7" t="s">
        <v>0</v>
      </c>
      <c r="I2049" s="7" t="s">
        <v>141</v>
      </c>
      <c r="J2049" s="7" t="s">
        <v>141</v>
      </c>
      <c r="K2049" s="7" t="s">
        <v>47</v>
      </c>
      <c r="L2049" s="7" t="s">
        <v>96</v>
      </c>
      <c r="M2049" s="7" t="s">
        <v>0</v>
      </c>
      <c r="N2049" s="7" t="s">
        <v>692</v>
      </c>
      <c r="O2049" s="7" t="s">
        <v>0</v>
      </c>
      <c r="P2049" s="7" t="s">
        <v>108</v>
      </c>
      <c r="Q2049" s="7" t="s">
        <v>693</v>
      </c>
      <c r="R2049" s="7" t="s">
        <v>110</v>
      </c>
      <c r="S2049" s="7" t="s">
        <v>110</v>
      </c>
      <c r="T2049" s="7" t="s">
        <v>54</v>
      </c>
      <c r="U2049" s="7" t="s">
        <v>111</v>
      </c>
      <c r="V2049" s="7" t="s">
        <v>137</v>
      </c>
      <c r="W2049" s="7" t="s">
        <v>57</v>
      </c>
      <c r="X2049" s="7" t="s">
        <v>58</v>
      </c>
      <c r="Y2049" s="8">
        <v>44562</v>
      </c>
      <c r="Z2049" s="8" t="s">
        <v>0</v>
      </c>
      <c r="AA2049" s="7" t="s">
        <v>0</v>
      </c>
      <c r="AB2049" s="7" t="s">
        <v>117</v>
      </c>
      <c r="AC2049" s="7" t="s">
        <v>79</v>
      </c>
      <c r="AD2049" s="7" t="s">
        <v>144</v>
      </c>
      <c r="AE2049" s="7" t="s">
        <v>118</v>
      </c>
      <c r="AF2049" s="7" t="s">
        <v>0</v>
      </c>
      <c r="AG2049" s="7" t="s">
        <v>0</v>
      </c>
      <c r="AH2049" s="9" t="s">
        <v>10810</v>
      </c>
      <c r="AI2049" s="9" t="s">
        <v>10810</v>
      </c>
      <c r="AJ2049" s="9">
        <v>0</v>
      </c>
      <c r="AK2049" s="7" t="s">
        <v>61</v>
      </c>
      <c r="AL2049" s="7" t="s">
        <v>61</v>
      </c>
      <c r="AM2049" s="7" t="s">
        <v>0</v>
      </c>
      <c r="AN2049" s="7" t="s">
        <v>0</v>
      </c>
      <c r="AO2049" s="7" t="s">
        <v>0</v>
      </c>
      <c r="AP2049" s="7" t="s">
        <v>0</v>
      </c>
      <c r="AQ2049" s="7" t="s">
        <v>61</v>
      </c>
      <c r="AR2049" s="7" t="s">
        <v>0</v>
      </c>
      <c r="AS2049" s="10" t="str">
        <f>HYPERLINK("https://tessa.gazprom-neft.local/edo/card/502857fe-65f0-4d89-9c30-ac646fcc9ba9", "https://tessa.gazprom-neft.local/edo/card/502857fe-65f0-4d89-9c30-ac646fcc9ba9")</f>
        <v>https://tessa.gazprom-neft.local/edo/card/502857fe-65f0-4d89-9c30-ac646fcc9ba9</v>
      </c>
    </row>
    <row r="2050" spans="1:45" hidden="1" x14ac:dyDescent="0.25">
      <c r="A2050" s="6" t="s">
        <v>44</v>
      </c>
      <c r="B2050" s="7" t="s">
        <v>837</v>
      </c>
      <c r="C2050" s="7" t="s">
        <v>46</v>
      </c>
      <c r="D2050" s="8">
        <v>44562</v>
      </c>
      <c r="E2050" s="8" t="s">
        <v>0</v>
      </c>
      <c r="F2050" s="16" t="s">
        <v>838</v>
      </c>
      <c r="G2050" s="7" t="s">
        <v>839</v>
      </c>
      <c r="H2050" s="7" t="s">
        <v>0</v>
      </c>
      <c r="I2050" s="7" t="s">
        <v>834</v>
      </c>
      <c r="J2050" s="7" t="s">
        <v>834</v>
      </c>
      <c r="K2050" s="7" t="s">
        <v>85</v>
      </c>
      <c r="L2050" s="7" t="s">
        <v>86</v>
      </c>
      <c r="M2050" s="7" t="s">
        <v>289</v>
      </c>
      <c r="N2050" s="7" t="s">
        <v>833</v>
      </c>
      <c r="O2050" s="7" t="s">
        <v>0</v>
      </c>
      <c r="P2050" s="7" t="s">
        <v>289</v>
      </c>
      <c r="Q2050" s="7" t="s">
        <v>835</v>
      </c>
      <c r="R2050" s="7" t="s">
        <v>836</v>
      </c>
      <c r="S2050" s="7" t="s">
        <v>836</v>
      </c>
      <c r="T2050" s="7" t="s">
        <v>54</v>
      </c>
      <c r="U2050" s="7" t="s">
        <v>294</v>
      </c>
      <c r="V2050" s="7" t="s">
        <v>295</v>
      </c>
      <c r="W2050" s="7" t="s">
        <v>57</v>
      </c>
      <c r="X2050" s="7" t="s">
        <v>103</v>
      </c>
      <c r="Y2050" s="8">
        <v>44562</v>
      </c>
      <c r="Z2050" s="8">
        <v>44926</v>
      </c>
      <c r="AA2050" s="7" t="s">
        <v>296</v>
      </c>
      <c r="AB2050" s="7" t="s">
        <v>300</v>
      </c>
      <c r="AC2050" s="7" t="s">
        <v>65</v>
      </c>
      <c r="AD2050" s="7" t="s">
        <v>0</v>
      </c>
      <c r="AE2050" s="7" t="s">
        <v>0</v>
      </c>
      <c r="AF2050" s="7" t="s">
        <v>0</v>
      </c>
      <c r="AG2050" s="7" t="s">
        <v>0</v>
      </c>
      <c r="AH2050" s="9" t="s">
        <v>0</v>
      </c>
      <c r="AI2050" s="9" t="s">
        <v>0</v>
      </c>
      <c r="AJ2050" s="9" t="s">
        <v>0</v>
      </c>
      <c r="AK2050" s="7" t="s">
        <v>61</v>
      </c>
      <c r="AL2050" s="7" t="s">
        <v>61</v>
      </c>
      <c r="AM2050" s="7" t="s">
        <v>0</v>
      </c>
      <c r="AN2050" s="7" t="s">
        <v>0</v>
      </c>
      <c r="AO2050" s="7" t="s">
        <v>0</v>
      </c>
      <c r="AP2050" s="7" t="s">
        <v>0</v>
      </c>
      <c r="AQ2050" s="7" t="s">
        <v>61</v>
      </c>
      <c r="AR2050" s="7" t="s">
        <v>0</v>
      </c>
      <c r="AS2050" s="10" t="str">
        <f>HYPERLINK("https://tessa.gazprom-neft.local/edo/card/e60acfc3-d72e-4c43-9795-2e35ed3175a2", "https://tessa.gazprom-neft.local/edo/card/e60acfc3-d72e-4c43-9795-2e35ed3175a2")</f>
        <v>https://tessa.gazprom-neft.local/edo/card/e60acfc3-d72e-4c43-9795-2e35ed3175a2</v>
      </c>
    </row>
    <row r="2051" spans="1:45" x14ac:dyDescent="0.25">
      <c r="A2051" s="6" t="s">
        <v>44</v>
      </c>
      <c r="B2051" s="7" t="s">
        <v>436</v>
      </c>
      <c r="C2051" s="7" t="s">
        <v>67</v>
      </c>
      <c r="D2051" s="8">
        <v>44562</v>
      </c>
      <c r="E2051" s="8" t="s">
        <v>0</v>
      </c>
      <c r="F2051" s="16" t="s">
        <v>437</v>
      </c>
      <c r="G2051" s="7" t="s">
        <v>438</v>
      </c>
      <c r="H2051" s="7" t="s">
        <v>1029</v>
      </c>
      <c r="I2051" s="7" t="s">
        <v>0</v>
      </c>
      <c r="J2051" s="7" t="s">
        <v>122</v>
      </c>
      <c r="K2051" s="7" t="s">
        <v>47</v>
      </c>
      <c r="L2051" s="7" t="s">
        <v>48</v>
      </c>
      <c r="M2051" s="7" t="s">
        <v>0</v>
      </c>
      <c r="N2051" s="7" t="s">
        <v>1028</v>
      </c>
      <c r="O2051" s="7" t="s">
        <v>0</v>
      </c>
      <c r="P2051" s="7" t="s">
        <v>272</v>
      </c>
      <c r="Q2051" s="7" t="s">
        <v>1030</v>
      </c>
      <c r="R2051" s="7" t="s">
        <v>273</v>
      </c>
      <c r="S2051" s="7" t="s">
        <v>273</v>
      </c>
      <c r="T2051" s="7" t="s">
        <v>54</v>
      </c>
      <c r="U2051" s="7" t="s">
        <v>274</v>
      </c>
      <c r="V2051" s="7" t="s">
        <v>723</v>
      </c>
      <c r="W2051" s="7" t="s">
        <v>57</v>
      </c>
      <c r="X2051" s="7" t="s">
        <v>103</v>
      </c>
      <c r="Y2051" s="8">
        <v>44562</v>
      </c>
      <c r="Z2051" s="8">
        <v>44926</v>
      </c>
      <c r="AA2051" s="7" t="s">
        <v>1031</v>
      </c>
      <c r="AB2051" s="7" t="s">
        <v>64</v>
      </c>
      <c r="AC2051" s="7" t="s">
        <v>278</v>
      </c>
      <c r="AD2051" s="7" t="s">
        <v>80</v>
      </c>
      <c r="AE2051" s="7" t="s">
        <v>82</v>
      </c>
      <c r="AF2051" s="7" t="s">
        <v>0</v>
      </c>
      <c r="AG2051" s="7" t="s">
        <v>0</v>
      </c>
      <c r="AH2051" s="9" t="s">
        <v>10901</v>
      </c>
      <c r="AI2051" s="9" t="s">
        <v>10902</v>
      </c>
      <c r="AJ2051" s="9" t="s">
        <v>10903</v>
      </c>
      <c r="AK2051" s="7" t="s">
        <v>61</v>
      </c>
      <c r="AL2051" s="7" t="s">
        <v>61</v>
      </c>
      <c r="AM2051" s="7" t="s">
        <v>0</v>
      </c>
      <c r="AN2051" s="7" t="s">
        <v>0</v>
      </c>
      <c r="AO2051" s="7" t="s">
        <v>0</v>
      </c>
      <c r="AP2051" s="7" t="s">
        <v>0</v>
      </c>
      <c r="AQ2051" s="7" t="s">
        <v>61</v>
      </c>
      <c r="AR2051" s="7" t="s">
        <v>0</v>
      </c>
      <c r="AS2051" s="10" t="str">
        <f>HYPERLINK("https://tessa.gazprom-neft.local/edo/card/bd89dd69-d454-4a98-89c5-a942cfce8dd7", "https://tessa.gazprom-neft.local/edo/card/bd89dd69-d454-4a98-89c5-a942cfce8dd7")</f>
        <v>https://tessa.gazprom-neft.local/edo/card/bd89dd69-d454-4a98-89c5-a942cfce8dd7</v>
      </c>
    </row>
    <row r="2052" spans="1:45" x14ac:dyDescent="0.25">
      <c r="A2052" s="6" t="s">
        <v>44</v>
      </c>
      <c r="B2052" s="7" t="s">
        <v>497</v>
      </c>
      <c r="C2052" s="7" t="s">
        <v>67</v>
      </c>
      <c r="D2052" s="8">
        <v>44562</v>
      </c>
      <c r="E2052" s="8" t="s">
        <v>0</v>
      </c>
      <c r="F2052" s="16" t="s">
        <v>498</v>
      </c>
      <c r="G2052" s="7" t="s">
        <v>499</v>
      </c>
      <c r="H2052" s="7" t="s">
        <v>1339</v>
      </c>
      <c r="I2052" s="7" t="s">
        <v>0</v>
      </c>
      <c r="J2052" s="7" t="s">
        <v>936</v>
      </c>
      <c r="K2052" s="7" t="s">
        <v>47</v>
      </c>
      <c r="L2052" s="7" t="s">
        <v>48</v>
      </c>
      <c r="M2052" s="7" t="s">
        <v>0</v>
      </c>
      <c r="N2052" s="7" t="s">
        <v>1338</v>
      </c>
      <c r="O2052" s="7" t="s">
        <v>0</v>
      </c>
      <c r="P2052" s="7" t="s">
        <v>1340</v>
      </c>
      <c r="Q2052" s="7" t="s">
        <v>1341</v>
      </c>
      <c r="R2052" s="7" t="s">
        <v>1342</v>
      </c>
      <c r="S2052" s="7" t="s">
        <v>1342</v>
      </c>
      <c r="T2052" s="7" t="s">
        <v>54</v>
      </c>
      <c r="U2052" s="7" t="s">
        <v>274</v>
      </c>
      <c r="V2052" s="7" t="s">
        <v>864</v>
      </c>
      <c r="W2052" s="7" t="s">
        <v>57</v>
      </c>
      <c r="X2052" s="7" t="s">
        <v>103</v>
      </c>
      <c r="Y2052" s="8">
        <v>44562</v>
      </c>
      <c r="Z2052" s="8">
        <v>44926</v>
      </c>
      <c r="AA2052" s="7" t="s">
        <v>1343</v>
      </c>
      <c r="AB2052" s="7" t="s">
        <v>64</v>
      </c>
      <c r="AC2052" s="7" t="s">
        <v>278</v>
      </c>
      <c r="AD2052" s="7" t="s">
        <v>80</v>
      </c>
      <c r="AE2052" s="7" t="s">
        <v>82</v>
      </c>
      <c r="AF2052" s="7" t="s">
        <v>0</v>
      </c>
      <c r="AG2052" s="7" t="s">
        <v>0</v>
      </c>
      <c r="AH2052" s="9" t="s">
        <v>10997</v>
      </c>
      <c r="AI2052" s="9" t="s">
        <v>10998</v>
      </c>
      <c r="AJ2052" s="9" t="s">
        <v>10999</v>
      </c>
      <c r="AK2052" s="7" t="s">
        <v>61</v>
      </c>
      <c r="AL2052" s="7" t="s">
        <v>61</v>
      </c>
      <c r="AM2052" s="7" t="s">
        <v>0</v>
      </c>
      <c r="AN2052" s="7" t="s">
        <v>0</v>
      </c>
      <c r="AO2052" s="7" t="s">
        <v>0</v>
      </c>
      <c r="AP2052" s="7" t="s">
        <v>0</v>
      </c>
      <c r="AQ2052" s="7" t="s">
        <v>61</v>
      </c>
      <c r="AR2052" s="7" t="s">
        <v>0</v>
      </c>
      <c r="AS2052" s="10" t="str">
        <f>HYPERLINK("https://tessa.gazprom-neft.local/edo/card/b2c1e63b-557f-4553-878e-24c71117f153", "https://tessa.gazprom-neft.local/edo/card/b2c1e63b-557f-4553-878e-24c71117f153")</f>
        <v>https://tessa.gazprom-neft.local/edo/card/b2c1e63b-557f-4553-878e-24c71117f153</v>
      </c>
    </row>
    <row r="2053" spans="1:45" x14ac:dyDescent="0.25">
      <c r="A2053" s="6" t="s">
        <v>44</v>
      </c>
      <c r="B2053" s="7" t="s">
        <v>436</v>
      </c>
      <c r="C2053" s="7" t="s">
        <v>46</v>
      </c>
      <c r="D2053" s="8">
        <v>44562</v>
      </c>
      <c r="E2053" s="8" t="s">
        <v>0</v>
      </c>
      <c r="F2053" s="16" t="s">
        <v>437</v>
      </c>
      <c r="G2053" s="7" t="s">
        <v>438</v>
      </c>
      <c r="H2053" s="7" t="s">
        <v>1359</v>
      </c>
      <c r="I2053" s="7" t="s">
        <v>0</v>
      </c>
      <c r="J2053" s="7" t="s">
        <v>271</v>
      </c>
      <c r="K2053" s="7" t="s">
        <v>47</v>
      </c>
      <c r="L2053" s="7" t="s">
        <v>48</v>
      </c>
      <c r="M2053" s="7" t="s">
        <v>0</v>
      </c>
      <c r="N2053" s="7" t="s">
        <v>1358</v>
      </c>
      <c r="O2053" s="7" t="s">
        <v>0</v>
      </c>
      <c r="P2053" s="7" t="s">
        <v>312</v>
      </c>
      <c r="Q2053" s="7" t="s">
        <v>1360</v>
      </c>
      <c r="R2053" s="7" t="s">
        <v>1083</v>
      </c>
      <c r="S2053" s="7" t="s">
        <v>444</v>
      </c>
      <c r="T2053" s="7" t="s">
        <v>54</v>
      </c>
      <c r="U2053" s="7" t="s">
        <v>274</v>
      </c>
      <c r="V2053" s="7" t="s">
        <v>340</v>
      </c>
      <c r="W2053" s="7" t="s">
        <v>57</v>
      </c>
      <c r="X2053" s="7" t="s">
        <v>103</v>
      </c>
      <c r="Y2053" s="8">
        <v>44562</v>
      </c>
      <c r="Z2053" s="8">
        <v>45291</v>
      </c>
      <c r="AA2053" s="7" t="s">
        <v>341</v>
      </c>
      <c r="AB2053" s="7" t="s">
        <v>64</v>
      </c>
      <c r="AC2053" s="7" t="s">
        <v>278</v>
      </c>
      <c r="AD2053" s="7" t="s">
        <v>80</v>
      </c>
      <c r="AE2053" s="7" t="s">
        <v>82</v>
      </c>
      <c r="AF2053" s="7" t="s">
        <v>0</v>
      </c>
      <c r="AG2053" s="7" t="s">
        <v>0</v>
      </c>
      <c r="AH2053" s="9" t="s">
        <v>11003</v>
      </c>
      <c r="AI2053" s="9" t="s">
        <v>11004</v>
      </c>
      <c r="AJ2053" s="9" t="s">
        <v>11005</v>
      </c>
      <c r="AK2053" s="7" t="s">
        <v>61</v>
      </c>
      <c r="AL2053" s="7" t="s">
        <v>61</v>
      </c>
      <c r="AM2053" s="7" t="s">
        <v>0</v>
      </c>
      <c r="AN2053" s="7" t="s">
        <v>0</v>
      </c>
      <c r="AO2053" s="7" t="s">
        <v>0</v>
      </c>
      <c r="AP2053" s="7" t="s">
        <v>0</v>
      </c>
      <c r="AQ2053" s="7" t="s">
        <v>61</v>
      </c>
      <c r="AR2053" s="7" t="s">
        <v>0</v>
      </c>
      <c r="AS2053" s="10" t="str">
        <f>HYPERLINK("https://tessa.gazprom-neft.local/edo/card/81d16164-9421-453f-a9d8-769aac3e3515", "https://tessa.gazprom-neft.local/edo/card/81d16164-9421-453f-a9d8-769aac3e3515")</f>
        <v>https://tessa.gazprom-neft.local/edo/card/81d16164-9421-453f-a9d8-769aac3e3515</v>
      </c>
    </row>
    <row r="2054" spans="1:45" x14ac:dyDescent="0.25">
      <c r="A2054" s="6" t="s">
        <v>44</v>
      </c>
      <c r="B2054" s="7" t="s">
        <v>1386</v>
      </c>
      <c r="C2054" s="7" t="s">
        <v>67</v>
      </c>
      <c r="D2054" s="8">
        <v>44562</v>
      </c>
      <c r="E2054" s="8" t="s">
        <v>0</v>
      </c>
      <c r="F2054" s="16" t="s">
        <v>1387</v>
      </c>
      <c r="G2054" s="7" t="s">
        <v>1388</v>
      </c>
      <c r="H2054" s="7" t="s">
        <v>1383</v>
      </c>
      <c r="I2054" s="7" t="s">
        <v>0</v>
      </c>
      <c r="J2054" s="7" t="s">
        <v>955</v>
      </c>
      <c r="K2054" s="7" t="s">
        <v>47</v>
      </c>
      <c r="L2054" s="7" t="s">
        <v>48</v>
      </c>
      <c r="M2054" s="7" t="s">
        <v>0</v>
      </c>
      <c r="N2054" s="7" t="s">
        <v>1382</v>
      </c>
      <c r="O2054" s="7" t="s">
        <v>0</v>
      </c>
      <c r="P2054" s="7" t="s">
        <v>1384</v>
      </c>
      <c r="Q2054" s="7" t="s">
        <v>1385</v>
      </c>
      <c r="R2054" s="7" t="s">
        <v>1342</v>
      </c>
      <c r="S2054" s="7" t="s">
        <v>1342</v>
      </c>
      <c r="T2054" s="7" t="s">
        <v>54</v>
      </c>
      <c r="U2054" s="7" t="s">
        <v>274</v>
      </c>
      <c r="V2054" s="7" t="s">
        <v>864</v>
      </c>
      <c r="W2054" s="7" t="s">
        <v>57</v>
      </c>
      <c r="X2054" s="7" t="s">
        <v>103</v>
      </c>
      <c r="Y2054" s="8">
        <v>44562</v>
      </c>
      <c r="Z2054" s="8">
        <v>44926</v>
      </c>
      <c r="AA2054" s="7" t="s">
        <v>1343</v>
      </c>
      <c r="AB2054" s="7" t="s">
        <v>64</v>
      </c>
      <c r="AC2054" s="7" t="s">
        <v>278</v>
      </c>
      <c r="AD2054" s="7" t="s">
        <v>80</v>
      </c>
      <c r="AE2054" s="7" t="s">
        <v>82</v>
      </c>
      <c r="AF2054" s="7" t="s">
        <v>0</v>
      </c>
      <c r="AG2054" s="7" t="s">
        <v>0</v>
      </c>
      <c r="AH2054" s="9" t="s">
        <v>11013</v>
      </c>
      <c r="AI2054" s="9" t="s">
        <v>11014</v>
      </c>
      <c r="AJ2054" s="9" t="s">
        <v>11015</v>
      </c>
      <c r="AK2054" s="7" t="s">
        <v>61</v>
      </c>
      <c r="AL2054" s="7" t="s">
        <v>61</v>
      </c>
      <c r="AM2054" s="7" t="s">
        <v>0</v>
      </c>
      <c r="AN2054" s="7" t="s">
        <v>0</v>
      </c>
      <c r="AO2054" s="7" t="s">
        <v>0</v>
      </c>
      <c r="AP2054" s="7" t="s">
        <v>0</v>
      </c>
      <c r="AQ2054" s="7" t="s">
        <v>61</v>
      </c>
      <c r="AR2054" s="7" t="s">
        <v>0</v>
      </c>
      <c r="AS2054" s="10" t="str">
        <f>HYPERLINK("https://tessa.gazprom-neft.local/edo/card/b75c188c-a7b6-4f16-93bd-ae78035fad1e", "https://tessa.gazprom-neft.local/edo/card/b75c188c-a7b6-4f16-93bd-ae78035fad1e")</f>
        <v>https://tessa.gazprom-neft.local/edo/card/b75c188c-a7b6-4f16-93bd-ae78035fad1e</v>
      </c>
    </row>
    <row r="2055" spans="1:45" x14ac:dyDescent="0.25">
      <c r="A2055" s="6" t="s">
        <v>44</v>
      </c>
      <c r="B2055" s="7" t="s">
        <v>6387</v>
      </c>
      <c r="C2055" s="7" t="s">
        <v>46</v>
      </c>
      <c r="D2055" s="8">
        <v>44562</v>
      </c>
      <c r="E2055" s="8" t="s">
        <v>0</v>
      </c>
      <c r="F2055" s="16" t="s">
        <v>9484</v>
      </c>
      <c r="G2055" s="7" t="s">
        <v>6389</v>
      </c>
      <c r="H2055" s="7" t="s">
        <v>5843</v>
      </c>
      <c r="I2055" s="7" t="s">
        <v>0</v>
      </c>
      <c r="J2055" s="7" t="s">
        <v>51</v>
      </c>
      <c r="K2055" s="7" t="s">
        <v>47</v>
      </c>
      <c r="L2055" s="7" t="s">
        <v>48</v>
      </c>
      <c r="M2055" s="7" t="s">
        <v>0</v>
      </c>
      <c r="N2055" s="7" t="s">
        <v>9481</v>
      </c>
      <c r="O2055" s="7" t="s">
        <v>0</v>
      </c>
      <c r="P2055" s="7" t="s">
        <v>9482</v>
      </c>
      <c r="Q2055" s="7" t="s">
        <v>9483</v>
      </c>
      <c r="R2055" s="7" t="s">
        <v>149</v>
      </c>
      <c r="S2055" s="7" t="s">
        <v>149</v>
      </c>
      <c r="T2055" s="7" t="s">
        <v>54</v>
      </c>
      <c r="U2055" s="7" t="s">
        <v>44</v>
      </c>
      <c r="V2055" s="7" t="s">
        <v>137</v>
      </c>
      <c r="W2055" s="7" t="s">
        <v>57</v>
      </c>
      <c r="X2055" s="7" t="s">
        <v>103</v>
      </c>
      <c r="Y2055" s="8">
        <v>44562</v>
      </c>
      <c r="Z2055" s="8">
        <v>44926</v>
      </c>
      <c r="AA2055" s="7" t="s">
        <v>0</v>
      </c>
      <c r="AB2055" s="7" t="s">
        <v>64</v>
      </c>
      <c r="AC2055" s="7" t="s">
        <v>79</v>
      </c>
      <c r="AD2055" s="7" t="s">
        <v>80</v>
      </c>
      <c r="AE2055" s="7" t="s">
        <v>82</v>
      </c>
      <c r="AF2055" s="7" t="s">
        <v>0</v>
      </c>
      <c r="AG2055" s="7" t="s">
        <v>0</v>
      </c>
      <c r="AH2055" s="9" t="s">
        <v>13952</v>
      </c>
      <c r="AI2055" s="9" t="s">
        <v>13953</v>
      </c>
      <c r="AJ2055" s="9" t="s">
        <v>13954</v>
      </c>
      <c r="AK2055" s="7" t="s">
        <v>61</v>
      </c>
      <c r="AL2055" s="7" t="s">
        <v>61</v>
      </c>
      <c r="AM2055" s="7" t="s">
        <v>0</v>
      </c>
      <c r="AN2055" s="7" t="s">
        <v>0</v>
      </c>
      <c r="AO2055" s="7" t="s">
        <v>0</v>
      </c>
      <c r="AP2055" s="7" t="s">
        <v>0</v>
      </c>
      <c r="AQ2055" s="7" t="s">
        <v>61</v>
      </c>
      <c r="AR2055" s="7" t="s">
        <v>0</v>
      </c>
      <c r="AS2055" s="10" t="str">
        <f>HYPERLINK("https://tessa.gazprom-neft.local/edo/card/7ef9b833-60fa-4baa-b84c-a7f337107c17", "https://tessa.gazprom-neft.local/edo/card/7ef9b833-60fa-4baa-b84c-a7f337107c17")</f>
        <v>https://tessa.gazprom-neft.local/edo/card/7ef9b833-60fa-4baa-b84c-a7f337107c17</v>
      </c>
    </row>
    <row r="2056" spans="1:45" hidden="1" x14ac:dyDescent="0.25">
      <c r="A2056" s="6" t="s">
        <v>44</v>
      </c>
      <c r="B2056" s="7" t="s">
        <v>3326</v>
      </c>
      <c r="C2056" s="7" t="s">
        <v>67</v>
      </c>
      <c r="D2056" s="8">
        <v>44562</v>
      </c>
      <c r="E2056" s="8" t="s">
        <v>0</v>
      </c>
      <c r="F2056" s="16" t="s">
        <v>3327</v>
      </c>
      <c r="G2056" s="7" t="s">
        <v>3328</v>
      </c>
      <c r="H2056" s="7" t="s">
        <v>0</v>
      </c>
      <c r="I2056" s="7" t="s">
        <v>9495</v>
      </c>
      <c r="J2056" s="7" t="s">
        <v>9495</v>
      </c>
      <c r="K2056" s="7" t="s">
        <v>47</v>
      </c>
      <c r="L2056" s="7" t="s">
        <v>96</v>
      </c>
      <c r="M2056" s="7" t="s">
        <v>0</v>
      </c>
      <c r="N2056" s="7" t="s">
        <v>9494</v>
      </c>
      <c r="O2056" s="7" t="s">
        <v>0</v>
      </c>
      <c r="P2056" s="7" t="s">
        <v>64</v>
      </c>
      <c r="Q2056" s="7" t="s">
        <v>9496</v>
      </c>
      <c r="R2056" s="7" t="s">
        <v>836</v>
      </c>
      <c r="S2056" s="7" t="s">
        <v>836</v>
      </c>
      <c r="T2056" s="7" t="s">
        <v>54</v>
      </c>
      <c r="U2056" s="7" t="s">
        <v>294</v>
      </c>
      <c r="V2056" s="7" t="s">
        <v>295</v>
      </c>
      <c r="W2056" s="7" t="s">
        <v>57</v>
      </c>
      <c r="X2056" s="7" t="s">
        <v>103</v>
      </c>
      <c r="Y2056" s="8">
        <v>44562</v>
      </c>
      <c r="Z2056" s="8">
        <v>44926</v>
      </c>
      <c r="AA2056" s="7" t="s">
        <v>296</v>
      </c>
      <c r="AB2056" s="7" t="s">
        <v>64</v>
      </c>
      <c r="AC2056" s="7" t="s">
        <v>79</v>
      </c>
      <c r="AD2056" s="7" t="s">
        <v>80</v>
      </c>
      <c r="AE2056" s="7" t="s">
        <v>82</v>
      </c>
      <c r="AF2056" s="7" t="s">
        <v>0</v>
      </c>
      <c r="AG2056" s="7" t="s">
        <v>0</v>
      </c>
      <c r="AH2056" s="9" t="s">
        <v>13959</v>
      </c>
      <c r="AI2056" s="9" t="s">
        <v>13960</v>
      </c>
      <c r="AJ2056" s="9" t="s">
        <v>13961</v>
      </c>
      <c r="AK2056" s="7" t="s">
        <v>61</v>
      </c>
      <c r="AL2056" s="7" t="s">
        <v>61</v>
      </c>
      <c r="AM2056" s="7" t="s">
        <v>0</v>
      </c>
      <c r="AN2056" s="7" t="s">
        <v>0</v>
      </c>
      <c r="AO2056" s="7" t="s">
        <v>0</v>
      </c>
      <c r="AP2056" s="7" t="s">
        <v>0</v>
      </c>
      <c r="AQ2056" s="7" t="s">
        <v>61</v>
      </c>
      <c r="AR2056" s="7" t="s">
        <v>0</v>
      </c>
      <c r="AS2056" s="10" t="str">
        <f>HYPERLINK("https://tessa.gazprom-neft.local/edo/card/64779a8c-7b42-49a5-936e-3067100c5440", "https://tessa.gazprom-neft.local/edo/card/64779a8c-7b42-49a5-936e-3067100c5440")</f>
        <v>https://tessa.gazprom-neft.local/edo/card/64779a8c-7b42-49a5-936e-3067100c5440</v>
      </c>
    </row>
    <row r="2057" spans="1:45" hidden="1" x14ac:dyDescent="0.25">
      <c r="A2057" s="6" t="s">
        <v>44</v>
      </c>
      <c r="B2057" s="7" t="s">
        <v>374</v>
      </c>
      <c r="C2057" s="7" t="s">
        <v>67</v>
      </c>
      <c r="D2057" s="8">
        <v>44562</v>
      </c>
      <c r="E2057" s="8" t="s">
        <v>0</v>
      </c>
      <c r="F2057" s="16" t="s">
        <v>375</v>
      </c>
      <c r="G2057" s="7" t="s">
        <v>376</v>
      </c>
      <c r="H2057" s="7" t="s">
        <v>0</v>
      </c>
      <c r="I2057" s="7" t="s">
        <v>9540</v>
      </c>
      <c r="J2057" s="7" t="s">
        <v>9540</v>
      </c>
      <c r="K2057" s="7" t="s">
        <v>85</v>
      </c>
      <c r="L2057" s="7" t="s">
        <v>86</v>
      </c>
      <c r="M2057" s="7" t="s">
        <v>216</v>
      </c>
      <c r="N2057" s="7" t="s">
        <v>9539</v>
      </c>
      <c r="O2057" s="7" t="s">
        <v>0</v>
      </c>
      <c r="P2057" s="7" t="s">
        <v>216</v>
      </c>
      <c r="Q2057" s="7" t="s">
        <v>9136</v>
      </c>
      <c r="R2057" s="7" t="s">
        <v>198</v>
      </c>
      <c r="S2057" s="7" t="s">
        <v>198</v>
      </c>
      <c r="T2057" s="7" t="s">
        <v>54</v>
      </c>
      <c r="U2057" s="7" t="s">
        <v>199</v>
      </c>
      <c r="V2057" s="7" t="s">
        <v>102</v>
      </c>
      <c r="W2057" s="7" t="s">
        <v>57</v>
      </c>
      <c r="X2057" s="7" t="s">
        <v>223</v>
      </c>
      <c r="Y2057" s="8">
        <v>44562</v>
      </c>
      <c r="Z2057" s="8" t="s">
        <v>0</v>
      </c>
      <c r="AA2057" s="7" t="s">
        <v>0</v>
      </c>
      <c r="AB2057" s="7" t="s">
        <v>228</v>
      </c>
      <c r="AC2057" s="7" t="s">
        <v>65</v>
      </c>
      <c r="AD2057" s="7" t="s">
        <v>0</v>
      </c>
      <c r="AE2057" s="7" t="s">
        <v>0</v>
      </c>
      <c r="AF2057" s="7" t="s">
        <v>0</v>
      </c>
      <c r="AG2057" s="7" t="s">
        <v>0</v>
      </c>
      <c r="AH2057" s="9" t="s">
        <v>0</v>
      </c>
      <c r="AI2057" s="9" t="s">
        <v>0</v>
      </c>
      <c r="AJ2057" s="9" t="s">
        <v>0</v>
      </c>
      <c r="AK2057" s="7" t="s">
        <v>61</v>
      </c>
      <c r="AL2057" s="7" t="s">
        <v>61</v>
      </c>
      <c r="AM2057" s="7" t="s">
        <v>0</v>
      </c>
      <c r="AN2057" s="7" t="s">
        <v>0</v>
      </c>
      <c r="AO2057" s="7" t="s">
        <v>0</v>
      </c>
      <c r="AP2057" s="7" t="s">
        <v>0</v>
      </c>
      <c r="AQ2057" s="7" t="s">
        <v>61</v>
      </c>
      <c r="AR2057" s="7" t="s">
        <v>0</v>
      </c>
      <c r="AS2057" s="10" t="str">
        <f>HYPERLINK("https://tessa.gazprom-neft.local/edo/card/ddc2cd94-4943-4f81-9c85-d939e8245f23", "https://tessa.gazprom-neft.local/edo/card/ddc2cd94-4943-4f81-9c85-d939e8245f23")</f>
        <v>https://tessa.gazprom-neft.local/edo/card/ddc2cd94-4943-4f81-9c85-d939e8245f23</v>
      </c>
    </row>
    <row r="2058" spans="1:45" x14ac:dyDescent="0.25">
      <c r="A2058" s="6" t="s">
        <v>44</v>
      </c>
      <c r="B2058" s="7" t="s">
        <v>837</v>
      </c>
      <c r="C2058" s="7" t="s">
        <v>67</v>
      </c>
      <c r="D2058" s="8">
        <v>44562</v>
      </c>
      <c r="E2058" s="8" t="s">
        <v>0</v>
      </c>
      <c r="F2058" s="16" t="s">
        <v>838</v>
      </c>
      <c r="G2058" s="7" t="s">
        <v>839</v>
      </c>
      <c r="H2058" s="7" t="s">
        <v>7164</v>
      </c>
      <c r="I2058" s="7" t="s">
        <v>0</v>
      </c>
      <c r="J2058" s="7" t="s">
        <v>872</v>
      </c>
      <c r="K2058" s="7" t="s">
        <v>47</v>
      </c>
      <c r="L2058" s="7" t="s">
        <v>48</v>
      </c>
      <c r="M2058" s="7" t="s">
        <v>0</v>
      </c>
      <c r="N2058" s="7" t="s">
        <v>9580</v>
      </c>
      <c r="O2058" s="7" t="s">
        <v>0</v>
      </c>
      <c r="P2058" s="7" t="s">
        <v>9581</v>
      </c>
      <c r="Q2058" s="7" t="s">
        <v>9582</v>
      </c>
      <c r="R2058" s="7" t="s">
        <v>836</v>
      </c>
      <c r="S2058" s="7" t="s">
        <v>836</v>
      </c>
      <c r="T2058" s="7" t="s">
        <v>54</v>
      </c>
      <c r="U2058" s="7" t="s">
        <v>294</v>
      </c>
      <c r="V2058" s="7" t="s">
        <v>295</v>
      </c>
      <c r="W2058" s="7" t="s">
        <v>57</v>
      </c>
      <c r="X2058" s="7" t="s">
        <v>103</v>
      </c>
      <c r="Y2058" s="8">
        <v>44562</v>
      </c>
      <c r="Z2058" s="8">
        <v>44926</v>
      </c>
      <c r="AA2058" s="7" t="s">
        <v>296</v>
      </c>
      <c r="AB2058" s="7" t="s">
        <v>64</v>
      </c>
      <c r="AC2058" s="7" t="s">
        <v>79</v>
      </c>
      <c r="AD2058" s="7" t="s">
        <v>80</v>
      </c>
      <c r="AE2058" s="7" t="s">
        <v>82</v>
      </c>
      <c r="AF2058" s="7" t="s">
        <v>0</v>
      </c>
      <c r="AG2058" s="7" t="s">
        <v>0</v>
      </c>
      <c r="AH2058" s="9" t="s">
        <v>13992</v>
      </c>
      <c r="AI2058" s="9" t="s">
        <v>13993</v>
      </c>
      <c r="AJ2058" s="9" t="s">
        <v>13994</v>
      </c>
      <c r="AK2058" s="7" t="s">
        <v>61</v>
      </c>
      <c r="AL2058" s="7" t="s">
        <v>61</v>
      </c>
      <c r="AM2058" s="7" t="s">
        <v>0</v>
      </c>
      <c r="AN2058" s="7" t="s">
        <v>0</v>
      </c>
      <c r="AO2058" s="7" t="s">
        <v>0</v>
      </c>
      <c r="AP2058" s="7" t="s">
        <v>0</v>
      </c>
      <c r="AQ2058" s="7" t="s">
        <v>61</v>
      </c>
      <c r="AR2058" s="7" t="s">
        <v>0</v>
      </c>
      <c r="AS2058" s="10" t="str">
        <f>HYPERLINK("https://tessa.gazprom-neft.local/edo/card/54ba20a2-52af-43e4-b937-9f8cefb7aeaf", "https://tessa.gazprom-neft.local/edo/card/54ba20a2-52af-43e4-b937-9f8cefb7aeaf")</f>
        <v>https://tessa.gazprom-neft.local/edo/card/54ba20a2-52af-43e4-b937-9f8cefb7aeaf</v>
      </c>
    </row>
    <row r="2059" spans="1:45" x14ac:dyDescent="0.25">
      <c r="A2059" s="6" t="s">
        <v>44</v>
      </c>
      <c r="B2059" s="7" t="s">
        <v>3326</v>
      </c>
      <c r="C2059" s="7" t="s">
        <v>67</v>
      </c>
      <c r="D2059" s="8">
        <v>44562</v>
      </c>
      <c r="E2059" s="8" t="s">
        <v>0</v>
      </c>
      <c r="F2059" s="16" t="s">
        <v>3327</v>
      </c>
      <c r="G2059" s="7" t="s">
        <v>3328</v>
      </c>
      <c r="H2059" s="7" t="s">
        <v>9663</v>
      </c>
      <c r="I2059" s="7" t="s">
        <v>0</v>
      </c>
      <c r="J2059" s="7" t="s">
        <v>156</v>
      </c>
      <c r="K2059" s="7" t="s">
        <v>47</v>
      </c>
      <c r="L2059" s="7" t="s">
        <v>48</v>
      </c>
      <c r="M2059" s="7" t="s">
        <v>0</v>
      </c>
      <c r="N2059" s="7" t="s">
        <v>9662</v>
      </c>
      <c r="O2059" s="7" t="s">
        <v>0</v>
      </c>
      <c r="P2059" s="7" t="s">
        <v>9664</v>
      </c>
      <c r="Q2059" s="7" t="s">
        <v>9665</v>
      </c>
      <c r="R2059" s="7" t="s">
        <v>6771</v>
      </c>
      <c r="S2059" s="7" t="s">
        <v>6771</v>
      </c>
      <c r="T2059" s="7" t="s">
        <v>54</v>
      </c>
      <c r="U2059" s="7" t="s">
        <v>362</v>
      </c>
      <c r="V2059" s="7" t="s">
        <v>295</v>
      </c>
      <c r="W2059" s="7" t="s">
        <v>57</v>
      </c>
      <c r="X2059" s="7" t="s">
        <v>103</v>
      </c>
      <c r="Y2059" s="8">
        <v>44562</v>
      </c>
      <c r="Z2059" s="8">
        <v>44926</v>
      </c>
      <c r="AA2059" s="7" t="s">
        <v>296</v>
      </c>
      <c r="AB2059" s="7" t="s">
        <v>130</v>
      </c>
      <c r="AC2059" s="7" t="s">
        <v>79</v>
      </c>
      <c r="AD2059" s="7" t="s">
        <v>80</v>
      </c>
      <c r="AE2059" s="7" t="s">
        <v>82</v>
      </c>
      <c r="AF2059" s="7" t="s">
        <v>0</v>
      </c>
      <c r="AG2059" s="7" t="s">
        <v>0</v>
      </c>
      <c r="AH2059" s="9" t="s">
        <v>14026</v>
      </c>
      <c r="AI2059" s="9" t="s">
        <v>14027</v>
      </c>
      <c r="AJ2059" s="9" t="s">
        <v>14028</v>
      </c>
      <c r="AK2059" s="7" t="s">
        <v>61</v>
      </c>
      <c r="AL2059" s="7" t="s">
        <v>61</v>
      </c>
      <c r="AM2059" s="7" t="s">
        <v>0</v>
      </c>
      <c r="AN2059" s="7" t="s">
        <v>0</v>
      </c>
      <c r="AO2059" s="7" t="s">
        <v>0</v>
      </c>
      <c r="AP2059" s="7" t="s">
        <v>0</v>
      </c>
      <c r="AQ2059" s="7" t="s">
        <v>61</v>
      </c>
      <c r="AR2059" s="7" t="s">
        <v>0</v>
      </c>
      <c r="AS2059" s="10" t="str">
        <f>HYPERLINK("https://tessa.gazprom-neft.local/edo/card/3b9c756e-ad0d-499f-a7b2-a18d744a8ee8", "https://tessa.gazprom-neft.local/edo/card/3b9c756e-ad0d-499f-a7b2-a18d744a8ee8")</f>
        <v>https://tessa.gazprom-neft.local/edo/card/3b9c756e-ad0d-499f-a7b2-a18d744a8ee8</v>
      </c>
    </row>
    <row r="2060" spans="1:45" x14ac:dyDescent="0.25">
      <c r="A2060" s="6" t="s">
        <v>44</v>
      </c>
      <c r="B2060" s="7" t="s">
        <v>114</v>
      </c>
      <c r="C2060" s="7" t="s">
        <v>67</v>
      </c>
      <c r="D2060" s="8">
        <v>44561</v>
      </c>
      <c r="E2060" s="8" t="s">
        <v>0</v>
      </c>
      <c r="F2060" s="16" t="s">
        <v>115</v>
      </c>
      <c r="G2060" s="7" t="s">
        <v>116</v>
      </c>
      <c r="H2060" s="7" t="s">
        <v>867</v>
      </c>
      <c r="I2060" s="7" t="s">
        <v>0</v>
      </c>
      <c r="J2060" s="7" t="s">
        <v>156</v>
      </c>
      <c r="K2060" s="7" t="s">
        <v>47</v>
      </c>
      <c r="L2060" s="7" t="s">
        <v>48</v>
      </c>
      <c r="M2060" s="7" t="s">
        <v>0</v>
      </c>
      <c r="N2060" s="7" t="s">
        <v>866</v>
      </c>
      <c r="O2060" s="7" t="s">
        <v>0</v>
      </c>
      <c r="P2060" s="7" t="s">
        <v>850</v>
      </c>
      <c r="Q2060" s="7" t="s">
        <v>868</v>
      </c>
      <c r="R2060" s="7" t="s">
        <v>110</v>
      </c>
      <c r="S2060" s="7" t="s">
        <v>110</v>
      </c>
      <c r="T2060" s="7" t="s">
        <v>54</v>
      </c>
      <c r="U2060" s="7" t="s">
        <v>111</v>
      </c>
      <c r="V2060" s="7" t="s">
        <v>112</v>
      </c>
      <c r="W2060" s="7" t="s">
        <v>57</v>
      </c>
      <c r="X2060" s="7" t="s">
        <v>58</v>
      </c>
      <c r="Y2060" s="8">
        <v>44562</v>
      </c>
      <c r="Z2060" s="8" t="s">
        <v>0</v>
      </c>
      <c r="AA2060" s="7" t="s">
        <v>113</v>
      </c>
      <c r="AB2060" s="7" t="s">
        <v>117</v>
      </c>
      <c r="AC2060" s="7" t="s">
        <v>79</v>
      </c>
      <c r="AD2060" s="7" t="s">
        <v>144</v>
      </c>
      <c r="AE2060" s="7" t="s">
        <v>118</v>
      </c>
      <c r="AF2060" s="7" t="s">
        <v>0</v>
      </c>
      <c r="AG2060" s="7" t="s">
        <v>0</v>
      </c>
      <c r="AH2060" s="9" t="s">
        <v>10847</v>
      </c>
      <c r="AI2060" s="9" t="s">
        <v>10847</v>
      </c>
      <c r="AJ2060" s="9">
        <v>0</v>
      </c>
      <c r="AK2060" s="7" t="s">
        <v>61</v>
      </c>
      <c r="AL2060" s="7" t="s">
        <v>61</v>
      </c>
      <c r="AM2060" s="7" t="s">
        <v>0</v>
      </c>
      <c r="AN2060" s="7" t="s">
        <v>0</v>
      </c>
      <c r="AO2060" s="7" t="s">
        <v>0</v>
      </c>
      <c r="AP2060" s="7" t="s">
        <v>0</v>
      </c>
      <c r="AQ2060" s="7" t="s">
        <v>61</v>
      </c>
      <c r="AR2060" s="7" t="s">
        <v>0</v>
      </c>
      <c r="AS2060" s="10" t="str">
        <f>HYPERLINK("https://tessa.gazprom-neft.local/edo/card/0e9c93ca-da98-46cf-b6ff-13c55d73fccf", "https://tessa.gazprom-neft.local/edo/card/0e9c93ca-da98-46cf-b6ff-13c55d73fccf")</f>
        <v>https://tessa.gazprom-neft.local/edo/card/0e9c93ca-da98-46cf-b6ff-13c55d73fccf</v>
      </c>
    </row>
    <row r="2061" spans="1:45" x14ac:dyDescent="0.25">
      <c r="A2061" s="6" t="s">
        <v>10691</v>
      </c>
      <c r="B2061" s="7" t="s">
        <v>60</v>
      </c>
      <c r="C2061" s="7" t="s">
        <v>46</v>
      </c>
      <c r="D2061" s="8">
        <v>44560</v>
      </c>
      <c r="E2061" s="8" t="s">
        <v>0</v>
      </c>
      <c r="F2061" s="16" t="s">
        <v>62</v>
      </c>
      <c r="G2061" s="7" t="s">
        <v>63</v>
      </c>
      <c r="H2061" s="7" t="s">
        <v>49</v>
      </c>
      <c r="I2061" s="7" t="s">
        <v>0</v>
      </c>
      <c r="J2061" s="7" t="s">
        <v>51</v>
      </c>
      <c r="K2061" s="7" t="s">
        <v>47</v>
      </c>
      <c r="L2061" s="7" t="s">
        <v>48</v>
      </c>
      <c r="M2061" s="7" t="s">
        <v>0</v>
      </c>
      <c r="N2061" s="7" t="s">
        <v>45</v>
      </c>
      <c r="O2061" s="7" t="s">
        <v>0</v>
      </c>
      <c r="P2061" s="7" t="s">
        <v>50</v>
      </c>
      <c r="Q2061" s="7" t="s">
        <v>52</v>
      </c>
      <c r="R2061" s="7" t="s">
        <v>53</v>
      </c>
      <c r="S2061" s="7" t="s">
        <v>53</v>
      </c>
      <c r="T2061" s="7" t="s">
        <v>54</v>
      </c>
      <c r="U2061" s="7" t="s">
        <v>55</v>
      </c>
      <c r="V2061" s="7" t="s">
        <v>56</v>
      </c>
      <c r="W2061" s="7" t="s">
        <v>57</v>
      </c>
      <c r="X2061" s="7" t="s">
        <v>58</v>
      </c>
      <c r="Y2061" s="8">
        <v>44560</v>
      </c>
      <c r="Z2061" s="8" t="s">
        <v>0</v>
      </c>
      <c r="AA2061" s="7" t="s">
        <v>59</v>
      </c>
      <c r="AB2061" s="7" t="s">
        <v>64</v>
      </c>
      <c r="AC2061" s="7" t="s">
        <v>65</v>
      </c>
      <c r="AD2061" s="7" t="s">
        <v>0</v>
      </c>
      <c r="AE2061" s="7" t="s">
        <v>0</v>
      </c>
      <c r="AF2061" s="7" t="s">
        <v>0</v>
      </c>
      <c r="AG2061" s="7" t="s">
        <v>0</v>
      </c>
      <c r="AH2061" s="9" t="s">
        <v>0</v>
      </c>
      <c r="AI2061" s="9" t="s">
        <v>0</v>
      </c>
      <c r="AJ2061" s="9" t="s">
        <v>0</v>
      </c>
      <c r="AK2061" s="7" t="s">
        <v>61</v>
      </c>
      <c r="AL2061" s="7" t="s">
        <v>61</v>
      </c>
      <c r="AM2061" s="7" t="s">
        <v>0</v>
      </c>
      <c r="AN2061" s="7" t="s">
        <v>0</v>
      </c>
      <c r="AO2061" s="7" t="s">
        <v>0</v>
      </c>
      <c r="AP2061" s="7" t="s">
        <v>0</v>
      </c>
      <c r="AQ2061" s="7" t="s">
        <v>61</v>
      </c>
      <c r="AR2061" s="7" t="s">
        <v>0</v>
      </c>
      <c r="AS2061" s="10" t="str">
        <f>HYPERLINK("https://tessa.gazprom-neft.local/edo/card/ef065066-b8b9-4dee-b183-235f6baea15a", "https://tessa.gazprom-neft.local/edo/card/ef065066-b8b9-4dee-b183-235f6baea15a")</f>
        <v>https://tessa.gazprom-neft.local/edo/card/ef065066-b8b9-4dee-b183-235f6baea15a</v>
      </c>
    </row>
    <row r="2062" spans="1:45" x14ac:dyDescent="0.25">
      <c r="A2062" s="6" t="s">
        <v>44</v>
      </c>
      <c r="B2062" s="7" t="s">
        <v>150</v>
      </c>
      <c r="C2062" s="7" t="s">
        <v>67</v>
      </c>
      <c r="D2062" s="8">
        <v>44560</v>
      </c>
      <c r="E2062" s="8" t="s">
        <v>0</v>
      </c>
      <c r="F2062" s="16" t="s">
        <v>151</v>
      </c>
      <c r="G2062" s="7" t="s">
        <v>152</v>
      </c>
      <c r="H2062" s="7" t="s">
        <v>146</v>
      </c>
      <c r="I2062" s="7" t="s">
        <v>0</v>
      </c>
      <c r="J2062" s="7" t="s">
        <v>51</v>
      </c>
      <c r="K2062" s="7" t="s">
        <v>47</v>
      </c>
      <c r="L2062" s="7" t="s">
        <v>48</v>
      </c>
      <c r="M2062" s="7" t="s">
        <v>0</v>
      </c>
      <c r="N2062" s="7" t="s">
        <v>145</v>
      </c>
      <c r="O2062" s="7" t="s">
        <v>0</v>
      </c>
      <c r="P2062" s="7" t="s">
        <v>147</v>
      </c>
      <c r="Q2062" s="7" t="s">
        <v>148</v>
      </c>
      <c r="R2062" s="7" t="s">
        <v>149</v>
      </c>
      <c r="S2062" s="7" t="s">
        <v>149</v>
      </c>
      <c r="T2062" s="7" t="s">
        <v>54</v>
      </c>
      <c r="U2062" s="7" t="s">
        <v>44</v>
      </c>
      <c r="V2062" s="7" t="s">
        <v>137</v>
      </c>
      <c r="W2062" s="7" t="s">
        <v>57</v>
      </c>
      <c r="X2062" s="7" t="s">
        <v>103</v>
      </c>
      <c r="Y2062" s="8">
        <v>44562</v>
      </c>
      <c r="Z2062" s="8">
        <v>44926</v>
      </c>
      <c r="AA2062" s="7" t="s">
        <v>0</v>
      </c>
      <c r="AB2062" s="7" t="s">
        <v>64</v>
      </c>
      <c r="AC2062" s="7" t="s">
        <v>65</v>
      </c>
      <c r="AD2062" s="7" t="s">
        <v>0</v>
      </c>
      <c r="AE2062" s="7" t="s">
        <v>0</v>
      </c>
      <c r="AF2062" s="7" t="s">
        <v>0</v>
      </c>
      <c r="AG2062" s="7" t="s">
        <v>0</v>
      </c>
      <c r="AH2062" s="9" t="s">
        <v>0</v>
      </c>
      <c r="AI2062" s="9" t="s">
        <v>0</v>
      </c>
      <c r="AJ2062" s="9" t="s">
        <v>0</v>
      </c>
      <c r="AK2062" s="7" t="s">
        <v>61</v>
      </c>
      <c r="AL2062" s="7" t="s">
        <v>61</v>
      </c>
      <c r="AM2062" s="7" t="s">
        <v>0</v>
      </c>
      <c r="AN2062" s="7" t="s">
        <v>0</v>
      </c>
      <c r="AO2062" s="7" t="s">
        <v>0</v>
      </c>
      <c r="AP2062" s="7" t="s">
        <v>0</v>
      </c>
      <c r="AQ2062" s="7" t="s">
        <v>61</v>
      </c>
      <c r="AR2062" s="7" t="s">
        <v>0</v>
      </c>
      <c r="AS2062" s="10" t="str">
        <f>HYPERLINK("https://tessa.gazprom-neft.local/edo/card/47422bac-ccdc-4c30-8eba-d261f0275b93", "https://tessa.gazprom-neft.local/edo/card/47422bac-ccdc-4c30-8eba-d261f0275b93")</f>
        <v>https://tessa.gazprom-neft.local/edo/card/47422bac-ccdc-4c30-8eba-d261f0275b93</v>
      </c>
    </row>
    <row r="2063" spans="1:45" x14ac:dyDescent="0.25">
      <c r="A2063" s="6" t="s">
        <v>44</v>
      </c>
      <c r="B2063" s="7" t="s">
        <v>158</v>
      </c>
      <c r="C2063" s="7" t="s">
        <v>67</v>
      </c>
      <c r="D2063" s="8">
        <v>44560</v>
      </c>
      <c r="E2063" s="8" t="s">
        <v>0</v>
      </c>
      <c r="F2063" s="16" t="s">
        <v>159</v>
      </c>
      <c r="G2063" s="7" t="s">
        <v>160</v>
      </c>
      <c r="H2063" s="7" t="s">
        <v>154</v>
      </c>
      <c r="I2063" s="7" t="s">
        <v>0</v>
      </c>
      <c r="J2063" s="7" t="s">
        <v>156</v>
      </c>
      <c r="K2063" s="7" t="s">
        <v>47</v>
      </c>
      <c r="L2063" s="7" t="s">
        <v>48</v>
      </c>
      <c r="M2063" s="7" t="s">
        <v>0</v>
      </c>
      <c r="N2063" s="7" t="s">
        <v>153</v>
      </c>
      <c r="O2063" s="7" t="s">
        <v>0</v>
      </c>
      <c r="P2063" s="7" t="s">
        <v>155</v>
      </c>
      <c r="Q2063" s="7" t="s">
        <v>157</v>
      </c>
      <c r="R2063" s="7" t="s">
        <v>110</v>
      </c>
      <c r="S2063" s="7" t="s">
        <v>110</v>
      </c>
      <c r="T2063" s="7" t="s">
        <v>54</v>
      </c>
      <c r="U2063" s="7" t="s">
        <v>111</v>
      </c>
      <c r="V2063" s="7" t="s">
        <v>112</v>
      </c>
      <c r="W2063" s="7" t="s">
        <v>57</v>
      </c>
      <c r="X2063" s="7" t="s">
        <v>58</v>
      </c>
      <c r="Y2063" s="8">
        <v>44560</v>
      </c>
      <c r="Z2063" s="8" t="s">
        <v>0</v>
      </c>
      <c r="AA2063" s="7" t="s">
        <v>0</v>
      </c>
      <c r="AB2063" s="7" t="s">
        <v>161</v>
      </c>
      <c r="AC2063" s="7" t="s">
        <v>65</v>
      </c>
      <c r="AD2063" s="7" t="s">
        <v>0</v>
      </c>
      <c r="AE2063" s="7" t="s">
        <v>0</v>
      </c>
      <c r="AF2063" s="7" t="s">
        <v>0</v>
      </c>
      <c r="AG2063" s="7" t="s">
        <v>0</v>
      </c>
      <c r="AH2063" s="9" t="s">
        <v>0</v>
      </c>
      <c r="AI2063" s="9" t="s">
        <v>0</v>
      </c>
      <c r="AJ2063" s="9" t="s">
        <v>0</v>
      </c>
      <c r="AK2063" s="7" t="s">
        <v>61</v>
      </c>
      <c r="AL2063" s="7" t="s">
        <v>61</v>
      </c>
      <c r="AM2063" s="7" t="s">
        <v>0</v>
      </c>
      <c r="AN2063" s="7" t="s">
        <v>0</v>
      </c>
      <c r="AO2063" s="7" t="s">
        <v>0</v>
      </c>
      <c r="AP2063" s="7" t="s">
        <v>0</v>
      </c>
      <c r="AQ2063" s="7" t="s">
        <v>61</v>
      </c>
      <c r="AR2063" s="7" t="s">
        <v>0</v>
      </c>
      <c r="AS2063" s="10" t="str">
        <f>HYPERLINK("https://tessa.gazprom-neft.local/edo/card/4b666643-de23-4e4c-95ae-e34225fa75e4", "https://tessa.gazprom-neft.local/edo/card/4b666643-de23-4e4c-95ae-e34225fa75e4")</f>
        <v>https://tessa.gazprom-neft.local/edo/card/4b666643-de23-4e4c-95ae-e34225fa75e4</v>
      </c>
    </row>
    <row r="2064" spans="1:45" x14ac:dyDescent="0.25">
      <c r="A2064" s="6" t="s">
        <v>44</v>
      </c>
      <c r="B2064" s="7" t="s">
        <v>114</v>
      </c>
      <c r="C2064" s="7" t="s">
        <v>67</v>
      </c>
      <c r="D2064" s="8">
        <v>44560</v>
      </c>
      <c r="E2064" s="8" t="s">
        <v>0</v>
      </c>
      <c r="F2064" s="16" t="s">
        <v>115</v>
      </c>
      <c r="G2064" s="7" t="s">
        <v>116</v>
      </c>
      <c r="H2064" s="7" t="s">
        <v>311</v>
      </c>
      <c r="I2064" s="7" t="s">
        <v>0</v>
      </c>
      <c r="J2064" s="7" t="s">
        <v>271</v>
      </c>
      <c r="K2064" s="7" t="s">
        <v>47</v>
      </c>
      <c r="L2064" s="7" t="s">
        <v>48</v>
      </c>
      <c r="M2064" s="7" t="s">
        <v>0</v>
      </c>
      <c r="N2064" s="7" t="s">
        <v>310</v>
      </c>
      <c r="O2064" s="7" t="s">
        <v>0</v>
      </c>
      <c r="P2064" s="7" t="s">
        <v>312</v>
      </c>
      <c r="Q2064" s="7" t="s">
        <v>313</v>
      </c>
      <c r="R2064" s="7" t="s">
        <v>110</v>
      </c>
      <c r="S2064" s="7" t="s">
        <v>110</v>
      </c>
      <c r="T2064" s="7" t="s">
        <v>54</v>
      </c>
      <c r="U2064" s="7" t="s">
        <v>111</v>
      </c>
      <c r="V2064" s="7" t="s">
        <v>112</v>
      </c>
      <c r="W2064" s="7" t="s">
        <v>57</v>
      </c>
      <c r="X2064" s="7" t="s">
        <v>58</v>
      </c>
      <c r="Y2064" s="8">
        <v>44560</v>
      </c>
      <c r="Z2064" s="8" t="s">
        <v>0</v>
      </c>
      <c r="AA2064" s="7" t="s">
        <v>0</v>
      </c>
      <c r="AB2064" s="7" t="s">
        <v>117</v>
      </c>
      <c r="AC2064" s="7" t="s">
        <v>79</v>
      </c>
      <c r="AD2064" s="7" t="s">
        <v>80</v>
      </c>
      <c r="AE2064" s="7" t="s">
        <v>118</v>
      </c>
      <c r="AF2064" s="7" t="s">
        <v>0</v>
      </c>
      <c r="AG2064" s="7" t="s">
        <v>0</v>
      </c>
      <c r="AH2064" s="9" t="s">
        <v>10720</v>
      </c>
      <c r="AI2064" s="9" t="s">
        <v>10720</v>
      </c>
      <c r="AJ2064" s="9">
        <v>0</v>
      </c>
      <c r="AK2064" s="7" t="s">
        <v>61</v>
      </c>
      <c r="AL2064" s="7" t="s">
        <v>61</v>
      </c>
      <c r="AM2064" s="7" t="s">
        <v>0</v>
      </c>
      <c r="AN2064" s="7" t="s">
        <v>0</v>
      </c>
      <c r="AO2064" s="7" t="s">
        <v>0</v>
      </c>
      <c r="AP2064" s="7" t="s">
        <v>0</v>
      </c>
      <c r="AQ2064" s="7" t="s">
        <v>61</v>
      </c>
      <c r="AR2064" s="7" t="s">
        <v>0</v>
      </c>
      <c r="AS2064" s="10" t="str">
        <f>HYPERLINK("https://tessa.gazprom-neft.local/edo/card/362da0e8-aa28-426d-ab52-7cb95828ba47", "https://tessa.gazprom-neft.local/edo/card/362da0e8-aa28-426d-ab52-7cb95828ba47")</f>
        <v>https://tessa.gazprom-neft.local/edo/card/362da0e8-aa28-426d-ab52-7cb95828ba47</v>
      </c>
    </row>
    <row r="2065" spans="1:45" x14ac:dyDescent="0.25">
      <c r="A2065" s="6" t="s">
        <v>44</v>
      </c>
      <c r="B2065" s="7" t="s">
        <v>520</v>
      </c>
      <c r="C2065" s="7" t="s">
        <v>67</v>
      </c>
      <c r="D2065" s="8">
        <v>44560</v>
      </c>
      <c r="E2065" s="8" t="s">
        <v>0</v>
      </c>
      <c r="F2065" s="16" t="s">
        <v>521</v>
      </c>
      <c r="G2065" s="7" t="s">
        <v>522</v>
      </c>
      <c r="H2065" s="7" t="s">
        <v>516</v>
      </c>
      <c r="I2065" s="7" t="s">
        <v>0</v>
      </c>
      <c r="J2065" s="7" t="s">
        <v>271</v>
      </c>
      <c r="K2065" s="7" t="s">
        <v>47</v>
      </c>
      <c r="L2065" s="7" t="s">
        <v>48</v>
      </c>
      <c r="M2065" s="7" t="s">
        <v>0</v>
      </c>
      <c r="N2065" s="7" t="s">
        <v>515</v>
      </c>
      <c r="O2065" s="7" t="s">
        <v>0</v>
      </c>
      <c r="P2065" s="7" t="s">
        <v>517</v>
      </c>
      <c r="Q2065" s="7" t="s">
        <v>518</v>
      </c>
      <c r="R2065" s="7" t="s">
        <v>519</v>
      </c>
      <c r="S2065" s="7" t="s">
        <v>519</v>
      </c>
      <c r="T2065" s="7" t="s">
        <v>54</v>
      </c>
      <c r="U2065" s="7" t="s">
        <v>362</v>
      </c>
      <c r="V2065" s="7" t="s">
        <v>295</v>
      </c>
      <c r="W2065" s="7" t="s">
        <v>57</v>
      </c>
      <c r="X2065" s="7" t="s">
        <v>103</v>
      </c>
      <c r="Y2065" s="8">
        <v>44560</v>
      </c>
      <c r="Z2065" s="8">
        <v>44926</v>
      </c>
      <c r="AA2065" s="7" t="s">
        <v>296</v>
      </c>
      <c r="AB2065" s="7" t="s">
        <v>64</v>
      </c>
      <c r="AC2065" s="7" t="s">
        <v>65</v>
      </c>
      <c r="AD2065" s="7" t="s">
        <v>367</v>
      </c>
      <c r="AE2065" s="7" t="s">
        <v>0</v>
      </c>
      <c r="AF2065" s="7" t="s">
        <v>0</v>
      </c>
      <c r="AG2065" s="7" t="s">
        <v>0</v>
      </c>
      <c r="AH2065" s="9" t="s">
        <v>0</v>
      </c>
      <c r="AI2065" s="9" t="s">
        <v>0</v>
      </c>
      <c r="AJ2065" s="9" t="s">
        <v>0</v>
      </c>
      <c r="AK2065" s="7" t="s">
        <v>61</v>
      </c>
      <c r="AL2065" s="7" t="s">
        <v>61</v>
      </c>
      <c r="AM2065" s="7" t="s">
        <v>0</v>
      </c>
      <c r="AN2065" s="7" t="s">
        <v>0</v>
      </c>
      <c r="AO2065" s="7" t="s">
        <v>0</v>
      </c>
      <c r="AP2065" s="7" t="s">
        <v>0</v>
      </c>
      <c r="AQ2065" s="7" t="s">
        <v>61</v>
      </c>
      <c r="AR2065" s="7" t="s">
        <v>0</v>
      </c>
      <c r="AS2065" s="10" t="str">
        <f>HYPERLINK("https://tessa.gazprom-neft.local/edo/card/10927870-689a-4e13-a25c-3711cea45b4b", "https://tessa.gazprom-neft.local/edo/card/10927870-689a-4e13-a25c-3711cea45b4b")</f>
        <v>https://tessa.gazprom-neft.local/edo/card/10927870-689a-4e13-a25c-3711cea45b4b</v>
      </c>
    </row>
    <row r="2066" spans="1:45" hidden="1" x14ac:dyDescent="0.25">
      <c r="A2066" s="6" t="s">
        <v>44</v>
      </c>
      <c r="B2066" s="7" t="s">
        <v>801</v>
      </c>
      <c r="C2066" s="7" t="s">
        <v>67</v>
      </c>
      <c r="D2066" s="8">
        <v>44560</v>
      </c>
      <c r="E2066" s="8" t="s">
        <v>0</v>
      </c>
      <c r="F2066" s="16" t="s">
        <v>802</v>
      </c>
      <c r="G2066" s="7" t="s">
        <v>803</v>
      </c>
      <c r="H2066" s="7" t="s">
        <v>0</v>
      </c>
      <c r="I2066" s="7" t="s">
        <v>797</v>
      </c>
      <c r="J2066" s="7" t="s">
        <v>797</v>
      </c>
      <c r="K2066" s="7" t="s">
        <v>47</v>
      </c>
      <c r="L2066" s="7" t="s">
        <v>96</v>
      </c>
      <c r="M2066" s="7" t="s">
        <v>0</v>
      </c>
      <c r="N2066" s="7" t="s">
        <v>796</v>
      </c>
      <c r="O2066" s="7" t="s">
        <v>0</v>
      </c>
      <c r="P2066" s="7" t="s">
        <v>798</v>
      </c>
      <c r="Q2066" s="7" t="s">
        <v>798</v>
      </c>
      <c r="R2066" s="7" t="s">
        <v>799</v>
      </c>
      <c r="S2066" s="7" t="s">
        <v>0</v>
      </c>
      <c r="T2066" s="7" t="s">
        <v>54</v>
      </c>
      <c r="U2066" s="7" t="s">
        <v>55</v>
      </c>
      <c r="V2066" s="7" t="s">
        <v>56</v>
      </c>
      <c r="W2066" s="7" t="s">
        <v>57</v>
      </c>
      <c r="X2066" s="7" t="s">
        <v>103</v>
      </c>
      <c r="Y2066" s="8">
        <v>44560</v>
      </c>
      <c r="Z2066" s="8">
        <v>45291</v>
      </c>
      <c r="AA2066" s="7" t="s">
        <v>800</v>
      </c>
      <c r="AB2066" s="7" t="s">
        <v>804</v>
      </c>
      <c r="AC2066" s="7" t="s">
        <v>278</v>
      </c>
      <c r="AD2066" s="7" t="s">
        <v>80</v>
      </c>
      <c r="AE2066" s="7" t="s">
        <v>82</v>
      </c>
      <c r="AF2066" s="7" t="s">
        <v>0</v>
      </c>
      <c r="AG2066" s="7" t="s">
        <v>0</v>
      </c>
      <c r="AH2066" s="9" t="s">
        <v>10835</v>
      </c>
      <c r="AI2066" s="9" t="s">
        <v>10836</v>
      </c>
      <c r="AJ2066" s="9" t="s">
        <v>10837</v>
      </c>
      <c r="AK2066" s="7" t="s">
        <v>61</v>
      </c>
      <c r="AL2066" s="7" t="s">
        <v>61</v>
      </c>
      <c r="AM2066" s="7" t="s">
        <v>0</v>
      </c>
      <c r="AN2066" s="7" t="s">
        <v>0</v>
      </c>
      <c r="AO2066" s="7" t="s">
        <v>0</v>
      </c>
      <c r="AP2066" s="7" t="s">
        <v>0</v>
      </c>
      <c r="AQ2066" s="7" t="s">
        <v>61</v>
      </c>
      <c r="AR2066" s="7" t="s">
        <v>0</v>
      </c>
      <c r="AS2066" s="10" t="str">
        <f>HYPERLINK("https://tessa.gazprom-neft.local/edo/card/98e78566-1296-4a95-90e0-f1e065ed578f", "https://tessa.gazprom-neft.local/edo/card/98e78566-1296-4a95-90e0-f1e065ed578f")</f>
        <v>https://tessa.gazprom-neft.local/edo/card/98e78566-1296-4a95-90e0-f1e065ed578f</v>
      </c>
    </row>
    <row r="2067" spans="1:45" x14ac:dyDescent="0.25">
      <c r="A2067" s="6" t="s">
        <v>44</v>
      </c>
      <c r="B2067" s="7" t="s">
        <v>964</v>
      </c>
      <c r="C2067" s="7" t="s">
        <v>67</v>
      </c>
      <c r="D2067" s="8">
        <v>44560</v>
      </c>
      <c r="E2067" s="8" t="s">
        <v>0</v>
      </c>
      <c r="F2067" s="16" t="s">
        <v>965</v>
      </c>
      <c r="G2067" s="7" t="s">
        <v>966</v>
      </c>
      <c r="H2067" s="7" t="s">
        <v>1060</v>
      </c>
      <c r="I2067" s="7" t="s">
        <v>0</v>
      </c>
      <c r="J2067" s="7" t="s">
        <v>51</v>
      </c>
      <c r="K2067" s="7" t="s">
        <v>47</v>
      </c>
      <c r="L2067" s="7" t="s">
        <v>48</v>
      </c>
      <c r="M2067" s="7" t="s">
        <v>0</v>
      </c>
      <c r="N2067" s="7" t="s">
        <v>1059</v>
      </c>
      <c r="O2067" s="7" t="s">
        <v>0</v>
      </c>
      <c r="P2067" s="7" t="s">
        <v>50</v>
      </c>
      <c r="Q2067" s="7" t="s">
        <v>1061</v>
      </c>
      <c r="R2067" s="7" t="s">
        <v>1062</v>
      </c>
      <c r="S2067" s="7" t="s">
        <v>1062</v>
      </c>
      <c r="T2067" s="7" t="s">
        <v>54</v>
      </c>
      <c r="U2067" s="7" t="s">
        <v>294</v>
      </c>
      <c r="V2067" s="7" t="s">
        <v>295</v>
      </c>
      <c r="W2067" s="7" t="s">
        <v>57</v>
      </c>
      <c r="X2067" s="7" t="s">
        <v>103</v>
      </c>
      <c r="Y2067" s="8">
        <v>44560</v>
      </c>
      <c r="Z2067" s="8">
        <v>44926</v>
      </c>
      <c r="AA2067" s="7" t="s">
        <v>296</v>
      </c>
      <c r="AB2067" s="7" t="s">
        <v>500</v>
      </c>
      <c r="AC2067" s="7" t="s">
        <v>65</v>
      </c>
      <c r="AD2067" s="7" t="s">
        <v>80</v>
      </c>
      <c r="AE2067" s="7" t="s">
        <v>0</v>
      </c>
      <c r="AF2067" s="7" t="s">
        <v>0</v>
      </c>
      <c r="AG2067" s="7" t="s">
        <v>0</v>
      </c>
      <c r="AH2067" s="9" t="s">
        <v>0</v>
      </c>
      <c r="AI2067" s="9" t="s">
        <v>0</v>
      </c>
      <c r="AJ2067" s="9" t="s">
        <v>0</v>
      </c>
      <c r="AK2067" s="7" t="s">
        <v>61</v>
      </c>
      <c r="AL2067" s="7" t="s">
        <v>61</v>
      </c>
      <c r="AM2067" s="7" t="s">
        <v>0</v>
      </c>
      <c r="AN2067" s="7" t="s">
        <v>0</v>
      </c>
      <c r="AO2067" s="7" t="s">
        <v>0</v>
      </c>
      <c r="AP2067" s="7" t="s">
        <v>0</v>
      </c>
      <c r="AQ2067" s="7" t="s">
        <v>61</v>
      </c>
      <c r="AR2067" s="7" t="s">
        <v>0</v>
      </c>
      <c r="AS2067" s="10" t="str">
        <f>HYPERLINK("https://tessa.gazprom-neft.local/edo/card/9861d195-1873-4b49-9f97-52f0c3b2a050", "https://tessa.gazprom-neft.local/edo/card/9861d195-1873-4b49-9f97-52f0c3b2a050")</f>
        <v>https://tessa.gazprom-neft.local/edo/card/9861d195-1873-4b49-9f97-52f0c3b2a050</v>
      </c>
    </row>
    <row r="2068" spans="1:45" hidden="1" x14ac:dyDescent="0.25">
      <c r="A2068" s="6" t="s">
        <v>44</v>
      </c>
      <c r="B2068" s="7" t="s">
        <v>908</v>
      </c>
      <c r="C2068" s="7" t="s">
        <v>67</v>
      </c>
      <c r="D2068" s="8">
        <v>44560</v>
      </c>
      <c r="E2068" s="8" t="s">
        <v>0</v>
      </c>
      <c r="F2068" s="16" t="s">
        <v>909</v>
      </c>
      <c r="G2068" s="7" t="s">
        <v>910</v>
      </c>
      <c r="H2068" s="7" t="s">
        <v>0</v>
      </c>
      <c r="I2068" s="7" t="s">
        <v>8180</v>
      </c>
      <c r="J2068" s="7" t="s">
        <v>8180</v>
      </c>
      <c r="K2068" s="7" t="s">
        <v>47</v>
      </c>
      <c r="L2068" s="7" t="s">
        <v>96</v>
      </c>
      <c r="M2068" s="7" t="s">
        <v>0</v>
      </c>
      <c r="N2068" s="7" t="s">
        <v>8179</v>
      </c>
      <c r="O2068" s="7" t="s">
        <v>0</v>
      </c>
      <c r="P2068" s="7" t="s">
        <v>8181</v>
      </c>
      <c r="Q2068" s="7" t="s">
        <v>8182</v>
      </c>
      <c r="R2068" s="7" t="s">
        <v>110</v>
      </c>
      <c r="S2068" s="7" t="s">
        <v>110</v>
      </c>
      <c r="T2068" s="7" t="s">
        <v>54</v>
      </c>
      <c r="U2068" s="7" t="s">
        <v>111</v>
      </c>
      <c r="V2068" s="7" t="s">
        <v>137</v>
      </c>
      <c r="W2068" s="7" t="s">
        <v>57</v>
      </c>
      <c r="X2068" s="7" t="s">
        <v>58</v>
      </c>
      <c r="Y2068" s="8">
        <v>44560</v>
      </c>
      <c r="Z2068" s="8" t="s">
        <v>0</v>
      </c>
      <c r="AA2068" s="7" t="s">
        <v>0</v>
      </c>
      <c r="AB2068" s="7" t="s">
        <v>161</v>
      </c>
      <c r="AC2068" s="7" t="s">
        <v>79</v>
      </c>
      <c r="AD2068" s="7" t="s">
        <v>144</v>
      </c>
      <c r="AE2068" s="7" t="s">
        <v>82</v>
      </c>
      <c r="AF2068" s="7" t="s">
        <v>0</v>
      </c>
      <c r="AG2068" s="7" t="s">
        <v>0</v>
      </c>
      <c r="AH2068" s="9" t="s">
        <v>13462</v>
      </c>
      <c r="AI2068" s="9" t="s">
        <v>13463</v>
      </c>
      <c r="AJ2068" s="9" t="s">
        <v>13464</v>
      </c>
      <c r="AK2068" s="7" t="s">
        <v>61</v>
      </c>
      <c r="AL2068" s="7" t="s">
        <v>61</v>
      </c>
      <c r="AM2068" s="7" t="s">
        <v>0</v>
      </c>
      <c r="AN2068" s="7" t="s">
        <v>0</v>
      </c>
      <c r="AO2068" s="7" t="s">
        <v>0</v>
      </c>
      <c r="AP2068" s="7" t="s">
        <v>0</v>
      </c>
      <c r="AQ2068" s="7" t="s">
        <v>61</v>
      </c>
      <c r="AR2068" s="7" t="s">
        <v>0</v>
      </c>
      <c r="AS2068" s="10" t="str">
        <f>HYPERLINK("https://tessa.gazprom-neft.local/edo/card/35d79fd2-8d50-4e44-9e26-0e9494e67cbe", "https://tessa.gazprom-neft.local/edo/card/35d79fd2-8d50-4e44-9e26-0e9494e67cbe")</f>
        <v>https://tessa.gazprom-neft.local/edo/card/35d79fd2-8d50-4e44-9e26-0e9494e67cbe</v>
      </c>
    </row>
    <row r="2069" spans="1:45" x14ac:dyDescent="0.25">
      <c r="A2069" s="6" t="s">
        <v>44</v>
      </c>
      <c r="B2069" s="7" t="s">
        <v>1552</v>
      </c>
      <c r="C2069" s="7" t="s">
        <v>67</v>
      </c>
      <c r="D2069" s="8">
        <v>44560</v>
      </c>
      <c r="E2069" s="8" t="s">
        <v>0</v>
      </c>
      <c r="F2069" s="16" t="s">
        <v>1553</v>
      </c>
      <c r="G2069" s="7" t="s">
        <v>1554</v>
      </c>
      <c r="H2069" s="7" t="s">
        <v>9101</v>
      </c>
      <c r="I2069" s="7" t="s">
        <v>0</v>
      </c>
      <c r="J2069" s="7" t="s">
        <v>51</v>
      </c>
      <c r="K2069" s="7" t="s">
        <v>47</v>
      </c>
      <c r="L2069" s="7" t="s">
        <v>48</v>
      </c>
      <c r="M2069" s="7" t="s">
        <v>0</v>
      </c>
      <c r="N2069" s="7" t="s">
        <v>9444</v>
      </c>
      <c r="O2069" s="7" t="s">
        <v>0</v>
      </c>
      <c r="P2069" s="7" t="s">
        <v>9445</v>
      </c>
      <c r="Q2069" s="7" t="s">
        <v>9446</v>
      </c>
      <c r="R2069" s="7" t="s">
        <v>361</v>
      </c>
      <c r="S2069" s="7" t="s">
        <v>361</v>
      </c>
      <c r="T2069" s="7" t="s">
        <v>54</v>
      </c>
      <c r="U2069" s="7" t="s">
        <v>362</v>
      </c>
      <c r="V2069" s="7" t="s">
        <v>295</v>
      </c>
      <c r="W2069" s="7" t="s">
        <v>57</v>
      </c>
      <c r="X2069" s="7" t="s">
        <v>103</v>
      </c>
      <c r="Y2069" s="8">
        <v>44560</v>
      </c>
      <c r="Z2069" s="8">
        <v>45291</v>
      </c>
      <c r="AA2069" s="7" t="s">
        <v>1269</v>
      </c>
      <c r="AB2069" s="7" t="s">
        <v>366</v>
      </c>
      <c r="AC2069" s="7" t="s">
        <v>278</v>
      </c>
      <c r="AD2069" s="7" t="s">
        <v>367</v>
      </c>
      <c r="AE2069" s="7" t="s">
        <v>82</v>
      </c>
      <c r="AF2069" s="7" t="s">
        <v>0</v>
      </c>
      <c r="AG2069" s="7" t="s">
        <v>0</v>
      </c>
      <c r="AH2069" s="9" t="s">
        <v>13932</v>
      </c>
      <c r="AI2069" s="9" t="s">
        <v>13933</v>
      </c>
      <c r="AJ2069" s="9" t="s">
        <v>13934</v>
      </c>
      <c r="AK2069" s="7" t="s">
        <v>61</v>
      </c>
      <c r="AL2069" s="7" t="s">
        <v>61</v>
      </c>
      <c r="AM2069" s="7" t="s">
        <v>0</v>
      </c>
      <c r="AN2069" s="7" t="s">
        <v>0</v>
      </c>
      <c r="AO2069" s="7" t="s">
        <v>0</v>
      </c>
      <c r="AP2069" s="7" t="s">
        <v>0</v>
      </c>
      <c r="AQ2069" s="7" t="s">
        <v>61</v>
      </c>
      <c r="AR2069" s="7" t="s">
        <v>0</v>
      </c>
      <c r="AS2069" s="10" t="str">
        <f>HYPERLINK("https://tessa.gazprom-neft.local/edo/card/0cd2e9c8-7776-4ad9-8d87-1dad9c6f2e5e", "https://tessa.gazprom-neft.local/edo/card/0cd2e9c8-7776-4ad9-8d87-1dad9c6f2e5e")</f>
        <v>https://tessa.gazprom-neft.local/edo/card/0cd2e9c8-7776-4ad9-8d87-1dad9c6f2e5e</v>
      </c>
    </row>
    <row r="2070" spans="1:45" x14ac:dyDescent="0.25">
      <c r="A2070" s="6" t="s">
        <v>44</v>
      </c>
      <c r="B2070" s="7" t="s">
        <v>2193</v>
      </c>
      <c r="C2070" s="7" t="s">
        <v>67</v>
      </c>
      <c r="D2070" s="8">
        <v>44560</v>
      </c>
      <c r="E2070" s="8" t="s">
        <v>0</v>
      </c>
      <c r="F2070" s="16" t="s">
        <v>2194</v>
      </c>
      <c r="G2070" s="7" t="s">
        <v>2195</v>
      </c>
      <c r="H2070" s="7" t="s">
        <v>9454</v>
      </c>
      <c r="I2070" s="7" t="s">
        <v>0</v>
      </c>
      <c r="J2070" s="7" t="s">
        <v>51</v>
      </c>
      <c r="K2070" s="7" t="s">
        <v>47</v>
      </c>
      <c r="L2070" s="7" t="s">
        <v>48</v>
      </c>
      <c r="M2070" s="7" t="s">
        <v>0</v>
      </c>
      <c r="N2070" s="7" t="s">
        <v>9453</v>
      </c>
      <c r="O2070" s="7" t="s">
        <v>0</v>
      </c>
      <c r="P2070" s="7" t="s">
        <v>9455</v>
      </c>
      <c r="Q2070" s="7" t="s">
        <v>9456</v>
      </c>
      <c r="R2070" s="7" t="s">
        <v>361</v>
      </c>
      <c r="S2070" s="7" t="s">
        <v>361</v>
      </c>
      <c r="T2070" s="7" t="s">
        <v>54</v>
      </c>
      <c r="U2070" s="7" t="s">
        <v>362</v>
      </c>
      <c r="V2070" s="7" t="s">
        <v>295</v>
      </c>
      <c r="W2070" s="7" t="s">
        <v>57</v>
      </c>
      <c r="X2070" s="7" t="s">
        <v>103</v>
      </c>
      <c r="Y2070" s="8">
        <v>44560</v>
      </c>
      <c r="Z2070" s="8">
        <v>44926</v>
      </c>
      <c r="AA2070" s="7" t="s">
        <v>1269</v>
      </c>
      <c r="AB2070" s="7" t="s">
        <v>366</v>
      </c>
      <c r="AC2070" s="7" t="s">
        <v>278</v>
      </c>
      <c r="AD2070" s="7" t="s">
        <v>367</v>
      </c>
      <c r="AE2070" s="7" t="s">
        <v>82</v>
      </c>
      <c r="AF2070" s="7" t="s">
        <v>0</v>
      </c>
      <c r="AG2070" s="7" t="s">
        <v>0</v>
      </c>
      <c r="AH2070" s="9" t="s">
        <v>13938</v>
      </c>
      <c r="AI2070" s="9" t="s">
        <v>13939</v>
      </c>
      <c r="AJ2070" s="9" t="s">
        <v>13940</v>
      </c>
      <c r="AK2070" s="7" t="s">
        <v>61</v>
      </c>
      <c r="AL2070" s="7" t="s">
        <v>61</v>
      </c>
      <c r="AM2070" s="7" t="s">
        <v>0</v>
      </c>
      <c r="AN2070" s="7" t="s">
        <v>0</v>
      </c>
      <c r="AO2070" s="7" t="s">
        <v>0</v>
      </c>
      <c r="AP2070" s="7" t="s">
        <v>0</v>
      </c>
      <c r="AQ2070" s="7" t="s">
        <v>61</v>
      </c>
      <c r="AR2070" s="7" t="s">
        <v>0</v>
      </c>
      <c r="AS2070" s="10" t="str">
        <f>HYPERLINK("https://tessa.gazprom-neft.local/edo/card/1e5e311e-3f35-455b-8120-f058e23d3d2b", "https://tessa.gazprom-neft.local/edo/card/1e5e311e-3f35-455b-8120-f058e23d3d2b")</f>
        <v>https://tessa.gazprom-neft.local/edo/card/1e5e311e-3f35-455b-8120-f058e23d3d2b</v>
      </c>
    </row>
    <row r="2071" spans="1:45" hidden="1" x14ac:dyDescent="0.25">
      <c r="A2071" s="6" t="s">
        <v>44</v>
      </c>
      <c r="B2071" s="7" t="s">
        <v>374</v>
      </c>
      <c r="C2071" s="7" t="s">
        <v>46</v>
      </c>
      <c r="D2071" s="8">
        <v>44560</v>
      </c>
      <c r="E2071" s="8" t="s">
        <v>0</v>
      </c>
      <c r="F2071" s="16" t="s">
        <v>375</v>
      </c>
      <c r="G2071" s="7" t="s">
        <v>376</v>
      </c>
      <c r="H2071" s="7" t="s">
        <v>0</v>
      </c>
      <c r="I2071" s="7" t="s">
        <v>9461</v>
      </c>
      <c r="J2071" s="7" t="s">
        <v>9461</v>
      </c>
      <c r="K2071" s="7" t="s">
        <v>47</v>
      </c>
      <c r="L2071" s="7" t="s">
        <v>96</v>
      </c>
      <c r="M2071" s="7" t="s">
        <v>0</v>
      </c>
      <c r="N2071" s="7" t="s">
        <v>9460</v>
      </c>
      <c r="O2071" s="7" t="s">
        <v>0</v>
      </c>
      <c r="P2071" s="7" t="s">
        <v>3346</v>
      </c>
      <c r="Q2071" s="7" t="s">
        <v>9462</v>
      </c>
      <c r="R2071" s="7" t="s">
        <v>53</v>
      </c>
      <c r="S2071" s="7" t="s">
        <v>53</v>
      </c>
      <c r="T2071" s="7" t="s">
        <v>54</v>
      </c>
      <c r="U2071" s="7" t="s">
        <v>55</v>
      </c>
      <c r="V2071" s="7" t="s">
        <v>56</v>
      </c>
      <c r="W2071" s="7" t="s">
        <v>57</v>
      </c>
      <c r="X2071" s="7" t="s">
        <v>103</v>
      </c>
      <c r="Y2071" s="8">
        <v>44562</v>
      </c>
      <c r="Z2071" s="8">
        <v>46295</v>
      </c>
      <c r="AA2071" s="7" t="s">
        <v>59</v>
      </c>
      <c r="AB2071" s="7" t="s">
        <v>64</v>
      </c>
      <c r="AC2071" s="7" t="s">
        <v>79</v>
      </c>
      <c r="AD2071" s="7" t="s">
        <v>80</v>
      </c>
      <c r="AE2071" s="7" t="s">
        <v>82</v>
      </c>
      <c r="AF2071" s="7" t="s">
        <v>0</v>
      </c>
      <c r="AG2071" s="7" t="s">
        <v>0</v>
      </c>
      <c r="AH2071" s="9" t="s">
        <v>13944</v>
      </c>
      <c r="AI2071" s="9" t="s">
        <v>13945</v>
      </c>
      <c r="AJ2071" s="9" t="s">
        <v>13946</v>
      </c>
      <c r="AK2071" s="7" t="s">
        <v>61</v>
      </c>
      <c r="AL2071" s="7" t="s">
        <v>61</v>
      </c>
      <c r="AM2071" s="7" t="s">
        <v>0</v>
      </c>
      <c r="AN2071" s="7" t="s">
        <v>0</v>
      </c>
      <c r="AO2071" s="7" t="s">
        <v>0</v>
      </c>
      <c r="AP2071" s="7" t="s">
        <v>0</v>
      </c>
      <c r="AQ2071" s="7" t="s">
        <v>61</v>
      </c>
      <c r="AR2071" s="7" t="s">
        <v>0</v>
      </c>
      <c r="AS2071" s="10" t="str">
        <f>HYPERLINK("https://tessa.gazprom-neft.local/edo/card/38f8af78-76da-4519-91d3-7b67c42a7e86", "https://tessa.gazprom-neft.local/edo/card/38f8af78-76da-4519-91d3-7b67c42a7e86")</f>
        <v>https://tessa.gazprom-neft.local/edo/card/38f8af78-76da-4519-91d3-7b67c42a7e86</v>
      </c>
    </row>
    <row r="2072" spans="1:45" hidden="1" x14ac:dyDescent="0.25">
      <c r="A2072" s="6" t="s">
        <v>44</v>
      </c>
      <c r="B2072" s="7" t="s">
        <v>964</v>
      </c>
      <c r="C2072" s="7" t="s">
        <v>67</v>
      </c>
      <c r="D2072" s="8">
        <v>44560</v>
      </c>
      <c r="E2072" s="8" t="s">
        <v>0</v>
      </c>
      <c r="F2072" s="16" t="s">
        <v>965</v>
      </c>
      <c r="G2072" s="7" t="s">
        <v>966</v>
      </c>
      <c r="H2072" s="7" t="s">
        <v>0</v>
      </c>
      <c r="I2072" s="7" t="s">
        <v>6652</v>
      </c>
      <c r="J2072" s="7" t="s">
        <v>6652</v>
      </c>
      <c r="K2072" s="7" t="s">
        <v>47</v>
      </c>
      <c r="L2072" s="7" t="s">
        <v>96</v>
      </c>
      <c r="M2072" s="7" t="s">
        <v>0</v>
      </c>
      <c r="N2072" s="7" t="s">
        <v>9552</v>
      </c>
      <c r="O2072" s="7" t="s">
        <v>0</v>
      </c>
      <c r="P2072" s="7" t="s">
        <v>9553</v>
      </c>
      <c r="Q2072" s="7" t="s">
        <v>9554</v>
      </c>
      <c r="R2072" s="7" t="s">
        <v>1575</v>
      </c>
      <c r="S2072" s="7" t="s">
        <v>1575</v>
      </c>
      <c r="T2072" s="7" t="s">
        <v>54</v>
      </c>
      <c r="U2072" s="7" t="s">
        <v>222</v>
      </c>
      <c r="V2072" s="7" t="s">
        <v>382</v>
      </c>
      <c r="W2072" s="7" t="s">
        <v>57</v>
      </c>
      <c r="X2072" s="7" t="s">
        <v>58</v>
      </c>
      <c r="Y2072" s="8">
        <v>44560</v>
      </c>
      <c r="Z2072" s="8" t="s">
        <v>0</v>
      </c>
      <c r="AA2072" s="7" t="s">
        <v>383</v>
      </c>
      <c r="AB2072" s="7" t="s">
        <v>387</v>
      </c>
      <c r="AC2072" s="7" t="s">
        <v>79</v>
      </c>
      <c r="AD2072" s="7" t="s">
        <v>514</v>
      </c>
      <c r="AE2072" s="7" t="s">
        <v>82</v>
      </c>
      <c r="AF2072" s="7" t="s">
        <v>0</v>
      </c>
      <c r="AG2072" s="7" t="s">
        <v>0</v>
      </c>
      <c r="AH2072" s="9" t="s">
        <v>13977</v>
      </c>
      <c r="AI2072" s="9" t="s">
        <v>13978</v>
      </c>
      <c r="AJ2072" s="9" t="s">
        <v>13979</v>
      </c>
      <c r="AK2072" s="7" t="s">
        <v>61</v>
      </c>
      <c r="AL2072" s="7" t="s">
        <v>61</v>
      </c>
      <c r="AM2072" s="7" t="s">
        <v>0</v>
      </c>
      <c r="AN2072" s="7" t="s">
        <v>0</v>
      </c>
      <c r="AO2072" s="7" t="s">
        <v>0</v>
      </c>
      <c r="AP2072" s="7" t="s">
        <v>0</v>
      </c>
      <c r="AQ2072" s="7" t="s">
        <v>61</v>
      </c>
      <c r="AR2072" s="7" t="s">
        <v>0</v>
      </c>
      <c r="AS2072" s="10" t="str">
        <f>HYPERLINK("https://tessa.gazprom-neft.local/edo/card/cd66b95f-1b30-4b9e-930e-67fcd970efed", "https://tessa.gazprom-neft.local/edo/card/cd66b95f-1b30-4b9e-930e-67fcd970efed")</f>
        <v>https://tessa.gazprom-neft.local/edo/card/cd66b95f-1b30-4b9e-930e-67fcd970efed</v>
      </c>
    </row>
    <row r="2073" spans="1:45" x14ac:dyDescent="0.25">
      <c r="A2073" s="6" t="s">
        <v>44</v>
      </c>
      <c r="B2073" s="7" t="s">
        <v>813</v>
      </c>
      <c r="C2073" s="7" t="s">
        <v>67</v>
      </c>
      <c r="D2073" s="8">
        <v>44560</v>
      </c>
      <c r="E2073" s="8" t="s">
        <v>0</v>
      </c>
      <c r="F2073" s="16" t="s">
        <v>814</v>
      </c>
      <c r="G2073" s="7" t="s">
        <v>815</v>
      </c>
      <c r="H2073" s="7" t="s">
        <v>4106</v>
      </c>
      <c r="I2073" s="7" t="s">
        <v>0</v>
      </c>
      <c r="J2073" s="7" t="s">
        <v>51</v>
      </c>
      <c r="K2073" s="7" t="s">
        <v>47</v>
      </c>
      <c r="L2073" s="7" t="s">
        <v>48</v>
      </c>
      <c r="M2073" s="7" t="s">
        <v>0</v>
      </c>
      <c r="N2073" s="7" t="s">
        <v>9587</v>
      </c>
      <c r="O2073" s="7" t="s">
        <v>9588</v>
      </c>
      <c r="P2073" s="7" t="s">
        <v>9589</v>
      </c>
      <c r="Q2073" s="7" t="s">
        <v>9590</v>
      </c>
      <c r="R2073" s="7" t="s">
        <v>812</v>
      </c>
      <c r="S2073" s="7" t="s">
        <v>812</v>
      </c>
      <c r="T2073" s="7" t="s">
        <v>54</v>
      </c>
      <c r="U2073" s="7" t="s">
        <v>1534</v>
      </c>
      <c r="V2073" s="7" t="s">
        <v>56</v>
      </c>
      <c r="W2073" s="7" t="s">
        <v>57</v>
      </c>
      <c r="X2073" s="7" t="s">
        <v>103</v>
      </c>
      <c r="Y2073" s="8">
        <v>43631</v>
      </c>
      <c r="Z2073" s="8">
        <v>44713</v>
      </c>
      <c r="AA2073" s="7" t="s">
        <v>59</v>
      </c>
      <c r="AB2073" s="7" t="s">
        <v>256</v>
      </c>
      <c r="AC2073" s="7" t="s">
        <v>65</v>
      </c>
      <c r="AD2073" s="7" t="s">
        <v>144</v>
      </c>
      <c r="AE2073" s="7" t="s">
        <v>0</v>
      </c>
      <c r="AF2073" s="7" t="s">
        <v>0</v>
      </c>
      <c r="AG2073" s="7" t="s">
        <v>0</v>
      </c>
      <c r="AH2073" s="9" t="s">
        <v>0</v>
      </c>
      <c r="AI2073" s="9" t="s">
        <v>0</v>
      </c>
      <c r="AJ2073" s="9" t="s">
        <v>0</v>
      </c>
      <c r="AK2073" s="7" t="s">
        <v>61</v>
      </c>
      <c r="AL2073" s="7" t="s">
        <v>61</v>
      </c>
      <c r="AM2073" s="7" t="s">
        <v>0</v>
      </c>
      <c r="AN2073" s="7" t="s">
        <v>0</v>
      </c>
      <c r="AO2073" s="7" t="s">
        <v>0</v>
      </c>
      <c r="AP2073" s="7" t="s">
        <v>0</v>
      </c>
      <c r="AQ2073" s="7" t="s">
        <v>61</v>
      </c>
      <c r="AR2073" s="7" t="s">
        <v>0</v>
      </c>
      <c r="AS2073" s="10" t="str">
        <f>HYPERLINK("https://tessa.gazprom-neft.local/edo/card/4e6c8f33-0a5c-4222-82ab-9d8ddd0425a9", "https://tessa.gazprom-neft.local/edo/card/4e6c8f33-0a5c-4222-82ab-9d8ddd0425a9")</f>
        <v>https://tessa.gazprom-neft.local/edo/card/4e6c8f33-0a5c-4222-82ab-9d8ddd0425a9</v>
      </c>
    </row>
    <row r="2074" spans="1:45" x14ac:dyDescent="0.25">
      <c r="A2074" s="6" t="s">
        <v>44</v>
      </c>
      <c r="B2074" s="7" t="s">
        <v>1570</v>
      </c>
      <c r="C2074" s="7" t="s">
        <v>67</v>
      </c>
      <c r="D2074" s="8">
        <v>44560</v>
      </c>
      <c r="E2074" s="8" t="s">
        <v>0</v>
      </c>
      <c r="F2074" s="16" t="s">
        <v>1571</v>
      </c>
      <c r="G2074" s="7" t="s">
        <v>0</v>
      </c>
      <c r="H2074" s="7" t="s">
        <v>4873</v>
      </c>
      <c r="I2074" s="7" t="s">
        <v>0</v>
      </c>
      <c r="J2074" s="7" t="s">
        <v>156</v>
      </c>
      <c r="K2074" s="7" t="s">
        <v>47</v>
      </c>
      <c r="L2074" s="7" t="s">
        <v>48</v>
      </c>
      <c r="M2074" s="7" t="s">
        <v>0</v>
      </c>
      <c r="N2074" s="7" t="s">
        <v>9618</v>
      </c>
      <c r="O2074" s="7" t="s">
        <v>0</v>
      </c>
      <c r="P2074" s="7" t="s">
        <v>9619</v>
      </c>
      <c r="Q2074" s="7" t="s">
        <v>9446</v>
      </c>
      <c r="R2074" s="7" t="s">
        <v>361</v>
      </c>
      <c r="S2074" s="7" t="s">
        <v>361</v>
      </c>
      <c r="T2074" s="7" t="s">
        <v>54</v>
      </c>
      <c r="U2074" s="7" t="s">
        <v>362</v>
      </c>
      <c r="V2074" s="7" t="s">
        <v>295</v>
      </c>
      <c r="W2074" s="7" t="s">
        <v>57</v>
      </c>
      <c r="X2074" s="7" t="s">
        <v>103</v>
      </c>
      <c r="Y2074" s="8">
        <v>44562</v>
      </c>
      <c r="Z2074" s="8">
        <v>44926</v>
      </c>
      <c r="AA2074" s="7" t="s">
        <v>1269</v>
      </c>
      <c r="AB2074" s="7" t="s">
        <v>366</v>
      </c>
      <c r="AC2074" s="7" t="s">
        <v>278</v>
      </c>
      <c r="AD2074" s="7" t="s">
        <v>367</v>
      </c>
      <c r="AE2074" s="7" t="s">
        <v>82</v>
      </c>
      <c r="AF2074" s="7" t="s">
        <v>0</v>
      </c>
      <c r="AG2074" s="7" t="s">
        <v>0</v>
      </c>
      <c r="AH2074" s="9" t="s">
        <v>14012</v>
      </c>
      <c r="AI2074" s="9" t="s">
        <v>14013</v>
      </c>
      <c r="AJ2074" s="9" t="s">
        <v>14014</v>
      </c>
      <c r="AK2074" s="7" t="s">
        <v>61</v>
      </c>
      <c r="AL2074" s="7" t="s">
        <v>61</v>
      </c>
      <c r="AM2074" s="7" t="s">
        <v>0</v>
      </c>
      <c r="AN2074" s="7" t="s">
        <v>0</v>
      </c>
      <c r="AO2074" s="7" t="s">
        <v>0</v>
      </c>
      <c r="AP2074" s="7" t="s">
        <v>0</v>
      </c>
      <c r="AQ2074" s="7" t="s">
        <v>61</v>
      </c>
      <c r="AR2074" s="7" t="s">
        <v>0</v>
      </c>
      <c r="AS2074" s="10" t="str">
        <f>HYPERLINK("https://tessa.gazprom-neft.local/edo/card/ddce3261-a84e-480f-a2c3-bd96b28c1824", "https://tessa.gazprom-neft.local/edo/card/ddce3261-a84e-480f-a2c3-bd96b28c1824")</f>
        <v>https://tessa.gazprom-neft.local/edo/card/ddce3261-a84e-480f-a2c3-bd96b28c1824</v>
      </c>
    </row>
    <row r="2075" spans="1:45" hidden="1" x14ac:dyDescent="0.25">
      <c r="A2075" s="6" t="s">
        <v>44</v>
      </c>
      <c r="B2075" s="7" t="s">
        <v>374</v>
      </c>
      <c r="C2075" s="7" t="s">
        <v>46</v>
      </c>
      <c r="D2075" s="8">
        <v>44560</v>
      </c>
      <c r="E2075" s="8" t="s">
        <v>0</v>
      </c>
      <c r="F2075" s="16" t="s">
        <v>375</v>
      </c>
      <c r="G2075" s="7" t="s">
        <v>376</v>
      </c>
      <c r="H2075" s="7" t="s">
        <v>0</v>
      </c>
      <c r="I2075" s="7" t="s">
        <v>9633</v>
      </c>
      <c r="J2075" s="7" t="s">
        <v>9633</v>
      </c>
      <c r="K2075" s="7" t="s">
        <v>47</v>
      </c>
      <c r="L2075" s="7" t="s">
        <v>96</v>
      </c>
      <c r="M2075" s="7" t="s">
        <v>0</v>
      </c>
      <c r="N2075" s="7" t="s">
        <v>9632</v>
      </c>
      <c r="O2075" s="7" t="s">
        <v>0</v>
      </c>
      <c r="P2075" s="7" t="s">
        <v>9634</v>
      </c>
      <c r="Q2075" s="7" t="s">
        <v>9635</v>
      </c>
      <c r="R2075" s="7" t="s">
        <v>2079</v>
      </c>
      <c r="S2075" s="7" t="s">
        <v>0</v>
      </c>
      <c r="T2075" s="7" t="s">
        <v>54</v>
      </c>
      <c r="U2075" s="7" t="s">
        <v>307</v>
      </c>
      <c r="V2075" s="7" t="s">
        <v>137</v>
      </c>
      <c r="W2075" s="7" t="s">
        <v>57</v>
      </c>
      <c r="X2075" s="7" t="s">
        <v>103</v>
      </c>
      <c r="Y2075" s="8">
        <v>44562</v>
      </c>
      <c r="Z2075" s="8">
        <v>44926</v>
      </c>
      <c r="AA2075" s="7" t="s">
        <v>0</v>
      </c>
      <c r="AB2075" s="7" t="s">
        <v>64</v>
      </c>
      <c r="AC2075" s="7" t="s">
        <v>79</v>
      </c>
      <c r="AD2075" s="7" t="s">
        <v>80</v>
      </c>
      <c r="AE2075" s="7" t="s">
        <v>82</v>
      </c>
      <c r="AF2075" s="7" t="s">
        <v>0</v>
      </c>
      <c r="AG2075" s="7" t="s">
        <v>0</v>
      </c>
      <c r="AH2075" s="9" t="s">
        <v>14016</v>
      </c>
      <c r="AI2075" s="9" t="s">
        <v>14017</v>
      </c>
      <c r="AJ2075" s="9" t="s">
        <v>14018</v>
      </c>
      <c r="AK2075" s="7" t="s">
        <v>61</v>
      </c>
      <c r="AL2075" s="7" t="s">
        <v>61</v>
      </c>
      <c r="AM2075" s="7" t="s">
        <v>0</v>
      </c>
      <c r="AN2075" s="7" t="s">
        <v>0</v>
      </c>
      <c r="AO2075" s="7" t="s">
        <v>0</v>
      </c>
      <c r="AP2075" s="7" t="s">
        <v>0</v>
      </c>
      <c r="AQ2075" s="7" t="s">
        <v>61</v>
      </c>
      <c r="AR2075" s="7" t="s">
        <v>0</v>
      </c>
      <c r="AS2075" s="10" t="str">
        <f>HYPERLINK("https://tessa.gazprom-neft.local/edo/card/c6d8eeb0-fbc7-415f-a26f-17e45e4ec53c", "https://tessa.gazprom-neft.local/edo/card/c6d8eeb0-fbc7-415f-a26f-17e45e4ec53c")</f>
        <v>https://tessa.gazprom-neft.local/edo/card/c6d8eeb0-fbc7-415f-a26f-17e45e4ec53c</v>
      </c>
    </row>
    <row r="2076" spans="1:45" x14ac:dyDescent="0.25">
      <c r="A2076" s="6" t="s">
        <v>44</v>
      </c>
      <c r="B2076" s="7" t="s">
        <v>813</v>
      </c>
      <c r="C2076" s="7" t="s">
        <v>67</v>
      </c>
      <c r="D2076" s="8">
        <v>44560</v>
      </c>
      <c r="E2076" s="8" t="s">
        <v>0</v>
      </c>
      <c r="F2076" s="16" t="s">
        <v>814</v>
      </c>
      <c r="G2076" s="7" t="s">
        <v>815</v>
      </c>
      <c r="H2076" s="7" t="s">
        <v>9645</v>
      </c>
      <c r="I2076" s="7" t="s">
        <v>0</v>
      </c>
      <c r="J2076" s="7" t="s">
        <v>1098</v>
      </c>
      <c r="K2076" s="7" t="s">
        <v>47</v>
      </c>
      <c r="L2076" s="7" t="s">
        <v>48</v>
      </c>
      <c r="M2076" s="7" t="s">
        <v>0</v>
      </c>
      <c r="N2076" s="7" t="s">
        <v>9644</v>
      </c>
      <c r="O2076" s="7" t="s">
        <v>0</v>
      </c>
      <c r="P2076" s="7" t="s">
        <v>9646</v>
      </c>
      <c r="Q2076" s="7" t="s">
        <v>9647</v>
      </c>
      <c r="R2076" s="7" t="s">
        <v>812</v>
      </c>
      <c r="S2076" s="7" t="s">
        <v>812</v>
      </c>
      <c r="T2076" s="7" t="s">
        <v>54</v>
      </c>
      <c r="U2076" s="7" t="s">
        <v>1534</v>
      </c>
      <c r="V2076" s="7" t="s">
        <v>56</v>
      </c>
      <c r="W2076" s="7" t="s">
        <v>57</v>
      </c>
      <c r="X2076" s="7" t="s">
        <v>103</v>
      </c>
      <c r="Y2076" s="8">
        <v>44560</v>
      </c>
      <c r="Z2076" s="8">
        <v>44713</v>
      </c>
      <c r="AA2076" s="7" t="s">
        <v>59</v>
      </c>
      <c r="AB2076" s="7" t="s">
        <v>256</v>
      </c>
      <c r="AC2076" s="7" t="s">
        <v>65</v>
      </c>
      <c r="AD2076" s="7" t="s">
        <v>0</v>
      </c>
      <c r="AE2076" s="7" t="s">
        <v>0</v>
      </c>
      <c r="AF2076" s="7" t="s">
        <v>0</v>
      </c>
      <c r="AG2076" s="7" t="s">
        <v>0</v>
      </c>
      <c r="AH2076" s="9" t="s">
        <v>0</v>
      </c>
      <c r="AI2076" s="9" t="s">
        <v>0</v>
      </c>
      <c r="AJ2076" s="9" t="s">
        <v>0</v>
      </c>
      <c r="AK2076" s="7" t="s">
        <v>61</v>
      </c>
      <c r="AL2076" s="7" t="s">
        <v>61</v>
      </c>
      <c r="AM2076" s="7" t="s">
        <v>0</v>
      </c>
      <c r="AN2076" s="7" t="s">
        <v>0</v>
      </c>
      <c r="AO2076" s="7" t="s">
        <v>0</v>
      </c>
      <c r="AP2076" s="7" t="s">
        <v>0</v>
      </c>
      <c r="AQ2076" s="7" t="s">
        <v>61</v>
      </c>
      <c r="AR2076" s="7" t="s">
        <v>0</v>
      </c>
      <c r="AS2076" s="10" t="str">
        <f>HYPERLINK("https://tessa.gazprom-neft.local/edo/card/f62bb6ec-ba78-4909-b983-63860912a670", "https://tessa.gazprom-neft.local/edo/card/f62bb6ec-ba78-4909-b983-63860912a670")</f>
        <v>https://tessa.gazprom-neft.local/edo/card/f62bb6ec-ba78-4909-b983-63860912a670</v>
      </c>
    </row>
    <row r="2077" spans="1:45" x14ac:dyDescent="0.25">
      <c r="A2077" s="6" t="s">
        <v>44</v>
      </c>
      <c r="B2077" s="7" t="s">
        <v>1784</v>
      </c>
      <c r="C2077" s="7" t="s">
        <v>46</v>
      </c>
      <c r="D2077" s="8">
        <v>44559</v>
      </c>
      <c r="E2077" s="8" t="s">
        <v>0</v>
      </c>
      <c r="F2077" s="16" t="s">
        <v>1785</v>
      </c>
      <c r="G2077" s="7" t="s">
        <v>1786</v>
      </c>
      <c r="H2077" s="7" t="s">
        <v>5350</v>
      </c>
      <c r="I2077" s="7" t="s">
        <v>0</v>
      </c>
      <c r="J2077" s="7" t="s">
        <v>51</v>
      </c>
      <c r="K2077" s="7" t="s">
        <v>47</v>
      </c>
      <c r="L2077" s="7" t="s">
        <v>48</v>
      </c>
      <c r="M2077" s="7" t="s">
        <v>0</v>
      </c>
      <c r="N2077" s="7" t="s">
        <v>9639</v>
      </c>
      <c r="O2077" s="7" t="s">
        <v>0</v>
      </c>
      <c r="P2077" s="7" t="s">
        <v>9640</v>
      </c>
      <c r="Q2077" s="7" t="s">
        <v>9641</v>
      </c>
      <c r="R2077" s="7" t="s">
        <v>135</v>
      </c>
      <c r="S2077" s="7" t="s">
        <v>135</v>
      </c>
      <c r="T2077" s="7" t="s">
        <v>54</v>
      </c>
      <c r="U2077" s="7" t="s">
        <v>136</v>
      </c>
      <c r="V2077" s="7" t="s">
        <v>102</v>
      </c>
      <c r="W2077" s="7" t="s">
        <v>57</v>
      </c>
      <c r="X2077" s="7" t="s">
        <v>103</v>
      </c>
      <c r="Y2077" s="8">
        <v>44397</v>
      </c>
      <c r="Z2077" s="8">
        <v>44620</v>
      </c>
      <c r="AA2077" s="7" t="s">
        <v>0</v>
      </c>
      <c r="AB2077" s="7" t="s">
        <v>1143</v>
      </c>
      <c r="AC2077" s="7" t="s">
        <v>65</v>
      </c>
      <c r="AD2077" s="7" t="s">
        <v>0</v>
      </c>
      <c r="AE2077" s="7" t="s">
        <v>0</v>
      </c>
      <c r="AF2077" s="7" t="s">
        <v>0</v>
      </c>
      <c r="AG2077" s="7" t="s">
        <v>0</v>
      </c>
      <c r="AH2077" s="9" t="s">
        <v>0</v>
      </c>
      <c r="AI2077" s="9" t="s">
        <v>0</v>
      </c>
      <c r="AJ2077" s="9" t="s">
        <v>0</v>
      </c>
      <c r="AK2077" s="7" t="s">
        <v>61</v>
      </c>
      <c r="AL2077" s="7" t="s">
        <v>61</v>
      </c>
      <c r="AM2077" s="7" t="s">
        <v>0</v>
      </c>
      <c r="AN2077" s="7" t="s">
        <v>0</v>
      </c>
      <c r="AO2077" s="7" t="s">
        <v>0</v>
      </c>
      <c r="AP2077" s="7" t="s">
        <v>0</v>
      </c>
      <c r="AQ2077" s="7" t="s">
        <v>61</v>
      </c>
      <c r="AR2077" s="7" t="s">
        <v>0</v>
      </c>
      <c r="AS2077" s="10" t="str">
        <f>HYPERLINK("https://tessa.gazprom-neft.local/edo/card/de0b86f1-6b50-4cb9-9d0a-f1f349dc96fa", "https://tessa.gazprom-neft.local/edo/card/de0b86f1-6b50-4cb9-9d0a-f1f349dc96fa")</f>
        <v>https://tessa.gazprom-neft.local/edo/card/de0b86f1-6b50-4cb9-9d0a-f1f349dc96fa</v>
      </c>
    </row>
    <row r="2078" spans="1:45" x14ac:dyDescent="0.25">
      <c r="A2078" s="6" t="s">
        <v>44</v>
      </c>
      <c r="B2078" s="7" t="s">
        <v>964</v>
      </c>
      <c r="C2078" s="7" t="s">
        <v>67</v>
      </c>
      <c r="D2078" s="8">
        <v>44559</v>
      </c>
      <c r="E2078" s="8" t="s">
        <v>0</v>
      </c>
      <c r="F2078" s="16" t="s">
        <v>965</v>
      </c>
      <c r="G2078" s="7" t="s">
        <v>966</v>
      </c>
      <c r="H2078" s="7" t="s">
        <v>8844</v>
      </c>
      <c r="I2078" s="7" t="s">
        <v>0</v>
      </c>
      <c r="J2078" s="7" t="s">
        <v>9681</v>
      </c>
      <c r="K2078" s="7" t="s">
        <v>47</v>
      </c>
      <c r="L2078" s="7" t="s">
        <v>48</v>
      </c>
      <c r="M2078" s="7" t="s">
        <v>0</v>
      </c>
      <c r="N2078" s="7" t="s">
        <v>9679</v>
      </c>
      <c r="O2078" s="7" t="s">
        <v>0</v>
      </c>
      <c r="P2078" s="7" t="s">
        <v>9680</v>
      </c>
      <c r="Q2078" s="7" t="s">
        <v>9682</v>
      </c>
      <c r="R2078" s="7" t="s">
        <v>659</v>
      </c>
      <c r="S2078" s="7" t="s">
        <v>1120</v>
      </c>
      <c r="T2078" s="7" t="s">
        <v>54</v>
      </c>
      <c r="U2078" s="7" t="s">
        <v>362</v>
      </c>
      <c r="V2078" s="7" t="s">
        <v>295</v>
      </c>
      <c r="W2078" s="7" t="s">
        <v>57</v>
      </c>
      <c r="X2078" s="7" t="s">
        <v>103</v>
      </c>
      <c r="Y2078" s="8">
        <v>44559</v>
      </c>
      <c r="Z2078" s="8">
        <v>44926</v>
      </c>
      <c r="AA2078" s="7" t="s">
        <v>296</v>
      </c>
      <c r="AB2078" s="7" t="s">
        <v>130</v>
      </c>
      <c r="AC2078" s="7" t="s">
        <v>79</v>
      </c>
      <c r="AD2078" s="7" t="s">
        <v>514</v>
      </c>
      <c r="AE2078" s="7" t="s">
        <v>82</v>
      </c>
      <c r="AF2078" s="7" t="s">
        <v>0</v>
      </c>
      <c r="AG2078" s="7" t="s">
        <v>0</v>
      </c>
      <c r="AH2078" s="9">
        <v>1</v>
      </c>
      <c r="AI2078" s="9">
        <v>0.83</v>
      </c>
      <c r="AJ2078" s="9">
        <v>0.17</v>
      </c>
      <c r="AK2078" s="7" t="s">
        <v>61</v>
      </c>
      <c r="AL2078" s="7" t="s">
        <v>61</v>
      </c>
      <c r="AM2078" s="7" t="s">
        <v>0</v>
      </c>
      <c r="AN2078" s="7" t="s">
        <v>0</v>
      </c>
      <c r="AO2078" s="7" t="s">
        <v>0</v>
      </c>
      <c r="AP2078" s="7" t="s">
        <v>0</v>
      </c>
      <c r="AQ2078" s="7" t="s">
        <v>61</v>
      </c>
      <c r="AR2078" s="7" t="s">
        <v>0</v>
      </c>
      <c r="AS2078" s="10" t="str">
        <f>HYPERLINK("https://tessa.gazprom-neft.local/edo/card/8756c7c1-6347-4472-94c3-a2b6ef39a184", "https://tessa.gazprom-neft.local/edo/card/8756c7c1-6347-4472-94c3-a2b6ef39a184")</f>
        <v>https://tessa.gazprom-neft.local/edo/card/8756c7c1-6347-4472-94c3-a2b6ef39a184</v>
      </c>
    </row>
    <row r="2079" spans="1:45" hidden="1" x14ac:dyDescent="0.25">
      <c r="A2079" s="6" t="s">
        <v>44</v>
      </c>
      <c r="B2079" s="7" t="s">
        <v>2193</v>
      </c>
      <c r="C2079" s="7" t="s">
        <v>67</v>
      </c>
      <c r="D2079" s="8">
        <v>44559</v>
      </c>
      <c r="E2079" s="8" t="s">
        <v>0</v>
      </c>
      <c r="F2079" s="16" t="s">
        <v>2194</v>
      </c>
      <c r="G2079" s="7" t="s">
        <v>2195</v>
      </c>
      <c r="H2079" s="7" t="s">
        <v>2191</v>
      </c>
      <c r="I2079" s="7" t="s">
        <v>0</v>
      </c>
      <c r="J2079" s="7" t="s">
        <v>872</v>
      </c>
      <c r="K2079" s="7" t="s">
        <v>47</v>
      </c>
      <c r="L2079" s="7" t="s">
        <v>239</v>
      </c>
      <c r="M2079" s="7" t="s">
        <v>0</v>
      </c>
      <c r="N2079" s="7" t="s">
        <v>9694</v>
      </c>
      <c r="O2079" s="7" t="s">
        <v>0</v>
      </c>
      <c r="P2079" s="7" t="s">
        <v>9695</v>
      </c>
      <c r="Q2079" s="7" t="s">
        <v>7662</v>
      </c>
      <c r="R2079" s="7" t="s">
        <v>135</v>
      </c>
      <c r="S2079" s="7" t="s">
        <v>0</v>
      </c>
      <c r="T2079" s="7" t="s">
        <v>54</v>
      </c>
      <c r="U2079" s="7" t="s">
        <v>136</v>
      </c>
      <c r="V2079" s="7" t="s">
        <v>102</v>
      </c>
      <c r="W2079" s="7" t="s">
        <v>57</v>
      </c>
      <c r="X2079" s="7" t="s">
        <v>103</v>
      </c>
      <c r="Y2079" s="8">
        <v>44562</v>
      </c>
      <c r="Z2079" s="8">
        <v>44620</v>
      </c>
      <c r="AA2079" s="7" t="s">
        <v>6296</v>
      </c>
      <c r="AB2079" s="7" t="s">
        <v>64</v>
      </c>
      <c r="AC2079" s="7" t="s">
        <v>79</v>
      </c>
      <c r="AD2079" s="7" t="s">
        <v>80</v>
      </c>
      <c r="AE2079" s="7" t="s">
        <v>118</v>
      </c>
      <c r="AF2079" s="7" t="s">
        <v>0</v>
      </c>
      <c r="AG2079" s="7" t="s">
        <v>0</v>
      </c>
      <c r="AH2079" s="9" t="s">
        <v>14035</v>
      </c>
      <c r="AI2079" s="9" t="s">
        <v>14035</v>
      </c>
      <c r="AJ2079" s="9">
        <v>0</v>
      </c>
      <c r="AK2079" s="7" t="s">
        <v>61</v>
      </c>
      <c r="AL2079" s="7" t="s">
        <v>61</v>
      </c>
      <c r="AM2079" s="7" t="s">
        <v>0</v>
      </c>
      <c r="AN2079" s="7" t="s">
        <v>0</v>
      </c>
      <c r="AO2079" s="7" t="s">
        <v>0</v>
      </c>
      <c r="AP2079" s="7" t="s">
        <v>0</v>
      </c>
      <c r="AQ2079" s="7" t="s">
        <v>61</v>
      </c>
      <c r="AR2079" s="7" t="s">
        <v>0</v>
      </c>
      <c r="AS2079" s="10" t="str">
        <f>HYPERLINK("https://tessa.gazprom-neft.local/edo/card/b7fe963a-f0b6-483a-9b1a-872c1f6180f0", "https://tessa.gazprom-neft.local/edo/card/b7fe963a-f0b6-483a-9b1a-872c1f6180f0")</f>
        <v>https://tessa.gazprom-neft.local/edo/card/b7fe963a-f0b6-483a-9b1a-872c1f6180f0</v>
      </c>
    </row>
    <row r="2080" spans="1:45" hidden="1" x14ac:dyDescent="0.25">
      <c r="A2080" s="6" t="s">
        <v>44</v>
      </c>
      <c r="B2080" s="7" t="s">
        <v>813</v>
      </c>
      <c r="C2080" s="7" t="s">
        <v>67</v>
      </c>
      <c r="D2080" s="8">
        <v>44558</v>
      </c>
      <c r="E2080" s="8" t="s">
        <v>0</v>
      </c>
      <c r="F2080" s="16" t="s">
        <v>814</v>
      </c>
      <c r="G2080" s="7" t="s">
        <v>815</v>
      </c>
      <c r="H2080" s="7" t="s">
        <v>0</v>
      </c>
      <c r="I2080" s="7" t="s">
        <v>809</v>
      </c>
      <c r="J2080" s="7" t="s">
        <v>809</v>
      </c>
      <c r="K2080" s="7" t="s">
        <v>47</v>
      </c>
      <c r="L2080" s="7" t="s">
        <v>96</v>
      </c>
      <c r="M2080" s="7" t="s">
        <v>0</v>
      </c>
      <c r="N2080" s="7" t="s">
        <v>9332</v>
      </c>
      <c r="O2080" s="7" t="s">
        <v>0</v>
      </c>
      <c r="P2080" s="7" t="s">
        <v>9333</v>
      </c>
      <c r="Q2080" s="7" t="s">
        <v>9334</v>
      </c>
      <c r="R2080" s="7" t="s">
        <v>177</v>
      </c>
      <c r="S2080" s="7" t="s">
        <v>812</v>
      </c>
      <c r="T2080" s="7" t="s">
        <v>54</v>
      </c>
      <c r="U2080" s="7" t="s">
        <v>55</v>
      </c>
      <c r="V2080" s="7" t="s">
        <v>56</v>
      </c>
      <c r="W2080" s="7" t="s">
        <v>57</v>
      </c>
      <c r="X2080" s="7" t="s">
        <v>103</v>
      </c>
      <c r="Y2080" s="8">
        <v>44558</v>
      </c>
      <c r="Z2080" s="8">
        <v>46387</v>
      </c>
      <c r="AA2080" s="7" t="s">
        <v>0</v>
      </c>
      <c r="AB2080" s="7" t="s">
        <v>256</v>
      </c>
      <c r="AC2080" s="7" t="s">
        <v>79</v>
      </c>
      <c r="AD2080" s="7" t="s">
        <v>80</v>
      </c>
      <c r="AE2080" s="7" t="s">
        <v>82</v>
      </c>
      <c r="AF2080" s="7" t="s">
        <v>0</v>
      </c>
      <c r="AG2080" s="7" t="s">
        <v>0</v>
      </c>
      <c r="AH2080" s="9" t="s">
        <v>13886</v>
      </c>
      <c r="AI2080" s="9" t="s">
        <v>13887</v>
      </c>
      <c r="AJ2080" s="9" t="s">
        <v>13888</v>
      </c>
      <c r="AK2080" s="7" t="s">
        <v>61</v>
      </c>
      <c r="AL2080" s="7" t="s">
        <v>61</v>
      </c>
      <c r="AM2080" s="7" t="s">
        <v>0</v>
      </c>
      <c r="AN2080" s="7" t="s">
        <v>0</v>
      </c>
      <c r="AO2080" s="7" t="s">
        <v>0</v>
      </c>
      <c r="AP2080" s="7" t="s">
        <v>0</v>
      </c>
      <c r="AQ2080" s="7" t="s">
        <v>61</v>
      </c>
      <c r="AR2080" s="7" t="s">
        <v>0</v>
      </c>
      <c r="AS2080" s="10" t="str">
        <f>HYPERLINK("https://tessa.gazprom-neft.local/edo/card/651d95d7-4af7-4d09-b40c-d077cf0b1236", "https://tessa.gazprom-neft.local/edo/card/651d95d7-4af7-4d09-b40c-d077cf0b1236")</f>
        <v>https://tessa.gazprom-neft.local/edo/card/651d95d7-4af7-4d09-b40c-d077cf0b1236</v>
      </c>
    </row>
    <row r="2081" spans="1:45" hidden="1" x14ac:dyDescent="0.25">
      <c r="A2081" s="6" t="s">
        <v>44</v>
      </c>
      <c r="B2081" s="7" t="s">
        <v>0</v>
      </c>
      <c r="C2081" s="7" t="s">
        <v>46</v>
      </c>
      <c r="D2081" s="8">
        <v>44558</v>
      </c>
      <c r="E2081" s="8" t="s">
        <v>0</v>
      </c>
      <c r="F2081" s="16" t="s">
        <v>9340</v>
      </c>
      <c r="G2081" s="7" t="s">
        <v>0</v>
      </c>
      <c r="H2081" s="7" t="s">
        <v>0</v>
      </c>
      <c r="I2081" s="7" t="s">
        <v>9339</v>
      </c>
      <c r="J2081" s="7" t="s">
        <v>9339</v>
      </c>
      <c r="K2081" s="7" t="s">
        <v>47</v>
      </c>
      <c r="L2081" s="7" t="s">
        <v>96</v>
      </c>
      <c r="M2081" s="7" t="s">
        <v>0</v>
      </c>
      <c r="N2081" s="7" t="s">
        <v>9338</v>
      </c>
      <c r="O2081" s="7" t="s">
        <v>0</v>
      </c>
      <c r="P2081" s="7" t="s">
        <v>5897</v>
      </c>
      <c r="Q2081" s="7" t="s">
        <v>5897</v>
      </c>
      <c r="R2081" s="7" t="s">
        <v>1610</v>
      </c>
      <c r="S2081" s="7" t="s">
        <v>1610</v>
      </c>
      <c r="T2081" s="7" t="s">
        <v>54</v>
      </c>
      <c r="U2081" s="7" t="s">
        <v>101</v>
      </c>
      <c r="V2081" s="7" t="s">
        <v>102</v>
      </c>
      <c r="W2081" s="7" t="s">
        <v>57</v>
      </c>
      <c r="X2081" s="7" t="s">
        <v>103</v>
      </c>
      <c r="Y2081" s="8">
        <v>44562</v>
      </c>
      <c r="Z2081" s="8">
        <v>44926</v>
      </c>
      <c r="AA2081" s="7" t="s">
        <v>104</v>
      </c>
      <c r="AB2081" s="7" t="s">
        <v>161</v>
      </c>
      <c r="AC2081" s="7" t="s">
        <v>79</v>
      </c>
      <c r="AD2081" s="7" t="s">
        <v>80</v>
      </c>
      <c r="AE2081" s="7" t="s">
        <v>118</v>
      </c>
      <c r="AF2081" s="7" t="s">
        <v>0</v>
      </c>
      <c r="AG2081" s="7" t="s">
        <v>0</v>
      </c>
      <c r="AH2081" s="9" t="s">
        <v>13892</v>
      </c>
      <c r="AI2081" s="9" t="s">
        <v>13892</v>
      </c>
      <c r="AJ2081" s="9">
        <v>0</v>
      </c>
      <c r="AK2081" s="7" t="s">
        <v>61</v>
      </c>
      <c r="AL2081" s="7" t="s">
        <v>61</v>
      </c>
      <c r="AM2081" s="7" t="s">
        <v>0</v>
      </c>
      <c r="AN2081" s="7" t="s">
        <v>0</v>
      </c>
      <c r="AO2081" s="7" t="s">
        <v>0</v>
      </c>
      <c r="AP2081" s="7" t="s">
        <v>0</v>
      </c>
      <c r="AQ2081" s="7" t="s">
        <v>61</v>
      </c>
      <c r="AR2081" s="7" t="s">
        <v>0</v>
      </c>
      <c r="AS2081" s="10" t="str">
        <f>HYPERLINK("https://tessa.gazprom-neft.local/edo/card/8246b890-7ec7-4dca-986e-fca71b227279", "https://tessa.gazprom-neft.local/edo/card/8246b890-7ec7-4dca-986e-fca71b227279")</f>
        <v>https://tessa.gazprom-neft.local/edo/card/8246b890-7ec7-4dca-986e-fca71b227279</v>
      </c>
    </row>
    <row r="2082" spans="1:45" hidden="1" x14ac:dyDescent="0.25">
      <c r="A2082" s="6" t="s">
        <v>44</v>
      </c>
      <c r="B2082" s="7" t="s">
        <v>7325</v>
      </c>
      <c r="C2082" s="7" t="s">
        <v>67</v>
      </c>
      <c r="D2082" s="8">
        <v>44558</v>
      </c>
      <c r="E2082" s="8" t="s">
        <v>0</v>
      </c>
      <c r="F2082" s="16" t="s">
        <v>7326</v>
      </c>
      <c r="G2082" s="7" t="s">
        <v>7327</v>
      </c>
      <c r="H2082" s="7" t="s">
        <v>7959</v>
      </c>
      <c r="I2082" s="7" t="s">
        <v>0</v>
      </c>
      <c r="J2082" s="7" t="s">
        <v>156</v>
      </c>
      <c r="K2082" s="7" t="s">
        <v>47</v>
      </c>
      <c r="L2082" s="7" t="s">
        <v>239</v>
      </c>
      <c r="M2082" s="7" t="s">
        <v>0</v>
      </c>
      <c r="N2082" s="7" t="s">
        <v>9566</v>
      </c>
      <c r="O2082" s="7" t="s">
        <v>0</v>
      </c>
      <c r="P2082" s="7" t="s">
        <v>9567</v>
      </c>
      <c r="Q2082" s="7" t="s">
        <v>9568</v>
      </c>
      <c r="R2082" s="7" t="s">
        <v>135</v>
      </c>
      <c r="S2082" s="7" t="s">
        <v>135</v>
      </c>
      <c r="T2082" s="7" t="s">
        <v>54</v>
      </c>
      <c r="U2082" s="7" t="s">
        <v>136</v>
      </c>
      <c r="V2082" s="7" t="s">
        <v>102</v>
      </c>
      <c r="W2082" s="7" t="s">
        <v>57</v>
      </c>
      <c r="X2082" s="7" t="s">
        <v>103</v>
      </c>
      <c r="Y2082" s="8">
        <v>44558</v>
      </c>
      <c r="Z2082" s="8">
        <v>44620</v>
      </c>
      <c r="AA2082" s="7" t="s">
        <v>0</v>
      </c>
      <c r="AB2082" s="7" t="s">
        <v>64</v>
      </c>
      <c r="AC2082" s="7" t="s">
        <v>79</v>
      </c>
      <c r="AD2082" s="7" t="s">
        <v>80</v>
      </c>
      <c r="AE2082" s="7" t="s">
        <v>82</v>
      </c>
      <c r="AF2082" s="7" t="s">
        <v>0</v>
      </c>
      <c r="AG2082" s="7" t="s">
        <v>0</v>
      </c>
      <c r="AH2082" s="9" t="s">
        <v>13986</v>
      </c>
      <c r="AI2082" s="9" t="s">
        <v>13987</v>
      </c>
      <c r="AJ2082" s="9" t="s">
        <v>13988</v>
      </c>
      <c r="AK2082" s="7" t="s">
        <v>61</v>
      </c>
      <c r="AL2082" s="7" t="s">
        <v>61</v>
      </c>
      <c r="AM2082" s="7" t="s">
        <v>0</v>
      </c>
      <c r="AN2082" s="7" t="s">
        <v>0</v>
      </c>
      <c r="AO2082" s="7" t="s">
        <v>0</v>
      </c>
      <c r="AP2082" s="7" t="s">
        <v>0</v>
      </c>
      <c r="AQ2082" s="7" t="s">
        <v>61</v>
      </c>
      <c r="AR2082" s="7" t="s">
        <v>0</v>
      </c>
      <c r="AS2082" s="10" t="str">
        <f>HYPERLINK("https://tessa.gazprom-neft.local/edo/card/1d1019f6-c8ac-4a60-9d43-7f1165d73b94", "https://tessa.gazprom-neft.local/edo/card/1d1019f6-c8ac-4a60-9d43-7f1165d73b94")</f>
        <v>https://tessa.gazprom-neft.local/edo/card/1d1019f6-c8ac-4a60-9d43-7f1165d73b94</v>
      </c>
    </row>
    <row r="2083" spans="1:45" x14ac:dyDescent="0.25">
      <c r="A2083" s="6" t="s">
        <v>44</v>
      </c>
      <c r="B2083" s="7" t="s">
        <v>2350</v>
      </c>
      <c r="C2083" s="7" t="s">
        <v>67</v>
      </c>
      <c r="D2083" s="8">
        <v>44558</v>
      </c>
      <c r="E2083" s="8" t="s">
        <v>0</v>
      </c>
      <c r="F2083" s="16" t="s">
        <v>2351</v>
      </c>
      <c r="G2083" s="7" t="s">
        <v>2352</v>
      </c>
      <c r="H2083" s="7" t="s">
        <v>0</v>
      </c>
      <c r="I2083" s="7" t="s">
        <v>0</v>
      </c>
      <c r="J2083" s="7" t="s">
        <v>271</v>
      </c>
      <c r="K2083" s="7" t="s">
        <v>85</v>
      </c>
      <c r="L2083" s="7" t="s">
        <v>48</v>
      </c>
      <c r="M2083" s="7" t="s">
        <v>2128</v>
      </c>
      <c r="N2083" s="7" t="s">
        <v>9616</v>
      </c>
      <c r="O2083" s="7" t="s">
        <v>0</v>
      </c>
      <c r="P2083" s="7" t="s">
        <v>2128</v>
      </c>
      <c r="Q2083" s="7" t="s">
        <v>9617</v>
      </c>
      <c r="R2083" s="7" t="s">
        <v>282</v>
      </c>
      <c r="S2083" s="7" t="s">
        <v>282</v>
      </c>
      <c r="T2083" s="7" t="s">
        <v>54</v>
      </c>
      <c r="U2083" s="7" t="s">
        <v>362</v>
      </c>
      <c r="V2083" s="7" t="s">
        <v>295</v>
      </c>
      <c r="W2083" s="7" t="s">
        <v>57</v>
      </c>
      <c r="X2083" s="7" t="s">
        <v>103</v>
      </c>
      <c r="Y2083" s="8">
        <v>44558</v>
      </c>
      <c r="Z2083" s="8">
        <v>46022</v>
      </c>
      <c r="AA2083" s="7" t="s">
        <v>0</v>
      </c>
      <c r="AB2083" s="7" t="s">
        <v>64</v>
      </c>
      <c r="AC2083" s="7" t="s">
        <v>65</v>
      </c>
      <c r="AD2083" s="7" t="s">
        <v>0</v>
      </c>
      <c r="AE2083" s="7" t="s">
        <v>0</v>
      </c>
      <c r="AF2083" s="7" t="s">
        <v>0</v>
      </c>
      <c r="AG2083" s="7" t="s">
        <v>0</v>
      </c>
      <c r="AH2083" s="9" t="s">
        <v>0</v>
      </c>
      <c r="AI2083" s="9" t="s">
        <v>0</v>
      </c>
      <c r="AJ2083" s="9" t="s">
        <v>0</v>
      </c>
      <c r="AK2083" s="7" t="s">
        <v>61</v>
      </c>
      <c r="AL2083" s="7" t="s">
        <v>61</v>
      </c>
      <c r="AM2083" s="7" t="s">
        <v>0</v>
      </c>
      <c r="AN2083" s="7" t="s">
        <v>0</v>
      </c>
      <c r="AO2083" s="7" t="s">
        <v>0</v>
      </c>
      <c r="AP2083" s="7" t="s">
        <v>0</v>
      </c>
      <c r="AQ2083" s="7" t="s">
        <v>61</v>
      </c>
      <c r="AR2083" s="7" t="s">
        <v>0</v>
      </c>
      <c r="AS2083" s="10" t="str">
        <f>HYPERLINK("https://tessa.gazprom-neft.local/edo/card/2fc421da-b11f-4901-ab9b-fdd2c1dad73e", "https://tessa.gazprom-neft.local/edo/card/2fc421da-b11f-4901-ab9b-fdd2c1dad73e")</f>
        <v>https://tessa.gazprom-neft.local/edo/card/2fc421da-b11f-4901-ab9b-fdd2c1dad73e</v>
      </c>
    </row>
    <row r="2084" spans="1:45" x14ac:dyDescent="0.25">
      <c r="A2084" s="6" t="s">
        <v>44</v>
      </c>
      <c r="B2084" s="7" t="s">
        <v>2193</v>
      </c>
      <c r="C2084" s="7" t="s">
        <v>67</v>
      </c>
      <c r="D2084" s="8">
        <v>44558</v>
      </c>
      <c r="E2084" s="8" t="s">
        <v>0</v>
      </c>
      <c r="F2084" s="16" t="s">
        <v>2194</v>
      </c>
      <c r="G2084" s="7" t="s">
        <v>2195</v>
      </c>
      <c r="H2084" s="7" t="s">
        <v>2191</v>
      </c>
      <c r="I2084" s="7" t="s">
        <v>0</v>
      </c>
      <c r="J2084" s="7" t="s">
        <v>271</v>
      </c>
      <c r="K2084" s="7" t="s">
        <v>47</v>
      </c>
      <c r="L2084" s="7" t="s">
        <v>48</v>
      </c>
      <c r="M2084" s="7" t="s">
        <v>0</v>
      </c>
      <c r="N2084" s="7" t="s">
        <v>9688</v>
      </c>
      <c r="O2084" s="7" t="s">
        <v>0</v>
      </c>
      <c r="P2084" s="7" t="s">
        <v>9689</v>
      </c>
      <c r="Q2084" s="7" t="s">
        <v>9690</v>
      </c>
      <c r="R2084" s="7" t="s">
        <v>135</v>
      </c>
      <c r="S2084" s="7" t="s">
        <v>135</v>
      </c>
      <c r="T2084" s="7" t="s">
        <v>54</v>
      </c>
      <c r="U2084" s="7" t="s">
        <v>136</v>
      </c>
      <c r="V2084" s="7" t="s">
        <v>102</v>
      </c>
      <c r="W2084" s="7" t="s">
        <v>57</v>
      </c>
      <c r="X2084" s="7" t="s">
        <v>103</v>
      </c>
      <c r="Y2084" s="8">
        <v>44558</v>
      </c>
      <c r="Z2084" s="8">
        <v>44926</v>
      </c>
      <c r="AA2084" s="7" t="s">
        <v>0</v>
      </c>
      <c r="AB2084" s="7" t="s">
        <v>64</v>
      </c>
      <c r="AC2084" s="7" t="s">
        <v>65</v>
      </c>
      <c r="AD2084" s="7" t="s">
        <v>0</v>
      </c>
      <c r="AE2084" s="7" t="s">
        <v>0</v>
      </c>
      <c r="AF2084" s="7" t="s">
        <v>0</v>
      </c>
      <c r="AG2084" s="7" t="s">
        <v>0</v>
      </c>
      <c r="AH2084" s="9" t="s">
        <v>0</v>
      </c>
      <c r="AI2084" s="9" t="s">
        <v>0</v>
      </c>
      <c r="AJ2084" s="9" t="s">
        <v>0</v>
      </c>
      <c r="AK2084" s="7" t="s">
        <v>61</v>
      </c>
      <c r="AL2084" s="7" t="s">
        <v>61</v>
      </c>
      <c r="AM2084" s="7" t="s">
        <v>0</v>
      </c>
      <c r="AN2084" s="7" t="s">
        <v>0</v>
      </c>
      <c r="AO2084" s="7" t="s">
        <v>0</v>
      </c>
      <c r="AP2084" s="7" t="s">
        <v>0</v>
      </c>
      <c r="AQ2084" s="7" t="s">
        <v>61</v>
      </c>
      <c r="AR2084" s="7" t="s">
        <v>0</v>
      </c>
      <c r="AS2084" s="10" t="str">
        <f>HYPERLINK("https://tessa.gazprom-neft.local/edo/card/d67ebb0d-3840-4f06-85f9-784daf4eb9fc", "https://tessa.gazprom-neft.local/edo/card/d67ebb0d-3840-4f06-85f9-784daf4eb9fc")</f>
        <v>https://tessa.gazprom-neft.local/edo/card/d67ebb0d-3840-4f06-85f9-784daf4eb9fc</v>
      </c>
    </row>
    <row r="2085" spans="1:45" x14ac:dyDescent="0.25">
      <c r="A2085" s="6" t="s">
        <v>44</v>
      </c>
      <c r="B2085" s="7" t="s">
        <v>1351</v>
      </c>
      <c r="C2085" s="7" t="s">
        <v>67</v>
      </c>
      <c r="D2085" s="8">
        <v>44557</v>
      </c>
      <c r="E2085" s="8" t="s">
        <v>0</v>
      </c>
      <c r="F2085" s="16" t="s">
        <v>1352</v>
      </c>
      <c r="G2085" s="7" t="s">
        <v>1353</v>
      </c>
      <c r="H2085" s="7" t="s">
        <v>3586</v>
      </c>
      <c r="I2085" s="7" t="s">
        <v>0</v>
      </c>
      <c r="J2085" s="7" t="s">
        <v>156</v>
      </c>
      <c r="K2085" s="7" t="s">
        <v>47</v>
      </c>
      <c r="L2085" s="7" t="s">
        <v>48</v>
      </c>
      <c r="M2085" s="7" t="s">
        <v>0</v>
      </c>
      <c r="N2085" s="7" t="s">
        <v>9410</v>
      </c>
      <c r="O2085" s="7" t="s">
        <v>0</v>
      </c>
      <c r="P2085" s="7" t="s">
        <v>9411</v>
      </c>
      <c r="Q2085" s="7" t="s">
        <v>1291</v>
      </c>
      <c r="R2085" s="7" t="s">
        <v>361</v>
      </c>
      <c r="S2085" s="7" t="s">
        <v>361</v>
      </c>
      <c r="T2085" s="7" t="s">
        <v>54</v>
      </c>
      <c r="U2085" s="7" t="s">
        <v>362</v>
      </c>
      <c r="V2085" s="7" t="s">
        <v>295</v>
      </c>
      <c r="W2085" s="7" t="s">
        <v>57</v>
      </c>
      <c r="X2085" s="7" t="s">
        <v>103</v>
      </c>
      <c r="Y2085" s="8">
        <v>44557</v>
      </c>
      <c r="Z2085" s="8">
        <v>44926</v>
      </c>
      <c r="AA2085" s="7" t="s">
        <v>1269</v>
      </c>
      <c r="AB2085" s="7" t="s">
        <v>366</v>
      </c>
      <c r="AC2085" s="7" t="s">
        <v>65</v>
      </c>
      <c r="AD2085" s="7" t="s">
        <v>367</v>
      </c>
      <c r="AE2085" s="7" t="s">
        <v>0</v>
      </c>
      <c r="AF2085" s="7" t="s">
        <v>0</v>
      </c>
      <c r="AG2085" s="7" t="s">
        <v>0</v>
      </c>
      <c r="AH2085" s="9" t="s">
        <v>0</v>
      </c>
      <c r="AI2085" s="9" t="s">
        <v>0</v>
      </c>
      <c r="AJ2085" s="9" t="s">
        <v>0</v>
      </c>
      <c r="AK2085" s="7" t="s">
        <v>61</v>
      </c>
      <c r="AL2085" s="7" t="s">
        <v>61</v>
      </c>
      <c r="AM2085" s="7" t="s">
        <v>0</v>
      </c>
      <c r="AN2085" s="7" t="s">
        <v>0</v>
      </c>
      <c r="AO2085" s="7" t="s">
        <v>0</v>
      </c>
      <c r="AP2085" s="7" t="s">
        <v>0</v>
      </c>
      <c r="AQ2085" s="7" t="s">
        <v>61</v>
      </c>
      <c r="AR2085" s="7" t="s">
        <v>0</v>
      </c>
      <c r="AS2085" s="10" t="str">
        <f>HYPERLINK("https://tessa.gazprom-neft.local/edo/card/253bd12f-bcd5-4527-8c0e-f87c9e21b0ae", "https://tessa.gazprom-neft.local/edo/card/253bd12f-bcd5-4527-8c0e-f87c9e21b0ae")</f>
        <v>https://tessa.gazprom-neft.local/edo/card/253bd12f-bcd5-4527-8c0e-f87c9e21b0ae</v>
      </c>
    </row>
    <row r="2086" spans="1:45" x14ac:dyDescent="0.25">
      <c r="A2086" s="6" t="s">
        <v>44</v>
      </c>
      <c r="B2086" s="7" t="s">
        <v>3031</v>
      </c>
      <c r="C2086" s="7" t="s">
        <v>67</v>
      </c>
      <c r="D2086" s="8">
        <v>44557</v>
      </c>
      <c r="E2086" s="8" t="s">
        <v>0</v>
      </c>
      <c r="F2086" s="16" t="s">
        <v>3032</v>
      </c>
      <c r="G2086" s="7" t="s">
        <v>3033</v>
      </c>
      <c r="H2086" s="7" t="s">
        <v>3027</v>
      </c>
      <c r="I2086" s="7" t="s">
        <v>0</v>
      </c>
      <c r="J2086" s="7" t="s">
        <v>70</v>
      </c>
      <c r="K2086" s="7" t="s">
        <v>47</v>
      </c>
      <c r="L2086" s="7" t="s">
        <v>48</v>
      </c>
      <c r="M2086" s="7" t="s">
        <v>0</v>
      </c>
      <c r="N2086" s="7" t="s">
        <v>9447</v>
      </c>
      <c r="O2086" s="7" t="s">
        <v>0</v>
      </c>
      <c r="P2086" s="7" t="s">
        <v>9448</v>
      </c>
      <c r="Q2086" s="7" t="s">
        <v>9449</v>
      </c>
      <c r="R2086" s="7" t="s">
        <v>6771</v>
      </c>
      <c r="S2086" s="7" t="s">
        <v>1829</v>
      </c>
      <c r="T2086" s="7" t="s">
        <v>54</v>
      </c>
      <c r="U2086" s="7" t="s">
        <v>125</v>
      </c>
      <c r="V2086" s="7" t="s">
        <v>382</v>
      </c>
      <c r="W2086" s="7" t="s">
        <v>57</v>
      </c>
      <c r="X2086" s="7" t="s">
        <v>103</v>
      </c>
      <c r="Y2086" s="8">
        <v>44557</v>
      </c>
      <c r="Z2086" s="8">
        <v>44926</v>
      </c>
      <c r="AA2086" s="7" t="s">
        <v>383</v>
      </c>
      <c r="AB2086" s="7" t="s">
        <v>130</v>
      </c>
      <c r="AC2086" s="7" t="s">
        <v>65</v>
      </c>
      <c r="AD2086" s="7" t="s">
        <v>0</v>
      </c>
      <c r="AE2086" s="7" t="s">
        <v>0</v>
      </c>
      <c r="AF2086" s="7" t="s">
        <v>0</v>
      </c>
      <c r="AG2086" s="7" t="s">
        <v>0</v>
      </c>
      <c r="AH2086" s="9" t="s">
        <v>0</v>
      </c>
      <c r="AI2086" s="9" t="s">
        <v>0</v>
      </c>
      <c r="AJ2086" s="9" t="s">
        <v>0</v>
      </c>
      <c r="AK2086" s="7" t="s">
        <v>61</v>
      </c>
      <c r="AL2086" s="7" t="s">
        <v>61</v>
      </c>
      <c r="AM2086" s="7" t="s">
        <v>0</v>
      </c>
      <c r="AN2086" s="7" t="s">
        <v>0</v>
      </c>
      <c r="AO2086" s="7" t="s">
        <v>0</v>
      </c>
      <c r="AP2086" s="7" t="s">
        <v>0</v>
      </c>
      <c r="AQ2086" s="7" t="s">
        <v>61</v>
      </c>
      <c r="AR2086" s="7" t="s">
        <v>0</v>
      </c>
      <c r="AS2086" s="10" t="str">
        <f>HYPERLINK("https://tessa.gazprom-neft.local/edo/card/8bcd67f3-cd43-4681-8547-55f22cf918f5", "https://tessa.gazprom-neft.local/edo/card/8bcd67f3-cd43-4681-8547-55f22cf918f5")</f>
        <v>https://tessa.gazprom-neft.local/edo/card/8bcd67f3-cd43-4681-8547-55f22cf918f5</v>
      </c>
    </row>
    <row r="2087" spans="1:45" hidden="1" x14ac:dyDescent="0.25">
      <c r="A2087" s="6" t="s">
        <v>44</v>
      </c>
      <c r="B2087" s="7" t="s">
        <v>9525</v>
      </c>
      <c r="C2087" s="7" t="s">
        <v>67</v>
      </c>
      <c r="D2087" s="8">
        <v>44557</v>
      </c>
      <c r="E2087" s="8" t="s">
        <v>0</v>
      </c>
      <c r="F2087" s="16" t="s">
        <v>9526</v>
      </c>
      <c r="G2087" s="7" t="s">
        <v>9527</v>
      </c>
      <c r="H2087" s="7" t="s">
        <v>0</v>
      </c>
      <c r="I2087" s="7" t="s">
        <v>5149</v>
      </c>
      <c r="J2087" s="7" t="s">
        <v>5149</v>
      </c>
      <c r="K2087" s="7" t="s">
        <v>47</v>
      </c>
      <c r="L2087" s="7" t="s">
        <v>86</v>
      </c>
      <c r="M2087" s="7" t="s">
        <v>0</v>
      </c>
      <c r="N2087" s="7" t="s">
        <v>9522</v>
      </c>
      <c r="O2087" s="7" t="s">
        <v>0</v>
      </c>
      <c r="P2087" s="7" t="s">
        <v>9523</v>
      </c>
      <c r="Q2087" s="7" t="s">
        <v>9524</v>
      </c>
      <c r="R2087" s="7" t="s">
        <v>799</v>
      </c>
      <c r="S2087" s="7" t="s">
        <v>0</v>
      </c>
      <c r="T2087" s="7" t="s">
        <v>54</v>
      </c>
      <c r="U2087" s="7" t="s">
        <v>55</v>
      </c>
      <c r="V2087" s="7" t="s">
        <v>56</v>
      </c>
      <c r="W2087" s="7" t="s">
        <v>57</v>
      </c>
      <c r="X2087" s="7" t="s">
        <v>103</v>
      </c>
      <c r="Y2087" s="8">
        <v>44557</v>
      </c>
      <c r="Z2087" s="8">
        <v>44926</v>
      </c>
      <c r="AA2087" s="7" t="s">
        <v>0</v>
      </c>
      <c r="AB2087" s="7" t="s">
        <v>804</v>
      </c>
      <c r="AC2087" s="7" t="s">
        <v>79</v>
      </c>
      <c r="AD2087" s="7" t="s">
        <v>80</v>
      </c>
      <c r="AE2087" s="7" t="s">
        <v>82</v>
      </c>
      <c r="AF2087" s="7" t="s">
        <v>0</v>
      </c>
      <c r="AG2087" s="7" t="s">
        <v>0</v>
      </c>
      <c r="AH2087" s="9" t="s">
        <v>13967</v>
      </c>
      <c r="AI2087" s="9" t="s">
        <v>13968</v>
      </c>
      <c r="AJ2087" s="9" t="s">
        <v>13969</v>
      </c>
      <c r="AK2087" s="7" t="s">
        <v>61</v>
      </c>
      <c r="AL2087" s="7" t="s">
        <v>61</v>
      </c>
      <c r="AM2087" s="7" t="s">
        <v>0</v>
      </c>
      <c r="AN2087" s="7" t="s">
        <v>0</v>
      </c>
      <c r="AO2087" s="7" t="s">
        <v>0</v>
      </c>
      <c r="AP2087" s="7" t="s">
        <v>0</v>
      </c>
      <c r="AQ2087" s="7" t="s">
        <v>61</v>
      </c>
      <c r="AR2087" s="7" t="s">
        <v>0</v>
      </c>
      <c r="AS2087" s="10" t="str">
        <f>HYPERLINK("https://tessa.gazprom-neft.local/edo/card/f87afa80-5258-4de8-b139-022b87862367", "https://tessa.gazprom-neft.local/edo/card/f87afa80-5258-4de8-b139-022b87862367")</f>
        <v>https://tessa.gazprom-neft.local/edo/card/f87afa80-5258-4de8-b139-022b87862367</v>
      </c>
    </row>
    <row r="2088" spans="1:45" x14ac:dyDescent="0.25">
      <c r="A2088" s="6" t="s">
        <v>44</v>
      </c>
      <c r="B2088" s="7" t="s">
        <v>852</v>
      </c>
      <c r="C2088" s="7" t="s">
        <v>67</v>
      </c>
      <c r="D2088" s="8">
        <v>44557</v>
      </c>
      <c r="E2088" s="8" t="s">
        <v>0</v>
      </c>
      <c r="F2088" s="16" t="s">
        <v>853</v>
      </c>
      <c r="G2088" s="7" t="s">
        <v>854</v>
      </c>
      <c r="H2088" s="7" t="s">
        <v>849</v>
      </c>
      <c r="I2088" s="7" t="s">
        <v>0</v>
      </c>
      <c r="J2088" s="7" t="s">
        <v>271</v>
      </c>
      <c r="K2088" s="7" t="s">
        <v>47</v>
      </c>
      <c r="L2088" s="7" t="s">
        <v>48</v>
      </c>
      <c r="M2088" s="7" t="s">
        <v>0</v>
      </c>
      <c r="N2088" s="7" t="s">
        <v>9544</v>
      </c>
      <c r="O2088" s="7" t="s">
        <v>0</v>
      </c>
      <c r="P2088" s="7" t="s">
        <v>9545</v>
      </c>
      <c r="Q2088" s="7" t="s">
        <v>9546</v>
      </c>
      <c r="R2088" s="7" t="s">
        <v>110</v>
      </c>
      <c r="S2088" s="7" t="s">
        <v>110</v>
      </c>
      <c r="T2088" s="7" t="s">
        <v>54</v>
      </c>
      <c r="U2088" s="7" t="s">
        <v>111</v>
      </c>
      <c r="V2088" s="7" t="s">
        <v>112</v>
      </c>
      <c r="W2088" s="7" t="s">
        <v>57</v>
      </c>
      <c r="X2088" s="7" t="s">
        <v>58</v>
      </c>
      <c r="Y2088" s="8">
        <v>44573</v>
      </c>
      <c r="Z2088" s="8" t="s">
        <v>0</v>
      </c>
      <c r="AA2088" s="7" t="s">
        <v>113</v>
      </c>
      <c r="AB2088" s="7" t="s">
        <v>161</v>
      </c>
      <c r="AC2088" s="7" t="s">
        <v>65</v>
      </c>
      <c r="AD2088" s="7" t="s">
        <v>0</v>
      </c>
      <c r="AE2088" s="7" t="s">
        <v>0</v>
      </c>
      <c r="AF2088" s="7" t="s">
        <v>0</v>
      </c>
      <c r="AG2088" s="7" t="s">
        <v>0</v>
      </c>
      <c r="AH2088" s="9" t="s">
        <v>0</v>
      </c>
      <c r="AI2088" s="9" t="s">
        <v>0</v>
      </c>
      <c r="AJ2088" s="9" t="s">
        <v>0</v>
      </c>
      <c r="AK2088" s="7" t="s">
        <v>61</v>
      </c>
      <c r="AL2088" s="7" t="s">
        <v>61</v>
      </c>
      <c r="AM2088" s="7" t="s">
        <v>0</v>
      </c>
      <c r="AN2088" s="7" t="s">
        <v>0</v>
      </c>
      <c r="AO2088" s="7" t="s">
        <v>0</v>
      </c>
      <c r="AP2088" s="7" t="s">
        <v>0</v>
      </c>
      <c r="AQ2088" s="7" t="s">
        <v>61</v>
      </c>
      <c r="AR2088" s="7" t="s">
        <v>0</v>
      </c>
      <c r="AS2088" s="10" t="str">
        <f>HYPERLINK("https://tessa.gazprom-neft.local/edo/card/ea43a6cb-6838-4384-a9b0-601ff1c50760", "https://tessa.gazprom-neft.local/edo/card/ea43a6cb-6838-4384-a9b0-601ff1c50760")</f>
        <v>https://tessa.gazprom-neft.local/edo/card/ea43a6cb-6838-4384-a9b0-601ff1c50760</v>
      </c>
    </row>
    <row r="2089" spans="1:45" x14ac:dyDescent="0.25">
      <c r="A2089" s="6" t="s">
        <v>44</v>
      </c>
      <c r="B2089" s="7" t="s">
        <v>1165</v>
      </c>
      <c r="C2089" s="7" t="s">
        <v>67</v>
      </c>
      <c r="D2089" s="8">
        <v>44557</v>
      </c>
      <c r="E2089" s="8" t="s">
        <v>0</v>
      </c>
      <c r="F2089" s="16" t="s">
        <v>1166</v>
      </c>
      <c r="G2089" s="7" t="s">
        <v>1167</v>
      </c>
      <c r="H2089" s="7" t="s">
        <v>1847</v>
      </c>
      <c r="I2089" s="7" t="s">
        <v>0</v>
      </c>
      <c r="J2089" s="7" t="s">
        <v>156</v>
      </c>
      <c r="K2089" s="7" t="s">
        <v>47</v>
      </c>
      <c r="L2089" s="7" t="s">
        <v>48</v>
      </c>
      <c r="M2089" s="7" t="s">
        <v>0</v>
      </c>
      <c r="N2089" s="7" t="s">
        <v>9620</v>
      </c>
      <c r="O2089" s="7" t="s">
        <v>0</v>
      </c>
      <c r="P2089" s="7" t="s">
        <v>9621</v>
      </c>
      <c r="Q2089" s="7" t="s">
        <v>9622</v>
      </c>
      <c r="R2089" s="7" t="s">
        <v>9623</v>
      </c>
      <c r="S2089" s="7" t="s">
        <v>9623</v>
      </c>
      <c r="T2089" s="7" t="s">
        <v>54</v>
      </c>
      <c r="U2089" s="7" t="s">
        <v>892</v>
      </c>
      <c r="V2089" s="7" t="s">
        <v>56</v>
      </c>
      <c r="W2089" s="7" t="s">
        <v>57</v>
      </c>
      <c r="X2089" s="7" t="s">
        <v>103</v>
      </c>
      <c r="Y2089" s="8">
        <v>44557</v>
      </c>
      <c r="Z2089" s="8">
        <v>45657</v>
      </c>
      <c r="AA2089" s="7" t="s">
        <v>59</v>
      </c>
      <c r="AB2089" s="7" t="s">
        <v>1546</v>
      </c>
      <c r="AC2089" s="7" t="s">
        <v>79</v>
      </c>
      <c r="AD2089" s="7" t="s">
        <v>144</v>
      </c>
      <c r="AE2089" s="7" t="s">
        <v>82</v>
      </c>
      <c r="AF2089" s="7" t="s">
        <v>0</v>
      </c>
      <c r="AG2089" s="7" t="s">
        <v>0</v>
      </c>
      <c r="AH2089" s="9" t="s">
        <v>13241</v>
      </c>
      <c r="AI2089" s="9" t="s">
        <v>13242</v>
      </c>
      <c r="AJ2089" s="9" t="s">
        <v>13243</v>
      </c>
      <c r="AK2089" s="7" t="s">
        <v>61</v>
      </c>
      <c r="AL2089" s="7" t="s">
        <v>61</v>
      </c>
      <c r="AM2089" s="7" t="s">
        <v>0</v>
      </c>
      <c r="AN2089" s="7" t="s">
        <v>0</v>
      </c>
      <c r="AO2089" s="7" t="s">
        <v>0</v>
      </c>
      <c r="AP2089" s="7" t="s">
        <v>0</v>
      </c>
      <c r="AQ2089" s="7" t="s">
        <v>61</v>
      </c>
      <c r="AR2089" s="7" t="s">
        <v>0</v>
      </c>
      <c r="AS2089" s="10" t="str">
        <f>HYPERLINK("https://tessa.gazprom-neft.local/edo/card/ef3ec468-c303-43ea-976c-a9bb1afa83b7", "https://tessa.gazprom-neft.local/edo/card/ef3ec468-c303-43ea-976c-a9bb1afa83b7")</f>
        <v>https://tessa.gazprom-neft.local/edo/card/ef3ec468-c303-43ea-976c-a9bb1afa83b7</v>
      </c>
    </row>
    <row r="2090" spans="1:45" x14ac:dyDescent="0.25">
      <c r="A2090" s="6" t="s">
        <v>44</v>
      </c>
      <c r="B2090" s="7" t="s">
        <v>1084</v>
      </c>
      <c r="C2090" s="7" t="s">
        <v>67</v>
      </c>
      <c r="D2090" s="8">
        <v>44557</v>
      </c>
      <c r="E2090" s="8" t="s">
        <v>0</v>
      </c>
      <c r="F2090" s="16" t="s">
        <v>1085</v>
      </c>
      <c r="G2090" s="7" t="s">
        <v>1086</v>
      </c>
      <c r="H2090" s="7" t="s">
        <v>1079</v>
      </c>
      <c r="I2090" s="7" t="s">
        <v>0</v>
      </c>
      <c r="J2090" s="7" t="s">
        <v>271</v>
      </c>
      <c r="K2090" s="7" t="s">
        <v>47</v>
      </c>
      <c r="L2090" s="7" t="s">
        <v>48</v>
      </c>
      <c r="M2090" s="7" t="s">
        <v>0</v>
      </c>
      <c r="N2090" s="7" t="s">
        <v>9652</v>
      </c>
      <c r="O2090" s="7" t="s">
        <v>0</v>
      </c>
      <c r="P2090" s="7" t="s">
        <v>312</v>
      </c>
      <c r="Q2090" s="7" t="s">
        <v>3019</v>
      </c>
      <c r="R2090" s="7" t="s">
        <v>1083</v>
      </c>
      <c r="S2090" s="7" t="s">
        <v>1718</v>
      </c>
      <c r="T2090" s="7" t="s">
        <v>54</v>
      </c>
      <c r="U2090" s="7" t="s">
        <v>274</v>
      </c>
      <c r="V2090" s="7" t="s">
        <v>846</v>
      </c>
      <c r="W2090" s="7" t="s">
        <v>57</v>
      </c>
      <c r="X2090" s="7" t="s">
        <v>103</v>
      </c>
      <c r="Y2090" s="8">
        <v>44531</v>
      </c>
      <c r="Z2090" s="8">
        <v>44561</v>
      </c>
      <c r="AA2090" s="7" t="s">
        <v>1639</v>
      </c>
      <c r="AB2090" s="7" t="s">
        <v>64</v>
      </c>
      <c r="AC2090" s="7" t="s">
        <v>65</v>
      </c>
      <c r="AD2090" s="7" t="s">
        <v>80</v>
      </c>
      <c r="AE2090" s="7" t="s">
        <v>0</v>
      </c>
      <c r="AF2090" s="7" t="s">
        <v>0</v>
      </c>
      <c r="AG2090" s="7" t="s">
        <v>0</v>
      </c>
      <c r="AH2090" s="9" t="s">
        <v>0</v>
      </c>
      <c r="AI2090" s="9" t="s">
        <v>0</v>
      </c>
      <c r="AJ2090" s="9" t="s">
        <v>0</v>
      </c>
      <c r="AK2090" s="7" t="s">
        <v>61</v>
      </c>
      <c r="AL2090" s="7" t="s">
        <v>61</v>
      </c>
      <c r="AM2090" s="7" t="s">
        <v>0</v>
      </c>
      <c r="AN2090" s="7" t="s">
        <v>0</v>
      </c>
      <c r="AO2090" s="7" t="s">
        <v>0</v>
      </c>
      <c r="AP2090" s="7" t="s">
        <v>0</v>
      </c>
      <c r="AQ2090" s="7" t="s">
        <v>61</v>
      </c>
      <c r="AR2090" s="7" t="s">
        <v>0</v>
      </c>
      <c r="AS2090" s="10" t="str">
        <f>HYPERLINK("https://tessa.gazprom-neft.local/edo/card/0d0c7410-1e51-414a-99ca-437647769c89", "https://tessa.gazprom-neft.local/edo/card/0d0c7410-1e51-414a-99ca-437647769c89")</f>
        <v>https://tessa.gazprom-neft.local/edo/card/0d0c7410-1e51-414a-99ca-437647769c89</v>
      </c>
    </row>
    <row r="2091" spans="1:45" hidden="1" x14ac:dyDescent="0.25">
      <c r="A2091" s="6" t="s">
        <v>44</v>
      </c>
      <c r="B2091" s="7" t="s">
        <v>488</v>
      </c>
      <c r="C2091" s="7" t="s">
        <v>67</v>
      </c>
      <c r="D2091" s="8">
        <v>44555</v>
      </c>
      <c r="E2091" s="8" t="s">
        <v>0</v>
      </c>
      <c r="F2091" s="16" t="s">
        <v>489</v>
      </c>
      <c r="G2091" s="7" t="s">
        <v>490</v>
      </c>
      <c r="H2091" s="7" t="s">
        <v>2173</v>
      </c>
      <c r="I2091" s="7" t="s">
        <v>0</v>
      </c>
      <c r="J2091" s="7" t="s">
        <v>51</v>
      </c>
      <c r="K2091" s="7" t="s">
        <v>47</v>
      </c>
      <c r="L2091" s="7" t="s">
        <v>709</v>
      </c>
      <c r="M2091" s="7" t="s">
        <v>0</v>
      </c>
      <c r="N2091" s="7" t="s">
        <v>9441</v>
      </c>
      <c r="O2091" s="7" t="s">
        <v>0</v>
      </c>
      <c r="P2091" s="7" t="s">
        <v>9442</v>
      </c>
      <c r="Q2091" s="7" t="s">
        <v>9443</v>
      </c>
      <c r="R2091" s="7" t="s">
        <v>282</v>
      </c>
      <c r="S2091" s="7" t="s">
        <v>282</v>
      </c>
      <c r="T2091" s="7" t="s">
        <v>54</v>
      </c>
      <c r="U2091" s="7" t="s">
        <v>55</v>
      </c>
      <c r="V2091" s="7" t="s">
        <v>56</v>
      </c>
      <c r="W2091" s="7" t="s">
        <v>57</v>
      </c>
      <c r="X2091" s="7" t="s">
        <v>103</v>
      </c>
      <c r="Y2091" s="8">
        <v>44555</v>
      </c>
      <c r="Z2091" s="8">
        <v>44592</v>
      </c>
      <c r="AA2091" s="7" t="s">
        <v>0</v>
      </c>
      <c r="AB2091" s="7" t="s">
        <v>874</v>
      </c>
      <c r="AC2091" s="7" t="s">
        <v>65</v>
      </c>
      <c r="AD2091" s="7" t="s">
        <v>0</v>
      </c>
      <c r="AE2091" s="7" t="s">
        <v>0</v>
      </c>
      <c r="AF2091" s="7" t="s">
        <v>0</v>
      </c>
      <c r="AG2091" s="7" t="s">
        <v>0</v>
      </c>
      <c r="AH2091" s="9" t="s">
        <v>0</v>
      </c>
      <c r="AI2091" s="9" t="s">
        <v>0</v>
      </c>
      <c r="AJ2091" s="9" t="s">
        <v>0</v>
      </c>
      <c r="AK2091" s="7" t="s">
        <v>61</v>
      </c>
      <c r="AL2091" s="7" t="s">
        <v>61</v>
      </c>
      <c r="AM2091" s="7" t="s">
        <v>0</v>
      </c>
      <c r="AN2091" s="7" t="s">
        <v>0</v>
      </c>
      <c r="AO2091" s="7" t="s">
        <v>0</v>
      </c>
      <c r="AP2091" s="7" t="s">
        <v>0</v>
      </c>
      <c r="AQ2091" s="7" t="s">
        <v>61</v>
      </c>
      <c r="AR2091" s="7" t="s">
        <v>0</v>
      </c>
      <c r="AS2091" s="10" t="str">
        <f>HYPERLINK("https://tessa.gazprom-neft.local/edo/card/6476a125-3965-433d-898c-c8b16efbf59f", "https://tessa.gazprom-neft.local/edo/card/6476a125-3965-433d-898c-c8b16efbf59f")</f>
        <v>https://tessa.gazprom-neft.local/edo/card/6476a125-3965-433d-898c-c8b16efbf59f</v>
      </c>
    </row>
    <row r="2092" spans="1:45" hidden="1" x14ac:dyDescent="0.25">
      <c r="A2092" s="6" t="s">
        <v>44</v>
      </c>
      <c r="B2092" s="7" t="s">
        <v>0</v>
      </c>
      <c r="C2092" s="7" t="s">
        <v>67</v>
      </c>
      <c r="D2092" s="8">
        <v>44554</v>
      </c>
      <c r="E2092" s="8" t="s">
        <v>0</v>
      </c>
      <c r="F2092" s="16" t="s">
        <v>138</v>
      </c>
      <c r="G2092" s="7" t="s">
        <v>0</v>
      </c>
      <c r="H2092" s="7" t="s">
        <v>0</v>
      </c>
      <c r="I2092" s="7" t="s">
        <v>132</v>
      </c>
      <c r="J2092" s="7" t="s">
        <v>132</v>
      </c>
      <c r="K2092" s="7" t="s">
        <v>47</v>
      </c>
      <c r="L2092" s="7" t="s">
        <v>86</v>
      </c>
      <c r="M2092" s="7" t="s">
        <v>0</v>
      </c>
      <c r="N2092" s="7" t="s">
        <v>131</v>
      </c>
      <c r="O2092" s="7" t="s">
        <v>0</v>
      </c>
      <c r="P2092" s="7" t="s">
        <v>133</v>
      </c>
      <c r="Q2092" s="7" t="s">
        <v>134</v>
      </c>
      <c r="R2092" s="7" t="s">
        <v>135</v>
      </c>
      <c r="S2092" s="7" t="s">
        <v>135</v>
      </c>
      <c r="T2092" s="7" t="s">
        <v>54</v>
      </c>
      <c r="U2092" s="7" t="s">
        <v>136</v>
      </c>
      <c r="V2092" s="7" t="s">
        <v>137</v>
      </c>
      <c r="W2092" s="7" t="s">
        <v>57</v>
      </c>
      <c r="X2092" s="7" t="s">
        <v>103</v>
      </c>
      <c r="Y2092" s="8">
        <v>44554</v>
      </c>
      <c r="Z2092" s="8">
        <v>44926</v>
      </c>
      <c r="AA2092" s="7" t="s">
        <v>0</v>
      </c>
      <c r="AB2092" s="7" t="s">
        <v>139</v>
      </c>
      <c r="AC2092" s="7" t="s">
        <v>65</v>
      </c>
      <c r="AD2092" s="7" t="s">
        <v>0</v>
      </c>
      <c r="AE2092" s="7" t="s">
        <v>0</v>
      </c>
      <c r="AF2092" s="7" t="s">
        <v>0</v>
      </c>
      <c r="AG2092" s="7" t="s">
        <v>0</v>
      </c>
      <c r="AH2092" s="9" t="s">
        <v>0</v>
      </c>
      <c r="AI2092" s="9" t="s">
        <v>0</v>
      </c>
      <c r="AJ2092" s="9" t="s">
        <v>0</v>
      </c>
      <c r="AK2092" s="7" t="s">
        <v>61</v>
      </c>
      <c r="AL2092" s="7" t="s">
        <v>61</v>
      </c>
      <c r="AM2092" s="7" t="s">
        <v>0</v>
      </c>
      <c r="AN2092" s="7" t="s">
        <v>0</v>
      </c>
      <c r="AO2092" s="7" t="s">
        <v>0</v>
      </c>
      <c r="AP2092" s="7" t="s">
        <v>0</v>
      </c>
      <c r="AQ2092" s="7" t="s">
        <v>61</v>
      </c>
      <c r="AR2092" s="7" t="s">
        <v>0</v>
      </c>
      <c r="AS2092" s="10" t="str">
        <f>HYPERLINK("https://tessa.gazprom-neft.local/edo/card/9d1af0b3-8fda-4985-b524-9e0d1f51edef", "https://tessa.gazprom-neft.local/edo/card/9d1af0b3-8fda-4985-b524-9e0d1f51edef")</f>
        <v>https://tessa.gazprom-neft.local/edo/card/9d1af0b3-8fda-4985-b524-9e0d1f51edef</v>
      </c>
    </row>
    <row r="2093" spans="1:45" hidden="1" x14ac:dyDescent="0.25">
      <c r="A2093" s="6" t="s">
        <v>44</v>
      </c>
      <c r="B2093" s="7" t="s">
        <v>1925</v>
      </c>
      <c r="C2093" s="7" t="s">
        <v>67</v>
      </c>
      <c r="D2093" s="8">
        <v>44554</v>
      </c>
      <c r="E2093" s="8" t="s">
        <v>0</v>
      </c>
      <c r="F2093" s="16" t="s">
        <v>1926</v>
      </c>
      <c r="G2093" s="7" t="s">
        <v>1927</v>
      </c>
      <c r="H2093" s="7" t="s">
        <v>0</v>
      </c>
      <c r="I2093" s="7" t="s">
        <v>9246</v>
      </c>
      <c r="J2093" s="7" t="s">
        <v>9246</v>
      </c>
      <c r="K2093" s="7" t="s">
        <v>47</v>
      </c>
      <c r="L2093" s="7" t="s">
        <v>96</v>
      </c>
      <c r="M2093" s="7" t="s">
        <v>0</v>
      </c>
      <c r="N2093" s="7" t="s">
        <v>9245</v>
      </c>
      <c r="O2093" s="7" t="s">
        <v>0</v>
      </c>
      <c r="P2093" s="7" t="s">
        <v>9247</v>
      </c>
      <c r="Q2093" s="7" t="s">
        <v>9248</v>
      </c>
      <c r="R2093" s="7" t="s">
        <v>1924</v>
      </c>
      <c r="S2093" s="7" t="s">
        <v>1924</v>
      </c>
      <c r="T2093" s="7" t="s">
        <v>54</v>
      </c>
      <c r="U2093" s="7" t="s">
        <v>73</v>
      </c>
      <c r="V2093" s="7" t="s">
        <v>56</v>
      </c>
      <c r="W2093" s="7" t="s">
        <v>57</v>
      </c>
      <c r="X2093" s="7" t="s">
        <v>103</v>
      </c>
      <c r="Y2093" s="8">
        <v>44554</v>
      </c>
      <c r="Z2093" s="8">
        <v>45291</v>
      </c>
      <c r="AA2093" s="7" t="s">
        <v>0</v>
      </c>
      <c r="AB2093" s="7" t="s">
        <v>64</v>
      </c>
      <c r="AC2093" s="7" t="s">
        <v>278</v>
      </c>
      <c r="AD2093" s="7" t="s">
        <v>144</v>
      </c>
      <c r="AE2093" s="7" t="s">
        <v>82</v>
      </c>
      <c r="AF2093" s="7" t="s">
        <v>0</v>
      </c>
      <c r="AG2093" s="7" t="s">
        <v>0</v>
      </c>
      <c r="AH2093" s="9" t="s">
        <v>13852</v>
      </c>
      <c r="AI2093" s="9" t="s">
        <v>13853</v>
      </c>
      <c r="AJ2093" s="9" t="s">
        <v>13854</v>
      </c>
      <c r="AK2093" s="7" t="s">
        <v>61</v>
      </c>
      <c r="AL2093" s="7" t="s">
        <v>61</v>
      </c>
      <c r="AM2093" s="7" t="s">
        <v>0</v>
      </c>
      <c r="AN2093" s="7" t="s">
        <v>0</v>
      </c>
      <c r="AO2093" s="7" t="s">
        <v>0</v>
      </c>
      <c r="AP2093" s="7" t="s">
        <v>0</v>
      </c>
      <c r="AQ2093" s="7" t="s">
        <v>61</v>
      </c>
      <c r="AR2093" s="7" t="s">
        <v>0</v>
      </c>
      <c r="AS2093" s="10" t="str">
        <f>HYPERLINK("https://tessa.gazprom-neft.local/edo/card/d56cf308-2849-42df-b731-4c5b24d2ddb9", "https://tessa.gazprom-neft.local/edo/card/d56cf308-2849-42df-b731-4c5b24d2ddb9")</f>
        <v>https://tessa.gazprom-neft.local/edo/card/d56cf308-2849-42df-b731-4c5b24d2ddb9</v>
      </c>
    </row>
    <row r="2094" spans="1:45" hidden="1" x14ac:dyDescent="0.25">
      <c r="A2094" s="6" t="s">
        <v>44</v>
      </c>
      <c r="B2094" s="7" t="s">
        <v>0</v>
      </c>
      <c r="C2094" s="7" t="s">
        <v>67</v>
      </c>
      <c r="D2094" s="8">
        <v>44554</v>
      </c>
      <c r="E2094" s="8" t="s">
        <v>0</v>
      </c>
      <c r="F2094" s="16" t="s">
        <v>9313</v>
      </c>
      <c r="G2094" s="7" t="s">
        <v>0</v>
      </c>
      <c r="H2094" s="7" t="s">
        <v>0</v>
      </c>
      <c r="I2094" s="7" t="s">
        <v>2370</v>
      </c>
      <c r="J2094" s="7" t="s">
        <v>2370</v>
      </c>
      <c r="K2094" s="7" t="s">
        <v>85</v>
      </c>
      <c r="L2094" s="7" t="s">
        <v>96</v>
      </c>
      <c r="M2094" s="7" t="s">
        <v>9273</v>
      </c>
      <c r="N2094" s="7" t="s">
        <v>9311</v>
      </c>
      <c r="O2094" s="7" t="s">
        <v>0</v>
      </c>
      <c r="P2094" s="7" t="s">
        <v>9273</v>
      </c>
      <c r="Q2094" s="7" t="s">
        <v>9312</v>
      </c>
      <c r="R2094" s="7" t="s">
        <v>282</v>
      </c>
      <c r="S2094" s="7" t="s">
        <v>282</v>
      </c>
      <c r="T2094" s="7" t="s">
        <v>54</v>
      </c>
      <c r="U2094" s="7" t="s">
        <v>362</v>
      </c>
      <c r="V2094" s="7" t="s">
        <v>295</v>
      </c>
      <c r="W2094" s="7" t="s">
        <v>57</v>
      </c>
      <c r="X2094" s="7" t="s">
        <v>103</v>
      </c>
      <c r="Y2094" s="8">
        <v>44554</v>
      </c>
      <c r="Z2094" s="8">
        <v>45657</v>
      </c>
      <c r="AA2094" s="7" t="s">
        <v>0</v>
      </c>
      <c r="AB2094" s="7" t="s">
        <v>1748</v>
      </c>
      <c r="AC2094" s="7" t="s">
        <v>79</v>
      </c>
      <c r="AD2094" s="7" t="s">
        <v>144</v>
      </c>
      <c r="AE2094" s="7" t="s">
        <v>82</v>
      </c>
      <c r="AF2094" s="7" t="s">
        <v>0</v>
      </c>
      <c r="AG2094" s="7" t="s">
        <v>0</v>
      </c>
      <c r="AH2094" s="9" t="s">
        <v>13871</v>
      </c>
      <c r="AI2094" s="9" t="s">
        <v>13872</v>
      </c>
      <c r="AJ2094" s="9" t="s">
        <v>13873</v>
      </c>
      <c r="AK2094" s="7" t="s">
        <v>61</v>
      </c>
      <c r="AL2094" s="7" t="s">
        <v>61</v>
      </c>
      <c r="AM2094" s="7" t="s">
        <v>0</v>
      </c>
      <c r="AN2094" s="7" t="s">
        <v>0</v>
      </c>
      <c r="AO2094" s="7" t="s">
        <v>0</v>
      </c>
      <c r="AP2094" s="7" t="s">
        <v>0</v>
      </c>
      <c r="AQ2094" s="7" t="s">
        <v>61</v>
      </c>
      <c r="AR2094" s="7" t="s">
        <v>0</v>
      </c>
      <c r="AS2094" s="10" t="str">
        <f>HYPERLINK("https://tessa.gazprom-neft.local/edo/card/830897b7-0ee3-4685-bd3a-6480516db5e5", "https://tessa.gazprom-neft.local/edo/card/830897b7-0ee3-4685-bd3a-6480516db5e5")</f>
        <v>https://tessa.gazprom-neft.local/edo/card/830897b7-0ee3-4685-bd3a-6480516db5e5</v>
      </c>
    </row>
    <row r="2095" spans="1:45" hidden="1" x14ac:dyDescent="0.25">
      <c r="A2095" s="6" t="s">
        <v>44</v>
      </c>
      <c r="B2095" s="7" t="s">
        <v>0</v>
      </c>
      <c r="C2095" s="7" t="s">
        <v>67</v>
      </c>
      <c r="D2095" s="8">
        <v>44554</v>
      </c>
      <c r="E2095" s="8" t="s">
        <v>0</v>
      </c>
      <c r="F2095" s="16" t="s">
        <v>9313</v>
      </c>
      <c r="G2095" s="7" t="s">
        <v>0</v>
      </c>
      <c r="H2095" s="7" t="s">
        <v>0</v>
      </c>
      <c r="I2095" s="7" t="s">
        <v>2347</v>
      </c>
      <c r="J2095" s="7" t="s">
        <v>2347</v>
      </c>
      <c r="K2095" s="7" t="s">
        <v>85</v>
      </c>
      <c r="L2095" s="7" t="s">
        <v>96</v>
      </c>
      <c r="M2095" s="7" t="s">
        <v>9273</v>
      </c>
      <c r="N2095" s="7" t="s">
        <v>9349</v>
      </c>
      <c r="O2095" s="7" t="s">
        <v>0</v>
      </c>
      <c r="P2095" s="7" t="s">
        <v>9273</v>
      </c>
      <c r="Q2095" s="7" t="s">
        <v>9350</v>
      </c>
      <c r="R2095" s="7" t="s">
        <v>2349</v>
      </c>
      <c r="S2095" s="7" t="s">
        <v>2349</v>
      </c>
      <c r="T2095" s="7" t="s">
        <v>54</v>
      </c>
      <c r="U2095" s="7" t="s">
        <v>362</v>
      </c>
      <c r="V2095" s="7" t="s">
        <v>295</v>
      </c>
      <c r="W2095" s="7" t="s">
        <v>57</v>
      </c>
      <c r="X2095" s="7" t="s">
        <v>103</v>
      </c>
      <c r="Y2095" s="8">
        <v>44554</v>
      </c>
      <c r="Z2095" s="8">
        <v>45657</v>
      </c>
      <c r="AA2095" s="7" t="s">
        <v>0</v>
      </c>
      <c r="AB2095" s="7" t="s">
        <v>1748</v>
      </c>
      <c r="AC2095" s="7" t="s">
        <v>79</v>
      </c>
      <c r="AD2095" s="7" t="s">
        <v>80</v>
      </c>
      <c r="AE2095" s="7" t="s">
        <v>82</v>
      </c>
      <c r="AF2095" s="7" t="s">
        <v>0</v>
      </c>
      <c r="AG2095" s="7" t="s">
        <v>0</v>
      </c>
      <c r="AH2095" s="9" t="s">
        <v>11324</v>
      </c>
      <c r="AI2095" s="9" t="s">
        <v>11325</v>
      </c>
      <c r="AJ2095" s="9" t="s">
        <v>11326</v>
      </c>
      <c r="AK2095" s="7" t="s">
        <v>61</v>
      </c>
      <c r="AL2095" s="7" t="s">
        <v>61</v>
      </c>
      <c r="AM2095" s="7" t="s">
        <v>0</v>
      </c>
      <c r="AN2095" s="7" t="s">
        <v>0</v>
      </c>
      <c r="AO2095" s="7" t="s">
        <v>0</v>
      </c>
      <c r="AP2095" s="7" t="s">
        <v>0</v>
      </c>
      <c r="AQ2095" s="7" t="s">
        <v>61</v>
      </c>
      <c r="AR2095" s="7" t="s">
        <v>0</v>
      </c>
      <c r="AS2095" s="10" t="str">
        <f>HYPERLINK("https://tessa.gazprom-neft.local/edo/card/1b9bede7-a7cf-403b-ac25-50918ca370cf", "https://tessa.gazprom-neft.local/edo/card/1b9bede7-a7cf-403b-ac25-50918ca370cf")</f>
        <v>https://tessa.gazprom-neft.local/edo/card/1b9bede7-a7cf-403b-ac25-50918ca370cf</v>
      </c>
    </row>
    <row r="2096" spans="1:45" hidden="1" x14ac:dyDescent="0.25">
      <c r="A2096" s="6" t="s">
        <v>44</v>
      </c>
      <c r="B2096" s="7" t="s">
        <v>275</v>
      </c>
      <c r="C2096" s="7" t="s">
        <v>67</v>
      </c>
      <c r="D2096" s="8">
        <v>44554</v>
      </c>
      <c r="E2096" s="8" t="s">
        <v>0</v>
      </c>
      <c r="F2096" s="16" t="s">
        <v>276</v>
      </c>
      <c r="G2096" s="7" t="s">
        <v>277</v>
      </c>
      <c r="H2096" s="7" t="s">
        <v>9475</v>
      </c>
      <c r="I2096" s="7" t="s">
        <v>0</v>
      </c>
      <c r="J2096" s="7" t="s">
        <v>51</v>
      </c>
      <c r="K2096" s="7" t="s">
        <v>47</v>
      </c>
      <c r="L2096" s="7" t="s">
        <v>2719</v>
      </c>
      <c r="M2096" s="7" t="s">
        <v>0</v>
      </c>
      <c r="N2096" s="7" t="s">
        <v>9474</v>
      </c>
      <c r="O2096" s="7" t="s">
        <v>0</v>
      </c>
      <c r="P2096" s="7" t="s">
        <v>9476</v>
      </c>
      <c r="Q2096" s="7" t="s">
        <v>9477</v>
      </c>
      <c r="R2096" s="7" t="s">
        <v>1042</v>
      </c>
      <c r="S2096" s="7" t="s">
        <v>1042</v>
      </c>
      <c r="T2096" s="7" t="s">
        <v>54</v>
      </c>
      <c r="U2096" s="7" t="s">
        <v>1043</v>
      </c>
      <c r="V2096" s="7" t="s">
        <v>137</v>
      </c>
      <c r="W2096" s="7" t="s">
        <v>57</v>
      </c>
      <c r="X2096" s="7" t="s">
        <v>58</v>
      </c>
      <c r="Y2096" s="8">
        <v>44554</v>
      </c>
      <c r="Z2096" s="8" t="s">
        <v>0</v>
      </c>
      <c r="AA2096" s="7" t="s">
        <v>0</v>
      </c>
      <c r="AB2096" s="7" t="s">
        <v>64</v>
      </c>
      <c r="AC2096" s="7" t="s">
        <v>65</v>
      </c>
      <c r="AD2096" s="7" t="s">
        <v>0</v>
      </c>
      <c r="AE2096" s="7" t="s">
        <v>0</v>
      </c>
      <c r="AF2096" s="7" t="s">
        <v>0</v>
      </c>
      <c r="AG2096" s="7" t="s">
        <v>0</v>
      </c>
      <c r="AH2096" s="9" t="s">
        <v>0</v>
      </c>
      <c r="AI2096" s="9" t="s">
        <v>0</v>
      </c>
      <c r="AJ2096" s="9" t="s">
        <v>0</v>
      </c>
      <c r="AK2096" s="7" t="s">
        <v>61</v>
      </c>
      <c r="AL2096" s="7" t="s">
        <v>61</v>
      </c>
      <c r="AM2096" s="7" t="s">
        <v>0</v>
      </c>
      <c r="AN2096" s="7" t="s">
        <v>0</v>
      </c>
      <c r="AO2096" s="7" t="s">
        <v>0</v>
      </c>
      <c r="AP2096" s="7" t="s">
        <v>0</v>
      </c>
      <c r="AQ2096" s="7" t="s">
        <v>61</v>
      </c>
      <c r="AR2096" s="7" t="s">
        <v>0</v>
      </c>
      <c r="AS2096" s="10" t="str">
        <f>HYPERLINK("https://tessa.gazprom-neft.local/edo/card/456b07d4-dc45-489f-8589-248b668f99e0", "https://tessa.gazprom-neft.local/edo/card/456b07d4-dc45-489f-8589-248b668f99e0")</f>
        <v>https://tessa.gazprom-neft.local/edo/card/456b07d4-dc45-489f-8589-248b668f99e0</v>
      </c>
    </row>
    <row r="2097" spans="1:45" hidden="1" x14ac:dyDescent="0.25">
      <c r="A2097" s="6" t="s">
        <v>44</v>
      </c>
      <c r="B2097" s="7" t="s">
        <v>964</v>
      </c>
      <c r="C2097" s="7" t="s">
        <v>67</v>
      </c>
      <c r="D2097" s="8">
        <v>44554</v>
      </c>
      <c r="E2097" s="8" t="s">
        <v>0</v>
      </c>
      <c r="F2097" s="16" t="s">
        <v>965</v>
      </c>
      <c r="G2097" s="7" t="s">
        <v>966</v>
      </c>
      <c r="H2097" s="7" t="s">
        <v>1060</v>
      </c>
      <c r="I2097" s="7" t="s">
        <v>0</v>
      </c>
      <c r="J2097" s="7" t="s">
        <v>9516</v>
      </c>
      <c r="K2097" s="7" t="s">
        <v>47</v>
      </c>
      <c r="L2097" s="7" t="s">
        <v>2719</v>
      </c>
      <c r="M2097" s="7" t="s">
        <v>0</v>
      </c>
      <c r="N2097" s="7" t="s">
        <v>9514</v>
      </c>
      <c r="O2097" s="7" t="s">
        <v>0</v>
      </c>
      <c r="P2097" s="7" t="s">
        <v>9515</v>
      </c>
      <c r="Q2097" s="7" t="s">
        <v>9517</v>
      </c>
      <c r="R2097" s="7" t="s">
        <v>1062</v>
      </c>
      <c r="S2097" s="7" t="s">
        <v>1062</v>
      </c>
      <c r="T2097" s="7" t="s">
        <v>54</v>
      </c>
      <c r="U2097" s="7" t="s">
        <v>294</v>
      </c>
      <c r="V2097" s="7" t="s">
        <v>295</v>
      </c>
      <c r="W2097" s="7" t="s">
        <v>57</v>
      </c>
      <c r="X2097" s="7" t="s">
        <v>58</v>
      </c>
      <c r="Y2097" s="8">
        <v>44554</v>
      </c>
      <c r="Z2097" s="8" t="s">
        <v>0</v>
      </c>
      <c r="AA2097" s="7" t="s">
        <v>296</v>
      </c>
      <c r="AB2097" s="7" t="s">
        <v>500</v>
      </c>
      <c r="AC2097" s="7" t="s">
        <v>79</v>
      </c>
      <c r="AD2097" s="7" t="s">
        <v>80</v>
      </c>
      <c r="AE2097" s="7" t="s">
        <v>82</v>
      </c>
      <c r="AF2097" s="7" t="s">
        <v>0</v>
      </c>
      <c r="AG2097" s="7" t="s">
        <v>0</v>
      </c>
      <c r="AH2097" s="9" t="s">
        <v>13963</v>
      </c>
      <c r="AI2097" s="9" t="s">
        <v>13964</v>
      </c>
      <c r="AJ2097" s="9" t="s">
        <v>13965</v>
      </c>
      <c r="AK2097" s="7" t="s">
        <v>61</v>
      </c>
      <c r="AL2097" s="7" t="s">
        <v>61</v>
      </c>
      <c r="AM2097" s="7" t="s">
        <v>0</v>
      </c>
      <c r="AN2097" s="7" t="s">
        <v>0</v>
      </c>
      <c r="AO2097" s="7" t="s">
        <v>0</v>
      </c>
      <c r="AP2097" s="7" t="s">
        <v>0</v>
      </c>
      <c r="AQ2097" s="7" t="s">
        <v>61</v>
      </c>
      <c r="AR2097" s="7" t="s">
        <v>0</v>
      </c>
      <c r="AS2097" s="10" t="str">
        <f>HYPERLINK("https://tessa.gazprom-neft.local/edo/card/e91f3e10-25e5-4327-9a05-9ca6d97a8721", "https://tessa.gazprom-neft.local/edo/card/e91f3e10-25e5-4327-9a05-9ca6d97a8721")</f>
        <v>https://tessa.gazprom-neft.local/edo/card/e91f3e10-25e5-4327-9a05-9ca6d97a8721</v>
      </c>
    </row>
    <row r="2098" spans="1:45" hidden="1" x14ac:dyDescent="0.25">
      <c r="A2098" s="6" t="s">
        <v>44</v>
      </c>
      <c r="B2098" s="7" t="s">
        <v>3503</v>
      </c>
      <c r="C2098" s="7" t="s">
        <v>67</v>
      </c>
      <c r="D2098" s="8">
        <v>44554</v>
      </c>
      <c r="E2098" s="8" t="s">
        <v>0</v>
      </c>
      <c r="F2098" s="16" t="s">
        <v>3504</v>
      </c>
      <c r="G2098" s="7" t="s">
        <v>3505</v>
      </c>
      <c r="H2098" s="7" t="s">
        <v>0</v>
      </c>
      <c r="I2098" s="7" t="s">
        <v>9561</v>
      </c>
      <c r="J2098" s="7" t="s">
        <v>9561</v>
      </c>
      <c r="K2098" s="7" t="s">
        <v>47</v>
      </c>
      <c r="L2098" s="7" t="s">
        <v>96</v>
      </c>
      <c r="M2098" s="7" t="s">
        <v>0</v>
      </c>
      <c r="N2098" s="7" t="s">
        <v>9560</v>
      </c>
      <c r="O2098" s="7" t="s">
        <v>0</v>
      </c>
      <c r="P2098" s="7" t="s">
        <v>366</v>
      </c>
      <c r="Q2098" s="7" t="s">
        <v>9562</v>
      </c>
      <c r="R2098" s="7" t="s">
        <v>1256</v>
      </c>
      <c r="S2098" s="7" t="s">
        <v>1256</v>
      </c>
      <c r="T2098" s="7" t="s">
        <v>54</v>
      </c>
      <c r="U2098" s="7" t="s">
        <v>591</v>
      </c>
      <c r="V2098" s="7" t="s">
        <v>723</v>
      </c>
      <c r="W2098" s="7" t="s">
        <v>57</v>
      </c>
      <c r="X2098" s="7" t="s">
        <v>103</v>
      </c>
      <c r="Y2098" s="8">
        <v>44554</v>
      </c>
      <c r="Z2098" s="8">
        <v>45016</v>
      </c>
      <c r="AA2098" s="7" t="s">
        <v>1031</v>
      </c>
      <c r="AB2098" s="7" t="s">
        <v>387</v>
      </c>
      <c r="AC2098" s="7" t="s">
        <v>79</v>
      </c>
      <c r="AD2098" s="7" t="s">
        <v>367</v>
      </c>
      <c r="AE2098" s="7" t="s">
        <v>82</v>
      </c>
      <c r="AF2098" s="7" t="s">
        <v>0</v>
      </c>
      <c r="AG2098" s="7" t="s">
        <v>0</v>
      </c>
      <c r="AH2098" s="9" t="s">
        <v>13980</v>
      </c>
      <c r="AI2098" s="9" t="s">
        <v>13981</v>
      </c>
      <c r="AJ2098" s="9" t="s">
        <v>13982</v>
      </c>
      <c r="AK2098" s="7" t="s">
        <v>61</v>
      </c>
      <c r="AL2098" s="7" t="s">
        <v>61</v>
      </c>
      <c r="AM2098" s="7" t="s">
        <v>0</v>
      </c>
      <c r="AN2098" s="7" t="s">
        <v>0</v>
      </c>
      <c r="AO2098" s="7" t="s">
        <v>0</v>
      </c>
      <c r="AP2098" s="7" t="s">
        <v>0</v>
      </c>
      <c r="AQ2098" s="7" t="s">
        <v>61</v>
      </c>
      <c r="AR2098" s="7" t="s">
        <v>0</v>
      </c>
      <c r="AS2098" s="10" t="str">
        <f>HYPERLINK("https://tessa.gazprom-neft.local/edo/card/71e8df24-96de-4b79-b534-e8b923358261", "https://tessa.gazprom-neft.local/edo/card/71e8df24-96de-4b79-b534-e8b923358261")</f>
        <v>https://tessa.gazprom-neft.local/edo/card/71e8df24-96de-4b79-b534-e8b923358261</v>
      </c>
    </row>
    <row r="2099" spans="1:45" hidden="1" x14ac:dyDescent="0.25">
      <c r="A2099" s="6" t="s">
        <v>44</v>
      </c>
      <c r="B2099" s="7" t="s">
        <v>297</v>
      </c>
      <c r="C2099" s="7" t="s">
        <v>67</v>
      </c>
      <c r="D2099" s="8">
        <v>44554</v>
      </c>
      <c r="E2099" s="8" t="s">
        <v>0</v>
      </c>
      <c r="F2099" s="16" t="s">
        <v>298</v>
      </c>
      <c r="G2099" s="7" t="s">
        <v>299</v>
      </c>
      <c r="H2099" s="7" t="s">
        <v>0</v>
      </c>
      <c r="I2099" s="7" t="s">
        <v>9609</v>
      </c>
      <c r="J2099" s="7" t="s">
        <v>9609</v>
      </c>
      <c r="K2099" s="7" t="s">
        <v>47</v>
      </c>
      <c r="L2099" s="7" t="s">
        <v>96</v>
      </c>
      <c r="M2099" s="7" t="s">
        <v>0</v>
      </c>
      <c r="N2099" s="7" t="s">
        <v>9608</v>
      </c>
      <c r="O2099" s="7" t="s">
        <v>0</v>
      </c>
      <c r="P2099" s="7" t="s">
        <v>9610</v>
      </c>
      <c r="Q2099" s="7" t="s">
        <v>9611</v>
      </c>
      <c r="R2099" s="7" t="s">
        <v>1924</v>
      </c>
      <c r="S2099" s="7" t="s">
        <v>1924</v>
      </c>
      <c r="T2099" s="7" t="s">
        <v>54</v>
      </c>
      <c r="U2099" s="7" t="s">
        <v>73</v>
      </c>
      <c r="V2099" s="7" t="s">
        <v>56</v>
      </c>
      <c r="W2099" s="7" t="s">
        <v>57</v>
      </c>
      <c r="X2099" s="7" t="s">
        <v>103</v>
      </c>
      <c r="Y2099" s="8">
        <v>44562</v>
      </c>
      <c r="Z2099" s="8">
        <v>45016</v>
      </c>
      <c r="AA2099" s="7" t="s">
        <v>0</v>
      </c>
      <c r="AB2099" s="7" t="s">
        <v>366</v>
      </c>
      <c r="AC2099" s="7" t="s">
        <v>278</v>
      </c>
      <c r="AD2099" s="7" t="s">
        <v>367</v>
      </c>
      <c r="AE2099" s="7" t="s">
        <v>82</v>
      </c>
      <c r="AF2099" s="7" t="s">
        <v>0</v>
      </c>
      <c r="AG2099" s="7" t="s">
        <v>0</v>
      </c>
      <c r="AH2099" s="9" t="s">
        <v>14008</v>
      </c>
      <c r="AI2099" s="9" t="s">
        <v>14009</v>
      </c>
      <c r="AJ2099" s="9" t="s">
        <v>14010</v>
      </c>
      <c r="AK2099" s="7" t="s">
        <v>61</v>
      </c>
      <c r="AL2099" s="7" t="s">
        <v>61</v>
      </c>
      <c r="AM2099" s="7" t="s">
        <v>0</v>
      </c>
      <c r="AN2099" s="7" t="s">
        <v>0</v>
      </c>
      <c r="AO2099" s="7" t="s">
        <v>0</v>
      </c>
      <c r="AP2099" s="7" t="s">
        <v>0</v>
      </c>
      <c r="AQ2099" s="7" t="s">
        <v>61</v>
      </c>
      <c r="AR2099" s="7" t="s">
        <v>0</v>
      </c>
      <c r="AS2099" s="10" t="str">
        <f>HYPERLINK("https://tessa.gazprom-neft.local/edo/card/7596f8ac-319c-4d00-b956-bf5eafea8fa0", "https://tessa.gazprom-neft.local/edo/card/7596f8ac-319c-4d00-b956-bf5eafea8fa0")</f>
        <v>https://tessa.gazprom-neft.local/edo/card/7596f8ac-319c-4d00-b956-bf5eafea8fa0</v>
      </c>
    </row>
    <row r="2100" spans="1:45" hidden="1" x14ac:dyDescent="0.25">
      <c r="A2100" s="6" t="s">
        <v>44</v>
      </c>
      <c r="B2100" s="7" t="s">
        <v>1925</v>
      </c>
      <c r="C2100" s="7" t="s">
        <v>67</v>
      </c>
      <c r="D2100" s="8">
        <v>44553</v>
      </c>
      <c r="E2100" s="8" t="s">
        <v>0</v>
      </c>
      <c r="F2100" s="16" t="s">
        <v>1926</v>
      </c>
      <c r="G2100" s="7" t="s">
        <v>1927</v>
      </c>
      <c r="H2100" s="7" t="s">
        <v>0</v>
      </c>
      <c r="I2100" s="7" t="s">
        <v>8067</v>
      </c>
      <c r="J2100" s="7" t="s">
        <v>8067</v>
      </c>
      <c r="K2100" s="7" t="s">
        <v>47</v>
      </c>
      <c r="L2100" s="7" t="s">
        <v>96</v>
      </c>
      <c r="M2100" s="7" t="s">
        <v>0</v>
      </c>
      <c r="N2100" s="7" t="s">
        <v>9186</v>
      </c>
      <c r="O2100" s="7" t="s">
        <v>0</v>
      </c>
      <c r="P2100" s="7" t="s">
        <v>9187</v>
      </c>
      <c r="Q2100" s="7" t="s">
        <v>9188</v>
      </c>
      <c r="R2100" s="7" t="s">
        <v>1924</v>
      </c>
      <c r="S2100" s="7" t="s">
        <v>1924</v>
      </c>
      <c r="T2100" s="7" t="s">
        <v>54</v>
      </c>
      <c r="U2100" s="7" t="s">
        <v>73</v>
      </c>
      <c r="V2100" s="7" t="s">
        <v>56</v>
      </c>
      <c r="W2100" s="7" t="s">
        <v>57</v>
      </c>
      <c r="X2100" s="7" t="s">
        <v>103</v>
      </c>
      <c r="Y2100" s="8">
        <v>44553</v>
      </c>
      <c r="Z2100" s="8">
        <v>45291</v>
      </c>
      <c r="AA2100" s="7" t="s">
        <v>0</v>
      </c>
      <c r="AB2100" s="7" t="s">
        <v>366</v>
      </c>
      <c r="AC2100" s="7" t="s">
        <v>278</v>
      </c>
      <c r="AD2100" s="7" t="s">
        <v>367</v>
      </c>
      <c r="AE2100" s="7" t="s">
        <v>82</v>
      </c>
      <c r="AF2100" s="7" t="s">
        <v>0</v>
      </c>
      <c r="AG2100" s="7" t="s">
        <v>0</v>
      </c>
      <c r="AH2100" s="9" t="s">
        <v>13831</v>
      </c>
      <c r="AI2100" s="9" t="s">
        <v>13832</v>
      </c>
      <c r="AJ2100" s="9" t="s">
        <v>13833</v>
      </c>
      <c r="AK2100" s="7" t="s">
        <v>61</v>
      </c>
      <c r="AL2100" s="7" t="s">
        <v>61</v>
      </c>
      <c r="AM2100" s="7" t="s">
        <v>0</v>
      </c>
      <c r="AN2100" s="7" t="s">
        <v>0</v>
      </c>
      <c r="AO2100" s="7" t="s">
        <v>0</v>
      </c>
      <c r="AP2100" s="7" t="s">
        <v>0</v>
      </c>
      <c r="AQ2100" s="7" t="s">
        <v>61</v>
      </c>
      <c r="AR2100" s="7" t="s">
        <v>0</v>
      </c>
      <c r="AS2100" s="10" t="str">
        <f>HYPERLINK("https://tessa.gazprom-neft.local/edo/card/4cfdb187-bf1b-4004-9049-1e972b8571dc", "https://tessa.gazprom-neft.local/edo/card/4cfdb187-bf1b-4004-9049-1e972b8571dc")</f>
        <v>https://tessa.gazprom-neft.local/edo/card/4cfdb187-bf1b-4004-9049-1e972b8571dc</v>
      </c>
    </row>
    <row r="2101" spans="1:45" x14ac:dyDescent="0.25">
      <c r="A2101" s="6" t="s">
        <v>44</v>
      </c>
      <c r="B2101" s="7" t="s">
        <v>2132</v>
      </c>
      <c r="C2101" s="7" t="s">
        <v>67</v>
      </c>
      <c r="D2101" s="8">
        <v>44553</v>
      </c>
      <c r="E2101" s="8" t="s">
        <v>0</v>
      </c>
      <c r="F2101" s="16" t="s">
        <v>2133</v>
      </c>
      <c r="G2101" s="7" t="s">
        <v>739</v>
      </c>
      <c r="H2101" s="7" t="s">
        <v>2249</v>
      </c>
      <c r="I2101" s="7" t="s">
        <v>0</v>
      </c>
      <c r="J2101" s="7" t="s">
        <v>51</v>
      </c>
      <c r="K2101" s="7" t="s">
        <v>47</v>
      </c>
      <c r="L2101" s="7" t="s">
        <v>48</v>
      </c>
      <c r="M2101" s="7" t="s">
        <v>0</v>
      </c>
      <c r="N2101" s="7" t="s">
        <v>9356</v>
      </c>
      <c r="O2101" s="7" t="s">
        <v>0</v>
      </c>
      <c r="P2101" s="7" t="s">
        <v>9357</v>
      </c>
      <c r="Q2101" s="7" t="s">
        <v>9358</v>
      </c>
      <c r="R2101" s="7" t="s">
        <v>898</v>
      </c>
      <c r="S2101" s="7" t="s">
        <v>898</v>
      </c>
      <c r="T2101" s="7" t="s">
        <v>54</v>
      </c>
      <c r="U2101" s="7" t="s">
        <v>899</v>
      </c>
      <c r="V2101" s="7" t="s">
        <v>137</v>
      </c>
      <c r="W2101" s="7" t="s">
        <v>57</v>
      </c>
      <c r="X2101" s="7" t="s">
        <v>103</v>
      </c>
      <c r="Y2101" s="8">
        <v>44553</v>
      </c>
      <c r="Z2101" s="8">
        <v>45657</v>
      </c>
      <c r="AA2101" s="7" t="s">
        <v>0</v>
      </c>
      <c r="AB2101" s="7" t="s">
        <v>64</v>
      </c>
      <c r="AC2101" s="7" t="s">
        <v>65</v>
      </c>
      <c r="AD2101" s="7" t="s">
        <v>80</v>
      </c>
      <c r="AE2101" s="7" t="s">
        <v>0</v>
      </c>
      <c r="AF2101" s="7" t="s">
        <v>0</v>
      </c>
      <c r="AG2101" s="7" t="s">
        <v>0</v>
      </c>
      <c r="AH2101" s="9" t="s">
        <v>0</v>
      </c>
      <c r="AI2101" s="9" t="s">
        <v>0</v>
      </c>
      <c r="AJ2101" s="9" t="s">
        <v>0</v>
      </c>
      <c r="AK2101" s="7" t="s">
        <v>61</v>
      </c>
      <c r="AL2101" s="7" t="s">
        <v>61</v>
      </c>
      <c r="AM2101" s="7" t="s">
        <v>0</v>
      </c>
      <c r="AN2101" s="7" t="s">
        <v>0</v>
      </c>
      <c r="AO2101" s="7" t="s">
        <v>0</v>
      </c>
      <c r="AP2101" s="7" t="s">
        <v>0</v>
      </c>
      <c r="AQ2101" s="7" t="s">
        <v>61</v>
      </c>
      <c r="AR2101" s="7" t="s">
        <v>0</v>
      </c>
      <c r="AS2101" s="10" t="str">
        <f>HYPERLINK("https://tessa.gazprom-neft.local/edo/card/8932f987-343f-4144-bb65-5b5721756175", "https://tessa.gazprom-neft.local/edo/card/8932f987-343f-4144-bb65-5b5721756175")</f>
        <v>https://tessa.gazprom-neft.local/edo/card/8932f987-343f-4144-bb65-5b5721756175</v>
      </c>
    </row>
    <row r="2102" spans="1:45" hidden="1" x14ac:dyDescent="0.25">
      <c r="A2102" s="6" t="s">
        <v>44</v>
      </c>
      <c r="B2102" s="7" t="s">
        <v>374</v>
      </c>
      <c r="C2102" s="7" t="s">
        <v>46</v>
      </c>
      <c r="D2102" s="8">
        <v>44553</v>
      </c>
      <c r="E2102" s="8" t="s">
        <v>0</v>
      </c>
      <c r="F2102" s="16" t="s">
        <v>375</v>
      </c>
      <c r="G2102" s="7" t="s">
        <v>376</v>
      </c>
      <c r="H2102" s="7" t="s">
        <v>0</v>
      </c>
      <c r="I2102" s="7" t="s">
        <v>9371</v>
      </c>
      <c r="J2102" s="7" t="s">
        <v>9371</v>
      </c>
      <c r="K2102" s="7" t="s">
        <v>47</v>
      </c>
      <c r="L2102" s="7" t="s">
        <v>96</v>
      </c>
      <c r="M2102" s="7" t="s">
        <v>0</v>
      </c>
      <c r="N2102" s="7" t="s">
        <v>9370</v>
      </c>
      <c r="O2102" s="7" t="s">
        <v>0</v>
      </c>
      <c r="P2102" s="7" t="s">
        <v>9372</v>
      </c>
      <c r="Q2102" s="7" t="s">
        <v>9373</v>
      </c>
      <c r="R2102" s="7" t="s">
        <v>1403</v>
      </c>
      <c r="S2102" s="7" t="s">
        <v>1403</v>
      </c>
      <c r="T2102" s="7" t="s">
        <v>54</v>
      </c>
      <c r="U2102" s="7" t="s">
        <v>303</v>
      </c>
      <c r="V2102" s="7" t="s">
        <v>91</v>
      </c>
      <c r="W2102" s="7" t="s">
        <v>57</v>
      </c>
      <c r="X2102" s="7" t="s">
        <v>103</v>
      </c>
      <c r="Y2102" s="8">
        <v>44562</v>
      </c>
      <c r="Z2102" s="8">
        <v>44926</v>
      </c>
      <c r="AA2102" s="7" t="s">
        <v>0</v>
      </c>
      <c r="AB2102" s="7" t="s">
        <v>64</v>
      </c>
      <c r="AC2102" s="7" t="s">
        <v>79</v>
      </c>
      <c r="AD2102" s="7" t="s">
        <v>80</v>
      </c>
      <c r="AE2102" s="7" t="s">
        <v>82</v>
      </c>
      <c r="AF2102" s="7" t="s">
        <v>0</v>
      </c>
      <c r="AG2102" s="7" t="s">
        <v>0</v>
      </c>
      <c r="AH2102" s="9" t="s">
        <v>13899</v>
      </c>
      <c r="AI2102" s="9" t="s">
        <v>13900</v>
      </c>
      <c r="AJ2102" s="9" t="s">
        <v>13901</v>
      </c>
      <c r="AK2102" s="7" t="s">
        <v>61</v>
      </c>
      <c r="AL2102" s="7" t="s">
        <v>61</v>
      </c>
      <c r="AM2102" s="7" t="s">
        <v>0</v>
      </c>
      <c r="AN2102" s="7" t="s">
        <v>0</v>
      </c>
      <c r="AO2102" s="7" t="s">
        <v>0</v>
      </c>
      <c r="AP2102" s="7" t="s">
        <v>0</v>
      </c>
      <c r="AQ2102" s="7" t="s">
        <v>61</v>
      </c>
      <c r="AR2102" s="7" t="s">
        <v>0</v>
      </c>
      <c r="AS2102" s="10" t="str">
        <f>HYPERLINK("https://tessa.gazprom-neft.local/edo/card/a8e5810d-0e29-470f-86d3-ad89eba49be4", "https://tessa.gazprom-neft.local/edo/card/a8e5810d-0e29-470f-86d3-ad89eba49be4")</f>
        <v>https://tessa.gazprom-neft.local/edo/card/a8e5810d-0e29-470f-86d3-ad89eba49be4</v>
      </c>
    </row>
    <row r="2103" spans="1:45" hidden="1" x14ac:dyDescent="0.25">
      <c r="A2103" s="6" t="s">
        <v>44</v>
      </c>
      <c r="B2103" s="7" t="s">
        <v>245</v>
      </c>
      <c r="C2103" s="7" t="s">
        <v>67</v>
      </c>
      <c r="D2103" s="8">
        <v>44553</v>
      </c>
      <c r="E2103" s="8" t="s">
        <v>0</v>
      </c>
      <c r="F2103" s="16" t="s">
        <v>246</v>
      </c>
      <c r="G2103" s="7" t="s">
        <v>247</v>
      </c>
      <c r="H2103" s="7" t="s">
        <v>9387</v>
      </c>
      <c r="I2103" s="7" t="s">
        <v>0</v>
      </c>
      <c r="J2103" s="7" t="s">
        <v>9389</v>
      </c>
      <c r="K2103" s="7" t="s">
        <v>47</v>
      </c>
      <c r="L2103" s="7" t="s">
        <v>239</v>
      </c>
      <c r="M2103" s="7" t="s">
        <v>0</v>
      </c>
      <c r="N2103" s="7" t="s">
        <v>9386</v>
      </c>
      <c r="O2103" s="7" t="s">
        <v>0</v>
      </c>
      <c r="P2103" s="7" t="s">
        <v>9388</v>
      </c>
      <c r="Q2103" s="7" t="s">
        <v>9390</v>
      </c>
      <c r="R2103" s="7" t="s">
        <v>1256</v>
      </c>
      <c r="S2103" s="7" t="s">
        <v>1256</v>
      </c>
      <c r="T2103" s="7" t="s">
        <v>54</v>
      </c>
      <c r="U2103" s="7" t="s">
        <v>591</v>
      </c>
      <c r="V2103" s="7" t="s">
        <v>382</v>
      </c>
      <c r="W2103" s="7" t="s">
        <v>57</v>
      </c>
      <c r="X2103" s="7" t="s">
        <v>103</v>
      </c>
      <c r="Y2103" s="8">
        <v>44551</v>
      </c>
      <c r="Z2103" s="8">
        <v>44561</v>
      </c>
      <c r="AA2103" s="7" t="s">
        <v>1656</v>
      </c>
      <c r="AB2103" s="7" t="s">
        <v>387</v>
      </c>
      <c r="AC2103" s="7" t="s">
        <v>79</v>
      </c>
      <c r="AD2103" s="7" t="s">
        <v>80</v>
      </c>
      <c r="AE2103" s="7" t="s">
        <v>82</v>
      </c>
      <c r="AF2103" s="7" t="s">
        <v>0</v>
      </c>
      <c r="AG2103" s="7" t="s">
        <v>0</v>
      </c>
      <c r="AH2103" s="9" t="s">
        <v>13911</v>
      </c>
      <c r="AI2103" s="9" t="s">
        <v>13912</v>
      </c>
      <c r="AJ2103" s="9" t="s">
        <v>13913</v>
      </c>
      <c r="AK2103" s="7" t="s">
        <v>61</v>
      </c>
      <c r="AL2103" s="7" t="s">
        <v>61</v>
      </c>
      <c r="AM2103" s="7" t="s">
        <v>0</v>
      </c>
      <c r="AN2103" s="7" t="s">
        <v>0</v>
      </c>
      <c r="AO2103" s="7" t="s">
        <v>0</v>
      </c>
      <c r="AP2103" s="7" t="s">
        <v>0</v>
      </c>
      <c r="AQ2103" s="7" t="s">
        <v>61</v>
      </c>
      <c r="AR2103" s="7" t="s">
        <v>0</v>
      </c>
      <c r="AS2103" s="10" t="str">
        <f>HYPERLINK("https://tessa.gazprom-neft.local/edo/card/d0353549-9c5e-4bb9-83ec-96a8df7e18ab", "https://tessa.gazprom-neft.local/edo/card/d0353549-9c5e-4bb9-83ec-96a8df7e18ab")</f>
        <v>https://tessa.gazprom-neft.local/edo/card/d0353549-9c5e-4bb9-83ec-96a8df7e18ab</v>
      </c>
    </row>
    <row r="2104" spans="1:45" x14ac:dyDescent="0.25">
      <c r="A2104" s="6" t="s">
        <v>44</v>
      </c>
      <c r="B2104" s="7" t="s">
        <v>127</v>
      </c>
      <c r="C2104" s="7" t="s">
        <v>67</v>
      </c>
      <c r="D2104" s="8">
        <v>44553</v>
      </c>
      <c r="E2104" s="8" t="s">
        <v>0</v>
      </c>
      <c r="F2104" s="16" t="s">
        <v>128</v>
      </c>
      <c r="G2104" s="7" t="s">
        <v>129</v>
      </c>
      <c r="H2104" s="7" t="s">
        <v>1661</v>
      </c>
      <c r="I2104" s="7" t="s">
        <v>0</v>
      </c>
      <c r="J2104" s="7" t="s">
        <v>355</v>
      </c>
      <c r="K2104" s="7" t="s">
        <v>47</v>
      </c>
      <c r="L2104" s="7" t="s">
        <v>48</v>
      </c>
      <c r="M2104" s="7" t="s">
        <v>0</v>
      </c>
      <c r="N2104" s="7" t="s">
        <v>9394</v>
      </c>
      <c r="O2104" s="7" t="s">
        <v>0</v>
      </c>
      <c r="P2104" s="7" t="s">
        <v>9395</v>
      </c>
      <c r="Q2104" s="7" t="s">
        <v>9396</v>
      </c>
      <c r="R2104" s="7" t="s">
        <v>1551</v>
      </c>
      <c r="S2104" s="7" t="s">
        <v>1551</v>
      </c>
      <c r="T2104" s="7" t="s">
        <v>54</v>
      </c>
      <c r="U2104" s="7" t="s">
        <v>210</v>
      </c>
      <c r="V2104" s="7" t="s">
        <v>211</v>
      </c>
      <c r="W2104" s="7" t="s">
        <v>57</v>
      </c>
      <c r="X2104" s="7" t="s">
        <v>58</v>
      </c>
      <c r="Y2104" s="8">
        <v>44553</v>
      </c>
      <c r="Z2104" s="8" t="s">
        <v>0</v>
      </c>
      <c r="AA2104" s="7" t="s">
        <v>212</v>
      </c>
      <c r="AB2104" s="7" t="s">
        <v>130</v>
      </c>
      <c r="AC2104" s="7" t="s">
        <v>65</v>
      </c>
      <c r="AD2104" s="7" t="s">
        <v>80</v>
      </c>
      <c r="AE2104" s="7" t="s">
        <v>0</v>
      </c>
      <c r="AF2104" s="7" t="s">
        <v>0</v>
      </c>
      <c r="AG2104" s="7" t="s">
        <v>0</v>
      </c>
      <c r="AH2104" s="9" t="s">
        <v>0</v>
      </c>
      <c r="AI2104" s="9" t="s">
        <v>0</v>
      </c>
      <c r="AJ2104" s="9" t="s">
        <v>0</v>
      </c>
      <c r="AK2104" s="7" t="s">
        <v>61</v>
      </c>
      <c r="AL2104" s="7" t="s">
        <v>61</v>
      </c>
      <c r="AM2104" s="7" t="s">
        <v>0</v>
      </c>
      <c r="AN2104" s="7" t="s">
        <v>0</v>
      </c>
      <c r="AO2104" s="7" t="s">
        <v>0</v>
      </c>
      <c r="AP2104" s="7" t="s">
        <v>0</v>
      </c>
      <c r="AQ2104" s="7" t="s">
        <v>61</v>
      </c>
      <c r="AR2104" s="7" t="s">
        <v>0</v>
      </c>
      <c r="AS2104" s="10" t="str">
        <f>HYPERLINK("https://tessa.gazprom-neft.local/edo/card/b22ea2a1-f69d-4b79-9cb8-1f8aaff9ae0e", "https://tessa.gazprom-neft.local/edo/card/b22ea2a1-f69d-4b79-9cb8-1f8aaff9ae0e")</f>
        <v>https://tessa.gazprom-neft.local/edo/card/b22ea2a1-f69d-4b79-9cb8-1f8aaff9ae0e</v>
      </c>
    </row>
    <row r="2105" spans="1:45" x14ac:dyDescent="0.25">
      <c r="A2105" s="6" t="s">
        <v>44</v>
      </c>
      <c r="B2105" s="7" t="s">
        <v>3248</v>
      </c>
      <c r="C2105" s="7" t="s">
        <v>67</v>
      </c>
      <c r="D2105" s="8">
        <v>44553</v>
      </c>
      <c r="E2105" s="8" t="s">
        <v>0</v>
      </c>
      <c r="F2105" s="16" t="s">
        <v>3249</v>
      </c>
      <c r="G2105" s="7" t="s">
        <v>3250</v>
      </c>
      <c r="H2105" s="7" t="s">
        <v>9510</v>
      </c>
      <c r="I2105" s="7" t="s">
        <v>0</v>
      </c>
      <c r="J2105" s="7" t="s">
        <v>9512</v>
      </c>
      <c r="K2105" s="7" t="s">
        <v>47</v>
      </c>
      <c r="L2105" s="7" t="s">
        <v>48</v>
      </c>
      <c r="M2105" s="7" t="s">
        <v>0</v>
      </c>
      <c r="N2105" s="7" t="s">
        <v>9509</v>
      </c>
      <c r="O2105" s="7" t="s">
        <v>0</v>
      </c>
      <c r="P2105" s="7" t="s">
        <v>9511</v>
      </c>
      <c r="Q2105" s="7" t="s">
        <v>9513</v>
      </c>
      <c r="R2105" s="7" t="s">
        <v>938</v>
      </c>
      <c r="S2105" s="7" t="s">
        <v>1711</v>
      </c>
      <c r="T2105" s="7" t="s">
        <v>54</v>
      </c>
      <c r="U2105" s="7" t="s">
        <v>605</v>
      </c>
      <c r="V2105" s="7" t="s">
        <v>137</v>
      </c>
      <c r="W2105" s="7" t="s">
        <v>57</v>
      </c>
      <c r="X2105" s="7" t="s">
        <v>223</v>
      </c>
      <c r="Y2105" s="8">
        <v>44484</v>
      </c>
      <c r="Z2105" s="8" t="s">
        <v>0</v>
      </c>
      <c r="AA2105" s="7" t="s">
        <v>0</v>
      </c>
      <c r="AB2105" s="7" t="s">
        <v>1419</v>
      </c>
      <c r="AC2105" s="7" t="s">
        <v>65</v>
      </c>
      <c r="AD2105" s="7" t="s">
        <v>0</v>
      </c>
      <c r="AE2105" s="7" t="s">
        <v>0</v>
      </c>
      <c r="AF2105" s="7" t="s">
        <v>0</v>
      </c>
      <c r="AG2105" s="7" t="s">
        <v>0</v>
      </c>
      <c r="AH2105" s="9" t="s">
        <v>0</v>
      </c>
      <c r="AI2105" s="9" t="s">
        <v>0</v>
      </c>
      <c r="AJ2105" s="9" t="s">
        <v>0</v>
      </c>
      <c r="AK2105" s="7" t="s">
        <v>61</v>
      </c>
      <c r="AL2105" s="7" t="s">
        <v>61</v>
      </c>
      <c r="AM2105" s="7" t="s">
        <v>0</v>
      </c>
      <c r="AN2105" s="7" t="s">
        <v>0</v>
      </c>
      <c r="AO2105" s="7" t="s">
        <v>0</v>
      </c>
      <c r="AP2105" s="7" t="s">
        <v>0</v>
      </c>
      <c r="AQ2105" s="7" t="s">
        <v>61</v>
      </c>
      <c r="AR2105" s="7" t="s">
        <v>0</v>
      </c>
      <c r="AS2105" s="10" t="str">
        <f>HYPERLINK("https://tessa.gazprom-neft.local/edo/card/90c53f78-2ae1-4fab-8a65-81cefa6aca50", "https://tessa.gazprom-neft.local/edo/card/90c53f78-2ae1-4fab-8a65-81cefa6aca50")</f>
        <v>https://tessa.gazprom-neft.local/edo/card/90c53f78-2ae1-4fab-8a65-81cefa6aca50</v>
      </c>
    </row>
    <row r="2106" spans="1:45" hidden="1" x14ac:dyDescent="0.25">
      <c r="A2106" s="6" t="s">
        <v>44</v>
      </c>
      <c r="B2106" s="7" t="s">
        <v>3503</v>
      </c>
      <c r="C2106" s="7" t="s">
        <v>46</v>
      </c>
      <c r="D2106" s="8">
        <v>44552</v>
      </c>
      <c r="E2106" s="8" t="s">
        <v>0</v>
      </c>
      <c r="F2106" s="16" t="s">
        <v>3504</v>
      </c>
      <c r="G2106" s="7" t="s">
        <v>3505</v>
      </c>
      <c r="H2106" s="7" t="s">
        <v>0</v>
      </c>
      <c r="I2106" s="7" t="s">
        <v>3502</v>
      </c>
      <c r="J2106" s="7" t="s">
        <v>3502</v>
      </c>
      <c r="K2106" s="7" t="s">
        <v>85</v>
      </c>
      <c r="L2106" s="7" t="s">
        <v>86</v>
      </c>
      <c r="M2106" s="7" t="s">
        <v>3500</v>
      </c>
      <c r="N2106" s="7" t="s">
        <v>3501</v>
      </c>
      <c r="O2106" s="7" t="s">
        <v>0</v>
      </c>
      <c r="P2106" s="7" t="s">
        <v>3500</v>
      </c>
      <c r="Q2106" s="7" t="s">
        <v>2226</v>
      </c>
      <c r="R2106" s="7" t="s">
        <v>1256</v>
      </c>
      <c r="S2106" s="7" t="s">
        <v>1256</v>
      </c>
      <c r="T2106" s="7" t="s">
        <v>54</v>
      </c>
      <c r="U2106" s="7" t="s">
        <v>591</v>
      </c>
      <c r="V2106" s="7" t="s">
        <v>91</v>
      </c>
      <c r="W2106" s="7" t="s">
        <v>57</v>
      </c>
      <c r="X2106" s="7" t="s">
        <v>58</v>
      </c>
      <c r="Y2106" s="8">
        <v>44554</v>
      </c>
      <c r="Z2106" s="8" t="s">
        <v>0</v>
      </c>
      <c r="AA2106" s="7" t="s">
        <v>92</v>
      </c>
      <c r="AB2106" s="7" t="s">
        <v>94</v>
      </c>
      <c r="AC2106" s="7" t="s">
        <v>65</v>
      </c>
      <c r="AD2106" s="7" t="s">
        <v>0</v>
      </c>
      <c r="AE2106" s="7" t="s">
        <v>0</v>
      </c>
      <c r="AF2106" s="7" t="s">
        <v>0</v>
      </c>
      <c r="AG2106" s="7" t="s">
        <v>0</v>
      </c>
      <c r="AH2106" s="9" t="s">
        <v>0</v>
      </c>
      <c r="AI2106" s="9" t="s">
        <v>0</v>
      </c>
      <c r="AJ2106" s="9" t="s">
        <v>0</v>
      </c>
      <c r="AK2106" s="7" t="s">
        <v>61</v>
      </c>
      <c r="AL2106" s="7" t="s">
        <v>61</v>
      </c>
      <c r="AM2106" s="7" t="s">
        <v>0</v>
      </c>
      <c r="AN2106" s="7" t="s">
        <v>0</v>
      </c>
      <c r="AO2106" s="7" t="s">
        <v>0</v>
      </c>
      <c r="AP2106" s="7" t="s">
        <v>0</v>
      </c>
      <c r="AQ2106" s="7" t="s">
        <v>61</v>
      </c>
      <c r="AR2106" s="7" t="s">
        <v>0</v>
      </c>
      <c r="AS2106" s="10" t="str">
        <f>HYPERLINK("https://tessa.gazprom-neft.local/edo/card/e5d60b6e-6773-4150-8e46-929fcb8c22f7", "https://tessa.gazprom-neft.local/edo/card/e5d60b6e-6773-4150-8e46-929fcb8c22f7")</f>
        <v>https://tessa.gazprom-neft.local/edo/card/e5d60b6e-6773-4150-8e46-929fcb8c22f7</v>
      </c>
    </row>
    <row r="2107" spans="1:45" hidden="1" x14ac:dyDescent="0.25">
      <c r="A2107" s="6" t="s">
        <v>44</v>
      </c>
      <c r="B2107" s="7" t="s">
        <v>275</v>
      </c>
      <c r="C2107" s="7" t="s">
        <v>46</v>
      </c>
      <c r="D2107" s="8">
        <v>44552</v>
      </c>
      <c r="E2107" s="8" t="s">
        <v>0</v>
      </c>
      <c r="F2107" s="16" t="s">
        <v>276</v>
      </c>
      <c r="G2107" s="7" t="s">
        <v>277</v>
      </c>
      <c r="H2107" s="7" t="s">
        <v>0</v>
      </c>
      <c r="I2107" s="7" t="s">
        <v>2920</v>
      </c>
      <c r="J2107" s="7" t="s">
        <v>2920</v>
      </c>
      <c r="K2107" s="7" t="s">
        <v>47</v>
      </c>
      <c r="L2107" s="7" t="s">
        <v>96</v>
      </c>
      <c r="M2107" s="7" t="s">
        <v>0</v>
      </c>
      <c r="N2107" s="7" t="s">
        <v>8747</v>
      </c>
      <c r="O2107" s="7" t="s">
        <v>0</v>
      </c>
      <c r="P2107" s="7" t="s">
        <v>8748</v>
      </c>
      <c r="Q2107" s="7" t="s">
        <v>8749</v>
      </c>
      <c r="R2107" s="7" t="s">
        <v>273</v>
      </c>
      <c r="S2107" s="7" t="s">
        <v>273</v>
      </c>
      <c r="T2107" s="7" t="s">
        <v>54</v>
      </c>
      <c r="U2107" s="7" t="s">
        <v>274</v>
      </c>
      <c r="V2107" s="7" t="s">
        <v>137</v>
      </c>
      <c r="W2107" s="7" t="s">
        <v>57</v>
      </c>
      <c r="X2107" s="7" t="s">
        <v>103</v>
      </c>
      <c r="Y2107" s="8">
        <v>44552</v>
      </c>
      <c r="Z2107" s="8">
        <v>45658</v>
      </c>
      <c r="AA2107" s="7" t="s">
        <v>0</v>
      </c>
      <c r="AB2107" s="7" t="s">
        <v>64</v>
      </c>
      <c r="AC2107" s="7" t="s">
        <v>65</v>
      </c>
      <c r="AD2107" s="7" t="s">
        <v>0</v>
      </c>
      <c r="AE2107" s="7" t="s">
        <v>0</v>
      </c>
      <c r="AF2107" s="7" t="s">
        <v>0</v>
      </c>
      <c r="AG2107" s="7" t="s">
        <v>0</v>
      </c>
      <c r="AH2107" s="9" t="s">
        <v>0</v>
      </c>
      <c r="AI2107" s="9" t="s">
        <v>0</v>
      </c>
      <c r="AJ2107" s="9" t="s">
        <v>0</v>
      </c>
      <c r="AK2107" s="7" t="s">
        <v>61</v>
      </c>
      <c r="AL2107" s="7" t="s">
        <v>61</v>
      </c>
      <c r="AM2107" s="7" t="s">
        <v>0</v>
      </c>
      <c r="AN2107" s="7" t="s">
        <v>0</v>
      </c>
      <c r="AO2107" s="7" t="s">
        <v>0</v>
      </c>
      <c r="AP2107" s="7" t="s">
        <v>0</v>
      </c>
      <c r="AQ2107" s="7" t="s">
        <v>61</v>
      </c>
      <c r="AR2107" s="7" t="s">
        <v>0</v>
      </c>
      <c r="AS2107" s="10" t="str">
        <f>HYPERLINK("https://tessa.gazprom-neft.local/edo/card/1472bd70-0e66-4f42-8da5-43c378b5f6d1", "https://tessa.gazprom-neft.local/edo/card/1472bd70-0e66-4f42-8da5-43c378b5f6d1")</f>
        <v>https://tessa.gazprom-neft.local/edo/card/1472bd70-0e66-4f42-8da5-43c378b5f6d1</v>
      </c>
    </row>
    <row r="2108" spans="1:45" x14ac:dyDescent="0.25">
      <c r="A2108" s="6" t="s">
        <v>44</v>
      </c>
      <c r="B2108" s="7" t="s">
        <v>818</v>
      </c>
      <c r="C2108" s="7" t="s">
        <v>67</v>
      </c>
      <c r="D2108" s="8">
        <v>44552</v>
      </c>
      <c r="E2108" s="8" t="s">
        <v>0</v>
      </c>
      <c r="F2108" s="16" t="s">
        <v>819</v>
      </c>
      <c r="G2108" s="7" t="s">
        <v>820</v>
      </c>
      <c r="H2108" s="7" t="s">
        <v>9128</v>
      </c>
      <c r="I2108" s="7" t="s">
        <v>0</v>
      </c>
      <c r="J2108" s="7" t="s">
        <v>3632</v>
      </c>
      <c r="K2108" s="7" t="s">
        <v>47</v>
      </c>
      <c r="L2108" s="7" t="s">
        <v>48</v>
      </c>
      <c r="M2108" s="7" t="s">
        <v>0</v>
      </c>
      <c r="N2108" s="7" t="s">
        <v>9127</v>
      </c>
      <c r="O2108" s="7" t="s">
        <v>0</v>
      </c>
      <c r="P2108" s="7" t="s">
        <v>1858</v>
      </c>
      <c r="Q2108" s="7" t="s">
        <v>9129</v>
      </c>
      <c r="R2108" s="7" t="s">
        <v>324</v>
      </c>
      <c r="S2108" s="7" t="s">
        <v>324</v>
      </c>
      <c r="T2108" s="7" t="s">
        <v>54</v>
      </c>
      <c r="U2108" s="7" t="s">
        <v>188</v>
      </c>
      <c r="V2108" s="7" t="s">
        <v>187</v>
      </c>
      <c r="W2108" s="7" t="s">
        <v>57</v>
      </c>
      <c r="X2108" s="7" t="s">
        <v>223</v>
      </c>
      <c r="Y2108" s="8">
        <v>44552</v>
      </c>
      <c r="Z2108" s="8" t="s">
        <v>0</v>
      </c>
      <c r="AA2108" s="7" t="s">
        <v>373</v>
      </c>
      <c r="AB2108" s="7" t="s">
        <v>64</v>
      </c>
      <c r="AC2108" s="7" t="s">
        <v>65</v>
      </c>
      <c r="AD2108" s="7" t="s">
        <v>0</v>
      </c>
      <c r="AE2108" s="7" t="s">
        <v>0</v>
      </c>
      <c r="AF2108" s="7" t="s">
        <v>0</v>
      </c>
      <c r="AG2108" s="7" t="s">
        <v>0</v>
      </c>
      <c r="AH2108" s="9" t="s">
        <v>0</v>
      </c>
      <c r="AI2108" s="9" t="s">
        <v>0</v>
      </c>
      <c r="AJ2108" s="9" t="s">
        <v>0</v>
      </c>
      <c r="AK2108" s="7" t="s">
        <v>61</v>
      </c>
      <c r="AL2108" s="7" t="s">
        <v>61</v>
      </c>
      <c r="AM2108" s="7" t="s">
        <v>0</v>
      </c>
      <c r="AN2108" s="7" t="s">
        <v>0</v>
      </c>
      <c r="AO2108" s="7" t="s">
        <v>0</v>
      </c>
      <c r="AP2108" s="7" t="s">
        <v>0</v>
      </c>
      <c r="AQ2108" s="7" t="s">
        <v>61</v>
      </c>
      <c r="AR2108" s="7" t="s">
        <v>0</v>
      </c>
      <c r="AS2108" s="10" t="str">
        <f>HYPERLINK("https://tessa.gazprom-neft.local/edo/card/baac4785-2b39-42b6-aa17-d0436e54c445", "https://tessa.gazprom-neft.local/edo/card/baac4785-2b39-42b6-aa17-d0436e54c445")</f>
        <v>https://tessa.gazprom-neft.local/edo/card/baac4785-2b39-42b6-aa17-d0436e54c445</v>
      </c>
    </row>
    <row r="2109" spans="1:45" x14ac:dyDescent="0.25">
      <c r="A2109" s="6" t="s">
        <v>44</v>
      </c>
      <c r="B2109" s="7" t="s">
        <v>245</v>
      </c>
      <c r="C2109" s="7" t="s">
        <v>67</v>
      </c>
      <c r="D2109" s="8">
        <v>44552</v>
      </c>
      <c r="E2109" s="8" t="s">
        <v>0</v>
      </c>
      <c r="F2109" s="16" t="s">
        <v>246</v>
      </c>
      <c r="G2109" s="7" t="s">
        <v>247</v>
      </c>
      <c r="H2109" s="7" t="s">
        <v>240</v>
      </c>
      <c r="I2109" s="7" t="s">
        <v>0</v>
      </c>
      <c r="J2109" s="7" t="s">
        <v>271</v>
      </c>
      <c r="K2109" s="7" t="s">
        <v>47</v>
      </c>
      <c r="L2109" s="7" t="s">
        <v>48</v>
      </c>
      <c r="M2109" s="7" t="s">
        <v>0</v>
      </c>
      <c r="N2109" s="7" t="s">
        <v>9403</v>
      </c>
      <c r="O2109" s="7" t="s">
        <v>9404</v>
      </c>
      <c r="P2109" s="7" t="s">
        <v>312</v>
      </c>
      <c r="Q2109" s="7" t="s">
        <v>9405</v>
      </c>
      <c r="R2109" s="7" t="s">
        <v>244</v>
      </c>
      <c r="S2109" s="7" t="s">
        <v>0</v>
      </c>
      <c r="T2109" s="7" t="s">
        <v>54</v>
      </c>
      <c r="U2109" s="7" t="s">
        <v>55</v>
      </c>
      <c r="V2109" s="7" t="s">
        <v>137</v>
      </c>
      <c r="W2109" s="7" t="s">
        <v>57</v>
      </c>
      <c r="X2109" s="7" t="s">
        <v>103</v>
      </c>
      <c r="Y2109" s="8">
        <v>44552</v>
      </c>
      <c r="Z2109" s="8">
        <v>44561</v>
      </c>
      <c r="AA2109" s="7" t="s">
        <v>0</v>
      </c>
      <c r="AB2109" s="7" t="s">
        <v>256</v>
      </c>
      <c r="AC2109" s="7" t="s">
        <v>65</v>
      </c>
      <c r="AD2109" s="7" t="s">
        <v>144</v>
      </c>
      <c r="AE2109" s="7" t="s">
        <v>0</v>
      </c>
      <c r="AF2109" s="7" t="s">
        <v>0</v>
      </c>
      <c r="AG2109" s="7" t="s">
        <v>0</v>
      </c>
      <c r="AH2109" s="9" t="s">
        <v>0</v>
      </c>
      <c r="AI2109" s="9" t="s">
        <v>0</v>
      </c>
      <c r="AJ2109" s="9" t="s">
        <v>0</v>
      </c>
      <c r="AK2109" s="7" t="s">
        <v>61</v>
      </c>
      <c r="AL2109" s="7" t="s">
        <v>61</v>
      </c>
      <c r="AM2109" s="7" t="s">
        <v>0</v>
      </c>
      <c r="AN2109" s="7" t="s">
        <v>0</v>
      </c>
      <c r="AO2109" s="7" t="s">
        <v>0</v>
      </c>
      <c r="AP2109" s="7" t="s">
        <v>0</v>
      </c>
      <c r="AQ2109" s="7" t="s">
        <v>61</v>
      </c>
      <c r="AR2109" s="7" t="s">
        <v>0</v>
      </c>
      <c r="AS2109" s="10" t="str">
        <f>HYPERLINK("https://tessa.gazprom-neft.local/edo/card/78e466ae-176c-4b17-990f-d5d12e1d654f", "https://tessa.gazprom-neft.local/edo/card/78e466ae-176c-4b17-990f-d5d12e1d654f")</f>
        <v>https://tessa.gazprom-neft.local/edo/card/78e466ae-176c-4b17-990f-d5d12e1d654f</v>
      </c>
    </row>
    <row r="2110" spans="1:45" x14ac:dyDescent="0.25">
      <c r="A2110" s="6" t="s">
        <v>44</v>
      </c>
      <c r="B2110" s="7" t="s">
        <v>469</v>
      </c>
      <c r="C2110" s="7" t="s">
        <v>67</v>
      </c>
      <c r="D2110" s="8">
        <v>44551</v>
      </c>
      <c r="E2110" s="8" t="s">
        <v>0</v>
      </c>
      <c r="F2110" s="16" t="s">
        <v>470</v>
      </c>
      <c r="G2110" s="7" t="s">
        <v>471</v>
      </c>
      <c r="H2110" s="7" t="s">
        <v>464</v>
      </c>
      <c r="I2110" s="7" t="s">
        <v>0</v>
      </c>
      <c r="J2110" s="7" t="s">
        <v>156</v>
      </c>
      <c r="K2110" s="7" t="s">
        <v>47</v>
      </c>
      <c r="L2110" s="7" t="s">
        <v>48</v>
      </c>
      <c r="M2110" s="7" t="s">
        <v>0</v>
      </c>
      <c r="N2110" s="7" t="s">
        <v>463</v>
      </c>
      <c r="O2110" s="7" t="s">
        <v>0</v>
      </c>
      <c r="P2110" s="7" t="s">
        <v>465</v>
      </c>
      <c r="Q2110" s="7" t="s">
        <v>466</v>
      </c>
      <c r="R2110" s="7" t="s">
        <v>467</v>
      </c>
      <c r="S2110" s="7" t="s">
        <v>467</v>
      </c>
      <c r="T2110" s="7" t="s">
        <v>54</v>
      </c>
      <c r="U2110" s="7" t="s">
        <v>468</v>
      </c>
      <c r="V2110" s="7" t="s">
        <v>137</v>
      </c>
      <c r="W2110" s="7" t="s">
        <v>57</v>
      </c>
      <c r="X2110" s="7" t="s">
        <v>103</v>
      </c>
      <c r="Y2110" s="8">
        <v>44551</v>
      </c>
      <c r="Z2110" s="8">
        <v>44743</v>
      </c>
      <c r="AA2110" s="7" t="s">
        <v>0</v>
      </c>
      <c r="AB2110" s="7" t="s">
        <v>64</v>
      </c>
      <c r="AC2110" s="7" t="s">
        <v>278</v>
      </c>
      <c r="AD2110" s="7" t="s">
        <v>144</v>
      </c>
      <c r="AE2110" s="7" t="s">
        <v>472</v>
      </c>
      <c r="AF2110" s="7" t="s">
        <v>119</v>
      </c>
      <c r="AG2110" s="7" t="s">
        <v>0</v>
      </c>
      <c r="AH2110" s="9">
        <v>0</v>
      </c>
      <c r="AI2110" s="9">
        <v>0</v>
      </c>
      <c r="AJ2110" s="9">
        <v>0</v>
      </c>
      <c r="AK2110" s="7" t="s">
        <v>61</v>
      </c>
      <c r="AL2110" s="7" t="s">
        <v>61</v>
      </c>
      <c r="AM2110" s="7" t="s">
        <v>0</v>
      </c>
      <c r="AN2110" s="7" t="s">
        <v>0</v>
      </c>
      <c r="AO2110" s="7" t="s">
        <v>0</v>
      </c>
      <c r="AP2110" s="7" t="s">
        <v>0</v>
      </c>
      <c r="AQ2110" s="7" t="s">
        <v>61</v>
      </c>
      <c r="AR2110" s="7" t="s">
        <v>0</v>
      </c>
      <c r="AS2110" s="10" t="str">
        <f>HYPERLINK("https://tessa.gazprom-neft.local/edo/card/c61284d1-198c-424c-982d-fee12b39caf1", "https://tessa.gazprom-neft.local/edo/card/c61284d1-198c-424c-982d-fee12b39caf1")</f>
        <v>https://tessa.gazprom-neft.local/edo/card/c61284d1-198c-424c-982d-fee12b39caf1</v>
      </c>
    </row>
    <row r="2111" spans="1:45" x14ac:dyDescent="0.25">
      <c r="A2111" s="6" t="s">
        <v>44</v>
      </c>
      <c r="B2111" s="7" t="s">
        <v>350</v>
      </c>
      <c r="C2111" s="7" t="s">
        <v>67</v>
      </c>
      <c r="D2111" s="8">
        <v>44550</v>
      </c>
      <c r="E2111" s="8" t="s">
        <v>0</v>
      </c>
      <c r="F2111" s="16" t="s">
        <v>351</v>
      </c>
      <c r="G2111" s="7" t="s">
        <v>352</v>
      </c>
      <c r="H2111" s="7" t="s">
        <v>346</v>
      </c>
      <c r="I2111" s="7" t="s">
        <v>0</v>
      </c>
      <c r="J2111" s="7" t="s">
        <v>51</v>
      </c>
      <c r="K2111" s="7" t="s">
        <v>47</v>
      </c>
      <c r="L2111" s="7" t="s">
        <v>48</v>
      </c>
      <c r="M2111" s="7" t="s">
        <v>0</v>
      </c>
      <c r="N2111" s="7" t="s">
        <v>345</v>
      </c>
      <c r="O2111" s="7" t="s">
        <v>0</v>
      </c>
      <c r="P2111" s="7" t="s">
        <v>347</v>
      </c>
      <c r="Q2111" s="7" t="s">
        <v>348</v>
      </c>
      <c r="R2111" s="7" t="s">
        <v>349</v>
      </c>
      <c r="S2111" s="7" t="s">
        <v>349</v>
      </c>
      <c r="T2111" s="7" t="s">
        <v>54</v>
      </c>
      <c r="U2111" s="7" t="s">
        <v>101</v>
      </c>
      <c r="V2111" s="7" t="s">
        <v>102</v>
      </c>
      <c r="W2111" s="7" t="s">
        <v>57</v>
      </c>
      <c r="X2111" s="7" t="s">
        <v>103</v>
      </c>
      <c r="Y2111" s="8">
        <v>44550</v>
      </c>
      <c r="Z2111" s="8">
        <v>45657</v>
      </c>
      <c r="AA2111" s="7" t="s">
        <v>104</v>
      </c>
      <c r="AB2111" s="7" t="s">
        <v>64</v>
      </c>
      <c r="AC2111" s="7" t="s">
        <v>79</v>
      </c>
      <c r="AD2111" s="7" t="s">
        <v>80</v>
      </c>
      <c r="AE2111" s="7" t="s">
        <v>118</v>
      </c>
      <c r="AF2111" s="7" t="s">
        <v>0</v>
      </c>
      <c r="AG2111" s="7" t="s">
        <v>0</v>
      </c>
      <c r="AH2111" s="9" t="s">
        <v>10727</v>
      </c>
      <c r="AI2111" s="9" t="s">
        <v>10727</v>
      </c>
      <c r="AJ2111" s="9">
        <v>0</v>
      </c>
      <c r="AK2111" s="7" t="s">
        <v>61</v>
      </c>
      <c r="AL2111" s="7" t="s">
        <v>61</v>
      </c>
      <c r="AM2111" s="7" t="s">
        <v>0</v>
      </c>
      <c r="AN2111" s="7" t="s">
        <v>0</v>
      </c>
      <c r="AO2111" s="7" t="s">
        <v>0</v>
      </c>
      <c r="AP2111" s="7" t="s">
        <v>0</v>
      </c>
      <c r="AQ2111" s="7" t="s">
        <v>61</v>
      </c>
      <c r="AR2111" s="7" t="s">
        <v>0</v>
      </c>
      <c r="AS2111" s="10" t="str">
        <f>HYPERLINK("https://tessa.gazprom-neft.local/edo/card/222a8430-47dc-48ca-88e9-707efd62c0d7", "https://tessa.gazprom-neft.local/edo/card/222a8430-47dc-48ca-88e9-707efd62c0d7")</f>
        <v>https://tessa.gazprom-neft.local/edo/card/222a8430-47dc-48ca-88e9-707efd62c0d7</v>
      </c>
    </row>
    <row r="2112" spans="1:45" hidden="1" x14ac:dyDescent="0.25">
      <c r="A2112" s="6" t="s">
        <v>44</v>
      </c>
      <c r="B2112" s="7" t="s">
        <v>1351</v>
      </c>
      <c r="C2112" s="7" t="s">
        <v>67</v>
      </c>
      <c r="D2112" s="8">
        <v>44550</v>
      </c>
      <c r="E2112" s="8" t="s">
        <v>0</v>
      </c>
      <c r="F2112" s="16" t="s">
        <v>1352</v>
      </c>
      <c r="G2112" s="7" t="s">
        <v>1353</v>
      </c>
      <c r="H2112" s="7" t="s">
        <v>0</v>
      </c>
      <c r="I2112" s="7" t="s">
        <v>1818</v>
      </c>
      <c r="J2112" s="7" t="s">
        <v>1818</v>
      </c>
      <c r="K2112" s="7" t="s">
        <v>47</v>
      </c>
      <c r="L2112" s="7" t="s">
        <v>96</v>
      </c>
      <c r="M2112" s="7" t="s">
        <v>0</v>
      </c>
      <c r="N2112" s="7" t="s">
        <v>9114</v>
      </c>
      <c r="O2112" s="7" t="s">
        <v>0</v>
      </c>
      <c r="P2112" s="7" t="s">
        <v>9115</v>
      </c>
      <c r="Q2112" s="7" t="s">
        <v>9116</v>
      </c>
      <c r="R2112" s="7" t="s">
        <v>1551</v>
      </c>
      <c r="S2112" s="7" t="s">
        <v>1551</v>
      </c>
      <c r="T2112" s="7" t="s">
        <v>54</v>
      </c>
      <c r="U2112" s="7" t="s">
        <v>210</v>
      </c>
      <c r="V2112" s="7" t="s">
        <v>211</v>
      </c>
      <c r="W2112" s="7" t="s">
        <v>57</v>
      </c>
      <c r="X2112" s="7" t="s">
        <v>103</v>
      </c>
      <c r="Y2112" s="8">
        <v>44550</v>
      </c>
      <c r="Z2112" s="8">
        <v>46022</v>
      </c>
      <c r="AA2112" s="7" t="s">
        <v>0</v>
      </c>
      <c r="AB2112" s="7" t="s">
        <v>804</v>
      </c>
      <c r="AC2112" s="7" t="s">
        <v>79</v>
      </c>
      <c r="AD2112" s="7" t="s">
        <v>144</v>
      </c>
      <c r="AE2112" s="7" t="s">
        <v>82</v>
      </c>
      <c r="AF2112" s="7" t="s">
        <v>0</v>
      </c>
      <c r="AG2112" s="7" t="s">
        <v>0</v>
      </c>
      <c r="AH2112" s="9" t="s">
        <v>13803</v>
      </c>
      <c r="AI2112" s="9" t="s">
        <v>13804</v>
      </c>
      <c r="AJ2112" s="9" t="s">
        <v>13805</v>
      </c>
      <c r="AK2112" s="7" t="s">
        <v>61</v>
      </c>
      <c r="AL2112" s="7" t="s">
        <v>61</v>
      </c>
      <c r="AM2112" s="7" t="s">
        <v>0</v>
      </c>
      <c r="AN2112" s="7" t="s">
        <v>0</v>
      </c>
      <c r="AO2112" s="7" t="s">
        <v>0</v>
      </c>
      <c r="AP2112" s="7" t="s">
        <v>0</v>
      </c>
      <c r="AQ2112" s="7" t="s">
        <v>61</v>
      </c>
      <c r="AR2112" s="7" t="s">
        <v>0</v>
      </c>
      <c r="AS2112" s="10" t="str">
        <f>HYPERLINK("https://tessa.gazprom-neft.local/edo/card/2b7870a1-2c5b-40ca-896a-9bfa5043f817", "https://tessa.gazprom-neft.local/edo/card/2b7870a1-2c5b-40ca-896a-9bfa5043f817")</f>
        <v>https://tessa.gazprom-neft.local/edo/card/2b7870a1-2c5b-40ca-896a-9bfa5043f817</v>
      </c>
    </row>
    <row r="2113" spans="1:45" hidden="1" x14ac:dyDescent="0.25">
      <c r="A2113" s="6" t="s">
        <v>44</v>
      </c>
      <c r="B2113" s="7" t="s">
        <v>1351</v>
      </c>
      <c r="C2113" s="7" t="s">
        <v>67</v>
      </c>
      <c r="D2113" s="8">
        <v>44550</v>
      </c>
      <c r="E2113" s="8" t="s">
        <v>0</v>
      </c>
      <c r="F2113" s="16" t="s">
        <v>1352</v>
      </c>
      <c r="G2113" s="7" t="s">
        <v>1353</v>
      </c>
      <c r="H2113" s="7" t="s">
        <v>0</v>
      </c>
      <c r="I2113" s="7" t="s">
        <v>9135</v>
      </c>
      <c r="J2113" s="7" t="s">
        <v>9135</v>
      </c>
      <c r="K2113" s="7" t="s">
        <v>85</v>
      </c>
      <c r="L2113" s="7" t="s">
        <v>86</v>
      </c>
      <c r="M2113" s="7" t="s">
        <v>216</v>
      </c>
      <c r="N2113" s="7" t="s">
        <v>9134</v>
      </c>
      <c r="O2113" s="7" t="s">
        <v>0</v>
      </c>
      <c r="P2113" s="7" t="s">
        <v>216</v>
      </c>
      <c r="Q2113" s="7" t="s">
        <v>9136</v>
      </c>
      <c r="R2113" s="7" t="s">
        <v>1551</v>
      </c>
      <c r="S2113" s="7" t="s">
        <v>1551</v>
      </c>
      <c r="T2113" s="7" t="s">
        <v>54</v>
      </c>
      <c r="U2113" s="7" t="s">
        <v>283</v>
      </c>
      <c r="V2113" s="7" t="s">
        <v>102</v>
      </c>
      <c r="W2113" s="7" t="s">
        <v>57</v>
      </c>
      <c r="X2113" s="7" t="s">
        <v>223</v>
      </c>
      <c r="Y2113" s="8">
        <v>44550</v>
      </c>
      <c r="Z2113" s="8" t="s">
        <v>0</v>
      </c>
      <c r="AA2113" s="7" t="s">
        <v>6296</v>
      </c>
      <c r="AB2113" s="7" t="s">
        <v>228</v>
      </c>
      <c r="AC2113" s="7" t="s">
        <v>65</v>
      </c>
      <c r="AD2113" s="7" t="s">
        <v>0</v>
      </c>
      <c r="AE2113" s="7" t="s">
        <v>0</v>
      </c>
      <c r="AF2113" s="7" t="s">
        <v>0</v>
      </c>
      <c r="AG2113" s="7" t="s">
        <v>0</v>
      </c>
      <c r="AH2113" s="9" t="s">
        <v>0</v>
      </c>
      <c r="AI2113" s="9" t="s">
        <v>0</v>
      </c>
      <c r="AJ2113" s="9" t="s">
        <v>0</v>
      </c>
      <c r="AK2113" s="7" t="s">
        <v>61</v>
      </c>
      <c r="AL2113" s="7" t="s">
        <v>61</v>
      </c>
      <c r="AM2113" s="7" t="s">
        <v>0</v>
      </c>
      <c r="AN2113" s="7" t="s">
        <v>0</v>
      </c>
      <c r="AO2113" s="7" t="s">
        <v>0</v>
      </c>
      <c r="AP2113" s="7" t="s">
        <v>0</v>
      </c>
      <c r="AQ2113" s="7" t="s">
        <v>61</v>
      </c>
      <c r="AR2113" s="7" t="s">
        <v>0</v>
      </c>
      <c r="AS2113" s="10" t="str">
        <f>HYPERLINK("https://tessa.gazprom-neft.local/edo/card/cd556d5d-c32c-4200-ab53-1db1e8fbf820", "https://tessa.gazprom-neft.local/edo/card/cd556d5d-c32c-4200-ab53-1db1e8fbf820")</f>
        <v>https://tessa.gazprom-neft.local/edo/card/cd556d5d-c32c-4200-ab53-1db1e8fbf820</v>
      </c>
    </row>
    <row r="2114" spans="1:45" hidden="1" x14ac:dyDescent="0.25">
      <c r="A2114" s="6" t="s">
        <v>44</v>
      </c>
      <c r="B2114" s="7" t="s">
        <v>1351</v>
      </c>
      <c r="C2114" s="7" t="s">
        <v>67</v>
      </c>
      <c r="D2114" s="8">
        <v>44550</v>
      </c>
      <c r="E2114" s="8" t="s">
        <v>0</v>
      </c>
      <c r="F2114" s="16" t="s">
        <v>1352</v>
      </c>
      <c r="G2114" s="7" t="s">
        <v>1353</v>
      </c>
      <c r="H2114" s="7" t="s">
        <v>0</v>
      </c>
      <c r="I2114" s="7" t="s">
        <v>9176</v>
      </c>
      <c r="J2114" s="7" t="s">
        <v>9176</v>
      </c>
      <c r="K2114" s="7" t="s">
        <v>85</v>
      </c>
      <c r="L2114" s="7" t="s">
        <v>86</v>
      </c>
      <c r="M2114" s="7" t="s">
        <v>83</v>
      </c>
      <c r="N2114" s="7" t="s">
        <v>9175</v>
      </c>
      <c r="O2114" s="7" t="s">
        <v>0</v>
      </c>
      <c r="P2114" s="7" t="s">
        <v>83</v>
      </c>
      <c r="Q2114" s="7" t="s">
        <v>8279</v>
      </c>
      <c r="R2114" s="7" t="s">
        <v>1551</v>
      </c>
      <c r="S2114" s="7" t="s">
        <v>1551</v>
      </c>
      <c r="T2114" s="7" t="s">
        <v>54</v>
      </c>
      <c r="U2114" s="7" t="s">
        <v>303</v>
      </c>
      <c r="V2114" s="7" t="s">
        <v>91</v>
      </c>
      <c r="W2114" s="7" t="s">
        <v>57</v>
      </c>
      <c r="X2114" s="7" t="s">
        <v>103</v>
      </c>
      <c r="Y2114" s="8">
        <v>44550</v>
      </c>
      <c r="Z2114" s="8">
        <v>47848</v>
      </c>
      <c r="AA2114" s="7" t="s">
        <v>7093</v>
      </c>
      <c r="AB2114" s="7" t="s">
        <v>94</v>
      </c>
      <c r="AC2114" s="7" t="s">
        <v>65</v>
      </c>
      <c r="AD2114" s="7" t="s">
        <v>0</v>
      </c>
      <c r="AE2114" s="7" t="s">
        <v>0</v>
      </c>
      <c r="AF2114" s="7" t="s">
        <v>0</v>
      </c>
      <c r="AG2114" s="7" t="s">
        <v>0</v>
      </c>
      <c r="AH2114" s="9" t="s">
        <v>0</v>
      </c>
      <c r="AI2114" s="9" t="s">
        <v>0</v>
      </c>
      <c r="AJ2114" s="9" t="s">
        <v>0</v>
      </c>
      <c r="AK2114" s="7" t="s">
        <v>61</v>
      </c>
      <c r="AL2114" s="7" t="s">
        <v>61</v>
      </c>
      <c r="AM2114" s="7" t="s">
        <v>0</v>
      </c>
      <c r="AN2114" s="7" t="s">
        <v>0</v>
      </c>
      <c r="AO2114" s="7" t="s">
        <v>0</v>
      </c>
      <c r="AP2114" s="7" t="s">
        <v>0</v>
      </c>
      <c r="AQ2114" s="7" t="s">
        <v>61</v>
      </c>
      <c r="AR2114" s="7" t="s">
        <v>0</v>
      </c>
      <c r="AS2114" s="10" t="str">
        <f>HYPERLINK("https://tessa.gazprom-neft.local/edo/card/43989832-d256-4c54-a5c5-1d9e7de97995", "https://tessa.gazprom-neft.local/edo/card/43989832-d256-4c54-a5c5-1d9e7de97995")</f>
        <v>https://tessa.gazprom-neft.local/edo/card/43989832-d256-4c54-a5c5-1d9e7de97995</v>
      </c>
    </row>
    <row r="2115" spans="1:45" x14ac:dyDescent="0.25">
      <c r="A2115" s="6" t="s">
        <v>44</v>
      </c>
      <c r="B2115" s="7" t="s">
        <v>971</v>
      </c>
      <c r="C2115" s="7" t="s">
        <v>67</v>
      </c>
      <c r="D2115" s="8">
        <v>44550</v>
      </c>
      <c r="E2115" s="8" t="s">
        <v>0</v>
      </c>
      <c r="F2115" s="16" t="s">
        <v>972</v>
      </c>
      <c r="G2115" s="7" t="s">
        <v>973</v>
      </c>
      <c r="H2115" s="7" t="s">
        <v>9304</v>
      </c>
      <c r="I2115" s="7" t="s">
        <v>0</v>
      </c>
      <c r="J2115" s="7" t="s">
        <v>1098</v>
      </c>
      <c r="K2115" s="7" t="s">
        <v>47</v>
      </c>
      <c r="L2115" s="7" t="s">
        <v>48</v>
      </c>
      <c r="M2115" s="7" t="s">
        <v>0</v>
      </c>
      <c r="N2115" s="7" t="s">
        <v>9303</v>
      </c>
      <c r="O2115" s="7" t="s">
        <v>0</v>
      </c>
      <c r="P2115" s="7" t="s">
        <v>9305</v>
      </c>
      <c r="Q2115" s="7" t="s">
        <v>9306</v>
      </c>
      <c r="R2115" s="7" t="s">
        <v>339</v>
      </c>
      <c r="S2115" s="7" t="s">
        <v>339</v>
      </c>
      <c r="T2115" s="7" t="s">
        <v>54</v>
      </c>
      <c r="U2115" s="7" t="s">
        <v>303</v>
      </c>
      <c r="V2115" s="7" t="s">
        <v>137</v>
      </c>
      <c r="W2115" s="7" t="s">
        <v>57</v>
      </c>
      <c r="X2115" s="7" t="s">
        <v>103</v>
      </c>
      <c r="Y2115" s="8">
        <v>44562</v>
      </c>
      <c r="Z2115" s="8">
        <v>44926</v>
      </c>
      <c r="AA2115" s="7" t="s">
        <v>0</v>
      </c>
      <c r="AB2115" s="7" t="s">
        <v>64</v>
      </c>
      <c r="AC2115" s="7" t="s">
        <v>65</v>
      </c>
      <c r="AD2115" s="7" t="s">
        <v>144</v>
      </c>
      <c r="AE2115" s="7" t="s">
        <v>0</v>
      </c>
      <c r="AF2115" s="7" t="s">
        <v>0</v>
      </c>
      <c r="AG2115" s="7" t="s">
        <v>0</v>
      </c>
      <c r="AH2115" s="9" t="s">
        <v>0</v>
      </c>
      <c r="AI2115" s="9" t="s">
        <v>0</v>
      </c>
      <c r="AJ2115" s="9" t="s">
        <v>0</v>
      </c>
      <c r="AK2115" s="7" t="s">
        <v>61</v>
      </c>
      <c r="AL2115" s="7" t="s">
        <v>61</v>
      </c>
      <c r="AM2115" s="7" t="s">
        <v>0</v>
      </c>
      <c r="AN2115" s="7" t="s">
        <v>0</v>
      </c>
      <c r="AO2115" s="7" t="s">
        <v>0</v>
      </c>
      <c r="AP2115" s="7" t="s">
        <v>0</v>
      </c>
      <c r="AQ2115" s="7" t="s">
        <v>61</v>
      </c>
      <c r="AR2115" s="7" t="s">
        <v>0</v>
      </c>
      <c r="AS2115" s="10" t="str">
        <f>HYPERLINK("https://tessa.gazprom-neft.local/edo/card/ce12f994-7218-401d-814f-f9b0fee73171", "https://tessa.gazprom-neft.local/edo/card/ce12f994-7218-401d-814f-f9b0fee73171")</f>
        <v>https://tessa.gazprom-neft.local/edo/card/ce12f994-7218-401d-814f-f9b0fee73171</v>
      </c>
    </row>
    <row r="2116" spans="1:45" hidden="1" x14ac:dyDescent="0.25">
      <c r="A2116" s="6" t="s">
        <v>44</v>
      </c>
      <c r="B2116" s="7" t="s">
        <v>9346</v>
      </c>
      <c r="C2116" s="7" t="s">
        <v>67</v>
      </c>
      <c r="D2116" s="8">
        <v>44550</v>
      </c>
      <c r="E2116" s="8" t="s">
        <v>0</v>
      </c>
      <c r="F2116" s="16" t="s">
        <v>9347</v>
      </c>
      <c r="G2116" s="7" t="s">
        <v>9348</v>
      </c>
      <c r="H2116" s="7" t="s">
        <v>0</v>
      </c>
      <c r="I2116" s="7" t="s">
        <v>1161</v>
      </c>
      <c r="J2116" s="7" t="s">
        <v>1161</v>
      </c>
      <c r="K2116" s="7" t="s">
        <v>47</v>
      </c>
      <c r="L2116" s="7" t="s">
        <v>86</v>
      </c>
      <c r="M2116" s="7" t="s">
        <v>0</v>
      </c>
      <c r="N2116" s="7" t="s">
        <v>9343</v>
      </c>
      <c r="O2116" s="7" t="s">
        <v>0</v>
      </c>
      <c r="P2116" s="7" t="s">
        <v>9344</v>
      </c>
      <c r="Q2116" s="7" t="s">
        <v>9345</v>
      </c>
      <c r="R2116" s="7" t="s">
        <v>244</v>
      </c>
      <c r="S2116" s="7" t="s">
        <v>244</v>
      </c>
      <c r="T2116" s="7" t="s">
        <v>54</v>
      </c>
      <c r="U2116" s="7" t="s">
        <v>55</v>
      </c>
      <c r="V2116" s="7" t="s">
        <v>56</v>
      </c>
      <c r="W2116" s="7" t="s">
        <v>57</v>
      </c>
      <c r="X2116" s="7" t="s">
        <v>103</v>
      </c>
      <c r="Y2116" s="8">
        <v>44550</v>
      </c>
      <c r="Z2116" s="8">
        <v>45291</v>
      </c>
      <c r="AA2116" s="7" t="s">
        <v>59</v>
      </c>
      <c r="AB2116" s="7" t="s">
        <v>256</v>
      </c>
      <c r="AC2116" s="7" t="s">
        <v>79</v>
      </c>
      <c r="AD2116" s="7" t="s">
        <v>144</v>
      </c>
      <c r="AE2116" s="7" t="s">
        <v>82</v>
      </c>
      <c r="AF2116" s="7" t="s">
        <v>0</v>
      </c>
      <c r="AG2116" s="7" t="s">
        <v>0</v>
      </c>
      <c r="AH2116" s="9" t="s">
        <v>13893</v>
      </c>
      <c r="AI2116" s="9" t="s">
        <v>13894</v>
      </c>
      <c r="AJ2116" s="9" t="s">
        <v>13895</v>
      </c>
      <c r="AK2116" s="7" t="s">
        <v>61</v>
      </c>
      <c r="AL2116" s="7" t="s">
        <v>61</v>
      </c>
      <c r="AM2116" s="7" t="s">
        <v>0</v>
      </c>
      <c r="AN2116" s="7" t="s">
        <v>0</v>
      </c>
      <c r="AO2116" s="7" t="s">
        <v>0</v>
      </c>
      <c r="AP2116" s="7" t="s">
        <v>0</v>
      </c>
      <c r="AQ2116" s="7" t="s">
        <v>61</v>
      </c>
      <c r="AR2116" s="7" t="s">
        <v>0</v>
      </c>
      <c r="AS2116" s="10" t="str">
        <f>HYPERLINK("https://tessa.gazprom-neft.local/edo/card/cc10aa2c-889d-440a-b6e0-07e8dc505f86", "https://tessa.gazprom-neft.local/edo/card/cc10aa2c-889d-440a-b6e0-07e8dc505f86")</f>
        <v>https://tessa.gazprom-neft.local/edo/card/cc10aa2c-889d-440a-b6e0-07e8dc505f86</v>
      </c>
    </row>
    <row r="2117" spans="1:45" x14ac:dyDescent="0.25">
      <c r="A2117" s="6" t="s">
        <v>44</v>
      </c>
      <c r="B2117" s="7" t="s">
        <v>488</v>
      </c>
      <c r="C2117" s="7" t="s">
        <v>67</v>
      </c>
      <c r="D2117" s="8">
        <v>44550</v>
      </c>
      <c r="E2117" s="8" t="s">
        <v>0</v>
      </c>
      <c r="F2117" s="16" t="s">
        <v>489</v>
      </c>
      <c r="G2117" s="7" t="s">
        <v>490</v>
      </c>
      <c r="H2117" s="7" t="s">
        <v>2173</v>
      </c>
      <c r="I2117" s="7" t="s">
        <v>0</v>
      </c>
      <c r="J2117" s="7" t="s">
        <v>51</v>
      </c>
      <c r="K2117" s="7" t="s">
        <v>47</v>
      </c>
      <c r="L2117" s="7" t="s">
        <v>48</v>
      </c>
      <c r="M2117" s="7" t="s">
        <v>0</v>
      </c>
      <c r="N2117" s="7" t="s">
        <v>9377</v>
      </c>
      <c r="O2117" s="7" t="s">
        <v>0</v>
      </c>
      <c r="P2117" s="7" t="s">
        <v>9378</v>
      </c>
      <c r="Q2117" s="7" t="s">
        <v>9379</v>
      </c>
      <c r="R2117" s="7" t="s">
        <v>282</v>
      </c>
      <c r="S2117" s="7" t="s">
        <v>540</v>
      </c>
      <c r="T2117" s="7" t="s">
        <v>54</v>
      </c>
      <c r="U2117" s="7" t="s">
        <v>55</v>
      </c>
      <c r="V2117" s="7" t="s">
        <v>56</v>
      </c>
      <c r="W2117" s="7" t="s">
        <v>57</v>
      </c>
      <c r="X2117" s="7" t="s">
        <v>103</v>
      </c>
      <c r="Y2117" s="8">
        <v>44550</v>
      </c>
      <c r="Z2117" s="8">
        <v>45657</v>
      </c>
      <c r="AA2117" s="7" t="s">
        <v>0</v>
      </c>
      <c r="AB2117" s="7" t="s">
        <v>874</v>
      </c>
      <c r="AC2117" s="7" t="s">
        <v>65</v>
      </c>
      <c r="AD2117" s="7" t="s">
        <v>0</v>
      </c>
      <c r="AE2117" s="7" t="s">
        <v>0</v>
      </c>
      <c r="AF2117" s="7" t="s">
        <v>0</v>
      </c>
      <c r="AG2117" s="7" t="s">
        <v>0</v>
      </c>
      <c r="AH2117" s="9" t="s">
        <v>0</v>
      </c>
      <c r="AI2117" s="9" t="s">
        <v>0</v>
      </c>
      <c r="AJ2117" s="9" t="s">
        <v>0</v>
      </c>
      <c r="AK2117" s="7" t="s">
        <v>61</v>
      </c>
      <c r="AL2117" s="7" t="s">
        <v>61</v>
      </c>
      <c r="AM2117" s="7" t="s">
        <v>0</v>
      </c>
      <c r="AN2117" s="7" t="s">
        <v>0</v>
      </c>
      <c r="AO2117" s="7" t="s">
        <v>0</v>
      </c>
      <c r="AP2117" s="7" t="s">
        <v>0</v>
      </c>
      <c r="AQ2117" s="7" t="s">
        <v>61</v>
      </c>
      <c r="AR2117" s="7" t="s">
        <v>0</v>
      </c>
      <c r="AS2117" s="10" t="str">
        <f>HYPERLINK("https://tessa.gazprom-neft.local/edo/card/e06ed6cf-a01a-4a5d-b28a-083816344e2a", "https://tessa.gazprom-neft.local/edo/card/e06ed6cf-a01a-4a5d-b28a-083816344e2a")</f>
        <v>https://tessa.gazprom-neft.local/edo/card/e06ed6cf-a01a-4a5d-b28a-083816344e2a</v>
      </c>
    </row>
    <row r="2118" spans="1:45" hidden="1" x14ac:dyDescent="0.25">
      <c r="A2118" s="6" t="s">
        <v>44</v>
      </c>
      <c r="B2118" s="7" t="s">
        <v>801</v>
      </c>
      <c r="C2118" s="7" t="s">
        <v>67</v>
      </c>
      <c r="D2118" s="8">
        <v>44550</v>
      </c>
      <c r="E2118" s="8" t="s">
        <v>0</v>
      </c>
      <c r="F2118" s="16" t="s">
        <v>802</v>
      </c>
      <c r="G2118" s="7" t="s">
        <v>803</v>
      </c>
      <c r="H2118" s="7" t="s">
        <v>0</v>
      </c>
      <c r="I2118" s="7" t="s">
        <v>9400</v>
      </c>
      <c r="J2118" s="7" t="s">
        <v>9400</v>
      </c>
      <c r="K2118" s="7" t="s">
        <v>47</v>
      </c>
      <c r="L2118" s="7" t="s">
        <v>86</v>
      </c>
      <c r="M2118" s="7" t="s">
        <v>0</v>
      </c>
      <c r="N2118" s="7" t="s">
        <v>9399</v>
      </c>
      <c r="O2118" s="7" t="s">
        <v>0</v>
      </c>
      <c r="P2118" s="7" t="s">
        <v>3061</v>
      </c>
      <c r="Q2118" s="7" t="s">
        <v>9401</v>
      </c>
      <c r="R2118" s="7" t="s">
        <v>799</v>
      </c>
      <c r="S2118" s="7" t="s">
        <v>0</v>
      </c>
      <c r="T2118" s="7" t="s">
        <v>54</v>
      </c>
      <c r="U2118" s="7" t="s">
        <v>283</v>
      </c>
      <c r="V2118" s="7" t="s">
        <v>102</v>
      </c>
      <c r="W2118" s="7" t="s">
        <v>57</v>
      </c>
      <c r="X2118" s="7" t="s">
        <v>223</v>
      </c>
      <c r="Y2118" s="8">
        <v>44550</v>
      </c>
      <c r="Z2118" s="8" t="s">
        <v>0</v>
      </c>
      <c r="AA2118" s="7" t="s">
        <v>0</v>
      </c>
      <c r="AB2118" s="7" t="s">
        <v>228</v>
      </c>
      <c r="AC2118" s="7" t="s">
        <v>65</v>
      </c>
      <c r="AD2118" s="7" t="s">
        <v>0</v>
      </c>
      <c r="AE2118" s="7" t="s">
        <v>0</v>
      </c>
      <c r="AF2118" s="7" t="s">
        <v>0</v>
      </c>
      <c r="AG2118" s="7" t="s">
        <v>0</v>
      </c>
      <c r="AH2118" s="9" t="s">
        <v>0</v>
      </c>
      <c r="AI2118" s="9" t="s">
        <v>0</v>
      </c>
      <c r="AJ2118" s="9" t="s">
        <v>0</v>
      </c>
      <c r="AK2118" s="7" t="s">
        <v>61</v>
      </c>
      <c r="AL2118" s="7" t="s">
        <v>61</v>
      </c>
      <c r="AM2118" s="7" t="s">
        <v>0</v>
      </c>
      <c r="AN2118" s="7" t="s">
        <v>0</v>
      </c>
      <c r="AO2118" s="7" t="s">
        <v>0</v>
      </c>
      <c r="AP2118" s="7" t="s">
        <v>0</v>
      </c>
      <c r="AQ2118" s="7" t="s">
        <v>61</v>
      </c>
      <c r="AR2118" s="7" t="s">
        <v>0</v>
      </c>
      <c r="AS2118" s="10" t="str">
        <f>HYPERLINK("https://tessa.gazprom-neft.local/edo/card/37e5807c-93d5-4ea2-8169-e94a37e50edd", "https://tessa.gazprom-neft.local/edo/card/37e5807c-93d5-4ea2-8169-e94a37e50edd")</f>
        <v>https://tessa.gazprom-neft.local/edo/card/37e5807c-93d5-4ea2-8169-e94a37e50edd</v>
      </c>
    </row>
    <row r="2119" spans="1:45" hidden="1" x14ac:dyDescent="0.25">
      <c r="A2119" s="6" t="s">
        <v>44</v>
      </c>
      <c r="B2119" s="7" t="s">
        <v>436</v>
      </c>
      <c r="C2119" s="7" t="s">
        <v>67</v>
      </c>
      <c r="D2119" s="8">
        <v>44547</v>
      </c>
      <c r="E2119" s="8" t="s">
        <v>0</v>
      </c>
      <c r="F2119" s="16" t="s">
        <v>437</v>
      </c>
      <c r="G2119" s="7" t="s">
        <v>438</v>
      </c>
      <c r="H2119" s="7" t="s">
        <v>0</v>
      </c>
      <c r="I2119" s="7" t="s">
        <v>9489</v>
      </c>
      <c r="J2119" s="7" t="s">
        <v>9489</v>
      </c>
      <c r="K2119" s="7" t="s">
        <v>47</v>
      </c>
      <c r="L2119" s="7" t="s">
        <v>96</v>
      </c>
      <c r="M2119" s="7" t="s">
        <v>0</v>
      </c>
      <c r="N2119" s="7" t="s">
        <v>9488</v>
      </c>
      <c r="O2119" s="7" t="s">
        <v>0</v>
      </c>
      <c r="P2119" s="7" t="s">
        <v>9490</v>
      </c>
      <c r="Q2119" s="7" t="s">
        <v>9491</v>
      </c>
      <c r="R2119" s="7" t="s">
        <v>273</v>
      </c>
      <c r="S2119" s="7" t="s">
        <v>6625</v>
      </c>
      <c r="T2119" s="7" t="s">
        <v>54</v>
      </c>
      <c r="U2119" s="7" t="s">
        <v>3903</v>
      </c>
      <c r="V2119" s="7" t="s">
        <v>917</v>
      </c>
      <c r="W2119" s="7" t="s">
        <v>57</v>
      </c>
      <c r="X2119" s="7" t="s">
        <v>103</v>
      </c>
      <c r="Y2119" s="8">
        <v>44547</v>
      </c>
      <c r="Z2119" s="8">
        <v>45626</v>
      </c>
      <c r="AA2119" s="7" t="s">
        <v>0</v>
      </c>
      <c r="AB2119" s="7" t="s">
        <v>64</v>
      </c>
      <c r="AC2119" s="7" t="s">
        <v>278</v>
      </c>
      <c r="AD2119" s="7" t="s">
        <v>144</v>
      </c>
      <c r="AE2119" s="7" t="s">
        <v>82</v>
      </c>
      <c r="AF2119" s="7" t="s">
        <v>0</v>
      </c>
      <c r="AG2119" s="7" t="s">
        <v>0</v>
      </c>
      <c r="AH2119" s="9" t="s">
        <v>13955</v>
      </c>
      <c r="AI2119" s="9" t="s">
        <v>13956</v>
      </c>
      <c r="AJ2119" s="9" t="s">
        <v>13957</v>
      </c>
      <c r="AK2119" s="7" t="s">
        <v>61</v>
      </c>
      <c r="AL2119" s="7" t="s">
        <v>61</v>
      </c>
      <c r="AM2119" s="7" t="s">
        <v>0</v>
      </c>
      <c r="AN2119" s="7" t="s">
        <v>0</v>
      </c>
      <c r="AO2119" s="7" t="s">
        <v>0</v>
      </c>
      <c r="AP2119" s="7" t="s">
        <v>0</v>
      </c>
      <c r="AQ2119" s="7" t="s">
        <v>61</v>
      </c>
      <c r="AR2119" s="7" t="s">
        <v>0</v>
      </c>
      <c r="AS2119" s="10" t="str">
        <f>HYPERLINK("https://tessa.gazprom-neft.local/edo/card/ee22465c-8da3-495e-ba6b-b2c96cc3f93a", "https://tessa.gazprom-neft.local/edo/card/ee22465c-8da3-495e-ba6b-b2c96cc3f93a")</f>
        <v>https://tessa.gazprom-neft.local/edo/card/ee22465c-8da3-495e-ba6b-b2c96cc3f93a</v>
      </c>
    </row>
    <row r="2120" spans="1:45" hidden="1" x14ac:dyDescent="0.25">
      <c r="A2120" s="6" t="s">
        <v>44</v>
      </c>
      <c r="B2120" s="7" t="s">
        <v>2132</v>
      </c>
      <c r="C2120" s="7" t="s">
        <v>67</v>
      </c>
      <c r="D2120" s="8">
        <v>44546</v>
      </c>
      <c r="E2120" s="8" t="s">
        <v>0</v>
      </c>
      <c r="F2120" s="16" t="s">
        <v>2133</v>
      </c>
      <c r="G2120" s="7" t="s">
        <v>739</v>
      </c>
      <c r="H2120" s="7" t="s">
        <v>0</v>
      </c>
      <c r="I2120" s="7" t="s">
        <v>3446</v>
      </c>
      <c r="J2120" s="7" t="s">
        <v>3446</v>
      </c>
      <c r="K2120" s="7" t="s">
        <v>47</v>
      </c>
      <c r="L2120" s="7" t="s">
        <v>96</v>
      </c>
      <c r="M2120" s="7" t="s">
        <v>0</v>
      </c>
      <c r="N2120" s="7" t="s">
        <v>9122</v>
      </c>
      <c r="O2120" s="7" t="s">
        <v>0</v>
      </c>
      <c r="P2120" s="7" t="s">
        <v>9123</v>
      </c>
      <c r="Q2120" s="7" t="s">
        <v>9124</v>
      </c>
      <c r="R2120" s="7" t="s">
        <v>361</v>
      </c>
      <c r="S2120" s="7" t="s">
        <v>361</v>
      </c>
      <c r="T2120" s="7" t="s">
        <v>54</v>
      </c>
      <c r="U2120" s="7" t="s">
        <v>294</v>
      </c>
      <c r="V2120" s="7" t="s">
        <v>295</v>
      </c>
      <c r="W2120" s="7" t="s">
        <v>57</v>
      </c>
      <c r="X2120" s="7" t="s">
        <v>103</v>
      </c>
      <c r="Y2120" s="8">
        <v>44546</v>
      </c>
      <c r="Z2120" s="8">
        <v>45291</v>
      </c>
      <c r="AA2120" s="7" t="s">
        <v>1269</v>
      </c>
      <c r="AB2120" s="7" t="s">
        <v>366</v>
      </c>
      <c r="AC2120" s="7" t="s">
        <v>278</v>
      </c>
      <c r="AD2120" s="7" t="s">
        <v>367</v>
      </c>
      <c r="AE2120" s="7" t="s">
        <v>82</v>
      </c>
      <c r="AF2120" s="7" t="s">
        <v>0</v>
      </c>
      <c r="AG2120" s="7" t="s">
        <v>0</v>
      </c>
      <c r="AH2120" s="9" t="s">
        <v>13806</v>
      </c>
      <c r="AI2120" s="9" t="s">
        <v>13807</v>
      </c>
      <c r="AJ2120" s="9" t="s">
        <v>13808</v>
      </c>
      <c r="AK2120" s="7" t="s">
        <v>61</v>
      </c>
      <c r="AL2120" s="7" t="s">
        <v>61</v>
      </c>
      <c r="AM2120" s="7" t="s">
        <v>0</v>
      </c>
      <c r="AN2120" s="7" t="s">
        <v>0</v>
      </c>
      <c r="AO2120" s="7" t="s">
        <v>0</v>
      </c>
      <c r="AP2120" s="7" t="s">
        <v>0</v>
      </c>
      <c r="AQ2120" s="7" t="s">
        <v>61</v>
      </c>
      <c r="AR2120" s="7" t="s">
        <v>0</v>
      </c>
      <c r="AS2120" s="10" t="str">
        <f>HYPERLINK("https://tessa.gazprom-neft.local/edo/card/4200982c-d86e-4fe9-81b6-19a2829fe174", "https://tessa.gazprom-neft.local/edo/card/4200982c-d86e-4fe9-81b6-19a2829fe174")</f>
        <v>https://tessa.gazprom-neft.local/edo/card/4200982c-d86e-4fe9-81b6-19a2829fe174</v>
      </c>
    </row>
    <row r="2121" spans="1:45" hidden="1" x14ac:dyDescent="0.25">
      <c r="A2121" s="6" t="s">
        <v>44</v>
      </c>
      <c r="B2121" s="7" t="s">
        <v>661</v>
      </c>
      <c r="C2121" s="7" t="s">
        <v>67</v>
      </c>
      <c r="D2121" s="8">
        <v>44546</v>
      </c>
      <c r="E2121" s="8" t="s">
        <v>0</v>
      </c>
      <c r="F2121" s="16" t="s">
        <v>662</v>
      </c>
      <c r="G2121" s="7" t="s">
        <v>663</v>
      </c>
      <c r="H2121" s="7" t="s">
        <v>9365</v>
      </c>
      <c r="I2121" s="7" t="s">
        <v>0</v>
      </c>
      <c r="J2121" s="7" t="s">
        <v>538</v>
      </c>
      <c r="K2121" s="7" t="s">
        <v>47</v>
      </c>
      <c r="L2121" s="7" t="s">
        <v>239</v>
      </c>
      <c r="M2121" s="7" t="s">
        <v>0</v>
      </c>
      <c r="N2121" s="7" t="s">
        <v>9364</v>
      </c>
      <c r="O2121" s="7" t="s">
        <v>0</v>
      </c>
      <c r="P2121" s="7" t="s">
        <v>9366</v>
      </c>
      <c r="Q2121" s="7" t="s">
        <v>9367</v>
      </c>
      <c r="R2121" s="7" t="s">
        <v>659</v>
      </c>
      <c r="S2121" s="7" t="s">
        <v>1476</v>
      </c>
      <c r="T2121" s="7" t="s">
        <v>54</v>
      </c>
      <c r="U2121" s="7" t="s">
        <v>283</v>
      </c>
      <c r="V2121" s="7" t="s">
        <v>102</v>
      </c>
      <c r="W2121" s="7" t="s">
        <v>57</v>
      </c>
      <c r="X2121" s="7" t="s">
        <v>103</v>
      </c>
      <c r="Y2121" s="8">
        <v>44546</v>
      </c>
      <c r="Z2121" s="8">
        <v>44592</v>
      </c>
      <c r="AA2121" s="7" t="s">
        <v>104</v>
      </c>
      <c r="AB2121" s="7" t="s">
        <v>130</v>
      </c>
      <c r="AC2121" s="7" t="s">
        <v>79</v>
      </c>
      <c r="AD2121" s="7" t="s">
        <v>514</v>
      </c>
      <c r="AE2121" s="7" t="s">
        <v>82</v>
      </c>
      <c r="AF2121" s="7" t="s">
        <v>0</v>
      </c>
      <c r="AG2121" s="7" t="s">
        <v>0</v>
      </c>
      <c r="AH2121" s="9" t="s">
        <v>13896</v>
      </c>
      <c r="AI2121" s="9" t="s">
        <v>13897</v>
      </c>
      <c r="AJ2121" s="9" t="s">
        <v>13898</v>
      </c>
      <c r="AK2121" s="7" t="s">
        <v>61</v>
      </c>
      <c r="AL2121" s="7" t="s">
        <v>61</v>
      </c>
      <c r="AM2121" s="7" t="s">
        <v>0</v>
      </c>
      <c r="AN2121" s="7" t="s">
        <v>0</v>
      </c>
      <c r="AO2121" s="7" t="s">
        <v>0</v>
      </c>
      <c r="AP2121" s="7" t="s">
        <v>0</v>
      </c>
      <c r="AQ2121" s="7" t="s">
        <v>61</v>
      </c>
      <c r="AR2121" s="7" t="s">
        <v>0</v>
      </c>
      <c r="AS2121" s="10" t="str">
        <f>HYPERLINK("https://tessa.gazprom-neft.local/edo/card/101391c7-eb08-41aa-8451-0257c99418d3", "https://tessa.gazprom-neft.local/edo/card/101391c7-eb08-41aa-8451-0257c99418d3")</f>
        <v>https://tessa.gazprom-neft.local/edo/card/101391c7-eb08-41aa-8451-0257c99418d3</v>
      </c>
    </row>
    <row r="2122" spans="1:45" hidden="1" x14ac:dyDescent="0.25">
      <c r="A2122" s="6" t="s">
        <v>44</v>
      </c>
      <c r="B2122" s="7" t="s">
        <v>661</v>
      </c>
      <c r="C2122" s="7" t="s">
        <v>67</v>
      </c>
      <c r="D2122" s="8">
        <v>44545</v>
      </c>
      <c r="E2122" s="8" t="s">
        <v>0</v>
      </c>
      <c r="F2122" s="16" t="s">
        <v>662</v>
      </c>
      <c r="G2122" s="7" t="s">
        <v>663</v>
      </c>
      <c r="H2122" s="7" t="s">
        <v>1426</v>
      </c>
      <c r="I2122" s="7" t="s">
        <v>0</v>
      </c>
      <c r="J2122" s="7" t="s">
        <v>51</v>
      </c>
      <c r="K2122" s="7" t="s">
        <v>47</v>
      </c>
      <c r="L2122" s="7" t="s">
        <v>1446</v>
      </c>
      <c r="M2122" s="7" t="s">
        <v>0</v>
      </c>
      <c r="N2122" s="7" t="s">
        <v>9266</v>
      </c>
      <c r="O2122" s="7" t="s">
        <v>9267</v>
      </c>
      <c r="P2122" s="7" t="s">
        <v>9268</v>
      </c>
      <c r="Q2122" s="7" t="s">
        <v>9269</v>
      </c>
      <c r="R2122" s="7" t="s">
        <v>659</v>
      </c>
      <c r="S2122" s="7" t="s">
        <v>1476</v>
      </c>
      <c r="T2122" s="7" t="s">
        <v>54</v>
      </c>
      <c r="U2122" s="7" t="s">
        <v>283</v>
      </c>
      <c r="V2122" s="7" t="s">
        <v>102</v>
      </c>
      <c r="W2122" s="7" t="s">
        <v>57</v>
      </c>
      <c r="X2122" s="7" t="s">
        <v>103</v>
      </c>
      <c r="Y2122" s="8">
        <v>44545</v>
      </c>
      <c r="Z2122" s="8">
        <v>44561</v>
      </c>
      <c r="AA2122" s="7" t="s">
        <v>6296</v>
      </c>
      <c r="AB2122" s="7" t="s">
        <v>130</v>
      </c>
      <c r="AC2122" s="7" t="s">
        <v>79</v>
      </c>
      <c r="AD2122" s="7" t="s">
        <v>514</v>
      </c>
      <c r="AE2122" s="7" t="s">
        <v>82</v>
      </c>
      <c r="AF2122" s="7" t="s">
        <v>0</v>
      </c>
      <c r="AG2122" s="7" t="s">
        <v>0</v>
      </c>
      <c r="AH2122" s="9" t="s">
        <v>13857</v>
      </c>
      <c r="AI2122" s="9" t="s">
        <v>13858</v>
      </c>
      <c r="AJ2122" s="9" t="s">
        <v>13859</v>
      </c>
      <c r="AK2122" s="7" t="s">
        <v>61</v>
      </c>
      <c r="AL2122" s="7" t="s">
        <v>61</v>
      </c>
      <c r="AM2122" s="7" t="s">
        <v>0</v>
      </c>
      <c r="AN2122" s="7" t="s">
        <v>0</v>
      </c>
      <c r="AO2122" s="7" t="s">
        <v>0</v>
      </c>
      <c r="AP2122" s="7" t="s">
        <v>0</v>
      </c>
      <c r="AQ2122" s="7" t="s">
        <v>61</v>
      </c>
      <c r="AR2122" s="7" t="s">
        <v>0</v>
      </c>
      <c r="AS2122" s="10" t="str">
        <f>HYPERLINK("https://tessa.gazprom-neft.local/edo/card/9f48cc43-6415-4fec-9d2d-923fce089789", "https://tessa.gazprom-neft.local/edo/card/9f48cc43-6415-4fec-9d2d-923fce089789")</f>
        <v>https://tessa.gazprom-neft.local/edo/card/9f48cc43-6415-4fec-9d2d-923fce089789</v>
      </c>
    </row>
    <row r="2123" spans="1:45" hidden="1" x14ac:dyDescent="0.25">
      <c r="A2123" s="6" t="s">
        <v>44</v>
      </c>
      <c r="B2123" s="7" t="s">
        <v>245</v>
      </c>
      <c r="C2123" s="7" t="s">
        <v>67</v>
      </c>
      <c r="D2123" s="8">
        <v>44544</v>
      </c>
      <c r="E2123" s="8" t="s">
        <v>0</v>
      </c>
      <c r="F2123" s="16" t="s">
        <v>246</v>
      </c>
      <c r="G2123" s="7" t="s">
        <v>247</v>
      </c>
      <c r="H2123" s="7" t="s">
        <v>1205</v>
      </c>
      <c r="I2123" s="7" t="s">
        <v>0</v>
      </c>
      <c r="J2123" s="7" t="s">
        <v>8679</v>
      </c>
      <c r="K2123" s="7" t="s">
        <v>47</v>
      </c>
      <c r="L2123" s="7" t="s">
        <v>239</v>
      </c>
      <c r="M2123" s="7" t="s">
        <v>0</v>
      </c>
      <c r="N2123" s="7" t="s">
        <v>8677</v>
      </c>
      <c r="O2123" s="7" t="s">
        <v>0</v>
      </c>
      <c r="P2123" s="7" t="s">
        <v>8678</v>
      </c>
      <c r="Q2123" s="7" t="s">
        <v>8680</v>
      </c>
      <c r="R2123" s="7" t="s">
        <v>244</v>
      </c>
      <c r="S2123" s="7" t="s">
        <v>244</v>
      </c>
      <c r="T2123" s="7" t="s">
        <v>54</v>
      </c>
      <c r="U2123" s="7" t="s">
        <v>55</v>
      </c>
      <c r="V2123" s="7" t="s">
        <v>56</v>
      </c>
      <c r="W2123" s="7" t="s">
        <v>57</v>
      </c>
      <c r="X2123" s="7" t="s">
        <v>103</v>
      </c>
      <c r="Y2123" s="8">
        <v>44516</v>
      </c>
      <c r="Z2123" s="8">
        <v>44560</v>
      </c>
      <c r="AA2123" s="7" t="s">
        <v>1251</v>
      </c>
      <c r="AB2123" s="7" t="s">
        <v>248</v>
      </c>
      <c r="AC2123" s="7" t="s">
        <v>79</v>
      </c>
      <c r="AD2123" s="7" t="s">
        <v>144</v>
      </c>
      <c r="AE2123" s="7" t="s">
        <v>82</v>
      </c>
      <c r="AF2123" s="7" t="s">
        <v>0</v>
      </c>
      <c r="AG2123" s="7" t="s">
        <v>0</v>
      </c>
      <c r="AH2123" s="9" t="s">
        <v>13644</v>
      </c>
      <c r="AI2123" s="9" t="s">
        <v>13645</v>
      </c>
      <c r="AJ2123" s="9" t="s">
        <v>13646</v>
      </c>
      <c r="AK2123" s="7" t="s">
        <v>61</v>
      </c>
      <c r="AL2123" s="7" t="s">
        <v>61</v>
      </c>
      <c r="AM2123" s="7" t="s">
        <v>0</v>
      </c>
      <c r="AN2123" s="7" t="s">
        <v>0</v>
      </c>
      <c r="AO2123" s="7" t="s">
        <v>0</v>
      </c>
      <c r="AP2123" s="7" t="s">
        <v>0</v>
      </c>
      <c r="AQ2123" s="7" t="s">
        <v>61</v>
      </c>
      <c r="AR2123" s="7" t="s">
        <v>0</v>
      </c>
      <c r="AS2123" s="10" t="str">
        <f>HYPERLINK("https://tessa.gazprom-neft.local/edo/card/56b729a8-39cf-4eb2-b5d5-ab3a9351e6ec", "https://tessa.gazprom-neft.local/edo/card/56b729a8-39cf-4eb2-b5d5-ab3a9351e6ec")</f>
        <v>https://tessa.gazprom-neft.local/edo/card/56b729a8-39cf-4eb2-b5d5-ab3a9351e6ec</v>
      </c>
    </row>
    <row r="2124" spans="1:45" x14ac:dyDescent="0.25">
      <c r="A2124" s="6" t="s">
        <v>44</v>
      </c>
      <c r="B2124" s="7" t="s">
        <v>0</v>
      </c>
      <c r="C2124" s="7" t="s">
        <v>67</v>
      </c>
      <c r="D2124" s="8">
        <v>44544</v>
      </c>
      <c r="E2124" s="8" t="s">
        <v>0</v>
      </c>
      <c r="F2124" s="16" t="s">
        <v>9253</v>
      </c>
      <c r="G2124" s="7" t="s">
        <v>0</v>
      </c>
      <c r="H2124" s="7" t="s">
        <v>2271</v>
      </c>
      <c r="I2124" s="7" t="s">
        <v>0</v>
      </c>
      <c r="J2124" s="7" t="s">
        <v>51</v>
      </c>
      <c r="K2124" s="7" t="s">
        <v>47</v>
      </c>
      <c r="L2124" s="7" t="s">
        <v>48</v>
      </c>
      <c r="M2124" s="7" t="s">
        <v>0</v>
      </c>
      <c r="N2124" s="7" t="s">
        <v>9250</v>
      </c>
      <c r="O2124" s="7" t="s">
        <v>0</v>
      </c>
      <c r="P2124" s="7" t="s">
        <v>9251</v>
      </c>
      <c r="Q2124" s="7" t="s">
        <v>9252</v>
      </c>
      <c r="R2124" s="7" t="s">
        <v>135</v>
      </c>
      <c r="S2124" s="7" t="s">
        <v>0</v>
      </c>
      <c r="T2124" s="7" t="s">
        <v>54</v>
      </c>
      <c r="U2124" s="7" t="s">
        <v>136</v>
      </c>
      <c r="V2124" s="7" t="s">
        <v>102</v>
      </c>
      <c r="W2124" s="7" t="s">
        <v>57</v>
      </c>
      <c r="X2124" s="7" t="s">
        <v>223</v>
      </c>
      <c r="Y2124" s="8">
        <v>44544</v>
      </c>
      <c r="Z2124" s="8" t="s">
        <v>0</v>
      </c>
      <c r="AA2124" s="7" t="s">
        <v>6296</v>
      </c>
      <c r="AB2124" s="7" t="s">
        <v>64</v>
      </c>
      <c r="AC2124" s="7" t="s">
        <v>65</v>
      </c>
      <c r="AD2124" s="7" t="s">
        <v>80</v>
      </c>
      <c r="AE2124" s="7" t="s">
        <v>0</v>
      </c>
      <c r="AF2124" s="7" t="s">
        <v>0</v>
      </c>
      <c r="AG2124" s="7" t="s">
        <v>0</v>
      </c>
      <c r="AH2124" s="9" t="s">
        <v>0</v>
      </c>
      <c r="AI2124" s="9" t="s">
        <v>0</v>
      </c>
      <c r="AJ2124" s="9" t="s">
        <v>0</v>
      </c>
      <c r="AK2124" s="7" t="s">
        <v>61</v>
      </c>
      <c r="AL2124" s="7" t="s">
        <v>61</v>
      </c>
      <c r="AM2124" s="7" t="s">
        <v>0</v>
      </c>
      <c r="AN2124" s="7" t="s">
        <v>0</v>
      </c>
      <c r="AO2124" s="7" t="s">
        <v>0</v>
      </c>
      <c r="AP2124" s="7" t="s">
        <v>0</v>
      </c>
      <c r="AQ2124" s="7" t="s">
        <v>61</v>
      </c>
      <c r="AR2124" s="7" t="s">
        <v>0</v>
      </c>
      <c r="AS2124" s="10" t="str">
        <f>HYPERLINK("https://tessa.gazprom-neft.local/edo/card/730ad985-8ca5-4d8a-b7dd-7f03b9c519f6", "https://tessa.gazprom-neft.local/edo/card/730ad985-8ca5-4d8a-b7dd-7f03b9c519f6")</f>
        <v>https://tessa.gazprom-neft.local/edo/card/730ad985-8ca5-4d8a-b7dd-7f03b9c519f6</v>
      </c>
    </row>
    <row r="2125" spans="1:45" x14ac:dyDescent="0.25">
      <c r="A2125" s="6" t="s">
        <v>44</v>
      </c>
      <c r="B2125" s="7" t="s">
        <v>6013</v>
      </c>
      <c r="C2125" s="7" t="s">
        <v>46</v>
      </c>
      <c r="D2125" s="8">
        <v>44543</v>
      </c>
      <c r="E2125" s="8" t="s">
        <v>0</v>
      </c>
      <c r="F2125" s="16" t="s">
        <v>6014</v>
      </c>
      <c r="G2125" s="7" t="s">
        <v>6015</v>
      </c>
      <c r="H2125" s="7" t="s">
        <v>6010</v>
      </c>
      <c r="I2125" s="7" t="s">
        <v>0</v>
      </c>
      <c r="J2125" s="7" t="s">
        <v>51</v>
      </c>
      <c r="K2125" s="7" t="s">
        <v>47</v>
      </c>
      <c r="L2125" s="7" t="s">
        <v>48</v>
      </c>
      <c r="M2125" s="7" t="s">
        <v>0</v>
      </c>
      <c r="N2125" s="7" t="s">
        <v>9230</v>
      </c>
      <c r="O2125" s="7" t="s">
        <v>0</v>
      </c>
      <c r="P2125" s="7" t="s">
        <v>6011</v>
      </c>
      <c r="Q2125" s="7" t="s">
        <v>9231</v>
      </c>
      <c r="R2125" s="7" t="s">
        <v>2336</v>
      </c>
      <c r="S2125" s="7" t="s">
        <v>2336</v>
      </c>
      <c r="T2125" s="7" t="s">
        <v>54</v>
      </c>
      <c r="U2125" s="7" t="s">
        <v>307</v>
      </c>
      <c r="V2125" s="7" t="s">
        <v>137</v>
      </c>
      <c r="W2125" s="7" t="s">
        <v>57</v>
      </c>
      <c r="X2125" s="7" t="s">
        <v>103</v>
      </c>
      <c r="Y2125" s="8">
        <v>44593</v>
      </c>
      <c r="Z2125" s="8">
        <v>44712</v>
      </c>
      <c r="AA2125" s="7" t="s">
        <v>0</v>
      </c>
      <c r="AB2125" s="7" t="s">
        <v>64</v>
      </c>
      <c r="AC2125" s="7" t="s">
        <v>65</v>
      </c>
      <c r="AD2125" s="7" t="s">
        <v>80</v>
      </c>
      <c r="AE2125" s="7" t="s">
        <v>0</v>
      </c>
      <c r="AF2125" s="7" t="s">
        <v>0</v>
      </c>
      <c r="AG2125" s="7" t="s">
        <v>0</v>
      </c>
      <c r="AH2125" s="9" t="s">
        <v>0</v>
      </c>
      <c r="AI2125" s="9" t="s">
        <v>0</v>
      </c>
      <c r="AJ2125" s="9" t="s">
        <v>0</v>
      </c>
      <c r="AK2125" s="7" t="s">
        <v>61</v>
      </c>
      <c r="AL2125" s="7" t="s">
        <v>61</v>
      </c>
      <c r="AM2125" s="7" t="s">
        <v>0</v>
      </c>
      <c r="AN2125" s="7" t="s">
        <v>0</v>
      </c>
      <c r="AO2125" s="7" t="s">
        <v>0</v>
      </c>
      <c r="AP2125" s="7" t="s">
        <v>0</v>
      </c>
      <c r="AQ2125" s="7" t="s">
        <v>61</v>
      </c>
      <c r="AR2125" s="7" t="s">
        <v>0</v>
      </c>
      <c r="AS2125" s="10" t="str">
        <f>HYPERLINK("https://tessa.gazprom-neft.local/edo/card/7f5bf7f7-7f96-4029-a487-cb9bac06dbee", "https://tessa.gazprom-neft.local/edo/card/7f5bf7f7-7f96-4029-a487-cb9bac06dbee")</f>
        <v>https://tessa.gazprom-neft.local/edo/card/7f5bf7f7-7f96-4029-a487-cb9bac06dbee</v>
      </c>
    </row>
    <row r="2126" spans="1:45" x14ac:dyDescent="0.25">
      <c r="A2126" s="6" t="s">
        <v>44</v>
      </c>
      <c r="B2126" s="7" t="s">
        <v>0</v>
      </c>
      <c r="C2126" s="7" t="s">
        <v>67</v>
      </c>
      <c r="D2126" s="8">
        <v>44543</v>
      </c>
      <c r="E2126" s="8" t="s">
        <v>0</v>
      </c>
      <c r="F2126" s="16" t="s">
        <v>7652</v>
      </c>
      <c r="G2126" s="7" t="s">
        <v>0</v>
      </c>
      <c r="H2126" s="7" t="s">
        <v>195</v>
      </c>
      <c r="I2126" s="7" t="s">
        <v>0</v>
      </c>
      <c r="J2126" s="7" t="s">
        <v>51</v>
      </c>
      <c r="K2126" s="7" t="s">
        <v>47</v>
      </c>
      <c r="L2126" s="7" t="s">
        <v>48</v>
      </c>
      <c r="M2126" s="7" t="s">
        <v>0</v>
      </c>
      <c r="N2126" s="7" t="s">
        <v>9241</v>
      </c>
      <c r="O2126" s="7" t="s">
        <v>0</v>
      </c>
      <c r="P2126" s="7" t="s">
        <v>9242</v>
      </c>
      <c r="Q2126" s="7" t="s">
        <v>9243</v>
      </c>
      <c r="R2126" s="7" t="s">
        <v>198</v>
      </c>
      <c r="S2126" s="7" t="s">
        <v>198</v>
      </c>
      <c r="T2126" s="7" t="s">
        <v>54</v>
      </c>
      <c r="U2126" s="7" t="s">
        <v>199</v>
      </c>
      <c r="V2126" s="7" t="s">
        <v>211</v>
      </c>
      <c r="W2126" s="7" t="s">
        <v>57</v>
      </c>
      <c r="X2126" s="7" t="s">
        <v>103</v>
      </c>
      <c r="Y2126" s="8">
        <v>44543</v>
      </c>
      <c r="Z2126" s="8">
        <v>45657</v>
      </c>
      <c r="AA2126" s="7" t="s">
        <v>0</v>
      </c>
      <c r="AB2126" s="7" t="s">
        <v>804</v>
      </c>
      <c r="AC2126" s="7" t="s">
        <v>65</v>
      </c>
      <c r="AD2126" s="7" t="s">
        <v>0</v>
      </c>
      <c r="AE2126" s="7" t="s">
        <v>0</v>
      </c>
      <c r="AF2126" s="7" t="s">
        <v>0</v>
      </c>
      <c r="AG2126" s="7" t="s">
        <v>0</v>
      </c>
      <c r="AH2126" s="9" t="s">
        <v>0</v>
      </c>
      <c r="AI2126" s="9" t="s">
        <v>0</v>
      </c>
      <c r="AJ2126" s="9" t="s">
        <v>0</v>
      </c>
      <c r="AK2126" s="7" t="s">
        <v>61</v>
      </c>
      <c r="AL2126" s="7" t="s">
        <v>61</v>
      </c>
      <c r="AM2126" s="7" t="s">
        <v>0</v>
      </c>
      <c r="AN2126" s="7" t="s">
        <v>0</v>
      </c>
      <c r="AO2126" s="7" t="s">
        <v>0</v>
      </c>
      <c r="AP2126" s="7" t="s">
        <v>0</v>
      </c>
      <c r="AQ2126" s="7" t="s">
        <v>61</v>
      </c>
      <c r="AR2126" s="7" t="s">
        <v>0</v>
      </c>
      <c r="AS2126" s="10" t="str">
        <f>HYPERLINK("https://tessa.gazprom-neft.local/edo/card/778c50f1-9157-484d-ab96-16c84e87fc39", "https://tessa.gazprom-neft.local/edo/card/778c50f1-9157-484d-ab96-16c84e87fc39")</f>
        <v>https://tessa.gazprom-neft.local/edo/card/778c50f1-9157-484d-ab96-16c84e87fc39</v>
      </c>
    </row>
    <row r="2127" spans="1:45" hidden="1" x14ac:dyDescent="0.25">
      <c r="A2127" s="6" t="s">
        <v>44</v>
      </c>
      <c r="B2127" s="7" t="s">
        <v>661</v>
      </c>
      <c r="C2127" s="7" t="s">
        <v>67</v>
      </c>
      <c r="D2127" s="8">
        <v>44543</v>
      </c>
      <c r="E2127" s="8" t="s">
        <v>0</v>
      </c>
      <c r="F2127" s="16" t="s">
        <v>662</v>
      </c>
      <c r="G2127" s="7" t="s">
        <v>663</v>
      </c>
      <c r="H2127" s="7" t="s">
        <v>1426</v>
      </c>
      <c r="I2127" s="7" t="s">
        <v>0</v>
      </c>
      <c r="J2127" s="7" t="s">
        <v>122</v>
      </c>
      <c r="K2127" s="7" t="s">
        <v>47</v>
      </c>
      <c r="L2127" s="7" t="s">
        <v>239</v>
      </c>
      <c r="M2127" s="7" t="s">
        <v>0</v>
      </c>
      <c r="N2127" s="7" t="s">
        <v>9382</v>
      </c>
      <c r="O2127" s="7" t="s">
        <v>0</v>
      </c>
      <c r="P2127" s="7" t="s">
        <v>9383</v>
      </c>
      <c r="Q2127" s="7" t="s">
        <v>9384</v>
      </c>
      <c r="R2127" s="7" t="s">
        <v>659</v>
      </c>
      <c r="S2127" s="7" t="s">
        <v>1476</v>
      </c>
      <c r="T2127" s="7" t="s">
        <v>54</v>
      </c>
      <c r="U2127" s="7" t="s">
        <v>283</v>
      </c>
      <c r="V2127" s="7" t="s">
        <v>102</v>
      </c>
      <c r="W2127" s="7" t="s">
        <v>57</v>
      </c>
      <c r="X2127" s="7" t="s">
        <v>103</v>
      </c>
      <c r="Y2127" s="8">
        <v>44562</v>
      </c>
      <c r="Z2127" s="8">
        <v>44620</v>
      </c>
      <c r="AA2127" s="7" t="s">
        <v>104</v>
      </c>
      <c r="AB2127" s="7" t="s">
        <v>130</v>
      </c>
      <c r="AC2127" s="7" t="s">
        <v>79</v>
      </c>
      <c r="AD2127" s="7" t="s">
        <v>514</v>
      </c>
      <c r="AE2127" s="7" t="s">
        <v>82</v>
      </c>
      <c r="AF2127" s="7" t="s">
        <v>0</v>
      </c>
      <c r="AG2127" s="7" t="s">
        <v>0</v>
      </c>
      <c r="AH2127" s="9" t="s">
        <v>13905</v>
      </c>
      <c r="AI2127" s="9" t="s">
        <v>13906</v>
      </c>
      <c r="AJ2127" s="9" t="s">
        <v>13907</v>
      </c>
      <c r="AK2127" s="7" t="s">
        <v>61</v>
      </c>
      <c r="AL2127" s="7" t="s">
        <v>61</v>
      </c>
      <c r="AM2127" s="7" t="s">
        <v>0</v>
      </c>
      <c r="AN2127" s="7" t="s">
        <v>0</v>
      </c>
      <c r="AO2127" s="7" t="s">
        <v>0</v>
      </c>
      <c r="AP2127" s="7" t="s">
        <v>0</v>
      </c>
      <c r="AQ2127" s="7" t="s">
        <v>61</v>
      </c>
      <c r="AR2127" s="7" t="s">
        <v>0</v>
      </c>
      <c r="AS2127" s="10" t="str">
        <f>HYPERLINK("https://tessa.gazprom-neft.local/edo/card/058c44e7-25bc-4a38-8b46-bb589fce0861", "https://tessa.gazprom-neft.local/edo/card/058c44e7-25bc-4a38-8b46-bb589fce0861")</f>
        <v>https://tessa.gazprom-neft.local/edo/card/058c44e7-25bc-4a38-8b46-bb589fce0861</v>
      </c>
    </row>
    <row r="2128" spans="1:45" x14ac:dyDescent="0.25">
      <c r="A2128" s="6" t="s">
        <v>44</v>
      </c>
      <c r="B2128" s="7" t="s">
        <v>1552</v>
      </c>
      <c r="C2128" s="7" t="s">
        <v>67</v>
      </c>
      <c r="D2128" s="8">
        <v>44540</v>
      </c>
      <c r="E2128" s="8" t="s">
        <v>0</v>
      </c>
      <c r="F2128" s="16" t="s">
        <v>1553</v>
      </c>
      <c r="G2128" s="7" t="s">
        <v>1554</v>
      </c>
      <c r="H2128" s="7" t="s">
        <v>1548</v>
      </c>
      <c r="I2128" s="7" t="s">
        <v>0</v>
      </c>
      <c r="J2128" s="7" t="s">
        <v>70</v>
      </c>
      <c r="K2128" s="7" t="s">
        <v>47</v>
      </c>
      <c r="L2128" s="7" t="s">
        <v>48</v>
      </c>
      <c r="M2128" s="7" t="s">
        <v>0</v>
      </c>
      <c r="N2128" s="7" t="s">
        <v>9192</v>
      </c>
      <c r="O2128" s="7" t="s">
        <v>0</v>
      </c>
      <c r="P2128" s="7" t="s">
        <v>9193</v>
      </c>
      <c r="Q2128" s="7" t="s">
        <v>9194</v>
      </c>
      <c r="R2128" s="7" t="s">
        <v>1551</v>
      </c>
      <c r="S2128" s="7" t="s">
        <v>4594</v>
      </c>
      <c r="T2128" s="7" t="s">
        <v>54</v>
      </c>
      <c r="U2128" s="7" t="s">
        <v>210</v>
      </c>
      <c r="V2128" s="7" t="s">
        <v>211</v>
      </c>
      <c r="W2128" s="7" t="s">
        <v>57</v>
      </c>
      <c r="X2128" s="7" t="s">
        <v>58</v>
      </c>
      <c r="Y2128" s="8">
        <v>44540</v>
      </c>
      <c r="Z2128" s="8" t="s">
        <v>0</v>
      </c>
      <c r="AA2128" s="7" t="s">
        <v>0</v>
      </c>
      <c r="AB2128" s="7" t="s">
        <v>1555</v>
      </c>
      <c r="AC2128" s="7" t="s">
        <v>65</v>
      </c>
      <c r="AD2128" s="7" t="s">
        <v>80</v>
      </c>
      <c r="AE2128" s="7" t="s">
        <v>0</v>
      </c>
      <c r="AF2128" s="7" t="s">
        <v>0</v>
      </c>
      <c r="AG2128" s="7" t="s">
        <v>0</v>
      </c>
      <c r="AH2128" s="9" t="s">
        <v>0</v>
      </c>
      <c r="AI2128" s="9" t="s">
        <v>0</v>
      </c>
      <c r="AJ2128" s="9" t="s">
        <v>0</v>
      </c>
      <c r="AK2128" s="7" t="s">
        <v>61</v>
      </c>
      <c r="AL2128" s="7" t="s">
        <v>61</v>
      </c>
      <c r="AM2128" s="7" t="s">
        <v>0</v>
      </c>
      <c r="AN2128" s="7" t="s">
        <v>0</v>
      </c>
      <c r="AO2128" s="7" t="s">
        <v>0</v>
      </c>
      <c r="AP2128" s="7" t="s">
        <v>0</v>
      </c>
      <c r="AQ2128" s="7" t="s">
        <v>61</v>
      </c>
      <c r="AR2128" s="7" t="s">
        <v>0</v>
      </c>
      <c r="AS2128" s="10" t="str">
        <f>HYPERLINK("https://tessa.gazprom-neft.local/edo/card/2464681e-eedc-4313-a653-f6a5182554fe", "https://tessa.gazprom-neft.local/edo/card/2464681e-eedc-4313-a653-f6a5182554fe")</f>
        <v>https://tessa.gazprom-neft.local/edo/card/2464681e-eedc-4313-a653-f6a5182554fe</v>
      </c>
    </row>
    <row r="2129" spans="1:45" x14ac:dyDescent="0.25">
      <c r="A2129" s="6" t="s">
        <v>44</v>
      </c>
      <c r="B2129" s="7" t="s">
        <v>2362</v>
      </c>
      <c r="C2129" s="7" t="s">
        <v>67</v>
      </c>
      <c r="D2129" s="8">
        <v>44540</v>
      </c>
      <c r="E2129" s="8" t="s">
        <v>0</v>
      </c>
      <c r="F2129" s="16" t="s">
        <v>2363</v>
      </c>
      <c r="G2129" s="7" t="s">
        <v>2364</v>
      </c>
      <c r="H2129" s="7" t="s">
        <v>9220</v>
      </c>
      <c r="I2129" s="7" t="s">
        <v>0</v>
      </c>
      <c r="J2129" s="7" t="s">
        <v>271</v>
      </c>
      <c r="K2129" s="7" t="s">
        <v>85</v>
      </c>
      <c r="L2129" s="7" t="s">
        <v>48</v>
      </c>
      <c r="M2129" s="7" t="s">
        <v>2128</v>
      </c>
      <c r="N2129" s="7" t="s">
        <v>9219</v>
      </c>
      <c r="O2129" s="7" t="s">
        <v>0</v>
      </c>
      <c r="P2129" s="7" t="s">
        <v>2128</v>
      </c>
      <c r="Q2129" s="7" t="s">
        <v>8966</v>
      </c>
      <c r="R2129" s="7" t="s">
        <v>938</v>
      </c>
      <c r="S2129" s="7" t="s">
        <v>938</v>
      </c>
      <c r="T2129" s="7" t="s">
        <v>54</v>
      </c>
      <c r="U2129" s="7" t="s">
        <v>605</v>
      </c>
      <c r="V2129" s="7" t="s">
        <v>382</v>
      </c>
      <c r="W2129" s="7" t="s">
        <v>57</v>
      </c>
      <c r="X2129" s="7" t="s">
        <v>103</v>
      </c>
      <c r="Y2129" s="8">
        <v>44540</v>
      </c>
      <c r="Z2129" s="8">
        <v>45291</v>
      </c>
      <c r="AA2129" s="7" t="s">
        <v>1656</v>
      </c>
      <c r="AB2129" s="7" t="s">
        <v>1419</v>
      </c>
      <c r="AC2129" s="7" t="s">
        <v>65</v>
      </c>
      <c r="AD2129" s="7" t="s">
        <v>0</v>
      </c>
      <c r="AE2129" s="7" t="s">
        <v>0</v>
      </c>
      <c r="AF2129" s="7" t="s">
        <v>0</v>
      </c>
      <c r="AG2129" s="7" t="s">
        <v>0</v>
      </c>
      <c r="AH2129" s="9" t="s">
        <v>0</v>
      </c>
      <c r="AI2129" s="9" t="s">
        <v>0</v>
      </c>
      <c r="AJ2129" s="9" t="s">
        <v>0</v>
      </c>
      <c r="AK2129" s="7" t="s">
        <v>61</v>
      </c>
      <c r="AL2129" s="7" t="s">
        <v>61</v>
      </c>
      <c r="AM2129" s="7" t="s">
        <v>0</v>
      </c>
      <c r="AN2129" s="7" t="s">
        <v>0</v>
      </c>
      <c r="AO2129" s="7" t="s">
        <v>0</v>
      </c>
      <c r="AP2129" s="7" t="s">
        <v>0</v>
      </c>
      <c r="AQ2129" s="7" t="s">
        <v>61</v>
      </c>
      <c r="AR2129" s="7" t="s">
        <v>0</v>
      </c>
      <c r="AS2129" s="10" t="str">
        <f>HYPERLINK("https://tessa.gazprom-neft.local/edo/card/c8632f5d-1d85-4616-b2a2-ad350ab4e52e", "https://tessa.gazprom-neft.local/edo/card/c8632f5d-1d85-4616-b2a2-ad350ab4e52e")</f>
        <v>https://tessa.gazprom-neft.local/edo/card/c8632f5d-1d85-4616-b2a2-ad350ab4e52e</v>
      </c>
    </row>
    <row r="2130" spans="1:45" hidden="1" x14ac:dyDescent="0.25">
      <c r="A2130" s="6" t="s">
        <v>44</v>
      </c>
      <c r="B2130" s="7" t="s">
        <v>0</v>
      </c>
      <c r="C2130" s="7" t="s">
        <v>46</v>
      </c>
      <c r="D2130" s="8">
        <v>44539</v>
      </c>
      <c r="E2130" s="8" t="s">
        <v>0</v>
      </c>
      <c r="F2130" s="16" t="s">
        <v>9201</v>
      </c>
      <c r="G2130" s="7" t="s">
        <v>0</v>
      </c>
      <c r="H2130" s="7" t="s">
        <v>0</v>
      </c>
      <c r="I2130" s="7" t="s">
        <v>9199</v>
      </c>
      <c r="J2130" s="7" t="s">
        <v>9199</v>
      </c>
      <c r="K2130" s="7" t="s">
        <v>85</v>
      </c>
      <c r="L2130" s="7" t="s">
        <v>96</v>
      </c>
      <c r="M2130" s="7" t="s">
        <v>183</v>
      </c>
      <c r="N2130" s="7" t="s">
        <v>9198</v>
      </c>
      <c r="O2130" s="7" t="s">
        <v>0</v>
      </c>
      <c r="P2130" s="7" t="s">
        <v>183</v>
      </c>
      <c r="Q2130" s="7" t="s">
        <v>9200</v>
      </c>
      <c r="R2130" s="7" t="s">
        <v>6069</v>
      </c>
      <c r="S2130" s="7" t="s">
        <v>6069</v>
      </c>
      <c r="T2130" s="7" t="s">
        <v>54</v>
      </c>
      <c r="U2130" s="7" t="s">
        <v>1012</v>
      </c>
      <c r="V2130" s="7" t="s">
        <v>137</v>
      </c>
      <c r="W2130" s="7" t="s">
        <v>57</v>
      </c>
      <c r="X2130" s="7" t="s">
        <v>103</v>
      </c>
      <c r="Y2130" s="8">
        <v>44539</v>
      </c>
      <c r="Z2130" s="8">
        <v>44620</v>
      </c>
      <c r="AA2130" s="7" t="s">
        <v>0</v>
      </c>
      <c r="AB2130" s="7" t="s">
        <v>192</v>
      </c>
      <c r="AC2130" s="7" t="s">
        <v>79</v>
      </c>
      <c r="AD2130" s="7" t="s">
        <v>80</v>
      </c>
      <c r="AE2130" s="7" t="s">
        <v>193</v>
      </c>
      <c r="AF2130" s="7" t="s">
        <v>0</v>
      </c>
      <c r="AG2130" s="7" t="s">
        <v>0</v>
      </c>
      <c r="AH2130" s="9" t="s">
        <v>13837</v>
      </c>
      <c r="AI2130" s="9" t="s">
        <v>13838</v>
      </c>
      <c r="AJ2130" s="9" t="s">
        <v>13839</v>
      </c>
      <c r="AK2130" s="7" t="s">
        <v>61</v>
      </c>
      <c r="AL2130" s="7" t="s">
        <v>61</v>
      </c>
      <c r="AM2130" s="7" t="s">
        <v>0</v>
      </c>
      <c r="AN2130" s="7" t="s">
        <v>0</v>
      </c>
      <c r="AO2130" s="7" t="s">
        <v>0</v>
      </c>
      <c r="AP2130" s="7" t="s">
        <v>0</v>
      </c>
      <c r="AQ2130" s="7" t="s">
        <v>61</v>
      </c>
      <c r="AR2130" s="7" t="s">
        <v>0</v>
      </c>
      <c r="AS2130" s="10" t="str">
        <f>HYPERLINK("https://tessa.gazprom-neft.local/edo/card/260ff1dc-16e2-4197-b48e-163e676a3d42", "https://tessa.gazprom-neft.local/edo/card/260ff1dc-16e2-4197-b48e-163e676a3d42")</f>
        <v>https://tessa.gazprom-neft.local/edo/card/260ff1dc-16e2-4197-b48e-163e676a3d42</v>
      </c>
    </row>
    <row r="2131" spans="1:45" hidden="1" x14ac:dyDescent="0.25">
      <c r="A2131" s="6" t="s">
        <v>44</v>
      </c>
      <c r="B2131" s="7" t="s">
        <v>0</v>
      </c>
      <c r="C2131" s="7" t="s">
        <v>46</v>
      </c>
      <c r="D2131" s="8">
        <v>44539</v>
      </c>
      <c r="E2131" s="8" t="s">
        <v>0</v>
      </c>
      <c r="F2131" s="16" t="s">
        <v>9201</v>
      </c>
      <c r="G2131" s="7" t="s">
        <v>0</v>
      </c>
      <c r="H2131" s="7" t="s">
        <v>0</v>
      </c>
      <c r="I2131" s="7" t="s">
        <v>9206</v>
      </c>
      <c r="J2131" s="7" t="s">
        <v>9206</v>
      </c>
      <c r="K2131" s="7" t="s">
        <v>85</v>
      </c>
      <c r="L2131" s="7" t="s">
        <v>86</v>
      </c>
      <c r="M2131" s="7" t="s">
        <v>523</v>
      </c>
      <c r="N2131" s="7" t="s">
        <v>9205</v>
      </c>
      <c r="O2131" s="7" t="s">
        <v>0</v>
      </c>
      <c r="P2131" s="7" t="s">
        <v>523</v>
      </c>
      <c r="Q2131" s="7" t="s">
        <v>9207</v>
      </c>
      <c r="R2131" s="7" t="s">
        <v>6069</v>
      </c>
      <c r="S2131" s="7" t="s">
        <v>0</v>
      </c>
      <c r="T2131" s="7" t="s">
        <v>54</v>
      </c>
      <c r="U2131" s="7" t="s">
        <v>1012</v>
      </c>
      <c r="V2131" s="7" t="s">
        <v>137</v>
      </c>
      <c r="W2131" s="7" t="s">
        <v>57</v>
      </c>
      <c r="X2131" s="7" t="s">
        <v>103</v>
      </c>
      <c r="Y2131" s="8">
        <v>44539</v>
      </c>
      <c r="Z2131" s="8">
        <v>44558</v>
      </c>
      <c r="AA2131" s="7" t="s">
        <v>0</v>
      </c>
      <c r="AB2131" s="7" t="s">
        <v>94</v>
      </c>
      <c r="AC2131" s="7" t="s">
        <v>65</v>
      </c>
      <c r="AD2131" s="7" t="s">
        <v>0</v>
      </c>
      <c r="AE2131" s="7" t="s">
        <v>0</v>
      </c>
      <c r="AF2131" s="7" t="s">
        <v>0</v>
      </c>
      <c r="AG2131" s="7" t="s">
        <v>0</v>
      </c>
      <c r="AH2131" s="9" t="s">
        <v>0</v>
      </c>
      <c r="AI2131" s="9" t="s">
        <v>0</v>
      </c>
      <c r="AJ2131" s="9" t="s">
        <v>0</v>
      </c>
      <c r="AK2131" s="7" t="s">
        <v>61</v>
      </c>
      <c r="AL2131" s="7" t="s">
        <v>61</v>
      </c>
      <c r="AM2131" s="7" t="s">
        <v>0</v>
      </c>
      <c r="AN2131" s="7" t="s">
        <v>0</v>
      </c>
      <c r="AO2131" s="7" t="s">
        <v>0</v>
      </c>
      <c r="AP2131" s="7" t="s">
        <v>0</v>
      </c>
      <c r="AQ2131" s="7" t="s">
        <v>61</v>
      </c>
      <c r="AR2131" s="7" t="s">
        <v>0</v>
      </c>
      <c r="AS2131" s="10" t="str">
        <f>HYPERLINK("https://tessa.gazprom-neft.local/edo/card/da5fe3df-db61-44ad-b208-cbeeb37dfe6b", "https://tessa.gazprom-neft.local/edo/card/da5fe3df-db61-44ad-b208-cbeeb37dfe6b")</f>
        <v>https://tessa.gazprom-neft.local/edo/card/da5fe3df-db61-44ad-b208-cbeeb37dfe6b</v>
      </c>
    </row>
    <row r="2132" spans="1:45" hidden="1" x14ac:dyDescent="0.25">
      <c r="A2132" s="6" t="s">
        <v>44</v>
      </c>
      <c r="B2132" s="7" t="s">
        <v>542</v>
      </c>
      <c r="C2132" s="7" t="s">
        <v>67</v>
      </c>
      <c r="D2132" s="8">
        <v>44539</v>
      </c>
      <c r="E2132" s="8" t="s">
        <v>0</v>
      </c>
      <c r="F2132" s="16" t="s">
        <v>543</v>
      </c>
      <c r="G2132" s="7" t="s">
        <v>544</v>
      </c>
      <c r="H2132" s="7" t="s">
        <v>536</v>
      </c>
      <c r="I2132" s="7" t="s">
        <v>0</v>
      </c>
      <c r="J2132" s="7" t="s">
        <v>122</v>
      </c>
      <c r="K2132" s="7" t="s">
        <v>47</v>
      </c>
      <c r="L2132" s="7" t="s">
        <v>239</v>
      </c>
      <c r="M2132" s="7" t="s">
        <v>0</v>
      </c>
      <c r="N2132" s="7" t="s">
        <v>9213</v>
      </c>
      <c r="O2132" s="7" t="s">
        <v>0</v>
      </c>
      <c r="P2132" s="7" t="s">
        <v>9214</v>
      </c>
      <c r="Q2132" s="7" t="s">
        <v>9215</v>
      </c>
      <c r="R2132" s="7" t="s">
        <v>540</v>
      </c>
      <c r="S2132" s="7" t="s">
        <v>0</v>
      </c>
      <c r="T2132" s="7" t="s">
        <v>54</v>
      </c>
      <c r="U2132" s="7" t="s">
        <v>541</v>
      </c>
      <c r="V2132" s="7" t="s">
        <v>56</v>
      </c>
      <c r="W2132" s="7" t="s">
        <v>57</v>
      </c>
      <c r="X2132" s="7" t="s">
        <v>103</v>
      </c>
      <c r="Y2132" s="8">
        <v>44539</v>
      </c>
      <c r="Z2132" s="8">
        <v>44593</v>
      </c>
      <c r="AA2132" s="7" t="s">
        <v>1251</v>
      </c>
      <c r="AB2132" s="7" t="s">
        <v>545</v>
      </c>
      <c r="AC2132" s="7" t="s">
        <v>79</v>
      </c>
      <c r="AD2132" s="7" t="s">
        <v>144</v>
      </c>
      <c r="AE2132" s="7" t="s">
        <v>82</v>
      </c>
      <c r="AF2132" s="7" t="s">
        <v>0</v>
      </c>
      <c r="AG2132" s="7" t="s">
        <v>0</v>
      </c>
      <c r="AH2132" s="9" t="s">
        <v>13841</v>
      </c>
      <c r="AI2132" s="9" t="s">
        <v>13842</v>
      </c>
      <c r="AJ2132" s="9" t="s">
        <v>13843</v>
      </c>
      <c r="AK2132" s="7" t="s">
        <v>61</v>
      </c>
      <c r="AL2132" s="7" t="s">
        <v>61</v>
      </c>
      <c r="AM2132" s="7" t="s">
        <v>0</v>
      </c>
      <c r="AN2132" s="7" t="s">
        <v>0</v>
      </c>
      <c r="AO2132" s="7" t="s">
        <v>0</v>
      </c>
      <c r="AP2132" s="7" t="s">
        <v>0</v>
      </c>
      <c r="AQ2132" s="7" t="s">
        <v>61</v>
      </c>
      <c r="AR2132" s="7" t="s">
        <v>0</v>
      </c>
      <c r="AS2132" s="10" t="str">
        <f>HYPERLINK("https://tessa.gazprom-neft.local/edo/card/250825bc-1226-4fd9-afcc-92495a891746", "https://tessa.gazprom-neft.local/edo/card/250825bc-1226-4fd9-afcc-92495a891746")</f>
        <v>https://tessa.gazprom-neft.local/edo/card/250825bc-1226-4fd9-afcc-92495a891746</v>
      </c>
    </row>
    <row r="2133" spans="1:45" hidden="1" x14ac:dyDescent="0.25">
      <c r="A2133" s="6" t="s">
        <v>44</v>
      </c>
      <c r="B2133" s="7" t="s">
        <v>2408</v>
      </c>
      <c r="C2133" s="7" t="s">
        <v>46</v>
      </c>
      <c r="D2133" s="8">
        <v>44539</v>
      </c>
      <c r="E2133" s="8" t="s">
        <v>0</v>
      </c>
      <c r="F2133" s="16" t="s">
        <v>2409</v>
      </c>
      <c r="G2133" s="7" t="s">
        <v>2410</v>
      </c>
      <c r="H2133" s="7" t="s">
        <v>0</v>
      </c>
      <c r="I2133" s="7" t="s">
        <v>9322</v>
      </c>
      <c r="J2133" s="7" t="s">
        <v>9322</v>
      </c>
      <c r="K2133" s="7" t="s">
        <v>47</v>
      </c>
      <c r="L2133" s="7" t="s">
        <v>96</v>
      </c>
      <c r="M2133" s="7" t="s">
        <v>0</v>
      </c>
      <c r="N2133" s="7" t="s">
        <v>9321</v>
      </c>
      <c r="O2133" s="7" t="s">
        <v>0</v>
      </c>
      <c r="P2133" s="7" t="s">
        <v>9323</v>
      </c>
      <c r="Q2133" s="7" t="s">
        <v>9324</v>
      </c>
      <c r="R2133" s="7" t="s">
        <v>1476</v>
      </c>
      <c r="S2133" s="7" t="s">
        <v>1476</v>
      </c>
      <c r="T2133" s="7" t="s">
        <v>54</v>
      </c>
      <c r="U2133" s="7" t="s">
        <v>101</v>
      </c>
      <c r="V2133" s="7" t="s">
        <v>102</v>
      </c>
      <c r="W2133" s="7" t="s">
        <v>57</v>
      </c>
      <c r="X2133" s="7" t="s">
        <v>103</v>
      </c>
      <c r="Y2133" s="8">
        <v>44539</v>
      </c>
      <c r="Z2133" s="8">
        <v>44926</v>
      </c>
      <c r="AA2133" s="7" t="s">
        <v>104</v>
      </c>
      <c r="AB2133" s="7" t="s">
        <v>366</v>
      </c>
      <c r="AC2133" s="7" t="s">
        <v>278</v>
      </c>
      <c r="AD2133" s="7" t="s">
        <v>367</v>
      </c>
      <c r="AE2133" s="7" t="s">
        <v>82</v>
      </c>
      <c r="AF2133" s="7" t="s">
        <v>0</v>
      </c>
      <c r="AG2133" s="7" t="s">
        <v>0</v>
      </c>
      <c r="AH2133" s="9" t="s">
        <v>13877</v>
      </c>
      <c r="AI2133" s="9" t="s">
        <v>13878</v>
      </c>
      <c r="AJ2133" s="9" t="s">
        <v>13879</v>
      </c>
      <c r="AK2133" s="7" t="s">
        <v>61</v>
      </c>
      <c r="AL2133" s="7" t="s">
        <v>61</v>
      </c>
      <c r="AM2133" s="7" t="s">
        <v>0</v>
      </c>
      <c r="AN2133" s="7" t="s">
        <v>0</v>
      </c>
      <c r="AO2133" s="7" t="s">
        <v>0</v>
      </c>
      <c r="AP2133" s="7" t="s">
        <v>0</v>
      </c>
      <c r="AQ2133" s="7" t="s">
        <v>61</v>
      </c>
      <c r="AR2133" s="7" t="s">
        <v>0</v>
      </c>
      <c r="AS2133" s="10" t="str">
        <f>HYPERLINK("https://tessa.gazprom-neft.local/edo/card/6175a6d0-5f75-48c9-884d-a2a39e366abb", "https://tessa.gazprom-neft.local/edo/card/6175a6d0-5f75-48c9-884d-a2a39e366abb")</f>
        <v>https://tessa.gazprom-neft.local/edo/card/6175a6d0-5f75-48c9-884d-a2a39e366abb</v>
      </c>
    </row>
    <row r="2134" spans="1:45" hidden="1" x14ac:dyDescent="0.25">
      <c r="A2134" s="6" t="s">
        <v>44</v>
      </c>
      <c r="B2134" s="7" t="s">
        <v>661</v>
      </c>
      <c r="C2134" s="7" t="s">
        <v>67</v>
      </c>
      <c r="D2134" s="8">
        <v>44538</v>
      </c>
      <c r="E2134" s="8" t="s">
        <v>0</v>
      </c>
      <c r="F2134" s="16" t="s">
        <v>662</v>
      </c>
      <c r="G2134" s="7" t="s">
        <v>663</v>
      </c>
      <c r="H2134" s="7" t="s">
        <v>1426</v>
      </c>
      <c r="I2134" s="7" t="s">
        <v>0</v>
      </c>
      <c r="J2134" s="7" t="s">
        <v>263</v>
      </c>
      <c r="K2134" s="7" t="s">
        <v>47</v>
      </c>
      <c r="L2134" s="7" t="s">
        <v>239</v>
      </c>
      <c r="M2134" s="7" t="s">
        <v>0</v>
      </c>
      <c r="N2134" s="7" t="s">
        <v>9130</v>
      </c>
      <c r="O2134" s="7" t="s">
        <v>0</v>
      </c>
      <c r="P2134" s="7" t="s">
        <v>9131</v>
      </c>
      <c r="Q2134" s="7" t="s">
        <v>9132</v>
      </c>
      <c r="R2134" s="7" t="s">
        <v>659</v>
      </c>
      <c r="S2134" s="7" t="s">
        <v>1476</v>
      </c>
      <c r="T2134" s="7" t="s">
        <v>54</v>
      </c>
      <c r="U2134" s="7" t="s">
        <v>283</v>
      </c>
      <c r="V2134" s="7" t="s">
        <v>102</v>
      </c>
      <c r="W2134" s="7" t="s">
        <v>57</v>
      </c>
      <c r="X2134" s="7" t="s">
        <v>103</v>
      </c>
      <c r="Y2134" s="8">
        <v>44538</v>
      </c>
      <c r="Z2134" s="8">
        <v>44926</v>
      </c>
      <c r="AA2134" s="7" t="s">
        <v>6296</v>
      </c>
      <c r="AB2134" s="7" t="s">
        <v>130</v>
      </c>
      <c r="AC2134" s="7" t="s">
        <v>79</v>
      </c>
      <c r="AD2134" s="7" t="s">
        <v>144</v>
      </c>
      <c r="AE2134" s="7" t="s">
        <v>82</v>
      </c>
      <c r="AF2134" s="7" t="s">
        <v>0</v>
      </c>
      <c r="AG2134" s="7" t="s">
        <v>0</v>
      </c>
      <c r="AH2134" s="9" t="s">
        <v>13809</v>
      </c>
      <c r="AI2134" s="9" t="s">
        <v>13810</v>
      </c>
      <c r="AJ2134" s="9" t="s">
        <v>13811</v>
      </c>
      <c r="AK2134" s="7" t="s">
        <v>61</v>
      </c>
      <c r="AL2134" s="7" t="s">
        <v>61</v>
      </c>
      <c r="AM2134" s="7" t="s">
        <v>0</v>
      </c>
      <c r="AN2134" s="7" t="s">
        <v>0</v>
      </c>
      <c r="AO2134" s="7" t="s">
        <v>0</v>
      </c>
      <c r="AP2134" s="7" t="s">
        <v>0</v>
      </c>
      <c r="AQ2134" s="7" t="s">
        <v>61</v>
      </c>
      <c r="AR2134" s="7" t="s">
        <v>0</v>
      </c>
      <c r="AS2134" s="10" t="str">
        <f>HYPERLINK("https://tessa.gazprom-neft.local/edo/card/d07c1aa0-12bd-4f5c-9c93-b9b94bddd143", "https://tessa.gazprom-neft.local/edo/card/d07c1aa0-12bd-4f5c-9c93-b9b94bddd143")</f>
        <v>https://tessa.gazprom-neft.local/edo/card/d07c1aa0-12bd-4f5c-9c93-b9b94bddd143</v>
      </c>
    </row>
    <row r="2135" spans="1:45" hidden="1" x14ac:dyDescent="0.25">
      <c r="A2135" s="6" t="s">
        <v>44</v>
      </c>
      <c r="B2135" s="7" t="s">
        <v>1101</v>
      </c>
      <c r="C2135" s="7" t="s">
        <v>67</v>
      </c>
      <c r="D2135" s="8">
        <v>44537</v>
      </c>
      <c r="E2135" s="8" t="s">
        <v>0</v>
      </c>
      <c r="F2135" s="16" t="s">
        <v>1102</v>
      </c>
      <c r="G2135" s="7" t="s">
        <v>1103</v>
      </c>
      <c r="H2135" s="7" t="s">
        <v>0</v>
      </c>
      <c r="I2135" s="7" t="s">
        <v>9126</v>
      </c>
      <c r="J2135" s="7" t="s">
        <v>9126</v>
      </c>
      <c r="K2135" s="7" t="s">
        <v>47</v>
      </c>
      <c r="L2135" s="7" t="s">
        <v>86</v>
      </c>
      <c r="M2135" s="7" t="s">
        <v>0</v>
      </c>
      <c r="N2135" s="7" t="s">
        <v>9125</v>
      </c>
      <c r="O2135" s="7" t="s">
        <v>0</v>
      </c>
      <c r="P2135" s="7" t="s">
        <v>941</v>
      </c>
      <c r="Q2135" s="7" t="s">
        <v>1114</v>
      </c>
      <c r="R2135" s="7" t="s">
        <v>513</v>
      </c>
      <c r="S2135" s="7" t="s">
        <v>513</v>
      </c>
      <c r="T2135" s="7" t="s">
        <v>54</v>
      </c>
      <c r="U2135" s="7" t="s">
        <v>303</v>
      </c>
      <c r="V2135" s="7" t="s">
        <v>91</v>
      </c>
      <c r="W2135" s="7" t="s">
        <v>57</v>
      </c>
      <c r="X2135" s="7" t="s">
        <v>223</v>
      </c>
      <c r="Y2135" s="8">
        <v>44537</v>
      </c>
      <c r="Z2135" s="8" t="s">
        <v>0</v>
      </c>
      <c r="AA2135" s="7" t="s">
        <v>7093</v>
      </c>
      <c r="AB2135" s="7" t="s">
        <v>300</v>
      </c>
      <c r="AC2135" s="7" t="s">
        <v>65</v>
      </c>
      <c r="AD2135" s="7" t="s">
        <v>0</v>
      </c>
      <c r="AE2135" s="7" t="s">
        <v>0</v>
      </c>
      <c r="AF2135" s="7" t="s">
        <v>0</v>
      </c>
      <c r="AG2135" s="7" t="s">
        <v>0</v>
      </c>
      <c r="AH2135" s="9" t="s">
        <v>0</v>
      </c>
      <c r="AI2135" s="9" t="s">
        <v>0</v>
      </c>
      <c r="AJ2135" s="9" t="s">
        <v>0</v>
      </c>
      <c r="AK2135" s="7" t="s">
        <v>61</v>
      </c>
      <c r="AL2135" s="7" t="s">
        <v>61</v>
      </c>
      <c r="AM2135" s="7" t="s">
        <v>0</v>
      </c>
      <c r="AN2135" s="7" t="s">
        <v>0</v>
      </c>
      <c r="AO2135" s="7" t="s">
        <v>0</v>
      </c>
      <c r="AP2135" s="7" t="s">
        <v>0</v>
      </c>
      <c r="AQ2135" s="7" t="s">
        <v>61</v>
      </c>
      <c r="AR2135" s="7" t="s">
        <v>0</v>
      </c>
      <c r="AS2135" s="10" t="str">
        <f>HYPERLINK("https://tessa.gazprom-neft.local/edo/card/2385239b-3bff-481b-b57e-c0580d1789ed", "https://tessa.gazprom-neft.local/edo/card/2385239b-3bff-481b-b57e-c0580d1789ed")</f>
        <v>https://tessa.gazprom-neft.local/edo/card/2385239b-3bff-481b-b57e-c0580d1789ed</v>
      </c>
    </row>
    <row r="2136" spans="1:45" x14ac:dyDescent="0.25">
      <c r="A2136" s="6" t="s">
        <v>44</v>
      </c>
      <c r="B2136" s="7" t="s">
        <v>6070</v>
      </c>
      <c r="C2136" s="7" t="s">
        <v>67</v>
      </c>
      <c r="D2136" s="8">
        <v>44537</v>
      </c>
      <c r="E2136" s="8" t="s">
        <v>0</v>
      </c>
      <c r="F2136" s="16" t="s">
        <v>6071</v>
      </c>
      <c r="G2136" s="7" t="s">
        <v>6072</v>
      </c>
      <c r="H2136" s="7" t="s">
        <v>6066</v>
      </c>
      <c r="I2136" s="7" t="s">
        <v>0</v>
      </c>
      <c r="J2136" s="7" t="s">
        <v>9144</v>
      </c>
      <c r="K2136" s="7" t="s">
        <v>47</v>
      </c>
      <c r="L2136" s="7" t="s">
        <v>48</v>
      </c>
      <c r="M2136" s="7" t="s">
        <v>0</v>
      </c>
      <c r="N2136" s="7" t="s">
        <v>9143</v>
      </c>
      <c r="O2136" s="7" t="s">
        <v>0</v>
      </c>
      <c r="P2136" s="7" t="s">
        <v>1859</v>
      </c>
      <c r="Q2136" s="7" t="s">
        <v>9145</v>
      </c>
      <c r="R2136" s="7" t="s">
        <v>6069</v>
      </c>
      <c r="S2136" s="7" t="s">
        <v>6069</v>
      </c>
      <c r="T2136" s="7" t="s">
        <v>54</v>
      </c>
      <c r="U2136" s="7" t="s">
        <v>1012</v>
      </c>
      <c r="V2136" s="7" t="s">
        <v>137</v>
      </c>
      <c r="W2136" s="7" t="s">
        <v>57</v>
      </c>
      <c r="X2136" s="7" t="s">
        <v>103</v>
      </c>
      <c r="Y2136" s="8">
        <v>43753</v>
      </c>
      <c r="Z2136" s="8">
        <v>45291</v>
      </c>
      <c r="AA2136" s="7" t="s">
        <v>0</v>
      </c>
      <c r="AB2136" s="7" t="s">
        <v>64</v>
      </c>
      <c r="AC2136" s="7" t="s">
        <v>65</v>
      </c>
      <c r="AD2136" s="7" t="s">
        <v>0</v>
      </c>
      <c r="AE2136" s="7" t="s">
        <v>0</v>
      </c>
      <c r="AF2136" s="7" t="s">
        <v>0</v>
      </c>
      <c r="AG2136" s="7" t="s">
        <v>0</v>
      </c>
      <c r="AH2136" s="9" t="s">
        <v>0</v>
      </c>
      <c r="AI2136" s="9" t="s">
        <v>0</v>
      </c>
      <c r="AJ2136" s="9" t="s">
        <v>0</v>
      </c>
      <c r="AK2136" s="7" t="s">
        <v>61</v>
      </c>
      <c r="AL2136" s="7" t="s">
        <v>61</v>
      </c>
      <c r="AM2136" s="7" t="s">
        <v>0</v>
      </c>
      <c r="AN2136" s="7" t="s">
        <v>0</v>
      </c>
      <c r="AO2136" s="7" t="s">
        <v>0</v>
      </c>
      <c r="AP2136" s="7" t="s">
        <v>0</v>
      </c>
      <c r="AQ2136" s="7" t="s">
        <v>61</v>
      </c>
      <c r="AR2136" s="7" t="s">
        <v>0</v>
      </c>
      <c r="AS2136" s="10" t="str">
        <f>HYPERLINK("https://tessa.gazprom-neft.local/edo/card/40c41bd9-cb59-4de1-b1e2-7a0bc27faf21", "https://tessa.gazprom-neft.local/edo/card/40c41bd9-cb59-4de1-b1e2-7a0bc27faf21")</f>
        <v>https://tessa.gazprom-neft.local/edo/card/40c41bd9-cb59-4de1-b1e2-7a0bc27faf21</v>
      </c>
    </row>
    <row r="2137" spans="1:45" hidden="1" x14ac:dyDescent="0.25">
      <c r="A2137" s="6" t="s">
        <v>44</v>
      </c>
      <c r="B2137" s="7" t="s">
        <v>520</v>
      </c>
      <c r="C2137" s="7" t="s">
        <v>67</v>
      </c>
      <c r="D2137" s="8">
        <v>44536</v>
      </c>
      <c r="E2137" s="8" t="s">
        <v>0</v>
      </c>
      <c r="F2137" s="16" t="s">
        <v>521</v>
      </c>
      <c r="G2137" s="7" t="s">
        <v>522</v>
      </c>
      <c r="H2137" s="7" t="s">
        <v>8392</v>
      </c>
      <c r="I2137" s="7" t="s">
        <v>0</v>
      </c>
      <c r="J2137" s="7" t="s">
        <v>271</v>
      </c>
      <c r="K2137" s="7" t="s">
        <v>47</v>
      </c>
      <c r="L2137" s="7" t="s">
        <v>493</v>
      </c>
      <c r="M2137" s="7" t="s">
        <v>0</v>
      </c>
      <c r="N2137" s="7" t="s">
        <v>8391</v>
      </c>
      <c r="O2137" s="7" t="s">
        <v>0</v>
      </c>
      <c r="P2137" s="7" t="s">
        <v>8393</v>
      </c>
      <c r="Q2137" s="7" t="s">
        <v>8394</v>
      </c>
      <c r="R2137" s="7" t="s">
        <v>293</v>
      </c>
      <c r="S2137" s="7" t="s">
        <v>8395</v>
      </c>
      <c r="T2137" s="7" t="s">
        <v>54</v>
      </c>
      <c r="U2137" s="7" t="s">
        <v>1683</v>
      </c>
      <c r="V2137" s="7" t="s">
        <v>295</v>
      </c>
      <c r="W2137" s="7" t="s">
        <v>57</v>
      </c>
      <c r="X2137" s="7" t="s">
        <v>58</v>
      </c>
      <c r="Y2137" s="8">
        <v>44536</v>
      </c>
      <c r="Z2137" s="8" t="s">
        <v>0</v>
      </c>
      <c r="AA2137" s="7" t="s">
        <v>1269</v>
      </c>
      <c r="AB2137" s="7" t="s">
        <v>500</v>
      </c>
      <c r="AC2137" s="7" t="s">
        <v>79</v>
      </c>
      <c r="AD2137" s="7" t="s">
        <v>80</v>
      </c>
      <c r="AE2137" s="7" t="s">
        <v>4078</v>
      </c>
      <c r="AF2137" s="7" t="s">
        <v>0</v>
      </c>
      <c r="AG2137" s="7" t="s">
        <v>0</v>
      </c>
      <c r="AH2137" s="9" t="s">
        <v>13528</v>
      </c>
      <c r="AI2137" s="9" t="s">
        <v>13529</v>
      </c>
      <c r="AJ2137" s="9" t="s">
        <v>13530</v>
      </c>
      <c r="AK2137" s="7" t="s">
        <v>61</v>
      </c>
      <c r="AL2137" s="7" t="s">
        <v>61</v>
      </c>
      <c r="AM2137" s="7" t="s">
        <v>0</v>
      </c>
      <c r="AN2137" s="7" t="s">
        <v>0</v>
      </c>
      <c r="AO2137" s="7" t="s">
        <v>0</v>
      </c>
      <c r="AP2137" s="7" t="s">
        <v>0</v>
      </c>
      <c r="AQ2137" s="7" t="s">
        <v>61</v>
      </c>
      <c r="AR2137" s="7" t="s">
        <v>0</v>
      </c>
      <c r="AS2137" s="10" t="str">
        <f>HYPERLINK("https://tessa.gazprom-neft.local/edo/card/3e94d6db-253a-49b1-81ee-f5b58cccf636", "https://tessa.gazprom-neft.local/edo/card/3e94d6db-253a-49b1-81ee-f5b58cccf636")</f>
        <v>https://tessa.gazprom-neft.local/edo/card/3e94d6db-253a-49b1-81ee-f5b58cccf636</v>
      </c>
    </row>
    <row r="2138" spans="1:45" x14ac:dyDescent="0.25">
      <c r="A2138" s="6" t="s">
        <v>44</v>
      </c>
      <c r="B2138" s="7" t="s">
        <v>114</v>
      </c>
      <c r="C2138" s="7" t="s">
        <v>67</v>
      </c>
      <c r="D2138" s="8">
        <v>44536</v>
      </c>
      <c r="E2138" s="8" t="s">
        <v>0</v>
      </c>
      <c r="F2138" s="16" t="s">
        <v>115</v>
      </c>
      <c r="G2138" s="7" t="s">
        <v>116</v>
      </c>
      <c r="H2138" s="7" t="s">
        <v>311</v>
      </c>
      <c r="I2138" s="7" t="s">
        <v>0</v>
      </c>
      <c r="J2138" s="7" t="s">
        <v>51</v>
      </c>
      <c r="K2138" s="7" t="s">
        <v>47</v>
      </c>
      <c r="L2138" s="7" t="s">
        <v>48</v>
      </c>
      <c r="M2138" s="7" t="s">
        <v>0</v>
      </c>
      <c r="N2138" s="7" t="s">
        <v>8485</v>
      </c>
      <c r="O2138" s="7" t="s">
        <v>0</v>
      </c>
      <c r="P2138" s="7" t="s">
        <v>50</v>
      </c>
      <c r="Q2138" s="7" t="s">
        <v>8486</v>
      </c>
      <c r="R2138" s="7" t="s">
        <v>110</v>
      </c>
      <c r="S2138" s="7" t="s">
        <v>110</v>
      </c>
      <c r="T2138" s="7" t="s">
        <v>54</v>
      </c>
      <c r="U2138" s="7" t="s">
        <v>111</v>
      </c>
      <c r="V2138" s="7" t="s">
        <v>137</v>
      </c>
      <c r="W2138" s="7" t="s">
        <v>57</v>
      </c>
      <c r="X2138" s="7" t="s">
        <v>58</v>
      </c>
      <c r="Y2138" s="8">
        <v>44536</v>
      </c>
      <c r="Z2138" s="8" t="s">
        <v>0</v>
      </c>
      <c r="AA2138" s="7" t="s">
        <v>0</v>
      </c>
      <c r="AB2138" s="7" t="s">
        <v>328</v>
      </c>
      <c r="AC2138" s="7" t="s">
        <v>278</v>
      </c>
      <c r="AD2138" s="7" t="s">
        <v>144</v>
      </c>
      <c r="AE2138" s="7" t="s">
        <v>118</v>
      </c>
      <c r="AF2138" s="7" t="s">
        <v>0</v>
      </c>
      <c r="AG2138" s="7" t="s">
        <v>0</v>
      </c>
      <c r="AH2138" s="9" t="s">
        <v>13574</v>
      </c>
      <c r="AI2138" s="9" t="s">
        <v>13574</v>
      </c>
      <c r="AJ2138" s="9">
        <v>0</v>
      </c>
      <c r="AK2138" s="7" t="s">
        <v>61</v>
      </c>
      <c r="AL2138" s="7" t="s">
        <v>61</v>
      </c>
      <c r="AM2138" s="7" t="s">
        <v>0</v>
      </c>
      <c r="AN2138" s="7" t="s">
        <v>0</v>
      </c>
      <c r="AO2138" s="7" t="s">
        <v>0</v>
      </c>
      <c r="AP2138" s="7" t="s">
        <v>0</v>
      </c>
      <c r="AQ2138" s="7" t="s">
        <v>61</v>
      </c>
      <c r="AR2138" s="7" t="s">
        <v>0</v>
      </c>
      <c r="AS2138" s="10" t="str">
        <f>HYPERLINK("https://tessa.gazprom-neft.local/edo/card/2285563a-0c91-47ae-a42b-f1182f93aa93", "https://tessa.gazprom-neft.local/edo/card/2285563a-0c91-47ae-a42b-f1182f93aa93")</f>
        <v>https://tessa.gazprom-neft.local/edo/card/2285563a-0c91-47ae-a42b-f1182f93aa93</v>
      </c>
    </row>
    <row r="2139" spans="1:45" hidden="1" x14ac:dyDescent="0.25">
      <c r="A2139" s="6" t="s">
        <v>44</v>
      </c>
      <c r="B2139" s="7" t="s">
        <v>60</v>
      </c>
      <c r="C2139" s="7" t="s">
        <v>46</v>
      </c>
      <c r="D2139" s="8">
        <v>44536</v>
      </c>
      <c r="E2139" s="8" t="s">
        <v>0</v>
      </c>
      <c r="F2139" s="16" t="s">
        <v>62</v>
      </c>
      <c r="G2139" s="7" t="s">
        <v>63</v>
      </c>
      <c r="H2139" s="7" t="s">
        <v>0</v>
      </c>
      <c r="I2139" s="7" t="s">
        <v>8830</v>
      </c>
      <c r="J2139" s="7" t="s">
        <v>8830</v>
      </c>
      <c r="K2139" s="7" t="s">
        <v>85</v>
      </c>
      <c r="L2139" s="7" t="s">
        <v>86</v>
      </c>
      <c r="M2139" s="7" t="s">
        <v>5706</v>
      </c>
      <c r="N2139" s="7" t="s">
        <v>8829</v>
      </c>
      <c r="O2139" s="7" t="s">
        <v>0</v>
      </c>
      <c r="P2139" s="7" t="s">
        <v>5706</v>
      </c>
      <c r="Q2139" s="7" t="s">
        <v>8831</v>
      </c>
      <c r="R2139" s="7" t="s">
        <v>53</v>
      </c>
      <c r="S2139" s="7" t="s">
        <v>53</v>
      </c>
      <c r="T2139" s="7" t="s">
        <v>54</v>
      </c>
      <c r="U2139" s="7" t="s">
        <v>55</v>
      </c>
      <c r="V2139" s="7" t="s">
        <v>56</v>
      </c>
      <c r="W2139" s="7" t="s">
        <v>57</v>
      </c>
      <c r="X2139" s="7" t="s">
        <v>58</v>
      </c>
      <c r="Y2139" s="8">
        <v>44536</v>
      </c>
      <c r="Z2139" s="8" t="s">
        <v>0</v>
      </c>
      <c r="AA2139" s="7" t="s">
        <v>1251</v>
      </c>
      <c r="AB2139" s="7" t="s">
        <v>328</v>
      </c>
      <c r="AC2139" s="7" t="s">
        <v>65</v>
      </c>
      <c r="AD2139" s="7" t="s">
        <v>0</v>
      </c>
      <c r="AE2139" s="7" t="s">
        <v>0</v>
      </c>
      <c r="AF2139" s="7" t="s">
        <v>0</v>
      </c>
      <c r="AG2139" s="7" t="s">
        <v>0</v>
      </c>
      <c r="AH2139" s="9" t="s">
        <v>0</v>
      </c>
      <c r="AI2139" s="9" t="s">
        <v>0</v>
      </c>
      <c r="AJ2139" s="9" t="s">
        <v>0</v>
      </c>
      <c r="AK2139" s="7" t="s">
        <v>61</v>
      </c>
      <c r="AL2139" s="7" t="s">
        <v>61</v>
      </c>
      <c r="AM2139" s="7" t="s">
        <v>0</v>
      </c>
      <c r="AN2139" s="7" t="s">
        <v>0</v>
      </c>
      <c r="AO2139" s="7" t="s">
        <v>0</v>
      </c>
      <c r="AP2139" s="7" t="s">
        <v>0</v>
      </c>
      <c r="AQ2139" s="7" t="s">
        <v>61</v>
      </c>
      <c r="AR2139" s="7" t="s">
        <v>0</v>
      </c>
      <c r="AS2139" s="10" t="str">
        <f>HYPERLINK("https://tessa.gazprom-neft.local/edo/card/4c294cb8-9817-4f3c-aff1-e1b875aa7128", "https://tessa.gazprom-neft.local/edo/card/4c294cb8-9817-4f3c-aff1-e1b875aa7128")</f>
        <v>https://tessa.gazprom-neft.local/edo/card/4c294cb8-9817-4f3c-aff1-e1b875aa7128</v>
      </c>
    </row>
    <row r="2140" spans="1:45" hidden="1" x14ac:dyDescent="0.25">
      <c r="A2140" s="6" t="s">
        <v>44</v>
      </c>
      <c r="B2140" s="7" t="s">
        <v>60</v>
      </c>
      <c r="C2140" s="7" t="s">
        <v>46</v>
      </c>
      <c r="D2140" s="8">
        <v>44536</v>
      </c>
      <c r="E2140" s="8" t="s">
        <v>0</v>
      </c>
      <c r="F2140" s="16" t="s">
        <v>62</v>
      </c>
      <c r="G2140" s="7" t="s">
        <v>63</v>
      </c>
      <c r="H2140" s="7" t="s">
        <v>0</v>
      </c>
      <c r="I2140" s="7" t="s">
        <v>49</v>
      </c>
      <c r="J2140" s="7" t="s">
        <v>49</v>
      </c>
      <c r="K2140" s="7" t="s">
        <v>85</v>
      </c>
      <c r="L2140" s="7" t="s">
        <v>96</v>
      </c>
      <c r="M2140" s="7" t="s">
        <v>8978</v>
      </c>
      <c r="N2140" s="7" t="s">
        <v>8979</v>
      </c>
      <c r="O2140" s="7" t="s">
        <v>0</v>
      </c>
      <c r="P2140" s="7" t="s">
        <v>8978</v>
      </c>
      <c r="Q2140" s="7" t="s">
        <v>8980</v>
      </c>
      <c r="R2140" s="7" t="s">
        <v>1434</v>
      </c>
      <c r="S2140" s="7" t="s">
        <v>53</v>
      </c>
      <c r="T2140" s="7" t="s">
        <v>54</v>
      </c>
      <c r="U2140" s="7" t="s">
        <v>55</v>
      </c>
      <c r="V2140" s="7" t="s">
        <v>56</v>
      </c>
      <c r="W2140" s="7" t="s">
        <v>57</v>
      </c>
      <c r="X2140" s="7" t="s">
        <v>103</v>
      </c>
      <c r="Y2140" s="8">
        <v>44536</v>
      </c>
      <c r="Z2140" s="8">
        <v>44561</v>
      </c>
      <c r="AA2140" s="7" t="s">
        <v>0</v>
      </c>
      <c r="AB2140" s="7" t="s">
        <v>64</v>
      </c>
      <c r="AC2140" s="7" t="s">
        <v>79</v>
      </c>
      <c r="AD2140" s="7" t="s">
        <v>80</v>
      </c>
      <c r="AE2140" s="7" t="s">
        <v>82</v>
      </c>
      <c r="AF2140" s="7" t="s">
        <v>0</v>
      </c>
      <c r="AG2140" s="7" t="s">
        <v>0</v>
      </c>
      <c r="AH2140" s="9" t="s">
        <v>13769</v>
      </c>
      <c r="AI2140" s="9" t="s">
        <v>13770</v>
      </c>
      <c r="AJ2140" s="9" t="s">
        <v>13771</v>
      </c>
      <c r="AK2140" s="7" t="s">
        <v>61</v>
      </c>
      <c r="AL2140" s="7" t="s">
        <v>61</v>
      </c>
      <c r="AM2140" s="7" t="s">
        <v>0</v>
      </c>
      <c r="AN2140" s="7" t="s">
        <v>0</v>
      </c>
      <c r="AO2140" s="7" t="s">
        <v>0</v>
      </c>
      <c r="AP2140" s="7" t="s">
        <v>0</v>
      </c>
      <c r="AQ2140" s="7" t="s">
        <v>61</v>
      </c>
      <c r="AR2140" s="7" t="s">
        <v>0</v>
      </c>
      <c r="AS2140" s="10" t="str">
        <f>HYPERLINK("https://tessa.gazprom-neft.local/edo/card/742178da-ce50-4498-ae7f-b02c6183f26b", "https://tessa.gazprom-neft.local/edo/card/742178da-ce50-4498-ae7f-b02c6183f26b")</f>
        <v>https://tessa.gazprom-neft.local/edo/card/742178da-ce50-4498-ae7f-b02c6183f26b</v>
      </c>
    </row>
    <row r="2141" spans="1:45" x14ac:dyDescent="0.25">
      <c r="A2141" s="6" t="s">
        <v>44</v>
      </c>
      <c r="B2141" s="7" t="s">
        <v>4513</v>
      </c>
      <c r="C2141" s="7" t="s">
        <v>67</v>
      </c>
      <c r="D2141" s="8">
        <v>44536</v>
      </c>
      <c r="E2141" s="8" t="s">
        <v>0</v>
      </c>
      <c r="F2141" s="16" t="s">
        <v>4514</v>
      </c>
      <c r="G2141" s="7" t="s">
        <v>4515</v>
      </c>
      <c r="H2141" s="7" t="s">
        <v>4511</v>
      </c>
      <c r="I2141" s="7" t="s">
        <v>0</v>
      </c>
      <c r="J2141" s="7" t="s">
        <v>70</v>
      </c>
      <c r="K2141" s="7" t="s">
        <v>47</v>
      </c>
      <c r="L2141" s="7" t="s">
        <v>48</v>
      </c>
      <c r="M2141" s="7" t="s">
        <v>0</v>
      </c>
      <c r="N2141" s="7" t="s">
        <v>9120</v>
      </c>
      <c r="O2141" s="7" t="s">
        <v>0</v>
      </c>
      <c r="P2141" s="7" t="s">
        <v>9121</v>
      </c>
      <c r="Q2141" s="7" t="s">
        <v>5822</v>
      </c>
      <c r="R2141" s="7" t="s">
        <v>799</v>
      </c>
      <c r="S2141" s="7" t="s">
        <v>0</v>
      </c>
      <c r="T2141" s="7" t="s">
        <v>54</v>
      </c>
      <c r="U2141" s="7" t="s">
        <v>55</v>
      </c>
      <c r="V2141" s="7" t="s">
        <v>56</v>
      </c>
      <c r="W2141" s="7" t="s">
        <v>57</v>
      </c>
      <c r="X2141" s="7" t="s">
        <v>103</v>
      </c>
      <c r="Y2141" s="8">
        <v>44536</v>
      </c>
      <c r="Z2141" s="8">
        <v>45657</v>
      </c>
      <c r="AA2141" s="7" t="s">
        <v>0</v>
      </c>
      <c r="AB2141" s="7" t="s">
        <v>64</v>
      </c>
      <c r="AC2141" s="7" t="s">
        <v>65</v>
      </c>
      <c r="AD2141" s="7" t="s">
        <v>0</v>
      </c>
      <c r="AE2141" s="7" t="s">
        <v>0</v>
      </c>
      <c r="AF2141" s="7" t="s">
        <v>0</v>
      </c>
      <c r="AG2141" s="7" t="s">
        <v>0</v>
      </c>
      <c r="AH2141" s="9" t="s">
        <v>0</v>
      </c>
      <c r="AI2141" s="9" t="s">
        <v>0</v>
      </c>
      <c r="AJ2141" s="9" t="s">
        <v>0</v>
      </c>
      <c r="AK2141" s="7" t="s">
        <v>61</v>
      </c>
      <c r="AL2141" s="7" t="s">
        <v>61</v>
      </c>
      <c r="AM2141" s="7" t="s">
        <v>0</v>
      </c>
      <c r="AN2141" s="7" t="s">
        <v>0</v>
      </c>
      <c r="AO2141" s="7" t="s">
        <v>0</v>
      </c>
      <c r="AP2141" s="7" t="s">
        <v>0</v>
      </c>
      <c r="AQ2141" s="7" t="s">
        <v>61</v>
      </c>
      <c r="AR2141" s="7" t="s">
        <v>0</v>
      </c>
      <c r="AS2141" s="10" t="str">
        <f>HYPERLINK("https://tessa.gazprom-neft.local/edo/card/b94fae60-fdd4-4a8b-8a74-0505d0ca9aec", "https://tessa.gazprom-neft.local/edo/card/b94fae60-fdd4-4a8b-8a74-0505d0ca9aec")</f>
        <v>https://tessa.gazprom-neft.local/edo/card/b94fae60-fdd4-4a8b-8a74-0505d0ca9aec</v>
      </c>
    </row>
    <row r="2142" spans="1:45" x14ac:dyDescent="0.25">
      <c r="A2142" s="6" t="s">
        <v>44</v>
      </c>
      <c r="B2142" s="7" t="s">
        <v>75</v>
      </c>
      <c r="C2142" s="7" t="s">
        <v>67</v>
      </c>
      <c r="D2142" s="8">
        <v>44536</v>
      </c>
      <c r="E2142" s="8" t="s">
        <v>0</v>
      </c>
      <c r="F2142" s="16" t="s">
        <v>76</v>
      </c>
      <c r="G2142" s="7" t="s">
        <v>77</v>
      </c>
      <c r="H2142" s="7" t="s">
        <v>68</v>
      </c>
      <c r="I2142" s="7" t="s">
        <v>0</v>
      </c>
      <c r="J2142" s="7" t="s">
        <v>51</v>
      </c>
      <c r="K2142" s="7" t="s">
        <v>47</v>
      </c>
      <c r="L2142" s="7" t="s">
        <v>48</v>
      </c>
      <c r="M2142" s="7" t="s">
        <v>0</v>
      </c>
      <c r="N2142" s="7" t="s">
        <v>9171</v>
      </c>
      <c r="O2142" s="7" t="s">
        <v>0</v>
      </c>
      <c r="P2142" s="7" t="s">
        <v>69</v>
      </c>
      <c r="Q2142" s="7" t="s">
        <v>71</v>
      </c>
      <c r="R2142" s="7" t="s">
        <v>72</v>
      </c>
      <c r="S2142" s="7" t="s">
        <v>0</v>
      </c>
      <c r="T2142" s="7" t="s">
        <v>54</v>
      </c>
      <c r="U2142" s="7" t="s">
        <v>73</v>
      </c>
      <c r="V2142" s="7" t="s">
        <v>56</v>
      </c>
      <c r="W2142" s="7" t="s">
        <v>57</v>
      </c>
      <c r="X2142" s="7" t="s">
        <v>58</v>
      </c>
      <c r="Y2142" s="8">
        <v>44536</v>
      </c>
      <c r="Z2142" s="8" t="s">
        <v>0</v>
      </c>
      <c r="AA2142" s="7" t="s">
        <v>1251</v>
      </c>
      <c r="AB2142" s="7" t="s">
        <v>78</v>
      </c>
      <c r="AC2142" s="7" t="s">
        <v>65</v>
      </c>
      <c r="AD2142" s="7" t="s">
        <v>144</v>
      </c>
      <c r="AE2142" s="7" t="s">
        <v>0</v>
      </c>
      <c r="AF2142" s="7" t="s">
        <v>0</v>
      </c>
      <c r="AG2142" s="7" t="s">
        <v>0</v>
      </c>
      <c r="AH2142" s="9" t="s">
        <v>0</v>
      </c>
      <c r="AI2142" s="9" t="s">
        <v>0</v>
      </c>
      <c r="AJ2142" s="9" t="s">
        <v>0</v>
      </c>
      <c r="AK2142" s="7" t="s">
        <v>61</v>
      </c>
      <c r="AL2142" s="7" t="s">
        <v>61</v>
      </c>
      <c r="AM2142" s="7" t="s">
        <v>0</v>
      </c>
      <c r="AN2142" s="7" t="s">
        <v>0</v>
      </c>
      <c r="AO2142" s="7" t="s">
        <v>0</v>
      </c>
      <c r="AP2142" s="7" t="s">
        <v>0</v>
      </c>
      <c r="AQ2142" s="7" t="s">
        <v>61</v>
      </c>
      <c r="AR2142" s="7" t="s">
        <v>0</v>
      </c>
      <c r="AS2142" s="10" t="str">
        <f>HYPERLINK("https://tessa.gazprom-neft.local/edo/card/980ece6e-2d58-49ed-b69f-f912318eac31", "https://tessa.gazprom-neft.local/edo/card/980ece6e-2d58-49ed-b69f-f912318eac31")</f>
        <v>https://tessa.gazprom-neft.local/edo/card/980ece6e-2d58-49ed-b69f-f912318eac31</v>
      </c>
    </row>
    <row r="2143" spans="1:45" hidden="1" x14ac:dyDescent="0.25">
      <c r="A2143" s="6" t="s">
        <v>44</v>
      </c>
      <c r="B2143" s="7" t="s">
        <v>75</v>
      </c>
      <c r="C2143" s="7" t="s">
        <v>67</v>
      </c>
      <c r="D2143" s="8">
        <v>44536</v>
      </c>
      <c r="E2143" s="8" t="s">
        <v>0</v>
      </c>
      <c r="F2143" s="16" t="s">
        <v>76</v>
      </c>
      <c r="G2143" s="7" t="s">
        <v>77</v>
      </c>
      <c r="H2143" s="7" t="s">
        <v>68</v>
      </c>
      <c r="I2143" s="7" t="s">
        <v>0</v>
      </c>
      <c r="J2143" s="7" t="s">
        <v>271</v>
      </c>
      <c r="K2143" s="7" t="s">
        <v>47</v>
      </c>
      <c r="L2143" s="7" t="s">
        <v>239</v>
      </c>
      <c r="M2143" s="7" t="s">
        <v>0</v>
      </c>
      <c r="N2143" s="7" t="s">
        <v>9308</v>
      </c>
      <c r="O2143" s="7" t="s">
        <v>0</v>
      </c>
      <c r="P2143" s="7" t="s">
        <v>9309</v>
      </c>
      <c r="Q2143" s="7" t="s">
        <v>9309</v>
      </c>
      <c r="R2143" s="7" t="s">
        <v>72</v>
      </c>
      <c r="S2143" s="7" t="s">
        <v>0</v>
      </c>
      <c r="T2143" s="7" t="s">
        <v>54</v>
      </c>
      <c r="U2143" s="7" t="s">
        <v>73</v>
      </c>
      <c r="V2143" s="7" t="s">
        <v>56</v>
      </c>
      <c r="W2143" s="7" t="s">
        <v>57</v>
      </c>
      <c r="X2143" s="7" t="s">
        <v>103</v>
      </c>
      <c r="Y2143" s="8">
        <v>44536</v>
      </c>
      <c r="Z2143" s="8">
        <v>44711</v>
      </c>
      <c r="AA2143" s="7" t="s">
        <v>1251</v>
      </c>
      <c r="AB2143" s="7" t="s">
        <v>78</v>
      </c>
      <c r="AC2143" s="7" t="s">
        <v>79</v>
      </c>
      <c r="AD2143" s="7" t="s">
        <v>514</v>
      </c>
      <c r="AE2143" s="7" t="s">
        <v>82</v>
      </c>
      <c r="AF2143" s="7" t="s">
        <v>0</v>
      </c>
      <c r="AG2143" s="7" t="s">
        <v>0</v>
      </c>
      <c r="AH2143" s="9" t="s">
        <v>13868</v>
      </c>
      <c r="AI2143" s="9" t="s">
        <v>13869</v>
      </c>
      <c r="AJ2143" s="9" t="s">
        <v>13870</v>
      </c>
      <c r="AK2143" s="7" t="s">
        <v>61</v>
      </c>
      <c r="AL2143" s="7" t="s">
        <v>61</v>
      </c>
      <c r="AM2143" s="7" t="s">
        <v>0</v>
      </c>
      <c r="AN2143" s="7" t="s">
        <v>0</v>
      </c>
      <c r="AO2143" s="7" t="s">
        <v>0</v>
      </c>
      <c r="AP2143" s="7" t="s">
        <v>0</v>
      </c>
      <c r="AQ2143" s="7" t="s">
        <v>61</v>
      </c>
      <c r="AR2143" s="7" t="s">
        <v>0</v>
      </c>
      <c r="AS2143" s="10" t="str">
        <f>HYPERLINK("https://tessa.gazprom-neft.local/edo/card/10e3bcbf-619d-41f5-85cf-189f9adec9d8", "https://tessa.gazprom-neft.local/edo/card/10e3bcbf-619d-41f5-85cf-189f9adec9d8")</f>
        <v>https://tessa.gazprom-neft.local/edo/card/10e3bcbf-619d-41f5-85cf-189f9adec9d8</v>
      </c>
    </row>
    <row r="2144" spans="1:45" hidden="1" x14ac:dyDescent="0.25">
      <c r="A2144" s="6" t="s">
        <v>44</v>
      </c>
      <c r="B2144" s="7" t="s">
        <v>245</v>
      </c>
      <c r="C2144" s="7" t="s">
        <v>67</v>
      </c>
      <c r="D2144" s="8">
        <v>44533</v>
      </c>
      <c r="E2144" s="8" t="s">
        <v>0</v>
      </c>
      <c r="F2144" s="16" t="s">
        <v>246</v>
      </c>
      <c r="G2144" s="7" t="s">
        <v>247</v>
      </c>
      <c r="H2144" s="7" t="s">
        <v>8945</v>
      </c>
      <c r="I2144" s="7" t="s">
        <v>0</v>
      </c>
      <c r="J2144" s="7" t="s">
        <v>9109</v>
      </c>
      <c r="K2144" s="7" t="s">
        <v>47</v>
      </c>
      <c r="L2144" s="7" t="s">
        <v>239</v>
      </c>
      <c r="M2144" s="7" t="s">
        <v>0</v>
      </c>
      <c r="N2144" s="7" t="s">
        <v>9107</v>
      </c>
      <c r="O2144" s="7" t="s">
        <v>0</v>
      </c>
      <c r="P2144" s="7" t="s">
        <v>9108</v>
      </c>
      <c r="Q2144" s="7" t="s">
        <v>9110</v>
      </c>
      <c r="R2144" s="7" t="s">
        <v>110</v>
      </c>
      <c r="S2144" s="7" t="s">
        <v>110</v>
      </c>
      <c r="T2144" s="7" t="s">
        <v>54</v>
      </c>
      <c r="U2144" s="7" t="s">
        <v>111</v>
      </c>
      <c r="V2144" s="7" t="s">
        <v>112</v>
      </c>
      <c r="W2144" s="7" t="s">
        <v>57</v>
      </c>
      <c r="X2144" s="7" t="s">
        <v>58</v>
      </c>
      <c r="Y2144" s="8">
        <v>44536</v>
      </c>
      <c r="Z2144" s="8" t="s">
        <v>0</v>
      </c>
      <c r="AA2144" s="7" t="s">
        <v>6296</v>
      </c>
      <c r="AB2144" s="7" t="s">
        <v>161</v>
      </c>
      <c r="AC2144" s="7" t="s">
        <v>79</v>
      </c>
      <c r="AD2144" s="7" t="s">
        <v>144</v>
      </c>
      <c r="AE2144" s="7" t="s">
        <v>82</v>
      </c>
      <c r="AF2144" s="7" t="s">
        <v>0</v>
      </c>
      <c r="AG2144" s="7" t="s">
        <v>0</v>
      </c>
      <c r="AH2144" s="9" t="s">
        <v>12621</v>
      </c>
      <c r="AI2144" s="9" t="s">
        <v>13758</v>
      </c>
      <c r="AJ2144" s="9" t="s">
        <v>13759</v>
      </c>
      <c r="AK2144" s="7" t="s">
        <v>61</v>
      </c>
      <c r="AL2144" s="7" t="s">
        <v>61</v>
      </c>
      <c r="AM2144" s="7" t="s">
        <v>0</v>
      </c>
      <c r="AN2144" s="7" t="s">
        <v>0</v>
      </c>
      <c r="AO2144" s="7" t="s">
        <v>0</v>
      </c>
      <c r="AP2144" s="7" t="s">
        <v>0</v>
      </c>
      <c r="AQ2144" s="7" t="s">
        <v>61</v>
      </c>
      <c r="AR2144" s="7" t="s">
        <v>0</v>
      </c>
      <c r="AS2144" s="10" t="str">
        <f>HYPERLINK("https://tessa.gazprom-neft.local/edo/card/d6acb68e-26ac-403b-a8c1-26e3a9772056", "https://tessa.gazprom-neft.local/edo/card/d6acb68e-26ac-403b-a8c1-26e3a9772056")</f>
        <v>https://tessa.gazprom-neft.local/edo/card/d6acb68e-26ac-403b-a8c1-26e3a9772056</v>
      </c>
    </row>
    <row r="2145" spans="1:45" hidden="1" x14ac:dyDescent="0.25">
      <c r="A2145" s="6" t="s">
        <v>44</v>
      </c>
      <c r="B2145" s="7" t="s">
        <v>2091</v>
      </c>
      <c r="C2145" s="7" t="s">
        <v>67</v>
      </c>
      <c r="D2145" s="8">
        <v>44532</v>
      </c>
      <c r="E2145" s="8" t="s">
        <v>0</v>
      </c>
      <c r="F2145" s="16" t="s">
        <v>2092</v>
      </c>
      <c r="G2145" s="7" t="s">
        <v>2093</v>
      </c>
      <c r="H2145" s="7" t="s">
        <v>0</v>
      </c>
      <c r="I2145" s="7" t="s">
        <v>7020</v>
      </c>
      <c r="J2145" s="7" t="s">
        <v>7020</v>
      </c>
      <c r="K2145" s="7" t="s">
        <v>85</v>
      </c>
      <c r="L2145" s="7" t="s">
        <v>86</v>
      </c>
      <c r="M2145" s="7" t="s">
        <v>289</v>
      </c>
      <c r="N2145" s="7" t="s">
        <v>7019</v>
      </c>
      <c r="O2145" s="7" t="s">
        <v>0</v>
      </c>
      <c r="P2145" s="7" t="s">
        <v>289</v>
      </c>
      <c r="Q2145" s="7" t="s">
        <v>372</v>
      </c>
      <c r="R2145" s="7" t="s">
        <v>1610</v>
      </c>
      <c r="S2145" s="7" t="s">
        <v>1610</v>
      </c>
      <c r="T2145" s="7" t="s">
        <v>54</v>
      </c>
      <c r="U2145" s="7" t="s">
        <v>101</v>
      </c>
      <c r="V2145" s="7" t="s">
        <v>137</v>
      </c>
      <c r="W2145" s="7" t="s">
        <v>57</v>
      </c>
      <c r="X2145" s="7" t="s">
        <v>103</v>
      </c>
      <c r="Y2145" s="8">
        <v>44532</v>
      </c>
      <c r="Z2145" s="8">
        <v>44712</v>
      </c>
      <c r="AA2145" s="7" t="s">
        <v>0</v>
      </c>
      <c r="AB2145" s="7" t="s">
        <v>300</v>
      </c>
      <c r="AC2145" s="7" t="s">
        <v>65</v>
      </c>
      <c r="AD2145" s="7" t="s">
        <v>0</v>
      </c>
      <c r="AE2145" s="7" t="s">
        <v>0</v>
      </c>
      <c r="AF2145" s="7" t="s">
        <v>0</v>
      </c>
      <c r="AG2145" s="7" t="s">
        <v>0</v>
      </c>
      <c r="AH2145" s="9" t="s">
        <v>0</v>
      </c>
      <c r="AI2145" s="9" t="s">
        <v>0</v>
      </c>
      <c r="AJ2145" s="9" t="s">
        <v>0</v>
      </c>
      <c r="AK2145" s="7" t="s">
        <v>61</v>
      </c>
      <c r="AL2145" s="7" t="s">
        <v>61</v>
      </c>
      <c r="AM2145" s="7" t="s">
        <v>0</v>
      </c>
      <c r="AN2145" s="7" t="s">
        <v>0</v>
      </c>
      <c r="AO2145" s="7" t="s">
        <v>0</v>
      </c>
      <c r="AP2145" s="7" t="s">
        <v>0</v>
      </c>
      <c r="AQ2145" s="7" t="s">
        <v>61</v>
      </c>
      <c r="AR2145" s="7" t="s">
        <v>0</v>
      </c>
      <c r="AS2145" s="10" t="str">
        <f>HYPERLINK("https://tessa.gazprom-neft.local/edo/card/9ae6f6c7-d18f-461c-803b-3cf109f1bac2", "https://tessa.gazprom-neft.local/edo/card/9ae6f6c7-d18f-461c-803b-3cf109f1bac2")</f>
        <v>https://tessa.gazprom-neft.local/edo/card/9ae6f6c7-d18f-461c-803b-3cf109f1bac2</v>
      </c>
    </row>
    <row r="2146" spans="1:45" x14ac:dyDescent="0.25">
      <c r="A2146" s="6" t="s">
        <v>44</v>
      </c>
      <c r="B2146" s="7" t="s">
        <v>275</v>
      </c>
      <c r="C2146" s="7" t="s">
        <v>67</v>
      </c>
      <c r="D2146" s="8">
        <v>44531</v>
      </c>
      <c r="E2146" s="8" t="s">
        <v>0</v>
      </c>
      <c r="F2146" s="16" t="s">
        <v>276</v>
      </c>
      <c r="G2146" s="7" t="s">
        <v>277</v>
      </c>
      <c r="H2146" s="7" t="s">
        <v>269</v>
      </c>
      <c r="I2146" s="7" t="s">
        <v>0</v>
      </c>
      <c r="J2146" s="7" t="s">
        <v>271</v>
      </c>
      <c r="K2146" s="7" t="s">
        <v>47</v>
      </c>
      <c r="L2146" s="7" t="s">
        <v>48</v>
      </c>
      <c r="M2146" s="7" t="s">
        <v>0</v>
      </c>
      <c r="N2146" s="7" t="s">
        <v>268</v>
      </c>
      <c r="O2146" s="7" t="s">
        <v>0</v>
      </c>
      <c r="P2146" s="7" t="s">
        <v>270</v>
      </c>
      <c r="Q2146" s="7" t="s">
        <v>272</v>
      </c>
      <c r="R2146" s="7" t="s">
        <v>273</v>
      </c>
      <c r="S2146" s="7" t="s">
        <v>273</v>
      </c>
      <c r="T2146" s="7" t="s">
        <v>54</v>
      </c>
      <c r="U2146" s="7" t="s">
        <v>274</v>
      </c>
      <c r="V2146" s="7" t="s">
        <v>137</v>
      </c>
      <c r="W2146" s="7" t="s">
        <v>57</v>
      </c>
      <c r="X2146" s="7" t="s">
        <v>103</v>
      </c>
      <c r="Y2146" s="8">
        <v>44562</v>
      </c>
      <c r="Z2146" s="8">
        <v>44926</v>
      </c>
      <c r="AA2146" s="7" t="s">
        <v>0</v>
      </c>
      <c r="AB2146" s="7" t="s">
        <v>130</v>
      </c>
      <c r="AC2146" s="7" t="s">
        <v>278</v>
      </c>
      <c r="AD2146" s="7" t="s">
        <v>80</v>
      </c>
      <c r="AE2146" s="7" t="s">
        <v>82</v>
      </c>
      <c r="AF2146" s="7" t="s">
        <v>0</v>
      </c>
      <c r="AG2146" s="7" t="s">
        <v>0</v>
      </c>
      <c r="AH2146" s="9" t="s">
        <v>10717</v>
      </c>
      <c r="AI2146" s="9" t="s">
        <v>10718</v>
      </c>
      <c r="AJ2146" s="9" t="s">
        <v>10719</v>
      </c>
      <c r="AK2146" s="7" t="s">
        <v>61</v>
      </c>
      <c r="AL2146" s="7" t="s">
        <v>61</v>
      </c>
      <c r="AM2146" s="7" t="s">
        <v>0</v>
      </c>
      <c r="AN2146" s="7" t="s">
        <v>0</v>
      </c>
      <c r="AO2146" s="7" t="s">
        <v>0</v>
      </c>
      <c r="AP2146" s="7" t="s">
        <v>0</v>
      </c>
      <c r="AQ2146" s="7" t="s">
        <v>61</v>
      </c>
      <c r="AR2146" s="7" t="s">
        <v>0</v>
      </c>
      <c r="AS2146" s="10" t="str">
        <f>HYPERLINK("https://tessa.gazprom-neft.local/edo/card/75c62f43-21e2-4459-9750-e594a8915f4c", "https://tessa.gazprom-neft.local/edo/card/75c62f43-21e2-4459-9750-e594a8915f4c")</f>
        <v>https://tessa.gazprom-neft.local/edo/card/75c62f43-21e2-4459-9750-e594a8915f4c</v>
      </c>
    </row>
    <row r="2147" spans="1:45" hidden="1" x14ac:dyDescent="0.25">
      <c r="A2147" s="6" t="s">
        <v>44</v>
      </c>
      <c r="B2147" s="7" t="s">
        <v>1640</v>
      </c>
      <c r="C2147" s="7" t="s">
        <v>46</v>
      </c>
      <c r="D2147" s="8">
        <v>44531</v>
      </c>
      <c r="E2147" s="8" t="s">
        <v>0</v>
      </c>
      <c r="F2147" s="16" t="s">
        <v>1641</v>
      </c>
      <c r="G2147" s="7" t="s">
        <v>1642</v>
      </c>
      <c r="H2147" s="7" t="s">
        <v>1635</v>
      </c>
      <c r="I2147" s="7" t="s">
        <v>0</v>
      </c>
      <c r="J2147" s="7" t="s">
        <v>271</v>
      </c>
      <c r="K2147" s="7" t="s">
        <v>47</v>
      </c>
      <c r="L2147" s="7" t="s">
        <v>239</v>
      </c>
      <c r="M2147" s="7" t="s">
        <v>0</v>
      </c>
      <c r="N2147" s="7" t="s">
        <v>5277</v>
      </c>
      <c r="O2147" s="7" t="s">
        <v>0</v>
      </c>
      <c r="P2147" s="7" t="s">
        <v>64</v>
      </c>
      <c r="Q2147" s="7" t="s">
        <v>5278</v>
      </c>
      <c r="R2147" s="7" t="s">
        <v>1083</v>
      </c>
      <c r="S2147" s="7" t="s">
        <v>1638</v>
      </c>
      <c r="T2147" s="7" t="s">
        <v>54</v>
      </c>
      <c r="U2147" s="7" t="s">
        <v>274</v>
      </c>
      <c r="V2147" s="7" t="s">
        <v>846</v>
      </c>
      <c r="W2147" s="7" t="s">
        <v>57</v>
      </c>
      <c r="X2147" s="7" t="s">
        <v>103</v>
      </c>
      <c r="Y2147" s="8">
        <v>44517</v>
      </c>
      <c r="Z2147" s="8">
        <v>44926</v>
      </c>
      <c r="AA2147" s="7" t="s">
        <v>0</v>
      </c>
      <c r="AB2147" s="7" t="s">
        <v>64</v>
      </c>
      <c r="AC2147" s="7" t="s">
        <v>278</v>
      </c>
      <c r="AD2147" s="7" t="s">
        <v>80</v>
      </c>
      <c r="AE2147" s="7" t="s">
        <v>82</v>
      </c>
      <c r="AF2147" s="7" t="s">
        <v>0</v>
      </c>
      <c r="AG2147" s="7" t="s">
        <v>0</v>
      </c>
      <c r="AH2147" s="9" t="s">
        <v>12424</v>
      </c>
      <c r="AI2147" s="9" t="s">
        <v>12425</v>
      </c>
      <c r="AJ2147" s="9" t="s">
        <v>12426</v>
      </c>
      <c r="AK2147" s="7" t="s">
        <v>61</v>
      </c>
      <c r="AL2147" s="7" t="s">
        <v>61</v>
      </c>
      <c r="AM2147" s="7" t="s">
        <v>0</v>
      </c>
      <c r="AN2147" s="7" t="s">
        <v>0</v>
      </c>
      <c r="AO2147" s="7" t="s">
        <v>0</v>
      </c>
      <c r="AP2147" s="7" t="s">
        <v>0</v>
      </c>
      <c r="AQ2147" s="7" t="s">
        <v>61</v>
      </c>
      <c r="AR2147" s="7" t="s">
        <v>0</v>
      </c>
      <c r="AS2147" s="10" t="str">
        <f>HYPERLINK("https://tessa.gazprom-neft.local/edo/card/22f584a2-f5cd-43f8-a683-b14361db6414", "https://tessa.gazprom-neft.local/edo/card/22f584a2-f5cd-43f8-a683-b14361db6414")</f>
        <v>https://tessa.gazprom-neft.local/edo/card/22f584a2-f5cd-43f8-a683-b14361db6414</v>
      </c>
    </row>
    <row r="2148" spans="1:45" hidden="1" x14ac:dyDescent="0.25">
      <c r="A2148" s="6" t="s">
        <v>44</v>
      </c>
      <c r="B2148" s="7" t="s">
        <v>3172</v>
      </c>
      <c r="C2148" s="7" t="s">
        <v>67</v>
      </c>
      <c r="D2148" s="8">
        <v>44531</v>
      </c>
      <c r="E2148" s="8" t="s">
        <v>0</v>
      </c>
      <c r="F2148" s="16" t="s">
        <v>3173</v>
      </c>
      <c r="G2148" s="7" t="s">
        <v>3174</v>
      </c>
      <c r="H2148" s="7" t="s">
        <v>3169</v>
      </c>
      <c r="I2148" s="7" t="s">
        <v>0</v>
      </c>
      <c r="J2148" s="7" t="s">
        <v>8293</v>
      </c>
      <c r="K2148" s="7" t="s">
        <v>85</v>
      </c>
      <c r="L2148" s="7" t="s">
        <v>239</v>
      </c>
      <c r="M2148" s="7" t="s">
        <v>1252</v>
      </c>
      <c r="N2148" s="7" t="s">
        <v>8290</v>
      </c>
      <c r="O2148" s="7" t="s">
        <v>8291</v>
      </c>
      <c r="P2148" s="7" t="s">
        <v>8292</v>
      </c>
      <c r="Q2148" s="7" t="s">
        <v>8294</v>
      </c>
      <c r="R2148" s="7" t="s">
        <v>1256</v>
      </c>
      <c r="S2148" s="7" t="s">
        <v>1256</v>
      </c>
      <c r="T2148" s="7" t="s">
        <v>54</v>
      </c>
      <c r="U2148" s="7" t="s">
        <v>591</v>
      </c>
      <c r="V2148" s="7" t="s">
        <v>382</v>
      </c>
      <c r="W2148" s="7" t="s">
        <v>57</v>
      </c>
      <c r="X2148" s="7" t="s">
        <v>103</v>
      </c>
      <c r="Y2148" s="8">
        <v>44495</v>
      </c>
      <c r="Z2148" s="8">
        <v>44621</v>
      </c>
      <c r="AA2148" s="7" t="s">
        <v>1656</v>
      </c>
      <c r="AB2148" s="7" t="s">
        <v>2053</v>
      </c>
      <c r="AC2148" s="7" t="s">
        <v>65</v>
      </c>
      <c r="AD2148" s="7" t="s">
        <v>144</v>
      </c>
      <c r="AE2148" s="7" t="s">
        <v>0</v>
      </c>
      <c r="AF2148" s="7" t="s">
        <v>0</v>
      </c>
      <c r="AG2148" s="7" t="s">
        <v>0</v>
      </c>
      <c r="AH2148" s="9" t="s">
        <v>0</v>
      </c>
      <c r="AI2148" s="9" t="s">
        <v>0</v>
      </c>
      <c r="AJ2148" s="9" t="s">
        <v>0</v>
      </c>
      <c r="AK2148" s="7" t="s">
        <v>61</v>
      </c>
      <c r="AL2148" s="7" t="s">
        <v>61</v>
      </c>
      <c r="AM2148" s="7" t="s">
        <v>0</v>
      </c>
      <c r="AN2148" s="7" t="s">
        <v>0</v>
      </c>
      <c r="AO2148" s="7" t="s">
        <v>0</v>
      </c>
      <c r="AP2148" s="7" t="s">
        <v>0</v>
      </c>
      <c r="AQ2148" s="7" t="s">
        <v>61</v>
      </c>
      <c r="AR2148" s="7" t="s">
        <v>0</v>
      </c>
      <c r="AS2148" s="10" t="str">
        <f>HYPERLINK("https://tessa.gazprom-neft.local/edo/card/7177c17f-d0f8-4aee-8891-da04f7d55a95", "https://tessa.gazprom-neft.local/edo/card/7177c17f-d0f8-4aee-8891-da04f7d55a95")</f>
        <v>https://tessa.gazprom-neft.local/edo/card/7177c17f-d0f8-4aee-8891-da04f7d55a95</v>
      </c>
    </row>
    <row r="2149" spans="1:45" hidden="1" x14ac:dyDescent="0.25">
      <c r="A2149" s="6" t="s">
        <v>44</v>
      </c>
      <c r="B2149" s="7" t="s">
        <v>0</v>
      </c>
      <c r="C2149" s="7" t="s">
        <v>67</v>
      </c>
      <c r="D2149" s="8">
        <v>44531</v>
      </c>
      <c r="E2149" s="8" t="s">
        <v>0</v>
      </c>
      <c r="F2149" s="16" t="s">
        <v>8482</v>
      </c>
      <c r="G2149" s="7" t="s">
        <v>0</v>
      </c>
      <c r="H2149" s="7" t="s">
        <v>0</v>
      </c>
      <c r="I2149" s="7" t="s">
        <v>8479</v>
      </c>
      <c r="J2149" s="7" t="s">
        <v>8479</v>
      </c>
      <c r="K2149" s="7" t="s">
        <v>47</v>
      </c>
      <c r="L2149" s="7" t="s">
        <v>96</v>
      </c>
      <c r="M2149" s="7" t="s">
        <v>0</v>
      </c>
      <c r="N2149" s="7" t="s">
        <v>8478</v>
      </c>
      <c r="O2149" s="7" t="s">
        <v>0</v>
      </c>
      <c r="P2149" s="7" t="s">
        <v>8480</v>
      </c>
      <c r="Q2149" s="7" t="s">
        <v>8481</v>
      </c>
      <c r="R2149" s="7" t="s">
        <v>349</v>
      </c>
      <c r="S2149" s="7" t="s">
        <v>349</v>
      </c>
      <c r="T2149" s="7" t="s">
        <v>54</v>
      </c>
      <c r="U2149" s="7" t="s">
        <v>101</v>
      </c>
      <c r="V2149" s="7" t="s">
        <v>102</v>
      </c>
      <c r="W2149" s="7" t="s">
        <v>57</v>
      </c>
      <c r="X2149" s="7" t="s">
        <v>103</v>
      </c>
      <c r="Y2149" s="8">
        <v>44531</v>
      </c>
      <c r="Z2149" s="8">
        <v>46387</v>
      </c>
      <c r="AA2149" s="7" t="s">
        <v>104</v>
      </c>
      <c r="AB2149" s="7" t="s">
        <v>64</v>
      </c>
      <c r="AC2149" s="7" t="s">
        <v>79</v>
      </c>
      <c r="AD2149" s="7" t="s">
        <v>80</v>
      </c>
      <c r="AE2149" s="7" t="s">
        <v>82</v>
      </c>
      <c r="AF2149" s="7" t="s">
        <v>0</v>
      </c>
      <c r="AG2149" s="7" t="s">
        <v>0</v>
      </c>
      <c r="AH2149" s="9" t="s">
        <v>13571</v>
      </c>
      <c r="AI2149" s="9" t="s">
        <v>13572</v>
      </c>
      <c r="AJ2149" s="9" t="s">
        <v>13573</v>
      </c>
      <c r="AK2149" s="7" t="s">
        <v>61</v>
      </c>
      <c r="AL2149" s="7" t="s">
        <v>61</v>
      </c>
      <c r="AM2149" s="7" t="s">
        <v>0</v>
      </c>
      <c r="AN2149" s="7" t="s">
        <v>0</v>
      </c>
      <c r="AO2149" s="7" t="s">
        <v>0</v>
      </c>
      <c r="AP2149" s="7" t="s">
        <v>0</v>
      </c>
      <c r="AQ2149" s="7" t="s">
        <v>61</v>
      </c>
      <c r="AR2149" s="7" t="s">
        <v>0</v>
      </c>
      <c r="AS2149" s="10" t="str">
        <f>HYPERLINK("https://tessa.gazprom-neft.local/edo/card/1483b012-5572-4145-9601-04f7c940dc38", "https://tessa.gazprom-neft.local/edo/card/1483b012-5572-4145-9601-04f7c940dc38")</f>
        <v>https://tessa.gazprom-neft.local/edo/card/1483b012-5572-4145-9601-04f7c940dc38</v>
      </c>
    </row>
    <row r="2150" spans="1:45" x14ac:dyDescent="0.25">
      <c r="A2150" s="6" t="s">
        <v>44</v>
      </c>
      <c r="B2150" s="7" t="s">
        <v>964</v>
      </c>
      <c r="C2150" s="7" t="s">
        <v>67</v>
      </c>
      <c r="D2150" s="8">
        <v>44531</v>
      </c>
      <c r="E2150" s="8" t="s">
        <v>0</v>
      </c>
      <c r="F2150" s="16" t="s">
        <v>965</v>
      </c>
      <c r="G2150" s="7" t="s">
        <v>966</v>
      </c>
      <c r="H2150" s="7" t="s">
        <v>4760</v>
      </c>
      <c r="I2150" s="7" t="s">
        <v>0</v>
      </c>
      <c r="J2150" s="7" t="s">
        <v>1098</v>
      </c>
      <c r="K2150" s="7" t="s">
        <v>47</v>
      </c>
      <c r="L2150" s="7" t="s">
        <v>48</v>
      </c>
      <c r="M2150" s="7" t="s">
        <v>0</v>
      </c>
      <c r="N2150" s="7" t="s">
        <v>8754</v>
      </c>
      <c r="O2150" s="7" t="s">
        <v>0</v>
      </c>
      <c r="P2150" s="7" t="s">
        <v>8755</v>
      </c>
      <c r="Q2150" s="7" t="s">
        <v>8756</v>
      </c>
      <c r="R2150" s="7" t="s">
        <v>293</v>
      </c>
      <c r="S2150" s="7" t="s">
        <v>293</v>
      </c>
      <c r="T2150" s="7" t="s">
        <v>54</v>
      </c>
      <c r="U2150" s="7" t="s">
        <v>362</v>
      </c>
      <c r="V2150" s="7" t="s">
        <v>295</v>
      </c>
      <c r="W2150" s="7" t="s">
        <v>57</v>
      </c>
      <c r="X2150" s="7" t="s">
        <v>58</v>
      </c>
      <c r="Y2150" s="8">
        <v>44531</v>
      </c>
      <c r="Z2150" s="8" t="s">
        <v>0</v>
      </c>
      <c r="AA2150" s="7" t="s">
        <v>1269</v>
      </c>
      <c r="AB2150" s="7" t="s">
        <v>366</v>
      </c>
      <c r="AC2150" s="7" t="s">
        <v>65</v>
      </c>
      <c r="AD2150" s="7" t="s">
        <v>0</v>
      </c>
      <c r="AE2150" s="7" t="s">
        <v>0</v>
      </c>
      <c r="AF2150" s="7" t="s">
        <v>0</v>
      </c>
      <c r="AG2150" s="7" t="s">
        <v>0</v>
      </c>
      <c r="AH2150" s="9" t="s">
        <v>0</v>
      </c>
      <c r="AI2150" s="9" t="s">
        <v>0</v>
      </c>
      <c r="AJ2150" s="9" t="s">
        <v>0</v>
      </c>
      <c r="AK2150" s="7" t="s">
        <v>61</v>
      </c>
      <c r="AL2150" s="7" t="s">
        <v>61</v>
      </c>
      <c r="AM2150" s="7" t="s">
        <v>0</v>
      </c>
      <c r="AN2150" s="7" t="s">
        <v>0</v>
      </c>
      <c r="AO2150" s="7" t="s">
        <v>0</v>
      </c>
      <c r="AP2150" s="7" t="s">
        <v>0</v>
      </c>
      <c r="AQ2150" s="7" t="s">
        <v>61</v>
      </c>
      <c r="AR2150" s="7" t="s">
        <v>0</v>
      </c>
      <c r="AS2150" s="10" t="str">
        <f>HYPERLINK("https://tessa.gazprom-neft.local/edo/card/da7ddc70-20c3-49b2-837d-f0a65bef501f", "https://tessa.gazprom-neft.local/edo/card/da7ddc70-20c3-49b2-837d-f0a65bef501f")</f>
        <v>https://tessa.gazprom-neft.local/edo/card/da7ddc70-20c3-49b2-837d-f0a65bef501f</v>
      </c>
    </row>
    <row r="2151" spans="1:45" hidden="1" x14ac:dyDescent="0.25">
      <c r="A2151" s="6" t="s">
        <v>44</v>
      </c>
      <c r="B2151" s="7" t="s">
        <v>3258</v>
      </c>
      <c r="C2151" s="7" t="s">
        <v>67</v>
      </c>
      <c r="D2151" s="8">
        <v>44531</v>
      </c>
      <c r="E2151" s="8" t="s">
        <v>0</v>
      </c>
      <c r="F2151" s="16" t="s">
        <v>3259</v>
      </c>
      <c r="G2151" s="7" t="s">
        <v>3260</v>
      </c>
      <c r="H2151" s="7" t="s">
        <v>0</v>
      </c>
      <c r="I2151" s="7" t="s">
        <v>8839</v>
      </c>
      <c r="J2151" s="7" t="s">
        <v>8839</v>
      </c>
      <c r="K2151" s="7" t="s">
        <v>85</v>
      </c>
      <c r="L2151" s="7" t="s">
        <v>86</v>
      </c>
      <c r="M2151" s="7" t="s">
        <v>83</v>
      </c>
      <c r="N2151" s="7" t="s">
        <v>8838</v>
      </c>
      <c r="O2151" s="7" t="s">
        <v>0</v>
      </c>
      <c r="P2151" s="7" t="s">
        <v>83</v>
      </c>
      <c r="Q2151" s="7" t="s">
        <v>94</v>
      </c>
      <c r="R2151" s="7" t="s">
        <v>1042</v>
      </c>
      <c r="S2151" s="7" t="s">
        <v>8840</v>
      </c>
      <c r="T2151" s="7" t="s">
        <v>54</v>
      </c>
      <c r="U2151" s="7" t="s">
        <v>1043</v>
      </c>
      <c r="V2151" s="7" t="s">
        <v>137</v>
      </c>
      <c r="W2151" s="7" t="s">
        <v>57</v>
      </c>
      <c r="X2151" s="7" t="s">
        <v>58</v>
      </c>
      <c r="Y2151" s="8">
        <v>44531</v>
      </c>
      <c r="Z2151" s="8" t="s">
        <v>0</v>
      </c>
      <c r="AA2151" s="7" t="s">
        <v>0</v>
      </c>
      <c r="AB2151" s="7" t="s">
        <v>94</v>
      </c>
      <c r="AC2151" s="7" t="s">
        <v>65</v>
      </c>
      <c r="AD2151" s="7" t="s">
        <v>0</v>
      </c>
      <c r="AE2151" s="7" t="s">
        <v>0</v>
      </c>
      <c r="AF2151" s="7" t="s">
        <v>0</v>
      </c>
      <c r="AG2151" s="7" t="s">
        <v>0</v>
      </c>
      <c r="AH2151" s="9" t="s">
        <v>0</v>
      </c>
      <c r="AI2151" s="9" t="s">
        <v>0</v>
      </c>
      <c r="AJ2151" s="9" t="s">
        <v>0</v>
      </c>
      <c r="AK2151" s="7" t="s">
        <v>61</v>
      </c>
      <c r="AL2151" s="7" t="s">
        <v>61</v>
      </c>
      <c r="AM2151" s="7" t="s">
        <v>0</v>
      </c>
      <c r="AN2151" s="7" t="s">
        <v>0</v>
      </c>
      <c r="AO2151" s="7" t="s">
        <v>0</v>
      </c>
      <c r="AP2151" s="7" t="s">
        <v>0</v>
      </c>
      <c r="AQ2151" s="7" t="s">
        <v>61</v>
      </c>
      <c r="AR2151" s="7" t="s">
        <v>0</v>
      </c>
      <c r="AS2151" s="10" t="str">
        <f>HYPERLINK("https://tessa.gazprom-neft.local/edo/card/70026f17-35f9-4b09-a038-bcae4f7de60a", "https://tessa.gazprom-neft.local/edo/card/70026f17-35f9-4b09-a038-bcae4f7de60a")</f>
        <v>https://tessa.gazprom-neft.local/edo/card/70026f17-35f9-4b09-a038-bcae4f7de60a</v>
      </c>
    </row>
    <row r="2152" spans="1:45" hidden="1" x14ac:dyDescent="0.25">
      <c r="A2152" s="6" t="s">
        <v>44</v>
      </c>
      <c r="B2152" s="7" t="s">
        <v>1909</v>
      </c>
      <c r="C2152" s="7" t="s">
        <v>67</v>
      </c>
      <c r="D2152" s="8">
        <v>44531</v>
      </c>
      <c r="E2152" s="8" t="s">
        <v>0</v>
      </c>
      <c r="F2152" s="16" t="s">
        <v>1910</v>
      </c>
      <c r="G2152" s="7" t="s">
        <v>1911</v>
      </c>
      <c r="H2152" s="7" t="s">
        <v>1906</v>
      </c>
      <c r="I2152" s="7" t="s">
        <v>0</v>
      </c>
      <c r="J2152" s="7" t="s">
        <v>8901</v>
      </c>
      <c r="K2152" s="7" t="s">
        <v>47</v>
      </c>
      <c r="L2152" s="7" t="s">
        <v>239</v>
      </c>
      <c r="M2152" s="7" t="s">
        <v>0</v>
      </c>
      <c r="N2152" s="7" t="s">
        <v>8899</v>
      </c>
      <c r="O2152" s="7" t="s">
        <v>0</v>
      </c>
      <c r="P2152" s="7" t="s">
        <v>8900</v>
      </c>
      <c r="Q2152" s="7" t="s">
        <v>8902</v>
      </c>
      <c r="R2152" s="7" t="s">
        <v>220</v>
      </c>
      <c r="S2152" s="7" t="s">
        <v>0</v>
      </c>
      <c r="T2152" s="7" t="s">
        <v>54</v>
      </c>
      <c r="U2152" s="7" t="s">
        <v>222</v>
      </c>
      <c r="V2152" s="7" t="s">
        <v>382</v>
      </c>
      <c r="W2152" s="7" t="s">
        <v>57</v>
      </c>
      <c r="X2152" s="7" t="s">
        <v>103</v>
      </c>
      <c r="Y2152" s="8">
        <v>44531</v>
      </c>
      <c r="Z2152" s="8">
        <v>44722</v>
      </c>
      <c r="AA2152" s="7" t="s">
        <v>1656</v>
      </c>
      <c r="AB2152" s="7" t="s">
        <v>387</v>
      </c>
      <c r="AC2152" s="7" t="s">
        <v>79</v>
      </c>
      <c r="AD2152" s="7" t="s">
        <v>80</v>
      </c>
      <c r="AE2152" s="7" t="s">
        <v>82</v>
      </c>
      <c r="AF2152" s="7" t="s">
        <v>0</v>
      </c>
      <c r="AG2152" s="7" t="s">
        <v>0</v>
      </c>
      <c r="AH2152" s="9" t="s">
        <v>13737</v>
      </c>
      <c r="AI2152" s="9" t="s">
        <v>13738</v>
      </c>
      <c r="AJ2152" s="9" t="s">
        <v>13739</v>
      </c>
      <c r="AK2152" s="7" t="s">
        <v>61</v>
      </c>
      <c r="AL2152" s="7" t="s">
        <v>61</v>
      </c>
      <c r="AM2152" s="7" t="s">
        <v>0</v>
      </c>
      <c r="AN2152" s="7" t="s">
        <v>0</v>
      </c>
      <c r="AO2152" s="7" t="s">
        <v>0</v>
      </c>
      <c r="AP2152" s="7" t="s">
        <v>0</v>
      </c>
      <c r="AQ2152" s="7" t="s">
        <v>61</v>
      </c>
      <c r="AR2152" s="7" t="s">
        <v>0</v>
      </c>
      <c r="AS2152" s="10" t="str">
        <f>HYPERLINK("https://tessa.gazprom-neft.local/edo/card/ea44a378-ffa9-411a-960f-967f8ba6a211", "https://tessa.gazprom-neft.local/edo/card/ea44a378-ffa9-411a-960f-967f8ba6a211")</f>
        <v>https://tessa.gazprom-neft.local/edo/card/ea44a378-ffa9-411a-960f-967f8ba6a211</v>
      </c>
    </row>
    <row r="2153" spans="1:45" x14ac:dyDescent="0.25">
      <c r="A2153" s="6" t="s">
        <v>44</v>
      </c>
      <c r="B2153" s="7" t="s">
        <v>520</v>
      </c>
      <c r="C2153" s="7" t="s">
        <v>67</v>
      </c>
      <c r="D2153" s="8">
        <v>44531</v>
      </c>
      <c r="E2153" s="8" t="s">
        <v>0</v>
      </c>
      <c r="F2153" s="16" t="s">
        <v>521</v>
      </c>
      <c r="G2153" s="7" t="s">
        <v>522</v>
      </c>
      <c r="H2153" s="7" t="s">
        <v>3233</v>
      </c>
      <c r="I2153" s="7" t="s">
        <v>0</v>
      </c>
      <c r="J2153" s="7" t="s">
        <v>271</v>
      </c>
      <c r="K2153" s="7" t="s">
        <v>85</v>
      </c>
      <c r="L2153" s="7" t="s">
        <v>48</v>
      </c>
      <c r="M2153" s="7" t="s">
        <v>7037</v>
      </c>
      <c r="N2153" s="7" t="s">
        <v>9027</v>
      </c>
      <c r="O2153" s="7" t="s">
        <v>0</v>
      </c>
      <c r="P2153" s="7" t="s">
        <v>7037</v>
      </c>
      <c r="Q2153" s="7" t="s">
        <v>9028</v>
      </c>
      <c r="R2153" s="7" t="s">
        <v>519</v>
      </c>
      <c r="S2153" s="7" t="s">
        <v>2677</v>
      </c>
      <c r="T2153" s="7" t="s">
        <v>54</v>
      </c>
      <c r="U2153" s="7" t="s">
        <v>362</v>
      </c>
      <c r="V2153" s="7" t="s">
        <v>295</v>
      </c>
      <c r="W2153" s="7" t="s">
        <v>57</v>
      </c>
      <c r="X2153" s="7" t="s">
        <v>103</v>
      </c>
      <c r="Y2153" s="8">
        <v>44531</v>
      </c>
      <c r="Z2153" s="8">
        <v>44926</v>
      </c>
      <c r="AA2153" s="7" t="s">
        <v>1269</v>
      </c>
      <c r="AB2153" s="7" t="s">
        <v>64</v>
      </c>
      <c r="AC2153" s="7" t="s">
        <v>65</v>
      </c>
      <c r="AD2153" s="7" t="s">
        <v>80</v>
      </c>
      <c r="AE2153" s="7" t="s">
        <v>0</v>
      </c>
      <c r="AF2153" s="7" t="s">
        <v>0</v>
      </c>
      <c r="AG2153" s="7" t="s">
        <v>0</v>
      </c>
      <c r="AH2153" s="9" t="s">
        <v>0</v>
      </c>
      <c r="AI2153" s="9" t="s">
        <v>0</v>
      </c>
      <c r="AJ2153" s="9" t="s">
        <v>0</v>
      </c>
      <c r="AK2153" s="7" t="s">
        <v>61</v>
      </c>
      <c r="AL2153" s="7" t="s">
        <v>61</v>
      </c>
      <c r="AM2153" s="7" t="s">
        <v>0</v>
      </c>
      <c r="AN2153" s="7" t="s">
        <v>0</v>
      </c>
      <c r="AO2153" s="7" t="s">
        <v>0</v>
      </c>
      <c r="AP2153" s="7" t="s">
        <v>0</v>
      </c>
      <c r="AQ2153" s="7" t="s">
        <v>61</v>
      </c>
      <c r="AR2153" s="7" t="s">
        <v>0</v>
      </c>
      <c r="AS2153" s="10" t="str">
        <f>HYPERLINK("https://tessa.gazprom-neft.local/edo/card/b1c515eb-3e8d-444a-8d4a-5e961c519cca", "https://tessa.gazprom-neft.local/edo/card/b1c515eb-3e8d-444a-8d4a-5e961c519cca")</f>
        <v>https://tessa.gazprom-neft.local/edo/card/b1c515eb-3e8d-444a-8d4a-5e961c519cca</v>
      </c>
    </row>
    <row r="2154" spans="1:45" hidden="1" x14ac:dyDescent="0.25">
      <c r="A2154" s="6" t="s">
        <v>44</v>
      </c>
      <c r="B2154" s="7" t="s">
        <v>75</v>
      </c>
      <c r="C2154" s="7" t="s">
        <v>67</v>
      </c>
      <c r="D2154" s="8">
        <v>44531</v>
      </c>
      <c r="E2154" s="8" t="s">
        <v>0</v>
      </c>
      <c r="F2154" s="16" t="s">
        <v>76</v>
      </c>
      <c r="G2154" s="7" t="s">
        <v>77</v>
      </c>
      <c r="H2154" s="7" t="s">
        <v>9036</v>
      </c>
      <c r="I2154" s="7" t="s">
        <v>0</v>
      </c>
      <c r="J2154" s="7" t="s">
        <v>51</v>
      </c>
      <c r="K2154" s="7" t="s">
        <v>47</v>
      </c>
      <c r="L2154" s="7" t="s">
        <v>239</v>
      </c>
      <c r="M2154" s="7" t="s">
        <v>0</v>
      </c>
      <c r="N2154" s="7" t="s">
        <v>9035</v>
      </c>
      <c r="O2154" s="7" t="s">
        <v>0</v>
      </c>
      <c r="P2154" s="7" t="s">
        <v>9037</v>
      </c>
      <c r="Q2154" s="7" t="s">
        <v>9037</v>
      </c>
      <c r="R2154" s="7" t="s">
        <v>9038</v>
      </c>
      <c r="S2154" s="7" t="s">
        <v>0</v>
      </c>
      <c r="T2154" s="7" t="s">
        <v>54</v>
      </c>
      <c r="U2154" s="7" t="s">
        <v>73</v>
      </c>
      <c r="V2154" s="7" t="s">
        <v>56</v>
      </c>
      <c r="W2154" s="7" t="s">
        <v>57</v>
      </c>
      <c r="X2154" s="7" t="s">
        <v>103</v>
      </c>
      <c r="Y2154" s="8">
        <v>44531</v>
      </c>
      <c r="Z2154" s="8">
        <v>44681</v>
      </c>
      <c r="AA2154" s="7" t="s">
        <v>0</v>
      </c>
      <c r="AB2154" s="7" t="s">
        <v>130</v>
      </c>
      <c r="AC2154" s="7" t="s">
        <v>79</v>
      </c>
      <c r="AD2154" s="7" t="s">
        <v>514</v>
      </c>
      <c r="AE2154" s="7" t="s">
        <v>82</v>
      </c>
      <c r="AF2154" s="7" t="s">
        <v>0</v>
      </c>
      <c r="AG2154" s="7" t="s">
        <v>0</v>
      </c>
      <c r="AH2154" s="9" t="s">
        <v>13788</v>
      </c>
      <c r="AI2154" s="9" t="s">
        <v>13789</v>
      </c>
      <c r="AJ2154" s="9" t="s">
        <v>13790</v>
      </c>
      <c r="AK2154" s="7" t="s">
        <v>61</v>
      </c>
      <c r="AL2154" s="7" t="s">
        <v>61</v>
      </c>
      <c r="AM2154" s="7" t="s">
        <v>0</v>
      </c>
      <c r="AN2154" s="7" t="s">
        <v>0</v>
      </c>
      <c r="AO2154" s="7" t="s">
        <v>0</v>
      </c>
      <c r="AP2154" s="7" t="s">
        <v>0</v>
      </c>
      <c r="AQ2154" s="7" t="s">
        <v>61</v>
      </c>
      <c r="AR2154" s="7" t="s">
        <v>0</v>
      </c>
      <c r="AS2154" s="10" t="str">
        <f>HYPERLINK("https://tessa.gazprom-neft.local/edo/card/25ac0ef1-6b3b-4297-b137-cc664a44c764", "https://tessa.gazprom-neft.local/edo/card/25ac0ef1-6b3b-4297-b137-cc664a44c764")</f>
        <v>https://tessa.gazprom-neft.local/edo/card/25ac0ef1-6b3b-4297-b137-cc664a44c764</v>
      </c>
    </row>
    <row r="2155" spans="1:45" x14ac:dyDescent="0.25">
      <c r="A2155" s="6" t="s">
        <v>44</v>
      </c>
      <c r="B2155" s="7" t="s">
        <v>964</v>
      </c>
      <c r="C2155" s="7" t="s">
        <v>67</v>
      </c>
      <c r="D2155" s="8">
        <v>44531</v>
      </c>
      <c r="E2155" s="8" t="s">
        <v>0</v>
      </c>
      <c r="F2155" s="16" t="s">
        <v>965</v>
      </c>
      <c r="G2155" s="7" t="s">
        <v>966</v>
      </c>
      <c r="H2155" s="7" t="s">
        <v>9080</v>
      </c>
      <c r="I2155" s="7" t="s">
        <v>0</v>
      </c>
      <c r="J2155" s="7" t="s">
        <v>9082</v>
      </c>
      <c r="K2155" s="7" t="s">
        <v>47</v>
      </c>
      <c r="L2155" s="7" t="s">
        <v>48</v>
      </c>
      <c r="M2155" s="7" t="s">
        <v>0</v>
      </c>
      <c r="N2155" s="7" t="s">
        <v>9079</v>
      </c>
      <c r="O2155" s="7" t="s">
        <v>0</v>
      </c>
      <c r="P2155" s="7" t="s">
        <v>9081</v>
      </c>
      <c r="Q2155" s="7" t="s">
        <v>9083</v>
      </c>
      <c r="R2155" s="7" t="s">
        <v>1062</v>
      </c>
      <c r="S2155" s="7" t="s">
        <v>1062</v>
      </c>
      <c r="T2155" s="7" t="s">
        <v>54</v>
      </c>
      <c r="U2155" s="7" t="s">
        <v>294</v>
      </c>
      <c r="V2155" s="7" t="s">
        <v>137</v>
      </c>
      <c r="W2155" s="7" t="s">
        <v>57</v>
      </c>
      <c r="X2155" s="7" t="s">
        <v>58</v>
      </c>
      <c r="Y2155" s="8">
        <v>44531</v>
      </c>
      <c r="Z2155" s="8" t="s">
        <v>0</v>
      </c>
      <c r="AA2155" s="7" t="s">
        <v>0</v>
      </c>
      <c r="AB2155" s="7" t="s">
        <v>300</v>
      </c>
      <c r="AC2155" s="7" t="s">
        <v>65</v>
      </c>
      <c r="AD2155" s="7" t="s">
        <v>0</v>
      </c>
      <c r="AE2155" s="7" t="s">
        <v>0</v>
      </c>
      <c r="AF2155" s="7" t="s">
        <v>0</v>
      </c>
      <c r="AG2155" s="7" t="s">
        <v>0</v>
      </c>
      <c r="AH2155" s="9" t="s">
        <v>0</v>
      </c>
      <c r="AI2155" s="9" t="s">
        <v>0</v>
      </c>
      <c r="AJ2155" s="9" t="s">
        <v>0</v>
      </c>
      <c r="AK2155" s="7" t="s">
        <v>61</v>
      </c>
      <c r="AL2155" s="7" t="s">
        <v>61</v>
      </c>
      <c r="AM2155" s="7" t="s">
        <v>0</v>
      </c>
      <c r="AN2155" s="7" t="s">
        <v>0</v>
      </c>
      <c r="AO2155" s="7" t="s">
        <v>0</v>
      </c>
      <c r="AP2155" s="7" t="s">
        <v>0</v>
      </c>
      <c r="AQ2155" s="7" t="s">
        <v>61</v>
      </c>
      <c r="AR2155" s="7" t="s">
        <v>0</v>
      </c>
      <c r="AS2155" s="10" t="str">
        <f>HYPERLINK("https://tessa.gazprom-neft.local/edo/card/9be34318-9ee6-4ac0-bfb4-adc952f4e36b", "https://tessa.gazprom-neft.local/edo/card/9be34318-9ee6-4ac0-bfb4-adc952f4e36b")</f>
        <v>https://tessa.gazprom-neft.local/edo/card/9be34318-9ee6-4ac0-bfb4-adc952f4e36b</v>
      </c>
    </row>
    <row r="2156" spans="1:45" hidden="1" x14ac:dyDescent="0.25">
      <c r="A2156" s="6" t="s">
        <v>44</v>
      </c>
      <c r="B2156" s="7" t="s">
        <v>245</v>
      </c>
      <c r="C2156" s="7" t="s">
        <v>67</v>
      </c>
      <c r="D2156" s="8">
        <v>44531</v>
      </c>
      <c r="E2156" s="8" t="s">
        <v>0</v>
      </c>
      <c r="F2156" s="16" t="s">
        <v>246</v>
      </c>
      <c r="G2156" s="7" t="s">
        <v>247</v>
      </c>
      <c r="H2156" s="7" t="s">
        <v>1105</v>
      </c>
      <c r="I2156" s="7" t="s">
        <v>0</v>
      </c>
      <c r="J2156" s="7" t="s">
        <v>9166</v>
      </c>
      <c r="K2156" s="7" t="s">
        <v>47</v>
      </c>
      <c r="L2156" s="7" t="s">
        <v>239</v>
      </c>
      <c r="M2156" s="7" t="s">
        <v>0</v>
      </c>
      <c r="N2156" s="7" t="s">
        <v>9165</v>
      </c>
      <c r="O2156" s="7" t="s">
        <v>0</v>
      </c>
      <c r="P2156" s="7" t="s">
        <v>1106</v>
      </c>
      <c r="Q2156" s="7" t="s">
        <v>9167</v>
      </c>
      <c r="R2156" s="7" t="s">
        <v>273</v>
      </c>
      <c r="S2156" s="7" t="s">
        <v>273</v>
      </c>
      <c r="T2156" s="7" t="s">
        <v>54</v>
      </c>
      <c r="U2156" s="7" t="s">
        <v>3903</v>
      </c>
      <c r="V2156" s="7" t="s">
        <v>917</v>
      </c>
      <c r="W2156" s="7" t="s">
        <v>57</v>
      </c>
      <c r="X2156" s="7" t="s">
        <v>103</v>
      </c>
      <c r="Y2156" s="8">
        <v>44531</v>
      </c>
      <c r="Z2156" s="8">
        <v>44560</v>
      </c>
      <c r="AA2156" s="7" t="s">
        <v>309</v>
      </c>
      <c r="AB2156" s="7" t="s">
        <v>328</v>
      </c>
      <c r="AC2156" s="7" t="s">
        <v>278</v>
      </c>
      <c r="AD2156" s="7" t="s">
        <v>80</v>
      </c>
      <c r="AE2156" s="7" t="s">
        <v>82</v>
      </c>
      <c r="AF2156" s="7" t="s">
        <v>0</v>
      </c>
      <c r="AG2156" s="7" t="s">
        <v>0</v>
      </c>
      <c r="AH2156" s="9" t="s">
        <v>13816</v>
      </c>
      <c r="AI2156" s="9" t="s">
        <v>13817</v>
      </c>
      <c r="AJ2156" s="9" t="s">
        <v>13818</v>
      </c>
      <c r="AK2156" s="7" t="s">
        <v>61</v>
      </c>
      <c r="AL2156" s="7" t="s">
        <v>61</v>
      </c>
      <c r="AM2156" s="7" t="s">
        <v>0</v>
      </c>
      <c r="AN2156" s="7" t="s">
        <v>0</v>
      </c>
      <c r="AO2156" s="7" t="s">
        <v>0</v>
      </c>
      <c r="AP2156" s="7" t="s">
        <v>0</v>
      </c>
      <c r="AQ2156" s="7" t="s">
        <v>61</v>
      </c>
      <c r="AR2156" s="7" t="s">
        <v>0</v>
      </c>
      <c r="AS2156" s="10" t="str">
        <f>HYPERLINK("https://tessa.gazprom-neft.local/edo/card/aef46dd6-a0dd-4449-b516-8380478f61cf", "https://tessa.gazprom-neft.local/edo/card/aef46dd6-a0dd-4449-b516-8380478f61cf")</f>
        <v>https://tessa.gazprom-neft.local/edo/card/aef46dd6-a0dd-4449-b516-8380478f61cf</v>
      </c>
    </row>
    <row r="2157" spans="1:45" x14ac:dyDescent="0.25">
      <c r="A2157" s="6" t="s">
        <v>44</v>
      </c>
      <c r="B2157" s="7" t="s">
        <v>1640</v>
      </c>
      <c r="C2157" s="7" t="s">
        <v>492</v>
      </c>
      <c r="D2157" s="8">
        <v>44531</v>
      </c>
      <c r="E2157" s="8" t="s">
        <v>0</v>
      </c>
      <c r="F2157" s="16" t="s">
        <v>1641</v>
      </c>
      <c r="G2157" s="7" t="s">
        <v>1642</v>
      </c>
      <c r="H2157" s="7" t="s">
        <v>1958</v>
      </c>
      <c r="I2157" s="7" t="s">
        <v>0</v>
      </c>
      <c r="J2157" s="7" t="s">
        <v>271</v>
      </c>
      <c r="K2157" s="7" t="s">
        <v>47</v>
      </c>
      <c r="L2157" s="7" t="s">
        <v>48</v>
      </c>
      <c r="M2157" s="7" t="s">
        <v>0</v>
      </c>
      <c r="N2157" s="7" t="s">
        <v>9223</v>
      </c>
      <c r="O2157" s="7" t="s">
        <v>0</v>
      </c>
      <c r="P2157" s="7" t="s">
        <v>720</v>
      </c>
      <c r="Q2157" s="7" t="s">
        <v>720</v>
      </c>
      <c r="R2157" s="7" t="s">
        <v>273</v>
      </c>
      <c r="S2157" s="7" t="s">
        <v>273</v>
      </c>
      <c r="T2157" s="7" t="s">
        <v>54</v>
      </c>
      <c r="U2157" s="7" t="s">
        <v>274</v>
      </c>
      <c r="V2157" s="7" t="s">
        <v>723</v>
      </c>
      <c r="W2157" s="7" t="s">
        <v>57</v>
      </c>
      <c r="X2157" s="7" t="s">
        <v>103</v>
      </c>
      <c r="Y2157" s="8">
        <v>44531</v>
      </c>
      <c r="Z2157" s="8">
        <v>45291</v>
      </c>
      <c r="AA2157" s="7" t="s">
        <v>1031</v>
      </c>
      <c r="AB2157" s="7" t="s">
        <v>64</v>
      </c>
      <c r="AC2157" s="7" t="s">
        <v>278</v>
      </c>
      <c r="AD2157" s="7" t="s">
        <v>80</v>
      </c>
      <c r="AE2157" s="7" t="s">
        <v>82</v>
      </c>
      <c r="AF2157" s="7" t="s">
        <v>0</v>
      </c>
      <c r="AG2157" s="7" t="s">
        <v>0</v>
      </c>
      <c r="AH2157" s="9" t="s">
        <v>13844</v>
      </c>
      <c r="AI2157" s="9" t="s">
        <v>13845</v>
      </c>
      <c r="AJ2157" s="9" t="s">
        <v>13846</v>
      </c>
      <c r="AK2157" s="7" t="s">
        <v>61</v>
      </c>
      <c r="AL2157" s="7" t="s">
        <v>61</v>
      </c>
      <c r="AM2157" s="7" t="s">
        <v>0</v>
      </c>
      <c r="AN2157" s="7" t="s">
        <v>0</v>
      </c>
      <c r="AO2157" s="7" t="s">
        <v>0</v>
      </c>
      <c r="AP2157" s="7" t="s">
        <v>0</v>
      </c>
      <c r="AQ2157" s="7" t="s">
        <v>61</v>
      </c>
      <c r="AR2157" s="7" t="s">
        <v>0</v>
      </c>
      <c r="AS2157" s="10" t="str">
        <f>HYPERLINK("https://tessa.gazprom-neft.local/edo/card/0b9d3c66-0014-4d0f-b3fb-7ead1906577e", "https://tessa.gazprom-neft.local/edo/card/0b9d3c66-0014-4d0f-b3fb-7ead1906577e")</f>
        <v>https://tessa.gazprom-neft.local/edo/card/0b9d3c66-0014-4d0f-b3fb-7ead1906577e</v>
      </c>
    </row>
    <row r="2158" spans="1:45" hidden="1" x14ac:dyDescent="0.25">
      <c r="A2158" s="6" t="s">
        <v>44</v>
      </c>
      <c r="B2158" s="7" t="s">
        <v>436</v>
      </c>
      <c r="C2158" s="7" t="s">
        <v>46</v>
      </c>
      <c r="D2158" s="8">
        <v>44531</v>
      </c>
      <c r="E2158" s="8" t="s">
        <v>0</v>
      </c>
      <c r="F2158" s="16" t="s">
        <v>437</v>
      </c>
      <c r="G2158" s="7" t="s">
        <v>438</v>
      </c>
      <c r="H2158" s="7" t="s">
        <v>483</v>
      </c>
      <c r="I2158" s="7" t="s">
        <v>0</v>
      </c>
      <c r="J2158" s="7" t="s">
        <v>271</v>
      </c>
      <c r="K2158" s="7" t="s">
        <v>47</v>
      </c>
      <c r="L2158" s="7" t="s">
        <v>239</v>
      </c>
      <c r="M2158" s="7" t="s">
        <v>0</v>
      </c>
      <c r="N2158" s="7" t="s">
        <v>9435</v>
      </c>
      <c r="O2158" s="7" t="s">
        <v>0</v>
      </c>
      <c r="P2158" s="7" t="s">
        <v>9436</v>
      </c>
      <c r="Q2158" s="7" t="s">
        <v>9437</v>
      </c>
      <c r="R2158" s="7" t="s">
        <v>1083</v>
      </c>
      <c r="S2158" s="7" t="s">
        <v>1519</v>
      </c>
      <c r="T2158" s="7" t="s">
        <v>54</v>
      </c>
      <c r="U2158" s="7" t="s">
        <v>274</v>
      </c>
      <c r="V2158" s="7" t="s">
        <v>56</v>
      </c>
      <c r="W2158" s="7" t="s">
        <v>57</v>
      </c>
      <c r="X2158" s="7" t="s">
        <v>103</v>
      </c>
      <c r="Y2158" s="8">
        <v>44531</v>
      </c>
      <c r="Z2158" s="8">
        <v>44560</v>
      </c>
      <c r="AA2158" s="7" t="s">
        <v>0</v>
      </c>
      <c r="AB2158" s="7" t="s">
        <v>328</v>
      </c>
      <c r="AC2158" s="7" t="s">
        <v>278</v>
      </c>
      <c r="AD2158" s="7" t="s">
        <v>80</v>
      </c>
      <c r="AE2158" s="7" t="s">
        <v>82</v>
      </c>
      <c r="AF2158" s="7" t="s">
        <v>0</v>
      </c>
      <c r="AG2158" s="7" t="s">
        <v>0</v>
      </c>
      <c r="AH2158" s="9" t="s">
        <v>13929</v>
      </c>
      <c r="AI2158" s="9" t="s">
        <v>13930</v>
      </c>
      <c r="AJ2158" s="9" t="s">
        <v>13931</v>
      </c>
      <c r="AK2158" s="7" t="s">
        <v>61</v>
      </c>
      <c r="AL2158" s="7" t="s">
        <v>61</v>
      </c>
      <c r="AM2158" s="7" t="s">
        <v>0</v>
      </c>
      <c r="AN2158" s="7" t="s">
        <v>0</v>
      </c>
      <c r="AO2158" s="7" t="s">
        <v>0</v>
      </c>
      <c r="AP2158" s="7" t="s">
        <v>0</v>
      </c>
      <c r="AQ2158" s="7" t="s">
        <v>61</v>
      </c>
      <c r="AR2158" s="7" t="s">
        <v>0</v>
      </c>
      <c r="AS2158" s="10" t="str">
        <f>HYPERLINK("https://tessa.gazprom-neft.local/edo/card/1b44c0c1-2d54-423d-bdbb-723e64c5e7e0", "https://tessa.gazprom-neft.local/edo/card/1b44c0c1-2d54-423d-bdbb-723e64c5e7e0")</f>
        <v>https://tessa.gazprom-neft.local/edo/card/1b44c0c1-2d54-423d-bdbb-723e64c5e7e0</v>
      </c>
    </row>
    <row r="2159" spans="1:45" x14ac:dyDescent="0.25">
      <c r="A2159" s="6" t="s">
        <v>44</v>
      </c>
      <c r="B2159" s="7" t="s">
        <v>4071</v>
      </c>
      <c r="C2159" s="7" t="s">
        <v>67</v>
      </c>
      <c r="D2159" s="8">
        <v>44531</v>
      </c>
      <c r="E2159" s="8" t="s">
        <v>0</v>
      </c>
      <c r="F2159" s="16" t="s">
        <v>4072</v>
      </c>
      <c r="G2159" s="7" t="s">
        <v>4073</v>
      </c>
      <c r="H2159" s="7" t="s">
        <v>4580</v>
      </c>
      <c r="I2159" s="7" t="s">
        <v>0</v>
      </c>
      <c r="J2159" s="7" t="s">
        <v>156</v>
      </c>
      <c r="K2159" s="7" t="s">
        <v>47</v>
      </c>
      <c r="L2159" s="7" t="s">
        <v>48</v>
      </c>
      <c r="M2159" s="7" t="s">
        <v>0</v>
      </c>
      <c r="N2159" s="7" t="s">
        <v>9503</v>
      </c>
      <c r="O2159" s="7" t="s">
        <v>0</v>
      </c>
      <c r="P2159" s="7" t="s">
        <v>9504</v>
      </c>
      <c r="Q2159" s="7" t="s">
        <v>9505</v>
      </c>
      <c r="R2159" s="7" t="s">
        <v>519</v>
      </c>
      <c r="S2159" s="7" t="s">
        <v>519</v>
      </c>
      <c r="T2159" s="7" t="s">
        <v>54</v>
      </c>
      <c r="U2159" s="7" t="s">
        <v>362</v>
      </c>
      <c r="V2159" s="7" t="s">
        <v>295</v>
      </c>
      <c r="W2159" s="7" t="s">
        <v>57</v>
      </c>
      <c r="X2159" s="7" t="s">
        <v>103</v>
      </c>
      <c r="Y2159" s="8">
        <v>44531</v>
      </c>
      <c r="Z2159" s="8">
        <v>44926</v>
      </c>
      <c r="AA2159" s="7" t="s">
        <v>296</v>
      </c>
      <c r="AB2159" s="7" t="s">
        <v>130</v>
      </c>
      <c r="AC2159" s="7" t="s">
        <v>65</v>
      </c>
      <c r="AD2159" s="7" t="s">
        <v>514</v>
      </c>
      <c r="AE2159" s="7" t="s">
        <v>0</v>
      </c>
      <c r="AF2159" s="7" t="s">
        <v>0</v>
      </c>
      <c r="AG2159" s="7" t="s">
        <v>0</v>
      </c>
      <c r="AH2159" s="9" t="s">
        <v>0</v>
      </c>
      <c r="AI2159" s="9" t="s">
        <v>0</v>
      </c>
      <c r="AJ2159" s="9" t="s">
        <v>0</v>
      </c>
      <c r="AK2159" s="7" t="s">
        <v>61</v>
      </c>
      <c r="AL2159" s="7" t="s">
        <v>61</v>
      </c>
      <c r="AM2159" s="7" t="s">
        <v>0</v>
      </c>
      <c r="AN2159" s="7" t="s">
        <v>0</v>
      </c>
      <c r="AO2159" s="7" t="s">
        <v>0</v>
      </c>
      <c r="AP2159" s="7" t="s">
        <v>0</v>
      </c>
      <c r="AQ2159" s="7" t="s">
        <v>61</v>
      </c>
      <c r="AR2159" s="7" t="s">
        <v>0</v>
      </c>
      <c r="AS2159" s="10" t="str">
        <f>HYPERLINK("https://tessa.gazprom-neft.local/edo/card/7a197cf8-b583-4ae0-8da2-aa4afae342d7", "https://tessa.gazprom-neft.local/edo/card/7a197cf8-b583-4ae0-8da2-aa4afae342d7")</f>
        <v>https://tessa.gazprom-neft.local/edo/card/7a197cf8-b583-4ae0-8da2-aa4afae342d7</v>
      </c>
    </row>
    <row r="2160" spans="1:45" x14ac:dyDescent="0.25">
      <c r="A2160" s="6" t="s">
        <v>44</v>
      </c>
      <c r="B2160" s="7" t="s">
        <v>1200</v>
      </c>
      <c r="C2160" s="7" t="s">
        <v>67</v>
      </c>
      <c r="D2160" s="8">
        <v>44530</v>
      </c>
      <c r="E2160" s="8" t="s">
        <v>0</v>
      </c>
      <c r="F2160" s="16" t="s">
        <v>1201</v>
      </c>
      <c r="G2160" s="7" t="s">
        <v>1202</v>
      </c>
      <c r="H2160" s="7" t="s">
        <v>8664</v>
      </c>
      <c r="I2160" s="7" t="s">
        <v>0</v>
      </c>
      <c r="J2160" s="7" t="s">
        <v>51</v>
      </c>
      <c r="K2160" s="7" t="s">
        <v>47</v>
      </c>
      <c r="L2160" s="7" t="s">
        <v>48</v>
      </c>
      <c r="M2160" s="7" t="s">
        <v>0</v>
      </c>
      <c r="N2160" s="7" t="s">
        <v>8663</v>
      </c>
      <c r="O2160" s="7" t="s">
        <v>0</v>
      </c>
      <c r="P2160" s="7" t="s">
        <v>8665</v>
      </c>
      <c r="Q2160" s="7" t="s">
        <v>8666</v>
      </c>
      <c r="R2160" s="7" t="s">
        <v>1199</v>
      </c>
      <c r="S2160" s="7" t="s">
        <v>0</v>
      </c>
      <c r="T2160" s="7" t="s">
        <v>54</v>
      </c>
      <c r="U2160" s="7" t="s">
        <v>605</v>
      </c>
      <c r="V2160" s="7" t="s">
        <v>382</v>
      </c>
      <c r="W2160" s="7" t="s">
        <v>57</v>
      </c>
      <c r="X2160" s="7" t="s">
        <v>103</v>
      </c>
      <c r="Y2160" s="8">
        <v>44530</v>
      </c>
      <c r="Z2160" s="8">
        <v>44772</v>
      </c>
      <c r="AA2160" s="7" t="s">
        <v>1656</v>
      </c>
      <c r="AB2160" s="7" t="s">
        <v>1203</v>
      </c>
      <c r="AC2160" s="7" t="s">
        <v>79</v>
      </c>
      <c r="AD2160" s="7" t="s">
        <v>80</v>
      </c>
      <c r="AE2160" s="7" t="s">
        <v>82</v>
      </c>
      <c r="AF2160" s="7" t="s">
        <v>0</v>
      </c>
      <c r="AG2160" s="7" t="s">
        <v>0</v>
      </c>
      <c r="AH2160" s="9" t="s">
        <v>13177</v>
      </c>
      <c r="AI2160" s="9" t="s">
        <v>13388</v>
      </c>
      <c r="AJ2160" s="9" t="s">
        <v>11248</v>
      </c>
      <c r="AK2160" s="7" t="s">
        <v>61</v>
      </c>
      <c r="AL2160" s="7" t="s">
        <v>61</v>
      </c>
      <c r="AM2160" s="7" t="s">
        <v>0</v>
      </c>
      <c r="AN2160" s="7" t="s">
        <v>0</v>
      </c>
      <c r="AO2160" s="7" t="s">
        <v>0</v>
      </c>
      <c r="AP2160" s="7" t="s">
        <v>0</v>
      </c>
      <c r="AQ2160" s="7" t="s">
        <v>61</v>
      </c>
      <c r="AR2160" s="7" t="s">
        <v>0</v>
      </c>
      <c r="AS2160" s="10" t="str">
        <f>HYPERLINK("https://tessa.gazprom-neft.local/edo/card/8d0f6b32-5dc8-44d4-96ee-8843dcb41f24", "https://tessa.gazprom-neft.local/edo/card/8d0f6b32-5dc8-44d4-96ee-8843dcb41f24")</f>
        <v>https://tessa.gazprom-neft.local/edo/card/8d0f6b32-5dc8-44d4-96ee-8843dcb41f24</v>
      </c>
    </row>
    <row r="2161" spans="1:45" x14ac:dyDescent="0.25">
      <c r="A2161" s="6" t="s">
        <v>44</v>
      </c>
      <c r="B2161" s="7" t="s">
        <v>1386</v>
      </c>
      <c r="C2161" s="7" t="s">
        <v>67</v>
      </c>
      <c r="D2161" s="8">
        <v>44530</v>
      </c>
      <c r="E2161" s="8" t="s">
        <v>0</v>
      </c>
      <c r="F2161" s="16" t="s">
        <v>1387</v>
      </c>
      <c r="G2161" s="7" t="s">
        <v>1388</v>
      </c>
      <c r="H2161" s="7" t="s">
        <v>8816</v>
      </c>
      <c r="I2161" s="7" t="s">
        <v>0</v>
      </c>
      <c r="J2161" s="7" t="s">
        <v>872</v>
      </c>
      <c r="K2161" s="7" t="s">
        <v>47</v>
      </c>
      <c r="L2161" s="7" t="s">
        <v>48</v>
      </c>
      <c r="M2161" s="7" t="s">
        <v>0</v>
      </c>
      <c r="N2161" s="7" t="s">
        <v>8815</v>
      </c>
      <c r="O2161" s="7" t="s">
        <v>0</v>
      </c>
      <c r="P2161" s="7" t="s">
        <v>8817</v>
      </c>
      <c r="Q2161" s="7" t="s">
        <v>8818</v>
      </c>
      <c r="R2161" s="7" t="s">
        <v>1342</v>
      </c>
      <c r="S2161" s="7" t="s">
        <v>1342</v>
      </c>
      <c r="T2161" s="7" t="s">
        <v>54</v>
      </c>
      <c r="U2161" s="7" t="s">
        <v>274</v>
      </c>
      <c r="V2161" s="7" t="s">
        <v>864</v>
      </c>
      <c r="W2161" s="7" t="s">
        <v>57</v>
      </c>
      <c r="X2161" s="7" t="s">
        <v>103</v>
      </c>
      <c r="Y2161" s="8">
        <v>44515</v>
      </c>
      <c r="Z2161" s="8">
        <v>44926</v>
      </c>
      <c r="AA2161" s="7" t="s">
        <v>1465</v>
      </c>
      <c r="AB2161" s="7" t="s">
        <v>328</v>
      </c>
      <c r="AC2161" s="7" t="s">
        <v>278</v>
      </c>
      <c r="AD2161" s="7" t="s">
        <v>80</v>
      </c>
      <c r="AE2161" s="7" t="s">
        <v>82</v>
      </c>
      <c r="AF2161" s="7" t="s">
        <v>0</v>
      </c>
      <c r="AG2161" s="7" t="s">
        <v>0</v>
      </c>
      <c r="AH2161" s="9" t="s">
        <v>11013</v>
      </c>
      <c r="AI2161" s="9" t="s">
        <v>11014</v>
      </c>
      <c r="AJ2161" s="9" t="s">
        <v>11015</v>
      </c>
      <c r="AK2161" s="7" t="s">
        <v>61</v>
      </c>
      <c r="AL2161" s="7" t="s">
        <v>61</v>
      </c>
      <c r="AM2161" s="7" t="s">
        <v>0</v>
      </c>
      <c r="AN2161" s="7" t="s">
        <v>0</v>
      </c>
      <c r="AO2161" s="7" t="s">
        <v>0</v>
      </c>
      <c r="AP2161" s="7" t="s">
        <v>0</v>
      </c>
      <c r="AQ2161" s="7" t="s">
        <v>61</v>
      </c>
      <c r="AR2161" s="7" t="s">
        <v>0</v>
      </c>
      <c r="AS2161" s="10" t="str">
        <f>HYPERLINK("https://tessa.gazprom-neft.local/edo/card/de708bdc-db62-42c8-ab62-6a975d80f03e", "https://tessa.gazprom-neft.local/edo/card/de708bdc-db62-42c8-ab62-6a975d80f03e")</f>
        <v>https://tessa.gazprom-neft.local/edo/card/de708bdc-db62-42c8-ab62-6a975d80f03e</v>
      </c>
    </row>
    <row r="2162" spans="1:45" hidden="1" x14ac:dyDescent="0.25">
      <c r="A2162" s="6" t="s">
        <v>44</v>
      </c>
      <c r="B2162" s="7" t="s">
        <v>0</v>
      </c>
      <c r="C2162" s="7" t="s">
        <v>46</v>
      </c>
      <c r="D2162" s="8">
        <v>44530</v>
      </c>
      <c r="E2162" s="8" t="s">
        <v>0</v>
      </c>
      <c r="F2162" s="16" t="s">
        <v>8825</v>
      </c>
      <c r="G2162" s="7" t="s">
        <v>0</v>
      </c>
      <c r="H2162" s="7" t="s">
        <v>0</v>
      </c>
      <c r="I2162" s="7" t="s">
        <v>8823</v>
      </c>
      <c r="J2162" s="7" t="s">
        <v>8823</v>
      </c>
      <c r="K2162" s="7" t="s">
        <v>85</v>
      </c>
      <c r="L2162" s="7" t="s">
        <v>96</v>
      </c>
      <c r="M2162" s="7" t="s">
        <v>1121</v>
      </c>
      <c r="N2162" s="7" t="s">
        <v>8822</v>
      </c>
      <c r="O2162" s="7" t="s">
        <v>0</v>
      </c>
      <c r="P2162" s="7" t="s">
        <v>1121</v>
      </c>
      <c r="Q2162" s="7" t="s">
        <v>8824</v>
      </c>
      <c r="R2162" s="7" t="s">
        <v>293</v>
      </c>
      <c r="S2162" s="7" t="s">
        <v>293</v>
      </c>
      <c r="T2162" s="7" t="s">
        <v>54</v>
      </c>
      <c r="U2162" s="7" t="s">
        <v>362</v>
      </c>
      <c r="V2162" s="7" t="s">
        <v>917</v>
      </c>
      <c r="W2162" s="7" t="s">
        <v>57</v>
      </c>
      <c r="X2162" s="7" t="s">
        <v>58</v>
      </c>
      <c r="Y2162" s="8">
        <v>44530</v>
      </c>
      <c r="Z2162" s="8" t="s">
        <v>0</v>
      </c>
      <c r="AA2162" s="7" t="s">
        <v>309</v>
      </c>
      <c r="AB2162" s="7" t="s">
        <v>500</v>
      </c>
      <c r="AC2162" s="7" t="s">
        <v>79</v>
      </c>
      <c r="AD2162" s="7" t="s">
        <v>80</v>
      </c>
      <c r="AE2162" s="7" t="s">
        <v>118</v>
      </c>
      <c r="AF2162" s="7" t="s">
        <v>0</v>
      </c>
      <c r="AG2162" s="7" t="s">
        <v>0</v>
      </c>
      <c r="AH2162" s="9" t="s">
        <v>13706</v>
      </c>
      <c r="AI2162" s="9" t="s">
        <v>13706</v>
      </c>
      <c r="AJ2162" s="9">
        <v>0</v>
      </c>
      <c r="AK2162" s="7" t="s">
        <v>61</v>
      </c>
      <c r="AL2162" s="7" t="s">
        <v>61</v>
      </c>
      <c r="AM2162" s="7" t="s">
        <v>0</v>
      </c>
      <c r="AN2162" s="7" t="s">
        <v>0</v>
      </c>
      <c r="AO2162" s="7" t="s">
        <v>0</v>
      </c>
      <c r="AP2162" s="7" t="s">
        <v>0</v>
      </c>
      <c r="AQ2162" s="7" t="s">
        <v>61</v>
      </c>
      <c r="AR2162" s="7" t="s">
        <v>0</v>
      </c>
      <c r="AS2162" s="10" t="str">
        <f>HYPERLINK("https://tessa.gazprom-neft.local/edo/card/84fe60a8-3b24-486e-a3f0-d5658547c589", "https://tessa.gazprom-neft.local/edo/card/84fe60a8-3b24-486e-a3f0-d5658547c589")</f>
        <v>https://tessa.gazprom-neft.local/edo/card/84fe60a8-3b24-486e-a3f0-d5658547c589</v>
      </c>
    </row>
    <row r="2163" spans="1:45" x14ac:dyDescent="0.25">
      <c r="A2163" s="6" t="s">
        <v>44</v>
      </c>
      <c r="B2163" s="7" t="s">
        <v>1386</v>
      </c>
      <c r="C2163" s="7" t="s">
        <v>67</v>
      </c>
      <c r="D2163" s="8">
        <v>44530</v>
      </c>
      <c r="E2163" s="8" t="s">
        <v>0</v>
      </c>
      <c r="F2163" s="16" t="s">
        <v>1387</v>
      </c>
      <c r="G2163" s="7" t="s">
        <v>1388</v>
      </c>
      <c r="H2163" s="7" t="s">
        <v>8816</v>
      </c>
      <c r="I2163" s="7" t="s">
        <v>0</v>
      </c>
      <c r="J2163" s="7" t="s">
        <v>70</v>
      </c>
      <c r="K2163" s="7" t="s">
        <v>47</v>
      </c>
      <c r="L2163" s="7" t="s">
        <v>48</v>
      </c>
      <c r="M2163" s="7" t="s">
        <v>0</v>
      </c>
      <c r="N2163" s="7" t="s">
        <v>8989</v>
      </c>
      <c r="O2163" s="7" t="s">
        <v>0</v>
      </c>
      <c r="P2163" s="7" t="s">
        <v>8990</v>
      </c>
      <c r="Q2163" s="7" t="s">
        <v>8991</v>
      </c>
      <c r="R2163" s="7" t="s">
        <v>1342</v>
      </c>
      <c r="S2163" s="7" t="s">
        <v>0</v>
      </c>
      <c r="T2163" s="7" t="s">
        <v>54</v>
      </c>
      <c r="U2163" s="7" t="s">
        <v>274</v>
      </c>
      <c r="V2163" s="7" t="s">
        <v>864</v>
      </c>
      <c r="W2163" s="7" t="s">
        <v>57</v>
      </c>
      <c r="X2163" s="7" t="s">
        <v>223</v>
      </c>
      <c r="Y2163" s="8">
        <v>43375</v>
      </c>
      <c r="Z2163" s="8" t="s">
        <v>0</v>
      </c>
      <c r="AA2163" s="7" t="s">
        <v>1465</v>
      </c>
      <c r="AB2163" s="7" t="s">
        <v>328</v>
      </c>
      <c r="AC2163" s="7" t="s">
        <v>65</v>
      </c>
      <c r="AD2163" s="7" t="s">
        <v>144</v>
      </c>
      <c r="AE2163" s="7" t="s">
        <v>0</v>
      </c>
      <c r="AF2163" s="7" t="s">
        <v>0</v>
      </c>
      <c r="AG2163" s="7" t="s">
        <v>0</v>
      </c>
      <c r="AH2163" s="9" t="s">
        <v>0</v>
      </c>
      <c r="AI2163" s="9" t="s">
        <v>0</v>
      </c>
      <c r="AJ2163" s="9" t="s">
        <v>0</v>
      </c>
      <c r="AK2163" s="7" t="s">
        <v>61</v>
      </c>
      <c r="AL2163" s="7" t="s">
        <v>61</v>
      </c>
      <c r="AM2163" s="7" t="s">
        <v>0</v>
      </c>
      <c r="AN2163" s="7" t="s">
        <v>0</v>
      </c>
      <c r="AO2163" s="7" t="s">
        <v>0</v>
      </c>
      <c r="AP2163" s="7" t="s">
        <v>0</v>
      </c>
      <c r="AQ2163" s="7" t="s">
        <v>61</v>
      </c>
      <c r="AR2163" s="7" t="s">
        <v>0</v>
      </c>
      <c r="AS2163" s="10" t="str">
        <f>HYPERLINK("https://tessa.gazprom-neft.local/edo/card/a5fa23c2-c5bf-4f39-8d4c-f1133138db6d", "https://tessa.gazprom-neft.local/edo/card/a5fa23c2-c5bf-4f39-8d4c-f1133138db6d")</f>
        <v>https://tessa.gazprom-neft.local/edo/card/a5fa23c2-c5bf-4f39-8d4c-f1133138db6d</v>
      </c>
    </row>
    <row r="2164" spans="1:45" hidden="1" x14ac:dyDescent="0.25">
      <c r="A2164" s="6" t="s">
        <v>44</v>
      </c>
      <c r="B2164" s="7" t="s">
        <v>2193</v>
      </c>
      <c r="C2164" s="7" t="s">
        <v>67</v>
      </c>
      <c r="D2164" s="8">
        <v>44530</v>
      </c>
      <c r="E2164" s="8" t="s">
        <v>0</v>
      </c>
      <c r="F2164" s="16" t="s">
        <v>2194</v>
      </c>
      <c r="G2164" s="7" t="s">
        <v>2195</v>
      </c>
      <c r="H2164" s="7" t="s">
        <v>2191</v>
      </c>
      <c r="I2164" s="7" t="s">
        <v>0</v>
      </c>
      <c r="J2164" s="7" t="s">
        <v>896</v>
      </c>
      <c r="K2164" s="7" t="s">
        <v>47</v>
      </c>
      <c r="L2164" s="7" t="s">
        <v>239</v>
      </c>
      <c r="M2164" s="7" t="s">
        <v>0</v>
      </c>
      <c r="N2164" s="7" t="s">
        <v>9019</v>
      </c>
      <c r="O2164" s="7" t="s">
        <v>0</v>
      </c>
      <c r="P2164" s="7" t="s">
        <v>9020</v>
      </c>
      <c r="Q2164" s="7" t="s">
        <v>7662</v>
      </c>
      <c r="R2164" s="7" t="s">
        <v>135</v>
      </c>
      <c r="S2164" s="7" t="s">
        <v>135</v>
      </c>
      <c r="T2164" s="7" t="s">
        <v>54</v>
      </c>
      <c r="U2164" s="7" t="s">
        <v>136</v>
      </c>
      <c r="V2164" s="7" t="s">
        <v>102</v>
      </c>
      <c r="W2164" s="7" t="s">
        <v>57</v>
      </c>
      <c r="X2164" s="7" t="s">
        <v>103</v>
      </c>
      <c r="Y2164" s="8">
        <v>44530</v>
      </c>
      <c r="Z2164" s="8">
        <v>44561</v>
      </c>
      <c r="AA2164" s="7" t="s">
        <v>6296</v>
      </c>
      <c r="AB2164" s="7" t="s">
        <v>366</v>
      </c>
      <c r="AC2164" s="7" t="s">
        <v>79</v>
      </c>
      <c r="AD2164" s="7" t="s">
        <v>80</v>
      </c>
      <c r="AE2164" s="7" t="s">
        <v>118</v>
      </c>
      <c r="AF2164" s="7" t="s">
        <v>0</v>
      </c>
      <c r="AG2164" s="7" t="s">
        <v>0</v>
      </c>
      <c r="AH2164" s="9" t="s">
        <v>13784</v>
      </c>
      <c r="AI2164" s="9" t="s">
        <v>13784</v>
      </c>
      <c r="AJ2164" s="9">
        <v>0</v>
      </c>
      <c r="AK2164" s="7" t="s">
        <v>61</v>
      </c>
      <c r="AL2164" s="7" t="s">
        <v>61</v>
      </c>
      <c r="AM2164" s="7" t="s">
        <v>0</v>
      </c>
      <c r="AN2164" s="7" t="s">
        <v>0</v>
      </c>
      <c r="AO2164" s="7" t="s">
        <v>0</v>
      </c>
      <c r="AP2164" s="7" t="s">
        <v>0</v>
      </c>
      <c r="AQ2164" s="7" t="s">
        <v>61</v>
      </c>
      <c r="AR2164" s="7" t="s">
        <v>0</v>
      </c>
      <c r="AS2164" s="10" t="str">
        <f>HYPERLINK("https://tessa.gazprom-neft.local/edo/card/d877f60d-d213-406a-98a2-3ea6c8f87068", "https://tessa.gazprom-neft.local/edo/card/d877f60d-d213-406a-98a2-3ea6c8f87068")</f>
        <v>https://tessa.gazprom-neft.local/edo/card/d877f60d-d213-406a-98a2-3ea6c8f87068</v>
      </c>
    </row>
    <row r="2165" spans="1:45" hidden="1" x14ac:dyDescent="0.25">
      <c r="A2165" s="6" t="s">
        <v>44</v>
      </c>
      <c r="B2165" s="7" t="s">
        <v>964</v>
      </c>
      <c r="C2165" s="7" t="s">
        <v>67</v>
      </c>
      <c r="D2165" s="8">
        <v>44530</v>
      </c>
      <c r="E2165" s="8" t="s">
        <v>0</v>
      </c>
      <c r="F2165" s="16" t="s">
        <v>965</v>
      </c>
      <c r="G2165" s="7" t="s">
        <v>966</v>
      </c>
      <c r="H2165" s="7" t="s">
        <v>0</v>
      </c>
      <c r="I2165" s="7" t="s">
        <v>9316</v>
      </c>
      <c r="J2165" s="7" t="s">
        <v>9316</v>
      </c>
      <c r="K2165" s="7" t="s">
        <v>47</v>
      </c>
      <c r="L2165" s="7" t="s">
        <v>96</v>
      </c>
      <c r="M2165" s="7" t="s">
        <v>0</v>
      </c>
      <c r="N2165" s="7" t="s">
        <v>9315</v>
      </c>
      <c r="O2165" s="7" t="s">
        <v>0</v>
      </c>
      <c r="P2165" s="7" t="s">
        <v>9317</v>
      </c>
      <c r="Q2165" s="7" t="s">
        <v>9318</v>
      </c>
      <c r="R2165" s="7" t="s">
        <v>293</v>
      </c>
      <c r="S2165" s="7" t="s">
        <v>293</v>
      </c>
      <c r="T2165" s="7" t="s">
        <v>54</v>
      </c>
      <c r="U2165" s="7" t="s">
        <v>294</v>
      </c>
      <c r="V2165" s="7" t="s">
        <v>295</v>
      </c>
      <c r="W2165" s="7" t="s">
        <v>57</v>
      </c>
      <c r="X2165" s="7" t="s">
        <v>103</v>
      </c>
      <c r="Y2165" s="8">
        <v>44530</v>
      </c>
      <c r="Z2165" s="8">
        <v>45657</v>
      </c>
      <c r="AA2165" s="7" t="s">
        <v>1269</v>
      </c>
      <c r="AB2165" s="7" t="s">
        <v>130</v>
      </c>
      <c r="AC2165" s="7" t="s">
        <v>79</v>
      </c>
      <c r="AD2165" s="7" t="s">
        <v>514</v>
      </c>
      <c r="AE2165" s="7" t="s">
        <v>82</v>
      </c>
      <c r="AF2165" s="7" t="s">
        <v>0</v>
      </c>
      <c r="AG2165" s="7" t="s">
        <v>0</v>
      </c>
      <c r="AH2165" s="9" t="s">
        <v>13874</v>
      </c>
      <c r="AI2165" s="9" t="s">
        <v>13875</v>
      </c>
      <c r="AJ2165" s="9" t="s">
        <v>13876</v>
      </c>
      <c r="AK2165" s="7" t="s">
        <v>61</v>
      </c>
      <c r="AL2165" s="7" t="s">
        <v>61</v>
      </c>
      <c r="AM2165" s="7" t="s">
        <v>0</v>
      </c>
      <c r="AN2165" s="7" t="s">
        <v>0</v>
      </c>
      <c r="AO2165" s="7" t="s">
        <v>0</v>
      </c>
      <c r="AP2165" s="7" t="s">
        <v>0</v>
      </c>
      <c r="AQ2165" s="7" t="s">
        <v>61</v>
      </c>
      <c r="AR2165" s="7" t="s">
        <v>0</v>
      </c>
      <c r="AS2165" s="10" t="str">
        <f>HYPERLINK("https://tessa.gazprom-neft.local/edo/card/6dde3f71-76b1-4114-ac84-bafcee6e80bd", "https://tessa.gazprom-neft.local/edo/card/6dde3f71-76b1-4114-ac84-bafcee6e80bd")</f>
        <v>https://tessa.gazprom-neft.local/edo/card/6dde3f71-76b1-4114-ac84-bafcee6e80bd</v>
      </c>
    </row>
    <row r="2166" spans="1:45" x14ac:dyDescent="0.25">
      <c r="A2166" s="6" t="s">
        <v>44</v>
      </c>
      <c r="B2166" s="7" t="s">
        <v>1712</v>
      </c>
      <c r="C2166" s="7" t="s">
        <v>67</v>
      </c>
      <c r="D2166" s="8">
        <v>44529</v>
      </c>
      <c r="E2166" s="8" t="s">
        <v>0</v>
      </c>
      <c r="F2166" s="16" t="s">
        <v>1713</v>
      </c>
      <c r="G2166" s="7" t="s">
        <v>1714</v>
      </c>
      <c r="H2166" s="7" t="s">
        <v>8911</v>
      </c>
      <c r="I2166" s="7" t="s">
        <v>0</v>
      </c>
      <c r="J2166" s="7" t="s">
        <v>156</v>
      </c>
      <c r="K2166" s="7" t="s">
        <v>85</v>
      </c>
      <c r="L2166" s="7" t="s">
        <v>48</v>
      </c>
      <c r="M2166" s="7" t="s">
        <v>2128</v>
      </c>
      <c r="N2166" s="7" t="s">
        <v>8910</v>
      </c>
      <c r="O2166" s="7" t="s">
        <v>0</v>
      </c>
      <c r="P2166" s="7" t="s">
        <v>2128</v>
      </c>
      <c r="Q2166" s="7" t="s">
        <v>8912</v>
      </c>
      <c r="R2166" s="7" t="s">
        <v>7312</v>
      </c>
      <c r="S2166" s="7" t="s">
        <v>0</v>
      </c>
      <c r="T2166" s="7" t="s">
        <v>54</v>
      </c>
      <c r="U2166" s="7" t="s">
        <v>605</v>
      </c>
      <c r="V2166" s="7" t="s">
        <v>382</v>
      </c>
      <c r="W2166" s="7" t="s">
        <v>57</v>
      </c>
      <c r="X2166" s="7" t="s">
        <v>103</v>
      </c>
      <c r="Y2166" s="8">
        <v>44529</v>
      </c>
      <c r="Z2166" s="8">
        <v>45291</v>
      </c>
      <c r="AA2166" s="7" t="s">
        <v>1656</v>
      </c>
      <c r="AB2166" s="7" t="s">
        <v>64</v>
      </c>
      <c r="AC2166" s="7" t="s">
        <v>65</v>
      </c>
      <c r="AD2166" s="7" t="s">
        <v>0</v>
      </c>
      <c r="AE2166" s="7" t="s">
        <v>0</v>
      </c>
      <c r="AF2166" s="7" t="s">
        <v>0</v>
      </c>
      <c r="AG2166" s="7" t="s">
        <v>0</v>
      </c>
      <c r="AH2166" s="9" t="s">
        <v>0</v>
      </c>
      <c r="AI2166" s="9" t="s">
        <v>0</v>
      </c>
      <c r="AJ2166" s="9" t="s">
        <v>0</v>
      </c>
      <c r="AK2166" s="7" t="s">
        <v>61</v>
      </c>
      <c r="AL2166" s="7" t="s">
        <v>61</v>
      </c>
      <c r="AM2166" s="7" t="s">
        <v>0</v>
      </c>
      <c r="AN2166" s="7" t="s">
        <v>0</v>
      </c>
      <c r="AO2166" s="7" t="s">
        <v>0</v>
      </c>
      <c r="AP2166" s="7" t="s">
        <v>0</v>
      </c>
      <c r="AQ2166" s="7" t="s">
        <v>61</v>
      </c>
      <c r="AR2166" s="7" t="s">
        <v>0</v>
      </c>
      <c r="AS2166" s="10" t="str">
        <f>HYPERLINK("https://tessa.gazprom-neft.local/edo/card/861d291d-e9d7-4ffa-949c-2c0d7366bd5f", "https://tessa.gazprom-neft.local/edo/card/861d291d-e9d7-4ffa-949c-2c0d7366bd5f")</f>
        <v>https://tessa.gazprom-neft.local/edo/card/861d291d-e9d7-4ffa-949c-2c0d7366bd5f</v>
      </c>
    </row>
    <row r="2167" spans="1:45" x14ac:dyDescent="0.25">
      <c r="A2167" s="6" t="s">
        <v>44</v>
      </c>
      <c r="B2167" s="7" t="s">
        <v>3574</v>
      </c>
      <c r="C2167" s="7" t="s">
        <v>67</v>
      </c>
      <c r="D2167" s="8">
        <v>44529</v>
      </c>
      <c r="E2167" s="8" t="s">
        <v>0</v>
      </c>
      <c r="F2167" s="16" t="s">
        <v>8080</v>
      </c>
      <c r="G2167" s="7" t="s">
        <v>3576</v>
      </c>
      <c r="H2167" s="7" t="s">
        <v>8942</v>
      </c>
      <c r="I2167" s="7" t="s">
        <v>0</v>
      </c>
      <c r="J2167" s="7" t="s">
        <v>51</v>
      </c>
      <c r="K2167" s="7" t="s">
        <v>85</v>
      </c>
      <c r="L2167" s="7" t="s">
        <v>48</v>
      </c>
      <c r="M2167" s="7" t="s">
        <v>2128</v>
      </c>
      <c r="N2167" s="7" t="s">
        <v>8941</v>
      </c>
      <c r="O2167" s="7" t="s">
        <v>0</v>
      </c>
      <c r="P2167" s="7" t="s">
        <v>2128</v>
      </c>
      <c r="Q2167" s="7" t="s">
        <v>8943</v>
      </c>
      <c r="R2167" s="7" t="s">
        <v>938</v>
      </c>
      <c r="S2167" s="7" t="s">
        <v>938</v>
      </c>
      <c r="T2167" s="7" t="s">
        <v>54</v>
      </c>
      <c r="U2167" s="7" t="s">
        <v>605</v>
      </c>
      <c r="V2167" s="7" t="s">
        <v>382</v>
      </c>
      <c r="W2167" s="7" t="s">
        <v>57</v>
      </c>
      <c r="X2167" s="7" t="s">
        <v>103</v>
      </c>
      <c r="Y2167" s="8">
        <v>44529</v>
      </c>
      <c r="Z2167" s="8">
        <v>53009</v>
      </c>
      <c r="AA2167" s="7" t="s">
        <v>1656</v>
      </c>
      <c r="AB2167" s="7" t="s">
        <v>64</v>
      </c>
      <c r="AC2167" s="7" t="s">
        <v>65</v>
      </c>
      <c r="AD2167" s="7" t="s">
        <v>0</v>
      </c>
      <c r="AE2167" s="7" t="s">
        <v>0</v>
      </c>
      <c r="AF2167" s="7" t="s">
        <v>0</v>
      </c>
      <c r="AG2167" s="7" t="s">
        <v>0</v>
      </c>
      <c r="AH2167" s="9" t="s">
        <v>0</v>
      </c>
      <c r="AI2167" s="9" t="s">
        <v>0</v>
      </c>
      <c r="AJ2167" s="9" t="s">
        <v>0</v>
      </c>
      <c r="AK2167" s="7" t="s">
        <v>61</v>
      </c>
      <c r="AL2167" s="7" t="s">
        <v>61</v>
      </c>
      <c r="AM2167" s="7" t="s">
        <v>0</v>
      </c>
      <c r="AN2167" s="7" t="s">
        <v>0</v>
      </c>
      <c r="AO2167" s="7" t="s">
        <v>0</v>
      </c>
      <c r="AP2167" s="7" t="s">
        <v>0</v>
      </c>
      <c r="AQ2167" s="7" t="s">
        <v>61</v>
      </c>
      <c r="AR2167" s="7" t="s">
        <v>0</v>
      </c>
      <c r="AS2167" s="10" t="str">
        <f>HYPERLINK("https://tessa.gazprom-neft.local/edo/card/4dd978d0-6779-42c7-b227-6809c5d30471", "https://tessa.gazprom-neft.local/edo/card/4dd978d0-6779-42c7-b227-6809c5d30471")</f>
        <v>https://tessa.gazprom-neft.local/edo/card/4dd978d0-6779-42c7-b227-6809c5d30471</v>
      </c>
    </row>
    <row r="2168" spans="1:45" x14ac:dyDescent="0.25">
      <c r="A2168" s="6" t="s">
        <v>44</v>
      </c>
      <c r="B2168" s="7" t="s">
        <v>3574</v>
      </c>
      <c r="C2168" s="7" t="s">
        <v>67</v>
      </c>
      <c r="D2168" s="8">
        <v>44529</v>
      </c>
      <c r="E2168" s="8" t="s">
        <v>0</v>
      </c>
      <c r="F2168" s="16" t="s">
        <v>8080</v>
      </c>
      <c r="G2168" s="7" t="s">
        <v>3576</v>
      </c>
      <c r="H2168" s="7" t="s">
        <v>8958</v>
      </c>
      <c r="I2168" s="7" t="s">
        <v>0</v>
      </c>
      <c r="J2168" s="7" t="s">
        <v>51</v>
      </c>
      <c r="K2168" s="7" t="s">
        <v>85</v>
      </c>
      <c r="L2168" s="7" t="s">
        <v>48</v>
      </c>
      <c r="M2168" s="7" t="s">
        <v>2128</v>
      </c>
      <c r="N2168" s="7" t="s">
        <v>8957</v>
      </c>
      <c r="O2168" s="7" t="s">
        <v>0</v>
      </c>
      <c r="P2168" s="7" t="s">
        <v>2128</v>
      </c>
      <c r="Q2168" s="7" t="s">
        <v>8943</v>
      </c>
      <c r="R2168" s="7" t="s">
        <v>938</v>
      </c>
      <c r="S2168" s="7" t="s">
        <v>938</v>
      </c>
      <c r="T2168" s="7" t="s">
        <v>54</v>
      </c>
      <c r="U2168" s="7" t="s">
        <v>605</v>
      </c>
      <c r="V2168" s="7" t="s">
        <v>382</v>
      </c>
      <c r="W2168" s="7" t="s">
        <v>57</v>
      </c>
      <c r="X2168" s="7" t="s">
        <v>103</v>
      </c>
      <c r="Y2168" s="8">
        <v>44529</v>
      </c>
      <c r="Z2168" s="8">
        <v>53009</v>
      </c>
      <c r="AA2168" s="7" t="s">
        <v>1656</v>
      </c>
      <c r="AB2168" s="7" t="s">
        <v>64</v>
      </c>
      <c r="AC2168" s="7" t="s">
        <v>65</v>
      </c>
      <c r="AD2168" s="7" t="s">
        <v>0</v>
      </c>
      <c r="AE2168" s="7" t="s">
        <v>0</v>
      </c>
      <c r="AF2168" s="7" t="s">
        <v>0</v>
      </c>
      <c r="AG2168" s="7" t="s">
        <v>0</v>
      </c>
      <c r="AH2168" s="9" t="s">
        <v>0</v>
      </c>
      <c r="AI2168" s="9" t="s">
        <v>0</v>
      </c>
      <c r="AJ2168" s="9" t="s">
        <v>0</v>
      </c>
      <c r="AK2168" s="7" t="s">
        <v>61</v>
      </c>
      <c r="AL2168" s="7" t="s">
        <v>61</v>
      </c>
      <c r="AM2168" s="7" t="s">
        <v>0</v>
      </c>
      <c r="AN2168" s="7" t="s">
        <v>0</v>
      </c>
      <c r="AO2168" s="7" t="s">
        <v>0</v>
      </c>
      <c r="AP2168" s="7" t="s">
        <v>0</v>
      </c>
      <c r="AQ2168" s="7" t="s">
        <v>61</v>
      </c>
      <c r="AR2168" s="7" t="s">
        <v>0</v>
      </c>
      <c r="AS2168" s="10" t="str">
        <f>HYPERLINK("https://tessa.gazprom-neft.local/edo/card/d145f759-7eed-41f1-a739-0a0508fab685", "https://tessa.gazprom-neft.local/edo/card/d145f759-7eed-41f1-a739-0a0508fab685")</f>
        <v>https://tessa.gazprom-neft.local/edo/card/d145f759-7eed-41f1-a739-0a0508fab685</v>
      </c>
    </row>
    <row r="2169" spans="1:45" x14ac:dyDescent="0.25">
      <c r="A2169" s="6" t="s">
        <v>44</v>
      </c>
      <c r="B2169" s="7" t="s">
        <v>3574</v>
      </c>
      <c r="C2169" s="7" t="s">
        <v>67</v>
      </c>
      <c r="D2169" s="8">
        <v>44529</v>
      </c>
      <c r="E2169" s="8" t="s">
        <v>0</v>
      </c>
      <c r="F2169" s="16" t="s">
        <v>8080</v>
      </c>
      <c r="G2169" s="7" t="s">
        <v>3576</v>
      </c>
      <c r="H2169" s="7" t="s">
        <v>8965</v>
      </c>
      <c r="I2169" s="7" t="s">
        <v>0</v>
      </c>
      <c r="J2169" s="7" t="s">
        <v>51</v>
      </c>
      <c r="K2169" s="7" t="s">
        <v>85</v>
      </c>
      <c r="L2169" s="7" t="s">
        <v>48</v>
      </c>
      <c r="M2169" s="7" t="s">
        <v>2128</v>
      </c>
      <c r="N2169" s="7" t="s">
        <v>8964</v>
      </c>
      <c r="O2169" s="7" t="s">
        <v>0</v>
      </c>
      <c r="P2169" s="7" t="s">
        <v>2128</v>
      </c>
      <c r="Q2169" s="7" t="s">
        <v>8966</v>
      </c>
      <c r="R2169" s="7" t="s">
        <v>938</v>
      </c>
      <c r="S2169" s="7" t="s">
        <v>938</v>
      </c>
      <c r="T2169" s="7" t="s">
        <v>54</v>
      </c>
      <c r="U2169" s="7" t="s">
        <v>605</v>
      </c>
      <c r="V2169" s="7" t="s">
        <v>382</v>
      </c>
      <c r="W2169" s="7" t="s">
        <v>57</v>
      </c>
      <c r="X2169" s="7" t="s">
        <v>103</v>
      </c>
      <c r="Y2169" s="8">
        <v>44529</v>
      </c>
      <c r="Z2169" s="8">
        <v>44651</v>
      </c>
      <c r="AA2169" s="7" t="s">
        <v>1656</v>
      </c>
      <c r="AB2169" s="7" t="s">
        <v>64</v>
      </c>
      <c r="AC2169" s="7" t="s">
        <v>65</v>
      </c>
      <c r="AD2169" s="7" t="s">
        <v>0</v>
      </c>
      <c r="AE2169" s="7" t="s">
        <v>0</v>
      </c>
      <c r="AF2169" s="7" t="s">
        <v>0</v>
      </c>
      <c r="AG2169" s="7" t="s">
        <v>0</v>
      </c>
      <c r="AH2169" s="9" t="s">
        <v>0</v>
      </c>
      <c r="AI2169" s="9" t="s">
        <v>0</v>
      </c>
      <c r="AJ2169" s="9" t="s">
        <v>0</v>
      </c>
      <c r="AK2169" s="7" t="s">
        <v>61</v>
      </c>
      <c r="AL2169" s="7" t="s">
        <v>61</v>
      </c>
      <c r="AM2169" s="7" t="s">
        <v>0</v>
      </c>
      <c r="AN2169" s="7" t="s">
        <v>0</v>
      </c>
      <c r="AO2169" s="7" t="s">
        <v>0</v>
      </c>
      <c r="AP2169" s="7" t="s">
        <v>0</v>
      </c>
      <c r="AQ2169" s="7" t="s">
        <v>61</v>
      </c>
      <c r="AR2169" s="7" t="s">
        <v>0</v>
      </c>
      <c r="AS2169" s="10" t="str">
        <f>HYPERLINK("https://tessa.gazprom-neft.local/edo/card/4e0bb3a4-6893-4dac-bbeb-63e249e84f85", "https://tessa.gazprom-neft.local/edo/card/4e0bb3a4-6893-4dac-bbeb-63e249e84f85")</f>
        <v>https://tessa.gazprom-neft.local/edo/card/4e0bb3a4-6893-4dac-bbeb-63e249e84f85</v>
      </c>
    </row>
    <row r="2170" spans="1:45" x14ac:dyDescent="0.25">
      <c r="A2170" s="6" t="s">
        <v>44</v>
      </c>
      <c r="B2170" s="7" t="s">
        <v>3574</v>
      </c>
      <c r="C2170" s="7" t="s">
        <v>67</v>
      </c>
      <c r="D2170" s="8">
        <v>44529</v>
      </c>
      <c r="E2170" s="8" t="s">
        <v>0</v>
      </c>
      <c r="F2170" s="16" t="s">
        <v>8080</v>
      </c>
      <c r="G2170" s="7" t="s">
        <v>3576</v>
      </c>
      <c r="H2170" s="7" t="s">
        <v>8972</v>
      </c>
      <c r="I2170" s="7" t="s">
        <v>0</v>
      </c>
      <c r="J2170" s="7" t="s">
        <v>51</v>
      </c>
      <c r="K2170" s="7" t="s">
        <v>85</v>
      </c>
      <c r="L2170" s="7" t="s">
        <v>48</v>
      </c>
      <c r="M2170" s="7" t="s">
        <v>2128</v>
      </c>
      <c r="N2170" s="7" t="s">
        <v>8971</v>
      </c>
      <c r="O2170" s="7" t="s">
        <v>0</v>
      </c>
      <c r="P2170" s="7" t="s">
        <v>2128</v>
      </c>
      <c r="Q2170" s="7" t="s">
        <v>8966</v>
      </c>
      <c r="R2170" s="7" t="s">
        <v>938</v>
      </c>
      <c r="S2170" s="7" t="s">
        <v>938</v>
      </c>
      <c r="T2170" s="7" t="s">
        <v>54</v>
      </c>
      <c r="U2170" s="7" t="s">
        <v>605</v>
      </c>
      <c r="V2170" s="7" t="s">
        <v>382</v>
      </c>
      <c r="W2170" s="7" t="s">
        <v>57</v>
      </c>
      <c r="X2170" s="7" t="s">
        <v>103</v>
      </c>
      <c r="Y2170" s="8">
        <v>44529</v>
      </c>
      <c r="Z2170" s="8">
        <v>44651</v>
      </c>
      <c r="AA2170" s="7" t="s">
        <v>1656</v>
      </c>
      <c r="AB2170" s="7" t="s">
        <v>64</v>
      </c>
      <c r="AC2170" s="7" t="s">
        <v>65</v>
      </c>
      <c r="AD2170" s="7" t="s">
        <v>0</v>
      </c>
      <c r="AE2170" s="7" t="s">
        <v>0</v>
      </c>
      <c r="AF2170" s="7" t="s">
        <v>0</v>
      </c>
      <c r="AG2170" s="7" t="s">
        <v>0</v>
      </c>
      <c r="AH2170" s="9" t="s">
        <v>0</v>
      </c>
      <c r="AI2170" s="9" t="s">
        <v>0</v>
      </c>
      <c r="AJ2170" s="9" t="s">
        <v>0</v>
      </c>
      <c r="AK2170" s="7" t="s">
        <v>61</v>
      </c>
      <c r="AL2170" s="7" t="s">
        <v>61</v>
      </c>
      <c r="AM2170" s="7" t="s">
        <v>0</v>
      </c>
      <c r="AN2170" s="7" t="s">
        <v>0</v>
      </c>
      <c r="AO2170" s="7" t="s">
        <v>0</v>
      </c>
      <c r="AP2170" s="7" t="s">
        <v>0</v>
      </c>
      <c r="AQ2170" s="7" t="s">
        <v>61</v>
      </c>
      <c r="AR2170" s="7" t="s">
        <v>0</v>
      </c>
      <c r="AS2170" s="10" t="str">
        <f>HYPERLINK("https://tessa.gazprom-neft.local/edo/card/af6f97ae-4194-4a77-9e4b-5b8d4bc83116", "https://tessa.gazprom-neft.local/edo/card/af6f97ae-4194-4a77-9e4b-5b8d4bc83116")</f>
        <v>https://tessa.gazprom-neft.local/edo/card/af6f97ae-4194-4a77-9e4b-5b8d4bc83116</v>
      </c>
    </row>
    <row r="2171" spans="1:45" hidden="1" x14ac:dyDescent="0.25">
      <c r="A2171" s="6" t="s">
        <v>44</v>
      </c>
      <c r="B2171" s="7" t="s">
        <v>1084</v>
      </c>
      <c r="C2171" s="7" t="s">
        <v>67</v>
      </c>
      <c r="D2171" s="8">
        <v>44529</v>
      </c>
      <c r="E2171" s="8" t="s">
        <v>0</v>
      </c>
      <c r="F2171" s="16" t="s">
        <v>1085</v>
      </c>
      <c r="G2171" s="7" t="s">
        <v>1086</v>
      </c>
      <c r="H2171" s="7" t="s">
        <v>0</v>
      </c>
      <c r="I2171" s="7" t="s">
        <v>1518</v>
      </c>
      <c r="J2171" s="7" t="s">
        <v>1518</v>
      </c>
      <c r="K2171" s="7" t="s">
        <v>47</v>
      </c>
      <c r="L2171" s="7" t="s">
        <v>96</v>
      </c>
      <c r="M2171" s="7" t="s">
        <v>0</v>
      </c>
      <c r="N2171" s="7" t="s">
        <v>8994</v>
      </c>
      <c r="O2171" s="7" t="s">
        <v>0</v>
      </c>
      <c r="P2171" s="7" t="s">
        <v>8995</v>
      </c>
      <c r="Q2171" s="7" t="s">
        <v>8996</v>
      </c>
      <c r="R2171" s="7" t="s">
        <v>799</v>
      </c>
      <c r="S2171" s="7" t="s">
        <v>8997</v>
      </c>
      <c r="T2171" s="7" t="s">
        <v>54</v>
      </c>
      <c r="U2171" s="7" t="s">
        <v>55</v>
      </c>
      <c r="V2171" s="7" t="s">
        <v>56</v>
      </c>
      <c r="W2171" s="7" t="s">
        <v>57</v>
      </c>
      <c r="X2171" s="7" t="s">
        <v>103</v>
      </c>
      <c r="Y2171" s="8">
        <v>44529</v>
      </c>
      <c r="Z2171" s="8">
        <v>46387</v>
      </c>
      <c r="AA2171" s="7" t="s">
        <v>0</v>
      </c>
      <c r="AB2171" s="7" t="s">
        <v>328</v>
      </c>
      <c r="AC2171" s="7" t="s">
        <v>278</v>
      </c>
      <c r="AD2171" s="7" t="s">
        <v>80</v>
      </c>
      <c r="AE2171" s="7" t="s">
        <v>82</v>
      </c>
      <c r="AF2171" s="7" t="s">
        <v>0</v>
      </c>
      <c r="AG2171" s="7" t="s">
        <v>0</v>
      </c>
      <c r="AH2171" s="9" t="s">
        <v>13778</v>
      </c>
      <c r="AI2171" s="9" t="s">
        <v>13779</v>
      </c>
      <c r="AJ2171" s="9" t="s">
        <v>13780</v>
      </c>
      <c r="AK2171" s="7" t="s">
        <v>61</v>
      </c>
      <c r="AL2171" s="7" t="s">
        <v>61</v>
      </c>
      <c r="AM2171" s="7" t="s">
        <v>0</v>
      </c>
      <c r="AN2171" s="7" t="s">
        <v>0</v>
      </c>
      <c r="AO2171" s="7" t="s">
        <v>0</v>
      </c>
      <c r="AP2171" s="7" t="s">
        <v>0</v>
      </c>
      <c r="AQ2171" s="7" t="s">
        <v>61</v>
      </c>
      <c r="AR2171" s="7" t="s">
        <v>0</v>
      </c>
      <c r="AS2171" s="10" t="str">
        <f>HYPERLINK("https://tessa.gazprom-neft.local/edo/card/797a86ba-2f72-485d-9867-a152ceee7b30", "https://tessa.gazprom-neft.local/edo/card/797a86ba-2f72-485d-9867-a152ceee7b30")</f>
        <v>https://tessa.gazprom-neft.local/edo/card/797a86ba-2f72-485d-9867-a152ceee7b30</v>
      </c>
    </row>
    <row r="2172" spans="1:45" x14ac:dyDescent="0.25">
      <c r="A2172" s="6" t="s">
        <v>44</v>
      </c>
      <c r="B2172" s="7" t="s">
        <v>1084</v>
      </c>
      <c r="C2172" s="7" t="s">
        <v>67</v>
      </c>
      <c r="D2172" s="8">
        <v>44529</v>
      </c>
      <c r="E2172" s="8" t="s">
        <v>0</v>
      </c>
      <c r="F2172" s="16" t="s">
        <v>1085</v>
      </c>
      <c r="G2172" s="7" t="s">
        <v>1086</v>
      </c>
      <c r="H2172" s="7" t="s">
        <v>5768</v>
      </c>
      <c r="I2172" s="7" t="s">
        <v>0</v>
      </c>
      <c r="J2172" s="7" t="s">
        <v>872</v>
      </c>
      <c r="K2172" s="7" t="s">
        <v>47</v>
      </c>
      <c r="L2172" s="7" t="s">
        <v>48</v>
      </c>
      <c r="M2172" s="7" t="s">
        <v>0</v>
      </c>
      <c r="N2172" s="7" t="s">
        <v>9235</v>
      </c>
      <c r="O2172" s="7" t="s">
        <v>0</v>
      </c>
      <c r="P2172" s="7" t="s">
        <v>9236</v>
      </c>
      <c r="Q2172" s="7" t="s">
        <v>9237</v>
      </c>
      <c r="R2172" s="7" t="s">
        <v>1924</v>
      </c>
      <c r="S2172" s="7" t="s">
        <v>1924</v>
      </c>
      <c r="T2172" s="7" t="s">
        <v>54</v>
      </c>
      <c r="U2172" s="7" t="s">
        <v>73</v>
      </c>
      <c r="V2172" s="7" t="s">
        <v>56</v>
      </c>
      <c r="W2172" s="7" t="s">
        <v>57</v>
      </c>
      <c r="X2172" s="7" t="s">
        <v>103</v>
      </c>
      <c r="Y2172" s="8">
        <v>44529</v>
      </c>
      <c r="Z2172" s="8">
        <v>45657</v>
      </c>
      <c r="AA2172" s="7" t="s">
        <v>0</v>
      </c>
      <c r="AB2172" s="7" t="s">
        <v>366</v>
      </c>
      <c r="AC2172" s="7" t="s">
        <v>278</v>
      </c>
      <c r="AD2172" s="7" t="s">
        <v>367</v>
      </c>
      <c r="AE2172" s="7" t="s">
        <v>82</v>
      </c>
      <c r="AF2172" s="7" t="s">
        <v>0</v>
      </c>
      <c r="AG2172" s="7" t="s">
        <v>0</v>
      </c>
      <c r="AH2172" s="9" t="s">
        <v>13290</v>
      </c>
      <c r="AI2172" s="9" t="s">
        <v>13291</v>
      </c>
      <c r="AJ2172" s="9" t="s">
        <v>13292</v>
      </c>
      <c r="AK2172" s="7" t="s">
        <v>61</v>
      </c>
      <c r="AL2172" s="7" t="s">
        <v>61</v>
      </c>
      <c r="AM2172" s="7" t="s">
        <v>0</v>
      </c>
      <c r="AN2172" s="7" t="s">
        <v>0</v>
      </c>
      <c r="AO2172" s="7" t="s">
        <v>0</v>
      </c>
      <c r="AP2172" s="7" t="s">
        <v>0</v>
      </c>
      <c r="AQ2172" s="7" t="s">
        <v>61</v>
      </c>
      <c r="AR2172" s="7" t="s">
        <v>0</v>
      </c>
      <c r="AS2172" s="10" t="str">
        <f>HYPERLINK("https://tessa.gazprom-neft.local/edo/card/feef9c85-55b1-44db-a3d9-75c44533ea9b", "https://tessa.gazprom-neft.local/edo/card/feef9c85-55b1-44db-a3d9-75c44533ea9b")</f>
        <v>https://tessa.gazprom-neft.local/edo/card/feef9c85-55b1-44db-a3d9-75c44533ea9b</v>
      </c>
    </row>
    <row r="2173" spans="1:45" x14ac:dyDescent="0.25">
      <c r="A2173" s="6" t="s">
        <v>44</v>
      </c>
      <c r="B2173" s="7" t="s">
        <v>964</v>
      </c>
      <c r="C2173" s="7" t="s">
        <v>67</v>
      </c>
      <c r="D2173" s="8">
        <v>44526</v>
      </c>
      <c r="E2173" s="8" t="s">
        <v>0</v>
      </c>
      <c r="F2173" s="16" t="s">
        <v>965</v>
      </c>
      <c r="G2173" s="7" t="s">
        <v>966</v>
      </c>
      <c r="H2173" s="7" t="s">
        <v>8844</v>
      </c>
      <c r="I2173" s="7" t="s">
        <v>0</v>
      </c>
      <c r="J2173" s="7" t="s">
        <v>1098</v>
      </c>
      <c r="K2173" s="7" t="s">
        <v>47</v>
      </c>
      <c r="L2173" s="7" t="s">
        <v>48</v>
      </c>
      <c r="M2173" s="7" t="s">
        <v>0</v>
      </c>
      <c r="N2173" s="7" t="s">
        <v>8843</v>
      </c>
      <c r="O2173" s="7" t="s">
        <v>0</v>
      </c>
      <c r="P2173" s="7" t="s">
        <v>8845</v>
      </c>
      <c r="Q2173" s="7" t="s">
        <v>8846</v>
      </c>
      <c r="R2173" s="7" t="s">
        <v>659</v>
      </c>
      <c r="S2173" s="7" t="s">
        <v>1120</v>
      </c>
      <c r="T2173" s="7" t="s">
        <v>54</v>
      </c>
      <c r="U2173" s="7" t="s">
        <v>294</v>
      </c>
      <c r="V2173" s="7" t="s">
        <v>295</v>
      </c>
      <c r="W2173" s="7" t="s">
        <v>57</v>
      </c>
      <c r="X2173" s="7" t="s">
        <v>103</v>
      </c>
      <c r="Y2173" s="8">
        <v>44526</v>
      </c>
      <c r="Z2173" s="8">
        <v>44561</v>
      </c>
      <c r="AA2173" s="7" t="s">
        <v>1269</v>
      </c>
      <c r="AB2173" s="7" t="s">
        <v>1270</v>
      </c>
      <c r="AC2173" s="7" t="s">
        <v>79</v>
      </c>
      <c r="AD2173" s="7" t="s">
        <v>514</v>
      </c>
      <c r="AE2173" s="7" t="s">
        <v>82</v>
      </c>
      <c r="AF2173" s="7" t="s">
        <v>0</v>
      </c>
      <c r="AG2173" s="7" t="s">
        <v>0</v>
      </c>
      <c r="AH2173" s="9">
        <v>1</v>
      </c>
      <c r="AI2173" s="9">
        <v>0.83</v>
      </c>
      <c r="AJ2173" s="9">
        <v>0.17</v>
      </c>
      <c r="AK2173" s="7" t="s">
        <v>61</v>
      </c>
      <c r="AL2173" s="7" t="s">
        <v>61</v>
      </c>
      <c r="AM2173" s="7" t="s">
        <v>0</v>
      </c>
      <c r="AN2173" s="7" t="s">
        <v>0</v>
      </c>
      <c r="AO2173" s="7" t="s">
        <v>0</v>
      </c>
      <c r="AP2173" s="7" t="s">
        <v>0</v>
      </c>
      <c r="AQ2173" s="7" t="s">
        <v>61</v>
      </c>
      <c r="AR2173" s="7" t="s">
        <v>0</v>
      </c>
      <c r="AS2173" s="10" t="str">
        <f>HYPERLINK("https://tessa.gazprom-neft.local/edo/card/a4d15f7c-0086-4115-a891-5df15b11ffd3", "https://tessa.gazprom-neft.local/edo/card/a4d15f7c-0086-4115-a891-5df15b11ffd3")</f>
        <v>https://tessa.gazprom-neft.local/edo/card/a4d15f7c-0086-4115-a891-5df15b11ffd3</v>
      </c>
    </row>
    <row r="2174" spans="1:45" hidden="1" x14ac:dyDescent="0.25">
      <c r="A2174" s="6" t="s">
        <v>44</v>
      </c>
      <c r="B2174" s="7" t="s">
        <v>661</v>
      </c>
      <c r="C2174" s="7" t="s">
        <v>67</v>
      </c>
      <c r="D2174" s="8">
        <v>44526</v>
      </c>
      <c r="E2174" s="8" t="s">
        <v>0</v>
      </c>
      <c r="F2174" s="16" t="s">
        <v>662</v>
      </c>
      <c r="G2174" s="7" t="s">
        <v>663</v>
      </c>
      <c r="H2174" s="7" t="s">
        <v>1426</v>
      </c>
      <c r="I2174" s="7" t="s">
        <v>0</v>
      </c>
      <c r="J2174" s="7" t="s">
        <v>316</v>
      </c>
      <c r="K2174" s="7" t="s">
        <v>47</v>
      </c>
      <c r="L2174" s="7" t="s">
        <v>239</v>
      </c>
      <c r="M2174" s="7" t="s">
        <v>0</v>
      </c>
      <c r="N2174" s="7" t="s">
        <v>8890</v>
      </c>
      <c r="O2174" s="7" t="s">
        <v>0</v>
      </c>
      <c r="P2174" s="7" t="s">
        <v>8891</v>
      </c>
      <c r="Q2174" s="7" t="s">
        <v>8892</v>
      </c>
      <c r="R2174" s="7" t="s">
        <v>659</v>
      </c>
      <c r="S2174" s="7" t="s">
        <v>1476</v>
      </c>
      <c r="T2174" s="7" t="s">
        <v>54</v>
      </c>
      <c r="U2174" s="7" t="s">
        <v>283</v>
      </c>
      <c r="V2174" s="7" t="s">
        <v>102</v>
      </c>
      <c r="W2174" s="7" t="s">
        <v>57</v>
      </c>
      <c r="X2174" s="7" t="s">
        <v>103</v>
      </c>
      <c r="Y2174" s="8">
        <v>44524</v>
      </c>
      <c r="Z2174" s="8">
        <v>44712</v>
      </c>
      <c r="AA2174" s="7" t="s">
        <v>6296</v>
      </c>
      <c r="AB2174" s="7" t="s">
        <v>2425</v>
      </c>
      <c r="AC2174" s="7" t="s">
        <v>79</v>
      </c>
      <c r="AD2174" s="7" t="s">
        <v>144</v>
      </c>
      <c r="AE2174" s="7" t="s">
        <v>82</v>
      </c>
      <c r="AF2174" s="7" t="s">
        <v>0</v>
      </c>
      <c r="AG2174" s="7" t="s">
        <v>0</v>
      </c>
      <c r="AH2174" s="9" t="s">
        <v>13731</v>
      </c>
      <c r="AI2174" s="9" t="s">
        <v>13732</v>
      </c>
      <c r="AJ2174" s="9" t="s">
        <v>13733</v>
      </c>
      <c r="AK2174" s="7" t="s">
        <v>61</v>
      </c>
      <c r="AL2174" s="7" t="s">
        <v>61</v>
      </c>
      <c r="AM2174" s="7" t="s">
        <v>0</v>
      </c>
      <c r="AN2174" s="7" t="s">
        <v>0</v>
      </c>
      <c r="AO2174" s="7" t="s">
        <v>0</v>
      </c>
      <c r="AP2174" s="7" t="s">
        <v>0</v>
      </c>
      <c r="AQ2174" s="7" t="s">
        <v>61</v>
      </c>
      <c r="AR2174" s="7" t="s">
        <v>0</v>
      </c>
      <c r="AS2174" s="10" t="str">
        <f>HYPERLINK("https://tessa.gazprom-neft.local/edo/card/74c0e791-a318-4189-a8d5-d35447c1c65b", "https://tessa.gazprom-neft.local/edo/card/74c0e791-a318-4189-a8d5-d35447c1c65b")</f>
        <v>https://tessa.gazprom-neft.local/edo/card/74c0e791-a318-4189-a8d5-d35447c1c65b</v>
      </c>
    </row>
    <row r="2175" spans="1:45" hidden="1" x14ac:dyDescent="0.25">
      <c r="A2175" s="6" t="s">
        <v>44</v>
      </c>
      <c r="B2175" s="7" t="s">
        <v>245</v>
      </c>
      <c r="C2175" s="7" t="s">
        <v>67</v>
      </c>
      <c r="D2175" s="8">
        <v>44526</v>
      </c>
      <c r="E2175" s="8" t="s">
        <v>0</v>
      </c>
      <c r="F2175" s="16" t="s">
        <v>246</v>
      </c>
      <c r="G2175" s="7" t="s">
        <v>247</v>
      </c>
      <c r="H2175" s="7" t="s">
        <v>8945</v>
      </c>
      <c r="I2175" s="7" t="s">
        <v>0</v>
      </c>
      <c r="J2175" s="7" t="s">
        <v>8947</v>
      </c>
      <c r="K2175" s="7" t="s">
        <v>47</v>
      </c>
      <c r="L2175" s="7" t="s">
        <v>239</v>
      </c>
      <c r="M2175" s="7" t="s">
        <v>0</v>
      </c>
      <c r="N2175" s="7" t="s">
        <v>8944</v>
      </c>
      <c r="O2175" s="7" t="s">
        <v>0</v>
      </c>
      <c r="P2175" s="7" t="s">
        <v>8946</v>
      </c>
      <c r="Q2175" s="7" t="s">
        <v>8948</v>
      </c>
      <c r="R2175" s="7" t="s">
        <v>110</v>
      </c>
      <c r="S2175" s="7" t="s">
        <v>110</v>
      </c>
      <c r="T2175" s="7" t="s">
        <v>54</v>
      </c>
      <c r="U2175" s="7" t="s">
        <v>111</v>
      </c>
      <c r="V2175" s="7" t="s">
        <v>137</v>
      </c>
      <c r="W2175" s="7" t="s">
        <v>57</v>
      </c>
      <c r="X2175" s="7" t="s">
        <v>58</v>
      </c>
      <c r="Y2175" s="8">
        <v>44536</v>
      </c>
      <c r="Z2175" s="8" t="s">
        <v>0</v>
      </c>
      <c r="AA2175" s="7" t="s">
        <v>0</v>
      </c>
      <c r="AB2175" s="7" t="s">
        <v>161</v>
      </c>
      <c r="AC2175" s="7" t="s">
        <v>79</v>
      </c>
      <c r="AD2175" s="7" t="s">
        <v>144</v>
      </c>
      <c r="AE2175" s="7" t="s">
        <v>82</v>
      </c>
      <c r="AF2175" s="7" t="s">
        <v>0</v>
      </c>
      <c r="AG2175" s="7" t="s">
        <v>0</v>
      </c>
      <c r="AH2175" s="9" t="s">
        <v>12621</v>
      </c>
      <c r="AI2175" s="9" t="s">
        <v>13758</v>
      </c>
      <c r="AJ2175" s="9" t="s">
        <v>13759</v>
      </c>
      <c r="AK2175" s="7" t="s">
        <v>61</v>
      </c>
      <c r="AL2175" s="7" t="s">
        <v>61</v>
      </c>
      <c r="AM2175" s="7" t="s">
        <v>0</v>
      </c>
      <c r="AN2175" s="7" t="s">
        <v>0</v>
      </c>
      <c r="AO2175" s="7" t="s">
        <v>0</v>
      </c>
      <c r="AP2175" s="7" t="s">
        <v>0</v>
      </c>
      <c r="AQ2175" s="7" t="s">
        <v>61</v>
      </c>
      <c r="AR2175" s="7" t="s">
        <v>0</v>
      </c>
      <c r="AS2175" s="10" t="str">
        <f>HYPERLINK("https://tessa.gazprom-neft.local/edo/card/0b4ecfc2-f9c6-4876-941e-da89682270b6", "https://tessa.gazprom-neft.local/edo/card/0b4ecfc2-f9c6-4876-941e-da89682270b6")</f>
        <v>https://tessa.gazprom-neft.local/edo/card/0b4ecfc2-f9c6-4876-941e-da89682270b6</v>
      </c>
    </row>
    <row r="2176" spans="1:45" x14ac:dyDescent="0.25">
      <c r="A2176" s="6" t="s">
        <v>44</v>
      </c>
      <c r="B2176" s="7" t="s">
        <v>1084</v>
      </c>
      <c r="C2176" s="7" t="s">
        <v>67</v>
      </c>
      <c r="D2176" s="8">
        <v>44526</v>
      </c>
      <c r="E2176" s="8" t="s">
        <v>0</v>
      </c>
      <c r="F2176" s="16" t="s">
        <v>1085</v>
      </c>
      <c r="G2176" s="7" t="s">
        <v>1086</v>
      </c>
      <c r="H2176" s="7" t="s">
        <v>9091</v>
      </c>
      <c r="I2176" s="7" t="s">
        <v>0</v>
      </c>
      <c r="J2176" s="7" t="s">
        <v>51</v>
      </c>
      <c r="K2176" s="7" t="s">
        <v>47</v>
      </c>
      <c r="L2176" s="7" t="s">
        <v>48</v>
      </c>
      <c r="M2176" s="7" t="s">
        <v>0</v>
      </c>
      <c r="N2176" s="7" t="s">
        <v>9090</v>
      </c>
      <c r="O2176" s="7" t="s">
        <v>0</v>
      </c>
      <c r="P2176" s="7" t="s">
        <v>9092</v>
      </c>
      <c r="Q2176" s="7" t="s">
        <v>9093</v>
      </c>
      <c r="R2176" s="7" t="s">
        <v>799</v>
      </c>
      <c r="S2176" s="7" t="s">
        <v>799</v>
      </c>
      <c r="T2176" s="7" t="s">
        <v>54</v>
      </c>
      <c r="U2176" s="7" t="s">
        <v>303</v>
      </c>
      <c r="V2176" s="7" t="s">
        <v>91</v>
      </c>
      <c r="W2176" s="7" t="s">
        <v>57</v>
      </c>
      <c r="X2176" s="7" t="s">
        <v>103</v>
      </c>
      <c r="Y2176" s="8">
        <v>44526</v>
      </c>
      <c r="Z2176" s="8">
        <v>47118</v>
      </c>
      <c r="AA2176" s="7" t="s">
        <v>7093</v>
      </c>
      <c r="AB2176" s="7" t="s">
        <v>94</v>
      </c>
      <c r="AC2176" s="7" t="s">
        <v>65</v>
      </c>
      <c r="AD2176" s="7" t="s">
        <v>0</v>
      </c>
      <c r="AE2176" s="7" t="s">
        <v>0</v>
      </c>
      <c r="AF2176" s="7" t="s">
        <v>0</v>
      </c>
      <c r="AG2176" s="7" t="s">
        <v>0</v>
      </c>
      <c r="AH2176" s="9" t="s">
        <v>0</v>
      </c>
      <c r="AI2176" s="9" t="s">
        <v>0</v>
      </c>
      <c r="AJ2176" s="9" t="s">
        <v>0</v>
      </c>
      <c r="AK2176" s="7" t="s">
        <v>61</v>
      </c>
      <c r="AL2176" s="7" t="s">
        <v>61</v>
      </c>
      <c r="AM2176" s="7" t="s">
        <v>0</v>
      </c>
      <c r="AN2176" s="7" t="s">
        <v>0</v>
      </c>
      <c r="AO2176" s="7" t="s">
        <v>0</v>
      </c>
      <c r="AP2176" s="7" t="s">
        <v>0</v>
      </c>
      <c r="AQ2176" s="7" t="s">
        <v>61</v>
      </c>
      <c r="AR2176" s="7" t="s">
        <v>0</v>
      </c>
      <c r="AS2176" s="10" t="str">
        <f>HYPERLINK("https://tessa.gazprom-neft.local/edo/card/394ff422-3289-4e1f-9a8d-b6200d54d9da", "https://tessa.gazprom-neft.local/edo/card/394ff422-3289-4e1f-9a8d-b6200d54d9da")</f>
        <v>https://tessa.gazprom-neft.local/edo/card/394ff422-3289-4e1f-9a8d-b6200d54d9da</v>
      </c>
    </row>
    <row r="2177" spans="1:45" hidden="1" x14ac:dyDescent="0.25">
      <c r="A2177" s="6" t="s">
        <v>44</v>
      </c>
      <c r="B2177" s="7" t="s">
        <v>245</v>
      </c>
      <c r="C2177" s="7" t="s">
        <v>67</v>
      </c>
      <c r="D2177" s="8">
        <v>44525</v>
      </c>
      <c r="E2177" s="8" t="s">
        <v>0</v>
      </c>
      <c r="F2177" s="16" t="s">
        <v>246</v>
      </c>
      <c r="G2177" s="7" t="s">
        <v>247</v>
      </c>
      <c r="H2177" s="7" t="s">
        <v>4256</v>
      </c>
      <c r="I2177" s="7" t="s">
        <v>0</v>
      </c>
      <c r="J2177" s="7" t="s">
        <v>8774</v>
      </c>
      <c r="K2177" s="7" t="s">
        <v>47</v>
      </c>
      <c r="L2177" s="7" t="s">
        <v>239</v>
      </c>
      <c r="M2177" s="7" t="s">
        <v>0</v>
      </c>
      <c r="N2177" s="7" t="s">
        <v>8773</v>
      </c>
      <c r="O2177" s="7" t="s">
        <v>0</v>
      </c>
      <c r="P2177" s="7" t="s">
        <v>8774</v>
      </c>
      <c r="Q2177" s="7" t="s">
        <v>8775</v>
      </c>
      <c r="R2177" s="7" t="s">
        <v>915</v>
      </c>
      <c r="S2177" s="7" t="s">
        <v>0</v>
      </c>
      <c r="T2177" s="7" t="s">
        <v>54</v>
      </c>
      <c r="U2177" s="7" t="s">
        <v>916</v>
      </c>
      <c r="V2177" s="7" t="s">
        <v>917</v>
      </c>
      <c r="W2177" s="7" t="s">
        <v>57</v>
      </c>
      <c r="X2177" s="7" t="s">
        <v>103</v>
      </c>
      <c r="Y2177" s="8">
        <v>44525</v>
      </c>
      <c r="Z2177" s="8">
        <v>44561</v>
      </c>
      <c r="AA2177" s="7" t="s">
        <v>309</v>
      </c>
      <c r="AB2177" s="7" t="s">
        <v>545</v>
      </c>
      <c r="AC2177" s="7" t="s">
        <v>79</v>
      </c>
      <c r="AD2177" s="7" t="s">
        <v>144</v>
      </c>
      <c r="AE2177" s="7" t="s">
        <v>82</v>
      </c>
      <c r="AF2177" s="7" t="s">
        <v>0</v>
      </c>
      <c r="AG2177" s="7" t="s">
        <v>0</v>
      </c>
      <c r="AH2177" s="9" t="s">
        <v>13690</v>
      </c>
      <c r="AI2177" s="9" t="s">
        <v>13691</v>
      </c>
      <c r="AJ2177" s="9" t="s">
        <v>13692</v>
      </c>
      <c r="AK2177" s="7" t="s">
        <v>61</v>
      </c>
      <c r="AL2177" s="7" t="s">
        <v>61</v>
      </c>
      <c r="AM2177" s="7" t="s">
        <v>0</v>
      </c>
      <c r="AN2177" s="7" t="s">
        <v>0</v>
      </c>
      <c r="AO2177" s="7" t="s">
        <v>0</v>
      </c>
      <c r="AP2177" s="7" t="s">
        <v>0</v>
      </c>
      <c r="AQ2177" s="7" t="s">
        <v>61</v>
      </c>
      <c r="AR2177" s="7" t="s">
        <v>0</v>
      </c>
      <c r="AS2177" s="10" t="str">
        <f>HYPERLINK("https://tessa.gazprom-neft.local/edo/card/f9d16267-a1c1-4e03-9ffe-ec65b27b9807", "https://tessa.gazprom-neft.local/edo/card/f9d16267-a1c1-4e03-9ffe-ec65b27b9807")</f>
        <v>https://tessa.gazprom-neft.local/edo/card/f9d16267-a1c1-4e03-9ffe-ec65b27b9807</v>
      </c>
    </row>
    <row r="2178" spans="1:45" x14ac:dyDescent="0.25">
      <c r="A2178" s="6" t="s">
        <v>44</v>
      </c>
      <c r="B2178" s="7" t="s">
        <v>245</v>
      </c>
      <c r="C2178" s="7" t="s">
        <v>67</v>
      </c>
      <c r="D2178" s="8">
        <v>44525</v>
      </c>
      <c r="E2178" s="8" t="s">
        <v>0</v>
      </c>
      <c r="F2178" s="16" t="s">
        <v>246</v>
      </c>
      <c r="G2178" s="7" t="s">
        <v>247</v>
      </c>
      <c r="H2178" s="7" t="s">
        <v>912</v>
      </c>
      <c r="I2178" s="7" t="s">
        <v>0</v>
      </c>
      <c r="J2178" s="7" t="s">
        <v>8783</v>
      </c>
      <c r="K2178" s="7" t="s">
        <v>47</v>
      </c>
      <c r="L2178" s="7" t="s">
        <v>48</v>
      </c>
      <c r="M2178" s="7" t="s">
        <v>0</v>
      </c>
      <c r="N2178" s="7" t="s">
        <v>8780</v>
      </c>
      <c r="O2178" s="7" t="s">
        <v>8781</v>
      </c>
      <c r="P2178" s="7" t="s">
        <v>8782</v>
      </c>
      <c r="Q2178" s="7" t="s">
        <v>8784</v>
      </c>
      <c r="R2178" s="7" t="s">
        <v>915</v>
      </c>
      <c r="S2178" s="7" t="s">
        <v>0</v>
      </c>
      <c r="T2178" s="7" t="s">
        <v>54</v>
      </c>
      <c r="U2178" s="7" t="s">
        <v>916</v>
      </c>
      <c r="V2178" s="7" t="s">
        <v>917</v>
      </c>
      <c r="W2178" s="7" t="s">
        <v>57</v>
      </c>
      <c r="X2178" s="7" t="s">
        <v>103</v>
      </c>
      <c r="Y2178" s="8">
        <v>44525</v>
      </c>
      <c r="Z2178" s="8">
        <v>44926</v>
      </c>
      <c r="AA2178" s="7" t="s">
        <v>309</v>
      </c>
      <c r="AB2178" s="7" t="s">
        <v>545</v>
      </c>
      <c r="AC2178" s="7" t="s">
        <v>65</v>
      </c>
      <c r="AD2178" s="7" t="s">
        <v>0</v>
      </c>
      <c r="AE2178" s="7" t="s">
        <v>0</v>
      </c>
      <c r="AF2178" s="7" t="s">
        <v>0</v>
      </c>
      <c r="AG2178" s="7" t="s">
        <v>0</v>
      </c>
      <c r="AH2178" s="9" t="s">
        <v>0</v>
      </c>
      <c r="AI2178" s="9" t="s">
        <v>0</v>
      </c>
      <c r="AJ2178" s="9" t="s">
        <v>0</v>
      </c>
      <c r="AK2178" s="7" t="s">
        <v>61</v>
      </c>
      <c r="AL2178" s="7" t="s">
        <v>61</v>
      </c>
      <c r="AM2178" s="7" t="s">
        <v>0</v>
      </c>
      <c r="AN2178" s="7" t="s">
        <v>0</v>
      </c>
      <c r="AO2178" s="7" t="s">
        <v>0</v>
      </c>
      <c r="AP2178" s="7" t="s">
        <v>0</v>
      </c>
      <c r="AQ2178" s="7" t="s">
        <v>61</v>
      </c>
      <c r="AR2178" s="7" t="s">
        <v>0</v>
      </c>
      <c r="AS2178" s="10" t="str">
        <f>HYPERLINK("https://tessa.gazprom-neft.local/edo/card/2604c7cc-29e2-4396-8209-97874c8a129a", "https://tessa.gazprom-neft.local/edo/card/2604c7cc-29e2-4396-8209-97874c8a129a")</f>
        <v>https://tessa.gazprom-neft.local/edo/card/2604c7cc-29e2-4396-8209-97874c8a129a</v>
      </c>
    </row>
    <row r="2179" spans="1:45" hidden="1" x14ac:dyDescent="0.25">
      <c r="A2179" s="6" t="s">
        <v>44</v>
      </c>
      <c r="B2179" s="7" t="s">
        <v>1165</v>
      </c>
      <c r="C2179" s="7" t="s">
        <v>67</v>
      </c>
      <c r="D2179" s="8">
        <v>44525</v>
      </c>
      <c r="E2179" s="8" t="s">
        <v>0</v>
      </c>
      <c r="F2179" s="16" t="s">
        <v>1166</v>
      </c>
      <c r="G2179" s="7" t="s">
        <v>1167</v>
      </c>
      <c r="H2179" s="7" t="s">
        <v>1847</v>
      </c>
      <c r="I2179" s="7" t="s">
        <v>0</v>
      </c>
      <c r="J2179" s="7" t="s">
        <v>8799</v>
      </c>
      <c r="K2179" s="7" t="s">
        <v>47</v>
      </c>
      <c r="L2179" s="7" t="s">
        <v>239</v>
      </c>
      <c r="M2179" s="7" t="s">
        <v>0</v>
      </c>
      <c r="N2179" s="7" t="s">
        <v>8797</v>
      </c>
      <c r="O2179" s="7" t="s">
        <v>0</v>
      </c>
      <c r="P2179" s="7" t="s">
        <v>8798</v>
      </c>
      <c r="Q2179" s="7" t="s">
        <v>8800</v>
      </c>
      <c r="R2179" s="7" t="s">
        <v>244</v>
      </c>
      <c r="S2179" s="7" t="s">
        <v>244</v>
      </c>
      <c r="T2179" s="7" t="s">
        <v>54</v>
      </c>
      <c r="U2179" s="7" t="s">
        <v>55</v>
      </c>
      <c r="V2179" s="7" t="s">
        <v>56</v>
      </c>
      <c r="W2179" s="7" t="s">
        <v>57</v>
      </c>
      <c r="X2179" s="7" t="s">
        <v>103</v>
      </c>
      <c r="Y2179" s="8">
        <v>44197</v>
      </c>
      <c r="Z2179" s="8">
        <v>44561</v>
      </c>
      <c r="AA2179" s="7" t="s">
        <v>1251</v>
      </c>
      <c r="AB2179" s="7" t="s">
        <v>3468</v>
      </c>
      <c r="AC2179" s="7" t="s">
        <v>79</v>
      </c>
      <c r="AD2179" s="7" t="s">
        <v>144</v>
      </c>
      <c r="AE2179" s="7" t="s">
        <v>82</v>
      </c>
      <c r="AF2179" s="7" t="s">
        <v>0</v>
      </c>
      <c r="AG2179" s="7" t="s">
        <v>0</v>
      </c>
      <c r="AH2179" s="9" t="s">
        <v>13697</v>
      </c>
      <c r="AI2179" s="9" t="s">
        <v>13698</v>
      </c>
      <c r="AJ2179" s="9" t="s">
        <v>13699</v>
      </c>
      <c r="AK2179" s="7" t="s">
        <v>61</v>
      </c>
      <c r="AL2179" s="7" t="s">
        <v>61</v>
      </c>
      <c r="AM2179" s="7" t="s">
        <v>0</v>
      </c>
      <c r="AN2179" s="7" t="s">
        <v>0</v>
      </c>
      <c r="AO2179" s="7" t="s">
        <v>0</v>
      </c>
      <c r="AP2179" s="7" t="s">
        <v>0</v>
      </c>
      <c r="AQ2179" s="7" t="s">
        <v>61</v>
      </c>
      <c r="AR2179" s="7" t="s">
        <v>0</v>
      </c>
      <c r="AS2179" s="10" t="str">
        <f>HYPERLINK("https://tessa.gazprom-neft.local/edo/card/0476e4cb-cff6-421b-95a4-fb55f238139d", "https://tessa.gazprom-neft.local/edo/card/0476e4cb-cff6-421b-95a4-fb55f238139d")</f>
        <v>https://tessa.gazprom-neft.local/edo/card/0476e4cb-cff6-421b-95a4-fb55f238139d</v>
      </c>
    </row>
    <row r="2180" spans="1:45" x14ac:dyDescent="0.25">
      <c r="A2180" s="6" t="s">
        <v>44</v>
      </c>
      <c r="B2180" s="7" t="s">
        <v>5464</v>
      </c>
      <c r="C2180" s="7" t="s">
        <v>67</v>
      </c>
      <c r="D2180" s="8">
        <v>44525</v>
      </c>
      <c r="E2180" s="8" t="s">
        <v>0</v>
      </c>
      <c r="F2180" s="16" t="s">
        <v>5465</v>
      </c>
      <c r="G2180" s="7" t="s">
        <v>5466</v>
      </c>
      <c r="H2180" s="7" t="s">
        <v>5460</v>
      </c>
      <c r="I2180" s="7" t="s">
        <v>0</v>
      </c>
      <c r="J2180" s="7" t="s">
        <v>51</v>
      </c>
      <c r="K2180" s="7" t="s">
        <v>47</v>
      </c>
      <c r="L2180" s="7" t="s">
        <v>48</v>
      </c>
      <c r="M2180" s="7" t="s">
        <v>0</v>
      </c>
      <c r="N2180" s="7" t="s">
        <v>8915</v>
      </c>
      <c r="O2180" s="7" t="s">
        <v>0</v>
      </c>
      <c r="P2180" s="7" t="s">
        <v>50</v>
      </c>
      <c r="Q2180" s="7" t="s">
        <v>7630</v>
      </c>
      <c r="R2180" s="7" t="s">
        <v>244</v>
      </c>
      <c r="S2180" s="7" t="s">
        <v>244</v>
      </c>
      <c r="T2180" s="7" t="s">
        <v>54</v>
      </c>
      <c r="U2180" s="7" t="s">
        <v>55</v>
      </c>
      <c r="V2180" s="7" t="s">
        <v>56</v>
      </c>
      <c r="W2180" s="7" t="s">
        <v>57</v>
      </c>
      <c r="X2180" s="7" t="s">
        <v>103</v>
      </c>
      <c r="Y2180" s="8">
        <v>44525</v>
      </c>
      <c r="Z2180" s="8">
        <v>45657</v>
      </c>
      <c r="AA2180" s="7" t="s">
        <v>1251</v>
      </c>
      <c r="AB2180" s="7" t="s">
        <v>8337</v>
      </c>
      <c r="AC2180" s="7" t="s">
        <v>79</v>
      </c>
      <c r="AD2180" s="7" t="s">
        <v>144</v>
      </c>
      <c r="AE2180" s="7" t="s">
        <v>82</v>
      </c>
      <c r="AF2180" s="7" t="s">
        <v>0</v>
      </c>
      <c r="AG2180" s="7" t="s">
        <v>0</v>
      </c>
      <c r="AH2180" s="9" t="s">
        <v>12954</v>
      </c>
      <c r="AI2180" s="9" t="s">
        <v>13335</v>
      </c>
      <c r="AJ2180" s="9" t="s">
        <v>13336</v>
      </c>
      <c r="AK2180" s="7" t="s">
        <v>61</v>
      </c>
      <c r="AL2180" s="7" t="s">
        <v>61</v>
      </c>
      <c r="AM2180" s="7" t="s">
        <v>0</v>
      </c>
      <c r="AN2180" s="7" t="s">
        <v>0</v>
      </c>
      <c r="AO2180" s="7" t="s">
        <v>0</v>
      </c>
      <c r="AP2180" s="7" t="s">
        <v>0</v>
      </c>
      <c r="AQ2180" s="7" t="s">
        <v>61</v>
      </c>
      <c r="AR2180" s="7" t="s">
        <v>0</v>
      </c>
      <c r="AS2180" s="10" t="str">
        <f>HYPERLINK("https://tessa.gazprom-neft.local/edo/card/4e55a2ea-3555-4218-8bb2-d52772930413", "https://tessa.gazprom-neft.local/edo/card/4e55a2ea-3555-4218-8bb2-d52772930413")</f>
        <v>https://tessa.gazprom-neft.local/edo/card/4e55a2ea-3555-4218-8bb2-d52772930413</v>
      </c>
    </row>
    <row r="2181" spans="1:45" x14ac:dyDescent="0.25">
      <c r="A2181" s="6" t="s">
        <v>44</v>
      </c>
      <c r="B2181" s="7" t="s">
        <v>350</v>
      </c>
      <c r="C2181" s="7" t="s">
        <v>67</v>
      </c>
      <c r="D2181" s="8">
        <v>44525</v>
      </c>
      <c r="E2181" s="8" t="s">
        <v>0</v>
      </c>
      <c r="F2181" s="16" t="s">
        <v>351</v>
      </c>
      <c r="G2181" s="7" t="s">
        <v>352</v>
      </c>
      <c r="H2181" s="7" t="s">
        <v>1024</v>
      </c>
      <c r="I2181" s="7" t="s">
        <v>0</v>
      </c>
      <c r="J2181" s="7" t="s">
        <v>271</v>
      </c>
      <c r="K2181" s="7" t="s">
        <v>47</v>
      </c>
      <c r="L2181" s="7" t="s">
        <v>48</v>
      </c>
      <c r="M2181" s="7" t="s">
        <v>0</v>
      </c>
      <c r="N2181" s="7" t="s">
        <v>9297</v>
      </c>
      <c r="O2181" s="7" t="s">
        <v>0</v>
      </c>
      <c r="P2181" s="7" t="s">
        <v>9298</v>
      </c>
      <c r="Q2181" s="7" t="s">
        <v>9299</v>
      </c>
      <c r="R2181" s="7" t="s">
        <v>349</v>
      </c>
      <c r="S2181" s="7" t="s">
        <v>349</v>
      </c>
      <c r="T2181" s="7" t="s">
        <v>54</v>
      </c>
      <c r="U2181" s="7" t="s">
        <v>101</v>
      </c>
      <c r="V2181" s="7" t="s">
        <v>137</v>
      </c>
      <c r="W2181" s="7" t="s">
        <v>57</v>
      </c>
      <c r="X2181" s="7" t="s">
        <v>103</v>
      </c>
      <c r="Y2181" s="8">
        <v>44525</v>
      </c>
      <c r="Z2181" s="8">
        <v>45657</v>
      </c>
      <c r="AA2181" s="7" t="s">
        <v>0</v>
      </c>
      <c r="AB2181" s="7" t="s">
        <v>64</v>
      </c>
      <c r="AC2181" s="7" t="s">
        <v>65</v>
      </c>
      <c r="AD2181" s="7" t="s">
        <v>144</v>
      </c>
      <c r="AE2181" s="7" t="s">
        <v>0</v>
      </c>
      <c r="AF2181" s="7" t="s">
        <v>0</v>
      </c>
      <c r="AG2181" s="7" t="s">
        <v>0</v>
      </c>
      <c r="AH2181" s="9" t="s">
        <v>0</v>
      </c>
      <c r="AI2181" s="9" t="s">
        <v>0</v>
      </c>
      <c r="AJ2181" s="9" t="s">
        <v>0</v>
      </c>
      <c r="AK2181" s="7" t="s">
        <v>61</v>
      </c>
      <c r="AL2181" s="7" t="s">
        <v>61</v>
      </c>
      <c r="AM2181" s="7" t="s">
        <v>0</v>
      </c>
      <c r="AN2181" s="7" t="s">
        <v>0</v>
      </c>
      <c r="AO2181" s="7" t="s">
        <v>0</v>
      </c>
      <c r="AP2181" s="7" t="s">
        <v>0</v>
      </c>
      <c r="AQ2181" s="7" t="s">
        <v>61</v>
      </c>
      <c r="AR2181" s="7" t="s">
        <v>0</v>
      </c>
      <c r="AS2181" s="10" t="str">
        <f>HYPERLINK("https://tessa.gazprom-neft.local/edo/card/b44220ef-8367-4108-99dd-300b0fbaba72", "https://tessa.gazprom-neft.local/edo/card/b44220ef-8367-4108-99dd-300b0fbaba72")</f>
        <v>https://tessa.gazprom-neft.local/edo/card/b44220ef-8367-4108-99dd-300b0fbaba72</v>
      </c>
    </row>
    <row r="2182" spans="1:45" hidden="1" x14ac:dyDescent="0.25">
      <c r="A2182" s="6" t="s">
        <v>44</v>
      </c>
      <c r="B2182" s="7" t="s">
        <v>1640</v>
      </c>
      <c r="C2182" s="7" t="s">
        <v>46</v>
      </c>
      <c r="D2182" s="8">
        <v>44524</v>
      </c>
      <c r="E2182" s="8" t="s">
        <v>0</v>
      </c>
      <c r="F2182" s="16" t="s">
        <v>1641</v>
      </c>
      <c r="G2182" s="7" t="s">
        <v>1642</v>
      </c>
      <c r="H2182" s="7" t="s">
        <v>1635</v>
      </c>
      <c r="I2182" s="7" t="s">
        <v>0</v>
      </c>
      <c r="J2182" s="7" t="s">
        <v>156</v>
      </c>
      <c r="K2182" s="7" t="s">
        <v>47</v>
      </c>
      <c r="L2182" s="7" t="s">
        <v>239</v>
      </c>
      <c r="M2182" s="7" t="s">
        <v>0</v>
      </c>
      <c r="N2182" s="7" t="s">
        <v>8062</v>
      </c>
      <c r="O2182" s="7" t="s">
        <v>0</v>
      </c>
      <c r="P2182" s="7" t="s">
        <v>5756</v>
      </c>
      <c r="Q2182" s="7" t="s">
        <v>8063</v>
      </c>
      <c r="R2182" s="7" t="s">
        <v>1083</v>
      </c>
      <c r="S2182" s="7" t="s">
        <v>1638</v>
      </c>
      <c r="T2182" s="7" t="s">
        <v>54</v>
      </c>
      <c r="U2182" s="7" t="s">
        <v>274</v>
      </c>
      <c r="V2182" s="7" t="s">
        <v>846</v>
      </c>
      <c r="W2182" s="7" t="s">
        <v>57</v>
      </c>
      <c r="X2182" s="7" t="s">
        <v>103</v>
      </c>
      <c r="Y2182" s="8">
        <v>44489</v>
      </c>
      <c r="Z2182" s="8">
        <v>44681</v>
      </c>
      <c r="AA2182" s="7" t="s">
        <v>0</v>
      </c>
      <c r="AB2182" s="7" t="s">
        <v>64</v>
      </c>
      <c r="AC2182" s="7" t="s">
        <v>278</v>
      </c>
      <c r="AD2182" s="7" t="s">
        <v>80</v>
      </c>
      <c r="AE2182" s="7" t="s">
        <v>82</v>
      </c>
      <c r="AF2182" s="7" t="s">
        <v>0</v>
      </c>
      <c r="AG2182" s="7" t="s">
        <v>0</v>
      </c>
      <c r="AH2182" s="9" t="s">
        <v>13419</v>
      </c>
      <c r="AI2182" s="9" t="s">
        <v>13420</v>
      </c>
      <c r="AJ2182" s="9" t="s">
        <v>13421</v>
      </c>
      <c r="AK2182" s="7" t="s">
        <v>61</v>
      </c>
      <c r="AL2182" s="7" t="s">
        <v>61</v>
      </c>
      <c r="AM2182" s="7" t="s">
        <v>0</v>
      </c>
      <c r="AN2182" s="7" t="s">
        <v>0</v>
      </c>
      <c r="AO2182" s="7" t="s">
        <v>0</v>
      </c>
      <c r="AP2182" s="7" t="s">
        <v>0</v>
      </c>
      <c r="AQ2182" s="7" t="s">
        <v>61</v>
      </c>
      <c r="AR2182" s="7" t="s">
        <v>0</v>
      </c>
      <c r="AS2182" s="10" t="str">
        <f>HYPERLINK("https://tessa.gazprom-neft.local/edo/card/3d5e1ecf-ff9d-41fa-8e0d-9057c31c34f9", "https://tessa.gazprom-neft.local/edo/card/3d5e1ecf-ff9d-41fa-8e0d-9057c31c34f9")</f>
        <v>https://tessa.gazprom-neft.local/edo/card/3d5e1ecf-ff9d-41fa-8e0d-9057c31c34f9</v>
      </c>
    </row>
    <row r="2183" spans="1:45" hidden="1" x14ac:dyDescent="0.25">
      <c r="A2183" s="6" t="s">
        <v>44</v>
      </c>
      <c r="B2183" s="7" t="s">
        <v>6478</v>
      </c>
      <c r="C2183" s="7" t="s">
        <v>46</v>
      </c>
      <c r="D2183" s="8">
        <v>44524</v>
      </c>
      <c r="E2183" s="8" t="s">
        <v>0</v>
      </c>
      <c r="F2183" s="16" t="s">
        <v>6479</v>
      </c>
      <c r="G2183" s="7" t="s">
        <v>6480</v>
      </c>
      <c r="H2183" s="7" t="s">
        <v>0</v>
      </c>
      <c r="I2183" s="7" t="s">
        <v>6475</v>
      </c>
      <c r="J2183" s="7" t="s">
        <v>6475</v>
      </c>
      <c r="K2183" s="7" t="s">
        <v>47</v>
      </c>
      <c r="L2183" s="7" t="s">
        <v>96</v>
      </c>
      <c r="M2183" s="7" t="s">
        <v>0</v>
      </c>
      <c r="N2183" s="7" t="s">
        <v>8556</v>
      </c>
      <c r="O2183" s="7" t="s">
        <v>0</v>
      </c>
      <c r="P2183" s="7" t="s">
        <v>8557</v>
      </c>
      <c r="Q2183" s="7" t="s">
        <v>8558</v>
      </c>
      <c r="R2183" s="7" t="s">
        <v>293</v>
      </c>
      <c r="S2183" s="7" t="s">
        <v>293</v>
      </c>
      <c r="T2183" s="7" t="s">
        <v>54</v>
      </c>
      <c r="U2183" s="7" t="s">
        <v>294</v>
      </c>
      <c r="V2183" s="7" t="s">
        <v>340</v>
      </c>
      <c r="W2183" s="7" t="s">
        <v>57</v>
      </c>
      <c r="X2183" s="7" t="s">
        <v>103</v>
      </c>
      <c r="Y2183" s="8">
        <v>44524</v>
      </c>
      <c r="Z2183" s="8">
        <v>44926</v>
      </c>
      <c r="AA2183" s="7" t="s">
        <v>1115</v>
      </c>
      <c r="AB2183" s="7" t="s">
        <v>64</v>
      </c>
      <c r="AC2183" s="7" t="s">
        <v>79</v>
      </c>
      <c r="AD2183" s="7" t="s">
        <v>144</v>
      </c>
      <c r="AE2183" s="7" t="s">
        <v>118</v>
      </c>
      <c r="AF2183" s="7" t="s">
        <v>0</v>
      </c>
      <c r="AG2183" s="7" t="s">
        <v>0</v>
      </c>
      <c r="AH2183" s="9" t="s">
        <v>13181</v>
      </c>
      <c r="AI2183" s="9" t="s">
        <v>13181</v>
      </c>
      <c r="AJ2183" s="9">
        <v>0</v>
      </c>
      <c r="AK2183" s="7" t="s">
        <v>61</v>
      </c>
      <c r="AL2183" s="7" t="s">
        <v>61</v>
      </c>
      <c r="AM2183" s="7" t="s">
        <v>0</v>
      </c>
      <c r="AN2183" s="7" t="s">
        <v>0</v>
      </c>
      <c r="AO2183" s="7" t="s">
        <v>0</v>
      </c>
      <c r="AP2183" s="7" t="s">
        <v>0</v>
      </c>
      <c r="AQ2183" s="7" t="s">
        <v>61</v>
      </c>
      <c r="AR2183" s="7" t="s">
        <v>0</v>
      </c>
      <c r="AS2183" s="10" t="str">
        <f>HYPERLINK("https://tessa.gazprom-neft.local/edo/card/a5b3ee04-97c3-4998-a607-dfa150a30b29", "https://tessa.gazprom-neft.local/edo/card/a5b3ee04-97c3-4998-a607-dfa150a30b29")</f>
        <v>https://tessa.gazprom-neft.local/edo/card/a5b3ee04-97c3-4998-a607-dfa150a30b29</v>
      </c>
    </row>
    <row r="2184" spans="1:45" hidden="1" x14ac:dyDescent="0.25">
      <c r="A2184" s="6" t="s">
        <v>44</v>
      </c>
      <c r="B2184" s="7" t="s">
        <v>1925</v>
      </c>
      <c r="C2184" s="7" t="s">
        <v>67</v>
      </c>
      <c r="D2184" s="8">
        <v>44524</v>
      </c>
      <c r="E2184" s="8" t="s">
        <v>0</v>
      </c>
      <c r="F2184" s="16" t="s">
        <v>1926</v>
      </c>
      <c r="G2184" s="7" t="s">
        <v>1927</v>
      </c>
      <c r="H2184" s="7" t="s">
        <v>0</v>
      </c>
      <c r="I2184" s="7" t="s">
        <v>8702</v>
      </c>
      <c r="J2184" s="7" t="s">
        <v>8702</v>
      </c>
      <c r="K2184" s="7" t="s">
        <v>85</v>
      </c>
      <c r="L2184" s="7" t="s">
        <v>86</v>
      </c>
      <c r="M2184" s="7" t="s">
        <v>289</v>
      </c>
      <c r="N2184" s="7" t="s">
        <v>8701</v>
      </c>
      <c r="O2184" s="7" t="s">
        <v>0</v>
      </c>
      <c r="P2184" s="7" t="s">
        <v>289</v>
      </c>
      <c r="Q2184" s="7" t="s">
        <v>8703</v>
      </c>
      <c r="R2184" s="7" t="s">
        <v>1924</v>
      </c>
      <c r="S2184" s="7" t="s">
        <v>1924</v>
      </c>
      <c r="T2184" s="7" t="s">
        <v>54</v>
      </c>
      <c r="U2184" s="7" t="s">
        <v>73</v>
      </c>
      <c r="V2184" s="7" t="s">
        <v>56</v>
      </c>
      <c r="W2184" s="7" t="s">
        <v>57</v>
      </c>
      <c r="X2184" s="7" t="s">
        <v>103</v>
      </c>
      <c r="Y2184" s="8">
        <v>44510</v>
      </c>
      <c r="Z2184" s="8">
        <v>46315</v>
      </c>
      <c r="AA2184" s="7" t="s">
        <v>1251</v>
      </c>
      <c r="AB2184" s="7" t="s">
        <v>300</v>
      </c>
      <c r="AC2184" s="7" t="s">
        <v>65</v>
      </c>
      <c r="AD2184" s="7" t="s">
        <v>367</v>
      </c>
      <c r="AE2184" s="7" t="s">
        <v>0</v>
      </c>
      <c r="AF2184" s="7" t="s">
        <v>0</v>
      </c>
      <c r="AG2184" s="7" t="s">
        <v>0</v>
      </c>
      <c r="AH2184" s="9" t="s">
        <v>0</v>
      </c>
      <c r="AI2184" s="9" t="s">
        <v>0</v>
      </c>
      <c r="AJ2184" s="9" t="s">
        <v>0</v>
      </c>
      <c r="AK2184" s="7" t="s">
        <v>61</v>
      </c>
      <c r="AL2184" s="7" t="s">
        <v>61</v>
      </c>
      <c r="AM2184" s="7" t="s">
        <v>0</v>
      </c>
      <c r="AN2184" s="7" t="s">
        <v>0</v>
      </c>
      <c r="AO2184" s="7" t="s">
        <v>0</v>
      </c>
      <c r="AP2184" s="7" t="s">
        <v>0</v>
      </c>
      <c r="AQ2184" s="7" t="s">
        <v>61</v>
      </c>
      <c r="AR2184" s="7" t="s">
        <v>0</v>
      </c>
      <c r="AS2184" s="10" t="str">
        <f>HYPERLINK("https://tessa.gazprom-neft.local/edo/card/fae7bead-966b-4495-a852-768cb14d9af6", "https://tessa.gazprom-neft.local/edo/card/fae7bead-966b-4495-a852-768cb14d9af6")</f>
        <v>https://tessa.gazprom-neft.local/edo/card/fae7bead-966b-4495-a852-768cb14d9af6</v>
      </c>
    </row>
    <row r="2185" spans="1:45" x14ac:dyDescent="0.25">
      <c r="A2185" s="6" t="s">
        <v>44</v>
      </c>
      <c r="B2185" s="7" t="s">
        <v>1784</v>
      </c>
      <c r="C2185" s="7" t="s">
        <v>67</v>
      </c>
      <c r="D2185" s="8">
        <v>44524</v>
      </c>
      <c r="E2185" s="8" t="s">
        <v>0</v>
      </c>
      <c r="F2185" s="16" t="s">
        <v>1785</v>
      </c>
      <c r="G2185" s="7" t="s">
        <v>1786</v>
      </c>
      <c r="H2185" s="7" t="s">
        <v>7141</v>
      </c>
      <c r="I2185" s="7" t="s">
        <v>0</v>
      </c>
      <c r="J2185" s="7" t="s">
        <v>70</v>
      </c>
      <c r="K2185" s="7" t="s">
        <v>47</v>
      </c>
      <c r="L2185" s="7" t="s">
        <v>48</v>
      </c>
      <c r="M2185" s="7" t="s">
        <v>0</v>
      </c>
      <c r="N2185" s="7" t="s">
        <v>8730</v>
      </c>
      <c r="O2185" s="7" t="s">
        <v>0</v>
      </c>
      <c r="P2185" s="7" t="s">
        <v>8731</v>
      </c>
      <c r="Q2185" s="7" t="s">
        <v>8732</v>
      </c>
      <c r="R2185" s="7" t="s">
        <v>220</v>
      </c>
      <c r="S2185" s="7" t="s">
        <v>8733</v>
      </c>
      <c r="T2185" s="7" t="s">
        <v>54</v>
      </c>
      <c r="U2185" s="7" t="s">
        <v>222</v>
      </c>
      <c r="V2185" s="7" t="s">
        <v>382</v>
      </c>
      <c r="W2185" s="7" t="s">
        <v>57</v>
      </c>
      <c r="X2185" s="7" t="s">
        <v>103</v>
      </c>
      <c r="Y2185" s="8">
        <v>44524</v>
      </c>
      <c r="Z2185" s="8">
        <v>44612</v>
      </c>
      <c r="AA2185" s="7" t="s">
        <v>1656</v>
      </c>
      <c r="AB2185" s="7" t="s">
        <v>2403</v>
      </c>
      <c r="AC2185" s="7" t="s">
        <v>79</v>
      </c>
      <c r="AD2185" s="7" t="s">
        <v>80</v>
      </c>
      <c r="AE2185" s="7" t="s">
        <v>82</v>
      </c>
      <c r="AF2185" s="7" t="s">
        <v>0</v>
      </c>
      <c r="AG2185" s="7" t="s">
        <v>0</v>
      </c>
      <c r="AH2185" s="9" t="s">
        <v>13077</v>
      </c>
      <c r="AI2185" s="9" t="s">
        <v>13078</v>
      </c>
      <c r="AJ2185" s="9" t="s">
        <v>13079</v>
      </c>
      <c r="AK2185" s="7" t="s">
        <v>61</v>
      </c>
      <c r="AL2185" s="7" t="s">
        <v>61</v>
      </c>
      <c r="AM2185" s="7" t="s">
        <v>0</v>
      </c>
      <c r="AN2185" s="7" t="s">
        <v>0</v>
      </c>
      <c r="AO2185" s="7" t="s">
        <v>0</v>
      </c>
      <c r="AP2185" s="7" t="s">
        <v>0</v>
      </c>
      <c r="AQ2185" s="7" t="s">
        <v>61</v>
      </c>
      <c r="AR2185" s="7" t="s">
        <v>0</v>
      </c>
      <c r="AS2185" s="10" t="str">
        <f>HYPERLINK("https://tessa.gazprom-neft.local/edo/card/2e521582-bfec-441b-9dc9-c8b0f012dfb1", "https://tessa.gazprom-neft.local/edo/card/2e521582-bfec-441b-9dc9-c8b0f012dfb1")</f>
        <v>https://tessa.gazprom-neft.local/edo/card/2e521582-bfec-441b-9dc9-c8b0f012dfb1</v>
      </c>
    </row>
    <row r="2186" spans="1:45" hidden="1" x14ac:dyDescent="0.25">
      <c r="A2186" s="6" t="s">
        <v>44</v>
      </c>
      <c r="B2186" s="7" t="s">
        <v>661</v>
      </c>
      <c r="C2186" s="7" t="s">
        <v>67</v>
      </c>
      <c r="D2186" s="8">
        <v>44524</v>
      </c>
      <c r="E2186" s="8" t="s">
        <v>0</v>
      </c>
      <c r="F2186" s="16" t="s">
        <v>662</v>
      </c>
      <c r="G2186" s="7" t="s">
        <v>663</v>
      </c>
      <c r="H2186" s="7" t="s">
        <v>1426</v>
      </c>
      <c r="I2186" s="7" t="s">
        <v>0</v>
      </c>
      <c r="J2186" s="7" t="s">
        <v>331</v>
      </c>
      <c r="K2186" s="7" t="s">
        <v>47</v>
      </c>
      <c r="L2186" s="7" t="s">
        <v>239</v>
      </c>
      <c r="M2186" s="7" t="s">
        <v>0</v>
      </c>
      <c r="N2186" s="7" t="s">
        <v>8763</v>
      </c>
      <c r="O2186" s="7" t="s">
        <v>0</v>
      </c>
      <c r="P2186" s="7" t="s">
        <v>8764</v>
      </c>
      <c r="Q2186" s="7" t="s">
        <v>8765</v>
      </c>
      <c r="R2186" s="7" t="s">
        <v>659</v>
      </c>
      <c r="S2186" s="7" t="s">
        <v>8766</v>
      </c>
      <c r="T2186" s="7" t="s">
        <v>54</v>
      </c>
      <c r="U2186" s="7" t="s">
        <v>283</v>
      </c>
      <c r="V2186" s="7" t="s">
        <v>102</v>
      </c>
      <c r="W2186" s="7" t="s">
        <v>57</v>
      </c>
      <c r="X2186" s="7" t="s">
        <v>103</v>
      </c>
      <c r="Y2186" s="8">
        <v>44524</v>
      </c>
      <c r="Z2186" s="8">
        <v>44681</v>
      </c>
      <c r="AA2186" s="7" t="s">
        <v>6296</v>
      </c>
      <c r="AB2186" s="7" t="s">
        <v>2425</v>
      </c>
      <c r="AC2186" s="7" t="s">
        <v>79</v>
      </c>
      <c r="AD2186" s="7" t="s">
        <v>144</v>
      </c>
      <c r="AE2186" s="7" t="s">
        <v>82</v>
      </c>
      <c r="AF2186" s="7" t="s">
        <v>0</v>
      </c>
      <c r="AG2186" s="7" t="s">
        <v>0</v>
      </c>
      <c r="AH2186" s="9" t="s">
        <v>13681</v>
      </c>
      <c r="AI2186" s="9" t="s">
        <v>13682</v>
      </c>
      <c r="AJ2186" s="9" t="s">
        <v>13683</v>
      </c>
      <c r="AK2186" s="7" t="s">
        <v>61</v>
      </c>
      <c r="AL2186" s="7" t="s">
        <v>61</v>
      </c>
      <c r="AM2186" s="7" t="s">
        <v>0</v>
      </c>
      <c r="AN2186" s="7" t="s">
        <v>0</v>
      </c>
      <c r="AO2186" s="7" t="s">
        <v>0</v>
      </c>
      <c r="AP2186" s="7" t="s">
        <v>0</v>
      </c>
      <c r="AQ2186" s="7" t="s">
        <v>61</v>
      </c>
      <c r="AR2186" s="7" t="s">
        <v>0</v>
      </c>
      <c r="AS2186" s="10" t="str">
        <f>HYPERLINK("https://tessa.gazprom-neft.local/edo/card/cb5d080c-4edd-4713-8d9a-c331de12e194", "https://tessa.gazprom-neft.local/edo/card/cb5d080c-4edd-4713-8d9a-c331de12e194")</f>
        <v>https://tessa.gazprom-neft.local/edo/card/cb5d080c-4edd-4713-8d9a-c331de12e194</v>
      </c>
    </row>
    <row r="2187" spans="1:45" hidden="1" x14ac:dyDescent="0.25">
      <c r="A2187" s="6" t="s">
        <v>44</v>
      </c>
      <c r="B2187" s="7" t="s">
        <v>75</v>
      </c>
      <c r="C2187" s="7" t="s">
        <v>67</v>
      </c>
      <c r="D2187" s="8">
        <v>44522</v>
      </c>
      <c r="E2187" s="8" t="s">
        <v>0</v>
      </c>
      <c r="F2187" s="16" t="s">
        <v>76</v>
      </c>
      <c r="G2187" s="7" t="s">
        <v>77</v>
      </c>
      <c r="H2187" s="7" t="s">
        <v>0</v>
      </c>
      <c r="I2187" s="7" t="s">
        <v>68</v>
      </c>
      <c r="J2187" s="7" t="s">
        <v>68</v>
      </c>
      <c r="K2187" s="7" t="s">
        <v>85</v>
      </c>
      <c r="L2187" s="7" t="s">
        <v>96</v>
      </c>
      <c r="M2187" s="7" t="s">
        <v>8597</v>
      </c>
      <c r="N2187" s="7" t="s">
        <v>8598</v>
      </c>
      <c r="O2187" s="7" t="s">
        <v>0</v>
      </c>
      <c r="P2187" s="7" t="s">
        <v>8597</v>
      </c>
      <c r="Q2187" s="7" t="s">
        <v>8599</v>
      </c>
      <c r="R2187" s="7" t="s">
        <v>177</v>
      </c>
      <c r="S2187" s="7" t="s">
        <v>72</v>
      </c>
      <c r="T2187" s="7" t="s">
        <v>54</v>
      </c>
      <c r="U2187" s="7" t="s">
        <v>55</v>
      </c>
      <c r="V2187" s="7" t="s">
        <v>56</v>
      </c>
      <c r="W2187" s="7" t="s">
        <v>57</v>
      </c>
      <c r="X2187" s="7" t="s">
        <v>103</v>
      </c>
      <c r="Y2187" s="8">
        <v>44522</v>
      </c>
      <c r="Z2187" s="8">
        <v>45657</v>
      </c>
      <c r="AA2187" s="7" t="s">
        <v>0</v>
      </c>
      <c r="AB2187" s="7" t="s">
        <v>78</v>
      </c>
      <c r="AC2187" s="7" t="s">
        <v>79</v>
      </c>
      <c r="AD2187" s="7" t="s">
        <v>80</v>
      </c>
      <c r="AE2187" s="7" t="s">
        <v>82</v>
      </c>
      <c r="AF2187" s="7" t="s">
        <v>0</v>
      </c>
      <c r="AG2187" s="7" t="s">
        <v>0</v>
      </c>
      <c r="AH2187" s="9" t="s">
        <v>13612</v>
      </c>
      <c r="AI2187" s="9" t="s">
        <v>10692</v>
      </c>
      <c r="AJ2187" s="9" t="s">
        <v>10693</v>
      </c>
      <c r="AK2187" s="7" t="s">
        <v>61</v>
      </c>
      <c r="AL2187" s="7" t="s">
        <v>61</v>
      </c>
      <c r="AM2187" s="7" t="s">
        <v>0</v>
      </c>
      <c r="AN2187" s="7" t="s">
        <v>0</v>
      </c>
      <c r="AO2187" s="7" t="s">
        <v>0</v>
      </c>
      <c r="AP2187" s="7" t="s">
        <v>0</v>
      </c>
      <c r="AQ2187" s="7" t="s">
        <v>61</v>
      </c>
      <c r="AR2187" s="7" t="s">
        <v>0</v>
      </c>
      <c r="AS2187" s="10" t="str">
        <f>HYPERLINK("https://tessa.gazprom-neft.local/edo/card/12d15bfd-ecf5-4e4e-a591-534566f7110c", "https://tessa.gazprom-neft.local/edo/card/12d15bfd-ecf5-4e4e-a591-534566f7110c")</f>
        <v>https://tessa.gazprom-neft.local/edo/card/12d15bfd-ecf5-4e4e-a591-534566f7110c</v>
      </c>
    </row>
    <row r="2188" spans="1:45" hidden="1" x14ac:dyDescent="0.25">
      <c r="A2188" s="6" t="s">
        <v>44</v>
      </c>
      <c r="B2188" s="7" t="s">
        <v>1405</v>
      </c>
      <c r="C2188" s="7" t="s">
        <v>46</v>
      </c>
      <c r="D2188" s="8">
        <v>44522</v>
      </c>
      <c r="E2188" s="8" t="s">
        <v>0</v>
      </c>
      <c r="F2188" s="16" t="s">
        <v>1406</v>
      </c>
      <c r="G2188" s="7" t="s">
        <v>1407</v>
      </c>
      <c r="H2188" s="7" t="s">
        <v>0</v>
      </c>
      <c r="I2188" s="7" t="s">
        <v>8654</v>
      </c>
      <c r="J2188" s="7" t="s">
        <v>8654</v>
      </c>
      <c r="K2188" s="7" t="s">
        <v>47</v>
      </c>
      <c r="L2188" s="7" t="s">
        <v>96</v>
      </c>
      <c r="M2188" s="7" t="s">
        <v>0</v>
      </c>
      <c r="N2188" s="7" t="s">
        <v>8653</v>
      </c>
      <c r="O2188" s="7" t="s">
        <v>0</v>
      </c>
      <c r="P2188" s="7" t="s">
        <v>1401</v>
      </c>
      <c r="Q2188" s="7" t="s">
        <v>1402</v>
      </c>
      <c r="R2188" s="7" t="s">
        <v>1403</v>
      </c>
      <c r="S2188" s="7" t="s">
        <v>1403</v>
      </c>
      <c r="T2188" s="7" t="s">
        <v>54</v>
      </c>
      <c r="U2188" s="7" t="s">
        <v>303</v>
      </c>
      <c r="V2188" s="7" t="s">
        <v>91</v>
      </c>
      <c r="W2188" s="7" t="s">
        <v>57</v>
      </c>
      <c r="X2188" s="7" t="s">
        <v>103</v>
      </c>
      <c r="Y2188" s="8">
        <v>44522</v>
      </c>
      <c r="Z2188" s="8">
        <v>44926</v>
      </c>
      <c r="AA2188" s="7" t="s">
        <v>0</v>
      </c>
      <c r="AB2188" s="7" t="s">
        <v>1408</v>
      </c>
      <c r="AC2188" s="7" t="s">
        <v>79</v>
      </c>
      <c r="AD2188" s="7" t="s">
        <v>80</v>
      </c>
      <c r="AE2188" s="7" t="s">
        <v>118</v>
      </c>
      <c r="AF2188" s="7" t="s">
        <v>0</v>
      </c>
      <c r="AG2188" s="7" t="s">
        <v>0</v>
      </c>
      <c r="AH2188" s="9" t="s">
        <v>13643</v>
      </c>
      <c r="AI2188" s="9" t="s">
        <v>13643</v>
      </c>
      <c r="AJ2188" s="9">
        <v>0</v>
      </c>
      <c r="AK2188" s="7" t="s">
        <v>61</v>
      </c>
      <c r="AL2188" s="7" t="s">
        <v>81</v>
      </c>
      <c r="AM2188" s="7" t="s">
        <v>1410</v>
      </c>
      <c r="AN2188" s="7" t="s">
        <v>8655</v>
      </c>
      <c r="AO2188" s="7" t="s">
        <v>0</v>
      </c>
      <c r="AP2188" s="7" t="s">
        <v>0</v>
      </c>
      <c r="AQ2188" s="7" t="s">
        <v>61</v>
      </c>
      <c r="AR2188" s="7" t="s">
        <v>0</v>
      </c>
      <c r="AS2188" s="10" t="str">
        <f>HYPERLINK("https://tessa.gazprom-neft.local/edo/card/318806d7-52fb-43f6-9333-09eaec604bc3", "https://tessa.gazprom-neft.local/edo/card/318806d7-52fb-43f6-9333-09eaec604bc3")</f>
        <v>https://tessa.gazprom-neft.local/edo/card/318806d7-52fb-43f6-9333-09eaec604bc3</v>
      </c>
    </row>
    <row r="2189" spans="1:45" hidden="1" x14ac:dyDescent="0.25">
      <c r="A2189" s="6" t="s">
        <v>44</v>
      </c>
      <c r="B2189" s="7" t="s">
        <v>245</v>
      </c>
      <c r="C2189" s="7" t="s">
        <v>67</v>
      </c>
      <c r="D2189" s="8">
        <v>44522</v>
      </c>
      <c r="E2189" s="8" t="s">
        <v>0</v>
      </c>
      <c r="F2189" s="16" t="s">
        <v>246</v>
      </c>
      <c r="G2189" s="7" t="s">
        <v>247</v>
      </c>
      <c r="H2189" s="7" t="s">
        <v>8695</v>
      </c>
      <c r="I2189" s="7" t="s">
        <v>0</v>
      </c>
      <c r="J2189" s="7" t="s">
        <v>8697</v>
      </c>
      <c r="K2189" s="7" t="s">
        <v>47</v>
      </c>
      <c r="L2189" s="7" t="s">
        <v>239</v>
      </c>
      <c r="M2189" s="7" t="s">
        <v>0</v>
      </c>
      <c r="N2189" s="7" t="s">
        <v>8694</v>
      </c>
      <c r="O2189" s="7" t="s">
        <v>0</v>
      </c>
      <c r="P2189" s="7" t="s">
        <v>8696</v>
      </c>
      <c r="Q2189" s="7" t="s">
        <v>8698</v>
      </c>
      <c r="R2189" s="7" t="s">
        <v>244</v>
      </c>
      <c r="S2189" s="7" t="s">
        <v>244</v>
      </c>
      <c r="T2189" s="7" t="s">
        <v>54</v>
      </c>
      <c r="U2189" s="7" t="s">
        <v>55</v>
      </c>
      <c r="V2189" s="7" t="s">
        <v>56</v>
      </c>
      <c r="W2189" s="7" t="s">
        <v>57</v>
      </c>
      <c r="X2189" s="7" t="s">
        <v>103</v>
      </c>
      <c r="Y2189" s="8">
        <v>44522</v>
      </c>
      <c r="Z2189" s="8">
        <v>44560</v>
      </c>
      <c r="AA2189" s="7" t="s">
        <v>1251</v>
      </c>
      <c r="AB2189" s="7" t="s">
        <v>248</v>
      </c>
      <c r="AC2189" s="7" t="s">
        <v>79</v>
      </c>
      <c r="AD2189" s="7" t="s">
        <v>144</v>
      </c>
      <c r="AE2189" s="7" t="s">
        <v>82</v>
      </c>
      <c r="AF2189" s="7" t="s">
        <v>0</v>
      </c>
      <c r="AG2189" s="7" t="s">
        <v>0</v>
      </c>
      <c r="AH2189" s="9" t="s">
        <v>13656</v>
      </c>
      <c r="AI2189" s="9" t="s">
        <v>13657</v>
      </c>
      <c r="AJ2189" s="9" t="s">
        <v>13658</v>
      </c>
      <c r="AK2189" s="7" t="s">
        <v>61</v>
      </c>
      <c r="AL2189" s="7" t="s">
        <v>61</v>
      </c>
      <c r="AM2189" s="7" t="s">
        <v>0</v>
      </c>
      <c r="AN2189" s="7" t="s">
        <v>0</v>
      </c>
      <c r="AO2189" s="7" t="s">
        <v>0</v>
      </c>
      <c r="AP2189" s="7" t="s">
        <v>0</v>
      </c>
      <c r="AQ2189" s="7" t="s">
        <v>61</v>
      </c>
      <c r="AR2189" s="7" t="s">
        <v>0</v>
      </c>
      <c r="AS2189" s="10" t="str">
        <f>HYPERLINK("https://tessa.gazprom-neft.local/edo/card/5fa394e6-a65c-41a7-a03f-60e85c2ea0b4", "https://tessa.gazprom-neft.local/edo/card/5fa394e6-a65c-41a7-a03f-60e85c2ea0b4")</f>
        <v>https://tessa.gazprom-neft.local/edo/card/5fa394e6-a65c-41a7-a03f-60e85c2ea0b4</v>
      </c>
    </row>
    <row r="2190" spans="1:45" hidden="1" x14ac:dyDescent="0.25">
      <c r="A2190" s="6" t="s">
        <v>44</v>
      </c>
      <c r="B2190" s="7" t="s">
        <v>5464</v>
      </c>
      <c r="C2190" s="7" t="s">
        <v>67</v>
      </c>
      <c r="D2190" s="8">
        <v>44522</v>
      </c>
      <c r="E2190" s="8" t="s">
        <v>0</v>
      </c>
      <c r="F2190" s="16" t="s">
        <v>5465</v>
      </c>
      <c r="G2190" s="7" t="s">
        <v>5466</v>
      </c>
      <c r="H2190" s="7" t="s">
        <v>5460</v>
      </c>
      <c r="I2190" s="7" t="s">
        <v>0</v>
      </c>
      <c r="J2190" s="7" t="s">
        <v>271</v>
      </c>
      <c r="K2190" s="7" t="s">
        <v>47</v>
      </c>
      <c r="L2190" s="7" t="s">
        <v>239</v>
      </c>
      <c r="M2190" s="7" t="s">
        <v>0</v>
      </c>
      <c r="N2190" s="7" t="s">
        <v>8923</v>
      </c>
      <c r="O2190" s="7" t="s">
        <v>0</v>
      </c>
      <c r="P2190" s="7" t="s">
        <v>8924</v>
      </c>
      <c r="Q2190" s="7" t="s">
        <v>8925</v>
      </c>
      <c r="R2190" s="7" t="s">
        <v>244</v>
      </c>
      <c r="S2190" s="7" t="s">
        <v>244</v>
      </c>
      <c r="T2190" s="7" t="s">
        <v>54</v>
      </c>
      <c r="U2190" s="7" t="s">
        <v>55</v>
      </c>
      <c r="V2190" s="7" t="s">
        <v>56</v>
      </c>
      <c r="W2190" s="7" t="s">
        <v>57</v>
      </c>
      <c r="X2190" s="7" t="s">
        <v>103</v>
      </c>
      <c r="Y2190" s="8">
        <v>44522</v>
      </c>
      <c r="Z2190" s="8">
        <v>44561</v>
      </c>
      <c r="AA2190" s="7" t="s">
        <v>1251</v>
      </c>
      <c r="AB2190" s="7" t="s">
        <v>256</v>
      </c>
      <c r="AC2190" s="7" t="s">
        <v>79</v>
      </c>
      <c r="AD2190" s="7" t="s">
        <v>144</v>
      </c>
      <c r="AE2190" s="7" t="s">
        <v>82</v>
      </c>
      <c r="AF2190" s="7" t="s">
        <v>0</v>
      </c>
      <c r="AG2190" s="7" t="s">
        <v>0</v>
      </c>
      <c r="AH2190" s="9" t="s">
        <v>12954</v>
      </c>
      <c r="AI2190" s="9" t="s">
        <v>13335</v>
      </c>
      <c r="AJ2190" s="9" t="s">
        <v>13336</v>
      </c>
      <c r="AK2190" s="7" t="s">
        <v>61</v>
      </c>
      <c r="AL2190" s="7" t="s">
        <v>61</v>
      </c>
      <c r="AM2190" s="7" t="s">
        <v>0</v>
      </c>
      <c r="AN2190" s="7" t="s">
        <v>0</v>
      </c>
      <c r="AO2190" s="7" t="s">
        <v>0</v>
      </c>
      <c r="AP2190" s="7" t="s">
        <v>0</v>
      </c>
      <c r="AQ2190" s="7" t="s">
        <v>61</v>
      </c>
      <c r="AR2190" s="7" t="s">
        <v>0</v>
      </c>
      <c r="AS2190" s="10" t="str">
        <f>HYPERLINK("https://tessa.gazprom-neft.local/edo/card/052b615d-92b9-433b-92cb-87c181a4c852", "https://tessa.gazprom-neft.local/edo/card/052b615d-92b9-433b-92cb-87c181a4c852")</f>
        <v>https://tessa.gazprom-neft.local/edo/card/052b615d-92b9-433b-92cb-87c181a4c852</v>
      </c>
    </row>
    <row r="2191" spans="1:45" hidden="1" x14ac:dyDescent="0.25">
      <c r="A2191" s="6" t="s">
        <v>44</v>
      </c>
      <c r="B2191" s="7" t="s">
        <v>801</v>
      </c>
      <c r="C2191" s="7" t="s">
        <v>46</v>
      </c>
      <c r="D2191" s="8">
        <v>44519</v>
      </c>
      <c r="E2191" s="8" t="s">
        <v>0</v>
      </c>
      <c r="F2191" s="16" t="s">
        <v>802</v>
      </c>
      <c r="G2191" s="7" t="s">
        <v>803</v>
      </c>
      <c r="H2191" s="7" t="s">
        <v>0</v>
      </c>
      <c r="I2191" s="7" t="s">
        <v>6515</v>
      </c>
      <c r="J2191" s="7" t="s">
        <v>6515</v>
      </c>
      <c r="K2191" s="7" t="s">
        <v>47</v>
      </c>
      <c r="L2191" s="7" t="s">
        <v>96</v>
      </c>
      <c r="M2191" s="7" t="s">
        <v>0</v>
      </c>
      <c r="N2191" s="7" t="s">
        <v>6514</v>
      </c>
      <c r="O2191" s="7" t="s">
        <v>0</v>
      </c>
      <c r="P2191" s="7" t="s">
        <v>6516</v>
      </c>
      <c r="Q2191" s="7" t="s">
        <v>6517</v>
      </c>
      <c r="R2191" s="7" t="s">
        <v>1503</v>
      </c>
      <c r="S2191" s="7" t="s">
        <v>1503</v>
      </c>
      <c r="T2191" s="7" t="s">
        <v>54</v>
      </c>
      <c r="U2191" s="7" t="s">
        <v>167</v>
      </c>
      <c r="V2191" s="7" t="s">
        <v>102</v>
      </c>
      <c r="W2191" s="7" t="s">
        <v>57</v>
      </c>
      <c r="X2191" s="7" t="s">
        <v>103</v>
      </c>
      <c r="Y2191" s="8">
        <v>44519</v>
      </c>
      <c r="Z2191" s="8">
        <v>44773</v>
      </c>
      <c r="AA2191" s="7" t="s">
        <v>6296</v>
      </c>
      <c r="AB2191" s="7" t="s">
        <v>6518</v>
      </c>
      <c r="AC2191" s="7" t="s">
        <v>79</v>
      </c>
      <c r="AD2191" s="7" t="s">
        <v>144</v>
      </c>
      <c r="AE2191" s="7" t="s">
        <v>82</v>
      </c>
      <c r="AF2191" s="7" t="s">
        <v>0</v>
      </c>
      <c r="AG2191" s="7" t="s">
        <v>0</v>
      </c>
      <c r="AH2191" s="9" t="s">
        <v>12873</v>
      </c>
      <c r="AI2191" s="9" t="s">
        <v>12874</v>
      </c>
      <c r="AJ2191" s="9" t="s">
        <v>12875</v>
      </c>
      <c r="AK2191" s="7" t="s">
        <v>61</v>
      </c>
      <c r="AL2191" s="7" t="s">
        <v>61</v>
      </c>
      <c r="AM2191" s="7" t="s">
        <v>0</v>
      </c>
      <c r="AN2191" s="7" t="s">
        <v>0</v>
      </c>
      <c r="AO2191" s="7" t="s">
        <v>0</v>
      </c>
      <c r="AP2191" s="7" t="s">
        <v>0</v>
      </c>
      <c r="AQ2191" s="7" t="s">
        <v>61</v>
      </c>
      <c r="AR2191" s="7" t="s">
        <v>0</v>
      </c>
      <c r="AS2191" s="10" t="str">
        <f>HYPERLINK("https://tessa.gazprom-neft.local/edo/card/6f644375-2a4c-4be1-871f-dfab2c709b53", "https://tessa.gazprom-neft.local/edo/card/6f644375-2a4c-4be1-871f-dfab2c709b53")</f>
        <v>https://tessa.gazprom-neft.local/edo/card/6f644375-2a4c-4be1-871f-dfab2c709b53</v>
      </c>
    </row>
    <row r="2192" spans="1:45" x14ac:dyDescent="0.25">
      <c r="A2192" s="6" t="s">
        <v>44</v>
      </c>
      <c r="B2192" s="7" t="s">
        <v>245</v>
      </c>
      <c r="C2192" s="7" t="s">
        <v>67</v>
      </c>
      <c r="D2192" s="8">
        <v>44518</v>
      </c>
      <c r="E2192" s="8" t="s">
        <v>0</v>
      </c>
      <c r="F2192" s="16" t="s">
        <v>246</v>
      </c>
      <c r="G2192" s="7" t="s">
        <v>247</v>
      </c>
      <c r="H2192" s="7" t="s">
        <v>574</v>
      </c>
      <c r="I2192" s="7" t="s">
        <v>0</v>
      </c>
      <c r="J2192" s="7" t="s">
        <v>271</v>
      </c>
      <c r="K2192" s="7" t="s">
        <v>47</v>
      </c>
      <c r="L2192" s="7" t="s">
        <v>48</v>
      </c>
      <c r="M2192" s="7" t="s">
        <v>0</v>
      </c>
      <c r="N2192" s="7" t="s">
        <v>8635</v>
      </c>
      <c r="O2192" s="7" t="s">
        <v>0</v>
      </c>
      <c r="P2192" s="7" t="s">
        <v>8636</v>
      </c>
      <c r="Q2192" s="7" t="s">
        <v>8637</v>
      </c>
      <c r="R2192" s="7" t="s">
        <v>1441</v>
      </c>
      <c r="S2192" s="7" t="s">
        <v>1441</v>
      </c>
      <c r="T2192" s="7" t="s">
        <v>54</v>
      </c>
      <c r="U2192" s="7" t="s">
        <v>55</v>
      </c>
      <c r="V2192" s="7" t="s">
        <v>56</v>
      </c>
      <c r="W2192" s="7" t="s">
        <v>57</v>
      </c>
      <c r="X2192" s="7" t="s">
        <v>103</v>
      </c>
      <c r="Y2192" s="8">
        <v>44518</v>
      </c>
      <c r="Z2192" s="8">
        <v>46387</v>
      </c>
      <c r="AA2192" s="7" t="s">
        <v>0</v>
      </c>
      <c r="AB2192" s="7" t="s">
        <v>545</v>
      </c>
      <c r="AC2192" s="7" t="s">
        <v>65</v>
      </c>
      <c r="AD2192" s="7" t="s">
        <v>0</v>
      </c>
      <c r="AE2192" s="7" t="s">
        <v>0</v>
      </c>
      <c r="AF2192" s="7" t="s">
        <v>0</v>
      </c>
      <c r="AG2192" s="7" t="s">
        <v>0</v>
      </c>
      <c r="AH2192" s="9" t="s">
        <v>0</v>
      </c>
      <c r="AI2192" s="9" t="s">
        <v>0</v>
      </c>
      <c r="AJ2192" s="9" t="s">
        <v>0</v>
      </c>
      <c r="AK2192" s="7" t="s">
        <v>61</v>
      </c>
      <c r="AL2192" s="7" t="s">
        <v>61</v>
      </c>
      <c r="AM2192" s="7" t="s">
        <v>0</v>
      </c>
      <c r="AN2192" s="7" t="s">
        <v>0</v>
      </c>
      <c r="AO2192" s="7" t="s">
        <v>0</v>
      </c>
      <c r="AP2192" s="7" t="s">
        <v>0</v>
      </c>
      <c r="AQ2192" s="7" t="s">
        <v>61</v>
      </c>
      <c r="AR2192" s="7" t="s">
        <v>0</v>
      </c>
      <c r="AS2192" s="10" t="str">
        <f>HYPERLINK("https://tessa.gazprom-neft.local/edo/card/1c904634-62ba-41e3-92d4-7f8fc133ce07", "https://tessa.gazprom-neft.local/edo/card/1c904634-62ba-41e3-92d4-7f8fc133ce07")</f>
        <v>https://tessa.gazprom-neft.local/edo/card/1c904634-62ba-41e3-92d4-7f8fc133ce07</v>
      </c>
    </row>
    <row r="2193" spans="1:45" hidden="1" x14ac:dyDescent="0.25">
      <c r="A2193" s="6" t="s">
        <v>44</v>
      </c>
      <c r="B2193" s="7" t="s">
        <v>2050</v>
      </c>
      <c r="C2193" s="7" t="s">
        <v>67</v>
      </c>
      <c r="D2193" s="8">
        <v>44518</v>
      </c>
      <c r="E2193" s="8" t="s">
        <v>0</v>
      </c>
      <c r="F2193" s="16" t="s">
        <v>2051</v>
      </c>
      <c r="G2193" s="7" t="s">
        <v>2052</v>
      </c>
      <c r="H2193" s="7" t="s">
        <v>8670</v>
      </c>
      <c r="I2193" s="7" t="s">
        <v>0</v>
      </c>
      <c r="J2193" s="7" t="s">
        <v>51</v>
      </c>
      <c r="K2193" s="7" t="s">
        <v>47</v>
      </c>
      <c r="L2193" s="7" t="s">
        <v>389</v>
      </c>
      <c r="M2193" s="7" t="s">
        <v>0</v>
      </c>
      <c r="N2193" s="7" t="s">
        <v>8669</v>
      </c>
      <c r="O2193" s="7" t="s">
        <v>70</v>
      </c>
      <c r="P2193" s="7" t="s">
        <v>8321</v>
      </c>
      <c r="Q2193" s="7" t="s">
        <v>8671</v>
      </c>
      <c r="R2193" s="7" t="s">
        <v>1256</v>
      </c>
      <c r="S2193" s="7" t="s">
        <v>1256</v>
      </c>
      <c r="T2193" s="7" t="s">
        <v>54</v>
      </c>
      <c r="U2193" s="7" t="s">
        <v>591</v>
      </c>
      <c r="V2193" s="7" t="s">
        <v>382</v>
      </c>
      <c r="W2193" s="7" t="s">
        <v>57</v>
      </c>
      <c r="X2193" s="7" t="s">
        <v>223</v>
      </c>
      <c r="Y2193" s="8">
        <v>44518</v>
      </c>
      <c r="Z2193" s="8" t="s">
        <v>0</v>
      </c>
      <c r="AA2193" s="7" t="s">
        <v>1656</v>
      </c>
      <c r="AB2193" s="7" t="s">
        <v>2053</v>
      </c>
      <c r="AC2193" s="7" t="s">
        <v>65</v>
      </c>
      <c r="AD2193" s="7" t="s">
        <v>0</v>
      </c>
      <c r="AE2193" s="7" t="s">
        <v>0</v>
      </c>
      <c r="AF2193" s="7" t="s">
        <v>0</v>
      </c>
      <c r="AG2193" s="7" t="s">
        <v>0</v>
      </c>
      <c r="AH2193" s="9" t="s">
        <v>0</v>
      </c>
      <c r="AI2193" s="9" t="s">
        <v>0</v>
      </c>
      <c r="AJ2193" s="9" t="s">
        <v>0</v>
      </c>
      <c r="AK2193" s="7" t="s">
        <v>61</v>
      </c>
      <c r="AL2193" s="7" t="s">
        <v>61</v>
      </c>
      <c r="AM2193" s="7" t="s">
        <v>0</v>
      </c>
      <c r="AN2193" s="7" t="s">
        <v>0</v>
      </c>
      <c r="AO2193" s="7" t="s">
        <v>0</v>
      </c>
      <c r="AP2193" s="7" t="s">
        <v>0</v>
      </c>
      <c r="AQ2193" s="7" t="s">
        <v>61</v>
      </c>
      <c r="AR2193" s="7" t="s">
        <v>0</v>
      </c>
      <c r="AS2193" s="10" t="str">
        <f>HYPERLINK("https://tessa.gazprom-neft.local/edo/card/5a286281-be1e-4de7-b384-d455b7a3a33f", "https://tessa.gazprom-neft.local/edo/card/5a286281-be1e-4de7-b384-d455b7a3a33f")</f>
        <v>https://tessa.gazprom-neft.local/edo/card/5a286281-be1e-4de7-b384-d455b7a3a33f</v>
      </c>
    </row>
    <row r="2194" spans="1:45" x14ac:dyDescent="0.25">
      <c r="A2194" s="6" t="s">
        <v>44</v>
      </c>
      <c r="B2194" s="7" t="s">
        <v>2291</v>
      </c>
      <c r="C2194" s="7" t="s">
        <v>67</v>
      </c>
      <c r="D2194" s="8">
        <v>44518</v>
      </c>
      <c r="E2194" s="8" t="s">
        <v>0</v>
      </c>
      <c r="F2194" s="16" t="s">
        <v>2292</v>
      </c>
      <c r="G2194" s="7" t="s">
        <v>2293</v>
      </c>
      <c r="H2194" s="7" t="s">
        <v>8738</v>
      </c>
      <c r="I2194" s="7" t="s">
        <v>0</v>
      </c>
      <c r="J2194" s="7" t="s">
        <v>156</v>
      </c>
      <c r="K2194" s="7" t="s">
        <v>47</v>
      </c>
      <c r="L2194" s="7" t="s">
        <v>48</v>
      </c>
      <c r="M2194" s="7" t="s">
        <v>0</v>
      </c>
      <c r="N2194" s="7" t="s">
        <v>8737</v>
      </c>
      <c r="O2194" s="7" t="s">
        <v>0</v>
      </c>
      <c r="P2194" s="7" t="s">
        <v>7410</v>
      </c>
      <c r="Q2194" s="7" t="s">
        <v>8739</v>
      </c>
      <c r="R2194" s="7" t="s">
        <v>1829</v>
      </c>
      <c r="S2194" s="7" t="s">
        <v>1829</v>
      </c>
      <c r="T2194" s="7" t="s">
        <v>54</v>
      </c>
      <c r="U2194" s="7" t="s">
        <v>307</v>
      </c>
      <c r="V2194" s="7" t="s">
        <v>382</v>
      </c>
      <c r="W2194" s="7" t="s">
        <v>57</v>
      </c>
      <c r="X2194" s="7" t="s">
        <v>103</v>
      </c>
      <c r="Y2194" s="8">
        <v>44518</v>
      </c>
      <c r="Z2194" s="8">
        <v>44926</v>
      </c>
      <c r="AA2194" s="7" t="s">
        <v>1656</v>
      </c>
      <c r="AB2194" s="7" t="s">
        <v>6275</v>
      </c>
      <c r="AC2194" s="7" t="s">
        <v>65</v>
      </c>
      <c r="AD2194" s="7" t="s">
        <v>0</v>
      </c>
      <c r="AE2194" s="7" t="s">
        <v>0</v>
      </c>
      <c r="AF2194" s="7" t="s">
        <v>0</v>
      </c>
      <c r="AG2194" s="7" t="s">
        <v>0</v>
      </c>
      <c r="AH2194" s="9" t="s">
        <v>0</v>
      </c>
      <c r="AI2194" s="9" t="s">
        <v>0</v>
      </c>
      <c r="AJ2194" s="9" t="s">
        <v>0</v>
      </c>
      <c r="AK2194" s="7" t="s">
        <v>61</v>
      </c>
      <c r="AL2194" s="7" t="s">
        <v>61</v>
      </c>
      <c r="AM2194" s="7" t="s">
        <v>0</v>
      </c>
      <c r="AN2194" s="7" t="s">
        <v>0</v>
      </c>
      <c r="AO2194" s="7" t="s">
        <v>0</v>
      </c>
      <c r="AP2194" s="7" t="s">
        <v>0</v>
      </c>
      <c r="AQ2194" s="7" t="s">
        <v>61</v>
      </c>
      <c r="AR2194" s="7" t="s">
        <v>0</v>
      </c>
      <c r="AS2194" s="10" t="str">
        <f>HYPERLINK("https://tessa.gazprom-neft.local/edo/card/fdc938c0-404c-4aac-8068-a62c3940ba00", "https://tessa.gazprom-neft.local/edo/card/fdc938c0-404c-4aac-8068-a62c3940ba00")</f>
        <v>https://tessa.gazprom-neft.local/edo/card/fdc938c0-404c-4aac-8068-a62c3940ba00</v>
      </c>
    </row>
    <row r="2195" spans="1:45" x14ac:dyDescent="0.25">
      <c r="A2195" s="6" t="s">
        <v>44</v>
      </c>
      <c r="B2195" s="7" t="s">
        <v>245</v>
      </c>
      <c r="C2195" s="7" t="s">
        <v>67</v>
      </c>
      <c r="D2195" s="8">
        <v>44516</v>
      </c>
      <c r="E2195" s="8" t="s">
        <v>0</v>
      </c>
      <c r="F2195" s="16" t="s">
        <v>246</v>
      </c>
      <c r="G2195" s="7" t="s">
        <v>247</v>
      </c>
      <c r="H2195" s="7" t="s">
        <v>8609</v>
      </c>
      <c r="I2195" s="7" t="s">
        <v>0</v>
      </c>
      <c r="J2195" s="7" t="s">
        <v>1098</v>
      </c>
      <c r="K2195" s="7" t="s">
        <v>47</v>
      </c>
      <c r="L2195" s="7" t="s">
        <v>48</v>
      </c>
      <c r="M2195" s="7" t="s">
        <v>0</v>
      </c>
      <c r="N2195" s="7" t="s">
        <v>8608</v>
      </c>
      <c r="O2195" s="7" t="s">
        <v>0</v>
      </c>
      <c r="P2195" s="7" t="s">
        <v>8610</v>
      </c>
      <c r="Q2195" s="7" t="s">
        <v>8611</v>
      </c>
      <c r="R2195" s="7" t="s">
        <v>244</v>
      </c>
      <c r="S2195" s="7" t="s">
        <v>244</v>
      </c>
      <c r="T2195" s="7" t="s">
        <v>54</v>
      </c>
      <c r="U2195" s="7" t="s">
        <v>44</v>
      </c>
      <c r="V2195" s="7" t="s">
        <v>56</v>
      </c>
      <c r="W2195" s="7" t="s">
        <v>57</v>
      </c>
      <c r="X2195" s="7" t="s">
        <v>103</v>
      </c>
      <c r="Y2195" s="8">
        <v>44516</v>
      </c>
      <c r="Z2195" s="8">
        <v>44561</v>
      </c>
      <c r="AA2195" s="7" t="s">
        <v>1251</v>
      </c>
      <c r="AB2195" s="7" t="s">
        <v>248</v>
      </c>
      <c r="AC2195" s="7" t="s">
        <v>79</v>
      </c>
      <c r="AD2195" s="7" t="s">
        <v>144</v>
      </c>
      <c r="AE2195" s="7" t="s">
        <v>82</v>
      </c>
      <c r="AF2195" s="7" t="s">
        <v>0</v>
      </c>
      <c r="AG2195" s="7" t="s">
        <v>0</v>
      </c>
      <c r="AH2195" s="9" t="s">
        <v>13616</v>
      </c>
      <c r="AI2195" s="9" t="s">
        <v>13617</v>
      </c>
      <c r="AJ2195" s="9" t="s">
        <v>13618</v>
      </c>
      <c r="AK2195" s="7" t="s">
        <v>61</v>
      </c>
      <c r="AL2195" s="7" t="s">
        <v>61</v>
      </c>
      <c r="AM2195" s="7" t="s">
        <v>0</v>
      </c>
      <c r="AN2195" s="7" t="s">
        <v>0</v>
      </c>
      <c r="AO2195" s="7" t="s">
        <v>0</v>
      </c>
      <c r="AP2195" s="7" t="s">
        <v>0</v>
      </c>
      <c r="AQ2195" s="7" t="s">
        <v>61</v>
      </c>
      <c r="AR2195" s="7" t="s">
        <v>0</v>
      </c>
      <c r="AS2195" s="10" t="str">
        <f>HYPERLINK("https://tessa.gazprom-neft.local/edo/card/dda40d20-25ed-4c3d-a6b8-8ceb17b04720", "https://tessa.gazprom-neft.local/edo/card/dda40d20-25ed-4c3d-a6b8-8ceb17b04720")</f>
        <v>https://tessa.gazprom-neft.local/edo/card/dda40d20-25ed-4c3d-a6b8-8ceb17b04720</v>
      </c>
    </row>
    <row r="2196" spans="1:45" hidden="1" x14ac:dyDescent="0.25">
      <c r="A2196" s="6" t="s">
        <v>44</v>
      </c>
      <c r="B2196" s="7" t="s">
        <v>971</v>
      </c>
      <c r="C2196" s="7" t="s">
        <v>67</v>
      </c>
      <c r="D2196" s="8">
        <v>44515</v>
      </c>
      <c r="E2196" s="8" t="s">
        <v>0</v>
      </c>
      <c r="F2196" s="16" t="s">
        <v>972</v>
      </c>
      <c r="G2196" s="7" t="s">
        <v>973</v>
      </c>
      <c r="H2196" s="7" t="s">
        <v>998</v>
      </c>
      <c r="I2196" s="7" t="s">
        <v>0</v>
      </c>
      <c r="J2196" s="7" t="s">
        <v>51</v>
      </c>
      <c r="K2196" s="7" t="s">
        <v>47</v>
      </c>
      <c r="L2196" s="7" t="s">
        <v>239</v>
      </c>
      <c r="M2196" s="7" t="s">
        <v>0</v>
      </c>
      <c r="N2196" s="7" t="s">
        <v>8424</v>
      </c>
      <c r="O2196" s="7" t="s">
        <v>0</v>
      </c>
      <c r="P2196" s="7" t="s">
        <v>8425</v>
      </c>
      <c r="Q2196" s="7" t="s">
        <v>8426</v>
      </c>
      <c r="R2196" s="7" t="s">
        <v>513</v>
      </c>
      <c r="S2196" s="7" t="s">
        <v>513</v>
      </c>
      <c r="T2196" s="7" t="s">
        <v>54</v>
      </c>
      <c r="U2196" s="7" t="s">
        <v>303</v>
      </c>
      <c r="V2196" s="7" t="s">
        <v>91</v>
      </c>
      <c r="W2196" s="7" t="s">
        <v>57</v>
      </c>
      <c r="X2196" s="7" t="s">
        <v>103</v>
      </c>
      <c r="Y2196" s="8">
        <v>44515</v>
      </c>
      <c r="Z2196" s="8">
        <v>45046</v>
      </c>
      <c r="AA2196" s="7" t="s">
        <v>0</v>
      </c>
      <c r="AB2196" s="7" t="s">
        <v>64</v>
      </c>
      <c r="AC2196" s="7" t="s">
        <v>79</v>
      </c>
      <c r="AD2196" s="7" t="s">
        <v>80</v>
      </c>
      <c r="AE2196" s="7" t="s">
        <v>82</v>
      </c>
      <c r="AF2196" s="7" t="s">
        <v>0</v>
      </c>
      <c r="AG2196" s="7" t="s">
        <v>0</v>
      </c>
      <c r="AH2196" s="9" t="s">
        <v>13542</v>
      </c>
      <c r="AI2196" s="9" t="s">
        <v>13543</v>
      </c>
      <c r="AJ2196" s="9" t="s">
        <v>13544</v>
      </c>
      <c r="AK2196" s="7" t="s">
        <v>61</v>
      </c>
      <c r="AL2196" s="7" t="s">
        <v>61</v>
      </c>
      <c r="AM2196" s="7" t="s">
        <v>0</v>
      </c>
      <c r="AN2196" s="7" t="s">
        <v>0</v>
      </c>
      <c r="AO2196" s="7" t="s">
        <v>0</v>
      </c>
      <c r="AP2196" s="7" t="s">
        <v>0</v>
      </c>
      <c r="AQ2196" s="7" t="s">
        <v>61</v>
      </c>
      <c r="AR2196" s="7" t="s">
        <v>0</v>
      </c>
      <c r="AS2196" s="10" t="str">
        <f>HYPERLINK("https://tessa.gazprom-neft.local/edo/card/f8819fc5-7a95-4a68-ae4a-3db8ed8fcc25", "https://tessa.gazprom-neft.local/edo/card/f8819fc5-7a95-4a68-ae4a-3db8ed8fcc25")</f>
        <v>https://tessa.gazprom-neft.local/edo/card/f8819fc5-7a95-4a68-ae4a-3db8ed8fcc25</v>
      </c>
    </row>
    <row r="2197" spans="1:45" x14ac:dyDescent="0.25">
      <c r="A2197" s="6" t="s">
        <v>44</v>
      </c>
      <c r="B2197" s="7" t="s">
        <v>3607</v>
      </c>
      <c r="C2197" s="7" t="s">
        <v>67</v>
      </c>
      <c r="D2197" s="8">
        <v>44515</v>
      </c>
      <c r="E2197" s="8" t="s">
        <v>0</v>
      </c>
      <c r="F2197" s="16" t="s">
        <v>3608</v>
      </c>
      <c r="G2197" s="7" t="s">
        <v>3609</v>
      </c>
      <c r="H2197" s="7" t="s">
        <v>8566</v>
      </c>
      <c r="I2197" s="7" t="s">
        <v>0</v>
      </c>
      <c r="J2197" s="7" t="s">
        <v>51</v>
      </c>
      <c r="K2197" s="7" t="s">
        <v>47</v>
      </c>
      <c r="L2197" s="7" t="s">
        <v>48</v>
      </c>
      <c r="M2197" s="7" t="s">
        <v>0</v>
      </c>
      <c r="N2197" s="7" t="s">
        <v>8565</v>
      </c>
      <c r="O2197" s="7" t="s">
        <v>0</v>
      </c>
      <c r="P2197" s="7" t="s">
        <v>8567</v>
      </c>
      <c r="Q2197" s="7" t="s">
        <v>8568</v>
      </c>
      <c r="R2197" s="7" t="s">
        <v>1610</v>
      </c>
      <c r="S2197" s="7" t="s">
        <v>1610</v>
      </c>
      <c r="T2197" s="7" t="s">
        <v>54</v>
      </c>
      <c r="U2197" s="7" t="s">
        <v>101</v>
      </c>
      <c r="V2197" s="7" t="s">
        <v>137</v>
      </c>
      <c r="W2197" s="7" t="s">
        <v>57</v>
      </c>
      <c r="X2197" s="7" t="s">
        <v>103</v>
      </c>
      <c r="Y2197" s="8">
        <v>44562</v>
      </c>
      <c r="Z2197" s="8">
        <v>44926</v>
      </c>
      <c r="AA2197" s="7" t="s">
        <v>0</v>
      </c>
      <c r="AB2197" s="7" t="s">
        <v>5899</v>
      </c>
      <c r="AC2197" s="7" t="s">
        <v>65</v>
      </c>
      <c r="AD2197" s="7" t="s">
        <v>80</v>
      </c>
      <c r="AE2197" s="7" t="s">
        <v>0</v>
      </c>
      <c r="AF2197" s="7" t="s">
        <v>0</v>
      </c>
      <c r="AG2197" s="7" t="s">
        <v>0</v>
      </c>
      <c r="AH2197" s="9" t="s">
        <v>0</v>
      </c>
      <c r="AI2197" s="9" t="s">
        <v>0</v>
      </c>
      <c r="AJ2197" s="9" t="s">
        <v>0</v>
      </c>
      <c r="AK2197" s="7" t="s">
        <v>61</v>
      </c>
      <c r="AL2197" s="7" t="s">
        <v>61</v>
      </c>
      <c r="AM2197" s="7" t="s">
        <v>0</v>
      </c>
      <c r="AN2197" s="7" t="s">
        <v>0</v>
      </c>
      <c r="AO2197" s="7" t="s">
        <v>0</v>
      </c>
      <c r="AP2197" s="7" t="s">
        <v>0</v>
      </c>
      <c r="AQ2197" s="7" t="s">
        <v>61</v>
      </c>
      <c r="AR2197" s="7" t="s">
        <v>0</v>
      </c>
      <c r="AS2197" s="10" t="str">
        <f>HYPERLINK("https://tessa.gazprom-neft.local/edo/card/7391f0b4-0c02-4b0c-81ac-bb6ee1e6f085", "https://tessa.gazprom-neft.local/edo/card/7391f0b4-0c02-4b0c-81ac-bb6ee1e6f085")</f>
        <v>https://tessa.gazprom-neft.local/edo/card/7391f0b4-0c02-4b0c-81ac-bb6ee1e6f085</v>
      </c>
    </row>
    <row r="2198" spans="1:45" x14ac:dyDescent="0.25">
      <c r="A2198" s="6" t="s">
        <v>44</v>
      </c>
      <c r="B2198" s="7" t="s">
        <v>964</v>
      </c>
      <c r="C2198" s="7" t="s">
        <v>67</v>
      </c>
      <c r="D2198" s="8">
        <v>44512</v>
      </c>
      <c r="E2198" s="8" t="s">
        <v>0</v>
      </c>
      <c r="F2198" s="16" t="s">
        <v>965</v>
      </c>
      <c r="G2198" s="7" t="s">
        <v>966</v>
      </c>
      <c r="H2198" s="7" t="s">
        <v>5612</v>
      </c>
      <c r="I2198" s="7" t="s">
        <v>0</v>
      </c>
      <c r="J2198" s="7" t="s">
        <v>51</v>
      </c>
      <c r="K2198" s="7" t="s">
        <v>47</v>
      </c>
      <c r="L2198" s="7" t="s">
        <v>48</v>
      </c>
      <c r="M2198" s="7" t="s">
        <v>0</v>
      </c>
      <c r="N2198" s="7" t="s">
        <v>5611</v>
      </c>
      <c r="O2198" s="7" t="s">
        <v>0</v>
      </c>
      <c r="P2198" s="7" t="s">
        <v>5613</v>
      </c>
      <c r="Q2198" s="7" t="s">
        <v>5614</v>
      </c>
      <c r="R2198" s="7" t="s">
        <v>1062</v>
      </c>
      <c r="S2198" s="7" t="s">
        <v>5615</v>
      </c>
      <c r="T2198" s="7" t="s">
        <v>54</v>
      </c>
      <c r="U2198" s="7" t="s">
        <v>294</v>
      </c>
      <c r="V2198" s="7" t="s">
        <v>137</v>
      </c>
      <c r="W2198" s="7" t="s">
        <v>57</v>
      </c>
      <c r="X2198" s="7" t="s">
        <v>58</v>
      </c>
      <c r="Y2198" s="8">
        <v>44512</v>
      </c>
      <c r="Z2198" s="8" t="s">
        <v>0</v>
      </c>
      <c r="AA2198" s="7" t="s">
        <v>0</v>
      </c>
      <c r="AB2198" s="7" t="s">
        <v>300</v>
      </c>
      <c r="AC2198" s="7" t="s">
        <v>65</v>
      </c>
      <c r="AD2198" s="7" t="s">
        <v>0</v>
      </c>
      <c r="AE2198" s="7" t="s">
        <v>0</v>
      </c>
      <c r="AF2198" s="7" t="s">
        <v>0</v>
      </c>
      <c r="AG2198" s="7" t="s">
        <v>0</v>
      </c>
      <c r="AH2198" s="9" t="s">
        <v>0</v>
      </c>
      <c r="AI2198" s="9" t="s">
        <v>0</v>
      </c>
      <c r="AJ2198" s="9" t="s">
        <v>0</v>
      </c>
      <c r="AK2198" s="7" t="s">
        <v>61</v>
      </c>
      <c r="AL2198" s="7" t="s">
        <v>61</v>
      </c>
      <c r="AM2198" s="7" t="s">
        <v>0</v>
      </c>
      <c r="AN2198" s="7" t="s">
        <v>0</v>
      </c>
      <c r="AO2198" s="7" t="s">
        <v>0</v>
      </c>
      <c r="AP2198" s="7" t="s">
        <v>0</v>
      </c>
      <c r="AQ2198" s="7" t="s">
        <v>61</v>
      </c>
      <c r="AR2198" s="7" t="s">
        <v>0</v>
      </c>
      <c r="AS2198" s="10" t="str">
        <f>HYPERLINK("https://tessa.gazprom-neft.local/edo/card/da9ee77e-0a99-482d-924d-bd6f7f69348e", "https://tessa.gazprom-neft.local/edo/card/da9ee77e-0a99-482d-924d-bd6f7f69348e")</f>
        <v>https://tessa.gazprom-neft.local/edo/card/da9ee77e-0a99-482d-924d-bd6f7f69348e</v>
      </c>
    </row>
    <row r="2199" spans="1:45" x14ac:dyDescent="0.25">
      <c r="A2199" s="6" t="s">
        <v>44</v>
      </c>
      <c r="B2199" s="7" t="s">
        <v>8495</v>
      </c>
      <c r="C2199" s="7" t="s">
        <v>67</v>
      </c>
      <c r="D2199" s="8">
        <v>44512</v>
      </c>
      <c r="E2199" s="8" t="s">
        <v>0</v>
      </c>
      <c r="F2199" s="16" t="s">
        <v>8496</v>
      </c>
      <c r="G2199" s="7" t="s">
        <v>739</v>
      </c>
      <c r="H2199" s="7" t="s">
        <v>8492</v>
      </c>
      <c r="I2199" s="7" t="s">
        <v>0</v>
      </c>
      <c r="J2199" s="7" t="s">
        <v>8493</v>
      </c>
      <c r="K2199" s="7" t="s">
        <v>47</v>
      </c>
      <c r="L2199" s="7" t="s">
        <v>48</v>
      </c>
      <c r="M2199" s="7" t="s">
        <v>0</v>
      </c>
      <c r="N2199" s="7" t="s">
        <v>8491</v>
      </c>
      <c r="O2199" s="7" t="s">
        <v>0</v>
      </c>
      <c r="P2199" s="7" t="s">
        <v>5979</v>
      </c>
      <c r="Q2199" s="7" t="s">
        <v>8494</v>
      </c>
      <c r="R2199" s="7" t="s">
        <v>898</v>
      </c>
      <c r="S2199" s="7" t="s">
        <v>898</v>
      </c>
      <c r="T2199" s="7" t="s">
        <v>54</v>
      </c>
      <c r="U2199" s="7" t="s">
        <v>899</v>
      </c>
      <c r="V2199" s="7" t="s">
        <v>137</v>
      </c>
      <c r="W2199" s="7" t="s">
        <v>57</v>
      </c>
      <c r="X2199" s="7" t="s">
        <v>58</v>
      </c>
      <c r="Y2199" s="8">
        <v>44512</v>
      </c>
      <c r="Z2199" s="8" t="s">
        <v>0</v>
      </c>
      <c r="AA2199" s="7" t="s">
        <v>0</v>
      </c>
      <c r="AB2199" s="7" t="s">
        <v>5387</v>
      </c>
      <c r="AC2199" s="7" t="s">
        <v>79</v>
      </c>
      <c r="AD2199" s="7" t="s">
        <v>80</v>
      </c>
      <c r="AE2199" s="7" t="s">
        <v>118</v>
      </c>
      <c r="AF2199" s="7" t="s">
        <v>0</v>
      </c>
      <c r="AG2199" s="7" t="s">
        <v>0</v>
      </c>
      <c r="AH2199" s="9" t="s">
        <v>13575</v>
      </c>
      <c r="AI2199" s="9" t="s">
        <v>13575</v>
      </c>
      <c r="AJ2199" s="9">
        <v>0</v>
      </c>
      <c r="AK2199" s="7" t="s">
        <v>61</v>
      </c>
      <c r="AL2199" s="7" t="s">
        <v>61</v>
      </c>
      <c r="AM2199" s="7" t="s">
        <v>0</v>
      </c>
      <c r="AN2199" s="7" t="s">
        <v>0</v>
      </c>
      <c r="AO2199" s="7" t="s">
        <v>0</v>
      </c>
      <c r="AP2199" s="7" t="s">
        <v>0</v>
      </c>
      <c r="AQ2199" s="7" t="s">
        <v>61</v>
      </c>
      <c r="AR2199" s="7" t="s">
        <v>0</v>
      </c>
      <c r="AS2199" s="10" t="str">
        <f>HYPERLINK("https://tessa.gazprom-neft.local/edo/card/a10f27b6-3f6b-4c2c-b848-c1cb7aa5e1c0", "https://tessa.gazprom-neft.local/edo/card/a10f27b6-3f6b-4c2c-b848-c1cb7aa5e1c0")</f>
        <v>https://tessa.gazprom-neft.local/edo/card/a10f27b6-3f6b-4c2c-b848-c1cb7aa5e1c0</v>
      </c>
    </row>
    <row r="2200" spans="1:45" hidden="1" x14ac:dyDescent="0.25">
      <c r="A2200" s="6" t="s">
        <v>44</v>
      </c>
      <c r="B2200" s="7" t="s">
        <v>606</v>
      </c>
      <c r="C2200" s="7" t="s">
        <v>67</v>
      </c>
      <c r="D2200" s="8">
        <v>44512</v>
      </c>
      <c r="E2200" s="8" t="s">
        <v>0</v>
      </c>
      <c r="F2200" s="16" t="s">
        <v>607</v>
      </c>
      <c r="G2200" s="7" t="s">
        <v>608</v>
      </c>
      <c r="H2200" s="7" t="s">
        <v>600</v>
      </c>
      <c r="I2200" s="7" t="s">
        <v>0</v>
      </c>
      <c r="J2200" s="7" t="s">
        <v>8547</v>
      </c>
      <c r="K2200" s="7" t="s">
        <v>47</v>
      </c>
      <c r="L2200" s="7" t="s">
        <v>239</v>
      </c>
      <c r="M2200" s="7" t="s">
        <v>0</v>
      </c>
      <c r="N2200" s="7" t="s">
        <v>8545</v>
      </c>
      <c r="O2200" s="7" t="s">
        <v>0</v>
      </c>
      <c r="P2200" s="7" t="s">
        <v>8546</v>
      </c>
      <c r="Q2200" s="7" t="s">
        <v>8548</v>
      </c>
      <c r="R2200" s="7" t="s">
        <v>604</v>
      </c>
      <c r="S2200" s="7" t="s">
        <v>604</v>
      </c>
      <c r="T2200" s="7" t="s">
        <v>54</v>
      </c>
      <c r="U2200" s="7" t="s">
        <v>605</v>
      </c>
      <c r="V2200" s="7" t="s">
        <v>382</v>
      </c>
      <c r="W2200" s="7" t="s">
        <v>57</v>
      </c>
      <c r="X2200" s="7" t="s">
        <v>103</v>
      </c>
      <c r="Y2200" s="8">
        <v>44512</v>
      </c>
      <c r="Z2200" s="8">
        <v>44926</v>
      </c>
      <c r="AA2200" s="7" t="s">
        <v>1656</v>
      </c>
      <c r="AB2200" s="7" t="s">
        <v>888</v>
      </c>
      <c r="AC2200" s="7" t="s">
        <v>79</v>
      </c>
      <c r="AD2200" s="7" t="s">
        <v>144</v>
      </c>
      <c r="AE2200" s="7" t="s">
        <v>82</v>
      </c>
      <c r="AF2200" s="7" t="s">
        <v>0</v>
      </c>
      <c r="AG2200" s="7" t="s">
        <v>0</v>
      </c>
      <c r="AH2200" s="9" t="s">
        <v>13442</v>
      </c>
      <c r="AI2200" s="9" t="s">
        <v>13443</v>
      </c>
      <c r="AJ2200" s="9" t="s">
        <v>13444</v>
      </c>
      <c r="AK2200" s="7" t="s">
        <v>61</v>
      </c>
      <c r="AL2200" s="7" t="s">
        <v>61</v>
      </c>
      <c r="AM2200" s="7" t="s">
        <v>0</v>
      </c>
      <c r="AN2200" s="7" t="s">
        <v>0</v>
      </c>
      <c r="AO2200" s="7" t="s">
        <v>0</v>
      </c>
      <c r="AP2200" s="7" t="s">
        <v>0</v>
      </c>
      <c r="AQ2200" s="7" t="s">
        <v>61</v>
      </c>
      <c r="AR2200" s="7" t="s">
        <v>0</v>
      </c>
      <c r="AS2200" s="10" t="str">
        <f>HYPERLINK("https://tessa.gazprom-neft.local/edo/card/bdd8f7ba-e3ab-4f5f-b9b3-8020117ffb36", "https://tessa.gazprom-neft.local/edo/card/bdd8f7ba-e3ab-4f5f-b9b3-8020117ffb36")</f>
        <v>https://tessa.gazprom-neft.local/edo/card/bdd8f7ba-e3ab-4f5f-b9b3-8020117ffb36</v>
      </c>
    </row>
    <row r="2201" spans="1:45" hidden="1" x14ac:dyDescent="0.25">
      <c r="A2201" s="6" t="s">
        <v>44</v>
      </c>
      <c r="B2201" s="7" t="s">
        <v>170</v>
      </c>
      <c r="C2201" s="7" t="s">
        <v>67</v>
      </c>
      <c r="D2201" s="8">
        <v>44511</v>
      </c>
      <c r="E2201" s="8" t="s">
        <v>0</v>
      </c>
      <c r="F2201" s="16" t="s">
        <v>171</v>
      </c>
      <c r="G2201" s="7" t="s">
        <v>172</v>
      </c>
      <c r="H2201" s="7" t="s">
        <v>8618</v>
      </c>
      <c r="I2201" s="7" t="s">
        <v>0</v>
      </c>
      <c r="J2201" s="7" t="s">
        <v>872</v>
      </c>
      <c r="K2201" s="7" t="s">
        <v>47</v>
      </c>
      <c r="L2201" s="7" t="s">
        <v>239</v>
      </c>
      <c r="M2201" s="7" t="s">
        <v>0</v>
      </c>
      <c r="N2201" s="7" t="s">
        <v>8617</v>
      </c>
      <c r="O2201" s="7" t="s">
        <v>0</v>
      </c>
      <c r="P2201" s="7" t="s">
        <v>8619</v>
      </c>
      <c r="Q2201" s="7" t="s">
        <v>8620</v>
      </c>
      <c r="R2201" s="7" t="s">
        <v>1503</v>
      </c>
      <c r="S2201" s="7" t="s">
        <v>1503</v>
      </c>
      <c r="T2201" s="7" t="s">
        <v>54</v>
      </c>
      <c r="U2201" s="7" t="s">
        <v>167</v>
      </c>
      <c r="V2201" s="7" t="s">
        <v>102</v>
      </c>
      <c r="W2201" s="7" t="s">
        <v>57</v>
      </c>
      <c r="X2201" s="7" t="s">
        <v>103</v>
      </c>
      <c r="Y2201" s="8">
        <v>44464</v>
      </c>
      <c r="Z2201" s="8">
        <v>44926</v>
      </c>
      <c r="AA2201" s="7" t="s">
        <v>6296</v>
      </c>
      <c r="AB2201" s="7" t="s">
        <v>8526</v>
      </c>
      <c r="AC2201" s="7" t="s">
        <v>65</v>
      </c>
      <c r="AD2201" s="7" t="s">
        <v>0</v>
      </c>
      <c r="AE2201" s="7" t="s">
        <v>0</v>
      </c>
      <c r="AF2201" s="7" t="s">
        <v>0</v>
      </c>
      <c r="AG2201" s="7" t="s">
        <v>0</v>
      </c>
      <c r="AH2201" s="9" t="s">
        <v>0</v>
      </c>
      <c r="AI2201" s="9" t="s">
        <v>0</v>
      </c>
      <c r="AJ2201" s="9" t="s">
        <v>0</v>
      </c>
      <c r="AK2201" s="7" t="s">
        <v>61</v>
      </c>
      <c r="AL2201" s="7" t="s">
        <v>61</v>
      </c>
      <c r="AM2201" s="7" t="s">
        <v>0</v>
      </c>
      <c r="AN2201" s="7" t="s">
        <v>0</v>
      </c>
      <c r="AO2201" s="7" t="s">
        <v>0</v>
      </c>
      <c r="AP2201" s="7" t="s">
        <v>0</v>
      </c>
      <c r="AQ2201" s="7" t="s">
        <v>61</v>
      </c>
      <c r="AR2201" s="7" t="s">
        <v>0</v>
      </c>
      <c r="AS2201" s="10" t="str">
        <f>HYPERLINK("https://tessa.gazprom-neft.local/edo/card/9257aad6-9944-4f39-84c9-e5c9c5bc1441", "https://tessa.gazprom-neft.local/edo/card/9257aad6-9944-4f39-84c9-e5c9c5bc1441")</f>
        <v>https://tessa.gazprom-neft.local/edo/card/9257aad6-9944-4f39-84c9-e5c9c5bc1441</v>
      </c>
    </row>
    <row r="2202" spans="1:45" hidden="1" x14ac:dyDescent="0.25">
      <c r="A2202" s="6" t="s">
        <v>44</v>
      </c>
      <c r="B2202" s="7" t="s">
        <v>2266</v>
      </c>
      <c r="C2202" s="7" t="s">
        <v>67</v>
      </c>
      <c r="D2202" s="8">
        <v>44510</v>
      </c>
      <c r="E2202" s="8" t="s">
        <v>0</v>
      </c>
      <c r="F2202" s="16" t="s">
        <v>2267</v>
      </c>
      <c r="G2202" s="7" t="s">
        <v>2268</v>
      </c>
      <c r="H2202" s="7" t="s">
        <v>0</v>
      </c>
      <c r="I2202" s="7" t="s">
        <v>8447</v>
      </c>
      <c r="J2202" s="7" t="s">
        <v>8447</v>
      </c>
      <c r="K2202" s="7" t="s">
        <v>85</v>
      </c>
      <c r="L2202" s="7" t="s">
        <v>86</v>
      </c>
      <c r="M2202" s="7" t="s">
        <v>83</v>
      </c>
      <c r="N2202" s="7" t="s">
        <v>8446</v>
      </c>
      <c r="O2202" s="7" t="s">
        <v>0</v>
      </c>
      <c r="P2202" s="7" t="s">
        <v>83</v>
      </c>
      <c r="Q2202" s="7" t="s">
        <v>8252</v>
      </c>
      <c r="R2202" s="7" t="s">
        <v>799</v>
      </c>
      <c r="S2202" s="7" t="s">
        <v>799</v>
      </c>
      <c r="T2202" s="7" t="s">
        <v>54</v>
      </c>
      <c r="U2202" s="7" t="s">
        <v>303</v>
      </c>
      <c r="V2202" s="7" t="s">
        <v>91</v>
      </c>
      <c r="W2202" s="7" t="s">
        <v>57</v>
      </c>
      <c r="X2202" s="7" t="s">
        <v>103</v>
      </c>
      <c r="Y2202" s="8">
        <v>44510</v>
      </c>
      <c r="Z2202" s="8">
        <v>46335</v>
      </c>
      <c r="AA2202" s="7" t="s">
        <v>7093</v>
      </c>
      <c r="AB2202" s="7" t="s">
        <v>94</v>
      </c>
      <c r="AC2202" s="7" t="s">
        <v>65</v>
      </c>
      <c r="AD2202" s="7" t="s">
        <v>0</v>
      </c>
      <c r="AE2202" s="7" t="s">
        <v>0</v>
      </c>
      <c r="AF2202" s="7" t="s">
        <v>0</v>
      </c>
      <c r="AG2202" s="7" t="s">
        <v>0</v>
      </c>
      <c r="AH2202" s="9" t="s">
        <v>0</v>
      </c>
      <c r="AI2202" s="9" t="s">
        <v>0</v>
      </c>
      <c r="AJ2202" s="9" t="s">
        <v>0</v>
      </c>
      <c r="AK2202" s="7" t="s">
        <v>61</v>
      </c>
      <c r="AL2202" s="7" t="s">
        <v>61</v>
      </c>
      <c r="AM2202" s="7" t="s">
        <v>0</v>
      </c>
      <c r="AN2202" s="7" t="s">
        <v>0</v>
      </c>
      <c r="AO2202" s="7" t="s">
        <v>0</v>
      </c>
      <c r="AP2202" s="7" t="s">
        <v>0</v>
      </c>
      <c r="AQ2202" s="7" t="s">
        <v>61</v>
      </c>
      <c r="AR2202" s="7" t="s">
        <v>0</v>
      </c>
      <c r="AS2202" s="10" t="str">
        <f>HYPERLINK("https://tessa.gazprom-neft.local/edo/card/815eb6cd-c64a-47a7-bc59-2e384ce968c1", "https://tessa.gazprom-neft.local/edo/card/815eb6cd-c64a-47a7-bc59-2e384ce968c1")</f>
        <v>https://tessa.gazprom-neft.local/edo/card/815eb6cd-c64a-47a7-bc59-2e384ce968c1</v>
      </c>
    </row>
    <row r="2203" spans="1:45" hidden="1" x14ac:dyDescent="0.25">
      <c r="A2203" s="6" t="s">
        <v>44</v>
      </c>
      <c r="B2203" s="7" t="s">
        <v>0</v>
      </c>
      <c r="C2203" s="7" t="s">
        <v>46</v>
      </c>
      <c r="D2203" s="8">
        <v>44510</v>
      </c>
      <c r="E2203" s="8" t="s">
        <v>0</v>
      </c>
      <c r="F2203" s="16" t="s">
        <v>8455</v>
      </c>
      <c r="G2203" s="7" t="s">
        <v>0</v>
      </c>
      <c r="H2203" s="7" t="s">
        <v>0</v>
      </c>
      <c r="I2203" s="7" t="s">
        <v>8453</v>
      </c>
      <c r="J2203" s="7" t="s">
        <v>8453</v>
      </c>
      <c r="K2203" s="7" t="s">
        <v>85</v>
      </c>
      <c r="L2203" s="7" t="s">
        <v>96</v>
      </c>
      <c r="M2203" s="7" t="s">
        <v>183</v>
      </c>
      <c r="N2203" s="7" t="s">
        <v>8452</v>
      </c>
      <c r="O2203" s="7" t="s">
        <v>0</v>
      </c>
      <c r="P2203" s="7" t="s">
        <v>183</v>
      </c>
      <c r="Q2203" s="7" t="s">
        <v>8454</v>
      </c>
      <c r="R2203" s="7" t="s">
        <v>1179</v>
      </c>
      <c r="S2203" s="7" t="s">
        <v>1179</v>
      </c>
      <c r="T2203" s="7" t="s">
        <v>54</v>
      </c>
      <c r="U2203" s="7" t="s">
        <v>167</v>
      </c>
      <c r="V2203" s="7" t="s">
        <v>137</v>
      </c>
      <c r="W2203" s="7" t="s">
        <v>57</v>
      </c>
      <c r="X2203" s="7" t="s">
        <v>103</v>
      </c>
      <c r="Y2203" s="8">
        <v>44510</v>
      </c>
      <c r="Z2203" s="8">
        <v>44538</v>
      </c>
      <c r="AA2203" s="7" t="s">
        <v>0</v>
      </c>
      <c r="AB2203" s="7" t="s">
        <v>192</v>
      </c>
      <c r="AC2203" s="7" t="s">
        <v>79</v>
      </c>
      <c r="AD2203" s="7" t="s">
        <v>80</v>
      </c>
      <c r="AE2203" s="7" t="s">
        <v>193</v>
      </c>
      <c r="AF2203" s="7" t="s">
        <v>0</v>
      </c>
      <c r="AG2203" s="7" t="s">
        <v>0</v>
      </c>
      <c r="AH2203" s="9" t="s">
        <v>13556</v>
      </c>
      <c r="AI2203" s="9" t="s">
        <v>13557</v>
      </c>
      <c r="AJ2203" s="9" t="s">
        <v>13558</v>
      </c>
      <c r="AK2203" s="7" t="s">
        <v>61</v>
      </c>
      <c r="AL2203" s="7" t="s">
        <v>61</v>
      </c>
      <c r="AM2203" s="7" t="s">
        <v>0</v>
      </c>
      <c r="AN2203" s="7" t="s">
        <v>0</v>
      </c>
      <c r="AO2203" s="7" t="s">
        <v>0</v>
      </c>
      <c r="AP2203" s="7" t="s">
        <v>0</v>
      </c>
      <c r="AQ2203" s="7" t="s">
        <v>61</v>
      </c>
      <c r="AR2203" s="7" t="s">
        <v>0</v>
      </c>
      <c r="AS2203" s="10" t="str">
        <f>HYPERLINK("https://tessa.gazprom-neft.local/edo/card/52d86be8-154a-4212-8301-eb30b3b2f976", "https://tessa.gazprom-neft.local/edo/card/52d86be8-154a-4212-8301-eb30b3b2f976")</f>
        <v>https://tessa.gazprom-neft.local/edo/card/52d86be8-154a-4212-8301-eb30b3b2f976</v>
      </c>
    </row>
    <row r="2204" spans="1:45" hidden="1" x14ac:dyDescent="0.25">
      <c r="A2204" s="6" t="s">
        <v>44</v>
      </c>
      <c r="B2204" s="7" t="s">
        <v>737</v>
      </c>
      <c r="C2204" s="7" t="s">
        <v>67</v>
      </c>
      <c r="D2204" s="8">
        <v>44510</v>
      </c>
      <c r="E2204" s="8" t="s">
        <v>0</v>
      </c>
      <c r="F2204" s="16" t="s">
        <v>738</v>
      </c>
      <c r="G2204" s="7" t="s">
        <v>739</v>
      </c>
      <c r="H2204" s="7" t="s">
        <v>1758</v>
      </c>
      <c r="I2204" s="7" t="s">
        <v>0</v>
      </c>
      <c r="J2204" s="7" t="s">
        <v>331</v>
      </c>
      <c r="K2204" s="7" t="s">
        <v>47</v>
      </c>
      <c r="L2204" s="7" t="s">
        <v>239</v>
      </c>
      <c r="M2204" s="7" t="s">
        <v>0</v>
      </c>
      <c r="N2204" s="7" t="s">
        <v>8466</v>
      </c>
      <c r="O2204" s="7" t="s">
        <v>0</v>
      </c>
      <c r="P2204" s="7" t="s">
        <v>8467</v>
      </c>
      <c r="Q2204" s="7" t="s">
        <v>1760</v>
      </c>
      <c r="R2204" s="7" t="s">
        <v>540</v>
      </c>
      <c r="S2204" s="7" t="s">
        <v>0</v>
      </c>
      <c r="T2204" s="7" t="s">
        <v>54</v>
      </c>
      <c r="U2204" s="7" t="s">
        <v>541</v>
      </c>
      <c r="V2204" s="7" t="s">
        <v>56</v>
      </c>
      <c r="W2204" s="7" t="s">
        <v>57</v>
      </c>
      <c r="X2204" s="7" t="s">
        <v>103</v>
      </c>
      <c r="Y2204" s="8">
        <v>44510</v>
      </c>
      <c r="Z2204" s="8">
        <v>44920</v>
      </c>
      <c r="AA2204" s="7" t="s">
        <v>1251</v>
      </c>
      <c r="AB2204" s="7" t="s">
        <v>545</v>
      </c>
      <c r="AC2204" s="7" t="s">
        <v>79</v>
      </c>
      <c r="AD2204" s="7" t="s">
        <v>144</v>
      </c>
      <c r="AE2204" s="7" t="s">
        <v>82</v>
      </c>
      <c r="AF2204" s="7" t="s">
        <v>0</v>
      </c>
      <c r="AG2204" s="7" t="s">
        <v>0</v>
      </c>
      <c r="AH2204" s="9" t="s">
        <v>13565</v>
      </c>
      <c r="AI2204" s="9" t="s">
        <v>13566</v>
      </c>
      <c r="AJ2204" s="9" t="s">
        <v>13567</v>
      </c>
      <c r="AK2204" s="7" t="s">
        <v>61</v>
      </c>
      <c r="AL2204" s="7" t="s">
        <v>61</v>
      </c>
      <c r="AM2204" s="7" t="s">
        <v>0</v>
      </c>
      <c r="AN2204" s="7" t="s">
        <v>0</v>
      </c>
      <c r="AO2204" s="7" t="s">
        <v>0</v>
      </c>
      <c r="AP2204" s="7" t="s">
        <v>0</v>
      </c>
      <c r="AQ2204" s="7" t="s">
        <v>61</v>
      </c>
      <c r="AR2204" s="7" t="s">
        <v>0</v>
      </c>
      <c r="AS2204" s="10" t="str">
        <f>HYPERLINK("https://tessa.gazprom-neft.local/edo/card/5b9c52fd-0a20-4700-9ca3-f9d307441408", "https://tessa.gazprom-neft.local/edo/card/5b9c52fd-0a20-4700-9ca3-f9d307441408")</f>
        <v>https://tessa.gazprom-neft.local/edo/card/5b9c52fd-0a20-4700-9ca3-f9d307441408</v>
      </c>
    </row>
    <row r="2205" spans="1:45" x14ac:dyDescent="0.25">
      <c r="A2205" s="6" t="s">
        <v>44</v>
      </c>
      <c r="B2205" s="7" t="s">
        <v>170</v>
      </c>
      <c r="C2205" s="7" t="s">
        <v>67</v>
      </c>
      <c r="D2205" s="8">
        <v>44510</v>
      </c>
      <c r="E2205" s="8" t="s">
        <v>0</v>
      </c>
      <c r="F2205" s="16" t="s">
        <v>171</v>
      </c>
      <c r="G2205" s="7" t="s">
        <v>172</v>
      </c>
      <c r="H2205" s="7" t="s">
        <v>163</v>
      </c>
      <c r="I2205" s="7" t="s">
        <v>0</v>
      </c>
      <c r="J2205" s="7" t="s">
        <v>355</v>
      </c>
      <c r="K2205" s="7" t="s">
        <v>47</v>
      </c>
      <c r="L2205" s="7" t="s">
        <v>48</v>
      </c>
      <c r="M2205" s="7" t="s">
        <v>0</v>
      </c>
      <c r="N2205" s="7" t="s">
        <v>8523</v>
      </c>
      <c r="O2205" s="7" t="s">
        <v>0</v>
      </c>
      <c r="P2205" s="7" t="s">
        <v>8524</v>
      </c>
      <c r="Q2205" s="7" t="s">
        <v>8525</v>
      </c>
      <c r="R2205" s="7" t="s">
        <v>1503</v>
      </c>
      <c r="S2205" s="7" t="s">
        <v>1503</v>
      </c>
      <c r="T2205" s="7" t="s">
        <v>54</v>
      </c>
      <c r="U2205" s="7" t="s">
        <v>167</v>
      </c>
      <c r="V2205" s="7" t="s">
        <v>137</v>
      </c>
      <c r="W2205" s="7" t="s">
        <v>57</v>
      </c>
      <c r="X2205" s="7" t="s">
        <v>103</v>
      </c>
      <c r="Y2205" s="8">
        <v>44464</v>
      </c>
      <c r="Z2205" s="8">
        <v>45291</v>
      </c>
      <c r="AA2205" s="7" t="s">
        <v>0</v>
      </c>
      <c r="AB2205" s="7" t="s">
        <v>8526</v>
      </c>
      <c r="AC2205" s="7" t="s">
        <v>79</v>
      </c>
      <c r="AD2205" s="7" t="s">
        <v>144</v>
      </c>
      <c r="AE2205" s="7" t="s">
        <v>82</v>
      </c>
      <c r="AF2205" s="7" t="s">
        <v>0</v>
      </c>
      <c r="AG2205" s="7" t="s">
        <v>0</v>
      </c>
      <c r="AH2205" s="9" t="s">
        <v>13582</v>
      </c>
      <c r="AI2205" s="9" t="s">
        <v>13583</v>
      </c>
      <c r="AJ2205" s="9" t="s">
        <v>13584</v>
      </c>
      <c r="AK2205" s="7" t="s">
        <v>61</v>
      </c>
      <c r="AL2205" s="7" t="s">
        <v>61</v>
      </c>
      <c r="AM2205" s="7" t="s">
        <v>0</v>
      </c>
      <c r="AN2205" s="7" t="s">
        <v>0</v>
      </c>
      <c r="AO2205" s="7" t="s">
        <v>0</v>
      </c>
      <c r="AP2205" s="7" t="s">
        <v>0</v>
      </c>
      <c r="AQ2205" s="7" t="s">
        <v>61</v>
      </c>
      <c r="AR2205" s="7" t="s">
        <v>0</v>
      </c>
      <c r="AS2205" s="10" t="str">
        <f>HYPERLINK("https://tessa.gazprom-neft.local/edo/card/d86af1bf-7f51-4d14-a334-1bcd5187c4d3", "https://tessa.gazprom-neft.local/edo/card/d86af1bf-7f51-4d14-a334-1bcd5187c4d3")</f>
        <v>https://tessa.gazprom-neft.local/edo/card/d86af1bf-7f51-4d14-a334-1bcd5187c4d3</v>
      </c>
    </row>
    <row r="2206" spans="1:45" hidden="1" x14ac:dyDescent="0.25">
      <c r="A2206" s="6" t="s">
        <v>44</v>
      </c>
      <c r="B2206" s="7" t="s">
        <v>253</v>
      </c>
      <c r="C2206" s="7" t="s">
        <v>67</v>
      </c>
      <c r="D2206" s="8">
        <v>44510</v>
      </c>
      <c r="E2206" s="8" t="s">
        <v>0</v>
      </c>
      <c r="F2206" s="16" t="s">
        <v>254</v>
      </c>
      <c r="G2206" s="7" t="s">
        <v>255</v>
      </c>
      <c r="H2206" s="7" t="s">
        <v>250</v>
      </c>
      <c r="I2206" s="7" t="s">
        <v>0</v>
      </c>
      <c r="J2206" s="7" t="s">
        <v>8629</v>
      </c>
      <c r="K2206" s="7" t="s">
        <v>47</v>
      </c>
      <c r="L2206" s="7" t="s">
        <v>239</v>
      </c>
      <c r="M2206" s="7" t="s">
        <v>0</v>
      </c>
      <c r="N2206" s="7" t="s">
        <v>8627</v>
      </c>
      <c r="O2206" s="7" t="s">
        <v>0</v>
      </c>
      <c r="P2206" s="7" t="s">
        <v>8628</v>
      </c>
      <c r="Q2206" s="7" t="s">
        <v>8630</v>
      </c>
      <c r="R2206" s="7" t="s">
        <v>244</v>
      </c>
      <c r="S2206" s="7" t="s">
        <v>244</v>
      </c>
      <c r="T2206" s="7" t="s">
        <v>54</v>
      </c>
      <c r="U2206" s="7" t="s">
        <v>55</v>
      </c>
      <c r="V2206" s="7" t="s">
        <v>56</v>
      </c>
      <c r="W2206" s="7" t="s">
        <v>57</v>
      </c>
      <c r="X2206" s="7" t="s">
        <v>103</v>
      </c>
      <c r="Y2206" s="8">
        <v>44510</v>
      </c>
      <c r="Z2206" s="8">
        <v>44561</v>
      </c>
      <c r="AA2206" s="7" t="s">
        <v>1251</v>
      </c>
      <c r="AB2206" s="7" t="s">
        <v>8631</v>
      </c>
      <c r="AC2206" s="7" t="s">
        <v>79</v>
      </c>
      <c r="AD2206" s="7" t="s">
        <v>144</v>
      </c>
      <c r="AE2206" s="7" t="s">
        <v>82</v>
      </c>
      <c r="AF2206" s="7" t="s">
        <v>0</v>
      </c>
      <c r="AG2206" s="7" t="s">
        <v>0</v>
      </c>
      <c r="AH2206" s="9" t="s">
        <v>13629</v>
      </c>
      <c r="AI2206" s="9" t="s">
        <v>13630</v>
      </c>
      <c r="AJ2206" s="9" t="s">
        <v>13631</v>
      </c>
      <c r="AK2206" s="7" t="s">
        <v>61</v>
      </c>
      <c r="AL2206" s="7" t="s">
        <v>61</v>
      </c>
      <c r="AM2206" s="7" t="s">
        <v>0</v>
      </c>
      <c r="AN2206" s="7" t="s">
        <v>0</v>
      </c>
      <c r="AO2206" s="7" t="s">
        <v>0</v>
      </c>
      <c r="AP2206" s="7" t="s">
        <v>0</v>
      </c>
      <c r="AQ2206" s="7" t="s">
        <v>61</v>
      </c>
      <c r="AR2206" s="7" t="s">
        <v>0</v>
      </c>
      <c r="AS2206" s="10" t="str">
        <f>HYPERLINK("https://tessa.gazprom-neft.local/edo/card/123cf562-8611-43f7-a313-9edcfbd69ff7", "https://tessa.gazprom-neft.local/edo/card/123cf562-8611-43f7-a313-9edcfbd69ff7")</f>
        <v>https://tessa.gazprom-neft.local/edo/card/123cf562-8611-43f7-a313-9edcfbd69ff7</v>
      </c>
    </row>
    <row r="2207" spans="1:45" hidden="1" x14ac:dyDescent="0.25">
      <c r="A2207" s="6" t="s">
        <v>44</v>
      </c>
      <c r="B2207" s="7" t="s">
        <v>964</v>
      </c>
      <c r="C2207" s="7" t="s">
        <v>46</v>
      </c>
      <c r="D2207" s="8">
        <v>44509</v>
      </c>
      <c r="E2207" s="8" t="s">
        <v>0</v>
      </c>
      <c r="F2207" s="16" t="s">
        <v>965</v>
      </c>
      <c r="G2207" s="7" t="s">
        <v>966</v>
      </c>
      <c r="H2207" s="7" t="s">
        <v>0</v>
      </c>
      <c r="I2207" s="7" t="s">
        <v>8037</v>
      </c>
      <c r="J2207" s="7" t="s">
        <v>8037</v>
      </c>
      <c r="K2207" s="7" t="s">
        <v>47</v>
      </c>
      <c r="L2207" s="7" t="s">
        <v>96</v>
      </c>
      <c r="M2207" s="7" t="s">
        <v>0</v>
      </c>
      <c r="N2207" s="7" t="s">
        <v>8036</v>
      </c>
      <c r="O2207" s="7" t="s">
        <v>0</v>
      </c>
      <c r="P2207" s="7" t="s">
        <v>962</v>
      </c>
      <c r="Q2207" s="7" t="s">
        <v>963</v>
      </c>
      <c r="R2207" s="7" t="s">
        <v>361</v>
      </c>
      <c r="S2207" s="7" t="s">
        <v>3926</v>
      </c>
      <c r="T2207" s="7" t="s">
        <v>54</v>
      </c>
      <c r="U2207" s="7" t="s">
        <v>1683</v>
      </c>
      <c r="V2207" s="7" t="s">
        <v>295</v>
      </c>
      <c r="W2207" s="7" t="s">
        <v>57</v>
      </c>
      <c r="X2207" s="7" t="s">
        <v>103</v>
      </c>
      <c r="Y2207" s="8">
        <v>44470</v>
      </c>
      <c r="Z2207" s="8">
        <v>44561</v>
      </c>
      <c r="AA2207" s="7" t="s">
        <v>1269</v>
      </c>
      <c r="AB2207" s="7" t="s">
        <v>1748</v>
      </c>
      <c r="AC2207" s="7" t="s">
        <v>278</v>
      </c>
      <c r="AD2207" s="7" t="s">
        <v>367</v>
      </c>
      <c r="AE2207" s="7" t="s">
        <v>82</v>
      </c>
      <c r="AF2207" s="7" t="s">
        <v>0</v>
      </c>
      <c r="AG2207" s="7" t="s">
        <v>0</v>
      </c>
      <c r="AH2207" s="9" t="s">
        <v>13262</v>
      </c>
      <c r="AI2207" s="9" t="s">
        <v>13263</v>
      </c>
      <c r="AJ2207" s="9" t="s">
        <v>13264</v>
      </c>
      <c r="AK2207" s="7" t="s">
        <v>61</v>
      </c>
      <c r="AL2207" s="7" t="s">
        <v>61</v>
      </c>
      <c r="AM2207" s="7" t="s">
        <v>0</v>
      </c>
      <c r="AN2207" s="7" t="s">
        <v>0</v>
      </c>
      <c r="AO2207" s="7" t="s">
        <v>0</v>
      </c>
      <c r="AP2207" s="7" t="s">
        <v>0</v>
      </c>
      <c r="AQ2207" s="7" t="s">
        <v>61</v>
      </c>
      <c r="AR2207" s="7" t="s">
        <v>0</v>
      </c>
      <c r="AS2207" s="10" t="str">
        <f>HYPERLINK("https://tessa.gazprom-neft.local/edo/card/5c0a3c31-1cc1-48ee-8996-27d6e5d9566e", "https://tessa.gazprom-neft.local/edo/card/5c0a3c31-1cc1-48ee-8996-27d6e5d9566e")</f>
        <v>https://tessa.gazprom-neft.local/edo/card/5c0a3c31-1cc1-48ee-8996-27d6e5d9566e</v>
      </c>
    </row>
    <row r="2208" spans="1:45" hidden="1" x14ac:dyDescent="0.25">
      <c r="A2208" s="6" t="s">
        <v>44</v>
      </c>
      <c r="B2208" s="7" t="s">
        <v>661</v>
      </c>
      <c r="C2208" s="7" t="s">
        <v>67</v>
      </c>
      <c r="D2208" s="8">
        <v>44509</v>
      </c>
      <c r="E2208" s="8" t="s">
        <v>0</v>
      </c>
      <c r="F2208" s="16" t="s">
        <v>662</v>
      </c>
      <c r="G2208" s="7" t="s">
        <v>663</v>
      </c>
      <c r="H2208" s="7" t="s">
        <v>1426</v>
      </c>
      <c r="I2208" s="7" t="s">
        <v>0</v>
      </c>
      <c r="J2208" s="7" t="s">
        <v>712</v>
      </c>
      <c r="K2208" s="7" t="s">
        <v>47</v>
      </c>
      <c r="L2208" s="7" t="s">
        <v>239</v>
      </c>
      <c r="M2208" s="7" t="s">
        <v>0</v>
      </c>
      <c r="N2208" s="7" t="s">
        <v>8345</v>
      </c>
      <c r="O2208" s="7" t="s">
        <v>0</v>
      </c>
      <c r="P2208" s="7" t="s">
        <v>8346</v>
      </c>
      <c r="Q2208" s="7" t="s">
        <v>8347</v>
      </c>
      <c r="R2208" s="7" t="s">
        <v>659</v>
      </c>
      <c r="S2208" s="7" t="s">
        <v>7188</v>
      </c>
      <c r="T2208" s="7" t="s">
        <v>54</v>
      </c>
      <c r="U2208" s="7" t="s">
        <v>283</v>
      </c>
      <c r="V2208" s="7" t="s">
        <v>102</v>
      </c>
      <c r="W2208" s="7" t="s">
        <v>57</v>
      </c>
      <c r="X2208" s="7" t="s">
        <v>103</v>
      </c>
      <c r="Y2208" s="8">
        <v>44509</v>
      </c>
      <c r="Z2208" s="8">
        <v>44926</v>
      </c>
      <c r="AA2208" s="7" t="s">
        <v>6296</v>
      </c>
      <c r="AB2208" s="7" t="s">
        <v>2425</v>
      </c>
      <c r="AC2208" s="7" t="s">
        <v>79</v>
      </c>
      <c r="AD2208" s="7" t="s">
        <v>144</v>
      </c>
      <c r="AE2208" s="7" t="s">
        <v>82</v>
      </c>
      <c r="AF2208" s="7" t="s">
        <v>0</v>
      </c>
      <c r="AG2208" s="7" t="s">
        <v>0</v>
      </c>
      <c r="AH2208" s="9" t="s">
        <v>13516</v>
      </c>
      <c r="AI2208" s="9" t="s">
        <v>13517</v>
      </c>
      <c r="AJ2208" s="9" t="s">
        <v>13518</v>
      </c>
      <c r="AK2208" s="7" t="s">
        <v>61</v>
      </c>
      <c r="AL2208" s="7" t="s">
        <v>61</v>
      </c>
      <c r="AM2208" s="7" t="s">
        <v>0</v>
      </c>
      <c r="AN2208" s="7" t="s">
        <v>0</v>
      </c>
      <c r="AO2208" s="7" t="s">
        <v>0</v>
      </c>
      <c r="AP2208" s="7" t="s">
        <v>0</v>
      </c>
      <c r="AQ2208" s="7" t="s">
        <v>61</v>
      </c>
      <c r="AR2208" s="7" t="s">
        <v>0</v>
      </c>
      <c r="AS2208" s="10" t="str">
        <f>HYPERLINK("https://tessa.gazprom-neft.local/edo/card/d213e5f5-4ba2-4c9a-9581-40ee535c4b6e", "https://tessa.gazprom-neft.local/edo/card/d213e5f5-4ba2-4c9a-9581-40ee535c4b6e")</f>
        <v>https://tessa.gazprom-neft.local/edo/card/d213e5f5-4ba2-4c9a-9581-40ee535c4b6e</v>
      </c>
    </row>
    <row r="2209" spans="1:45" hidden="1" x14ac:dyDescent="0.25">
      <c r="A2209" s="6" t="s">
        <v>44</v>
      </c>
      <c r="B2209" s="7" t="s">
        <v>971</v>
      </c>
      <c r="C2209" s="7" t="s">
        <v>67</v>
      </c>
      <c r="D2209" s="8">
        <v>44508</v>
      </c>
      <c r="E2209" s="8" t="s">
        <v>0</v>
      </c>
      <c r="F2209" s="16" t="s">
        <v>972</v>
      </c>
      <c r="G2209" s="7" t="s">
        <v>973</v>
      </c>
      <c r="H2209" s="7" t="s">
        <v>0</v>
      </c>
      <c r="I2209" s="7" t="s">
        <v>998</v>
      </c>
      <c r="J2209" s="7" t="s">
        <v>998</v>
      </c>
      <c r="K2209" s="7" t="s">
        <v>85</v>
      </c>
      <c r="L2209" s="7" t="s">
        <v>96</v>
      </c>
      <c r="M2209" s="7" t="s">
        <v>7089</v>
      </c>
      <c r="N2209" s="7" t="s">
        <v>8237</v>
      </c>
      <c r="O2209" s="7" t="s">
        <v>0</v>
      </c>
      <c r="P2209" s="7" t="s">
        <v>7089</v>
      </c>
      <c r="Q2209" s="7" t="s">
        <v>8238</v>
      </c>
      <c r="R2209" s="7" t="s">
        <v>4734</v>
      </c>
      <c r="S2209" s="7" t="s">
        <v>8239</v>
      </c>
      <c r="T2209" s="7" t="s">
        <v>54</v>
      </c>
      <c r="U2209" s="7" t="s">
        <v>4736</v>
      </c>
      <c r="V2209" s="7" t="s">
        <v>137</v>
      </c>
      <c r="W2209" s="7" t="s">
        <v>57</v>
      </c>
      <c r="X2209" s="7" t="s">
        <v>103</v>
      </c>
      <c r="Y2209" s="8">
        <v>44508</v>
      </c>
      <c r="Z2209" s="8">
        <v>45351</v>
      </c>
      <c r="AA2209" s="7" t="s">
        <v>0</v>
      </c>
      <c r="AB2209" s="7" t="s">
        <v>64</v>
      </c>
      <c r="AC2209" s="7" t="s">
        <v>79</v>
      </c>
      <c r="AD2209" s="7" t="s">
        <v>144</v>
      </c>
      <c r="AE2209" s="7" t="s">
        <v>82</v>
      </c>
      <c r="AF2209" s="7" t="s">
        <v>0</v>
      </c>
      <c r="AG2209" s="7" t="s">
        <v>0</v>
      </c>
      <c r="AH2209" s="9" t="s">
        <v>13486</v>
      </c>
      <c r="AI2209" s="9" t="s">
        <v>13487</v>
      </c>
      <c r="AJ2209" s="9" t="s">
        <v>13488</v>
      </c>
      <c r="AK2209" s="7" t="s">
        <v>61</v>
      </c>
      <c r="AL2209" s="7" t="s">
        <v>61</v>
      </c>
      <c r="AM2209" s="7" t="s">
        <v>0</v>
      </c>
      <c r="AN2209" s="7" t="s">
        <v>0</v>
      </c>
      <c r="AO2209" s="7" t="s">
        <v>0</v>
      </c>
      <c r="AP2209" s="7" t="s">
        <v>0</v>
      </c>
      <c r="AQ2209" s="7" t="s">
        <v>61</v>
      </c>
      <c r="AR2209" s="7" t="s">
        <v>0</v>
      </c>
      <c r="AS2209" s="10" t="str">
        <f>HYPERLINK("https://tessa.gazprom-neft.local/edo/card/e83ce196-29b8-4323-921a-23640a72a390", "https://tessa.gazprom-neft.local/edo/card/e83ce196-29b8-4323-921a-23640a72a390")</f>
        <v>https://tessa.gazprom-neft.local/edo/card/e83ce196-29b8-4323-921a-23640a72a390</v>
      </c>
    </row>
    <row r="2210" spans="1:45" hidden="1" x14ac:dyDescent="0.25">
      <c r="A2210" s="6" t="s">
        <v>44</v>
      </c>
      <c r="B2210" s="7" t="s">
        <v>0</v>
      </c>
      <c r="C2210" s="7" t="s">
        <v>67</v>
      </c>
      <c r="D2210" s="8">
        <v>44508</v>
      </c>
      <c r="E2210" s="8" t="s">
        <v>0</v>
      </c>
      <c r="F2210" s="16" t="s">
        <v>8286</v>
      </c>
      <c r="G2210" s="7" t="s">
        <v>0</v>
      </c>
      <c r="H2210" s="7" t="s">
        <v>0</v>
      </c>
      <c r="I2210" s="7" t="s">
        <v>2271</v>
      </c>
      <c r="J2210" s="7" t="s">
        <v>2271</v>
      </c>
      <c r="K2210" s="7" t="s">
        <v>85</v>
      </c>
      <c r="L2210" s="7" t="s">
        <v>96</v>
      </c>
      <c r="M2210" s="7" t="s">
        <v>8282</v>
      </c>
      <c r="N2210" s="7" t="s">
        <v>8283</v>
      </c>
      <c r="O2210" s="7" t="s">
        <v>0</v>
      </c>
      <c r="P2210" s="7" t="s">
        <v>8284</v>
      </c>
      <c r="Q2210" s="7" t="s">
        <v>8285</v>
      </c>
      <c r="R2210" s="7" t="s">
        <v>1434</v>
      </c>
      <c r="S2210" s="7" t="s">
        <v>6052</v>
      </c>
      <c r="T2210" s="7" t="s">
        <v>54</v>
      </c>
      <c r="U2210" s="7" t="s">
        <v>283</v>
      </c>
      <c r="V2210" s="7" t="s">
        <v>102</v>
      </c>
      <c r="W2210" s="7" t="s">
        <v>57</v>
      </c>
      <c r="X2210" s="7" t="s">
        <v>103</v>
      </c>
      <c r="Y2210" s="8">
        <v>44508</v>
      </c>
      <c r="Z2210" s="8">
        <v>45170</v>
      </c>
      <c r="AA2210" s="7" t="s">
        <v>6296</v>
      </c>
      <c r="AB2210" s="7" t="s">
        <v>6374</v>
      </c>
      <c r="AC2210" s="7" t="s">
        <v>79</v>
      </c>
      <c r="AD2210" s="7" t="s">
        <v>80</v>
      </c>
      <c r="AE2210" s="7" t="s">
        <v>82</v>
      </c>
      <c r="AF2210" s="7" t="s">
        <v>0</v>
      </c>
      <c r="AG2210" s="7" t="s">
        <v>0</v>
      </c>
      <c r="AH2210" s="9" t="s">
        <v>13504</v>
      </c>
      <c r="AI2210" s="9" t="s">
        <v>13505</v>
      </c>
      <c r="AJ2210" s="9" t="s">
        <v>13506</v>
      </c>
      <c r="AK2210" s="7" t="s">
        <v>61</v>
      </c>
      <c r="AL2210" s="7" t="s">
        <v>61</v>
      </c>
      <c r="AM2210" s="7" t="s">
        <v>0</v>
      </c>
      <c r="AN2210" s="7" t="s">
        <v>0</v>
      </c>
      <c r="AO2210" s="7" t="s">
        <v>0</v>
      </c>
      <c r="AP2210" s="7" t="s">
        <v>0</v>
      </c>
      <c r="AQ2210" s="7" t="s">
        <v>61</v>
      </c>
      <c r="AR2210" s="7" t="s">
        <v>0</v>
      </c>
      <c r="AS2210" s="10" t="str">
        <f>HYPERLINK("https://tessa.gazprom-neft.local/edo/card/9daf6625-75f3-4f6e-a750-fdcdf914a980", "https://tessa.gazprom-neft.local/edo/card/9daf6625-75f3-4f6e-a750-fdcdf914a980")</f>
        <v>https://tessa.gazprom-neft.local/edo/card/9daf6625-75f3-4f6e-a750-fdcdf914a980</v>
      </c>
    </row>
    <row r="2211" spans="1:45" hidden="1" x14ac:dyDescent="0.25">
      <c r="A2211" s="6" t="s">
        <v>44</v>
      </c>
      <c r="B2211" s="7" t="s">
        <v>284</v>
      </c>
      <c r="C2211" s="7" t="s">
        <v>67</v>
      </c>
      <c r="D2211" s="8">
        <v>44508</v>
      </c>
      <c r="E2211" s="8" t="s">
        <v>0</v>
      </c>
      <c r="F2211" s="16" t="s">
        <v>2663</v>
      </c>
      <c r="G2211" s="7" t="s">
        <v>286</v>
      </c>
      <c r="H2211" s="7" t="s">
        <v>0</v>
      </c>
      <c r="I2211" s="7" t="s">
        <v>770</v>
      </c>
      <c r="J2211" s="7" t="s">
        <v>770</v>
      </c>
      <c r="K2211" s="7" t="s">
        <v>85</v>
      </c>
      <c r="L2211" s="7" t="s">
        <v>96</v>
      </c>
      <c r="M2211" s="7" t="s">
        <v>1749</v>
      </c>
      <c r="N2211" s="7" t="s">
        <v>8341</v>
      </c>
      <c r="O2211" s="7" t="s">
        <v>0</v>
      </c>
      <c r="P2211" s="7" t="s">
        <v>8342</v>
      </c>
      <c r="Q2211" s="7" t="s">
        <v>8343</v>
      </c>
      <c r="R2211" s="7" t="s">
        <v>1441</v>
      </c>
      <c r="S2211" s="7" t="s">
        <v>8344</v>
      </c>
      <c r="T2211" s="7" t="s">
        <v>54</v>
      </c>
      <c r="U2211" s="7" t="s">
        <v>210</v>
      </c>
      <c r="V2211" s="7" t="s">
        <v>211</v>
      </c>
      <c r="W2211" s="7" t="s">
        <v>57</v>
      </c>
      <c r="X2211" s="7" t="s">
        <v>103</v>
      </c>
      <c r="Y2211" s="8">
        <v>44508</v>
      </c>
      <c r="Z2211" s="8">
        <v>45657</v>
      </c>
      <c r="AA2211" s="7" t="s">
        <v>0</v>
      </c>
      <c r="AB2211" s="7" t="s">
        <v>423</v>
      </c>
      <c r="AC2211" s="7" t="s">
        <v>79</v>
      </c>
      <c r="AD2211" s="7" t="s">
        <v>144</v>
      </c>
      <c r="AE2211" s="7" t="s">
        <v>82</v>
      </c>
      <c r="AF2211" s="7" t="s">
        <v>0</v>
      </c>
      <c r="AG2211" s="7" t="s">
        <v>0</v>
      </c>
      <c r="AH2211" s="9" t="s">
        <v>13513</v>
      </c>
      <c r="AI2211" s="9" t="s">
        <v>13514</v>
      </c>
      <c r="AJ2211" s="9" t="s">
        <v>13515</v>
      </c>
      <c r="AK2211" s="7" t="s">
        <v>61</v>
      </c>
      <c r="AL2211" s="7" t="s">
        <v>61</v>
      </c>
      <c r="AM2211" s="7" t="s">
        <v>0</v>
      </c>
      <c r="AN2211" s="7" t="s">
        <v>0</v>
      </c>
      <c r="AO2211" s="7" t="s">
        <v>0</v>
      </c>
      <c r="AP2211" s="7" t="s">
        <v>0</v>
      </c>
      <c r="AQ2211" s="7" t="s">
        <v>61</v>
      </c>
      <c r="AR2211" s="7" t="s">
        <v>0</v>
      </c>
      <c r="AS2211" s="10" t="str">
        <f>HYPERLINK("https://tessa.gazprom-neft.local/edo/card/62f4c27e-ce9c-44b9-a80e-0f40e5daf528", "https://tessa.gazprom-neft.local/edo/card/62f4c27e-ce9c-44b9-a80e-0f40e5daf528")</f>
        <v>https://tessa.gazprom-neft.local/edo/card/62f4c27e-ce9c-44b9-a80e-0f40e5daf528</v>
      </c>
    </row>
    <row r="2212" spans="1:45" x14ac:dyDescent="0.25">
      <c r="A2212" s="6" t="s">
        <v>44</v>
      </c>
      <c r="B2212" s="7" t="s">
        <v>436</v>
      </c>
      <c r="C2212" s="7" t="s">
        <v>67</v>
      </c>
      <c r="D2212" s="8">
        <v>44508</v>
      </c>
      <c r="E2212" s="8" t="s">
        <v>0</v>
      </c>
      <c r="F2212" s="16" t="s">
        <v>437</v>
      </c>
      <c r="G2212" s="7" t="s">
        <v>438</v>
      </c>
      <c r="H2212" s="7" t="s">
        <v>6281</v>
      </c>
      <c r="I2212" s="7" t="s">
        <v>0</v>
      </c>
      <c r="J2212" s="7" t="s">
        <v>8372</v>
      </c>
      <c r="K2212" s="7" t="s">
        <v>47</v>
      </c>
      <c r="L2212" s="7" t="s">
        <v>48</v>
      </c>
      <c r="M2212" s="7" t="s">
        <v>0</v>
      </c>
      <c r="N2212" s="7" t="s">
        <v>8370</v>
      </c>
      <c r="O2212" s="7" t="s">
        <v>0</v>
      </c>
      <c r="P2212" s="7" t="s">
        <v>8371</v>
      </c>
      <c r="Q2212" s="7" t="s">
        <v>8373</v>
      </c>
      <c r="R2212" s="7" t="s">
        <v>110</v>
      </c>
      <c r="S2212" s="7" t="s">
        <v>0</v>
      </c>
      <c r="T2212" s="7" t="s">
        <v>54</v>
      </c>
      <c r="U2212" s="7" t="s">
        <v>111</v>
      </c>
      <c r="V2212" s="7" t="s">
        <v>137</v>
      </c>
      <c r="W2212" s="7" t="s">
        <v>57</v>
      </c>
      <c r="X2212" s="7" t="s">
        <v>58</v>
      </c>
      <c r="Y2212" s="8">
        <v>44508</v>
      </c>
      <c r="Z2212" s="8" t="s">
        <v>0</v>
      </c>
      <c r="AA2212" s="7" t="s">
        <v>0</v>
      </c>
      <c r="AB2212" s="7" t="s">
        <v>161</v>
      </c>
      <c r="AC2212" s="7" t="s">
        <v>65</v>
      </c>
      <c r="AD2212" s="7" t="s">
        <v>367</v>
      </c>
      <c r="AE2212" s="7" t="s">
        <v>0</v>
      </c>
      <c r="AF2212" s="7" t="s">
        <v>0</v>
      </c>
      <c r="AG2212" s="7" t="s">
        <v>0</v>
      </c>
      <c r="AH2212" s="9" t="s">
        <v>0</v>
      </c>
      <c r="AI2212" s="9" t="s">
        <v>0</v>
      </c>
      <c r="AJ2212" s="9" t="s">
        <v>0</v>
      </c>
      <c r="AK2212" s="7" t="s">
        <v>61</v>
      </c>
      <c r="AL2212" s="7" t="s">
        <v>61</v>
      </c>
      <c r="AM2212" s="7" t="s">
        <v>0</v>
      </c>
      <c r="AN2212" s="7" t="s">
        <v>0</v>
      </c>
      <c r="AO2212" s="7" t="s">
        <v>0</v>
      </c>
      <c r="AP2212" s="7" t="s">
        <v>0</v>
      </c>
      <c r="AQ2212" s="7" t="s">
        <v>61</v>
      </c>
      <c r="AR2212" s="7" t="s">
        <v>0</v>
      </c>
      <c r="AS2212" s="10" t="str">
        <f>HYPERLINK("https://tessa.gazprom-neft.local/edo/card/8a32d379-7210-4fc2-80d9-e47da97c34fb", "https://tessa.gazprom-neft.local/edo/card/8a32d379-7210-4fc2-80d9-e47da97c34fb")</f>
        <v>https://tessa.gazprom-neft.local/edo/card/8a32d379-7210-4fc2-80d9-e47da97c34fb</v>
      </c>
    </row>
    <row r="2213" spans="1:45" hidden="1" x14ac:dyDescent="0.25">
      <c r="A2213" s="6" t="s">
        <v>44</v>
      </c>
      <c r="B2213" s="7" t="s">
        <v>284</v>
      </c>
      <c r="C2213" s="7" t="s">
        <v>67</v>
      </c>
      <c r="D2213" s="8">
        <v>44508</v>
      </c>
      <c r="E2213" s="8" t="s">
        <v>0</v>
      </c>
      <c r="F2213" s="16" t="s">
        <v>2663</v>
      </c>
      <c r="G2213" s="7" t="s">
        <v>286</v>
      </c>
      <c r="H2213" s="7" t="s">
        <v>0</v>
      </c>
      <c r="I2213" s="7" t="s">
        <v>8477</v>
      </c>
      <c r="J2213" s="7" t="s">
        <v>8477</v>
      </c>
      <c r="K2213" s="7" t="s">
        <v>85</v>
      </c>
      <c r="L2213" s="7" t="s">
        <v>86</v>
      </c>
      <c r="M2213" s="7" t="s">
        <v>5706</v>
      </c>
      <c r="N2213" s="7" t="s">
        <v>8476</v>
      </c>
      <c r="O2213" s="7" t="s">
        <v>0</v>
      </c>
      <c r="P2213" s="7" t="s">
        <v>5706</v>
      </c>
      <c r="Q2213" s="7" t="s">
        <v>7723</v>
      </c>
      <c r="R2213" s="7" t="s">
        <v>1441</v>
      </c>
      <c r="S2213" s="7" t="s">
        <v>0</v>
      </c>
      <c r="T2213" s="7" t="s">
        <v>54</v>
      </c>
      <c r="U2213" s="7" t="s">
        <v>210</v>
      </c>
      <c r="V2213" s="7" t="s">
        <v>211</v>
      </c>
      <c r="W2213" s="7" t="s">
        <v>57</v>
      </c>
      <c r="X2213" s="7" t="s">
        <v>58</v>
      </c>
      <c r="Y2213" s="8">
        <v>44508</v>
      </c>
      <c r="Z2213" s="8" t="s">
        <v>0</v>
      </c>
      <c r="AA2213" s="7" t="s">
        <v>0</v>
      </c>
      <c r="AB2213" s="7" t="s">
        <v>328</v>
      </c>
      <c r="AC2213" s="7" t="s">
        <v>65</v>
      </c>
      <c r="AD2213" s="7" t="s">
        <v>0</v>
      </c>
      <c r="AE2213" s="7" t="s">
        <v>0</v>
      </c>
      <c r="AF2213" s="7" t="s">
        <v>0</v>
      </c>
      <c r="AG2213" s="7" t="s">
        <v>0</v>
      </c>
      <c r="AH2213" s="9" t="s">
        <v>0</v>
      </c>
      <c r="AI2213" s="9" t="s">
        <v>0</v>
      </c>
      <c r="AJ2213" s="9" t="s">
        <v>0</v>
      </c>
      <c r="AK2213" s="7" t="s">
        <v>61</v>
      </c>
      <c r="AL2213" s="7" t="s">
        <v>61</v>
      </c>
      <c r="AM2213" s="7" t="s">
        <v>0</v>
      </c>
      <c r="AN2213" s="7" t="s">
        <v>0</v>
      </c>
      <c r="AO2213" s="7" t="s">
        <v>0</v>
      </c>
      <c r="AP2213" s="7" t="s">
        <v>0</v>
      </c>
      <c r="AQ2213" s="7" t="s">
        <v>61</v>
      </c>
      <c r="AR2213" s="7" t="s">
        <v>0</v>
      </c>
      <c r="AS2213" s="10" t="str">
        <f>HYPERLINK("https://tessa.gazprom-neft.local/edo/card/06136fe6-c2e9-4137-9128-d42bb18b5dd8", "https://tessa.gazprom-neft.local/edo/card/06136fe6-c2e9-4137-9128-d42bb18b5dd8")</f>
        <v>https://tessa.gazprom-neft.local/edo/card/06136fe6-c2e9-4137-9128-d42bb18b5dd8</v>
      </c>
    </row>
    <row r="2214" spans="1:45" hidden="1" x14ac:dyDescent="0.25">
      <c r="A2214" s="6" t="s">
        <v>44</v>
      </c>
      <c r="B2214" s="7" t="s">
        <v>0</v>
      </c>
      <c r="C2214" s="7" t="s">
        <v>67</v>
      </c>
      <c r="D2214" s="8">
        <v>44508</v>
      </c>
      <c r="E2214" s="8" t="s">
        <v>0</v>
      </c>
      <c r="F2214" s="16" t="s">
        <v>8537</v>
      </c>
      <c r="G2214" s="7" t="s">
        <v>0</v>
      </c>
      <c r="H2214" s="7" t="s">
        <v>0</v>
      </c>
      <c r="I2214" s="7" t="s">
        <v>684</v>
      </c>
      <c r="J2214" s="7" t="s">
        <v>684</v>
      </c>
      <c r="K2214" s="7" t="s">
        <v>85</v>
      </c>
      <c r="L2214" s="7" t="s">
        <v>96</v>
      </c>
      <c r="M2214" s="7" t="s">
        <v>8533</v>
      </c>
      <c r="N2214" s="7" t="s">
        <v>8534</v>
      </c>
      <c r="O2214" s="7" t="s">
        <v>0</v>
      </c>
      <c r="P2214" s="7" t="s">
        <v>8535</v>
      </c>
      <c r="Q2214" s="7" t="s">
        <v>8536</v>
      </c>
      <c r="R2214" s="7" t="s">
        <v>1441</v>
      </c>
      <c r="S2214" s="7" t="s">
        <v>209</v>
      </c>
      <c r="T2214" s="7" t="s">
        <v>54</v>
      </c>
      <c r="U2214" s="7" t="s">
        <v>210</v>
      </c>
      <c r="V2214" s="7" t="s">
        <v>211</v>
      </c>
      <c r="W2214" s="7" t="s">
        <v>57</v>
      </c>
      <c r="X2214" s="7" t="s">
        <v>103</v>
      </c>
      <c r="Y2214" s="8">
        <v>44508</v>
      </c>
      <c r="Z2214" s="8">
        <v>45747</v>
      </c>
      <c r="AA2214" s="7" t="s">
        <v>0</v>
      </c>
      <c r="AB2214" s="7" t="s">
        <v>690</v>
      </c>
      <c r="AC2214" s="7" t="s">
        <v>79</v>
      </c>
      <c r="AD2214" s="7" t="s">
        <v>80</v>
      </c>
      <c r="AE2214" s="7" t="s">
        <v>82</v>
      </c>
      <c r="AF2214" s="7" t="s">
        <v>0</v>
      </c>
      <c r="AG2214" s="7" t="s">
        <v>0</v>
      </c>
      <c r="AH2214" s="9" t="s">
        <v>13588</v>
      </c>
      <c r="AI2214" s="9" t="s">
        <v>13589</v>
      </c>
      <c r="AJ2214" s="9" t="s">
        <v>13590</v>
      </c>
      <c r="AK2214" s="7" t="s">
        <v>61</v>
      </c>
      <c r="AL2214" s="7" t="s">
        <v>61</v>
      </c>
      <c r="AM2214" s="7" t="s">
        <v>0</v>
      </c>
      <c r="AN2214" s="7" t="s">
        <v>0</v>
      </c>
      <c r="AO2214" s="7" t="s">
        <v>0</v>
      </c>
      <c r="AP2214" s="7" t="s">
        <v>0</v>
      </c>
      <c r="AQ2214" s="7" t="s">
        <v>61</v>
      </c>
      <c r="AR2214" s="7" t="s">
        <v>0</v>
      </c>
      <c r="AS2214" s="10" t="str">
        <f>HYPERLINK("https://tessa.gazprom-neft.local/edo/card/e6bc8887-abb5-4d19-8b96-f5c02b444126", "https://tessa.gazprom-neft.local/edo/card/e6bc8887-abb5-4d19-8b96-f5c02b444126")</f>
        <v>https://tessa.gazprom-neft.local/edo/card/e6bc8887-abb5-4d19-8b96-f5c02b444126</v>
      </c>
    </row>
    <row r="2215" spans="1:45" hidden="1" x14ac:dyDescent="0.25">
      <c r="A2215" s="6" t="s">
        <v>44</v>
      </c>
      <c r="B2215" s="7" t="s">
        <v>0</v>
      </c>
      <c r="C2215" s="7" t="s">
        <v>67</v>
      </c>
      <c r="D2215" s="8">
        <v>44508</v>
      </c>
      <c r="E2215" s="8" t="s">
        <v>0</v>
      </c>
      <c r="F2215" s="16" t="s">
        <v>8686</v>
      </c>
      <c r="G2215" s="7" t="s">
        <v>0</v>
      </c>
      <c r="H2215" s="7" t="s">
        <v>0</v>
      </c>
      <c r="I2215" s="7" t="s">
        <v>2459</v>
      </c>
      <c r="J2215" s="7" t="s">
        <v>2459</v>
      </c>
      <c r="K2215" s="7" t="s">
        <v>85</v>
      </c>
      <c r="L2215" s="7" t="s">
        <v>96</v>
      </c>
      <c r="M2215" s="7" t="s">
        <v>8533</v>
      </c>
      <c r="N2215" s="7" t="s">
        <v>8684</v>
      </c>
      <c r="O2215" s="7" t="s">
        <v>0</v>
      </c>
      <c r="P2215" s="7" t="s">
        <v>8533</v>
      </c>
      <c r="Q2215" s="7" t="s">
        <v>8685</v>
      </c>
      <c r="R2215" s="7" t="s">
        <v>1441</v>
      </c>
      <c r="S2215" s="7" t="s">
        <v>8344</v>
      </c>
      <c r="T2215" s="7" t="s">
        <v>54</v>
      </c>
      <c r="U2215" s="7" t="s">
        <v>210</v>
      </c>
      <c r="V2215" s="7" t="s">
        <v>211</v>
      </c>
      <c r="W2215" s="7" t="s">
        <v>57</v>
      </c>
      <c r="X2215" s="7" t="s">
        <v>103</v>
      </c>
      <c r="Y2215" s="8">
        <v>44508</v>
      </c>
      <c r="Z2215" s="8">
        <v>45808</v>
      </c>
      <c r="AA2215" s="7" t="s">
        <v>0</v>
      </c>
      <c r="AB2215" s="7" t="s">
        <v>690</v>
      </c>
      <c r="AC2215" s="7" t="s">
        <v>79</v>
      </c>
      <c r="AD2215" s="7" t="s">
        <v>80</v>
      </c>
      <c r="AE2215" s="7" t="s">
        <v>82</v>
      </c>
      <c r="AF2215" s="7" t="s">
        <v>0</v>
      </c>
      <c r="AG2215" s="7" t="s">
        <v>0</v>
      </c>
      <c r="AH2215" s="9" t="s">
        <v>13647</v>
      </c>
      <c r="AI2215" s="9" t="s">
        <v>13648</v>
      </c>
      <c r="AJ2215" s="9" t="s">
        <v>13649</v>
      </c>
      <c r="AK2215" s="7" t="s">
        <v>61</v>
      </c>
      <c r="AL2215" s="7" t="s">
        <v>61</v>
      </c>
      <c r="AM2215" s="7" t="s">
        <v>0</v>
      </c>
      <c r="AN2215" s="7" t="s">
        <v>0</v>
      </c>
      <c r="AO2215" s="7" t="s">
        <v>0</v>
      </c>
      <c r="AP2215" s="7" t="s">
        <v>0</v>
      </c>
      <c r="AQ2215" s="7" t="s">
        <v>61</v>
      </c>
      <c r="AR2215" s="7" t="s">
        <v>0</v>
      </c>
      <c r="AS2215" s="10" t="str">
        <f>HYPERLINK("https://tessa.gazprom-neft.local/edo/card/33825a3b-bb95-47a1-959a-b68ce518aba0", "https://tessa.gazprom-neft.local/edo/card/33825a3b-bb95-47a1-959a-b68ce518aba0")</f>
        <v>https://tessa.gazprom-neft.local/edo/card/33825a3b-bb95-47a1-959a-b68ce518aba0</v>
      </c>
    </row>
    <row r="2216" spans="1:45" hidden="1" x14ac:dyDescent="0.25">
      <c r="A2216" s="6" t="s">
        <v>44</v>
      </c>
      <c r="B2216" s="7" t="s">
        <v>971</v>
      </c>
      <c r="C2216" s="7" t="s">
        <v>67</v>
      </c>
      <c r="D2216" s="8">
        <v>44508</v>
      </c>
      <c r="E2216" s="8" t="s">
        <v>0</v>
      </c>
      <c r="F2216" s="16" t="s">
        <v>972</v>
      </c>
      <c r="G2216" s="7" t="s">
        <v>973</v>
      </c>
      <c r="H2216" s="7" t="s">
        <v>0</v>
      </c>
      <c r="I2216" s="7" t="s">
        <v>9061</v>
      </c>
      <c r="J2216" s="7" t="s">
        <v>9061</v>
      </c>
      <c r="K2216" s="7" t="s">
        <v>85</v>
      </c>
      <c r="L2216" s="7" t="s">
        <v>86</v>
      </c>
      <c r="M2216" s="7" t="s">
        <v>83</v>
      </c>
      <c r="N2216" s="7" t="s">
        <v>9060</v>
      </c>
      <c r="O2216" s="7" t="s">
        <v>0</v>
      </c>
      <c r="P2216" s="7" t="s">
        <v>83</v>
      </c>
      <c r="Q2216" s="7" t="s">
        <v>9047</v>
      </c>
      <c r="R2216" s="7" t="s">
        <v>513</v>
      </c>
      <c r="S2216" s="7" t="s">
        <v>513</v>
      </c>
      <c r="T2216" s="7" t="s">
        <v>54</v>
      </c>
      <c r="U2216" s="7" t="s">
        <v>303</v>
      </c>
      <c r="V2216" s="7" t="s">
        <v>91</v>
      </c>
      <c r="W2216" s="7" t="s">
        <v>57</v>
      </c>
      <c r="X2216" s="7" t="s">
        <v>103</v>
      </c>
      <c r="Y2216" s="8">
        <v>44508</v>
      </c>
      <c r="Z2216" s="8">
        <v>45351</v>
      </c>
      <c r="AA2216" s="7" t="s">
        <v>7093</v>
      </c>
      <c r="AB2216" s="7" t="s">
        <v>94</v>
      </c>
      <c r="AC2216" s="7" t="s">
        <v>65</v>
      </c>
      <c r="AD2216" s="7" t="s">
        <v>0</v>
      </c>
      <c r="AE2216" s="7" t="s">
        <v>0</v>
      </c>
      <c r="AF2216" s="7" t="s">
        <v>0</v>
      </c>
      <c r="AG2216" s="7" t="s">
        <v>0</v>
      </c>
      <c r="AH2216" s="9" t="s">
        <v>0</v>
      </c>
      <c r="AI2216" s="9" t="s">
        <v>0</v>
      </c>
      <c r="AJ2216" s="9" t="s">
        <v>0</v>
      </c>
      <c r="AK2216" s="7" t="s">
        <v>61</v>
      </c>
      <c r="AL2216" s="7" t="s">
        <v>61</v>
      </c>
      <c r="AM2216" s="7" t="s">
        <v>0</v>
      </c>
      <c r="AN2216" s="7" t="s">
        <v>0</v>
      </c>
      <c r="AO2216" s="7" t="s">
        <v>0</v>
      </c>
      <c r="AP2216" s="7" t="s">
        <v>0</v>
      </c>
      <c r="AQ2216" s="7" t="s">
        <v>61</v>
      </c>
      <c r="AR2216" s="7" t="s">
        <v>0</v>
      </c>
      <c r="AS2216" s="10" t="str">
        <f>HYPERLINK("https://tessa.gazprom-neft.local/edo/card/9436395c-6200-4ee7-afc3-3e6fffe90022", "https://tessa.gazprom-neft.local/edo/card/9436395c-6200-4ee7-afc3-3e6fffe90022")</f>
        <v>https://tessa.gazprom-neft.local/edo/card/9436395c-6200-4ee7-afc3-3e6fffe90022</v>
      </c>
    </row>
    <row r="2217" spans="1:45" hidden="1" x14ac:dyDescent="0.25">
      <c r="A2217" s="6" t="s">
        <v>44</v>
      </c>
      <c r="B2217" s="7" t="s">
        <v>971</v>
      </c>
      <c r="C2217" s="7" t="s">
        <v>67</v>
      </c>
      <c r="D2217" s="8">
        <v>44508</v>
      </c>
      <c r="E2217" s="8" t="s">
        <v>0</v>
      </c>
      <c r="F2217" s="16" t="s">
        <v>972</v>
      </c>
      <c r="G2217" s="7" t="s">
        <v>973</v>
      </c>
      <c r="H2217" s="7" t="s">
        <v>0</v>
      </c>
      <c r="I2217" s="7" t="s">
        <v>9067</v>
      </c>
      <c r="J2217" s="7" t="s">
        <v>9067</v>
      </c>
      <c r="K2217" s="7" t="s">
        <v>47</v>
      </c>
      <c r="L2217" s="7" t="s">
        <v>96</v>
      </c>
      <c r="M2217" s="7" t="s">
        <v>0</v>
      </c>
      <c r="N2217" s="7" t="s">
        <v>9066</v>
      </c>
      <c r="O2217" s="7" t="s">
        <v>0</v>
      </c>
      <c r="P2217" s="7" t="s">
        <v>9054</v>
      </c>
      <c r="Q2217" s="7" t="s">
        <v>2686</v>
      </c>
      <c r="R2217" s="7" t="s">
        <v>513</v>
      </c>
      <c r="S2217" s="7" t="s">
        <v>513</v>
      </c>
      <c r="T2217" s="7" t="s">
        <v>54</v>
      </c>
      <c r="U2217" s="7" t="s">
        <v>303</v>
      </c>
      <c r="V2217" s="7" t="s">
        <v>91</v>
      </c>
      <c r="W2217" s="7" t="s">
        <v>57</v>
      </c>
      <c r="X2217" s="7" t="s">
        <v>103</v>
      </c>
      <c r="Y2217" s="8">
        <v>44508</v>
      </c>
      <c r="Z2217" s="8">
        <v>45351</v>
      </c>
      <c r="AA2217" s="7" t="s">
        <v>7093</v>
      </c>
      <c r="AB2217" s="7" t="s">
        <v>5049</v>
      </c>
      <c r="AC2217" s="7" t="s">
        <v>65</v>
      </c>
      <c r="AD2217" s="7" t="s">
        <v>0</v>
      </c>
      <c r="AE2217" s="7" t="s">
        <v>0</v>
      </c>
      <c r="AF2217" s="7" t="s">
        <v>0</v>
      </c>
      <c r="AG2217" s="7" t="s">
        <v>0</v>
      </c>
      <c r="AH2217" s="9" t="s">
        <v>0</v>
      </c>
      <c r="AI2217" s="9" t="s">
        <v>0</v>
      </c>
      <c r="AJ2217" s="9" t="s">
        <v>0</v>
      </c>
      <c r="AK2217" s="7" t="s">
        <v>61</v>
      </c>
      <c r="AL2217" s="7" t="s">
        <v>61</v>
      </c>
      <c r="AM2217" s="7" t="s">
        <v>0</v>
      </c>
      <c r="AN2217" s="7" t="s">
        <v>0</v>
      </c>
      <c r="AO2217" s="7" t="s">
        <v>0</v>
      </c>
      <c r="AP2217" s="7" t="s">
        <v>0</v>
      </c>
      <c r="AQ2217" s="7" t="s">
        <v>61</v>
      </c>
      <c r="AR2217" s="7" t="s">
        <v>0</v>
      </c>
      <c r="AS2217" s="10" t="str">
        <f>HYPERLINK("https://tessa.gazprom-neft.local/edo/card/73610e8f-3faa-407a-b6f4-ab34640249a9", "https://tessa.gazprom-neft.local/edo/card/73610e8f-3faa-407a-b6f4-ab34640249a9")</f>
        <v>https://tessa.gazprom-neft.local/edo/card/73610e8f-3faa-407a-b6f4-ab34640249a9</v>
      </c>
    </row>
    <row r="2218" spans="1:45" hidden="1" x14ac:dyDescent="0.25">
      <c r="A2218" s="6" t="s">
        <v>44</v>
      </c>
      <c r="B2218" s="7" t="s">
        <v>3574</v>
      </c>
      <c r="C2218" s="7" t="s">
        <v>46</v>
      </c>
      <c r="D2218" s="8">
        <v>44501</v>
      </c>
      <c r="E2218" s="8" t="s">
        <v>0</v>
      </c>
      <c r="F2218" s="16" t="s">
        <v>3575</v>
      </c>
      <c r="G2218" s="7" t="s">
        <v>3576</v>
      </c>
      <c r="H2218" s="7" t="s">
        <v>0</v>
      </c>
      <c r="I2218" s="7" t="s">
        <v>7940</v>
      </c>
      <c r="J2218" s="7" t="s">
        <v>7940</v>
      </c>
      <c r="K2218" s="7" t="s">
        <v>47</v>
      </c>
      <c r="L2218" s="7" t="s">
        <v>86</v>
      </c>
      <c r="M2218" s="7" t="s">
        <v>0</v>
      </c>
      <c r="N2218" s="7" t="s">
        <v>7939</v>
      </c>
      <c r="O2218" s="7" t="s">
        <v>0</v>
      </c>
      <c r="P2218" s="7" t="s">
        <v>1689</v>
      </c>
      <c r="Q2218" s="7" t="s">
        <v>7941</v>
      </c>
      <c r="R2218" s="7" t="s">
        <v>604</v>
      </c>
      <c r="S2218" s="7" t="s">
        <v>604</v>
      </c>
      <c r="T2218" s="7" t="s">
        <v>54</v>
      </c>
      <c r="U2218" s="7" t="s">
        <v>605</v>
      </c>
      <c r="V2218" s="7" t="s">
        <v>382</v>
      </c>
      <c r="W2218" s="7" t="s">
        <v>57</v>
      </c>
      <c r="X2218" s="7" t="s">
        <v>103</v>
      </c>
      <c r="Y2218" s="8">
        <v>44501</v>
      </c>
      <c r="Z2218" s="8">
        <v>44651</v>
      </c>
      <c r="AA2218" s="7" t="s">
        <v>1656</v>
      </c>
      <c r="AB2218" s="7" t="s">
        <v>888</v>
      </c>
      <c r="AC2218" s="7" t="s">
        <v>79</v>
      </c>
      <c r="AD2218" s="7" t="s">
        <v>80</v>
      </c>
      <c r="AE2218" s="7" t="s">
        <v>889</v>
      </c>
      <c r="AF2218" s="7" t="s">
        <v>0</v>
      </c>
      <c r="AG2218" s="7" t="s">
        <v>0</v>
      </c>
      <c r="AH2218" s="9">
        <v>732.22</v>
      </c>
      <c r="AI2218" s="9">
        <v>732.22</v>
      </c>
      <c r="AJ2218" s="9">
        <v>0</v>
      </c>
      <c r="AK2218" s="7" t="s">
        <v>61</v>
      </c>
      <c r="AL2218" s="7" t="s">
        <v>61</v>
      </c>
      <c r="AM2218" s="7" t="s">
        <v>0</v>
      </c>
      <c r="AN2218" s="7" t="s">
        <v>0</v>
      </c>
      <c r="AO2218" s="7" t="s">
        <v>0</v>
      </c>
      <c r="AP2218" s="7" t="s">
        <v>0</v>
      </c>
      <c r="AQ2218" s="7" t="s">
        <v>61</v>
      </c>
      <c r="AR2218" s="7" t="s">
        <v>0</v>
      </c>
      <c r="AS2218" s="10" t="str">
        <f>HYPERLINK("https://tessa.gazprom-neft.local/edo/card/a38e4558-90fb-4392-ba15-ccca9b383adc", "https://tessa.gazprom-neft.local/edo/card/a38e4558-90fb-4392-ba15-ccca9b383adc")</f>
        <v>https://tessa.gazprom-neft.local/edo/card/a38e4558-90fb-4392-ba15-ccca9b383adc</v>
      </c>
    </row>
    <row r="2219" spans="1:45" hidden="1" x14ac:dyDescent="0.25">
      <c r="A2219" s="6" t="s">
        <v>44</v>
      </c>
      <c r="B2219" s="7" t="s">
        <v>3574</v>
      </c>
      <c r="C2219" s="7" t="s">
        <v>46</v>
      </c>
      <c r="D2219" s="8">
        <v>44501</v>
      </c>
      <c r="E2219" s="8" t="s">
        <v>0</v>
      </c>
      <c r="F2219" s="16" t="s">
        <v>3575</v>
      </c>
      <c r="G2219" s="7" t="s">
        <v>3576</v>
      </c>
      <c r="H2219" s="7" t="s">
        <v>0</v>
      </c>
      <c r="I2219" s="7" t="s">
        <v>7948</v>
      </c>
      <c r="J2219" s="7" t="s">
        <v>7948</v>
      </c>
      <c r="K2219" s="7" t="s">
        <v>47</v>
      </c>
      <c r="L2219" s="7" t="s">
        <v>86</v>
      </c>
      <c r="M2219" s="7" t="s">
        <v>0</v>
      </c>
      <c r="N2219" s="7" t="s">
        <v>7947</v>
      </c>
      <c r="O2219" s="7" t="s">
        <v>0</v>
      </c>
      <c r="P2219" s="7" t="s">
        <v>7949</v>
      </c>
      <c r="Q2219" s="7" t="s">
        <v>7950</v>
      </c>
      <c r="R2219" s="7" t="s">
        <v>604</v>
      </c>
      <c r="S2219" s="7" t="s">
        <v>604</v>
      </c>
      <c r="T2219" s="7" t="s">
        <v>54</v>
      </c>
      <c r="U2219" s="7" t="s">
        <v>605</v>
      </c>
      <c r="V2219" s="7" t="s">
        <v>382</v>
      </c>
      <c r="W2219" s="7" t="s">
        <v>57</v>
      </c>
      <c r="X2219" s="7" t="s">
        <v>103</v>
      </c>
      <c r="Y2219" s="8">
        <v>44501</v>
      </c>
      <c r="Z2219" s="8">
        <v>44651</v>
      </c>
      <c r="AA2219" s="7" t="s">
        <v>1656</v>
      </c>
      <c r="AB2219" s="7" t="s">
        <v>888</v>
      </c>
      <c r="AC2219" s="7" t="s">
        <v>79</v>
      </c>
      <c r="AD2219" s="7" t="s">
        <v>80</v>
      </c>
      <c r="AE2219" s="7" t="s">
        <v>889</v>
      </c>
      <c r="AF2219" s="7" t="s">
        <v>0</v>
      </c>
      <c r="AG2219" s="7" t="s">
        <v>0</v>
      </c>
      <c r="AH2219" s="9" t="s">
        <v>13375</v>
      </c>
      <c r="AI2219" s="9" t="s">
        <v>13375</v>
      </c>
      <c r="AJ2219" s="9">
        <v>0</v>
      </c>
      <c r="AK2219" s="7" t="s">
        <v>61</v>
      </c>
      <c r="AL2219" s="7" t="s">
        <v>61</v>
      </c>
      <c r="AM2219" s="7" t="s">
        <v>0</v>
      </c>
      <c r="AN2219" s="7" t="s">
        <v>0</v>
      </c>
      <c r="AO2219" s="7" t="s">
        <v>0</v>
      </c>
      <c r="AP2219" s="7" t="s">
        <v>0</v>
      </c>
      <c r="AQ2219" s="7" t="s">
        <v>61</v>
      </c>
      <c r="AR2219" s="7" t="s">
        <v>0</v>
      </c>
      <c r="AS2219" s="10" t="str">
        <f>HYPERLINK("https://tessa.gazprom-neft.local/edo/card/ad94391b-68fe-45ec-8420-0f7bc464d2db", "https://tessa.gazprom-neft.local/edo/card/ad94391b-68fe-45ec-8420-0f7bc464d2db")</f>
        <v>https://tessa.gazprom-neft.local/edo/card/ad94391b-68fe-45ec-8420-0f7bc464d2db</v>
      </c>
    </row>
    <row r="2220" spans="1:45" x14ac:dyDescent="0.25">
      <c r="A2220" s="6" t="s">
        <v>44</v>
      </c>
      <c r="B2220" s="7" t="s">
        <v>403</v>
      </c>
      <c r="C2220" s="7" t="s">
        <v>67</v>
      </c>
      <c r="D2220" s="8">
        <v>44501</v>
      </c>
      <c r="E2220" s="8" t="s">
        <v>0</v>
      </c>
      <c r="F2220" s="16" t="s">
        <v>404</v>
      </c>
      <c r="G2220" s="7" t="s">
        <v>405</v>
      </c>
      <c r="H2220" s="7" t="s">
        <v>6680</v>
      </c>
      <c r="I2220" s="7" t="s">
        <v>0</v>
      </c>
      <c r="J2220" s="7" t="s">
        <v>70</v>
      </c>
      <c r="K2220" s="7" t="s">
        <v>47</v>
      </c>
      <c r="L2220" s="7" t="s">
        <v>48</v>
      </c>
      <c r="M2220" s="7" t="s">
        <v>0</v>
      </c>
      <c r="N2220" s="7" t="s">
        <v>8201</v>
      </c>
      <c r="O2220" s="7" t="s">
        <v>0</v>
      </c>
      <c r="P2220" s="7" t="s">
        <v>6681</v>
      </c>
      <c r="Q2220" s="7" t="s">
        <v>8202</v>
      </c>
      <c r="R2220" s="7" t="s">
        <v>1924</v>
      </c>
      <c r="S2220" s="7" t="s">
        <v>1924</v>
      </c>
      <c r="T2220" s="7" t="s">
        <v>54</v>
      </c>
      <c r="U2220" s="7" t="s">
        <v>73</v>
      </c>
      <c r="V2220" s="7" t="s">
        <v>137</v>
      </c>
      <c r="W2220" s="7" t="s">
        <v>57</v>
      </c>
      <c r="X2220" s="7" t="s">
        <v>103</v>
      </c>
      <c r="Y2220" s="8">
        <v>44501</v>
      </c>
      <c r="Z2220" s="8">
        <v>45657</v>
      </c>
      <c r="AA2220" s="7" t="s">
        <v>0</v>
      </c>
      <c r="AB2220" s="7" t="s">
        <v>1466</v>
      </c>
      <c r="AC2220" s="7" t="s">
        <v>79</v>
      </c>
      <c r="AD2220" s="7" t="s">
        <v>367</v>
      </c>
      <c r="AE2220" s="7" t="s">
        <v>82</v>
      </c>
      <c r="AF2220" s="7" t="s">
        <v>0</v>
      </c>
      <c r="AG2220" s="7" t="s">
        <v>0</v>
      </c>
      <c r="AH2220" s="9" t="s">
        <v>13471</v>
      </c>
      <c r="AI2220" s="9" t="s">
        <v>13472</v>
      </c>
      <c r="AJ2220" s="9" t="s">
        <v>13473</v>
      </c>
      <c r="AK2220" s="7" t="s">
        <v>61</v>
      </c>
      <c r="AL2220" s="7" t="s">
        <v>61</v>
      </c>
      <c r="AM2220" s="7" t="s">
        <v>0</v>
      </c>
      <c r="AN2220" s="7" t="s">
        <v>0</v>
      </c>
      <c r="AO2220" s="7" t="s">
        <v>0</v>
      </c>
      <c r="AP2220" s="7" t="s">
        <v>0</v>
      </c>
      <c r="AQ2220" s="7" t="s">
        <v>61</v>
      </c>
      <c r="AR2220" s="7" t="s">
        <v>0</v>
      </c>
      <c r="AS2220" s="10" t="str">
        <f>HYPERLINK("https://tessa.gazprom-neft.local/edo/card/6e200c09-fb49-444c-adaa-503b95d39489", "https://tessa.gazprom-neft.local/edo/card/6e200c09-fb49-444c-adaa-503b95d39489")</f>
        <v>https://tessa.gazprom-neft.local/edo/card/6e200c09-fb49-444c-adaa-503b95d39489</v>
      </c>
    </row>
    <row r="2221" spans="1:45" x14ac:dyDescent="0.25">
      <c r="A2221" s="6" t="s">
        <v>44</v>
      </c>
      <c r="B2221" s="7" t="s">
        <v>436</v>
      </c>
      <c r="C2221" s="7" t="s">
        <v>67</v>
      </c>
      <c r="D2221" s="8">
        <v>44501</v>
      </c>
      <c r="E2221" s="8" t="s">
        <v>0</v>
      </c>
      <c r="F2221" s="16" t="s">
        <v>437</v>
      </c>
      <c r="G2221" s="7" t="s">
        <v>438</v>
      </c>
      <c r="H2221" s="7" t="s">
        <v>8578</v>
      </c>
      <c r="I2221" s="7" t="s">
        <v>0</v>
      </c>
      <c r="J2221" s="7" t="s">
        <v>263</v>
      </c>
      <c r="K2221" s="7" t="s">
        <v>47</v>
      </c>
      <c r="L2221" s="7" t="s">
        <v>48</v>
      </c>
      <c r="M2221" s="7" t="s">
        <v>0</v>
      </c>
      <c r="N2221" s="7" t="s">
        <v>8577</v>
      </c>
      <c r="O2221" s="7" t="s">
        <v>0</v>
      </c>
      <c r="P2221" s="7" t="s">
        <v>8579</v>
      </c>
      <c r="Q2221" s="7" t="s">
        <v>8580</v>
      </c>
      <c r="R2221" s="7" t="s">
        <v>1083</v>
      </c>
      <c r="S2221" s="7" t="s">
        <v>3615</v>
      </c>
      <c r="T2221" s="7" t="s">
        <v>54</v>
      </c>
      <c r="U2221" s="7" t="s">
        <v>274</v>
      </c>
      <c r="V2221" s="7" t="s">
        <v>846</v>
      </c>
      <c r="W2221" s="7" t="s">
        <v>57</v>
      </c>
      <c r="X2221" s="7" t="s">
        <v>103</v>
      </c>
      <c r="Y2221" s="8">
        <v>44501</v>
      </c>
      <c r="Z2221" s="8">
        <v>46022</v>
      </c>
      <c r="AA2221" s="7" t="s">
        <v>0</v>
      </c>
      <c r="AB2221" s="7" t="s">
        <v>328</v>
      </c>
      <c r="AC2221" s="7" t="s">
        <v>278</v>
      </c>
      <c r="AD2221" s="7" t="s">
        <v>80</v>
      </c>
      <c r="AE2221" s="7" t="s">
        <v>82</v>
      </c>
      <c r="AF2221" s="7" t="s">
        <v>0</v>
      </c>
      <c r="AG2221" s="7" t="s">
        <v>0</v>
      </c>
      <c r="AH2221" s="9" t="s">
        <v>13602</v>
      </c>
      <c r="AI2221" s="9" t="s">
        <v>13603</v>
      </c>
      <c r="AJ2221" s="9" t="s">
        <v>13604</v>
      </c>
      <c r="AK2221" s="7" t="s">
        <v>61</v>
      </c>
      <c r="AL2221" s="7" t="s">
        <v>61</v>
      </c>
      <c r="AM2221" s="7" t="s">
        <v>0</v>
      </c>
      <c r="AN2221" s="7" t="s">
        <v>0</v>
      </c>
      <c r="AO2221" s="7" t="s">
        <v>0</v>
      </c>
      <c r="AP2221" s="7" t="s">
        <v>0</v>
      </c>
      <c r="AQ2221" s="7" t="s">
        <v>61</v>
      </c>
      <c r="AR2221" s="7" t="s">
        <v>0</v>
      </c>
      <c r="AS2221" s="10" t="str">
        <f>HYPERLINK("https://tessa.gazprom-neft.local/edo/card/cfd5b183-8a0e-4837-88d0-4e9a1f9fce53", "https://tessa.gazprom-neft.local/edo/card/cfd5b183-8a0e-4837-88d0-4e9a1f9fce53")</f>
        <v>https://tessa.gazprom-neft.local/edo/card/cfd5b183-8a0e-4837-88d0-4e9a1f9fce53</v>
      </c>
    </row>
    <row r="2222" spans="1:45" hidden="1" x14ac:dyDescent="0.25">
      <c r="A2222" s="6" t="s">
        <v>44</v>
      </c>
      <c r="B2222" s="7" t="s">
        <v>436</v>
      </c>
      <c r="C2222" s="7" t="s">
        <v>67</v>
      </c>
      <c r="D2222" s="8">
        <v>44501</v>
      </c>
      <c r="E2222" s="8" t="s">
        <v>0</v>
      </c>
      <c r="F2222" s="16" t="s">
        <v>437</v>
      </c>
      <c r="G2222" s="7" t="s">
        <v>438</v>
      </c>
      <c r="H2222" s="7" t="s">
        <v>483</v>
      </c>
      <c r="I2222" s="7" t="s">
        <v>0</v>
      </c>
      <c r="J2222" s="7" t="s">
        <v>51</v>
      </c>
      <c r="K2222" s="7" t="s">
        <v>47</v>
      </c>
      <c r="L2222" s="7" t="s">
        <v>239</v>
      </c>
      <c r="M2222" s="7" t="s">
        <v>0</v>
      </c>
      <c r="N2222" s="7" t="s">
        <v>9426</v>
      </c>
      <c r="O2222" s="7" t="s">
        <v>0</v>
      </c>
      <c r="P2222" s="7" t="s">
        <v>9427</v>
      </c>
      <c r="Q2222" s="7" t="s">
        <v>9428</v>
      </c>
      <c r="R2222" s="7" t="s">
        <v>1083</v>
      </c>
      <c r="S2222" s="7" t="s">
        <v>1519</v>
      </c>
      <c r="T2222" s="7" t="s">
        <v>54</v>
      </c>
      <c r="U2222" s="7" t="s">
        <v>274</v>
      </c>
      <c r="V2222" s="7" t="s">
        <v>56</v>
      </c>
      <c r="W2222" s="7" t="s">
        <v>57</v>
      </c>
      <c r="X2222" s="7" t="s">
        <v>103</v>
      </c>
      <c r="Y2222" s="8">
        <v>44501</v>
      </c>
      <c r="Z2222" s="8">
        <v>44551</v>
      </c>
      <c r="AA2222" s="7" t="s">
        <v>0</v>
      </c>
      <c r="AB2222" s="7" t="s">
        <v>328</v>
      </c>
      <c r="AC2222" s="7" t="s">
        <v>278</v>
      </c>
      <c r="AD2222" s="7" t="s">
        <v>80</v>
      </c>
      <c r="AE2222" s="7" t="s">
        <v>82</v>
      </c>
      <c r="AF2222" s="7" t="s">
        <v>0</v>
      </c>
      <c r="AG2222" s="7" t="s">
        <v>0</v>
      </c>
      <c r="AH2222" s="9" t="s">
        <v>13926</v>
      </c>
      <c r="AI2222" s="9" t="s">
        <v>13927</v>
      </c>
      <c r="AJ2222" s="9" t="s">
        <v>13928</v>
      </c>
      <c r="AK2222" s="7" t="s">
        <v>61</v>
      </c>
      <c r="AL2222" s="7" t="s">
        <v>61</v>
      </c>
      <c r="AM2222" s="7" t="s">
        <v>0</v>
      </c>
      <c r="AN2222" s="7" t="s">
        <v>0</v>
      </c>
      <c r="AO2222" s="7" t="s">
        <v>0</v>
      </c>
      <c r="AP2222" s="7" t="s">
        <v>0</v>
      </c>
      <c r="AQ2222" s="7" t="s">
        <v>61</v>
      </c>
      <c r="AR2222" s="7" t="s">
        <v>0</v>
      </c>
      <c r="AS2222" s="10" t="str">
        <f>HYPERLINK("https://tessa.gazprom-neft.local/edo/card/d0dcecfd-43b5-4fc1-9902-77906f8b520b", "https://tessa.gazprom-neft.local/edo/card/d0dcecfd-43b5-4fc1-9902-77906f8b520b")</f>
        <v>https://tessa.gazprom-neft.local/edo/card/d0dcecfd-43b5-4fc1-9902-77906f8b520b</v>
      </c>
    </row>
    <row r="2223" spans="1:45" hidden="1" x14ac:dyDescent="0.25">
      <c r="A2223" s="6" t="s">
        <v>44</v>
      </c>
      <c r="B2223" s="7" t="s">
        <v>3574</v>
      </c>
      <c r="C2223" s="7" t="s">
        <v>67</v>
      </c>
      <c r="D2223" s="8">
        <v>44498</v>
      </c>
      <c r="E2223" s="8" t="s">
        <v>0</v>
      </c>
      <c r="F2223" s="16" t="s">
        <v>8080</v>
      </c>
      <c r="G2223" s="7" t="s">
        <v>3576</v>
      </c>
      <c r="H2223" s="7" t="s">
        <v>0</v>
      </c>
      <c r="I2223" s="7" t="s">
        <v>8078</v>
      </c>
      <c r="J2223" s="7" t="s">
        <v>8078</v>
      </c>
      <c r="K2223" s="7" t="s">
        <v>47</v>
      </c>
      <c r="L2223" s="7" t="s">
        <v>86</v>
      </c>
      <c r="M2223" s="7" t="s">
        <v>0</v>
      </c>
      <c r="N2223" s="7" t="s">
        <v>8077</v>
      </c>
      <c r="O2223" s="7" t="s">
        <v>0</v>
      </c>
      <c r="P2223" s="7" t="s">
        <v>3572</v>
      </c>
      <c r="Q2223" s="7" t="s">
        <v>8079</v>
      </c>
      <c r="R2223" s="7" t="s">
        <v>604</v>
      </c>
      <c r="S2223" s="7" t="s">
        <v>4910</v>
      </c>
      <c r="T2223" s="7" t="s">
        <v>54</v>
      </c>
      <c r="U2223" s="7" t="s">
        <v>605</v>
      </c>
      <c r="V2223" s="7" t="s">
        <v>382</v>
      </c>
      <c r="W2223" s="7" t="s">
        <v>57</v>
      </c>
      <c r="X2223" s="7" t="s">
        <v>58</v>
      </c>
      <c r="Y2223" s="8">
        <v>44498</v>
      </c>
      <c r="Z2223" s="8" t="s">
        <v>0</v>
      </c>
      <c r="AA2223" s="7" t="s">
        <v>1656</v>
      </c>
      <c r="AB2223" s="7" t="s">
        <v>2437</v>
      </c>
      <c r="AC2223" s="7" t="s">
        <v>79</v>
      </c>
      <c r="AD2223" s="7" t="s">
        <v>80</v>
      </c>
      <c r="AE2223" s="7" t="s">
        <v>118</v>
      </c>
      <c r="AF2223" s="7" t="s">
        <v>0</v>
      </c>
      <c r="AG2223" s="7" t="s">
        <v>0</v>
      </c>
      <c r="AH2223" s="9" t="s">
        <v>13434</v>
      </c>
      <c r="AI2223" s="9" t="s">
        <v>13434</v>
      </c>
      <c r="AJ2223" s="9">
        <v>0</v>
      </c>
      <c r="AK2223" s="7" t="s">
        <v>61</v>
      </c>
      <c r="AL2223" s="7" t="s">
        <v>61</v>
      </c>
      <c r="AM2223" s="7" t="s">
        <v>0</v>
      </c>
      <c r="AN2223" s="7" t="s">
        <v>0</v>
      </c>
      <c r="AO2223" s="7" t="s">
        <v>0</v>
      </c>
      <c r="AP2223" s="7" t="s">
        <v>0</v>
      </c>
      <c r="AQ2223" s="7" t="s">
        <v>61</v>
      </c>
      <c r="AR2223" s="7" t="s">
        <v>0</v>
      </c>
      <c r="AS2223" s="10" t="str">
        <f>HYPERLINK("https://tessa.gazprom-neft.local/edo/card/b82509c0-0c60-4ea7-bff4-2cb303d5aa3d", "https://tessa.gazprom-neft.local/edo/card/b82509c0-0c60-4ea7-bff4-2cb303d5aa3d")</f>
        <v>https://tessa.gazprom-neft.local/edo/card/b82509c0-0c60-4ea7-bff4-2cb303d5aa3d</v>
      </c>
    </row>
    <row r="2224" spans="1:45" hidden="1" x14ac:dyDescent="0.25">
      <c r="A2224" s="6" t="s">
        <v>44</v>
      </c>
      <c r="B2224" s="7" t="s">
        <v>3574</v>
      </c>
      <c r="C2224" s="7" t="s">
        <v>67</v>
      </c>
      <c r="D2224" s="8">
        <v>44498</v>
      </c>
      <c r="E2224" s="8" t="s">
        <v>0</v>
      </c>
      <c r="F2224" s="16" t="s">
        <v>8080</v>
      </c>
      <c r="G2224" s="7" t="s">
        <v>3576</v>
      </c>
      <c r="H2224" s="7" t="s">
        <v>0</v>
      </c>
      <c r="I2224" s="7" t="s">
        <v>8097</v>
      </c>
      <c r="J2224" s="7" t="s">
        <v>8097</v>
      </c>
      <c r="K2224" s="7" t="s">
        <v>47</v>
      </c>
      <c r="L2224" s="7" t="s">
        <v>86</v>
      </c>
      <c r="M2224" s="7" t="s">
        <v>0</v>
      </c>
      <c r="N2224" s="7" t="s">
        <v>8096</v>
      </c>
      <c r="O2224" s="7" t="s">
        <v>0</v>
      </c>
      <c r="P2224" s="7" t="s">
        <v>3572</v>
      </c>
      <c r="Q2224" s="7" t="s">
        <v>8098</v>
      </c>
      <c r="R2224" s="7" t="s">
        <v>604</v>
      </c>
      <c r="S2224" s="7" t="s">
        <v>4910</v>
      </c>
      <c r="T2224" s="7" t="s">
        <v>54</v>
      </c>
      <c r="U2224" s="7" t="s">
        <v>605</v>
      </c>
      <c r="V2224" s="7" t="s">
        <v>382</v>
      </c>
      <c r="W2224" s="7" t="s">
        <v>57</v>
      </c>
      <c r="X2224" s="7" t="s">
        <v>58</v>
      </c>
      <c r="Y2224" s="8">
        <v>44498</v>
      </c>
      <c r="Z2224" s="8" t="s">
        <v>0</v>
      </c>
      <c r="AA2224" s="7" t="s">
        <v>1656</v>
      </c>
      <c r="AB2224" s="7" t="s">
        <v>2437</v>
      </c>
      <c r="AC2224" s="7" t="s">
        <v>79</v>
      </c>
      <c r="AD2224" s="7" t="s">
        <v>80</v>
      </c>
      <c r="AE2224" s="7" t="s">
        <v>118</v>
      </c>
      <c r="AF2224" s="7" t="s">
        <v>0</v>
      </c>
      <c r="AG2224" s="7" t="s">
        <v>0</v>
      </c>
      <c r="AH2224" s="9" t="s">
        <v>13436</v>
      </c>
      <c r="AI2224" s="9" t="s">
        <v>13436</v>
      </c>
      <c r="AJ2224" s="9">
        <v>0</v>
      </c>
      <c r="AK2224" s="7" t="s">
        <v>61</v>
      </c>
      <c r="AL2224" s="7" t="s">
        <v>61</v>
      </c>
      <c r="AM2224" s="7" t="s">
        <v>0</v>
      </c>
      <c r="AN2224" s="7" t="s">
        <v>0</v>
      </c>
      <c r="AO2224" s="7" t="s">
        <v>0</v>
      </c>
      <c r="AP2224" s="7" t="s">
        <v>0</v>
      </c>
      <c r="AQ2224" s="7" t="s">
        <v>61</v>
      </c>
      <c r="AR2224" s="7" t="s">
        <v>0</v>
      </c>
      <c r="AS2224" s="10" t="str">
        <f>HYPERLINK("https://tessa.gazprom-neft.local/edo/card/be898c32-caf4-4ddb-a152-c018bce59833", "https://tessa.gazprom-neft.local/edo/card/be898c32-caf4-4ddb-a152-c018bce59833")</f>
        <v>https://tessa.gazprom-neft.local/edo/card/be898c32-caf4-4ddb-a152-c018bce59833</v>
      </c>
    </row>
    <row r="2225" spans="1:45" hidden="1" x14ac:dyDescent="0.25">
      <c r="A2225" s="6" t="s">
        <v>44</v>
      </c>
      <c r="B2225" s="7" t="s">
        <v>7208</v>
      </c>
      <c r="C2225" s="7" t="s">
        <v>46</v>
      </c>
      <c r="D2225" s="8">
        <v>44497</v>
      </c>
      <c r="E2225" s="8" t="s">
        <v>0</v>
      </c>
      <c r="F2225" s="16" t="s">
        <v>7209</v>
      </c>
      <c r="G2225" s="7" t="s">
        <v>7210</v>
      </c>
      <c r="H2225" s="7" t="s">
        <v>0</v>
      </c>
      <c r="I2225" s="7" t="s">
        <v>8071</v>
      </c>
      <c r="J2225" s="7" t="s">
        <v>8071</v>
      </c>
      <c r="K2225" s="7" t="s">
        <v>85</v>
      </c>
      <c r="L2225" s="7" t="s">
        <v>96</v>
      </c>
      <c r="M2225" s="7" t="s">
        <v>183</v>
      </c>
      <c r="N2225" s="7" t="s">
        <v>8070</v>
      </c>
      <c r="O2225" s="7" t="s">
        <v>0</v>
      </c>
      <c r="P2225" s="7" t="s">
        <v>183</v>
      </c>
      <c r="Q2225" s="7" t="s">
        <v>7207</v>
      </c>
      <c r="R2225" s="7" t="s">
        <v>938</v>
      </c>
      <c r="S2225" s="7" t="s">
        <v>938</v>
      </c>
      <c r="T2225" s="7" t="s">
        <v>54</v>
      </c>
      <c r="U2225" s="7" t="s">
        <v>605</v>
      </c>
      <c r="V2225" s="7" t="s">
        <v>137</v>
      </c>
      <c r="W2225" s="7" t="s">
        <v>57</v>
      </c>
      <c r="X2225" s="7" t="s">
        <v>103</v>
      </c>
      <c r="Y2225" s="8">
        <v>44501</v>
      </c>
      <c r="Z2225" s="8">
        <v>44742</v>
      </c>
      <c r="AA2225" s="7" t="s">
        <v>0</v>
      </c>
      <c r="AB2225" s="7" t="s">
        <v>192</v>
      </c>
      <c r="AC2225" s="7" t="s">
        <v>79</v>
      </c>
      <c r="AD2225" s="7" t="s">
        <v>80</v>
      </c>
      <c r="AE2225" s="7" t="s">
        <v>193</v>
      </c>
      <c r="AF2225" s="7" t="s">
        <v>0</v>
      </c>
      <c r="AG2225" s="7" t="s">
        <v>0</v>
      </c>
      <c r="AH2225" s="9" t="s">
        <v>13428</v>
      </c>
      <c r="AI2225" s="9" t="s">
        <v>13429</v>
      </c>
      <c r="AJ2225" s="9" t="s">
        <v>13430</v>
      </c>
      <c r="AK2225" s="7" t="s">
        <v>61</v>
      </c>
      <c r="AL2225" s="7" t="s">
        <v>61</v>
      </c>
      <c r="AM2225" s="7" t="s">
        <v>0</v>
      </c>
      <c r="AN2225" s="7" t="s">
        <v>0</v>
      </c>
      <c r="AO2225" s="7" t="s">
        <v>0</v>
      </c>
      <c r="AP2225" s="7" t="s">
        <v>0</v>
      </c>
      <c r="AQ2225" s="7" t="s">
        <v>61</v>
      </c>
      <c r="AR2225" s="7" t="s">
        <v>0</v>
      </c>
      <c r="AS2225" s="10" t="str">
        <f>HYPERLINK("https://tessa.gazprom-neft.local/edo/card/baa56551-8ad3-4d56-b811-8bd590e2aaf6", "https://tessa.gazprom-neft.local/edo/card/baa56551-8ad3-4d56-b811-8bd590e2aaf6")</f>
        <v>https://tessa.gazprom-neft.local/edo/card/baa56551-8ad3-4d56-b811-8bd590e2aaf6</v>
      </c>
    </row>
    <row r="2226" spans="1:45" hidden="1" x14ac:dyDescent="0.25">
      <c r="A2226" s="6" t="s">
        <v>44</v>
      </c>
      <c r="B2226" s="7" t="s">
        <v>7208</v>
      </c>
      <c r="C2226" s="7" t="s">
        <v>46</v>
      </c>
      <c r="D2226" s="8">
        <v>44497</v>
      </c>
      <c r="E2226" s="8" t="s">
        <v>0</v>
      </c>
      <c r="F2226" s="16" t="s">
        <v>7209</v>
      </c>
      <c r="G2226" s="7" t="s">
        <v>7210</v>
      </c>
      <c r="H2226" s="7" t="s">
        <v>0</v>
      </c>
      <c r="I2226" s="7" t="s">
        <v>8175</v>
      </c>
      <c r="J2226" s="7" t="s">
        <v>8175</v>
      </c>
      <c r="K2226" s="7" t="s">
        <v>85</v>
      </c>
      <c r="L2226" s="7" t="s">
        <v>86</v>
      </c>
      <c r="M2226" s="7" t="s">
        <v>523</v>
      </c>
      <c r="N2226" s="7" t="s">
        <v>8174</v>
      </c>
      <c r="O2226" s="7" t="s">
        <v>0</v>
      </c>
      <c r="P2226" s="7" t="s">
        <v>523</v>
      </c>
      <c r="Q2226" s="7" t="s">
        <v>7207</v>
      </c>
      <c r="R2226" s="7" t="s">
        <v>938</v>
      </c>
      <c r="S2226" s="7" t="s">
        <v>938</v>
      </c>
      <c r="T2226" s="7" t="s">
        <v>54</v>
      </c>
      <c r="U2226" s="7" t="s">
        <v>605</v>
      </c>
      <c r="V2226" s="7" t="s">
        <v>137</v>
      </c>
      <c r="W2226" s="7" t="s">
        <v>57</v>
      </c>
      <c r="X2226" s="7" t="s">
        <v>103</v>
      </c>
      <c r="Y2226" s="8">
        <v>44501</v>
      </c>
      <c r="Z2226" s="8">
        <v>44742</v>
      </c>
      <c r="AA2226" s="7" t="s">
        <v>0</v>
      </c>
      <c r="AB2226" s="7" t="s">
        <v>94</v>
      </c>
      <c r="AC2226" s="7" t="s">
        <v>65</v>
      </c>
      <c r="AD2226" s="7" t="s">
        <v>80</v>
      </c>
      <c r="AE2226" s="7" t="s">
        <v>0</v>
      </c>
      <c r="AF2226" s="7" t="s">
        <v>0</v>
      </c>
      <c r="AG2226" s="7" t="s">
        <v>0</v>
      </c>
      <c r="AH2226" s="9" t="s">
        <v>0</v>
      </c>
      <c r="AI2226" s="9" t="s">
        <v>0</v>
      </c>
      <c r="AJ2226" s="9" t="s">
        <v>0</v>
      </c>
      <c r="AK2226" s="7" t="s">
        <v>61</v>
      </c>
      <c r="AL2226" s="7" t="s">
        <v>61</v>
      </c>
      <c r="AM2226" s="7" t="s">
        <v>0</v>
      </c>
      <c r="AN2226" s="7" t="s">
        <v>0</v>
      </c>
      <c r="AO2226" s="7" t="s">
        <v>0</v>
      </c>
      <c r="AP2226" s="7" t="s">
        <v>0</v>
      </c>
      <c r="AQ2226" s="7" t="s">
        <v>61</v>
      </c>
      <c r="AR2226" s="7" t="s">
        <v>0</v>
      </c>
      <c r="AS2226" s="10" t="str">
        <f>HYPERLINK("https://tessa.gazprom-neft.local/edo/card/d0117c36-bb61-47a6-98f1-186cdcdd2397", "https://tessa.gazprom-neft.local/edo/card/d0117c36-bb61-47a6-98f1-186cdcdd2397")</f>
        <v>https://tessa.gazprom-neft.local/edo/card/d0117c36-bb61-47a6-98f1-186cdcdd2397</v>
      </c>
    </row>
    <row r="2227" spans="1:45" hidden="1" x14ac:dyDescent="0.25">
      <c r="A2227" s="6" t="s">
        <v>44</v>
      </c>
      <c r="B2227" s="7" t="s">
        <v>3031</v>
      </c>
      <c r="C2227" s="7" t="s">
        <v>67</v>
      </c>
      <c r="D2227" s="8">
        <v>44497</v>
      </c>
      <c r="E2227" s="8" t="s">
        <v>0</v>
      </c>
      <c r="F2227" s="16" t="s">
        <v>3032</v>
      </c>
      <c r="G2227" s="7" t="s">
        <v>3033</v>
      </c>
      <c r="H2227" s="7" t="s">
        <v>0</v>
      </c>
      <c r="I2227" s="7" t="s">
        <v>8221</v>
      </c>
      <c r="J2227" s="7" t="s">
        <v>8221</v>
      </c>
      <c r="K2227" s="7" t="s">
        <v>85</v>
      </c>
      <c r="L2227" s="7" t="s">
        <v>86</v>
      </c>
      <c r="M2227" s="7" t="s">
        <v>5706</v>
      </c>
      <c r="N2227" s="7" t="s">
        <v>8220</v>
      </c>
      <c r="O2227" s="7" t="s">
        <v>0</v>
      </c>
      <c r="P2227" s="7" t="s">
        <v>5706</v>
      </c>
      <c r="Q2227" s="7" t="s">
        <v>2491</v>
      </c>
      <c r="R2227" s="7" t="s">
        <v>799</v>
      </c>
      <c r="S2227" s="7" t="s">
        <v>799</v>
      </c>
      <c r="T2227" s="7" t="s">
        <v>54</v>
      </c>
      <c r="U2227" s="7" t="s">
        <v>125</v>
      </c>
      <c r="V2227" s="7" t="s">
        <v>382</v>
      </c>
      <c r="W2227" s="7" t="s">
        <v>57</v>
      </c>
      <c r="X2227" s="7" t="s">
        <v>58</v>
      </c>
      <c r="Y2227" s="8">
        <v>44497</v>
      </c>
      <c r="Z2227" s="8" t="s">
        <v>0</v>
      </c>
      <c r="AA2227" s="7" t="s">
        <v>1656</v>
      </c>
      <c r="AB2227" s="7" t="s">
        <v>328</v>
      </c>
      <c r="AC2227" s="7" t="s">
        <v>65</v>
      </c>
      <c r="AD2227" s="7" t="s">
        <v>0</v>
      </c>
      <c r="AE2227" s="7" t="s">
        <v>0</v>
      </c>
      <c r="AF2227" s="7" t="s">
        <v>0</v>
      </c>
      <c r="AG2227" s="7" t="s">
        <v>0</v>
      </c>
      <c r="AH2227" s="9" t="s">
        <v>0</v>
      </c>
      <c r="AI2227" s="9" t="s">
        <v>0</v>
      </c>
      <c r="AJ2227" s="9" t="s">
        <v>0</v>
      </c>
      <c r="AK2227" s="7" t="s">
        <v>61</v>
      </c>
      <c r="AL2227" s="7" t="s">
        <v>61</v>
      </c>
      <c r="AM2227" s="7" t="s">
        <v>0</v>
      </c>
      <c r="AN2227" s="7" t="s">
        <v>0</v>
      </c>
      <c r="AO2227" s="7" t="s">
        <v>0</v>
      </c>
      <c r="AP2227" s="7" t="s">
        <v>0</v>
      </c>
      <c r="AQ2227" s="7" t="s">
        <v>61</v>
      </c>
      <c r="AR2227" s="7" t="s">
        <v>0</v>
      </c>
      <c r="AS2227" s="10" t="str">
        <f>HYPERLINK("https://tessa.gazprom-neft.local/edo/card/af78eb8d-e85c-4837-bfdd-f4da6673fe64", "https://tessa.gazprom-neft.local/edo/card/af78eb8d-e85c-4837-bfdd-f4da6673fe64")</f>
        <v>https://tessa.gazprom-neft.local/edo/card/af78eb8d-e85c-4837-bfdd-f4da6673fe64</v>
      </c>
    </row>
    <row r="2228" spans="1:45" x14ac:dyDescent="0.25">
      <c r="A2228" s="6" t="s">
        <v>44</v>
      </c>
      <c r="B2228" s="7" t="s">
        <v>1200</v>
      </c>
      <c r="C2228" s="7" t="s">
        <v>67</v>
      </c>
      <c r="D2228" s="8">
        <v>44497</v>
      </c>
      <c r="E2228" s="8" t="s">
        <v>0</v>
      </c>
      <c r="F2228" s="16" t="s">
        <v>1201</v>
      </c>
      <c r="G2228" s="7" t="s">
        <v>1202</v>
      </c>
      <c r="H2228" s="7" t="s">
        <v>7570</v>
      </c>
      <c r="I2228" s="7" t="s">
        <v>0</v>
      </c>
      <c r="J2228" s="7" t="s">
        <v>51</v>
      </c>
      <c r="K2228" s="7" t="s">
        <v>47</v>
      </c>
      <c r="L2228" s="7" t="s">
        <v>48</v>
      </c>
      <c r="M2228" s="7" t="s">
        <v>0</v>
      </c>
      <c r="N2228" s="7" t="s">
        <v>8231</v>
      </c>
      <c r="O2228" s="7" t="s">
        <v>0</v>
      </c>
      <c r="P2228" s="7" t="s">
        <v>8232</v>
      </c>
      <c r="Q2228" s="7" t="s">
        <v>8233</v>
      </c>
      <c r="R2228" s="7" t="s">
        <v>1199</v>
      </c>
      <c r="S2228" s="7" t="s">
        <v>1199</v>
      </c>
      <c r="T2228" s="7" t="s">
        <v>54</v>
      </c>
      <c r="U2228" s="7" t="s">
        <v>605</v>
      </c>
      <c r="V2228" s="7" t="s">
        <v>382</v>
      </c>
      <c r="W2228" s="7" t="s">
        <v>57</v>
      </c>
      <c r="X2228" s="7" t="s">
        <v>58</v>
      </c>
      <c r="Y2228" s="8">
        <v>44497</v>
      </c>
      <c r="Z2228" s="8" t="s">
        <v>0</v>
      </c>
      <c r="AA2228" s="7" t="s">
        <v>1656</v>
      </c>
      <c r="AB2228" s="7" t="s">
        <v>1203</v>
      </c>
      <c r="AC2228" s="7" t="s">
        <v>65</v>
      </c>
      <c r="AD2228" s="7" t="s">
        <v>0</v>
      </c>
      <c r="AE2228" s="7" t="s">
        <v>0</v>
      </c>
      <c r="AF2228" s="7" t="s">
        <v>0</v>
      </c>
      <c r="AG2228" s="7" t="s">
        <v>0</v>
      </c>
      <c r="AH2228" s="9" t="s">
        <v>0</v>
      </c>
      <c r="AI2228" s="9" t="s">
        <v>0</v>
      </c>
      <c r="AJ2228" s="9" t="s">
        <v>0</v>
      </c>
      <c r="AK2228" s="7" t="s">
        <v>61</v>
      </c>
      <c r="AL2228" s="7" t="s">
        <v>61</v>
      </c>
      <c r="AM2228" s="7" t="s">
        <v>0</v>
      </c>
      <c r="AN2228" s="7" t="s">
        <v>0</v>
      </c>
      <c r="AO2228" s="7" t="s">
        <v>0</v>
      </c>
      <c r="AP2228" s="7" t="s">
        <v>0</v>
      </c>
      <c r="AQ2228" s="7" t="s">
        <v>61</v>
      </c>
      <c r="AR2228" s="7" t="s">
        <v>0</v>
      </c>
      <c r="AS2228" s="10" t="str">
        <f>HYPERLINK("https://tessa.gazprom-neft.local/edo/card/7bf820ec-0f66-4484-8765-ee7830c459a6", "https://tessa.gazprom-neft.local/edo/card/7bf820ec-0f66-4484-8765-ee7830c459a6")</f>
        <v>https://tessa.gazprom-neft.local/edo/card/7bf820ec-0f66-4484-8765-ee7830c459a6</v>
      </c>
    </row>
    <row r="2229" spans="1:45" hidden="1" x14ac:dyDescent="0.25">
      <c r="A2229" s="6" t="s">
        <v>44</v>
      </c>
      <c r="B2229" s="7" t="s">
        <v>705</v>
      </c>
      <c r="C2229" s="7" t="s">
        <v>67</v>
      </c>
      <c r="D2229" s="8">
        <v>44497</v>
      </c>
      <c r="E2229" s="8" t="s">
        <v>0</v>
      </c>
      <c r="F2229" s="16" t="s">
        <v>706</v>
      </c>
      <c r="G2229" s="7" t="s">
        <v>707</v>
      </c>
      <c r="H2229" s="7" t="s">
        <v>0</v>
      </c>
      <c r="I2229" s="7" t="s">
        <v>8251</v>
      </c>
      <c r="J2229" s="7" t="s">
        <v>8251</v>
      </c>
      <c r="K2229" s="7" t="s">
        <v>85</v>
      </c>
      <c r="L2229" s="7" t="s">
        <v>86</v>
      </c>
      <c r="M2229" s="7" t="s">
        <v>83</v>
      </c>
      <c r="N2229" s="7" t="s">
        <v>8250</v>
      </c>
      <c r="O2229" s="7" t="s">
        <v>0</v>
      </c>
      <c r="P2229" s="7" t="s">
        <v>83</v>
      </c>
      <c r="Q2229" s="7" t="s">
        <v>8252</v>
      </c>
      <c r="R2229" s="7" t="s">
        <v>799</v>
      </c>
      <c r="S2229" s="7" t="s">
        <v>799</v>
      </c>
      <c r="T2229" s="7" t="s">
        <v>54</v>
      </c>
      <c r="U2229" s="7" t="s">
        <v>303</v>
      </c>
      <c r="V2229" s="7" t="s">
        <v>56</v>
      </c>
      <c r="W2229" s="7" t="s">
        <v>57</v>
      </c>
      <c r="X2229" s="7" t="s">
        <v>58</v>
      </c>
      <c r="Y2229" s="8">
        <v>44497</v>
      </c>
      <c r="Z2229" s="8" t="s">
        <v>0</v>
      </c>
      <c r="AA2229" s="7" t="s">
        <v>800</v>
      </c>
      <c r="AB2229" s="7" t="s">
        <v>94</v>
      </c>
      <c r="AC2229" s="7" t="s">
        <v>65</v>
      </c>
      <c r="AD2229" s="7" t="s">
        <v>0</v>
      </c>
      <c r="AE2229" s="7" t="s">
        <v>0</v>
      </c>
      <c r="AF2229" s="7" t="s">
        <v>0</v>
      </c>
      <c r="AG2229" s="7" t="s">
        <v>0</v>
      </c>
      <c r="AH2229" s="9" t="s">
        <v>0</v>
      </c>
      <c r="AI2229" s="9" t="s">
        <v>0</v>
      </c>
      <c r="AJ2229" s="9" t="s">
        <v>0</v>
      </c>
      <c r="AK2229" s="7" t="s">
        <v>61</v>
      </c>
      <c r="AL2229" s="7" t="s">
        <v>61</v>
      </c>
      <c r="AM2229" s="7" t="s">
        <v>0</v>
      </c>
      <c r="AN2229" s="7" t="s">
        <v>0</v>
      </c>
      <c r="AO2229" s="7" t="s">
        <v>0</v>
      </c>
      <c r="AP2229" s="7" t="s">
        <v>0</v>
      </c>
      <c r="AQ2229" s="7" t="s">
        <v>61</v>
      </c>
      <c r="AR2229" s="7" t="s">
        <v>0</v>
      </c>
      <c r="AS2229" s="10" t="str">
        <f>HYPERLINK("https://tessa.gazprom-neft.local/edo/card/b0bc23d3-8394-4a83-801f-c03354bc7e4a", "https://tessa.gazprom-neft.local/edo/card/b0bc23d3-8394-4a83-801f-c03354bc7e4a")</f>
        <v>https://tessa.gazprom-neft.local/edo/card/b0bc23d3-8394-4a83-801f-c03354bc7e4a</v>
      </c>
    </row>
    <row r="2230" spans="1:45" hidden="1" x14ac:dyDescent="0.25">
      <c r="A2230" s="6" t="s">
        <v>44</v>
      </c>
      <c r="B2230" s="7" t="s">
        <v>542</v>
      </c>
      <c r="C2230" s="7" t="s">
        <v>67</v>
      </c>
      <c r="D2230" s="8">
        <v>44496</v>
      </c>
      <c r="E2230" s="8" t="s">
        <v>0</v>
      </c>
      <c r="F2230" s="16" t="s">
        <v>543</v>
      </c>
      <c r="G2230" s="7" t="s">
        <v>544</v>
      </c>
      <c r="H2230" s="7" t="s">
        <v>536</v>
      </c>
      <c r="I2230" s="7" t="s">
        <v>0</v>
      </c>
      <c r="J2230" s="7" t="s">
        <v>263</v>
      </c>
      <c r="K2230" s="7" t="s">
        <v>47</v>
      </c>
      <c r="L2230" s="7" t="s">
        <v>239</v>
      </c>
      <c r="M2230" s="7" t="s">
        <v>0</v>
      </c>
      <c r="N2230" s="7" t="s">
        <v>8460</v>
      </c>
      <c r="O2230" s="7" t="s">
        <v>0</v>
      </c>
      <c r="P2230" s="7" t="s">
        <v>8461</v>
      </c>
      <c r="Q2230" s="7" t="s">
        <v>8462</v>
      </c>
      <c r="R2230" s="7" t="s">
        <v>540</v>
      </c>
      <c r="S2230" s="7" t="s">
        <v>0</v>
      </c>
      <c r="T2230" s="7" t="s">
        <v>54</v>
      </c>
      <c r="U2230" s="7" t="s">
        <v>541</v>
      </c>
      <c r="V2230" s="7" t="s">
        <v>56</v>
      </c>
      <c r="W2230" s="7" t="s">
        <v>57</v>
      </c>
      <c r="X2230" s="7" t="s">
        <v>103</v>
      </c>
      <c r="Y2230" s="8">
        <v>44496</v>
      </c>
      <c r="Z2230" s="8">
        <v>44645</v>
      </c>
      <c r="AA2230" s="7" t="s">
        <v>1251</v>
      </c>
      <c r="AB2230" s="7" t="s">
        <v>545</v>
      </c>
      <c r="AC2230" s="7" t="s">
        <v>79</v>
      </c>
      <c r="AD2230" s="7" t="s">
        <v>144</v>
      </c>
      <c r="AE2230" s="7" t="s">
        <v>82</v>
      </c>
      <c r="AF2230" s="7" t="s">
        <v>0</v>
      </c>
      <c r="AG2230" s="7" t="s">
        <v>0</v>
      </c>
      <c r="AH2230" s="9" t="s">
        <v>13562</v>
      </c>
      <c r="AI2230" s="9" t="s">
        <v>13563</v>
      </c>
      <c r="AJ2230" s="9" t="s">
        <v>13564</v>
      </c>
      <c r="AK2230" s="7" t="s">
        <v>61</v>
      </c>
      <c r="AL2230" s="7" t="s">
        <v>61</v>
      </c>
      <c r="AM2230" s="7" t="s">
        <v>0</v>
      </c>
      <c r="AN2230" s="7" t="s">
        <v>0</v>
      </c>
      <c r="AO2230" s="7" t="s">
        <v>0</v>
      </c>
      <c r="AP2230" s="7" t="s">
        <v>0</v>
      </c>
      <c r="AQ2230" s="7" t="s">
        <v>61</v>
      </c>
      <c r="AR2230" s="7" t="s">
        <v>0</v>
      </c>
      <c r="AS2230" s="10" t="str">
        <f>HYPERLINK("https://tessa.gazprom-neft.local/edo/card/2732c8cb-373e-4b38-834e-52a8de36676a", "https://tessa.gazprom-neft.local/edo/card/2732c8cb-373e-4b38-834e-52a8de36676a")</f>
        <v>https://tessa.gazprom-neft.local/edo/card/2732c8cb-373e-4b38-834e-52a8de36676a</v>
      </c>
    </row>
    <row r="2231" spans="1:45" x14ac:dyDescent="0.25">
      <c r="A2231" s="6" t="s">
        <v>44</v>
      </c>
      <c r="B2231" s="7" t="s">
        <v>1084</v>
      </c>
      <c r="C2231" s="7" t="s">
        <v>67</v>
      </c>
      <c r="D2231" s="8">
        <v>44495</v>
      </c>
      <c r="E2231" s="8" t="s">
        <v>0</v>
      </c>
      <c r="F2231" s="16" t="s">
        <v>1085</v>
      </c>
      <c r="G2231" s="7" t="s">
        <v>1086</v>
      </c>
      <c r="H2231" s="7" t="s">
        <v>8129</v>
      </c>
      <c r="I2231" s="7" t="s">
        <v>0</v>
      </c>
      <c r="J2231" s="7" t="s">
        <v>271</v>
      </c>
      <c r="K2231" s="7" t="s">
        <v>47</v>
      </c>
      <c r="L2231" s="7" t="s">
        <v>48</v>
      </c>
      <c r="M2231" s="7" t="s">
        <v>0</v>
      </c>
      <c r="N2231" s="7" t="s">
        <v>8128</v>
      </c>
      <c r="O2231" s="7" t="s">
        <v>0</v>
      </c>
      <c r="P2231" s="7" t="s">
        <v>8130</v>
      </c>
      <c r="Q2231" s="7" t="s">
        <v>8131</v>
      </c>
      <c r="R2231" s="7" t="s">
        <v>799</v>
      </c>
      <c r="S2231" s="7" t="s">
        <v>799</v>
      </c>
      <c r="T2231" s="7" t="s">
        <v>54</v>
      </c>
      <c r="U2231" s="7" t="s">
        <v>55</v>
      </c>
      <c r="V2231" s="7" t="s">
        <v>56</v>
      </c>
      <c r="W2231" s="7" t="s">
        <v>57</v>
      </c>
      <c r="X2231" s="7" t="s">
        <v>103</v>
      </c>
      <c r="Y2231" s="8">
        <v>44495</v>
      </c>
      <c r="Z2231" s="8">
        <v>44926</v>
      </c>
      <c r="AA2231" s="7" t="s">
        <v>0</v>
      </c>
      <c r="AB2231" s="7" t="s">
        <v>328</v>
      </c>
      <c r="AC2231" s="7" t="s">
        <v>278</v>
      </c>
      <c r="AD2231" s="7" t="s">
        <v>80</v>
      </c>
      <c r="AE2231" s="7" t="s">
        <v>82</v>
      </c>
      <c r="AF2231" s="7" t="s">
        <v>0</v>
      </c>
      <c r="AG2231" s="7" t="s">
        <v>0</v>
      </c>
      <c r="AH2231" s="9" t="s">
        <v>13449</v>
      </c>
      <c r="AI2231" s="9" t="s">
        <v>13450</v>
      </c>
      <c r="AJ2231" s="9" t="s">
        <v>13451</v>
      </c>
      <c r="AK2231" s="7" t="s">
        <v>61</v>
      </c>
      <c r="AL2231" s="7" t="s">
        <v>61</v>
      </c>
      <c r="AM2231" s="7" t="s">
        <v>0</v>
      </c>
      <c r="AN2231" s="7" t="s">
        <v>0</v>
      </c>
      <c r="AO2231" s="7" t="s">
        <v>0</v>
      </c>
      <c r="AP2231" s="7" t="s">
        <v>0</v>
      </c>
      <c r="AQ2231" s="7" t="s">
        <v>61</v>
      </c>
      <c r="AR2231" s="7" t="s">
        <v>0</v>
      </c>
      <c r="AS2231" s="10" t="str">
        <f>HYPERLINK("https://tessa.gazprom-neft.local/edo/card/0aa03b92-97fb-44e0-899d-22f92c07ceeb", "https://tessa.gazprom-neft.local/edo/card/0aa03b92-97fb-44e0-899d-22f92c07ceeb")</f>
        <v>https://tessa.gazprom-neft.local/edo/card/0aa03b92-97fb-44e0-899d-22f92c07ceeb</v>
      </c>
    </row>
    <row r="2232" spans="1:45" x14ac:dyDescent="0.25">
      <c r="A2232" s="6" t="s">
        <v>44</v>
      </c>
      <c r="B2232" s="7" t="s">
        <v>114</v>
      </c>
      <c r="C2232" s="7" t="s">
        <v>67</v>
      </c>
      <c r="D2232" s="8">
        <v>44495</v>
      </c>
      <c r="E2232" s="8" t="s">
        <v>0</v>
      </c>
      <c r="F2232" s="16" t="s">
        <v>115</v>
      </c>
      <c r="G2232" s="7" t="s">
        <v>116</v>
      </c>
      <c r="H2232" s="7" t="s">
        <v>2310</v>
      </c>
      <c r="I2232" s="7" t="s">
        <v>0</v>
      </c>
      <c r="J2232" s="7" t="s">
        <v>271</v>
      </c>
      <c r="K2232" s="7" t="s">
        <v>47</v>
      </c>
      <c r="L2232" s="7" t="s">
        <v>48</v>
      </c>
      <c r="M2232" s="7" t="s">
        <v>0</v>
      </c>
      <c r="N2232" s="7" t="s">
        <v>8147</v>
      </c>
      <c r="O2232" s="7" t="s">
        <v>0</v>
      </c>
      <c r="P2232" s="7" t="s">
        <v>8148</v>
      </c>
      <c r="Q2232" s="7" t="s">
        <v>8149</v>
      </c>
      <c r="R2232" s="7" t="s">
        <v>1042</v>
      </c>
      <c r="S2232" s="7" t="s">
        <v>1042</v>
      </c>
      <c r="T2232" s="7" t="s">
        <v>54</v>
      </c>
      <c r="U2232" s="7" t="s">
        <v>1043</v>
      </c>
      <c r="V2232" s="7" t="s">
        <v>723</v>
      </c>
      <c r="W2232" s="7" t="s">
        <v>57</v>
      </c>
      <c r="X2232" s="7" t="s">
        <v>103</v>
      </c>
      <c r="Y2232" s="8">
        <v>44501</v>
      </c>
      <c r="Z2232" s="8">
        <v>44638</v>
      </c>
      <c r="AA2232" s="7" t="s">
        <v>0</v>
      </c>
      <c r="AB2232" s="7" t="s">
        <v>117</v>
      </c>
      <c r="AC2232" s="7" t="s">
        <v>65</v>
      </c>
      <c r="AD2232" s="7" t="s">
        <v>0</v>
      </c>
      <c r="AE2232" s="7" t="s">
        <v>0</v>
      </c>
      <c r="AF2232" s="7" t="s">
        <v>0</v>
      </c>
      <c r="AG2232" s="7" t="s">
        <v>0</v>
      </c>
      <c r="AH2232" s="9" t="s">
        <v>0</v>
      </c>
      <c r="AI2232" s="9" t="s">
        <v>0</v>
      </c>
      <c r="AJ2232" s="9" t="s">
        <v>0</v>
      </c>
      <c r="AK2232" s="7" t="s">
        <v>61</v>
      </c>
      <c r="AL2232" s="7" t="s">
        <v>61</v>
      </c>
      <c r="AM2232" s="7" t="s">
        <v>0</v>
      </c>
      <c r="AN2232" s="7" t="s">
        <v>0</v>
      </c>
      <c r="AO2232" s="7" t="s">
        <v>0</v>
      </c>
      <c r="AP2232" s="7" t="s">
        <v>0</v>
      </c>
      <c r="AQ2232" s="7" t="s">
        <v>61</v>
      </c>
      <c r="AR2232" s="7" t="s">
        <v>0</v>
      </c>
      <c r="AS2232" s="10" t="str">
        <f>HYPERLINK("https://tessa.gazprom-neft.local/edo/card/09fcfc5c-d33b-4fb7-8995-1b8c739407c4", "https://tessa.gazprom-neft.local/edo/card/09fcfc5c-d33b-4fb7-8995-1b8c739407c4")</f>
        <v>https://tessa.gazprom-neft.local/edo/card/09fcfc5c-d33b-4fb7-8995-1b8c739407c4</v>
      </c>
    </row>
    <row r="2233" spans="1:45" x14ac:dyDescent="0.25">
      <c r="A2233" s="6" t="s">
        <v>44</v>
      </c>
      <c r="B2233" s="7" t="s">
        <v>114</v>
      </c>
      <c r="C2233" s="7" t="s">
        <v>67</v>
      </c>
      <c r="D2233" s="8">
        <v>44495</v>
      </c>
      <c r="E2233" s="8" t="s">
        <v>0</v>
      </c>
      <c r="F2233" s="16" t="s">
        <v>115</v>
      </c>
      <c r="G2233" s="7" t="s">
        <v>116</v>
      </c>
      <c r="H2233" s="7" t="s">
        <v>8155</v>
      </c>
      <c r="I2233" s="7" t="s">
        <v>0</v>
      </c>
      <c r="J2233" s="7" t="s">
        <v>271</v>
      </c>
      <c r="K2233" s="7" t="s">
        <v>47</v>
      </c>
      <c r="L2233" s="7" t="s">
        <v>48</v>
      </c>
      <c r="M2233" s="7" t="s">
        <v>0</v>
      </c>
      <c r="N2233" s="7" t="s">
        <v>8154</v>
      </c>
      <c r="O2233" s="7" t="s">
        <v>0</v>
      </c>
      <c r="P2233" s="7" t="s">
        <v>8156</v>
      </c>
      <c r="Q2233" s="7" t="s">
        <v>8149</v>
      </c>
      <c r="R2233" s="7" t="s">
        <v>1042</v>
      </c>
      <c r="S2233" s="7" t="s">
        <v>0</v>
      </c>
      <c r="T2233" s="7" t="s">
        <v>54</v>
      </c>
      <c r="U2233" s="7" t="s">
        <v>1043</v>
      </c>
      <c r="V2233" s="7" t="s">
        <v>723</v>
      </c>
      <c r="W2233" s="7" t="s">
        <v>57</v>
      </c>
      <c r="X2233" s="7" t="s">
        <v>103</v>
      </c>
      <c r="Y2233" s="8">
        <v>44501</v>
      </c>
      <c r="Z2233" s="8">
        <v>44638</v>
      </c>
      <c r="AA2233" s="7" t="s">
        <v>0</v>
      </c>
      <c r="AB2233" s="7" t="s">
        <v>117</v>
      </c>
      <c r="AC2233" s="7" t="s">
        <v>79</v>
      </c>
      <c r="AD2233" s="7" t="s">
        <v>80</v>
      </c>
      <c r="AE2233" s="7" t="s">
        <v>118</v>
      </c>
      <c r="AF2233" s="7" t="s">
        <v>0</v>
      </c>
      <c r="AG2233" s="7" t="s">
        <v>0</v>
      </c>
      <c r="AH2233" s="9" t="s">
        <v>13458</v>
      </c>
      <c r="AI2233" s="9" t="s">
        <v>13458</v>
      </c>
      <c r="AJ2233" s="9">
        <v>0</v>
      </c>
      <c r="AK2233" s="7" t="s">
        <v>61</v>
      </c>
      <c r="AL2233" s="7" t="s">
        <v>61</v>
      </c>
      <c r="AM2233" s="7" t="s">
        <v>0</v>
      </c>
      <c r="AN2233" s="7" t="s">
        <v>0</v>
      </c>
      <c r="AO2233" s="7" t="s">
        <v>0</v>
      </c>
      <c r="AP2233" s="7" t="s">
        <v>0</v>
      </c>
      <c r="AQ2233" s="7" t="s">
        <v>61</v>
      </c>
      <c r="AR2233" s="7" t="s">
        <v>0</v>
      </c>
      <c r="AS2233" s="10" t="str">
        <f>HYPERLINK("https://tessa.gazprom-neft.local/edo/card/73242d2c-20a4-4826-8f66-feac6e1d4c94", "https://tessa.gazprom-neft.local/edo/card/73242d2c-20a4-4826-8f66-feac6e1d4c94")</f>
        <v>https://tessa.gazprom-neft.local/edo/card/73242d2c-20a4-4826-8f66-feac6e1d4c94</v>
      </c>
    </row>
    <row r="2234" spans="1:45" hidden="1" x14ac:dyDescent="0.25">
      <c r="A2234" s="6" t="s">
        <v>44</v>
      </c>
      <c r="B2234" s="7" t="s">
        <v>5259</v>
      </c>
      <c r="C2234" s="7" t="s">
        <v>67</v>
      </c>
      <c r="D2234" s="8">
        <v>44495</v>
      </c>
      <c r="E2234" s="8" t="s">
        <v>0</v>
      </c>
      <c r="F2234" s="16" t="s">
        <v>8228</v>
      </c>
      <c r="G2234" s="7" t="s">
        <v>5261</v>
      </c>
      <c r="H2234" s="7" t="s">
        <v>0</v>
      </c>
      <c r="I2234" s="7" t="s">
        <v>3224</v>
      </c>
      <c r="J2234" s="7" t="s">
        <v>3224</v>
      </c>
      <c r="K2234" s="7" t="s">
        <v>47</v>
      </c>
      <c r="L2234" s="7" t="s">
        <v>96</v>
      </c>
      <c r="M2234" s="7" t="s">
        <v>0</v>
      </c>
      <c r="N2234" s="7" t="s">
        <v>8226</v>
      </c>
      <c r="O2234" s="7" t="s">
        <v>0</v>
      </c>
      <c r="P2234" s="7" t="s">
        <v>926</v>
      </c>
      <c r="Q2234" s="7" t="s">
        <v>8227</v>
      </c>
      <c r="R2234" s="7" t="s">
        <v>1441</v>
      </c>
      <c r="S2234" s="7" t="s">
        <v>209</v>
      </c>
      <c r="T2234" s="7" t="s">
        <v>54</v>
      </c>
      <c r="U2234" s="7" t="s">
        <v>210</v>
      </c>
      <c r="V2234" s="7" t="s">
        <v>211</v>
      </c>
      <c r="W2234" s="7" t="s">
        <v>57</v>
      </c>
      <c r="X2234" s="7" t="s">
        <v>103</v>
      </c>
      <c r="Y2234" s="8">
        <v>44495</v>
      </c>
      <c r="Z2234" s="8">
        <v>45657</v>
      </c>
      <c r="AA2234" s="7" t="s">
        <v>0</v>
      </c>
      <c r="AB2234" s="7" t="s">
        <v>3227</v>
      </c>
      <c r="AC2234" s="7" t="s">
        <v>79</v>
      </c>
      <c r="AD2234" s="7" t="s">
        <v>80</v>
      </c>
      <c r="AE2234" s="7" t="s">
        <v>82</v>
      </c>
      <c r="AF2234" s="7" t="s">
        <v>0</v>
      </c>
      <c r="AG2234" s="7" t="s">
        <v>0</v>
      </c>
      <c r="AH2234" s="9" t="s">
        <v>13480</v>
      </c>
      <c r="AI2234" s="9" t="s">
        <v>13481</v>
      </c>
      <c r="AJ2234" s="9" t="s">
        <v>13482</v>
      </c>
      <c r="AK2234" s="7" t="s">
        <v>61</v>
      </c>
      <c r="AL2234" s="7" t="s">
        <v>61</v>
      </c>
      <c r="AM2234" s="7" t="s">
        <v>0</v>
      </c>
      <c r="AN2234" s="7" t="s">
        <v>0</v>
      </c>
      <c r="AO2234" s="7" t="s">
        <v>0</v>
      </c>
      <c r="AP2234" s="7" t="s">
        <v>0</v>
      </c>
      <c r="AQ2234" s="7" t="s">
        <v>61</v>
      </c>
      <c r="AR2234" s="7" t="s">
        <v>0</v>
      </c>
      <c r="AS2234" s="10" t="str">
        <f>HYPERLINK("https://tessa.gazprom-neft.local/edo/card/72aa75a9-21f5-4bd0-9fae-c7504656228d", "https://tessa.gazprom-neft.local/edo/card/72aa75a9-21f5-4bd0-9fae-c7504656228d")</f>
        <v>https://tessa.gazprom-neft.local/edo/card/72aa75a9-21f5-4bd0-9fae-c7504656228d</v>
      </c>
    </row>
    <row r="2235" spans="1:45" hidden="1" x14ac:dyDescent="0.25">
      <c r="A2235" s="6" t="s">
        <v>44</v>
      </c>
      <c r="B2235" s="7" t="s">
        <v>3172</v>
      </c>
      <c r="C2235" s="7" t="s">
        <v>67</v>
      </c>
      <c r="D2235" s="8">
        <v>44495</v>
      </c>
      <c r="E2235" s="8" t="s">
        <v>0</v>
      </c>
      <c r="F2235" s="16" t="s">
        <v>3173</v>
      </c>
      <c r="G2235" s="7" t="s">
        <v>3174</v>
      </c>
      <c r="H2235" s="7" t="s">
        <v>3169</v>
      </c>
      <c r="I2235" s="7" t="s">
        <v>0</v>
      </c>
      <c r="J2235" s="7" t="s">
        <v>7676</v>
      </c>
      <c r="K2235" s="7" t="s">
        <v>85</v>
      </c>
      <c r="L2235" s="7" t="s">
        <v>239</v>
      </c>
      <c r="M2235" s="7" t="s">
        <v>1252</v>
      </c>
      <c r="N2235" s="7" t="s">
        <v>8300</v>
      </c>
      <c r="O2235" s="7" t="s">
        <v>8301</v>
      </c>
      <c r="P2235" s="7" t="s">
        <v>8302</v>
      </c>
      <c r="Q2235" s="7" t="s">
        <v>8294</v>
      </c>
      <c r="R2235" s="7" t="s">
        <v>1256</v>
      </c>
      <c r="S2235" s="7" t="s">
        <v>1256</v>
      </c>
      <c r="T2235" s="7" t="s">
        <v>54</v>
      </c>
      <c r="U2235" s="7" t="s">
        <v>591</v>
      </c>
      <c r="V2235" s="7" t="s">
        <v>382</v>
      </c>
      <c r="W2235" s="7" t="s">
        <v>57</v>
      </c>
      <c r="X2235" s="7" t="s">
        <v>103</v>
      </c>
      <c r="Y2235" s="8">
        <v>44495</v>
      </c>
      <c r="Z2235" s="8">
        <v>44621</v>
      </c>
      <c r="AA2235" s="7" t="s">
        <v>1656</v>
      </c>
      <c r="AB2235" s="7" t="s">
        <v>2053</v>
      </c>
      <c r="AC2235" s="7" t="s">
        <v>65</v>
      </c>
      <c r="AD2235" s="7" t="s">
        <v>144</v>
      </c>
      <c r="AE2235" s="7" t="s">
        <v>0</v>
      </c>
      <c r="AF2235" s="7" t="s">
        <v>0</v>
      </c>
      <c r="AG2235" s="7" t="s">
        <v>0</v>
      </c>
      <c r="AH2235" s="9" t="s">
        <v>0</v>
      </c>
      <c r="AI2235" s="9" t="s">
        <v>0</v>
      </c>
      <c r="AJ2235" s="9" t="s">
        <v>0</v>
      </c>
      <c r="AK2235" s="7" t="s">
        <v>61</v>
      </c>
      <c r="AL2235" s="7" t="s">
        <v>61</v>
      </c>
      <c r="AM2235" s="7" t="s">
        <v>0</v>
      </c>
      <c r="AN2235" s="7" t="s">
        <v>0</v>
      </c>
      <c r="AO2235" s="7" t="s">
        <v>0</v>
      </c>
      <c r="AP2235" s="7" t="s">
        <v>0</v>
      </c>
      <c r="AQ2235" s="7" t="s">
        <v>61</v>
      </c>
      <c r="AR2235" s="7" t="s">
        <v>0</v>
      </c>
      <c r="AS2235" s="10" t="str">
        <f>HYPERLINK("https://tessa.gazprom-neft.local/edo/card/f226d993-af3a-4a3c-92b3-1be3d7fa92d0", "https://tessa.gazprom-neft.local/edo/card/f226d993-af3a-4a3c-92b3-1be3d7fa92d0")</f>
        <v>https://tessa.gazprom-neft.local/edo/card/f226d993-af3a-4a3c-92b3-1be3d7fa92d0</v>
      </c>
    </row>
    <row r="2236" spans="1:45" hidden="1" x14ac:dyDescent="0.25">
      <c r="A2236" s="6" t="s">
        <v>44</v>
      </c>
      <c r="B2236" s="7" t="s">
        <v>3172</v>
      </c>
      <c r="C2236" s="7" t="s">
        <v>67</v>
      </c>
      <c r="D2236" s="8">
        <v>44495</v>
      </c>
      <c r="E2236" s="8" t="s">
        <v>0</v>
      </c>
      <c r="F2236" s="16" t="s">
        <v>3173</v>
      </c>
      <c r="G2236" s="7" t="s">
        <v>3174</v>
      </c>
      <c r="H2236" s="7" t="s">
        <v>3169</v>
      </c>
      <c r="I2236" s="7" t="s">
        <v>0</v>
      </c>
      <c r="J2236" s="7" t="s">
        <v>7676</v>
      </c>
      <c r="K2236" s="7" t="s">
        <v>85</v>
      </c>
      <c r="L2236" s="7" t="s">
        <v>239</v>
      </c>
      <c r="M2236" s="7" t="s">
        <v>1252</v>
      </c>
      <c r="N2236" s="7" t="s">
        <v>8303</v>
      </c>
      <c r="O2236" s="7" t="s">
        <v>8304</v>
      </c>
      <c r="P2236" s="7" t="s">
        <v>8305</v>
      </c>
      <c r="Q2236" s="7" t="s">
        <v>8306</v>
      </c>
      <c r="R2236" s="7" t="s">
        <v>1256</v>
      </c>
      <c r="S2236" s="7" t="s">
        <v>1256</v>
      </c>
      <c r="T2236" s="7" t="s">
        <v>54</v>
      </c>
      <c r="U2236" s="7" t="s">
        <v>591</v>
      </c>
      <c r="V2236" s="7" t="s">
        <v>382</v>
      </c>
      <c r="W2236" s="7" t="s">
        <v>57</v>
      </c>
      <c r="X2236" s="7" t="s">
        <v>103</v>
      </c>
      <c r="Y2236" s="8">
        <v>44495</v>
      </c>
      <c r="Z2236" s="8">
        <v>44560</v>
      </c>
      <c r="AA2236" s="7" t="s">
        <v>1656</v>
      </c>
      <c r="AB2236" s="7" t="s">
        <v>2053</v>
      </c>
      <c r="AC2236" s="7" t="s">
        <v>65</v>
      </c>
      <c r="AD2236" s="7" t="s">
        <v>144</v>
      </c>
      <c r="AE2236" s="7" t="s">
        <v>0</v>
      </c>
      <c r="AF2236" s="7" t="s">
        <v>0</v>
      </c>
      <c r="AG2236" s="7" t="s">
        <v>0</v>
      </c>
      <c r="AH2236" s="9" t="s">
        <v>0</v>
      </c>
      <c r="AI2236" s="9" t="s">
        <v>0</v>
      </c>
      <c r="AJ2236" s="9" t="s">
        <v>0</v>
      </c>
      <c r="AK2236" s="7" t="s">
        <v>61</v>
      </c>
      <c r="AL2236" s="7" t="s">
        <v>61</v>
      </c>
      <c r="AM2236" s="7" t="s">
        <v>0</v>
      </c>
      <c r="AN2236" s="7" t="s">
        <v>0</v>
      </c>
      <c r="AO2236" s="7" t="s">
        <v>0</v>
      </c>
      <c r="AP2236" s="7" t="s">
        <v>0</v>
      </c>
      <c r="AQ2236" s="7" t="s">
        <v>61</v>
      </c>
      <c r="AR2236" s="7" t="s">
        <v>0</v>
      </c>
      <c r="AS2236" s="10" t="str">
        <f>HYPERLINK("https://tessa.gazprom-neft.local/edo/card/d69fc207-9e65-43ba-84dd-8084c6b07875", "https://tessa.gazprom-neft.local/edo/card/d69fc207-9e65-43ba-84dd-8084c6b07875")</f>
        <v>https://tessa.gazprom-neft.local/edo/card/d69fc207-9e65-43ba-84dd-8084c6b07875</v>
      </c>
    </row>
    <row r="2237" spans="1:45" hidden="1" x14ac:dyDescent="0.25">
      <c r="A2237" s="6" t="s">
        <v>44</v>
      </c>
      <c r="B2237" s="7" t="s">
        <v>3172</v>
      </c>
      <c r="C2237" s="7" t="s">
        <v>67</v>
      </c>
      <c r="D2237" s="8">
        <v>44495</v>
      </c>
      <c r="E2237" s="8" t="s">
        <v>0</v>
      </c>
      <c r="F2237" s="16" t="s">
        <v>3173</v>
      </c>
      <c r="G2237" s="7" t="s">
        <v>3174</v>
      </c>
      <c r="H2237" s="7" t="s">
        <v>3169</v>
      </c>
      <c r="I2237" s="7" t="s">
        <v>0</v>
      </c>
      <c r="J2237" s="7" t="s">
        <v>7676</v>
      </c>
      <c r="K2237" s="7" t="s">
        <v>85</v>
      </c>
      <c r="L2237" s="7" t="s">
        <v>239</v>
      </c>
      <c r="M2237" s="7" t="s">
        <v>1252</v>
      </c>
      <c r="N2237" s="7" t="s">
        <v>8311</v>
      </c>
      <c r="O2237" s="7" t="s">
        <v>8312</v>
      </c>
      <c r="P2237" s="7" t="s">
        <v>8313</v>
      </c>
      <c r="Q2237" s="7" t="s">
        <v>8314</v>
      </c>
      <c r="R2237" s="7" t="s">
        <v>1256</v>
      </c>
      <c r="S2237" s="7" t="s">
        <v>1256</v>
      </c>
      <c r="T2237" s="7" t="s">
        <v>54</v>
      </c>
      <c r="U2237" s="7" t="s">
        <v>591</v>
      </c>
      <c r="V2237" s="7" t="s">
        <v>382</v>
      </c>
      <c r="W2237" s="7" t="s">
        <v>57</v>
      </c>
      <c r="X2237" s="7" t="s">
        <v>103</v>
      </c>
      <c r="Y2237" s="8">
        <v>44495</v>
      </c>
      <c r="Z2237" s="8">
        <v>44560</v>
      </c>
      <c r="AA2237" s="7" t="s">
        <v>1656</v>
      </c>
      <c r="AB2237" s="7" t="s">
        <v>2053</v>
      </c>
      <c r="AC2237" s="7" t="s">
        <v>65</v>
      </c>
      <c r="AD2237" s="7" t="s">
        <v>144</v>
      </c>
      <c r="AE2237" s="7" t="s">
        <v>0</v>
      </c>
      <c r="AF2237" s="7" t="s">
        <v>0</v>
      </c>
      <c r="AG2237" s="7" t="s">
        <v>0</v>
      </c>
      <c r="AH2237" s="9" t="s">
        <v>0</v>
      </c>
      <c r="AI2237" s="9" t="s">
        <v>0</v>
      </c>
      <c r="AJ2237" s="9" t="s">
        <v>0</v>
      </c>
      <c r="AK2237" s="7" t="s">
        <v>61</v>
      </c>
      <c r="AL2237" s="7" t="s">
        <v>61</v>
      </c>
      <c r="AM2237" s="7" t="s">
        <v>0</v>
      </c>
      <c r="AN2237" s="7" t="s">
        <v>0</v>
      </c>
      <c r="AO2237" s="7" t="s">
        <v>0</v>
      </c>
      <c r="AP2237" s="7" t="s">
        <v>0</v>
      </c>
      <c r="AQ2237" s="7" t="s">
        <v>61</v>
      </c>
      <c r="AR2237" s="7" t="s">
        <v>0</v>
      </c>
      <c r="AS2237" s="10" t="str">
        <f>HYPERLINK("https://tessa.gazprom-neft.local/edo/card/236d4f40-2eed-47a1-9a2f-42cc8d02262b", "https://tessa.gazprom-neft.local/edo/card/236d4f40-2eed-47a1-9a2f-42cc8d02262b")</f>
        <v>https://tessa.gazprom-neft.local/edo/card/236d4f40-2eed-47a1-9a2f-42cc8d02262b</v>
      </c>
    </row>
    <row r="2238" spans="1:45" hidden="1" x14ac:dyDescent="0.25">
      <c r="A2238" s="6" t="s">
        <v>44</v>
      </c>
      <c r="B2238" s="7" t="s">
        <v>3172</v>
      </c>
      <c r="C2238" s="7" t="s">
        <v>67</v>
      </c>
      <c r="D2238" s="8">
        <v>44495</v>
      </c>
      <c r="E2238" s="8" t="s">
        <v>0</v>
      </c>
      <c r="F2238" s="16" t="s">
        <v>3173</v>
      </c>
      <c r="G2238" s="7" t="s">
        <v>3174</v>
      </c>
      <c r="H2238" s="7" t="s">
        <v>3169</v>
      </c>
      <c r="I2238" s="7" t="s">
        <v>0</v>
      </c>
      <c r="J2238" s="7" t="s">
        <v>7676</v>
      </c>
      <c r="K2238" s="7" t="s">
        <v>85</v>
      </c>
      <c r="L2238" s="7" t="s">
        <v>239</v>
      </c>
      <c r="M2238" s="7" t="s">
        <v>1252</v>
      </c>
      <c r="N2238" s="7" t="s">
        <v>8319</v>
      </c>
      <c r="O2238" s="7" t="s">
        <v>8320</v>
      </c>
      <c r="P2238" s="7" t="s">
        <v>8321</v>
      </c>
      <c r="Q2238" s="7" t="s">
        <v>8322</v>
      </c>
      <c r="R2238" s="7" t="s">
        <v>1256</v>
      </c>
      <c r="S2238" s="7" t="s">
        <v>1256</v>
      </c>
      <c r="T2238" s="7" t="s">
        <v>54</v>
      </c>
      <c r="U2238" s="7" t="s">
        <v>591</v>
      </c>
      <c r="V2238" s="7" t="s">
        <v>382</v>
      </c>
      <c r="W2238" s="7" t="s">
        <v>57</v>
      </c>
      <c r="X2238" s="7" t="s">
        <v>103</v>
      </c>
      <c r="Y2238" s="8">
        <v>44495</v>
      </c>
      <c r="Z2238" s="8">
        <v>44560</v>
      </c>
      <c r="AA2238" s="7" t="s">
        <v>1656</v>
      </c>
      <c r="AB2238" s="7" t="s">
        <v>2053</v>
      </c>
      <c r="AC2238" s="7" t="s">
        <v>65</v>
      </c>
      <c r="AD2238" s="7" t="s">
        <v>144</v>
      </c>
      <c r="AE2238" s="7" t="s">
        <v>0</v>
      </c>
      <c r="AF2238" s="7" t="s">
        <v>0</v>
      </c>
      <c r="AG2238" s="7" t="s">
        <v>0</v>
      </c>
      <c r="AH2238" s="9" t="s">
        <v>0</v>
      </c>
      <c r="AI2238" s="9" t="s">
        <v>0</v>
      </c>
      <c r="AJ2238" s="9" t="s">
        <v>0</v>
      </c>
      <c r="AK2238" s="7" t="s">
        <v>61</v>
      </c>
      <c r="AL2238" s="7" t="s">
        <v>61</v>
      </c>
      <c r="AM2238" s="7" t="s">
        <v>0</v>
      </c>
      <c r="AN2238" s="7" t="s">
        <v>0</v>
      </c>
      <c r="AO2238" s="7" t="s">
        <v>0</v>
      </c>
      <c r="AP2238" s="7" t="s">
        <v>0</v>
      </c>
      <c r="AQ2238" s="7" t="s">
        <v>61</v>
      </c>
      <c r="AR2238" s="7" t="s">
        <v>0</v>
      </c>
      <c r="AS2238" s="10" t="str">
        <f>HYPERLINK("https://tessa.gazprom-neft.local/edo/card/518701cd-7af9-44f2-9eb4-47e67420011e", "https://tessa.gazprom-neft.local/edo/card/518701cd-7af9-44f2-9eb4-47e67420011e")</f>
        <v>https://tessa.gazprom-neft.local/edo/card/518701cd-7af9-44f2-9eb4-47e67420011e</v>
      </c>
    </row>
    <row r="2239" spans="1:45" hidden="1" x14ac:dyDescent="0.25">
      <c r="A2239" s="6" t="s">
        <v>44</v>
      </c>
      <c r="B2239" s="7" t="s">
        <v>727</v>
      </c>
      <c r="C2239" s="7" t="s">
        <v>46</v>
      </c>
      <c r="D2239" s="8">
        <v>44494</v>
      </c>
      <c r="E2239" s="8" t="s">
        <v>0</v>
      </c>
      <c r="F2239" s="16" t="s">
        <v>728</v>
      </c>
      <c r="G2239" s="7" t="s">
        <v>729</v>
      </c>
      <c r="H2239" s="7" t="s">
        <v>0</v>
      </c>
      <c r="I2239" s="7" t="s">
        <v>7929</v>
      </c>
      <c r="J2239" s="7" t="s">
        <v>7929</v>
      </c>
      <c r="K2239" s="7" t="s">
        <v>47</v>
      </c>
      <c r="L2239" s="7" t="s">
        <v>86</v>
      </c>
      <c r="M2239" s="7" t="s">
        <v>0</v>
      </c>
      <c r="N2239" s="7" t="s">
        <v>7928</v>
      </c>
      <c r="O2239" s="7" t="s">
        <v>0</v>
      </c>
      <c r="P2239" s="7" t="s">
        <v>7930</v>
      </c>
      <c r="Q2239" s="7" t="s">
        <v>7931</v>
      </c>
      <c r="R2239" s="7" t="s">
        <v>540</v>
      </c>
      <c r="S2239" s="7" t="s">
        <v>0</v>
      </c>
      <c r="T2239" s="7" t="s">
        <v>54</v>
      </c>
      <c r="U2239" s="7" t="s">
        <v>541</v>
      </c>
      <c r="V2239" s="7" t="s">
        <v>56</v>
      </c>
      <c r="W2239" s="7" t="s">
        <v>57</v>
      </c>
      <c r="X2239" s="7" t="s">
        <v>223</v>
      </c>
      <c r="Y2239" s="8">
        <v>44494</v>
      </c>
      <c r="Z2239" s="8" t="s">
        <v>0</v>
      </c>
      <c r="AA2239" s="7" t="s">
        <v>0</v>
      </c>
      <c r="AB2239" s="7" t="s">
        <v>545</v>
      </c>
      <c r="AC2239" s="7" t="s">
        <v>65</v>
      </c>
      <c r="AD2239" s="7" t="s">
        <v>144</v>
      </c>
      <c r="AE2239" s="7" t="s">
        <v>0</v>
      </c>
      <c r="AF2239" s="7" t="s">
        <v>0</v>
      </c>
      <c r="AG2239" s="7" t="s">
        <v>0</v>
      </c>
      <c r="AH2239" s="9" t="s">
        <v>0</v>
      </c>
      <c r="AI2239" s="9" t="s">
        <v>0</v>
      </c>
      <c r="AJ2239" s="9" t="s">
        <v>0</v>
      </c>
      <c r="AK2239" s="7" t="s">
        <v>61</v>
      </c>
      <c r="AL2239" s="7" t="s">
        <v>61</v>
      </c>
      <c r="AM2239" s="7" t="s">
        <v>0</v>
      </c>
      <c r="AN2239" s="7" t="s">
        <v>0</v>
      </c>
      <c r="AO2239" s="7" t="s">
        <v>0</v>
      </c>
      <c r="AP2239" s="7" t="s">
        <v>0</v>
      </c>
      <c r="AQ2239" s="7" t="s">
        <v>61</v>
      </c>
      <c r="AR2239" s="7" t="s">
        <v>0</v>
      </c>
      <c r="AS2239" s="10" t="str">
        <f>HYPERLINK("https://tessa.gazprom-neft.local/edo/card/47a3049e-a9f5-4c36-869e-5ea22ddf7a88", "https://tessa.gazprom-neft.local/edo/card/47a3049e-a9f5-4c36-869e-5ea22ddf7a88")</f>
        <v>https://tessa.gazprom-neft.local/edo/card/47a3049e-a9f5-4c36-869e-5ea22ddf7a88</v>
      </c>
    </row>
    <row r="2240" spans="1:45" hidden="1" x14ac:dyDescent="0.25">
      <c r="A2240" s="6" t="s">
        <v>44</v>
      </c>
      <c r="B2240" s="7" t="s">
        <v>2132</v>
      </c>
      <c r="C2240" s="7" t="s">
        <v>67</v>
      </c>
      <c r="D2240" s="8">
        <v>44494</v>
      </c>
      <c r="E2240" s="8" t="s">
        <v>0</v>
      </c>
      <c r="F2240" s="16" t="s">
        <v>2133</v>
      </c>
      <c r="G2240" s="7" t="s">
        <v>739</v>
      </c>
      <c r="H2240" s="7" t="s">
        <v>0</v>
      </c>
      <c r="I2240" s="7" t="s">
        <v>2249</v>
      </c>
      <c r="J2240" s="7" t="s">
        <v>2249</v>
      </c>
      <c r="K2240" s="7" t="s">
        <v>85</v>
      </c>
      <c r="L2240" s="7" t="s">
        <v>96</v>
      </c>
      <c r="M2240" s="7" t="s">
        <v>8014</v>
      </c>
      <c r="N2240" s="7" t="s">
        <v>8015</v>
      </c>
      <c r="O2240" s="7" t="s">
        <v>0</v>
      </c>
      <c r="P2240" s="7" t="s">
        <v>8014</v>
      </c>
      <c r="Q2240" s="7" t="s">
        <v>8016</v>
      </c>
      <c r="R2240" s="7" t="s">
        <v>177</v>
      </c>
      <c r="S2240" s="7" t="s">
        <v>7877</v>
      </c>
      <c r="T2240" s="7" t="s">
        <v>54</v>
      </c>
      <c r="U2240" s="7" t="s">
        <v>210</v>
      </c>
      <c r="V2240" s="7" t="s">
        <v>137</v>
      </c>
      <c r="W2240" s="7" t="s">
        <v>57</v>
      </c>
      <c r="X2240" s="7" t="s">
        <v>103</v>
      </c>
      <c r="Y2240" s="8">
        <v>44494</v>
      </c>
      <c r="Z2240" s="8">
        <v>45657</v>
      </c>
      <c r="AA2240" s="7" t="s">
        <v>0</v>
      </c>
      <c r="AB2240" s="7" t="s">
        <v>2251</v>
      </c>
      <c r="AC2240" s="7" t="s">
        <v>79</v>
      </c>
      <c r="AD2240" s="7" t="s">
        <v>80</v>
      </c>
      <c r="AE2240" s="7" t="s">
        <v>82</v>
      </c>
      <c r="AF2240" s="7" t="s">
        <v>0</v>
      </c>
      <c r="AG2240" s="7" t="s">
        <v>0</v>
      </c>
      <c r="AH2240" s="9" t="s">
        <v>13401</v>
      </c>
      <c r="AI2240" s="9" t="s">
        <v>13402</v>
      </c>
      <c r="AJ2240" s="9" t="s">
        <v>13403</v>
      </c>
      <c r="AK2240" s="7" t="s">
        <v>61</v>
      </c>
      <c r="AL2240" s="7" t="s">
        <v>61</v>
      </c>
      <c r="AM2240" s="7" t="s">
        <v>0</v>
      </c>
      <c r="AN2240" s="7" t="s">
        <v>0</v>
      </c>
      <c r="AO2240" s="7" t="s">
        <v>0</v>
      </c>
      <c r="AP2240" s="7" t="s">
        <v>0</v>
      </c>
      <c r="AQ2240" s="7" t="s">
        <v>61</v>
      </c>
      <c r="AR2240" s="7" t="s">
        <v>0</v>
      </c>
      <c r="AS2240" s="10" t="str">
        <f>HYPERLINK("https://tessa.gazprom-neft.local/edo/card/5fe8aa31-9d45-4db5-aaaa-c52e7cd8219a", "https://tessa.gazprom-neft.local/edo/card/5fe8aa31-9d45-4db5-aaaa-c52e7cd8219a")</f>
        <v>https://tessa.gazprom-neft.local/edo/card/5fe8aa31-9d45-4db5-aaaa-c52e7cd8219a</v>
      </c>
    </row>
    <row r="2241" spans="1:45" x14ac:dyDescent="0.25">
      <c r="A2241" s="6" t="s">
        <v>44</v>
      </c>
      <c r="B2241" s="7" t="s">
        <v>342</v>
      </c>
      <c r="C2241" s="7" t="s">
        <v>67</v>
      </c>
      <c r="D2241" s="8">
        <v>44494</v>
      </c>
      <c r="E2241" s="8" t="s">
        <v>0</v>
      </c>
      <c r="F2241" s="16" t="s">
        <v>343</v>
      </c>
      <c r="G2241" s="7" t="s">
        <v>344</v>
      </c>
      <c r="H2241" s="7" t="s">
        <v>0</v>
      </c>
      <c r="I2241" s="7" t="s">
        <v>0</v>
      </c>
      <c r="J2241" s="7" t="s">
        <v>70</v>
      </c>
      <c r="K2241" s="7" t="s">
        <v>47</v>
      </c>
      <c r="L2241" s="7" t="s">
        <v>48</v>
      </c>
      <c r="M2241" s="7" t="s">
        <v>0</v>
      </c>
      <c r="N2241" s="7" t="s">
        <v>8088</v>
      </c>
      <c r="O2241" s="7" t="s">
        <v>0</v>
      </c>
      <c r="P2241" s="7" t="s">
        <v>510</v>
      </c>
      <c r="Q2241" s="7" t="s">
        <v>7966</v>
      </c>
      <c r="R2241" s="7" t="s">
        <v>513</v>
      </c>
      <c r="S2241" s="7" t="s">
        <v>513</v>
      </c>
      <c r="T2241" s="7" t="s">
        <v>54</v>
      </c>
      <c r="U2241" s="7" t="s">
        <v>303</v>
      </c>
      <c r="V2241" s="7" t="s">
        <v>91</v>
      </c>
      <c r="W2241" s="7" t="s">
        <v>57</v>
      </c>
      <c r="X2241" s="7" t="s">
        <v>103</v>
      </c>
      <c r="Y2241" s="8">
        <v>44562</v>
      </c>
      <c r="Z2241" s="8">
        <v>44865</v>
      </c>
      <c r="AA2241" s="7" t="s">
        <v>0</v>
      </c>
      <c r="AB2241" s="7" t="s">
        <v>328</v>
      </c>
      <c r="AC2241" s="7" t="s">
        <v>65</v>
      </c>
      <c r="AD2241" s="7" t="s">
        <v>514</v>
      </c>
      <c r="AE2241" s="7" t="s">
        <v>0</v>
      </c>
      <c r="AF2241" s="7" t="s">
        <v>0</v>
      </c>
      <c r="AG2241" s="7" t="s">
        <v>0</v>
      </c>
      <c r="AH2241" s="9" t="s">
        <v>0</v>
      </c>
      <c r="AI2241" s="9" t="s">
        <v>0</v>
      </c>
      <c r="AJ2241" s="9" t="s">
        <v>0</v>
      </c>
      <c r="AK2241" s="7" t="s">
        <v>61</v>
      </c>
      <c r="AL2241" s="7" t="s">
        <v>61</v>
      </c>
      <c r="AM2241" s="7" t="s">
        <v>0</v>
      </c>
      <c r="AN2241" s="7" t="s">
        <v>0</v>
      </c>
      <c r="AO2241" s="7" t="s">
        <v>0</v>
      </c>
      <c r="AP2241" s="7" t="s">
        <v>0</v>
      </c>
      <c r="AQ2241" s="7" t="s">
        <v>61</v>
      </c>
      <c r="AR2241" s="7" t="s">
        <v>0</v>
      </c>
      <c r="AS2241" s="10" t="str">
        <f>HYPERLINK("https://tessa.gazprom-neft.local/edo/card/587e9db5-2b93-45fd-8cee-be88920f7127", "https://tessa.gazprom-neft.local/edo/card/587e9db5-2b93-45fd-8cee-be88920f7127")</f>
        <v>https://tessa.gazprom-neft.local/edo/card/587e9db5-2b93-45fd-8cee-be88920f7127</v>
      </c>
    </row>
    <row r="2242" spans="1:45" x14ac:dyDescent="0.25">
      <c r="A2242" s="6" t="s">
        <v>44</v>
      </c>
      <c r="B2242" s="7" t="s">
        <v>1950</v>
      </c>
      <c r="C2242" s="7" t="s">
        <v>67</v>
      </c>
      <c r="D2242" s="8">
        <v>44494</v>
      </c>
      <c r="E2242" s="8" t="s">
        <v>0</v>
      </c>
      <c r="F2242" s="16" t="s">
        <v>1951</v>
      </c>
      <c r="G2242" s="7" t="s">
        <v>1952</v>
      </c>
      <c r="H2242" s="7" t="s">
        <v>3376</v>
      </c>
      <c r="I2242" s="7" t="s">
        <v>0</v>
      </c>
      <c r="J2242" s="7" t="s">
        <v>51</v>
      </c>
      <c r="K2242" s="7" t="s">
        <v>85</v>
      </c>
      <c r="L2242" s="7" t="s">
        <v>48</v>
      </c>
      <c r="M2242" s="7" t="s">
        <v>7037</v>
      </c>
      <c r="N2242" s="7" t="s">
        <v>8186</v>
      </c>
      <c r="O2242" s="7" t="s">
        <v>0</v>
      </c>
      <c r="P2242" s="7" t="s">
        <v>7037</v>
      </c>
      <c r="Q2242" s="7" t="s">
        <v>8187</v>
      </c>
      <c r="R2242" s="7" t="s">
        <v>7312</v>
      </c>
      <c r="S2242" s="7" t="s">
        <v>1711</v>
      </c>
      <c r="T2242" s="7" t="s">
        <v>54</v>
      </c>
      <c r="U2242" s="7" t="s">
        <v>605</v>
      </c>
      <c r="V2242" s="7" t="s">
        <v>382</v>
      </c>
      <c r="W2242" s="7" t="s">
        <v>57</v>
      </c>
      <c r="X2242" s="7" t="s">
        <v>103</v>
      </c>
      <c r="Y2242" s="8">
        <v>44494</v>
      </c>
      <c r="Z2242" s="8">
        <v>45657</v>
      </c>
      <c r="AA2242" s="7" t="s">
        <v>1656</v>
      </c>
      <c r="AB2242" s="7" t="s">
        <v>1893</v>
      </c>
      <c r="AC2242" s="7" t="s">
        <v>65</v>
      </c>
      <c r="AD2242" s="7" t="s">
        <v>0</v>
      </c>
      <c r="AE2242" s="7" t="s">
        <v>0</v>
      </c>
      <c r="AF2242" s="7" t="s">
        <v>0</v>
      </c>
      <c r="AG2242" s="7" t="s">
        <v>0</v>
      </c>
      <c r="AH2242" s="9" t="s">
        <v>0</v>
      </c>
      <c r="AI2242" s="9" t="s">
        <v>0</v>
      </c>
      <c r="AJ2242" s="9" t="s">
        <v>0</v>
      </c>
      <c r="AK2242" s="7" t="s">
        <v>61</v>
      </c>
      <c r="AL2242" s="7" t="s">
        <v>61</v>
      </c>
      <c r="AM2242" s="7" t="s">
        <v>0</v>
      </c>
      <c r="AN2242" s="7" t="s">
        <v>0</v>
      </c>
      <c r="AO2242" s="7" t="s">
        <v>0</v>
      </c>
      <c r="AP2242" s="7" t="s">
        <v>0</v>
      </c>
      <c r="AQ2242" s="7" t="s">
        <v>61</v>
      </c>
      <c r="AR2242" s="7" t="s">
        <v>0</v>
      </c>
      <c r="AS2242" s="10" t="str">
        <f>HYPERLINK("https://tessa.gazprom-neft.local/edo/card/2d929047-3046-441c-bd4e-edf2597f7bfe", "https://tessa.gazprom-neft.local/edo/card/2d929047-3046-441c-bd4e-edf2597f7bfe")</f>
        <v>https://tessa.gazprom-neft.local/edo/card/2d929047-3046-441c-bd4e-edf2597f7bfe</v>
      </c>
    </row>
    <row r="2243" spans="1:45" hidden="1" x14ac:dyDescent="0.25">
      <c r="A2243" s="6" t="s">
        <v>44</v>
      </c>
      <c r="B2243" s="7" t="s">
        <v>661</v>
      </c>
      <c r="C2243" s="7" t="s">
        <v>67</v>
      </c>
      <c r="D2243" s="8">
        <v>44494</v>
      </c>
      <c r="E2243" s="8" t="s">
        <v>0</v>
      </c>
      <c r="F2243" s="16" t="s">
        <v>662</v>
      </c>
      <c r="G2243" s="7" t="s">
        <v>663</v>
      </c>
      <c r="H2243" s="7" t="s">
        <v>1426</v>
      </c>
      <c r="I2243" s="7" t="s">
        <v>0</v>
      </c>
      <c r="J2243" s="7" t="s">
        <v>51</v>
      </c>
      <c r="K2243" s="7" t="s">
        <v>47</v>
      </c>
      <c r="L2243" s="7" t="s">
        <v>1446</v>
      </c>
      <c r="M2243" s="7" t="s">
        <v>0</v>
      </c>
      <c r="N2243" s="7" t="s">
        <v>8244</v>
      </c>
      <c r="O2243" s="7" t="s">
        <v>70</v>
      </c>
      <c r="P2243" s="7" t="s">
        <v>8245</v>
      </c>
      <c r="Q2243" s="7" t="s">
        <v>8246</v>
      </c>
      <c r="R2243" s="7" t="s">
        <v>659</v>
      </c>
      <c r="S2243" s="7" t="s">
        <v>7514</v>
      </c>
      <c r="T2243" s="7" t="s">
        <v>54</v>
      </c>
      <c r="U2243" s="7" t="s">
        <v>283</v>
      </c>
      <c r="V2243" s="7" t="s">
        <v>102</v>
      </c>
      <c r="W2243" s="7" t="s">
        <v>57</v>
      </c>
      <c r="X2243" s="7" t="s">
        <v>103</v>
      </c>
      <c r="Y2243" s="8">
        <v>44494</v>
      </c>
      <c r="Z2243" s="8">
        <v>44500</v>
      </c>
      <c r="AA2243" s="7" t="s">
        <v>6296</v>
      </c>
      <c r="AB2243" s="7" t="s">
        <v>2425</v>
      </c>
      <c r="AC2243" s="7" t="s">
        <v>79</v>
      </c>
      <c r="AD2243" s="7" t="s">
        <v>514</v>
      </c>
      <c r="AE2243" s="7" t="s">
        <v>82</v>
      </c>
      <c r="AF2243" s="7" t="s">
        <v>0</v>
      </c>
      <c r="AG2243" s="7" t="s">
        <v>0</v>
      </c>
      <c r="AH2243" s="9" t="s">
        <v>13489</v>
      </c>
      <c r="AI2243" s="9" t="s">
        <v>13490</v>
      </c>
      <c r="AJ2243" s="9" t="s">
        <v>13491</v>
      </c>
      <c r="AK2243" s="7" t="s">
        <v>61</v>
      </c>
      <c r="AL2243" s="7" t="s">
        <v>61</v>
      </c>
      <c r="AM2243" s="7" t="s">
        <v>0</v>
      </c>
      <c r="AN2243" s="7" t="s">
        <v>0</v>
      </c>
      <c r="AO2243" s="7" t="s">
        <v>0</v>
      </c>
      <c r="AP2243" s="7" t="s">
        <v>0</v>
      </c>
      <c r="AQ2243" s="7" t="s">
        <v>61</v>
      </c>
      <c r="AR2243" s="7" t="s">
        <v>0</v>
      </c>
      <c r="AS2243" s="10" t="str">
        <f>HYPERLINK("https://tessa.gazprom-neft.local/edo/card/4c83487c-d880-47e9-be75-e65a78ccc457", "https://tessa.gazprom-neft.local/edo/card/4c83487c-d880-47e9-be75-e65a78ccc457")</f>
        <v>https://tessa.gazprom-neft.local/edo/card/4c83487c-d880-47e9-be75-e65a78ccc457</v>
      </c>
    </row>
    <row r="2244" spans="1:45" hidden="1" x14ac:dyDescent="0.25">
      <c r="A2244" s="6" t="s">
        <v>44</v>
      </c>
      <c r="B2244" s="7" t="s">
        <v>737</v>
      </c>
      <c r="C2244" s="7" t="s">
        <v>67</v>
      </c>
      <c r="D2244" s="8">
        <v>44494</v>
      </c>
      <c r="E2244" s="8" t="s">
        <v>0</v>
      </c>
      <c r="F2244" s="16" t="s">
        <v>738</v>
      </c>
      <c r="G2244" s="7" t="s">
        <v>739</v>
      </c>
      <c r="H2244" s="7" t="s">
        <v>0</v>
      </c>
      <c r="I2244" s="7" t="s">
        <v>9098</v>
      </c>
      <c r="J2244" s="7" t="s">
        <v>9098</v>
      </c>
      <c r="K2244" s="7" t="s">
        <v>85</v>
      </c>
      <c r="L2244" s="7" t="s">
        <v>86</v>
      </c>
      <c r="M2244" s="7" t="s">
        <v>216</v>
      </c>
      <c r="N2244" s="7" t="s">
        <v>9097</v>
      </c>
      <c r="O2244" s="7" t="s">
        <v>0</v>
      </c>
      <c r="P2244" s="7" t="s">
        <v>216</v>
      </c>
      <c r="Q2244" s="7" t="s">
        <v>9099</v>
      </c>
      <c r="R2244" s="7" t="s">
        <v>3144</v>
      </c>
      <c r="S2244" s="7" t="s">
        <v>3144</v>
      </c>
      <c r="T2244" s="7" t="s">
        <v>54</v>
      </c>
      <c r="U2244" s="7" t="s">
        <v>899</v>
      </c>
      <c r="V2244" s="7" t="s">
        <v>137</v>
      </c>
      <c r="W2244" s="7" t="s">
        <v>57</v>
      </c>
      <c r="X2244" s="7" t="s">
        <v>223</v>
      </c>
      <c r="Y2244" s="8">
        <v>44494</v>
      </c>
      <c r="Z2244" s="8" t="s">
        <v>0</v>
      </c>
      <c r="AA2244" s="7" t="s">
        <v>0</v>
      </c>
      <c r="AB2244" s="7" t="s">
        <v>228</v>
      </c>
      <c r="AC2244" s="7" t="s">
        <v>65</v>
      </c>
      <c r="AD2244" s="7" t="s">
        <v>0</v>
      </c>
      <c r="AE2244" s="7" t="s">
        <v>0</v>
      </c>
      <c r="AF2244" s="7" t="s">
        <v>0</v>
      </c>
      <c r="AG2244" s="7" t="s">
        <v>0</v>
      </c>
      <c r="AH2244" s="9" t="s">
        <v>0</v>
      </c>
      <c r="AI2244" s="9" t="s">
        <v>0</v>
      </c>
      <c r="AJ2244" s="9" t="s">
        <v>0</v>
      </c>
      <c r="AK2244" s="7" t="s">
        <v>61</v>
      </c>
      <c r="AL2244" s="7" t="s">
        <v>61</v>
      </c>
      <c r="AM2244" s="7" t="s">
        <v>0</v>
      </c>
      <c r="AN2244" s="7" t="s">
        <v>0</v>
      </c>
      <c r="AO2244" s="7" t="s">
        <v>0</v>
      </c>
      <c r="AP2244" s="7" t="s">
        <v>0</v>
      </c>
      <c r="AQ2244" s="7" t="s">
        <v>61</v>
      </c>
      <c r="AR2244" s="7" t="s">
        <v>0</v>
      </c>
      <c r="AS2244" s="10" t="str">
        <f>HYPERLINK("https://tessa.gazprom-neft.local/edo/card/1c740f3d-ff31-46e3-8240-9eb7ee718625", "https://tessa.gazprom-neft.local/edo/card/1c740f3d-ff31-46e3-8240-9eb7ee718625")</f>
        <v>https://tessa.gazprom-neft.local/edo/card/1c740f3d-ff31-46e3-8240-9eb7ee718625</v>
      </c>
    </row>
    <row r="2245" spans="1:45" hidden="1" x14ac:dyDescent="0.25">
      <c r="A2245" s="6" t="s">
        <v>44</v>
      </c>
      <c r="B2245" s="7" t="s">
        <v>297</v>
      </c>
      <c r="C2245" s="7" t="s">
        <v>67</v>
      </c>
      <c r="D2245" s="8">
        <v>44491</v>
      </c>
      <c r="E2245" s="8" t="s">
        <v>0</v>
      </c>
      <c r="F2245" s="16" t="s">
        <v>298</v>
      </c>
      <c r="G2245" s="7" t="s">
        <v>299</v>
      </c>
      <c r="H2245" s="7" t="s">
        <v>0</v>
      </c>
      <c r="I2245" s="7" t="s">
        <v>2763</v>
      </c>
      <c r="J2245" s="7" t="s">
        <v>2763</v>
      </c>
      <c r="K2245" s="7" t="s">
        <v>47</v>
      </c>
      <c r="L2245" s="7" t="s">
        <v>96</v>
      </c>
      <c r="M2245" s="7" t="s">
        <v>0</v>
      </c>
      <c r="N2245" s="7" t="s">
        <v>7874</v>
      </c>
      <c r="O2245" s="7" t="s">
        <v>0</v>
      </c>
      <c r="P2245" s="7" t="s">
        <v>7875</v>
      </c>
      <c r="Q2245" s="7" t="s">
        <v>7876</v>
      </c>
      <c r="R2245" s="7" t="s">
        <v>7877</v>
      </c>
      <c r="S2245" s="7" t="s">
        <v>7877</v>
      </c>
      <c r="T2245" s="7" t="s">
        <v>54</v>
      </c>
      <c r="U2245" s="7" t="s">
        <v>899</v>
      </c>
      <c r="V2245" s="7" t="s">
        <v>137</v>
      </c>
      <c r="W2245" s="7" t="s">
        <v>57</v>
      </c>
      <c r="X2245" s="7" t="s">
        <v>103</v>
      </c>
      <c r="Y2245" s="8">
        <v>44562</v>
      </c>
      <c r="Z2245" s="8">
        <v>45291</v>
      </c>
      <c r="AA2245" s="7" t="s">
        <v>0</v>
      </c>
      <c r="AB2245" s="7" t="s">
        <v>2585</v>
      </c>
      <c r="AC2245" s="7" t="s">
        <v>79</v>
      </c>
      <c r="AD2245" s="7" t="s">
        <v>514</v>
      </c>
      <c r="AE2245" s="7" t="s">
        <v>82</v>
      </c>
      <c r="AF2245" s="7" t="s">
        <v>0</v>
      </c>
      <c r="AG2245" s="7" t="s">
        <v>0</v>
      </c>
      <c r="AH2245" s="9" t="s">
        <v>13352</v>
      </c>
      <c r="AI2245" s="9" t="s">
        <v>13353</v>
      </c>
      <c r="AJ2245" s="9" t="s">
        <v>13354</v>
      </c>
      <c r="AK2245" s="7" t="s">
        <v>61</v>
      </c>
      <c r="AL2245" s="7" t="s">
        <v>61</v>
      </c>
      <c r="AM2245" s="7" t="s">
        <v>0</v>
      </c>
      <c r="AN2245" s="7" t="s">
        <v>0</v>
      </c>
      <c r="AO2245" s="7" t="s">
        <v>0</v>
      </c>
      <c r="AP2245" s="7" t="s">
        <v>0</v>
      </c>
      <c r="AQ2245" s="7" t="s">
        <v>61</v>
      </c>
      <c r="AR2245" s="7" t="s">
        <v>0</v>
      </c>
      <c r="AS2245" s="10" t="str">
        <f>HYPERLINK("https://tessa.gazprom-neft.local/edo/card/c567b25e-5bcc-421c-882b-8a62d38b1ad6", "https://tessa.gazprom-neft.local/edo/card/c567b25e-5bcc-421c-882b-8a62d38b1ad6")</f>
        <v>https://tessa.gazprom-neft.local/edo/card/c567b25e-5bcc-421c-882b-8a62d38b1ad6</v>
      </c>
    </row>
    <row r="2246" spans="1:45" hidden="1" x14ac:dyDescent="0.25">
      <c r="A2246" s="6" t="s">
        <v>44</v>
      </c>
      <c r="B2246" s="7" t="s">
        <v>0</v>
      </c>
      <c r="C2246" s="7" t="s">
        <v>67</v>
      </c>
      <c r="D2246" s="8">
        <v>44490</v>
      </c>
      <c r="E2246" s="8" t="s">
        <v>0</v>
      </c>
      <c r="F2246" s="16" t="s">
        <v>8046</v>
      </c>
      <c r="G2246" s="7" t="s">
        <v>0</v>
      </c>
      <c r="H2246" s="7" t="s">
        <v>0</v>
      </c>
      <c r="I2246" s="7" t="s">
        <v>8045</v>
      </c>
      <c r="J2246" s="7" t="s">
        <v>8045</v>
      </c>
      <c r="K2246" s="7" t="s">
        <v>85</v>
      </c>
      <c r="L2246" s="7" t="s">
        <v>86</v>
      </c>
      <c r="M2246" s="7" t="s">
        <v>8043</v>
      </c>
      <c r="N2246" s="7" t="s">
        <v>8044</v>
      </c>
      <c r="O2246" s="7" t="s">
        <v>0</v>
      </c>
      <c r="P2246" s="7" t="s">
        <v>8043</v>
      </c>
      <c r="Q2246" s="7" t="s">
        <v>5413</v>
      </c>
      <c r="R2246" s="7" t="s">
        <v>5414</v>
      </c>
      <c r="S2246" s="7" t="s">
        <v>5414</v>
      </c>
      <c r="T2246" s="7" t="s">
        <v>54</v>
      </c>
      <c r="U2246" s="7" t="s">
        <v>1464</v>
      </c>
      <c r="V2246" s="7" t="s">
        <v>137</v>
      </c>
      <c r="W2246" s="7" t="s">
        <v>57</v>
      </c>
      <c r="X2246" s="7" t="s">
        <v>103</v>
      </c>
      <c r="Y2246" s="8">
        <v>44490</v>
      </c>
      <c r="Z2246" s="8">
        <v>44926</v>
      </c>
      <c r="AA2246" s="7" t="s">
        <v>0</v>
      </c>
      <c r="AB2246" s="7" t="s">
        <v>94</v>
      </c>
      <c r="AC2246" s="7" t="s">
        <v>65</v>
      </c>
      <c r="AD2246" s="7" t="s">
        <v>0</v>
      </c>
      <c r="AE2246" s="7" t="s">
        <v>0</v>
      </c>
      <c r="AF2246" s="7" t="s">
        <v>0</v>
      </c>
      <c r="AG2246" s="7" t="s">
        <v>0</v>
      </c>
      <c r="AH2246" s="9" t="s">
        <v>0</v>
      </c>
      <c r="AI2246" s="9" t="s">
        <v>0</v>
      </c>
      <c r="AJ2246" s="9" t="s">
        <v>0</v>
      </c>
      <c r="AK2246" s="7" t="s">
        <v>61</v>
      </c>
      <c r="AL2246" s="7" t="s">
        <v>61</v>
      </c>
      <c r="AM2246" s="7" t="s">
        <v>0</v>
      </c>
      <c r="AN2246" s="7" t="s">
        <v>0</v>
      </c>
      <c r="AO2246" s="7" t="s">
        <v>0</v>
      </c>
      <c r="AP2246" s="7" t="s">
        <v>0</v>
      </c>
      <c r="AQ2246" s="7" t="s">
        <v>61</v>
      </c>
      <c r="AR2246" s="7" t="s">
        <v>0</v>
      </c>
      <c r="AS2246" s="10" t="str">
        <f>HYPERLINK("https://tessa.gazprom-neft.local/edo/card/3b2f9cce-c7e9-4645-8a87-5c922058c3d5", "https://tessa.gazprom-neft.local/edo/card/3b2f9cce-c7e9-4645-8a87-5c922058c3d5")</f>
        <v>https://tessa.gazprom-neft.local/edo/card/3b2f9cce-c7e9-4645-8a87-5c922058c3d5</v>
      </c>
    </row>
    <row r="2247" spans="1:45" hidden="1" x14ac:dyDescent="0.25">
      <c r="A2247" s="6" t="s">
        <v>44</v>
      </c>
      <c r="B2247" s="7" t="s">
        <v>606</v>
      </c>
      <c r="C2247" s="7" t="s">
        <v>67</v>
      </c>
      <c r="D2247" s="8">
        <v>44489</v>
      </c>
      <c r="E2247" s="8" t="s">
        <v>0</v>
      </c>
      <c r="F2247" s="16" t="s">
        <v>607</v>
      </c>
      <c r="G2247" s="7" t="s">
        <v>608</v>
      </c>
      <c r="H2247" s="7" t="s">
        <v>8110</v>
      </c>
      <c r="I2247" s="7" t="s">
        <v>0</v>
      </c>
      <c r="J2247" s="7" t="s">
        <v>8112</v>
      </c>
      <c r="K2247" s="7" t="s">
        <v>47</v>
      </c>
      <c r="L2247" s="7" t="s">
        <v>239</v>
      </c>
      <c r="M2247" s="7" t="s">
        <v>0</v>
      </c>
      <c r="N2247" s="7" t="s">
        <v>8109</v>
      </c>
      <c r="O2247" s="7" t="s">
        <v>0</v>
      </c>
      <c r="P2247" s="7" t="s">
        <v>8111</v>
      </c>
      <c r="Q2247" s="7" t="s">
        <v>8113</v>
      </c>
      <c r="R2247" s="7" t="s">
        <v>604</v>
      </c>
      <c r="S2247" s="7" t="s">
        <v>604</v>
      </c>
      <c r="T2247" s="7" t="s">
        <v>54</v>
      </c>
      <c r="U2247" s="7" t="s">
        <v>605</v>
      </c>
      <c r="V2247" s="7" t="s">
        <v>382</v>
      </c>
      <c r="W2247" s="7" t="s">
        <v>57</v>
      </c>
      <c r="X2247" s="7" t="s">
        <v>103</v>
      </c>
      <c r="Y2247" s="8">
        <v>44489</v>
      </c>
      <c r="Z2247" s="8">
        <v>44926</v>
      </c>
      <c r="AA2247" s="7" t="s">
        <v>1656</v>
      </c>
      <c r="AB2247" s="7" t="s">
        <v>888</v>
      </c>
      <c r="AC2247" s="7" t="s">
        <v>79</v>
      </c>
      <c r="AD2247" s="7" t="s">
        <v>144</v>
      </c>
      <c r="AE2247" s="7" t="s">
        <v>82</v>
      </c>
      <c r="AF2247" s="7" t="s">
        <v>0</v>
      </c>
      <c r="AG2247" s="7" t="s">
        <v>0</v>
      </c>
      <c r="AH2247" s="9" t="s">
        <v>13442</v>
      </c>
      <c r="AI2247" s="9" t="s">
        <v>13443</v>
      </c>
      <c r="AJ2247" s="9" t="s">
        <v>13444</v>
      </c>
      <c r="AK2247" s="7" t="s">
        <v>61</v>
      </c>
      <c r="AL2247" s="7" t="s">
        <v>61</v>
      </c>
      <c r="AM2247" s="7" t="s">
        <v>0</v>
      </c>
      <c r="AN2247" s="7" t="s">
        <v>0</v>
      </c>
      <c r="AO2247" s="7" t="s">
        <v>0</v>
      </c>
      <c r="AP2247" s="7" t="s">
        <v>0</v>
      </c>
      <c r="AQ2247" s="7" t="s">
        <v>61</v>
      </c>
      <c r="AR2247" s="7" t="s">
        <v>0</v>
      </c>
      <c r="AS2247" s="10" t="str">
        <f>HYPERLINK("https://tessa.gazprom-neft.local/edo/card/c5e4a19a-8ca7-47e7-95d5-e03aa17b1ca4", "https://tessa.gazprom-neft.local/edo/card/c5e4a19a-8ca7-47e7-95d5-e03aa17b1ca4")</f>
        <v>https://tessa.gazprom-neft.local/edo/card/c5e4a19a-8ca7-47e7-95d5-e03aa17b1ca4</v>
      </c>
    </row>
    <row r="2248" spans="1:45" hidden="1" x14ac:dyDescent="0.25">
      <c r="A2248" s="6" t="s">
        <v>44</v>
      </c>
      <c r="B2248" s="7" t="s">
        <v>0</v>
      </c>
      <c r="C2248" s="7" t="s">
        <v>46</v>
      </c>
      <c r="D2248" s="8">
        <v>44487</v>
      </c>
      <c r="E2248" s="8" t="s">
        <v>0</v>
      </c>
      <c r="F2248" s="16" t="s">
        <v>7492</v>
      </c>
      <c r="G2248" s="7" t="s">
        <v>0</v>
      </c>
      <c r="H2248" s="7" t="s">
        <v>0</v>
      </c>
      <c r="I2248" s="7" t="s">
        <v>7491</v>
      </c>
      <c r="J2248" s="7" t="s">
        <v>7491</v>
      </c>
      <c r="K2248" s="7" t="s">
        <v>85</v>
      </c>
      <c r="L2248" s="7" t="s">
        <v>96</v>
      </c>
      <c r="M2248" s="7" t="s">
        <v>183</v>
      </c>
      <c r="N2248" s="7" t="s">
        <v>7490</v>
      </c>
      <c r="O2248" s="7" t="s">
        <v>0</v>
      </c>
      <c r="P2248" s="7" t="s">
        <v>183</v>
      </c>
      <c r="Q2248" s="7" t="s">
        <v>2122</v>
      </c>
      <c r="R2248" s="7" t="s">
        <v>2123</v>
      </c>
      <c r="S2248" s="7" t="s">
        <v>2123</v>
      </c>
      <c r="T2248" s="7" t="s">
        <v>54</v>
      </c>
      <c r="U2248" s="7" t="s">
        <v>478</v>
      </c>
      <c r="V2248" s="7" t="s">
        <v>137</v>
      </c>
      <c r="W2248" s="7" t="s">
        <v>57</v>
      </c>
      <c r="X2248" s="7" t="s">
        <v>103</v>
      </c>
      <c r="Y2248" s="8">
        <v>44487</v>
      </c>
      <c r="Z2248" s="8">
        <v>44589</v>
      </c>
      <c r="AA2248" s="7" t="s">
        <v>0</v>
      </c>
      <c r="AB2248" s="7" t="s">
        <v>192</v>
      </c>
      <c r="AC2248" s="7" t="s">
        <v>79</v>
      </c>
      <c r="AD2248" s="7" t="s">
        <v>80</v>
      </c>
      <c r="AE2248" s="7" t="s">
        <v>193</v>
      </c>
      <c r="AF2248" s="7" t="s">
        <v>0</v>
      </c>
      <c r="AG2248" s="7" t="s">
        <v>0</v>
      </c>
      <c r="AH2248" s="9" t="s">
        <v>13196</v>
      </c>
      <c r="AI2248" s="9" t="s">
        <v>13197</v>
      </c>
      <c r="AJ2248" s="9" t="s">
        <v>13198</v>
      </c>
      <c r="AK2248" s="7" t="s">
        <v>61</v>
      </c>
      <c r="AL2248" s="7" t="s">
        <v>61</v>
      </c>
      <c r="AM2248" s="7" t="s">
        <v>0</v>
      </c>
      <c r="AN2248" s="7" t="s">
        <v>0</v>
      </c>
      <c r="AO2248" s="7" t="s">
        <v>0</v>
      </c>
      <c r="AP2248" s="7" t="s">
        <v>0</v>
      </c>
      <c r="AQ2248" s="7" t="s">
        <v>61</v>
      </c>
      <c r="AR2248" s="7" t="s">
        <v>0</v>
      </c>
      <c r="AS2248" s="10" t="str">
        <f>HYPERLINK("https://tessa.gazprom-neft.local/edo/card/e96427ee-a38e-4dea-bb70-2c775539a0cd", "https://tessa.gazprom-neft.local/edo/card/e96427ee-a38e-4dea-bb70-2c775539a0cd")</f>
        <v>https://tessa.gazprom-neft.local/edo/card/e96427ee-a38e-4dea-bb70-2c775539a0cd</v>
      </c>
    </row>
    <row r="2249" spans="1:45" hidden="1" x14ac:dyDescent="0.25">
      <c r="A2249" s="6" t="s">
        <v>44</v>
      </c>
      <c r="B2249" s="7" t="s">
        <v>403</v>
      </c>
      <c r="C2249" s="7" t="s">
        <v>67</v>
      </c>
      <c r="D2249" s="8">
        <v>44487</v>
      </c>
      <c r="E2249" s="8" t="s">
        <v>0</v>
      </c>
      <c r="F2249" s="16" t="s">
        <v>404</v>
      </c>
      <c r="G2249" s="7" t="s">
        <v>405</v>
      </c>
      <c r="H2249" s="7" t="s">
        <v>0</v>
      </c>
      <c r="I2249" s="7" t="s">
        <v>3929</v>
      </c>
      <c r="J2249" s="7" t="s">
        <v>3929</v>
      </c>
      <c r="K2249" s="7" t="s">
        <v>47</v>
      </c>
      <c r="L2249" s="7" t="s">
        <v>96</v>
      </c>
      <c r="M2249" s="7" t="s">
        <v>0</v>
      </c>
      <c r="N2249" s="7" t="s">
        <v>7900</v>
      </c>
      <c r="O2249" s="7" t="s">
        <v>0</v>
      </c>
      <c r="P2249" s="7" t="s">
        <v>7901</v>
      </c>
      <c r="Q2249" s="7" t="s">
        <v>7901</v>
      </c>
      <c r="R2249" s="7" t="s">
        <v>799</v>
      </c>
      <c r="S2249" s="7" t="s">
        <v>799</v>
      </c>
      <c r="T2249" s="7" t="s">
        <v>54</v>
      </c>
      <c r="U2249" s="7" t="s">
        <v>55</v>
      </c>
      <c r="V2249" s="7" t="s">
        <v>56</v>
      </c>
      <c r="W2249" s="7" t="s">
        <v>57</v>
      </c>
      <c r="X2249" s="7" t="s">
        <v>103</v>
      </c>
      <c r="Y2249" s="8">
        <v>44487</v>
      </c>
      <c r="Z2249" s="8">
        <v>45291</v>
      </c>
      <c r="AA2249" s="7" t="s">
        <v>0</v>
      </c>
      <c r="AB2249" s="7" t="s">
        <v>2269</v>
      </c>
      <c r="AC2249" s="7" t="s">
        <v>79</v>
      </c>
      <c r="AD2249" s="7" t="s">
        <v>80</v>
      </c>
      <c r="AE2249" s="7" t="s">
        <v>82</v>
      </c>
      <c r="AF2249" s="7" t="s">
        <v>0</v>
      </c>
      <c r="AG2249" s="7" t="s">
        <v>0</v>
      </c>
      <c r="AH2249" s="9" t="s">
        <v>13363</v>
      </c>
      <c r="AI2249" s="9" t="s">
        <v>13364</v>
      </c>
      <c r="AJ2249" s="9" t="s">
        <v>13365</v>
      </c>
      <c r="AK2249" s="7" t="s">
        <v>61</v>
      </c>
      <c r="AL2249" s="7" t="s">
        <v>61</v>
      </c>
      <c r="AM2249" s="7" t="s">
        <v>0</v>
      </c>
      <c r="AN2249" s="7" t="s">
        <v>0</v>
      </c>
      <c r="AO2249" s="7" t="s">
        <v>0</v>
      </c>
      <c r="AP2249" s="7" t="s">
        <v>0</v>
      </c>
      <c r="AQ2249" s="7" t="s">
        <v>61</v>
      </c>
      <c r="AR2249" s="7" t="s">
        <v>0</v>
      </c>
      <c r="AS2249" s="10" t="str">
        <f>HYPERLINK("https://tessa.gazprom-neft.local/edo/card/68372eb4-4b5a-421f-9e95-b652b7675578", "https://tessa.gazprom-neft.local/edo/card/68372eb4-4b5a-421f-9e95-b652b7675578")</f>
        <v>https://tessa.gazprom-neft.local/edo/card/68372eb4-4b5a-421f-9e95-b652b7675578</v>
      </c>
    </row>
    <row r="2250" spans="1:45" hidden="1" x14ac:dyDescent="0.25">
      <c r="A2250" s="6" t="s">
        <v>44</v>
      </c>
      <c r="B2250" s="7" t="s">
        <v>0</v>
      </c>
      <c r="C2250" s="7" t="s">
        <v>46</v>
      </c>
      <c r="D2250" s="8">
        <v>44487</v>
      </c>
      <c r="E2250" s="8" t="s">
        <v>0</v>
      </c>
      <c r="F2250" s="16" t="s">
        <v>7492</v>
      </c>
      <c r="G2250" s="7" t="s">
        <v>0</v>
      </c>
      <c r="H2250" s="7" t="s">
        <v>0</v>
      </c>
      <c r="I2250" s="7" t="s">
        <v>8000</v>
      </c>
      <c r="J2250" s="7" t="s">
        <v>8000</v>
      </c>
      <c r="K2250" s="7" t="s">
        <v>85</v>
      </c>
      <c r="L2250" s="7" t="s">
        <v>86</v>
      </c>
      <c r="M2250" s="7" t="s">
        <v>523</v>
      </c>
      <c r="N2250" s="7" t="s">
        <v>7999</v>
      </c>
      <c r="O2250" s="7" t="s">
        <v>0</v>
      </c>
      <c r="P2250" s="7" t="s">
        <v>523</v>
      </c>
      <c r="Q2250" s="7" t="s">
        <v>2122</v>
      </c>
      <c r="R2250" s="7" t="s">
        <v>2123</v>
      </c>
      <c r="S2250" s="7" t="s">
        <v>2123</v>
      </c>
      <c r="T2250" s="7" t="s">
        <v>54</v>
      </c>
      <c r="U2250" s="7" t="s">
        <v>478</v>
      </c>
      <c r="V2250" s="7" t="s">
        <v>137</v>
      </c>
      <c r="W2250" s="7" t="s">
        <v>57</v>
      </c>
      <c r="X2250" s="7" t="s">
        <v>103</v>
      </c>
      <c r="Y2250" s="8">
        <v>44487</v>
      </c>
      <c r="Z2250" s="8">
        <v>44589</v>
      </c>
      <c r="AA2250" s="7" t="s">
        <v>0</v>
      </c>
      <c r="AB2250" s="7" t="s">
        <v>94</v>
      </c>
      <c r="AC2250" s="7" t="s">
        <v>79</v>
      </c>
      <c r="AD2250" s="7" t="s">
        <v>80</v>
      </c>
      <c r="AE2250" s="7" t="s">
        <v>193</v>
      </c>
      <c r="AF2250" s="7" t="s">
        <v>0</v>
      </c>
      <c r="AG2250" s="7" t="s">
        <v>0</v>
      </c>
      <c r="AH2250" s="9" t="s">
        <v>13196</v>
      </c>
      <c r="AI2250" s="9" t="s">
        <v>13197</v>
      </c>
      <c r="AJ2250" s="9" t="s">
        <v>13198</v>
      </c>
      <c r="AK2250" s="7" t="s">
        <v>61</v>
      </c>
      <c r="AL2250" s="7" t="s">
        <v>61</v>
      </c>
      <c r="AM2250" s="7" t="s">
        <v>0</v>
      </c>
      <c r="AN2250" s="7" t="s">
        <v>0</v>
      </c>
      <c r="AO2250" s="7" t="s">
        <v>0</v>
      </c>
      <c r="AP2250" s="7" t="s">
        <v>0</v>
      </c>
      <c r="AQ2250" s="7" t="s">
        <v>61</v>
      </c>
      <c r="AR2250" s="7" t="s">
        <v>0</v>
      </c>
      <c r="AS2250" s="10" t="str">
        <f>HYPERLINK("https://tessa.gazprom-neft.local/edo/card/8a237a49-8cb4-4152-9c93-1418e9dbd4b0", "https://tessa.gazprom-neft.local/edo/card/8a237a49-8cb4-4152-9c93-1418e9dbd4b0")</f>
        <v>https://tessa.gazprom-neft.local/edo/card/8a237a49-8cb4-4152-9c93-1418e9dbd4b0</v>
      </c>
    </row>
    <row r="2251" spans="1:45" hidden="1" x14ac:dyDescent="0.25">
      <c r="A2251" s="6" t="s">
        <v>44</v>
      </c>
      <c r="B2251" s="7" t="s">
        <v>1101</v>
      </c>
      <c r="C2251" s="7" t="s">
        <v>67</v>
      </c>
      <c r="D2251" s="8">
        <v>44484</v>
      </c>
      <c r="E2251" s="8" t="s">
        <v>0</v>
      </c>
      <c r="F2251" s="16" t="s">
        <v>1102</v>
      </c>
      <c r="G2251" s="7" t="s">
        <v>1103</v>
      </c>
      <c r="H2251" s="7" t="s">
        <v>2522</v>
      </c>
      <c r="I2251" s="7" t="s">
        <v>0</v>
      </c>
      <c r="J2251" s="7" t="s">
        <v>51</v>
      </c>
      <c r="K2251" s="7" t="s">
        <v>47</v>
      </c>
      <c r="L2251" s="7" t="s">
        <v>239</v>
      </c>
      <c r="M2251" s="7" t="s">
        <v>0</v>
      </c>
      <c r="N2251" s="7" t="s">
        <v>8439</v>
      </c>
      <c r="O2251" s="7" t="s">
        <v>0</v>
      </c>
      <c r="P2251" s="7" t="s">
        <v>8425</v>
      </c>
      <c r="Q2251" s="7" t="s">
        <v>8440</v>
      </c>
      <c r="R2251" s="7" t="s">
        <v>513</v>
      </c>
      <c r="S2251" s="7" t="s">
        <v>513</v>
      </c>
      <c r="T2251" s="7" t="s">
        <v>54</v>
      </c>
      <c r="U2251" s="7" t="s">
        <v>303</v>
      </c>
      <c r="V2251" s="7" t="s">
        <v>91</v>
      </c>
      <c r="W2251" s="7" t="s">
        <v>57</v>
      </c>
      <c r="X2251" s="7" t="s">
        <v>103</v>
      </c>
      <c r="Y2251" s="8">
        <v>44484</v>
      </c>
      <c r="Z2251" s="8">
        <v>44758</v>
      </c>
      <c r="AA2251" s="7" t="s">
        <v>7093</v>
      </c>
      <c r="AB2251" s="7" t="s">
        <v>64</v>
      </c>
      <c r="AC2251" s="7" t="s">
        <v>79</v>
      </c>
      <c r="AD2251" s="7" t="s">
        <v>80</v>
      </c>
      <c r="AE2251" s="7" t="s">
        <v>889</v>
      </c>
      <c r="AF2251" s="7" t="s">
        <v>0</v>
      </c>
      <c r="AG2251" s="7" t="s">
        <v>0</v>
      </c>
      <c r="AH2251" s="9" t="s">
        <v>13549</v>
      </c>
      <c r="AI2251" s="9" t="s">
        <v>13549</v>
      </c>
      <c r="AJ2251" s="9">
        <v>0</v>
      </c>
      <c r="AK2251" s="7" t="s">
        <v>61</v>
      </c>
      <c r="AL2251" s="7" t="s">
        <v>61</v>
      </c>
      <c r="AM2251" s="7" t="s">
        <v>0</v>
      </c>
      <c r="AN2251" s="7" t="s">
        <v>0</v>
      </c>
      <c r="AO2251" s="7" t="s">
        <v>0</v>
      </c>
      <c r="AP2251" s="7" t="s">
        <v>0</v>
      </c>
      <c r="AQ2251" s="7" t="s">
        <v>61</v>
      </c>
      <c r="AR2251" s="7" t="s">
        <v>0</v>
      </c>
      <c r="AS2251" s="10" t="str">
        <f>HYPERLINK("https://tessa.gazprom-neft.local/edo/card/a36b7630-7863-4c0f-8631-26ecebfe8cb1", "https://tessa.gazprom-neft.local/edo/card/a36b7630-7863-4c0f-8631-26ecebfe8cb1")</f>
        <v>https://tessa.gazprom-neft.local/edo/card/a36b7630-7863-4c0f-8631-26ecebfe8cb1</v>
      </c>
    </row>
    <row r="2252" spans="1:45" hidden="1" x14ac:dyDescent="0.25">
      <c r="A2252" s="6" t="s">
        <v>44</v>
      </c>
      <c r="B2252" s="7" t="s">
        <v>4911</v>
      </c>
      <c r="C2252" s="7" t="s">
        <v>46</v>
      </c>
      <c r="D2252" s="8">
        <v>44483</v>
      </c>
      <c r="E2252" s="8" t="s">
        <v>0</v>
      </c>
      <c r="F2252" s="16" t="s">
        <v>4912</v>
      </c>
      <c r="G2252" s="7" t="s">
        <v>4913</v>
      </c>
      <c r="H2252" s="7" t="s">
        <v>0</v>
      </c>
      <c r="I2252" s="7" t="s">
        <v>8052</v>
      </c>
      <c r="J2252" s="7" t="s">
        <v>8052</v>
      </c>
      <c r="K2252" s="7" t="s">
        <v>47</v>
      </c>
      <c r="L2252" s="7" t="s">
        <v>86</v>
      </c>
      <c r="M2252" s="7" t="s">
        <v>0</v>
      </c>
      <c r="N2252" s="7" t="s">
        <v>8051</v>
      </c>
      <c r="O2252" s="7" t="s">
        <v>0</v>
      </c>
      <c r="P2252" s="7" t="s">
        <v>4907</v>
      </c>
      <c r="Q2252" s="7" t="s">
        <v>4908</v>
      </c>
      <c r="R2252" s="7" t="s">
        <v>604</v>
      </c>
      <c r="S2252" s="7" t="s">
        <v>604</v>
      </c>
      <c r="T2252" s="7" t="s">
        <v>54</v>
      </c>
      <c r="U2252" s="7" t="s">
        <v>605</v>
      </c>
      <c r="V2252" s="7" t="s">
        <v>382</v>
      </c>
      <c r="W2252" s="7" t="s">
        <v>57</v>
      </c>
      <c r="X2252" s="7" t="s">
        <v>58</v>
      </c>
      <c r="Y2252" s="8">
        <v>44483</v>
      </c>
      <c r="Z2252" s="8" t="s">
        <v>0</v>
      </c>
      <c r="AA2252" s="7" t="s">
        <v>1656</v>
      </c>
      <c r="AB2252" s="7" t="s">
        <v>1694</v>
      </c>
      <c r="AC2252" s="7" t="s">
        <v>79</v>
      </c>
      <c r="AD2252" s="7" t="s">
        <v>80</v>
      </c>
      <c r="AE2252" s="7" t="s">
        <v>118</v>
      </c>
      <c r="AF2252" s="7" t="s">
        <v>0</v>
      </c>
      <c r="AG2252" s="7" t="s">
        <v>0</v>
      </c>
      <c r="AH2252" s="9" t="s">
        <v>12902</v>
      </c>
      <c r="AI2252" s="9" t="s">
        <v>12902</v>
      </c>
      <c r="AJ2252" s="9">
        <v>0</v>
      </c>
      <c r="AK2252" s="7" t="s">
        <v>61</v>
      </c>
      <c r="AL2252" s="7" t="s">
        <v>61</v>
      </c>
      <c r="AM2252" s="7" t="s">
        <v>0</v>
      </c>
      <c r="AN2252" s="7" t="s">
        <v>0</v>
      </c>
      <c r="AO2252" s="7" t="s">
        <v>0</v>
      </c>
      <c r="AP2252" s="7" t="s">
        <v>0</v>
      </c>
      <c r="AQ2252" s="7" t="s">
        <v>61</v>
      </c>
      <c r="AR2252" s="7" t="s">
        <v>0</v>
      </c>
      <c r="AS2252" s="10" t="str">
        <f>HYPERLINK("https://tessa.gazprom-neft.local/edo/card/cce801a2-47ca-498d-ae24-1fbf172ae225", "https://tessa.gazprom-neft.local/edo/card/cce801a2-47ca-498d-ae24-1fbf172ae225")</f>
        <v>https://tessa.gazprom-neft.local/edo/card/cce801a2-47ca-498d-ae24-1fbf172ae225</v>
      </c>
    </row>
    <row r="2253" spans="1:45" hidden="1" x14ac:dyDescent="0.25">
      <c r="A2253" s="6" t="s">
        <v>44</v>
      </c>
      <c r="B2253" s="7" t="s">
        <v>1101</v>
      </c>
      <c r="C2253" s="7" t="s">
        <v>218</v>
      </c>
      <c r="D2253" s="8">
        <v>44483</v>
      </c>
      <c r="E2253" s="8" t="s">
        <v>0</v>
      </c>
      <c r="F2253" s="16" t="s">
        <v>1102</v>
      </c>
      <c r="G2253" s="7" t="s">
        <v>1103</v>
      </c>
      <c r="H2253" s="7" t="s">
        <v>2522</v>
      </c>
      <c r="I2253" s="7" t="s">
        <v>0</v>
      </c>
      <c r="J2253" s="7" t="s">
        <v>51</v>
      </c>
      <c r="K2253" s="7" t="s">
        <v>47</v>
      </c>
      <c r="L2253" s="7" t="s">
        <v>239</v>
      </c>
      <c r="M2253" s="7" t="s">
        <v>0</v>
      </c>
      <c r="N2253" s="7" t="s">
        <v>8648</v>
      </c>
      <c r="O2253" s="7" t="s">
        <v>0</v>
      </c>
      <c r="P2253" s="7" t="s">
        <v>8425</v>
      </c>
      <c r="Q2253" s="7" t="s">
        <v>8649</v>
      </c>
      <c r="R2253" s="7" t="s">
        <v>4734</v>
      </c>
      <c r="S2253" s="7" t="s">
        <v>8650</v>
      </c>
      <c r="T2253" s="7" t="s">
        <v>54</v>
      </c>
      <c r="U2253" s="7" t="s">
        <v>4736</v>
      </c>
      <c r="V2253" s="7" t="s">
        <v>91</v>
      </c>
      <c r="W2253" s="7" t="s">
        <v>57</v>
      </c>
      <c r="X2253" s="7" t="s">
        <v>103</v>
      </c>
      <c r="Y2253" s="8">
        <v>44484</v>
      </c>
      <c r="Z2253" s="8">
        <v>44758</v>
      </c>
      <c r="AA2253" s="7" t="s">
        <v>7093</v>
      </c>
      <c r="AB2253" s="7" t="s">
        <v>64</v>
      </c>
      <c r="AC2253" s="7" t="s">
        <v>79</v>
      </c>
      <c r="AD2253" s="7" t="s">
        <v>80</v>
      </c>
      <c r="AE2253" s="7" t="s">
        <v>118</v>
      </c>
      <c r="AF2253" s="7" t="s">
        <v>0</v>
      </c>
      <c r="AG2253" s="7" t="s">
        <v>0</v>
      </c>
      <c r="AH2253" s="9" t="s">
        <v>13642</v>
      </c>
      <c r="AI2253" s="9" t="s">
        <v>13642</v>
      </c>
      <c r="AJ2253" s="9">
        <v>0</v>
      </c>
      <c r="AK2253" s="7" t="s">
        <v>61</v>
      </c>
      <c r="AL2253" s="7" t="s">
        <v>61</v>
      </c>
      <c r="AM2253" s="7" t="s">
        <v>0</v>
      </c>
      <c r="AN2253" s="7" t="s">
        <v>0</v>
      </c>
      <c r="AO2253" s="7" t="s">
        <v>0</v>
      </c>
      <c r="AP2253" s="7" t="s">
        <v>0</v>
      </c>
      <c r="AQ2253" s="7" t="s">
        <v>61</v>
      </c>
      <c r="AR2253" s="7" t="s">
        <v>0</v>
      </c>
      <c r="AS2253" s="10" t="str">
        <f>HYPERLINK("https://tessa.gazprom-neft.local/edo/card/dc99e88a-4765-48e5-9bcb-6db53ef87af6", "https://tessa.gazprom-neft.local/edo/card/dc99e88a-4765-48e5-9bcb-6db53ef87af6")</f>
        <v>https://tessa.gazprom-neft.local/edo/card/dc99e88a-4765-48e5-9bcb-6db53ef87af6</v>
      </c>
    </row>
    <row r="2254" spans="1:45" hidden="1" x14ac:dyDescent="0.25">
      <c r="A2254" s="6" t="s">
        <v>44</v>
      </c>
      <c r="B2254" s="7" t="s">
        <v>7915</v>
      </c>
      <c r="C2254" s="7" t="s">
        <v>46</v>
      </c>
      <c r="D2254" s="8">
        <v>44482</v>
      </c>
      <c r="E2254" s="8" t="s">
        <v>0</v>
      </c>
      <c r="F2254" s="16" t="s">
        <v>7916</v>
      </c>
      <c r="G2254" s="7" t="s">
        <v>7917</v>
      </c>
      <c r="H2254" s="7" t="s">
        <v>0</v>
      </c>
      <c r="I2254" s="7" t="s">
        <v>7913</v>
      </c>
      <c r="J2254" s="7" t="s">
        <v>7913</v>
      </c>
      <c r="K2254" s="7" t="s">
        <v>85</v>
      </c>
      <c r="L2254" s="7" t="s">
        <v>96</v>
      </c>
      <c r="M2254" s="7" t="s">
        <v>7911</v>
      </c>
      <c r="N2254" s="7" t="s">
        <v>7912</v>
      </c>
      <c r="O2254" s="7" t="s">
        <v>0</v>
      </c>
      <c r="P2254" s="7" t="s">
        <v>7911</v>
      </c>
      <c r="Q2254" s="7" t="s">
        <v>7914</v>
      </c>
      <c r="R2254" s="7" t="s">
        <v>324</v>
      </c>
      <c r="S2254" s="7" t="s">
        <v>324</v>
      </c>
      <c r="T2254" s="7" t="s">
        <v>54</v>
      </c>
      <c r="U2254" s="7" t="s">
        <v>188</v>
      </c>
      <c r="V2254" s="7" t="s">
        <v>187</v>
      </c>
      <c r="W2254" s="7" t="s">
        <v>57</v>
      </c>
      <c r="X2254" s="7" t="s">
        <v>58</v>
      </c>
      <c r="Y2254" s="8">
        <v>44482</v>
      </c>
      <c r="Z2254" s="8" t="s">
        <v>0</v>
      </c>
      <c r="AA2254" s="7" t="s">
        <v>373</v>
      </c>
      <c r="AB2254" s="7" t="s">
        <v>500</v>
      </c>
      <c r="AC2254" s="7" t="s">
        <v>79</v>
      </c>
      <c r="AD2254" s="7" t="s">
        <v>144</v>
      </c>
      <c r="AE2254" s="7" t="s">
        <v>82</v>
      </c>
      <c r="AF2254" s="7" t="s">
        <v>0</v>
      </c>
      <c r="AG2254" s="7" t="s">
        <v>0</v>
      </c>
      <c r="AH2254" s="9" t="s">
        <v>13366</v>
      </c>
      <c r="AI2254" s="9" t="s">
        <v>13367</v>
      </c>
      <c r="AJ2254" s="9" t="s">
        <v>13368</v>
      </c>
      <c r="AK2254" s="7" t="s">
        <v>61</v>
      </c>
      <c r="AL2254" s="7" t="s">
        <v>61</v>
      </c>
      <c r="AM2254" s="7" t="s">
        <v>0</v>
      </c>
      <c r="AN2254" s="7" t="s">
        <v>0</v>
      </c>
      <c r="AO2254" s="7" t="s">
        <v>0</v>
      </c>
      <c r="AP2254" s="7" t="s">
        <v>0</v>
      </c>
      <c r="AQ2254" s="7" t="s">
        <v>61</v>
      </c>
      <c r="AR2254" s="7" t="s">
        <v>0</v>
      </c>
      <c r="AS2254" s="10" t="str">
        <f>HYPERLINK("https://tessa.gazprom-neft.local/edo/card/de46423d-76f7-41a6-b0e5-ac02dad76e72", "https://tessa.gazprom-neft.local/edo/card/de46423d-76f7-41a6-b0e5-ac02dad76e72")</f>
        <v>https://tessa.gazprom-neft.local/edo/card/de46423d-76f7-41a6-b0e5-ac02dad76e72</v>
      </c>
    </row>
    <row r="2255" spans="1:45" x14ac:dyDescent="0.25">
      <c r="A2255" s="6" t="s">
        <v>44</v>
      </c>
      <c r="B2255" s="7" t="s">
        <v>1640</v>
      </c>
      <c r="C2255" s="7" t="s">
        <v>67</v>
      </c>
      <c r="D2255" s="8">
        <v>44482</v>
      </c>
      <c r="E2255" s="8" t="s">
        <v>0</v>
      </c>
      <c r="F2255" s="16" t="s">
        <v>1641</v>
      </c>
      <c r="G2255" s="7" t="s">
        <v>1642</v>
      </c>
      <c r="H2255" s="7" t="s">
        <v>8023</v>
      </c>
      <c r="I2255" s="7" t="s">
        <v>0</v>
      </c>
      <c r="J2255" s="7" t="s">
        <v>156</v>
      </c>
      <c r="K2255" s="7" t="s">
        <v>47</v>
      </c>
      <c r="L2255" s="7" t="s">
        <v>48</v>
      </c>
      <c r="M2255" s="7" t="s">
        <v>0</v>
      </c>
      <c r="N2255" s="7" t="s">
        <v>8022</v>
      </c>
      <c r="O2255" s="7" t="s">
        <v>0</v>
      </c>
      <c r="P2255" s="7" t="s">
        <v>1474</v>
      </c>
      <c r="Q2255" s="7" t="s">
        <v>8024</v>
      </c>
      <c r="R2255" s="7" t="s">
        <v>1083</v>
      </c>
      <c r="S2255" s="7" t="s">
        <v>8025</v>
      </c>
      <c r="T2255" s="7" t="s">
        <v>54</v>
      </c>
      <c r="U2255" s="7" t="s">
        <v>274</v>
      </c>
      <c r="V2255" s="7" t="s">
        <v>846</v>
      </c>
      <c r="W2255" s="7" t="s">
        <v>57</v>
      </c>
      <c r="X2255" s="7" t="s">
        <v>103</v>
      </c>
      <c r="Y2255" s="8">
        <v>44482</v>
      </c>
      <c r="Z2255" s="8">
        <v>44926</v>
      </c>
      <c r="AA2255" s="7" t="s">
        <v>0</v>
      </c>
      <c r="AB2255" s="7" t="s">
        <v>328</v>
      </c>
      <c r="AC2255" s="7" t="s">
        <v>278</v>
      </c>
      <c r="AD2255" s="7" t="s">
        <v>80</v>
      </c>
      <c r="AE2255" s="7" t="s">
        <v>82</v>
      </c>
      <c r="AF2255" s="7" t="s">
        <v>0</v>
      </c>
      <c r="AG2255" s="7" t="s">
        <v>0</v>
      </c>
      <c r="AH2255" s="9" t="s">
        <v>13404</v>
      </c>
      <c r="AI2255" s="9" t="s">
        <v>13405</v>
      </c>
      <c r="AJ2255" s="9" t="s">
        <v>13406</v>
      </c>
      <c r="AK2255" s="7" t="s">
        <v>61</v>
      </c>
      <c r="AL2255" s="7" t="s">
        <v>61</v>
      </c>
      <c r="AM2255" s="7" t="s">
        <v>0</v>
      </c>
      <c r="AN2255" s="7" t="s">
        <v>0</v>
      </c>
      <c r="AO2255" s="7" t="s">
        <v>0</v>
      </c>
      <c r="AP2255" s="7" t="s">
        <v>0</v>
      </c>
      <c r="AQ2255" s="7" t="s">
        <v>61</v>
      </c>
      <c r="AR2255" s="7" t="s">
        <v>0</v>
      </c>
      <c r="AS2255" s="10" t="str">
        <f>HYPERLINK("https://tessa.gazprom-neft.local/edo/card/1ac2f5b4-357b-467e-b4a8-06d32eb71168", "https://tessa.gazprom-neft.local/edo/card/1ac2f5b4-357b-467e-b4a8-06d32eb71168")</f>
        <v>https://tessa.gazprom-neft.local/edo/card/1ac2f5b4-357b-467e-b4a8-06d32eb71168</v>
      </c>
    </row>
    <row r="2256" spans="1:45" x14ac:dyDescent="0.25">
      <c r="A2256" s="6" t="s">
        <v>44</v>
      </c>
      <c r="B2256" s="7" t="s">
        <v>436</v>
      </c>
      <c r="C2256" s="7" t="s">
        <v>67</v>
      </c>
      <c r="D2256" s="8">
        <v>44481</v>
      </c>
      <c r="E2256" s="8" t="s">
        <v>0</v>
      </c>
      <c r="F2256" s="16" t="s">
        <v>437</v>
      </c>
      <c r="G2256" s="7" t="s">
        <v>438</v>
      </c>
      <c r="H2256" s="7" t="s">
        <v>4786</v>
      </c>
      <c r="I2256" s="7" t="s">
        <v>0</v>
      </c>
      <c r="J2256" s="7" t="s">
        <v>316</v>
      </c>
      <c r="K2256" s="7" t="s">
        <v>47</v>
      </c>
      <c r="L2256" s="7" t="s">
        <v>48</v>
      </c>
      <c r="M2256" s="7" t="s">
        <v>0</v>
      </c>
      <c r="N2256" s="7" t="s">
        <v>7382</v>
      </c>
      <c r="O2256" s="7" t="s">
        <v>0</v>
      </c>
      <c r="P2256" s="7" t="s">
        <v>7383</v>
      </c>
      <c r="Q2256" s="7" t="s">
        <v>7384</v>
      </c>
      <c r="R2256" s="7" t="s">
        <v>1342</v>
      </c>
      <c r="S2256" s="7" t="s">
        <v>1342</v>
      </c>
      <c r="T2256" s="7" t="s">
        <v>54</v>
      </c>
      <c r="U2256" s="7" t="s">
        <v>274</v>
      </c>
      <c r="V2256" s="7" t="s">
        <v>864</v>
      </c>
      <c r="W2256" s="7" t="s">
        <v>57</v>
      </c>
      <c r="X2256" s="7" t="s">
        <v>103</v>
      </c>
      <c r="Y2256" s="8">
        <v>44197</v>
      </c>
      <c r="Z2256" s="8">
        <v>44926</v>
      </c>
      <c r="AA2256" s="7" t="s">
        <v>1465</v>
      </c>
      <c r="AB2256" s="7" t="s">
        <v>328</v>
      </c>
      <c r="AC2256" s="7" t="s">
        <v>278</v>
      </c>
      <c r="AD2256" s="7" t="s">
        <v>80</v>
      </c>
      <c r="AE2256" s="7" t="s">
        <v>82</v>
      </c>
      <c r="AF2256" s="7" t="s">
        <v>0</v>
      </c>
      <c r="AG2256" s="7" t="s">
        <v>0</v>
      </c>
      <c r="AH2256" s="9" t="s">
        <v>13169</v>
      </c>
      <c r="AI2256" s="9" t="s">
        <v>13170</v>
      </c>
      <c r="AJ2256" s="9" t="s">
        <v>12209</v>
      </c>
      <c r="AK2256" s="7" t="s">
        <v>61</v>
      </c>
      <c r="AL2256" s="7" t="s">
        <v>61</v>
      </c>
      <c r="AM2256" s="7" t="s">
        <v>0</v>
      </c>
      <c r="AN2256" s="7" t="s">
        <v>0</v>
      </c>
      <c r="AO2256" s="7" t="s">
        <v>0</v>
      </c>
      <c r="AP2256" s="7" t="s">
        <v>0</v>
      </c>
      <c r="AQ2256" s="7" t="s">
        <v>61</v>
      </c>
      <c r="AR2256" s="7" t="s">
        <v>0</v>
      </c>
      <c r="AS2256" s="10" t="str">
        <f>HYPERLINK("https://tessa.gazprom-neft.local/edo/card/faa31347-2d09-4910-b791-47272566f703", "https://tessa.gazprom-neft.local/edo/card/faa31347-2d09-4910-b791-47272566f703")</f>
        <v>https://tessa.gazprom-neft.local/edo/card/faa31347-2d09-4910-b791-47272566f703</v>
      </c>
    </row>
    <row r="2257" spans="1:45" hidden="1" x14ac:dyDescent="0.25">
      <c r="A2257" s="6" t="s">
        <v>44</v>
      </c>
      <c r="B2257" s="7" t="s">
        <v>436</v>
      </c>
      <c r="C2257" s="7" t="s">
        <v>46</v>
      </c>
      <c r="D2257" s="8">
        <v>44481</v>
      </c>
      <c r="E2257" s="8" t="s">
        <v>0</v>
      </c>
      <c r="F2257" s="16" t="s">
        <v>437</v>
      </c>
      <c r="G2257" s="7" t="s">
        <v>438</v>
      </c>
      <c r="H2257" s="7" t="s">
        <v>0</v>
      </c>
      <c r="I2257" s="7" t="s">
        <v>7864</v>
      </c>
      <c r="J2257" s="7" t="s">
        <v>7864</v>
      </c>
      <c r="K2257" s="7" t="s">
        <v>47</v>
      </c>
      <c r="L2257" s="7" t="s">
        <v>96</v>
      </c>
      <c r="M2257" s="7" t="s">
        <v>0</v>
      </c>
      <c r="N2257" s="7" t="s">
        <v>7863</v>
      </c>
      <c r="O2257" s="7" t="s">
        <v>0</v>
      </c>
      <c r="P2257" s="7" t="s">
        <v>2618</v>
      </c>
      <c r="Q2257" s="7" t="s">
        <v>7865</v>
      </c>
      <c r="R2257" s="7" t="s">
        <v>1586</v>
      </c>
      <c r="S2257" s="7" t="s">
        <v>1586</v>
      </c>
      <c r="T2257" s="7" t="s">
        <v>54</v>
      </c>
      <c r="U2257" s="7" t="s">
        <v>428</v>
      </c>
      <c r="V2257" s="7" t="s">
        <v>340</v>
      </c>
      <c r="W2257" s="7" t="s">
        <v>57</v>
      </c>
      <c r="X2257" s="7" t="s">
        <v>103</v>
      </c>
      <c r="Y2257" s="8">
        <v>44482</v>
      </c>
      <c r="Z2257" s="8">
        <v>45578</v>
      </c>
      <c r="AA2257" s="7" t="s">
        <v>1115</v>
      </c>
      <c r="AB2257" s="7" t="s">
        <v>2618</v>
      </c>
      <c r="AC2257" s="7" t="s">
        <v>79</v>
      </c>
      <c r="AD2257" s="7" t="s">
        <v>80</v>
      </c>
      <c r="AE2257" s="7" t="s">
        <v>889</v>
      </c>
      <c r="AF2257" s="7" t="s">
        <v>0</v>
      </c>
      <c r="AG2257" s="7" t="s">
        <v>0</v>
      </c>
      <c r="AH2257" s="9" t="s">
        <v>12605</v>
      </c>
      <c r="AI2257" s="9" t="s">
        <v>12605</v>
      </c>
      <c r="AJ2257" s="9">
        <v>0</v>
      </c>
      <c r="AK2257" s="7" t="s">
        <v>61</v>
      </c>
      <c r="AL2257" s="7" t="s">
        <v>61</v>
      </c>
      <c r="AM2257" s="7" t="s">
        <v>0</v>
      </c>
      <c r="AN2257" s="7" t="s">
        <v>0</v>
      </c>
      <c r="AO2257" s="7" t="s">
        <v>0</v>
      </c>
      <c r="AP2257" s="7" t="s">
        <v>0</v>
      </c>
      <c r="AQ2257" s="7" t="s">
        <v>61</v>
      </c>
      <c r="AR2257" s="7" t="s">
        <v>0</v>
      </c>
      <c r="AS2257" s="10" t="str">
        <f>HYPERLINK("https://tessa.gazprom-neft.local/edo/card/d12f9643-c648-494d-a538-71a264f5aafa", "https://tessa.gazprom-neft.local/edo/card/d12f9643-c648-494d-a538-71a264f5aafa")</f>
        <v>https://tessa.gazprom-neft.local/edo/card/d12f9643-c648-494d-a538-71a264f5aafa</v>
      </c>
    </row>
    <row r="2258" spans="1:45" hidden="1" x14ac:dyDescent="0.25">
      <c r="A2258" s="6" t="s">
        <v>44</v>
      </c>
      <c r="B2258" s="7" t="s">
        <v>436</v>
      </c>
      <c r="C2258" s="7" t="s">
        <v>46</v>
      </c>
      <c r="D2258" s="8">
        <v>44481</v>
      </c>
      <c r="E2258" s="8" t="s">
        <v>0</v>
      </c>
      <c r="F2258" s="16" t="s">
        <v>437</v>
      </c>
      <c r="G2258" s="7" t="s">
        <v>438</v>
      </c>
      <c r="H2258" s="7" t="s">
        <v>0</v>
      </c>
      <c r="I2258" s="7" t="s">
        <v>7883</v>
      </c>
      <c r="J2258" s="7" t="s">
        <v>7883</v>
      </c>
      <c r="K2258" s="7" t="s">
        <v>47</v>
      </c>
      <c r="L2258" s="7" t="s">
        <v>96</v>
      </c>
      <c r="M2258" s="7" t="s">
        <v>0</v>
      </c>
      <c r="N2258" s="7" t="s">
        <v>7882</v>
      </c>
      <c r="O2258" s="7" t="s">
        <v>0</v>
      </c>
      <c r="P2258" s="7" t="s">
        <v>2618</v>
      </c>
      <c r="Q2258" s="7" t="s">
        <v>7884</v>
      </c>
      <c r="R2258" s="7" t="s">
        <v>1586</v>
      </c>
      <c r="S2258" s="7" t="s">
        <v>1586</v>
      </c>
      <c r="T2258" s="7" t="s">
        <v>54</v>
      </c>
      <c r="U2258" s="7" t="s">
        <v>428</v>
      </c>
      <c r="V2258" s="7" t="s">
        <v>340</v>
      </c>
      <c r="W2258" s="7" t="s">
        <v>57</v>
      </c>
      <c r="X2258" s="7" t="s">
        <v>103</v>
      </c>
      <c r="Y2258" s="8">
        <v>44481</v>
      </c>
      <c r="Z2258" s="8">
        <v>45578</v>
      </c>
      <c r="AA2258" s="7" t="s">
        <v>1115</v>
      </c>
      <c r="AB2258" s="7" t="s">
        <v>2618</v>
      </c>
      <c r="AC2258" s="7" t="s">
        <v>79</v>
      </c>
      <c r="AD2258" s="7" t="s">
        <v>80</v>
      </c>
      <c r="AE2258" s="7" t="s">
        <v>889</v>
      </c>
      <c r="AF2258" s="7" t="s">
        <v>0</v>
      </c>
      <c r="AG2258" s="7" t="s">
        <v>0</v>
      </c>
      <c r="AH2258" s="9" t="s">
        <v>12605</v>
      </c>
      <c r="AI2258" s="9" t="s">
        <v>12605</v>
      </c>
      <c r="AJ2258" s="9">
        <v>0</v>
      </c>
      <c r="AK2258" s="7" t="s">
        <v>61</v>
      </c>
      <c r="AL2258" s="7" t="s">
        <v>61</v>
      </c>
      <c r="AM2258" s="7" t="s">
        <v>0</v>
      </c>
      <c r="AN2258" s="7" t="s">
        <v>0</v>
      </c>
      <c r="AO2258" s="7" t="s">
        <v>0</v>
      </c>
      <c r="AP2258" s="7" t="s">
        <v>0</v>
      </c>
      <c r="AQ2258" s="7" t="s">
        <v>61</v>
      </c>
      <c r="AR2258" s="7" t="s">
        <v>0</v>
      </c>
      <c r="AS2258" s="10" t="str">
        <f>HYPERLINK("https://tessa.gazprom-neft.local/edo/card/d8fcaded-3f39-4a9d-a596-ac4c2d58c104", "https://tessa.gazprom-neft.local/edo/card/d8fcaded-3f39-4a9d-a596-ac4c2d58c104")</f>
        <v>https://tessa.gazprom-neft.local/edo/card/d8fcaded-3f39-4a9d-a596-ac4c2d58c104</v>
      </c>
    </row>
    <row r="2259" spans="1:45" hidden="1" x14ac:dyDescent="0.25">
      <c r="A2259" s="6" t="s">
        <v>44</v>
      </c>
      <c r="B2259" s="7" t="s">
        <v>436</v>
      </c>
      <c r="C2259" s="7" t="s">
        <v>46</v>
      </c>
      <c r="D2259" s="8">
        <v>44481</v>
      </c>
      <c r="E2259" s="8" t="s">
        <v>0</v>
      </c>
      <c r="F2259" s="16" t="s">
        <v>437</v>
      </c>
      <c r="G2259" s="7" t="s">
        <v>438</v>
      </c>
      <c r="H2259" s="7" t="s">
        <v>0</v>
      </c>
      <c r="I2259" s="7" t="s">
        <v>7892</v>
      </c>
      <c r="J2259" s="7" t="s">
        <v>7892</v>
      </c>
      <c r="K2259" s="7" t="s">
        <v>47</v>
      </c>
      <c r="L2259" s="7" t="s">
        <v>96</v>
      </c>
      <c r="M2259" s="7" t="s">
        <v>0</v>
      </c>
      <c r="N2259" s="7" t="s">
        <v>7891</v>
      </c>
      <c r="O2259" s="7" t="s">
        <v>0</v>
      </c>
      <c r="P2259" s="7" t="s">
        <v>2618</v>
      </c>
      <c r="Q2259" s="7" t="s">
        <v>7893</v>
      </c>
      <c r="R2259" s="7" t="s">
        <v>1586</v>
      </c>
      <c r="S2259" s="7" t="s">
        <v>1586</v>
      </c>
      <c r="T2259" s="7" t="s">
        <v>54</v>
      </c>
      <c r="U2259" s="7" t="s">
        <v>428</v>
      </c>
      <c r="V2259" s="7" t="s">
        <v>340</v>
      </c>
      <c r="W2259" s="7" t="s">
        <v>57</v>
      </c>
      <c r="X2259" s="7" t="s">
        <v>103</v>
      </c>
      <c r="Y2259" s="8">
        <v>44481</v>
      </c>
      <c r="Z2259" s="8">
        <v>45578</v>
      </c>
      <c r="AA2259" s="7" t="s">
        <v>1115</v>
      </c>
      <c r="AB2259" s="7" t="s">
        <v>2618</v>
      </c>
      <c r="AC2259" s="7" t="s">
        <v>79</v>
      </c>
      <c r="AD2259" s="7" t="s">
        <v>80</v>
      </c>
      <c r="AE2259" s="7" t="s">
        <v>889</v>
      </c>
      <c r="AF2259" s="7" t="s">
        <v>0</v>
      </c>
      <c r="AG2259" s="7" t="s">
        <v>0</v>
      </c>
      <c r="AH2259" s="9" t="s">
        <v>12605</v>
      </c>
      <c r="AI2259" s="9" t="s">
        <v>12605</v>
      </c>
      <c r="AJ2259" s="9">
        <v>0</v>
      </c>
      <c r="AK2259" s="7" t="s">
        <v>61</v>
      </c>
      <c r="AL2259" s="7" t="s">
        <v>61</v>
      </c>
      <c r="AM2259" s="7" t="s">
        <v>0</v>
      </c>
      <c r="AN2259" s="7" t="s">
        <v>0</v>
      </c>
      <c r="AO2259" s="7" t="s">
        <v>0</v>
      </c>
      <c r="AP2259" s="7" t="s">
        <v>0</v>
      </c>
      <c r="AQ2259" s="7" t="s">
        <v>61</v>
      </c>
      <c r="AR2259" s="7" t="s">
        <v>0</v>
      </c>
      <c r="AS2259" s="10" t="str">
        <f>HYPERLINK("https://tessa.gazprom-neft.local/edo/card/75ca8d20-8197-4260-b30b-5d0359be4f07", "https://tessa.gazprom-neft.local/edo/card/75ca8d20-8197-4260-b30b-5d0359be4f07")</f>
        <v>https://tessa.gazprom-neft.local/edo/card/75ca8d20-8197-4260-b30b-5d0359be4f07</v>
      </c>
    </row>
    <row r="2260" spans="1:45" x14ac:dyDescent="0.25">
      <c r="A2260" s="6" t="s">
        <v>44</v>
      </c>
      <c r="B2260" s="7" t="s">
        <v>3073</v>
      </c>
      <c r="C2260" s="7" t="s">
        <v>67</v>
      </c>
      <c r="D2260" s="8">
        <v>44481</v>
      </c>
      <c r="E2260" s="8" t="s">
        <v>0</v>
      </c>
      <c r="F2260" s="16" t="s">
        <v>3074</v>
      </c>
      <c r="G2260" s="7" t="s">
        <v>3075</v>
      </c>
      <c r="H2260" s="7" t="s">
        <v>7920</v>
      </c>
      <c r="I2260" s="7" t="s">
        <v>0</v>
      </c>
      <c r="J2260" s="7" t="s">
        <v>872</v>
      </c>
      <c r="K2260" s="7" t="s">
        <v>47</v>
      </c>
      <c r="L2260" s="7" t="s">
        <v>48</v>
      </c>
      <c r="M2260" s="7" t="s">
        <v>0</v>
      </c>
      <c r="N2260" s="7" t="s">
        <v>7919</v>
      </c>
      <c r="O2260" s="7" t="s">
        <v>0</v>
      </c>
      <c r="P2260" s="7" t="s">
        <v>7921</v>
      </c>
      <c r="Q2260" s="7" t="s">
        <v>7922</v>
      </c>
      <c r="R2260" s="7" t="s">
        <v>135</v>
      </c>
      <c r="S2260" s="7" t="s">
        <v>0</v>
      </c>
      <c r="T2260" s="7" t="s">
        <v>54</v>
      </c>
      <c r="U2260" s="7" t="s">
        <v>136</v>
      </c>
      <c r="V2260" s="7" t="s">
        <v>102</v>
      </c>
      <c r="W2260" s="7" t="s">
        <v>57</v>
      </c>
      <c r="X2260" s="7" t="s">
        <v>103</v>
      </c>
      <c r="Y2260" s="8">
        <v>44481</v>
      </c>
      <c r="Z2260" s="8">
        <v>44926</v>
      </c>
      <c r="AA2260" s="7" t="s">
        <v>6296</v>
      </c>
      <c r="AB2260" s="7" t="s">
        <v>1738</v>
      </c>
      <c r="AC2260" s="7" t="s">
        <v>65</v>
      </c>
      <c r="AD2260" s="7" t="s">
        <v>0</v>
      </c>
      <c r="AE2260" s="7" t="s">
        <v>0</v>
      </c>
      <c r="AF2260" s="7" t="s">
        <v>0</v>
      </c>
      <c r="AG2260" s="7" t="s">
        <v>0</v>
      </c>
      <c r="AH2260" s="9" t="s">
        <v>0</v>
      </c>
      <c r="AI2260" s="9" t="s">
        <v>0</v>
      </c>
      <c r="AJ2260" s="9" t="s">
        <v>0</v>
      </c>
      <c r="AK2260" s="7" t="s">
        <v>61</v>
      </c>
      <c r="AL2260" s="7" t="s">
        <v>61</v>
      </c>
      <c r="AM2260" s="7" t="s">
        <v>0</v>
      </c>
      <c r="AN2260" s="7" t="s">
        <v>0</v>
      </c>
      <c r="AO2260" s="7" t="s">
        <v>0</v>
      </c>
      <c r="AP2260" s="7" t="s">
        <v>0</v>
      </c>
      <c r="AQ2260" s="7" t="s">
        <v>61</v>
      </c>
      <c r="AR2260" s="7" t="s">
        <v>0</v>
      </c>
      <c r="AS2260" s="10" t="str">
        <f>HYPERLINK("https://tessa.gazprom-neft.local/edo/card/94568a7f-771c-4ec9-8790-f26e38dc1422", "https://tessa.gazprom-neft.local/edo/card/94568a7f-771c-4ec9-8790-f26e38dc1422")</f>
        <v>https://tessa.gazprom-neft.local/edo/card/94568a7f-771c-4ec9-8790-f26e38dc1422</v>
      </c>
    </row>
    <row r="2261" spans="1:45" x14ac:dyDescent="0.25">
      <c r="A2261" s="6" t="s">
        <v>44</v>
      </c>
      <c r="B2261" s="7" t="s">
        <v>3073</v>
      </c>
      <c r="C2261" s="7" t="s">
        <v>67</v>
      </c>
      <c r="D2261" s="8">
        <v>44481</v>
      </c>
      <c r="E2261" s="8" t="s">
        <v>0</v>
      </c>
      <c r="F2261" s="16" t="s">
        <v>3074</v>
      </c>
      <c r="G2261" s="7" t="s">
        <v>3075</v>
      </c>
      <c r="H2261" s="7" t="s">
        <v>7925</v>
      </c>
      <c r="I2261" s="7" t="s">
        <v>0</v>
      </c>
      <c r="J2261" s="7" t="s">
        <v>872</v>
      </c>
      <c r="K2261" s="7" t="s">
        <v>47</v>
      </c>
      <c r="L2261" s="7" t="s">
        <v>48</v>
      </c>
      <c r="M2261" s="7" t="s">
        <v>0</v>
      </c>
      <c r="N2261" s="7" t="s">
        <v>7924</v>
      </c>
      <c r="O2261" s="7" t="s">
        <v>0</v>
      </c>
      <c r="P2261" s="7" t="s">
        <v>7926</v>
      </c>
      <c r="Q2261" s="7" t="s">
        <v>7922</v>
      </c>
      <c r="R2261" s="7" t="s">
        <v>135</v>
      </c>
      <c r="S2261" s="7" t="s">
        <v>0</v>
      </c>
      <c r="T2261" s="7" t="s">
        <v>54</v>
      </c>
      <c r="U2261" s="7" t="s">
        <v>136</v>
      </c>
      <c r="V2261" s="7" t="s">
        <v>102</v>
      </c>
      <c r="W2261" s="7" t="s">
        <v>57</v>
      </c>
      <c r="X2261" s="7" t="s">
        <v>103</v>
      </c>
      <c r="Y2261" s="8">
        <v>44481</v>
      </c>
      <c r="Z2261" s="8">
        <v>44926</v>
      </c>
      <c r="AA2261" s="7" t="s">
        <v>6296</v>
      </c>
      <c r="AB2261" s="7" t="s">
        <v>1738</v>
      </c>
      <c r="AC2261" s="7" t="s">
        <v>65</v>
      </c>
      <c r="AD2261" s="7" t="s">
        <v>0</v>
      </c>
      <c r="AE2261" s="7" t="s">
        <v>0</v>
      </c>
      <c r="AF2261" s="7" t="s">
        <v>0</v>
      </c>
      <c r="AG2261" s="7" t="s">
        <v>0</v>
      </c>
      <c r="AH2261" s="9" t="s">
        <v>0</v>
      </c>
      <c r="AI2261" s="9" t="s">
        <v>0</v>
      </c>
      <c r="AJ2261" s="9" t="s">
        <v>0</v>
      </c>
      <c r="AK2261" s="7" t="s">
        <v>61</v>
      </c>
      <c r="AL2261" s="7" t="s">
        <v>61</v>
      </c>
      <c r="AM2261" s="7" t="s">
        <v>0</v>
      </c>
      <c r="AN2261" s="7" t="s">
        <v>0</v>
      </c>
      <c r="AO2261" s="7" t="s">
        <v>0</v>
      </c>
      <c r="AP2261" s="7" t="s">
        <v>0</v>
      </c>
      <c r="AQ2261" s="7" t="s">
        <v>61</v>
      </c>
      <c r="AR2261" s="7" t="s">
        <v>0</v>
      </c>
      <c r="AS2261" s="10" t="str">
        <f>HYPERLINK("https://tessa.gazprom-neft.local/edo/card/99b11999-3fae-4dbf-abc6-979287b7a967", "https://tessa.gazprom-neft.local/edo/card/99b11999-3fae-4dbf-abc6-979287b7a967")</f>
        <v>https://tessa.gazprom-neft.local/edo/card/99b11999-3fae-4dbf-abc6-979287b7a967</v>
      </c>
    </row>
    <row r="2262" spans="1:45" hidden="1" x14ac:dyDescent="0.25">
      <c r="A2262" s="6" t="s">
        <v>44</v>
      </c>
      <c r="B2262" s="7" t="s">
        <v>3073</v>
      </c>
      <c r="C2262" s="7" t="s">
        <v>67</v>
      </c>
      <c r="D2262" s="8">
        <v>44481</v>
      </c>
      <c r="E2262" s="8" t="s">
        <v>0</v>
      </c>
      <c r="F2262" s="16" t="s">
        <v>3074</v>
      </c>
      <c r="G2262" s="7" t="s">
        <v>3075</v>
      </c>
      <c r="H2262" s="7" t="s">
        <v>0</v>
      </c>
      <c r="I2262" s="7" t="s">
        <v>7957</v>
      </c>
      <c r="J2262" s="7" t="s">
        <v>7957</v>
      </c>
      <c r="K2262" s="7" t="s">
        <v>85</v>
      </c>
      <c r="L2262" s="7" t="s">
        <v>86</v>
      </c>
      <c r="M2262" s="7" t="s">
        <v>2316</v>
      </c>
      <c r="N2262" s="7" t="s">
        <v>7956</v>
      </c>
      <c r="O2262" s="7" t="s">
        <v>0</v>
      </c>
      <c r="P2262" s="7" t="s">
        <v>2316</v>
      </c>
      <c r="Q2262" s="7" t="s">
        <v>4652</v>
      </c>
      <c r="R2262" s="7" t="s">
        <v>135</v>
      </c>
      <c r="S2262" s="7" t="s">
        <v>135</v>
      </c>
      <c r="T2262" s="7" t="s">
        <v>54</v>
      </c>
      <c r="U2262" s="7" t="s">
        <v>136</v>
      </c>
      <c r="V2262" s="7" t="s">
        <v>102</v>
      </c>
      <c r="W2262" s="7" t="s">
        <v>57</v>
      </c>
      <c r="X2262" s="7" t="s">
        <v>103</v>
      </c>
      <c r="Y2262" s="8">
        <v>44481</v>
      </c>
      <c r="Z2262" s="8">
        <v>44926</v>
      </c>
      <c r="AA2262" s="7" t="s">
        <v>6296</v>
      </c>
      <c r="AB2262" s="7" t="s">
        <v>328</v>
      </c>
      <c r="AC2262" s="7" t="s">
        <v>65</v>
      </c>
      <c r="AD2262" s="7" t="s">
        <v>0</v>
      </c>
      <c r="AE2262" s="7" t="s">
        <v>0</v>
      </c>
      <c r="AF2262" s="7" t="s">
        <v>0</v>
      </c>
      <c r="AG2262" s="7" t="s">
        <v>0</v>
      </c>
      <c r="AH2262" s="9" t="s">
        <v>0</v>
      </c>
      <c r="AI2262" s="9" t="s">
        <v>0</v>
      </c>
      <c r="AJ2262" s="9" t="s">
        <v>0</v>
      </c>
      <c r="AK2262" s="7" t="s">
        <v>61</v>
      </c>
      <c r="AL2262" s="7" t="s">
        <v>61</v>
      </c>
      <c r="AM2262" s="7" t="s">
        <v>0</v>
      </c>
      <c r="AN2262" s="7" t="s">
        <v>0</v>
      </c>
      <c r="AO2262" s="7" t="s">
        <v>0</v>
      </c>
      <c r="AP2262" s="7" t="s">
        <v>0</v>
      </c>
      <c r="AQ2262" s="7" t="s">
        <v>61</v>
      </c>
      <c r="AR2262" s="7" t="s">
        <v>0</v>
      </c>
      <c r="AS2262" s="10" t="str">
        <f>HYPERLINK("https://tessa.gazprom-neft.local/edo/card/910fdf30-78af-43e9-b1f0-55606f877880", "https://tessa.gazprom-neft.local/edo/card/910fdf30-78af-43e9-b1f0-55606f877880")</f>
        <v>https://tessa.gazprom-neft.local/edo/card/910fdf30-78af-43e9-b1f0-55606f877880</v>
      </c>
    </row>
    <row r="2263" spans="1:45" hidden="1" x14ac:dyDescent="0.25">
      <c r="A2263" s="6" t="s">
        <v>44</v>
      </c>
      <c r="B2263" s="7" t="s">
        <v>0</v>
      </c>
      <c r="C2263" s="7" t="s">
        <v>67</v>
      </c>
      <c r="D2263" s="8">
        <v>44480</v>
      </c>
      <c r="E2263" s="8" t="s">
        <v>0</v>
      </c>
      <c r="F2263" s="16" t="s">
        <v>7652</v>
      </c>
      <c r="G2263" s="7" t="s">
        <v>0</v>
      </c>
      <c r="H2263" s="7" t="s">
        <v>0</v>
      </c>
      <c r="I2263" s="7" t="s">
        <v>195</v>
      </c>
      <c r="J2263" s="7" t="s">
        <v>195</v>
      </c>
      <c r="K2263" s="7" t="s">
        <v>85</v>
      </c>
      <c r="L2263" s="7" t="s">
        <v>96</v>
      </c>
      <c r="M2263" s="7" t="s">
        <v>7649</v>
      </c>
      <c r="N2263" s="7" t="s">
        <v>7650</v>
      </c>
      <c r="O2263" s="7" t="s">
        <v>0</v>
      </c>
      <c r="P2263" s="7" t="s">
        <v>7649</v>
      </c>
      <c r="Q2263" s="7" t="s">
        <v>7651</v>
      </c>
      <c r="R2263" s="7" t="s">
        <v>1441</v>
      </c>
      <c r="S2263" s="7" t="s">
        <v>209</v>
      </c>
      <c r="T2263" s="7" t="s">
        <v>54</v>
      </c>
      <c r="U2263" s="7" t="s">
        <v>210</v>
      </c>
      <c r="V2263" s="7" t="s">
        <v>211</v>
      </c>
      <c r="W2263" s="7" t="s">
        <v>57</v>
      </c>
      <c r="X2263" s="7" t="s">
        <v>103</v>
      </c>
      <c r="Y2263" s="8">
        <v>44480</v>
      </c>
      <c r="Z2263" s="8">
        <v>45657</v>
      </c>
      <c r="AA2263" s="7" t="s">
        <v>0</v>
      </c>
      <c r="AB2263" s="7" t="s">
        <v>204</v>
      </c>
      <c r="AC2263" s="7" t="s">
        <v>79</v>
      </c>
      <c r="AD2263" s="7" t="s">
        <v>80</v>
      </c>
      <c r="AE2263" s="7" t="s">
        <v>82</v>
      </c>
      <c r="AF2263" s="7" t="s">
        <v>0</v>
      </c>
      <c r="AG2263" s="7" t="s">
        <v>0</v>
      </c>
      <c r="AH2263" s="9" t="s">
        <v>13252</v>
      </c>
      <c r="AI2263" s="9" t="s">
        <v>13253</v>
      </c>
      <c r="AJ2263" s="9" t="s">
        <v>13254</v>
      </c>
      <c r="AK2263" s="7" t="s">
        <v>61</v>
      </c>
      <c r="AL2263" s="7" t="s">
        <v>61</v>
      </c>
      <c r="AM2263" s="7" t="s">
        <v>0</v>
      </c>
      <c r="AN2263" s="7" t="s">
        <v>0</v>
      </c>
      <c r="AO2263" s="7" t="s">
        <v>0</v>
      </c>
      <c r="AP2263" s="7" t="s">
        <v>0</v>
      </c>
      <c r="AQ2263" s="7" t="s">
        <v>61</v>
      </c>
      <c r="AR2263" s="7" t="s">
        <v>0</v>
      </c>
      <c r="AS2263" s="10" t="str">
        <f>HYPERLINK("https://tessa.gazprom-neft.local/edo/card/63abd36b-b38a-48a3-888b-6b40ceea9f86", "https://tessa.gazprom-neft.local/edo/card/63abd36b-b38a-48a3-888b-6b40ceea9f86")</f>
        <v>https://tessa.gazprom-neft.local/edo/card/63abd36b-b38a-48a3-888b-6b40ceea9f86</v>
      </c>
    </row>
    <row r="2264" spans="1:45" hidden="1" x14ac:dyDescent="0.25">
      <c r="A2264" s="6" t="s">
        <v>44</v>
      </c>
      <c r="B2264" s="7" t="s">
        <v>0</v>
      </c>
      <c r="C2264" s="7" t="s">
        <v>67</v>
      </c>
      <c r="D2264" s="8">
        <v>44480</v>
      </c>
      <c r="E2264" s="8" t="s">
        <v>0</v>
      </c>
      <c r="F2264" s="16" t="s">
        <v>7652</v>
      </c>
      <c r="G2264" s="7" t="s">
        <v>0</v>
      </c>
      <c r="H2264" s="7" t="s">
        <v>0</v>
      </c>
      <c r="I2264" s="7" t="s">
        <v>7722</v>
      </c>
      <c r="J2264" s="7" t="s">
        <v>7722</v>
      </c>
      <c r="K2264" s="7" t="s">
        <v>85</v>
      </c>
      <c r="L2264" s="7" t="s">
        <v>86</v>
      </c>
      <c r="M2264" s="7" t="s">
        <v>5706</v>
      </c>
      <c r="N2264" s="7" t="s">
        <v>7721</v>
      </c>
      <c r="O2264" s="7" t="s">
        <v>0</v>
      </c>
      <c r="P2264" s="7" t="s">
        <v>5706</v>
      </c>
      <c r="Q2264" s="7" t="s">
        <v>7723</v>
      </c>
      <c r="R2264" s="7" t="s">
        <v>1441</v>
      </c>
      <c r="S2264" s="7" t="s">
        <v>209</v>
      </c>
      <c r="T2264" s="7" t="s">
        <v>54</v>
      </c>
      <c r="U2264" s="7" t="s">
        <v>210</v>
      </c>
      <c r="V2264" s="7" t="s">
        <v>211</v>
      </c>
      <c r="W2264" s="7" t="s">
        <v>57</v>
      </c>
      <c r="X2264" s="7" t="s">
        <v>58</v>
      </c>
      <c r="Y2264" s="8">
        <v>44480</v>
      </c>
      <c r="Z2264" s="8" t="s">
        <v>0</v>
      </c>
      <c r="AA2264" s="7" t="s">
        <v>0</v>
      </c>
      <c r="AB2264" s="7" t="s">
        <v>328</v>
      </c>
      <c r="AC2264" s="7" t="s">
        <v>65</v>
      </c>
      <c r="AD2264" s="7" t="s">
        <v>0</v>
      </c>
      <c r="AE2264" s="7" t="s">
        <v>0</v>
      </c>
      <c r="AF2264" s="7" t="s">
        <v>0</v>
      </c>
      <c r="AG2264" s="7" t="s">
        <v>0</v>
      </c>
      <c r="AH2264" s="9" t="s">
        <v>0</v>
      </c>
      <c r="AI2264" s="9" t="s">
        <v>0</v>
      </c>
      <c r="AJ2264" s="9" t="s">
        <v>0</v>
      </c>
      <c r="AK2264" s="7" t="s">
        <v>61</v>
      </c>
      <c r="AL2264" s="7" t="s">
        <v>61</v>
      </c>
      <c r="AM2264" s="7" t="s">
        <v>0</v>
      </c>
      <c r="AN2264" s="7" t="s">
        <v>0</v>
      </c>
      <c r="AO2264" s="7" t="s">
        <v>0</v>
      </c>
      <c r="AP2264" s="7" t="s">
        <v>0</v>
      </c>
      <c r="AQ2264" s="7" t="s">
        <v>61</v>
      </c>
      <c r="AR2264" s="7" t="s">
        <v>0</v>
      </c>
      <c r="AS2264" s="10" t="str">
        <f>HYPERLINK("https://tessa.gazprom-neft.local/edo/card/cab16e74-aeaf-4840-85c4-464d39140f88", "https://tessa.gazprom-neft.local/edo/card/cab16e74-aeaf-4840-85c4-464d39140f88")</f>
        <v>https://tessa.gazprom-neft.local/edo/card/cab16e74-aeaf-4840-85c4-464d39140f88</v>
      </c>
    </row>
    <row r="2265" spans="1:45" hidden="1" x14ac:dyDescent="0.25">
      <c r="A2265" s="6" t="s">
        <v>44</v>
      </c>
      <c r="B2265" s="7" t="s">
        <v>7325</v>
      </c>
      <c r="C2265" s="7" t="s">
        <v>67</v>
      </c>
      <c r="D2265" s="8">
        <v>44480</v>
      </c>
      <c r="E2265" s="8" t="s">
        <v>0</v>
      </c>
      <c r="F2265" s="16" t="s">
        <v>7326</v>
      </c>
      <c r="G2265" s="7" t="s">
        <v>7327</v>
      </c>
      <c r="H2265" s="7" t="s">
        <v>0</v>
      </c>
      <c r="I2265" s="7" t="s">
        <v>7758</v>
      </c>
      <c r="J2265" s="7" t="s">
        <v>7758</v>
      </c>
      <c r="K2265" s="7" t="s">
        <v>85</v>
      </c>
      <c r="L2265" s="7" t="s">
        <v>86</v>
      </c>
      <c r="M2265" s="7" t="s">
        <v>2316</v>
      </c>
      <c r="N2265" s="7" t="s">
        <v>7757</v>
      </c>
      <c r="O2265" s="7" t="s">
        <v>0</v>
      </c>
      <c r="P2265" s="7" t="s">
        <v>2316</v>
      </c>
      <c r="Q2265" s="7" t="s">
        <v>7759</v>
      </c>
      <c r="R2265" s="7" t="s">
        <v>135</v>
      </c>
      <c r="S2265" s="7" t="s">
        <v>135</v>
      </c>
      <c r="T2265" s="7" t="s">
        <v>54</v>
      </c>
      <c r="U2265" s="7" t="s">
        <v>136</v>
      </c>
      <c r="V2265" s="7" t="s">
        <v>102</v>
      </c>
      <c r="W2265" s="7" t="s">
        <v>57</v>
      </c>
      <c r="X2265" s="7" t="s">
        <v>223</v>
      </c>
      <c r="Y2265" s="8">
        <v>44480</v>
      </c>
      <c r="Z2265" s="8" t="s">
        <v>0</v>
      </c>
      <c r="AA2265" s="7" t="s">
        <v>6296</v>
      </c>
      <c r="AB2265" s="7" t="s">
        <v>328</v>
      </c>
      <c r="AC2265" s="7" t="s">
        <v>65</v>
      </c>
      <c r="AD2265" s="7" t="s">
        <v>0</v>
      </c>
      <c r="AE2265" s="7" t="s">
        <v>0</v>
      </c>
      <c r="AF2265" s="7" t="s">
        <v>0</v>
      </c>
      <c r="AG2265" s="7" t="s">
        <v>0</v>
      </c>
      <c r="AH2265" s="9" t="s">
        <v>0</v>
      </c>
      <c r="AI2265" s="9" t="s">
        <v>0</v>
      </c>
      <c r="AJ2265" s="9" t="s">
        <v>0</v>
      </c>
      <c r="AK2265" s="7" t="s">
        <v>61</v>
      </c>
      <c r="AL2265" s="7" t="s">
        <v>61</v>
      </c>
      <c r="AM2265" s="7" t="s">
        <v>0</v>
      </c>
      <c r="AN2265" s="7" t="s">
        <v>0</v>
      </c>
      <c r="AO2265" s="7" t="s">
        <v>0</v>
      </c>
      <c r="AP2265" s="7" t="s">
        <v>0</v>
      </c>
      <c r="AQ2265" s="7" t="s">
        <v>61</v>
      </c>
      <c r="AR2265" s="7" t="s">
        <v>0</v>
      </c>
      <c r="AS2265" s="10" t="str">
        <f>HYPERLINK("https://tessa.gazprom-neft.local/edo/card/43c86152-c646-4b1e-826a-20ff204199c3", "https://tessa.gazprom-neft.local/edo/card/43c86152-c646-4b1e-826a-20ff204199c3")</f>
        <v>https://tessa.gazprom-neft.local/edo/card/43c86152-c646-4b1e-826a-20ff204199c3</v>
      </c>
    </row>
    <row r="2266" spans="1:45" hidden="1" x14ac:dyDescent="0.25">
      <c r="A2266" s="6" t="s">
        <v>44</v>
      </c>
      <c r="B2266" s="7" t="s">
        <v>1570</v>
      </c>
      <c r="C2266" s="7" t="s">
        <v>67</v>
      </c>
      <c r="D2266" s="8">
        <v>44480</v>
      </c>
      <c r="E2266" s="8" t="s">
        <v>0</v>
      </c>
      <c r="F2266" s="16" t="s">
        <v>1571</v>
      </c>
      <c r="G2266" s="7" t="s">
        <v>0</v>
      </c>
      <c r="H2266" s="7" t="s">
        <v>0</v>
      </c>
      <c r="I2266" s="7" t="s">
        <v>741</v>
      </c>
      <c r="J2266" s="7" t="s">
        <v>741</v>
      </c>
      <c r="K2266" s="7" t="s">
        <v>47</v>
      </c>
      <c r="L2266" s="7" t="s">
        <v>96</v>
      </c>
      <c r="M2266" s="7" t="s">
        <v>0</v>
      </c>
      <c r="N2266" s="7" t="s">
        <v>7775</v>
      </c>
      <c r="O2266" s="7" t="s">
        <v>0</v>
      </c>
      <c r="P2266" s="7" t="s">
        <v>635</v>
      </c>
      <c r="Q2266" s="7" t="s">
        <v>7776</v>
      </c>
      <c r="R2266" s="7" t="s">
        <v>177</v>
      </c>
      <c r="S2266" s="7" t="s">
        <v>0</v>
      </c>
      <c r="T2266" s="7" t="s">
        <v>54</v>
      </c>
      <c r="U2266" s="7" t="s">
        <v>55</v>
      </c>
      <c r="V2266" s="7" t="s">
        <v>56</v>
      </c>
      <c r="W2266" s="7" t="s">
        <v>57</v>
      </c>
      <c r="X2266" s="7" t="s">
        <v>103</v>
      </c>
      <c r="Y2266" s="8">
        <v>44480</v>
      </c>
      <c r="Z2266" s="8">
        <v>45291</v>
      </c>
      <c r="AA2266" s="7" t="s">
        <v>0</v>
      </c>
      <c r="AB2266" s="7" t="s">
        <v>874</v>
      </c>
      <c r="AC2266" s="7" t="s">
        <v>79</v>
      </c>
      <c r="AD2266" s="7" t="s">
        <v>80</v>
      </c>
      <c r="AE2266" s="7" t="s">
        <v>82</v>
      </c>
      <c r="AF2266" s="7" t="s">
        <v>0</v>
      </c>
      <c r="AG2266" s="7" t="s">
        <v>0</v>
      </c>
      <c r="AH2266" s="9" t="s">
        <v>13299</v>
      </c>
      <c r="AI2266" s="9" t="s">
        <v>13300</v>
      </c>
      <c r="AJ2266" s="9" t="s">
        <v>13301</v>
      </c>
      <c r="AK2266" s="7" t="s">
        <v>61</v>
      </c>
      <c r="AL2266" s="7" t="s">
        <v>61</v>
      </c>
      <c r="AM2266" s="7" t="s">
        <v>0</v>
      </c>
      <c r="AN2266" s="7" t="s">
        <v>0</v>
      </c>
      <c r="AO2266" s="7" t="s">
        <v>0</v>
      </c>
      <c r="AP2266" s="7" t="s">
        <v>0</v>
      </c>
      <c r="AQ2266" s="7" t="s">
        <v>61</v>
      </c>
      <c r="AR2266" s="7" t="s">
        <v>0</v>
      </c>
      <c r="AS2266" s="10" t="str">
        <f>HYPERLINK("https://tessa.gazprom-neft.local/edo/card/04c8e53e-1066-485b-ba02-db48ed239d78", "https://tessa.gazprom-neft.local/edo/card/04c8e53e-1066-485b-ba02-db48ed239d78")</f>
        <v>https://tessa.gazprom-neft.local/edo/card/04c8e53e-1066-485b-ba02-db48ed239d78</v>
      </c>
    </row>
    <row r="2267" spans="1:45" hidden="1" x14ac:dyDescent="0.25">
      <c r="A2267" s="6" t="s">
        <v>44</v>
      </c>
      <c r="B2267" s="7" t="s">
        <v>403</v>
      </c>
      <c r="C2267" s="7" t="s">
        <v>67</v>
      </c>
      <c r="D2267" s="8">
        <v>44477</v>
      </c>
      <c r="E2267" s="8" t="s">
        <v>0</v>
      </c>
      <c r="F2267" s="16" t="s">
        <v>404</v>
      </c>
      <c r="G2267" s="7" t="s">
        <v>405</v>
      </c>
      <c r="H2267" s="7" t="s">
        <v>0</v>
      </c>
      <c r="I2267" s="7" t="s">
        <v>7906</v>
      </c>
      <c r="J2267" s="7" t="s">
        <v>7906</v>
      </c>
      <c r="K2267" s="7" t="s">
        <v>85</v>
      </c>
      <c r="L2267" s="7" t="s">
        <v>86</v>
      </c>
      <c r="M2267" s="7" t="s">
        <v>5706</v>
      </c>
      <c r="N2267" s="7" t="s">
        <v>7905</v>
      </c>
      <c r="O2267" s="7" t="s">
        <v>0</v>
      </c>
      <c r="P2267" s="7" t="s">
        <v>5706</v>
      </c>
      <c r="Q2267" s="7" t="s">
        <v>2491</v>
      </c>
      <c r="R2267" s="7" t="s">
        <v>799</v>
      </c>
      <c r="S2267" s="7" t="s">
        <v>0</v>
      </c>
      <c r="T2267" s="7" t="s">
        <v>54</v>
      </c>
      <c r="U2267" s="7" t="s">
        <v>55</v>
      </c>
      <c r="V2267" s="7" t="s">
        <v>56</v>
      </c>
      <c r="W2267" s="7" t="s">
        <v>57</v>
      </c>
      <c r="X2267" s="7" t="s">
        <v>58</v>
      </c>
      <c r="Y2267" s="8">
        <v>44477</v>
      </c>
      <c r="Z2267" s="8" t="s">
        <v>0</v>
      </c>
      <c r="AA2267" s="7" t="s">
        <v>0</v>
      </c>
      <c r="AB2267" s="7" t="s">
        <v>328</v>
      </c>
      <c r="AC2267" s="7" t="s">
        <v>65</v>
      </c>
      <c r="AD2267" s="7" t="s">
        <v>0</v>
      </c>
      <c r="AE2267" s="7" t="s">
        <v>0</v>
      </c>
      <c r="AF2267" s="7" t="s">
        <v>0</v>
      </c>
      <c r="AG2267" s="7" t="s">
        <v>0</v>
      </c>
      <c r="AH2267" s="9" t="s">
        <v>0</v>
      </c>
      <c r="AI2267" s="9" t="s">
        <v>0</v>
      </c>
      <c r="AJ2267" s="9" t="s">
        <v>0</v>
      </c>
      <c r="AK2267" s="7" t="s">
        <v>61</v>
      </c>
      <c r="AL2267" s="7" t="s">
        <v>61</v>
      </c>
      <c r="AM2267" s="7" t="s">
        <v>0</v>
      </c>
      <c r="AN2267" s="7" t="s">
        <v>0</v>
      </c>
      <c r="AO2267" s="7" t="s">
        <v>0</v>
      </c>
      <c r="AP2267" s="7" t="s">
        <v>0</v>
      </c>
      <c r="AQ2267" s="7" t="s">
        <v>61</v>
      </c>
      <c r="AR2267" s="7" t="s">
        <v>0</v>
      </c>
      <c r="AS2267" s="10" t="str">
        <f>HYPERLINK("https://tessa.gazprom-neft.local/edo/card/640ac054-4890-4513-9678-5e2c4d0716fa", "https://tessa.gazprom-neft.local/edo/card/640ac054-4890-4513-9678-5e2c4d0716fa")</f>
        <v>https://tessa.gazprom-neft.local/edo/card/640ac054-4890-4513-9678-5e2c4d0716fa</v>
      </c>
    </row>
    <row r="2268" spans="1:45" x14ac:dyDescent="0.25">
      <c r="A2268" s="6" t="s">
        <v>44</v>
      </c>
      <c r="B2268" s="7" t="s">
        <v>374</v>
      </c>
      <c r="C2268" s="7" t="s">
        <v>67</v>
      </c>
      <c r="D2268" s="8">
        <v>44477</v>
      </c>
      <c r="E2268" s="8" t="s">
        <v>0</v>
      </c>
      <c r="F2268" s="16" t="s">
        <v>375</v>
      </c>
      <c r="G2268" s="7" t="s">
        <v>376</v>
      </c>
      <c r="H2268" s="7" t="s">
        <v>7975</v>
      </c>
      <c r="I2268" s="7" t="s">
        <v>0</v>
      </c>
      <c r="J2268" s="7" t="s">
        <v>271</v>
      </c>
      <c r="K2268" s="7" t="s">
        <v>47</v>
      </c>
      <c r="L2268" s="7" t="s">
        <v>48</v>
      </c>
      <c r="M2268" s="7" t="s">
        <v>0</v>
      </c>
      <c r="N2268" s="7" t="s">
        <v>7974</v>
      </c>
      <c r="O2268" s="7" t="s">
        <v>0</v>
      </c>
      <c r="P2268" s="7" t="s">
        <v>312</v>
      </c>
      <c r="Q2268" s="7" t="s">
        <v>7976</v>
      </c>
      <c r="R2268" s="7" t="s">
        <v>198</v>
      </c>
      <c r="S2268" s="7" t="s">
        <v>198</v>
      </c>
      <c r="T2268" s="7" t="s">
        <v>54</v>
      </c>
      <c r="U2268" s="7" t="s">
        <v>199</v>
      </c>
      <c r="V2268" s="7" t="s">
        <v>137</v>
      </c>
      <c r="W2268" s="7" t="s">
        <v>57</v>
      </c>
      <c r="X2268" s="7" t="s">
        <v>58</v>
      </c>
      <c r="Y2268" s="8">
        <v>44477</v>
      </c>
      <c r="Z2268" s="8" t="s">
        <v>0</v>
      </c>
      <c r="AA2268" s="7" t="s">
        <v>0</v>
      </c>
      <c r="AB2268" s="7" t="s">
        <v>7977</v>
      </c>
      <c r="AC2268" s="7" t="s">
        <v>65</v>
      </c>
      <c r="AD2268" s="7" t="s">
        <v>0</v>
      </c>
      <c r="AE2268" s="7" t="s">
        <v>0</v>
      </c>
      <c r="AF2268" s="7" t="s">
        <v>0</v>
      </c>
      <c r="AG2268" s="7" t="s">
        <v>0</v>
      </c>
      <c r="AH2268" s="9" t="s">
        <v>0</v>
      </c>
      <c r="AI2268" s="9" t="s">
        <v>0</v>
      </c>
      <c r="AJ2268" s="9" t="s">
        <v>0</v>
      </c>
      <c r="AK2268" s="7" t="s">
        <v>61</v>
      </c>
      <c r="AL2268" s="7" t="s">
        <v>61</v>
      </c>
      <c r="AM2268" s="7" t="s">
        <v>0</v>
      </c>
      <c r="AN2268" s="7" t="s">
        <v>0</v>
      </c>
      <c r="AO2268" s="7" t="s">
        <v>0</v>
      </c>
      <c r="AP2268" s="7" t="s">
        <v>0</v>
      </c>
      <c r="AQ2268" s="7" t="s">
        <v>61</v>
      </c>
      <c r="AR2268" s="7" t="s">
        <v>0</v>
      </c>
      <c r="AS2268" s="10" t="str">
        <f>HYPERLINK("https://tessa.gazprom-neft.local/edo/card/3d0e9261-c0c9-4fb3-8cd2-e1b9c6542282", "https://tessa.gazprom-neft.local/edo/card/3d0e9261-c0c9-4fb3-8cd2-e1b9c6542282")</f>
        <v>https://tessa.gazprom-neft.local/edo/card/3d0e9261-c0c9-4fb3-8cd2-e1b9c6542282</v>
      </c>
    </row>
    <row r="2269" spans="1:45" hidden="1" x14ac:dyDescent="0.25">
      <c r="A2269" s="6" t="s">
        <v>44</v>
      </c>
      <c r="B2269" s="7" t="s">
        <v>7013</v>
      </c>
      <c r="C2269" s="7" t="s">
        <v>67</v>
      </c>
      <c r="D2269" s="8">
        <v>44475</v>
      </c>
      <c r="E2269" s="8" t="s">
        <v>0</v>
      </c>
      <c r="F2269" s="16" t="s">
        <v>7014</v>
      </c>
      <c r="G2269" s="7" t="s">
        <v>7015</v>
      </c>
      <c r="H2269" s="7" t="s">
        <v>0</v>
      </c>
      <c r="I2269" s="7" t="s">
        <v>7012</v>
      </c>
      <c r="J2269" s="7" t="s">
        <v>7012</v>
      </c>
      <c r="K2269" s="7" t="s">
        <v>85</v>
      </c>
      <c r="L2269" s="7" t="s">
        <v>86</v>
      </c>
      <c r="M2269" s="7" t="s">
        <v>2316</v>
      </c>
      <c r="N2269" s="7" t="s">
        <v>7011</v>
      </c>
      <c r="O2269" s="7" t="s">
        <v>0</v>
      </c>
      <c r="P2269" s="7" t="s">
        <v>2316</v>
      </c>
      <c r="Q2269" s="7" t="s">
        <v>372</v>
      </c>
      <c r="R2269" s="7" t="s">
        <v>1610</v>
      </c>
      <c r="S2269" s="7" t="s">
        <v>1610</v>
      </c>
      <c r="T2269" s="7" t="s">
        <v>54</v>
      </c>
      <c r="U2269" s="7" t="s">
        <v>101</v>
      </c>
      <c r="V2269" s="7" t="s">
        <v>137</v>
      </c>
      <c r="W2269" s="7" t="s">
        <v>57</v>
      </c>
      <c r="X2269" s="7" t="s">
        <v>103</v>
      </c>
      <c r="Y2269" s="8">
        <v>44475</v>
      </c>
      <c r="Z2269" s="8">
        <v>44926</v>
      </c>
      <c r="AA2269" s="7" t="s">
        <v>0</v>
      </c>
      <c r="AB2269" s="7" t="s">
        <v>328</v>
      </c>
      <c r="AC2269" s="7" t="s">
        <v>65</v>
      </c>
      <c r="AD2269" s="7" t="s">
        <v>0</v>
      </c>
      <c r="AE2269" s="7" t="s">
        <v>0</v>
      </c>
      <c r="AF2269" s="7" t="s">
        <v>0</v>
      </c>
      <c r="AG2269" s="7" t="s">
        <v>0</v>
      </c>
      <c r="AH2269" s="9" t="s">
        <v>0</v>
      </c>
      <c r="AI2269" s="9" t="s">
        <v>0</v>
      </c>
      <c r="AJ2269" s="9" t="s">
        <v>0</v>
      </c>
      <c r="AK2269" s="7" t="s">
        <v>61</v>
      </c>
      <c r="AL2269" s="7" t="s">
        <v>61</v>
      </c>
      <c r="AM2269" s="7" t="s">
        <v>0</v>
      </c>
      <c r="AN2269" s="7" t="s">
        <v>0</v>
      </c>
      <c r="AO2269" s="7" t="s">
        <v>0</v>
      </c>
      <c r="AP2269" s="7" t="s">
        <v>0</v>
      </c>
      <c r="AQ2269" s="7" t="s">
        <v>61</v>
      </c>
      <c r="AR2269" s="7" t="s">
        <v>0</v>
      </c>
      <c r="AS2269" s="10" t="str">
        <f>HYPERLINK("https://tessa.gazprom-neft.local/edo/card/e619f3b0-64ba-4e40-ae76-49cc4a4c41ab", "https://tessa.gazprom-neft.local/edo/card/e619f3b0-64ba-4e40-ae76-49cc4a4c41ab")</f>
        <v>https://tessa.gazprom-neft.local/edo/card/e619f3b0-64ba-4e40-ae76-49cc4a4c41ab</v>
      </c>
    </row>
    <row r="2270" spans="1:45" x14ac:dyDescent="0.25">
      <c r="A2270" s="6" t="s">
        <v>44</v>
      </c>
      <c r="B2270" s="7" t="s">
        <v>7325</v>
      </c>
      <c r="C2270" s="7" t="s">
        <v>67</v>
      </c>
      <c r="D2270" s="8">
        <v>44475</v>
      </c>
      <c r="E2270" s="8" t="s">
        <v>0</v>
      </c>
      <c r="F2270" s="16" t="s">
        <v>7326</v>
      </c>
      <c r="G2270" s="7" t="s">
        <v>7327</v>
      </c>
      <c r="H2270" s="7" t="s">
        <v>7732</v>
      </c>
      <c r="I2270" s="7" t="s">
        <v>0</v>
      </c>
      <c r="J2270" s="7" t="s">
        <v>6152</v>
      </c>
      <c r="K2270" s="7" t="s">
        <v>47</v>
      </c>
      <c r="L2270" s="7" t="s">
        <v>48</v>
      </c>
      <c r="M2270" s="7" t="s">
        <v>0</v>
      </c>
      <c r="N2270" s="7" t="s">
        <v>7731</v>
      </c>
      <c r="O2270" s="7" t="s">
        <v>0</v>
      </c>
      <c r="P2270" s="7" t="s">
        <v>7733</v>
      </c>
      <c r="Q2270" s="7" t="s">
        <v>7734</v>
      </c>
      <c r="R2270" s="7" t="s">
        <v>135</v>
      </c>
      <c r="S2270" s="7" t="s">
        <v>135</v>
      </c>
      <c r="T2270" s="7" t="s">
        <v>54</v>
      </c>
      <c r="U2270" s="7" t="s">
        <v>136</v>
      </c>
      <c r="V2270" s="7" t="s">
        <v>102</v>
      </c>
      <c r="W2270" s="7" t="s">
        <v>57</v>
      </c>
      <c r="X2270" s="7" t="s">
        <v>103</v>
      </c>
      <c r="Y2270" s="8">
        <v>44475</v>
      </c>
      <c r="Z2270" s="8">
        <v>44926</v>
      </c>
      <c r="AA2270" s="7" t="s">
        <v>6296</v>
      </c>
      <c r="AB2270" s="7" t="s">
        <v>7328</v>
      </c>
      <c r="AC2270" s="7" t="s">
        <v>65</v>
      </c>
      <c r="AD2270" s="7" t="s">
        <v>0</v>
      </c>
      <c r="AE2270" s="7" t="s">
        <v>0</v>
      </c>
      <c r="AF2270" s="7" t="s">
        <v>0</v>
      </c>
      <c r="AG2270" s="7" t="s">
        <v>0</v>
      </c>
      <c r="AH2270" s="9" t="s">
        <v>0</v>
      </c>
      <c r="AI2270" s="9" t="s">
        <v>0</v>
      </c>
      <c r="AJ2270" s="9" t="s">
        <v>0</v>
      </c>
      <c r="AK2270" s="7" t="s">
        <v>61</v>
      </c>
      <c r="AL2270" s="7" t="s">
        <v>61</v>
      </c>
      <c r="AM2270" s="7" t="s">
        <v>0</v>
      </c>
      <c r="AN2270" s="7" t="s">
        <v>0</v>
      </c>
      <c r="AO2270" s="7" t="s">
        <v>0</v>
      </c>
      <c r="AP2270" s="7" t="s">
        <v>0</v>
      </c>
      <c r="AQ2270" s="7" t="s">
        <v>61</v>
      </c>
      <c r="AR2270" s="7" t="s">
        <v>0</v>
      </c>
      <c r="AS2270" s="10" t="str">
        <f>HYPERLINK("https://tessa.gazprom-neft.local/edo/card/a39e4ecb-a0c7-4d37-b90a-8e477d94b939", "https://tessa.gazprom-neft.local/edo/card/a39e4ecb-a0c7-4d37-b90a-8e477d94b939")</f>
        <v>https://tessa.gazprom-neft.local/edo/card/a39e4ecb-a0c7-4d37-b90a-8e477d94b939</v>
      </c>
    </row>
    <row r="2271" spans="1:45" x14ac:dyDescent="0.25">
      <c r="A2271" s="6" t="s">
        <v>44</v>
      </c>
      <c r="B2271" s="7" t="s">
        <v>7325</v>
      </c>
      <c r="C2271" s="7" t="s">
        <v>67</v>
      </c>
      <c r="D2271" s="8">
        <v>44475</v>
      </c>
      <c r="E2271" s="8" t="s">
        <v>0</v>
      </c>
      <c r="F2271" s="16" t="s">
        <v>7326</v>
      </c>
      <c r="G2271" s="7" t="s">
        <v>7327</v>
      </c>
      <c r="H2271" s="7" t="s">
        <v>7744</v>
      </c>
      <c r="I2271" s="7" t="s">
        <v>0</v>
      </c>
      <c r="J2271" s="7" t="s">
        <v>271</v>
      </c>
      <c r="K2271" s="7" t="s">
        <v>47</v>
      </c>
      <c r="L2271" s="7" t="s">
        <v>48</v>
      </c>
      <c r="M2271" s="7" t="s">
        <v>0</v>
      </c>
      <c r="N2271" s="7" t="s">
        <v>7743</v>
      </c>
      <c r="O2271" s="7" t="s">
        <v>0</v>
      </c>
      <c r="P2271" s="7" t="s">
        <v>7745</v>
      </c>
      <c r="Q2271" s="7" t="s">
        <v>7734</v>
      </c>
      <c r="R2271" s="7" t="s">
        <v>135</v>
      </c>
      <c r="S2271" s="7" t="s">
        <v>135</v>
      </c>
      <c r="T2271" s="7" t="s">
        <v>54</v>
      </c>
      <c r="U2271" s="7" t="s">
        <v>136</v>
      </c>
      <c r="V2271" s="7" t="s">
        <v>102</v>
      </c>
      <c r="W2271" s="7" t="s">
        <v>57</v>
      </c>
      <c r="X2271" s="7" t="s">
        <v>103</v>
      </c>
      <c r="Y2271" s="8">
        <v>44475</v>
      </c>
      <c r="Z2271" s="8">
        <v>44926</v>
      </c>
      <c r="AA2271" s="7" t="s">
        <v>6296</v>
      </c>
      <c r="AB2271" s="7" t="s">
        <v>7328</v>
      </c>
      <c r="AC2271" s="7" t="s">
        <v>65</v>
      </c>
      <c r="AD2271" s="7" t="s">
        <v>0</v>
      </c>
      <c r="AE2271" s="7" t="s">
        <v>0</v>
      </c>
      <c r="AF2271" s="7" t="s">
        <v>0</v>
      </c>
      <c r="AG2271" s="7" t="s">
        <v>0</v>
      </c>
      <c r="AH2271" s="9" t="s">
        <v>0</v>
      </c>
      <c r="AI2271" s="9" t="s">
        <v>0</v>
      </c>
      <c r="AJ2271" s="9" t="s">
        <v>0</v>
      </c>
      <c r="AK2271" s="7" t="s">
        <v>61</v>
      </c>
      <c r="AL2271" s="7" t="s">
        <v>61</v>
      </c>
      <c r="AM2271" s="7" t="s">
        <v>0</v>
      </c>
      <c r="AN2271" s="7" t="s">
        <v>0</v>
      </c>
      <c r="AO2271" s="7" t="s">
        <v>0</v>
      </c>
      <c r="AP2271" s="7" t="s">
        <v>0</v>
      </c>
      <c r="AQ2271" s="7" t="s">
        <v>61</v>
      </c>
      <c r="AR2271" s="7" t="s">
        <v>0</v>
      </c>
      <c r="AS2271" s="10" t="str">
        <f>HYPERLINK("https://tessa.gazprom-neft.local/edo/card/4dfb5ef0-3bc4-4d9d-9e72-fb3c5cd79d6b", "https://tessa.gazprom-neft.local/edo/card/4dfb5ef0-3bc4-4d9d-9e72-fb3c5cd79d6b")</f>
        <v>https://tessa.gazprom-neft.local/edo/card/4dfb5ef0-3bc4-4d9d-9e72-fb3c5cd79d6b</v>
      </c>
    </row>
    <row r="2272" spans="1:45" x14ac:dyDescent="0.25">
      <c r="A2272" s="6" t="s">
        <v>44</v>
      </c>
      <c r="B2272" s="7" t="s">
        <v>7325</v>
      </c>
      <c r="C2272" s="7" t="s">
        <v>67</v>
      </c>
      <c r="D2272" s="8">
        <v>44475</v>
      </c>
      <c r="E2272" s="8" t="s">
        <v>0</v>
      </c>
      <c r="F2272" s="16" t="s">
        <v>7326</v>
      </c>
      <c r="G2272" s="7" t="s">
        <v>7327</v>
      </c>
      <c r="H2272" s="7" t="s">
        <v>7322</v>
      </c>
      <c r="I2272" s="7" t="s">
        <v>0</v>
      </c>
      <c r="J2272" s="7" t="s">
        <v>685</v>
      </c>
      <c r="K2272" s="7" t="s">
        <v>47</v>
      </c>
      <c r="L2272" s="7" t="s">
        <v>48</v>
      </c>
      <c r="M2272" s="7" t="s">
        <v>0</v>
      </c>
      <c r="N2272" s="7" t="s">
        <v>7749</v>
      </c>
      <c r="O2272" s="7" t="s">
        <v>0</v>
      </c>
      <c r="P2272" s="7" t="s">
        <v>7750</v>
      </c>
      <c r="Q2272" s="7" t="s">
        <v>7734</v>
      </c>
      <c r="R2272" s="7" t="s">
        <v>135</v>
      </c>
      <c r="S2272" s="7" t="s">
        <v>135</v>
      </c>
      <c r="T2272" s="7" t="s">
        <v>54</v>
      </c>
      <c r="U2272" s="7" t="s">
        <v>136</v>
      </c>
      <c r="V2272" s="7" t="s">
        <v>102</v>
      </c>
      <c r="W2272" s="7" t="s">
        <v>57</v>
      </c>
      <c r="X2272" s="7" t="s">
        <v>103</v>
      </c>
      <c r="Y2272" s="8">
        <v>44475</v>
      </c>
      <c r="Z2272" s="8">
        <v>45291</v>
      </c>
      <c r="AA2272" s="7" t="s">
        <v>6296</v>
      </c>
      <c r="AB2272" s="7" t="s">
        <v>7328</v>
      </c>
      <c r="AC2272" s="7" t="s">
        <v>65</v>
      </c>
      <c r="AD2272" s="7" t="s">
        <v>0</v>
      </c>
      <c r="AE2272" s="7" t="s">
        <v>0</v>
      </c>
      <c r="AF2272" s="7" t="s">
        <v>0</v>
      </c>
      <c r="AG2272" s="7" t="s">
        <v>0</v>
      </c>
      <c r="AH2272" s="9" t="s">
        <v>0</v>
      </c>
      <c r="AI2272" s="9" t="s">
        <v>0</v>
      </c>
      <c r="AJ2272" s="9" t="s">
        <v>0</v>
      </c>
      <c r="AK2272" s="7" t="s">
        <v>61</v>
      </c>
      <c r="AL2272" s="7" t="s">
        <v>61</v>
      </c>
      <c r="AM2272" s="7" t="s">
        <v>0</v>
      </c>
      <c r="AN2272" s="7" t="s">
        <v>0</v>
      </c>
      <c r="AO2272" s="7" t="s">
        <v>0</v>
      </c>
      <c r="AP2272" s="7" t="s">
        <v>0</v>
      </c>
      <c r="AQ2272" s="7" t="s">
        <v>61</v>
      </c>
      <c r="AR2272" s="7" t="s">
        <v>0</v>
      </c>
      <c r="AS2272" s="10" t="str">
        <f>HYPERLINK("https://tessa.gazprom-neft.local/edo/card/62392f3c-5e80-417a-a1c8-b28175a8c51b", "https://tessa.gazprom-neft.local/edo/card/62392f3c-5e80-417a-a1c8-b28175a8c51b")</f>
        <v>https://tessa.gazprom-neft.local/edo/card/62392f3c-5e80-417a-a1c8-b28175a8c51b</v>
      </c>
    </row>
    <row r="2273" spans="1:45" hidden="1" x14ac:dyDescent="0.25">
      <c r="A2273" s="6" t="s">
        <v>44</v>
      </c>
      <c r="B2273" s="7" t="s">
        <v>374</v>
      </c>
      <c r="C2273" s="7" t="s">
        <v>46</v>
      </c>
      <c r="D2273" s="8">
        <v>44475</v>
      </c>
      <c r="E2273" s="8" t="s">
        <v>0</v>
      </c>
      <c r="F2273" s="16" t="s">
        <v>375</v>
      </c>
      <c r="G2273" s="7" t="s">
        <v>376</v>
      </c>
      <c r="H2273" s="7" t="s">
        <v>0</v>
      </c>
      <c r="I2273" s="7" t="s">
        <v>919</v>
      </c>
      <c r="J2273" s="7" t="s">
        <v>919</v>
      </c>
      <c r="K2273" s="7" t="s">
        <v>85</v>
      </c>
      <c r="L2273" s="7" t="s">
        <v>96</v>
      </c>
      <c r="M2273" s="7" t="s">
        <v>7790</v>
      </c>
      <c r="N2273" s="7" t="s">
        <v>7791</v>
      </c>
      <c r="O2273" s="7" t="s">
        <v>0</v>
      </c>
      <c r="P2273" s="7" t="s">
        <v>7790</v>
      </c>
      <c r="Q2273" s="7" t="s">
        <v>7792</v>
      </c>
      <c r="R2273" s="7" t="s">
        <v>324</v>
      </c>
      <c r="S2273" s="7" t="s">
        <v>324</v>
      </c>
      <c r="T2273" s="7" t="s">
        <v>54</v>
      </c>
      <c r="U2273" s="7" t="s">
        <v>188</v>
      </c>
      <c r="V2273" s="7" t="s">
        <v>137</v>
      </c>
      <c r="W2273" s="7" t="s">
        <v>57</v>
      </c>
      <c r="X2273" s="7" t="s">
        <v>103</v>
      </c>
      <c r="Y2273" s="8">
        <v>44501</v>
      </c>
      <c r="Z2273" s="8">
        <v>44865</v>
      </c>
      <c r="AA2273" s="7" t="s">
        <v>0</v>
      </c>
      <c r="AB2273" s="7" t="s">
        <v>64</v>
      </c>
      <c r="AC2273" s="7" t="s">
        <v>79</v>
      </c>
      <c r="AD2273" s="7" t="s">
        <v>80</v>
      </c>
      <c r="AE2273" s="7" t="s">
        <v>82</v>
      </c>
      <c r="AF2273" s="7" t="s">
        <v>0</v>
      </c>
      <c r="AG2273" s="7" t="s">
        <v>0</v>
      </c>
      <c r="AH2273" s="9" t="s">
        <v>13311</v>
      </c>
      <c r="AI2273" s="9" t="s">
        <v>13312</v>
      </c>
      <c r="AJ2273" s="9" t="s">
        <v>13313</v>
      </c>
      <c r="AK2273" s="7" t="s">
        <v>61</v>
      </c>
      <c r="AL2273" s="7" t="s">
        <v>61</v>
      </c>
      <c r="AM2273" s="7" t="s">
        <v>0</v>
      </c>
      <c r="AN2273" s="7" t="s">
        <v>0</v>
      </c>
      <c r="AO2273" s="7" t="s">
        <v>0</v>
      </c>
      <c r="AP2273" s="7" t="s">
        <v>0</v>
      </c>
      <c r="AQ2273" s="7" t="s">
        <v>61</v>
      </c>
      <c r="AR2273" s="7" t="s">
        <v>0</v>
      </c>
      <c r="AS2273" s="10" t="str">
        <f>HYPERLINK("https://tessa.gazprom-neft.local/edo/card/b00ee62a-ad96-4447-a1ae-667489db5675", "https://tessa.gazprom-neft.local/edo/card/b00ee62a-ad96-4447-a1ae-667489db5675")</f>
        <v>https://tessa.gazprom-neft.local/edo/card/b00ee62a-ad96-4447-a1ae-667489db5675</v>
      </c>
    </row>
    <row r="2274" spans="1:45" hidden="1" x14ac:dyDescent="0.25">
      <c r="A2274" s="6" t="s">
        <v>44</v>
      </c>
      <c r="B2274" s="7" t="s">
        <v>0</v>
      </c>
      <c r="C2274" s="7" t="s">
        <v>67</v>
      </c>
      <c r="D2274" s="8">
        <v>44475</v>
      </c>
      <c r="E2274" s="8" t="s">
        <v>0</v>
      </c>
      <c r="F2274" s="16" t="s">
        <v>7465</v>
      </c>
      <c r="G2274" s="7" t="s">
        <v>0</v>
      </c>
      <c r="H2274" s="7" t="s">
        <v>7826</v>
      </c>
      <c r="I2274" s="7" t="s">
        <v>0</v>
      </c>
      <c r="J2274" s="7" t="s">
        <v>51</v>
      </c>
      <c r="K2274" s="7" t="s">
        <v>47</v>
      </c>
      <c r="L2274" s="7" t="s">
        <v>239</v>
      </c>
      <c r="M2274" s="7" t="s">
        <v>0</v>
      </c>
      <c r="N2274" s="7" t="s">
        <v>7825</v>
      </c>
      <c r="O2274" s="7" t="s">
        <v>0</v>
      </c>
      <c r="P2274" s="7" t="s">
        <v>7827</v>
      </c>
      <c r="Q2274" s="7" t="s">
        <v>7828</v>
      </c>
      <c r="R2274" s="7" t="s">
        <v>506</v>
      </c>
      <c r="S2274" s="7" t="s">
        <v>506</v>
      </c>
      <c r="T2274" s="7" t="s">
        <v>54</v>
      </c>
      <c r="U2274" s="7" t="s">
        <v>541</v>
      </c>
      <c r="V2274" s="7" t="s">
        <v>56</v>
      </c>
      <c r="W2274" s="7" t="s">
        <v>57</v>
      </c>
      <c r="X2274" s="7" t="s">
        <v>103</v>
      </c>
      <c r="Y2274" s="8">
        <v>44475</v>
      </c>
      <c r="Z2274" s="8">
        <v>44561</v>
      </c>
      <c r="AA2274" s="7" t="s">
        <v>0</v>
      </c>
      <c r="AB2274" s="7" t="s">
        <v>3761</v>
      </c>
      <c r="AC2274" s="7" t="s">
        <v>79</v>
      </c>
      <c r="AD2274" s="7" t="s">
        <v>80</v>
      </c>
      <c r="AE2274" s="7" t="s">
        <v>82</v>
      </c>
      <c r="AF2274" s="7" t="s">
        <v>0</v>
      </c>
      <c r="AG2274" s="7" t="s">
        <v>0</v>
      </c>
      <c r="AH2274" s="9" t="s">
        <v>13340</v>
      </c>
      <c r="AI2274" s="9" t="s">
        <v>13341</v>
      </c>
      <c r="AJ2274" s="9" t="s">
        <v>13342</v>
      </c>
      <c r="AK2274" s="7" t="s">
        <v>61</v>
      </c>
      <c r="AL2274" s="7" t="s">
        <v>61</v>
      </c>
      <c r="AM2274" s="7" t="s">
        <v>0</v>
      </c>
      <c r="AN2274" s="7" t="s">
        <v>0</v>
      </c>
      <c r="AO2274" s="7" t="s">
        <v>0</v>
      </c>
      <c r="AP2274" s="7" t="s">
        <v>0</v>
      </c>
      <c r="AQ2274" s="7" t="s">
        <v>61</v>
      </c>
      <c r="AR2274" s="7" t="s">
        <v>0</v>
      </c>
      <c r="AS2274" s="10" t="str">
        <f>HYPERLINK("https://tessa.gazprom-neft.local/edo/card/57892704-756e-4d04-b422-92f16b6a15b0", "https://tessa.gazprom-neft.local/edo/card/57892704-756e-4d04-b422-92f16b6a15b0")</f>
        <v>https://tessa.gazprom-neft.local/edo/card/57892704-756e-4d04-b422-92f16b6a15b0</v>
      </c>
    </row>
    <row r="2275" spans="1:45" x14ac:dyDescent="0.25">
      <c r="A2275" s="6" t="s">
        <v>44</v>
      </c>
      <c r="B2275" s="7" t="s">
        <v>158</v>
      </c>
      <c r="C2275" s="7" t="s">
        <v>67</v>
      </c>
      <c r="D2275" s="8">
        <v>44475</v>
      </c>
      <c r="E2275" s="8" t="s">
        <v>0</v>
      </c>
      <c r="F2275" s="16" t="s">
        <v>159</v>
      </c>
      <c r="G2275" s="7" t="s">
        <v>160</v>
      </c>
      <c r="H2275" s="7" t="s">
        <v>7848</v>
      </c>
      <c r="I2275" s="7" t="s">
        <v>0</v>
      </c>
      <c r="J2275" s="7" t="s">
        <v>271</v>
      </c>
      <c r="K2275" s="7" t="s">
        <v>47</v>
      </c>
      <c r="L2275" s="7" t="s">
        <v>48</v>
      </c>
      <c r="M2275" s="7" t="s">
        <v>0</v>
      </c>
      <c r="N2275" s="7" t="s">
        <v>7847</v>
      </c>
      <c r="O2275" s="7" t="s">
        <v>0</v>
      </c>
      <c r="P2275" s="7" t="s">
        <v>312</v>
      </c>
      <c r="Q2275" s="7" t="s">
        <v>157</v>
      </c>
      <c r="R2275" s="7" t="s">
        <v>110</v>
      </c>
      <c r="S2275" s="7" t="s">
        <v>110</v>
      </c>
      <c r="T2275" s="7" t="s">
        <v>54</v>
      </c>
      <c r="U2275" s="7" t="s">
        <v>111</v>
      </c>
      <c r="V2275" s="7" t="s">
        <v>137</v>
      </c>
      <c r="W2275" s="7" t="s">
        <v>57</v>
      </c>
      <c r="X2275" s="7" t="s">
        <v>58</v>
      </c>
      <c r="Y2275" s="8">
        <v>44476</v>
      </c>
      <c r="Z2275" s="8" t="s">
        <v>0</v>
      </c>
      <c r="AA2275" s="7" t="s">
        <v>0</v>
      </c>
      <c r="AB2275" s="7" t="s">
        <v>161</v>
      </c>
      <c r="AC2275" s="7" t="s">
        <v>65</v>
      </c>
      <c r="AD2275" s="7" t="s">
        <v>144</v>
      </c>
      <c r="AE2275" s="7" t="s">
        <v>0</v>
      </c>
      <c r="AF2275" s="7" t="s">
        <v>0</v>
      </c>
      <c r="AG2275" s="7" t="s">
        <v>0</v>
      </c>
      <c r="AH2275" s="9" t="s">
        <v>0</v>
      </c>
      <c r="AI2275" s="9" t="s">
        <v>0</v>
      </c>
      <c r="AJ2275" s="9" t="s">
        <v>0</v>
      </c>
      <c r="AK2275" s="7" t="s">
        <v>61</v>
      </c>
      <c r="AL2275" s="7" t="s">
        <v>61</v>
      </c>
      <c r="AM2275" s="7" t="s">
        <v>0</v>
      </c>
      <c r="AN2275" s="7" t="s">
        <v>0</v>
      </c>
      <c r="AO2275" s="7" t="s">
        <v>0</v>
      </c>
      <c r="AP2275" s="7" t="s">
        <v>0</v>
      </c>
      <c r="AQ2275" s="7" t="s">
        <v>61</v>
      </c>
      <c r="AR2275" s="7" t="s">
        <v>0</v>
      </c>
      <c r="AS2275" s="10" t="str">
        <f>HYPERLINK("https://tessa.gazprom-neft.local/edo/card/cad20c7a-6874-4f62-b18e-12870381adbf", "https://tessa.gazprom-neft.local/edo/card/cad20c7a-6874-4f62-b18e-12870381adbf")</f>
        <v>https://tessa.gazprom-neft.local/edo/card/cad20c7a-6874-4f62-b18e-12870381adbf</v>
      </c>
    </row>
    <row r="2276" spans="1:45" hidden="1" x14ac:dyDescent="0.25">
      <c r="A2276" s="6" t="s">
        <v>44</v>
      </c>
      <c r="B2276" s="7" t="s">
        <v>0</v>
      </c>
      <c r="C2276" s="7" t="s">
        <v>67</v>
      </c>
      <c r="D2276" s="8">
        <v>44474</v>
      </c>
      <c r="E2276" s="8" t="s">
        <v>0</v>
      </c>
      <c r="F2276" s="16" t="s">
        <v>7402</v>
      </c>
      <c r="G2276" s="7" t="s">
        <v>0</v>
      </c>
      <c r="H2276" s="7" t="s">
        <v>7820</v>
      </c>
      <c r="I2276" s="7" t="s">
        <v>0</v>
      </c>
      <c r="J2276" s="7" t="s">
        <v>51</v>
      </c>
      <c r="K2276" s="7" t="s">
        <v>47</v>
      </c>
      <c r="L2276" s="7" t="s">
        <v>239</v>
      </c>
      <c r="M2276" s="7" t="s">
        <v>0</v>
      </c>
      <c r="N2276" s="7" t="s">
        <v>7819</v>
      </c>
      <c r="O2276" s="7" t="s">
        <v>0</v>
      </c>
      <c r="P2276" s="7" t="s">
        <v>7821</v>
      </c>
      <c r="Q2276" s="7" t="s">
        <v>7822</v>
      </c>
      <c r="R2276" s="7" t="s">
        <v>506</v>
      </c>
      <c r="S2276" s="7" t="s">
        <v>506</v>
      </c>
      <c r="T2276" s="7" t="s">
        <v>54</v>
      </c>
      <c r="U2276" s="7" t="s">
        <v>541</v>
      </c>
      <c r="V2276" s="7" t="s">
        <v>56</v>
      </c>
      <c r="W2276" s="7" t="s">
        <v>57</v>
      </c>
      <c r="X2276" s="7" t="s">
        <v>103</v>
      </c>
      <c r="Y2276" s="8">
        <v>44474</v>
      </c>
      <c r="Z2276" s="8">
        <v>44561</v>
      </c>
      <c r="AA2276" s="7" t="s">
        <v>1251</v>
      </c>
      <c r="AB2276" s="7" t="s">
        <v>3761</v>
      </c>
      <c r="AC2276" s="7" t="s">
        <v>79</v>
      </c>
      <c r="AD2276" s="7" t="s">
        <v>80</v>
      </c>
      <c r="AE2276" s="7" t="s">
        <v>82</v>
      </c>
      <c r="AF2276" s="7" t="s">
        <v>0</v>
      </c>
      <c r="AG2276" s="7" t="s">
        <v>0</v>
      </c>
      <c r="AH2276" s="9" t="s">
        <v>12954</v>
      </c>
      <c r="AI2276" s="9" t="s">
        <v>13335</v>
      </c>
      <c r="AJ2276" s="9" t="s">
        <v>13336</v>
      </c>
      <c r="AK2276" s="7" t="s">
        <v>61</v>
      </c>
      <c r="AL2276" s="7" t="s">
        <v>61</v>
      </c>
      <c r="AM2276" s="7" t="s">
        <v>0</v>
      </c>
      <c r="AN2276" s="7" t="s">
        <v>0</v>
      </c>
      <c r="AO2276" s="7" t="s">
        <v>0</v>
      </c>
      <c r="AP2276" s="7" t="s">
        <v>0</v>
      </c>
      <c r="AQ2276" s="7" t="s">
        <v>61</v>
      </c>
      <c r="AR2276" s="7" t="s">
        <v>0</v>
      </c>
      <c r="AS2276" s="10" t="str">
        <f>HYPERLINK("https://tessa.gazprom-neft.local/edo/card/1223ec2e-4b5d-4f91-ac68-6db6df478314", "https://tessa.gazprom-neft.local/edo/card/1223ec2e-4b5d-4f91-ac68-6db6df478314")</f>
        <v>https://tessa.gazprom-neft.local/edo/card/1223ec2e-4b5d-4f91-ac68-6db6df478314</v>
      </c>
    </row>
    <row r="2277" spans="1:45" x14ac:dyDescent="0.25">
      <c r="A2277" s="6" t="s">
        <v>44</v>
      </c>
      <c r="B2277" s="7" t="s">
        <v>727</v>
      </c>
      <c r="C2277" s="7" t="s">
        <v>67</v>
      </c>
      <c r="D2277" s="8">
        <v>44474</v>
      </c>
      <c r="E2277" s="8" t="s">
        <v>0</v>
      </c>
      <c r="F2277" s="16" t="s">
        <v>728</v>
      </c>
      <c r="G2277" s="7" t="s">
        <v>729</v>
      </c>
      <c r="H2277" s="7" t="s">
        <v>2427</v>
      </c>
      <c r="I2277" s="7" t="s">
        <v>0</v>
      </c>
      <c r="J2277" s="7" t="s">
        <v>156</v>
      </c>
      <c r="K2277" s="7" t="s">
        <v>47</v>
      </c>
      <c r="L2277" s="7" t="s">
        <v>48</v>
      </c>
      <c r="M2277" s="7" t="s">
        <v>0</v>
      </c>
      <c r="N2277" s="7" t="s">
        <v>7841</v>
      </c>
      <c r="O2277" s="7" t="s">
        <v>0</v>
      </c>
      <c r="P2277" s="7" t="s">
        <v>7842</v>
      </c>
      <c r="Q2277" s="7" t="s">
        <v>7843</v>
      </c>
      <c r="R2277" s="7" t="s">
        <v>799</v>
      </c>
      <c r="S2277" s="7" t="s">
        <v>799</v>
      </c>
      <c r="T2277" s="7" t="s">
        <v>54</v>
      </c>
      <c r="U2277" s="7" t="s">
        <v>55</v>
      </c>
      <c r="V2277" s="7" t="s">
        <v>56</v>
      </c>
      <c r="W2277" s="7" t="s">
        <v>57</v>
      </c>
      <c r="X2277" s="7" t="s">
        <v>103</v>
      </c>
      <c r="Y2277" s="8">
        <v>44474</v>
      </c>
      <c r="Z2277" s="8">
        <v>45291</v>
      </c>
      <c r="AA2277" s="7" t="s">
        <v>0</v>
      </c>
      <c r="AB2277" s="7" t="s">
        <v>2269</v>
      </c>
      <c r="AC2277" s="7" t="s">
        <v>65</v>
      </c>
      <c r="AD2277" s="7" t="s">
        <v>0</v>
      </c>
      <c r="AE2277" s="7" t="s">
        <v>0</v>
      </c>
      <c r="AF2277" s="7" t="s">
        <v>0</v>
      </c>
      <c r="AG2277" s="7" t="s">
        <v>0</v>
      </c>
      <c r="AH2277" s="9" t="s">
        <v>0</v>
      </c>
      <c r="AI2277" s="9" t="s">
        <v>0</v>
      </c>
      <c r="AJ2277" s="9" t="s">
        <v>0</v>
      </c>
      <c r="AK2277" s="7" t="s">
        <v>61</v>
      </c>
      <c r="AL2277" s="7" t="s">
        <v>61</v>
      </c>
      <c r="AM2277" s="7" t="s">
        <v>0</v>
      </c>
      <c r="AN2277" s="7" t="s">
        <v>0</v>
      </c>
      <c r="AO2277" s="7" t="s">
        <v>0</v>
      </c>
      <c r="AP2277" s="7" t="s">
        <v>0</v>
      </c>
      <c r="AQ2277" s="7" t="s">
        <v>61</v>
      </c>
      <c r="AR2277" s="7" t="s">
        <v>0</v>
      </c>
      <c r="AS2277" s="10" t="str">
        <f>HYPERLINK("https://tessa.gazprom-neft.local/edo/card/94cfa746-df1b-473f-843d-7b139b0951fa", "https://tessa.gazprom-neft.local/edo/card/94cfa746-df1b-473f-843d-7b139b0951fa")</f>
        <v>https://tessa.gazprom-neft.local/edo/card/94cfa746-df1b-473f-843d-7b139b0951fa</v>
      </c>
    </row>
    <row r="2278" spans="1:45" hidden="1" x14ac:dyDescent="0.25">
      <c r="A2278" s="6" t="s">
        <v>44</v>
      </c>
      <c r="B2278" s="7" t="s">
        <v>0</v>
      </c>
      <c r="C2278" s="7" t="s">
        <v>67</v>
      </c>
      <c r="D2278" s="8">
        <v>44473</v>
      </c>
      <c r="E2278" s="8" t="s">
        <v>0</v>
      </c>
      <c r="F2278" s="16" t="s">
        <v>7714</v>
      </c>
      <c r="G2278" s="7" t="s">
        <v>0</v>
      </c>
      <c r="H2278" s="7" t="s">
        <v>0</v>
      </c>
      <c r="I2278" s="7" t="s">
        <v>2173</v>
      </c>
      <c r="J2278" s="7" t="s">
        <v>2173</v>
      </c>
      <c r="K2278" s="7" t="s">
        <v>47</v>
      </c>
      <c r="L2278" s="7" t="s">
        <v>96</v>
      </c>
      <c r="M2278" s="7" t="s">
        <v>0</v>
      </c>
      <c r="N2278" s="7" t="s">
        <v>7711</v>
      </c>
      <c r="O2278" s="7" t="s">
        <v>0</v>
      </c>
      <c r="P2278" s="7" t="s">
        <v>635</v>
      </c>
      <c r="Q2278" s="7" t="s">
        <v>7712</v>
      </c>
      <c r="R2278" s="7" t="s">
        <v>282</v>
      </c>
      <c r="S2278" s="7" t="s">
        <v>7713</v>
      </c>
      <c r="T2278" s="7" t="s">
        <v>54</v>
      </c>
      <c r="U2278" s="7" t="s">
        <v>55</v>
      </c>
      <c r="V2278" s="7" t="s">
        <v>56</v>
      </c>
      <c r="W2278" s="7" t="s">
        <v>57</v>
      </c>
      <c r="X2278" s="7" t="s">
        <v>103</v>
      </c>
      <c r="Y2278" s="8">
        <v>44473</v>
      </c>
      <c r="Z2278" s="8">
        <v>45657</v>
      </c>
      <c r="AA2278" s="7" t="s">
        <v>0</v>
      </c>
      <c r="AB2278" s="7" t="s">
        <v>874</v>
      </c>
      <c r="AC2278" s="7" t="s">
        <v>79</v>
      </c>
      <c r="AD2278" s="7" t="s">
        <v>144</v>
      </c>
      <c r="AE2278" s="7" t="s">
        <v>82</v>
      </c>
      <c r="AF2278" s="7" t="s">
        <v>0</v>
      </c>
      <c r="AG2278" s="7" t="s">
        <v>0</v>
      </c>
      <c r="AH2278" s="9" t="s">
        <v>12965</v>
      </c>
      <c r="AI2278" s="9" t="s">
        <v>12966</v>
      </c>
      <c r="AJ2278" s="9" t="s">
        <v>12967</v>
      </c>
      <c r="AK2278" s="7" t="s">
        <v>61</v>
      </c>
      <c r="AL2278" s="7" t="s">
        <v>61</v>
      </c>
      <c r="AM2278" s="7" t="s">
        <v>0</v>
      </c>
      <c r="AN2278" s="7" t="s">
        <v>0</v>
      </c>
      <c r="AO2278" s="7" t="s">
        <v>0</v>
      </c>
      <c r="AP2278" s="7" t="s">
        <v>0</v>
      </c>
      <c r="AQ2278" s="7" t="s">
        <v>61</v>
      </c>
      <c r="AR2278" s="7" t="s">
        <v>0</v>
      </c>
      <c r="AS2278" s="10" t="str">
        <f>HYPERLINK("https://tessa.gazprom-neft.local/edo/card/73a7e032-ef05-4651-b5df-db9442bf4084", "https://tessa.gazprom-neft.local/edo/card/73a7e032-ef05-4651-b5df-db9442bf4084")</f>
        <v>https://tessa.gazprom-neft.local/edo/card/73a7e032-ef05-4651-b5df-db9442bf4084</v>
      </c>
    </row>
    <row r="2279" spans="1:45" hidden="1" x14ac:dyDescent="0.25">
      <c r="A2279" s="6" t="s">
        <v>44</v>
      </c>
      <c r="B2279" s="7" t="s">
        <v>245</v>
      </c>
      <c r="C2279" s="7" t="s">
        <v>67</v>
      </c>
      <c r="D2279" s="8">
        <v>44473</v>
      </c>
      <c r="E2279" s="8" t="s">
        <v>0</v>
      </c>
      <c r="F2279" s="16" t="s">
        <v>246</v>
      </c>
      <c r="G2279" s="7" t="s">
        <v>247</v>
      </c>
      <c r="H2279" s="7" t="s">
        <v>1822</v>
      </c>
      <c r="I2279" s="7" t="s">
        <v>0</v>
      </c>
      <c r="J2279" s="7" t="s">
        <v>7782</v>
      </c>
      <c r="K2279" s="7" t="s">
        <v>47</v>
      </c>
      <c r="L2279" s="7" t="s">
        <v>239</v>
      </c>
      <c r="M2279" s="7" t="s">
        <v>0</v>
      </c>
      <c r="N2279" s="7" t="s">
        <v>7780</v>
      </c>
      <c r="O2279" s="7" t="s">
        <v>0</v>
      </c>
      <c r="P2279" s="7" t="s">
        <v>7781</v>
      </c>
      <c r="Q2279" s="7" t="s">
        <v>7783</v>
      </c>
      <c r="R2279" s="7" t="s">
        <v>244</v>
      </c>
      <c r="S2279" s="7" t="s">
        <v>244</v>
      </c>
      <c r="T2279" s="7" t="s">
        <v>54</v>
      </c>
      <c r="U2279" s="7" t="s">
        <v>55</v>
      </c>
      <c r="V2279" s="7" t="s">
        <v>56</v>
      </c>
      <c r="W2279" s="7" t="s">
        <v>57</v>
      </c>
      <c r="X2279" s="7" t="s">
        <v>103</v>
      </c>
      <c r="Y2279" s="8">
        <v>44473</v>
      </c>
      <c r="Z2279" s="8">
        <v>44561</v>
      </c>
      <c r="AA2279" s="7" t="s">
        <v>1251</v>
      </c>
      <c r="AB2279" s="7" t="s">
        <v>248</v>
      </c>
      <c r="AC2279" s="7" t="s">
        <v>79</v>
      </c>
      <c r="AD2279" s="7" t="s">
        <v>144</v>
      </c>
      <c r="AE2279" s="7" t="s">
        <v>82</v>
      </c>
      <c r="AF2279" s="7" t="s">
        <v>0</v>
      </c>
      <c r="AG2279" s="7" t="s">
        <v>0</v>
      </c>
      <c r="AH2279" s="9" t="s">
        <v>13305</v>
      </c>
      <c r="AI2279" s="9" t="s">
        <v>13306</v>
      </c>
      <c r="AJ2279" s="9" t="s">
        <v>13307</v>
      </c>
      <c r="AK2279" s="7" t="s">
        <v>61</v>
      </c>
      <c r="AL2279" s="7" t="s">
        <v>61</v>
      </c>
      <c r="AM2279" s="7" t="s">
        <v>0</v>
      </c>
      <c r="AN2279" s="7" t="s">
        <v>0</v>
      </c>
      <c r="AO2279" s="7" t="s">
        <v>0</v>
      </c>
      <c r="AP2279" s="7" t="s">
        <v>0</v>
      </c>
      <c r="AQ2279" s="7" t="s">
        <v>61</v>
      </c>
      <c r="AR2279" s="7" t="s">
        <v>0</v>
      </c>
      <c r="AS2279" s="10" t="str">
        <f>HYPERLINK("https://tessa.gazprom-neft.local/edo/card/126f0cba-8e49-47d4-afd7-0e91aaa4b1ec", "https://tessa.gazprom-neft.local/edo/card/126f0cba-8e49-47d4-afd7-0e91aaa4b1ec")</f>
        <v>https://tessa.gazprom-neft.local/edo/card/126f0cba-8e49-47d4-afd7-0e91aaa4b1ec</v>
      </c>
    </row>
    <row r="2280" spans="1:45" hidden="1" x14ac:dyDescent="0.25">
      <c r="A2280" s="6" t="s">
        <v>44</v>
      </c>
      <c r="B2280" s="7" t="s">
        <v>384</v>
      </c>
      <c r="C2280" s="7" t="s">
        <v>46</v>
      </c>
      <c r="D2280" s="8">
        <v>44473</v>
      </c>
      <c r="E2280" s="8" t="s">
        <v>0</v>
      </c>
      <c r="F2280" s="16" t="s">
        <v>385</v>
      </c>
      <c r="G2280" s="7" t="s">
        <v>386</v>
      </c>
      <c r="H2280" s="7" t="s">
        <v>0</v>
      </c>
      <c r="I2280" s="7" t="s">
        <v>7797</v>
      </c>
      <c r="J2280" s="7" t="s">
        <v>7797</v>
      </c>
      <c r="K2280" s="7" t="s">
        <v>47</v>
      </c>
      <c r="L2280" s="7" t="s">
        <v>96</v>
      </c>
      <c r="M2280" s="7" t="s">
        <v>0</v>
      </c>
      <c r="N2280" s="7" t="s">
        <v>7796</v>
      </c>
      <c r="O2280" s="7" t="s">
        <v>0</v>
      </c>
      <c r="P2280" s="7" t="s">
        <v>7798</v>
      </c>
      <c r="Q2280" s="7" t="s">
        <v>3925</v>
      </c>
      <c r="R2280" s="7" t="s">
        <v>361</v>
      </c>
      <c r="S2280" s="7" t="s">
        <v>3926</v>
      </c>
      <c r="T2280" s="7" t="s">
        <v>54</v>
      </c>
      <c r="U2280" s="7" t="s">
        <v>1683</v>
      </c>
      <c r="V2280" s="7" t="s">
        <v>295</v>
      </c>
      <c r="W2280" s="7" t="s">
        <v>57</v>
      </c>
      <c r="X2280" s="7" t="s">
        <v>103</v>
      </c>
      <c r="Y2280" s="8">
        <v>44473</v>
      </c>
      <c r="Z2280" s="8">
        <v>44926</v>
      </c>
      <c r="AA2280" s="7" t="s">
        <v>1269</v>
      </c>
      <c r="AB2280" s="7" t="s">
        <v>1748</v>
      </c>
      <c r="AC2280" s="7" t="s">
        <v>278</v>
      </c>
      <c r="AD2280" s="7" t="s">
        <v>367</v>
      </c>
      <c r="AE2280" s="7" t="s">
        <v>82</v>
      </c>
      <c r="AF2280" s="7" t="s">
        <v>0</v>
      </c>
      <c r="AG2280" s="7" t="s">
        <v>0</v>
      </c>
      <c r="AH2280" s="9" t="s">
        <v>13317</v>
      </c>
      <c r="AI2280" s="9" t="s">
        <v>13318</v>
      </c>
      <c r="AJ2280" s="9" t="s">
        <v>13319</v>
      </c>
      <c r="AK2280" s="7" t="s">
        <v>61</v>
      </c>
      <c r="AL2280" s="7" t="s">
        <v>61</v>
      </c>
      <c r="AM2280" s="7" t="s">
        <v>0</v>
      </c>
      <c r="AN2280" s="7" t="s">
        <v>0</v>
      </c>
      <c r="AO2280" s="7" t="s">
        <v>0</v>
      </c>
      <c r="AP2280" s="7" t="s">
        <v>0</v>
      </c>
      <c r="AQ2280" s="7" t="s">
        <v>61</v>
      </c>
      <c r="AR2280" s="7" t="s">
        <v>0</v>
      </c>
      <c r="AS2280" s="10" t="str">
        <f>HYPERLINK("https://tessa.gazprom-neft.local/edo/card/7424bc4c-c367-4c96-80e2-208ca266daa0", "https://tessa.gazprom-neft.local/edo/card/7424bc4c-c367-4c96-80e2-208ca266daa0")</f>
        <v>https://tessa.gazprom-neft.local/edo/card/7424bc4c-c367-4c96-80e2-208ca266daa0</v>
      </c>
    </row>
    <row r="2281" spans="1:45" hidden="1" x14ac:dyDescent="0.25">
      <c r="A2281" s="6" t="s">
        <v>44</v>
      </c>
      <c r="B2281" s="7" t="s">
        <v>2193</v>
      </c>
      <c r="C2281" s="7" t="s">
        <v>67</v>
      </c>
      <c r="D2281" s="8">
        <v>44470</v>
      </c>
      <c r="E2281" s="8" t="s">
        <v>0</v>
      </c>
      <c r="F2281" s="16" t="s">
        <v>2194</v>
      </c>
      <c r="G2281" s="7" t="s">
        <v>2195</v>
      </c>
      <c r="H2281" s="7" t="s">
        <v>7660</v>
      </c>
      <c r="I2281" s="7" t="s">
        <v>0</v>
      </c>
      <c r="J2281" s="7" t="s">
        <v>156</v>
      </c>
      <c r="K2281" s="7" t="s">
        <v>47</v>
      </c>
      <c r="L2281" s="7" t="s">
        <v>239</v>
      </c>
      <c r="M2281" s="7" t="s">
        <v>0</v>
      </c>
      <c r="N2281" s="7" t="s">
        <v>7659</v>
      </c>
      <c r="O2281" s="7" t="s">
        <v>0</v>
      </c>
      <c r="P2281" s="7" t="s">
        <v>7661</v>
      </c>
      <c r="Q2281" s="7" t="s">
        <v>7662</v>
      </c>
      <c r="R2281" s="7" t="s">
        <v>135</v>
      </c>
      <c r="S2281" s="7" t="s">
        <v>135</v>
      </c>
      <c r="T2281" s="7" t="s">
        <v>54</v>
      </c>
      <c r="U2281" s="7" t="s">
        <v>136</v>
      </c>
      <c r="V2281" s="7" t="s">
        <v>102</v>
      </c>
      <c r="W2281" s="7" t="s">
        <v>57</v>
      </c>
      <c r="X2281" s="7" t="s">
        <v>103</v>
      </c>
      <c r="Y2281" s="8">
        <v>44470</v>
      </c>
      <c r="Z2281" s="8">
        <v>44561</v>
      </c>
      <c r="AA2281" s="7" t="s">
        <v>6296</v>
      </c>
      <c r="AB2281" s="7" t="s">
        <v>2472</v>
      </c>
      <c r="AC2281" s="7" t="s">
        <v>79</v>
      </c>
      <c r="AD2281" s="7" t="s">
        <v>80</v>
      </c>
      <c r="AE2281" s="7" t="s">
        <v>118</v>
      </c>
      <c r="AF2281" s="7" t="s">
        <v>0</v>
      </c>
      <c r="AG2281" s="7" t="s">
        <v>0</v>
      </c>
      <c r="AH2281" s="9" t="s">
        <v>13258</v>
      </c>
      <c r="AI2281" s="9" t="s">
        <v>13258</v>
      </c>
      <c r="AJ2281" s="9">
        <v>0</v>
      </c>
      <c r="AK2281" s="7" t="s">
        <v>61</v>
      </c>
      <c r="AL2281" s="7" t="s">
        <v>61</v>
      </c>
      <c r="AM2281" s="7" t="s">
        <v>0</v>
      </c>
      <c r="AN2281" s="7" t="s">
        <v>0</v>
      </c>
      <c r="AO2281" s="7" t="s">
        <v>0</v>
      </c>
      <c r="AP2281" s="7" t="s">
        <v>0</v>
      </c>
      <c r="AQ2281" s="7" t="s">
        <v>61</v>
      </c>
      <c r="AR2281" s="7" t="s">
        <v>0</v>
      </c>
      <c r="AS2281" s="10" t="str">
        <f>HYPERLINK("https://tessa.gazprom-neft.local/edo/card/683e099e-c75a-4f7b-b8d9-34e7b07f8491", "https://tessa.gazprom-neft.local/edo/card/683e099e-c75a-4f7b-b8d9-34e7b07f8491")</f>
        <v>https://tessa.gazprom-neft.local/edo/card/683e099e-c75a-4f7b-b8d9-34e7b07f8491</v>
      </c>
    </row>
    <row r="2282" spans="1:45" x14ac:dyDescent="0.25">
      <c r="A2282" s="6" t="s">
        <v>44</v>
      </c>
      <c r="B2282" s="7" t="s">
        <v>410</v>
      </c>
      <c r="C2282" s="7" t="s">
        <v>67</v>
      </c>
      <c r="D2282" s="8">
        <v>44470</v>
      </c>
      <c r="E2282" s="8" t="s">
        <v>0</v>
      </c>
      <c r="F2282" s="16" t="s">
        <v>411</v>
      </c>
      <c r="G2282" s="7" t="s">
        <v>412</v>
      </c>
      <c r="H2282" s="7" t="s">
        <v>7702</v>
      </c>
      <c r="I2282" s="7" t="s">
        <v>0</v>
      </c>
      <c r="J2282" s="7" t="s">
        <v>271</v>
      </c>
      <c r="K2282" s="7" t="s">
        <v>47</v>
      </c>
      <c r="L2282" s="7" t="s">
        <v>48</v>
      </c>
      <c r="M2282" s="7" t="s">
        <v>0</v>
      </c>
      <c r="N2282" s="7" t="s">
        <v>7701</v>
      </c>
      <c r="O2282" s="7" t="s">
        <v>0</v>
      </c>
      <c r="P2282" s="7" t="s">
        <v>7703</v>
      </c>
      <c r="Q2282" s="7" t="s">
        <v>7704</v>
      </c>
      <c r="R2282" s="7" t="s">
        <v>1125</v>
      </c>
      <c r="S2282" s="7" t="s">
        <v>1125</v>
      </c>
      <c r="T2282" s="7" t="s">
        <v>54</v>
      </c>
      <c r="U2282" s="7" t="s">
        <v>188</v>
      </c>
      <c r="V2282" s="7" t="s">
        <v>187</v>
      </c>
      <c r="W2282" s="7" t="s">
        <v>57</v>
      </c>
      <c r="X2282" s="7" t="s">
        <v>103</v>
      </c>
      <c r="Y2282" s="8">
        <v>44470</v>
      </c>
      <c r="Z2282" s="8">
        <v>45270</v>
      </c>
      <c r="AA2282" s="7" t="s">
        <v>373</v>
      </c>
      <c r="AB2282" s="7" t="s">
        <v>64</v>
      </c>
      <c r="AC2282" s="7" t="s">
        <v>79</v>
      </c>
      <c r="AD2282" s="7" t="s">
        <v>514</v>
      </c>
      <c r="AE2282" s="7" t="s">
        <v>82</v>
      </c>
      <c r="AF2282" s="7" t="s">
        <v>0</v>
      </c>
      <c r="AG2282" s="7" t="s">
        <v>0</v>
      </c>
      <c r="AH2282" s="9" t="s">
        <v>13280</v>
      </c>
      <c r="AI2282" s="9" t="s">
        <v>13281</v>
      </c>
      <c r="AJ2282" s="9" t="s">
        <v>13282</v>
      </c>
      <c r="AK2282" s="7" t="s">
        <v>61</v>
      </c>
      <c r="AL2282" s="7" t="s">
        <v>61</v>
      </c>
      <c r="AM2282" s="7" t="s">
        <v>0</v>
      </c>
      <c r="AN2282" s="7" t="s">
        <v>0</v>
      </c>
      <c r="AO2282" s="7" t="s">
        <v>0</v>
      </c>
      <c r="AP2282" s="7" t="s">
        <v>0</v>
      </c>
      <c r="AQ2282" s="7" t="s">
        <v>61</v>
      </c>
      <c r="AR2282" s="7" t="s">
        <v>0</v>
      </c>
      <c r="AS2282" s="10" t="str">
        <f>HYPERLINK("https://tessa.gazprom-neft.local/edo/card/ab0491f8-c467-4cd7-b93c-0553b52c872c", "https://tessa.gazprom-neft.local/edo/card/ab0491f8-c467-4cd7-b93c-0553b52c872c")</f>
        <v>https://tessa.gazprom-neft.local/edo/card/ab0491f8-c467-4cd7-b93c-0553b52c872c</v>
      </c>
    </row>
    <row r="2283" spans="1:45" x14ac:dyDescent="0.25">
      <c r="A2283" s="6" t="s">
        <v>44</v>
      </c>
      <c r="B2283" s="7" t="s">
        <v>1101</v>
      </c>
      <c r="C2283" s="7" t="s">
        <v>67</v>
      </c>
      <c r="D2283" s="8">
        <v>44470</v>
      </c>
      <c r="E2283" s="8" t="s">
        <v>0</v>
      </c>
      <c r="F2283" s="16" t="s">
        <v>1102</v>
      </c>
      <c r="G2283" s="7" t="s">
        <v>1103</v>
      </c>
      <c r="H2283" s="7" t="s">
        <v>2522</v>
      </c>
      <c r="I2283" s="7" t="s">
        <v>0</v>
      </c>
      <c r="J2283" s="7" t="s">
        <v>51</v>
      </c>
      <c r="K2283" s="7" t="s">
        <v>47</v>
      </c>
      <c r="L2283" s="7" t="s">
        <v>48</v>
      </c>
      <c r="M2283" s="7" t="s">
        <v>0</v>
      </c>
      <c r="N2283" s="7" t="s">
        <v>7854</v>
      </c>
      <c r="O2283" s="7" t="s">
        <v>0</v>
      </c>
      <c r="P2283" s="7" t="s">
        <v>7855</v>
      </c>
      <c r="Q2283" s="7" t="s">
        <v>7856</v>
      </c>
      <c r="R2283" s="7" t="s">
        <v>339</v>
      </c>
      <c r="S2283" s="7" t="s">
        <v>339</v>
      </c>
      <c r="T2283" s="7" t="s">
        <v>54</v>
      </c>
      <c r="U2283" s="7" t="s">
        <v>303</v>
      </c>
      <c r="V2283" s="7" t="s">
        <v>91</v>
      </c>
      <c r="W2283" s="7" t="s">
        <v>57</v>
      </c>
      <c r="X2283" s="7" t="s">
        <v>103</v>
      </c>
      <c r="Y2283" s="8">
        <v>44470</v>
      </c>
      <c r="Z2283" s="8">
        <v>44985</v>
      </c>
      <c r="AA2283" s="7" t="s">
        <v>7093</v>
      </c>
      <c r="AB2283" s="7" t="s">
        <v>64</v>
      </c>
      <c r="AC2283" s="7" t="s">
        <v>65</v>
      </c>
      <c r="AD2283" s="7" t="s">
        <v>144</v>
      </c>
      <c r="AE2283" s="7" t="s">
        <v>0</v>
      </c>
      <c r="AF2283" s="7" t="s">
        <v>0</v>
      </c>
      <c r="AG2283" s="7" t="s">
        <v>0</v>
      </c>
      <c r="AH2283" s="9" t="s">
        <v>0</v>
      </c>
      <c r="AI2283" s="9" t="s">
        <v>0</v>
      </c>
      <c r="AJ2283" s="9" t="s">
        <v>0</v>
      </c>
      <c r="AK2283" s="7" t="s">
        <v>61</v>
      </c>
      <c r="AL2283" s="7" t="s">
        <v>61</v>
      </c>
      <c r="AM2283" s="7" t="s">
        <v>0</v>
      </c>
      <c r="AN2283" s="7" t="s">
        <v>0</v>
      </c>
      <c r="AO2283" s="7" t="s">
        <v>0</v>
      </c>
      <c r="AP2283" s="7" t="s">
        <v>0</v>
      </c>
      <c r="AQ2283" s="7" t="s">
        <v>61</v>
      </c>
      <c r="AR2283" s="7" t="s">
        <v>0</v>
      </c>
      <c r="AS2283" s="10" t="str">
        <f>HYPERLINK("https://tessa.gazprom-neft.local/edo/card/c2b17a7b-f793-44d3-b95b-39a55c8c2c1c", "https://tessa.gazprom-neft.local/edo/card/c2b17a7b-f793-44d3-b95b-39a55c8c2c1c")</f>
        <v>https://tessa.gazprom-neft.local/edo/card/c2b17a7b-f793-44d3-b95b-39a55c8c2c1c</v>
      </c>
    </row>
    <row r="2284" spans="1:45" hidden="1" x14ac:dyDescent="0.25">
      <c r="A2284" s="6" t="s">
        <v>44</v>
      </c>
      <c r="B2284" s="7" t="s">
        <v>6013</v>
      </c>
      <c r="C2284" s="7" t="s">
        <v>46</v>
      </c>
      <c r="D2284" s="8">
        <v>44470</v>
      </c>
      <c r="E2284" s="8" t="s">
        <v>0</v>
      </c>
      <c r="F2284" s="16" t="s">
        <v>6014</v>
      </c>
      <c r="G2284" s="7" t="s">
        <v>6015</v>
      </c>
      <c r="H2284" s="7" t="s">
        <v>0</v>
      </c>
      <c r="I2284" s="7" t="s">
        <v>6010</v>
      </c>
      <c r="J2284" s="7" t="s">
        <v>6010</v>
      </c>
      <c r="K2284" s="7" t="s">
        <v>47</v>
      </c>
      <c r="L2284" s="7" t="s">
        <v>96</v>
      </c>
      <c r="M2284" s="7" t="s">
        <v>0</v>
      </c>
      <c r="N2284" s="7" t="s">
        <v>8006</v>
      </c>
      <c r="O2284" s="7" t="s">
        <v>0</v>
      </c>
      <c r="P2284" s="7" t="s">
        <v>6011</v>
      </c>
      <c r="Q2284" s="7" t="s">
        <v>8007</v>
      </c>
      <c r="R2284" s="7" t="s">
        <v>2336</v>
      </c>
      <c r="S2284" s="7" t="s">
        <v>2336</v>
      </c>
      <c r="T2284" s="7" t="s">
        <v>54</v>
      </c>
      <c r="U2284" s="7" t="s">
        <v>307</v>
      </c>
      <c r="V2284" s="7" t="s">
        <v>137</v>
      </c>
      <c r="W2284" s="7" t="s">
        <v>57</v>
      </c>
      <c r="X2284" s="7" t="s">
        <v>103</v>
      </c>
      <c r="Y2284" s="8">
        <v>44470</v>
      </c>
      <c r="Z2284" s="8">
        <v>44651</v>
      </c>
      <c r="AA2284" s="7" t="s">
        <v>0</v>
      </c>
      <c r="AB2284" s="7" t="s">
        <v>64</v>
      </c>
      <c r="AC2284" s="7" t="s">
        <v>79</v>
      </c>
      <c r="AD2284" s="7" t="s">
        <v>80</v>
      </c>
      <c r="AE2284" s="7" t="s">
        <v>82</v>
      </c>
      <c r="AF2284" s="7" t="s">
        <v>0</v>
      </c>
      <c r="AG2284" s="7" t="s">
        <v>0</v>
      </c>
      <c r="AH2284" s="9" t="s">
        <v>13392</v>
      </c>
      <c r="AI2284" s="9" t="s">
        <v>13393</v>
      </c>
      <c r="AJ2284" s="9" t="s">
        <v>13394</v>
      </c>
      <c r="AK2284" s="7" t="s">
        <v>61</v>
      </c>
      <c r="AL2284" s="7" t="s">
        <v>81</v>
      </c>
      <c r="AM2284" s="7" t="s">
        <v>1410</v>
      </c>
      <c r="AN2284" s="7" t="s">
        <v>8008</v>
      </c>
      <c r="AO2284" s="7" t="s">
        <v>0</v>
      </c>
      <c r="AP2284" s="7" t="s">
        <v>0</v>
      </c>
      <c r="AQ2284" s="7" t="s">
        <v>61</v>
      </c>
      <c r="AR2284" s="7" t="s">
        <v>0</v>
      </c>
      <c r="AS2284" s="10" t="str">
        <f>HYPERLINK("https://tessa.gazprom-neft.local/edo/card/42b270da-928d-45cb-bb83-c61446b3e0ee", "https://tessa.gazprom-neft.local/edo/card/42b270da-928d-45cb-bb83-c61446b3e0ee")</f>
        <v>https://tessa.gazprom-neft.local/edo/card/42b270da-928d-45cb-bb83-c61446b3e0ee</v>
      </c>
    </row>
    <row r="2285" spans="1:45" hidden="1" x14ac:dyDescent="0.25">
      <c r="A2285" s="6" t="s">
        <v>44</v>
      </c>
      <c r="B2285" s="7" t="s">
        <v>2993</v>
      </c>
      <c r="C2285" s="7" t="s">
        <v>46</v>
      </c>
      <c r="D2285" s="8">
        <v>44470</v>
      </c>
      <c r="E2285" s="8" t="s">
        <v>0</v>
      </c>
      <c r="F2285" s="16" t="s">
        <v>2994</v>
      </c>
      <c r="G2285" s="7" t="s">
        <v>2995</v>
      </c>
      <c r="H2285" s="7" t="s">
        <v>0</v>
      </c>
      <c r="I2285" s="7" t="s">
        <v>8028</v>
      </c>
      <c r="J2285" s="7" t="s">
        <v>8028</v>
      </c>
      <c r="K2285" s="7" t="s">
        <v>47</v>
      </c>
      <c r="L2285" s="7" t="s">
        <v>96</v>
      </c>
      <c r="M2285" s="7" t="s">
        <v>0</v>
      </c>
      <c r="N2285" s="7" t="s">
        <v>8027</v>
      </c>
      <c r="O2285" s="7" t="s">
        <v>0</v>
      </c>
      <c r="P2285" s="7" t="s">
        <v>8029</v>
      </c>
      <c r="Q2285" s="7" t="s">
        <v>8029</v>
      </c>
      <c r="R2285" s="7" t="s">
        <v>1083</v>
      </c>
      <c r="S2285" s="7" t="s">
        <v>1924</v>
      </c>
      <c r="T2285" s="7" t="s">
        <v>54</v>
      </c>
      <c r="U2285" s="7" t="s">
        <v>274</v>
      </c>
      <c r="V2285" s="7" t="s">
        <v>56</v>
      </c>
      <c r="W2285" s="7" t="s">
        <v>57</v>
      </c>
      <c r="X2285" s="7" t="s">
        <v>103</v>
      </c>
      <c r="Y2285" s="8">
        <v>44470</v>
      </c>
      <c r="Z2285" s="8">
        <v>44645</v>
      </c>
      <c r="AA2285" s="7" t="s">
        <v>0</v>
      </c>
      <c r="AB2285" s="7" t="s">
        <v>64</v>
      </c>
      <c r="AC2285" s="7" t="s">
        <v>278</v>
      </c>
      <c r="AD2285" s="7" t="s">
        <v>80</v>
      </c>
      <c r="AE2285" s="7" t="s">
        <v>82</v>
      </c>
      <c r="AF2285" s="7" t="s">
        <v>0</v>
      </c>
      <c r="AG2285" s="7" t="s">
        <v>0</v>
      </c>
      <c r="AH2285" s="9" t="s">
        <v>13407</v>
      </c>
      <c r="AI2285" s="9" t="s">
        <v>13408</v>
      </c>
      <c r="AJ2285" s="9" t="s">
        <v>13409</v>
      </c>
      <c r="AK2285" s="7" t="s">
        <v>61</v>
      </c>
      <c r="AL2285" s="7" t="s">
        <v>61</v>
      </c>
      <c r="AM2285" s="7" t="s">
        <v>0</v>
      </c>
      <c r="AN2285" s="7" t="s">
        <v>0</v>
      </c>
      <c r="AO2285" s="7" t="s">
        <v>0</v>
      </c>
      <c r="AP2285" s="7" t="s">
        <v>0</v>
      </c>
      <c r="AQ2285" s="7" t="s">
        <v>61</v>
      </c>
      <c r="AR2285" s="7" t="s">
        <v>0</v>
      </c>
      <c r="AS2285" s="10" t="str">
        <f>HYPERLINK("https://tessa.gazprom-neft.local/edo/card/3c46fda9-d78e-45cf-a23c-ee8ce44bc849", "https://tessa.gazprom-neft.local/edo/card/3c46fda9-d78e-45cf-a23c-ee8ce44bc849")</f>
        <v>https://tessa.gazprom-neft.local/edo/card/3c46fda9-d78e-45cf-a23c-ee8ce44bc849</v>
      </c>
    </row>
    <row r="2286" spans="1:45" hidden="1" x14ac:dyDescent="0.25">
      <c r="A2286" s="6" t="s">
        <v>44</v>
      </c>
      <c r="B2286" s="7" t="s">
        <v>245</v>
      </c>
      <c r="C2286" s="7" t="s">
        <v>492</v>
      </c>
      <c r="D2286" s="8">
        <v>44470</v>
      </c>
      <c r="E2286" s="8" t="s">
        <v>0</v>
      </c>
      <c r="F2286" s="16" t="s">
        <v>246</v>
      </c>
      <c r="G2286" s="7" t="s">
        <v>247</v>
      </c>
      <c r="H2286" s="7" t="s">
        <v>5883</v>
      </c>
      <c r="I2286" s="7" t="s">
        <v>0</v>
      </c>
      <c r="J2286" s="7" t="s">
        <v>0</v>
      </c>
      <c r="K2286" s="7" t="s">
        <v>47</v>
      </c>
      <c r="L2286" s="7" t="s">
        <v>239</v>
      </c>
      <c r="M2286" s="7" t="s">
        <v>0</v>
      </c>
      <c r="N2286" s="7" t="s">
        <v>8139</v>
      </c>
      <c r="O2286" s="7" t="s">
        <v>0</v>
      </c>
      <c r="P2286" s="7" t="s">
        <v>8140</v>
      </c>
      <c r="Q2286" s="7" t="s">
        <v>8141</v>
      </c>
      <c r="R2286" s="7" t="s">
        <v>540</v>
      </c>
      <c r="S2286" s="7" t="s">
        <v>0</v>
      </c>
      <c r="T2286" s="7" t="s">
        <v>54</v>
      </c>
      <c r="U2286" s="7" t="s">
        <v>541</v>
      </c>
      <c r="V2286" s="7" t="s">
        <v>56</v>
      </c>
      <c r="W2286" s="7" t="s">
        <v>57</v>
      </c>
      <c r="X2286" s="7" t="s">
        <v>103</v>
      </c>
      <c r="Y2286" s="8">
        <v>44470</v>
      </c>
      <c r="Z2286" s="8">
        <v>44545</v>
      </c>
      <c r="AA2286" s="7" t="s">
        <v>1251</v>
      </c>
      <c r="AB2286" s="7" t="s">
        <v>545</v>
      </c>
      <c r="AC2286" s="7" t="s">
        <v>79</v>
      </c>
      <c r="AD2286" s="7" t="s">
        <v>144</v>
      </c>
      <c r="AE2286" s="7" t="s">
        <v>82</v>
      </c>
      <c r="AF2286" s="7" t="s">
        <v>0</v>
      </c>
      <c r="AG2286" s="7" t="s">
        <v>0</v>
      </c>
      <c r="AH2286" s="9" t="s">
        <v>13455</v>
      </c>
      <c r="AI2286" s="9" t="s">
        <v>13456</v>
      </c>
      <c r="AJ2286" s="9" t="s">
        <v>13457</v>
      </c>
      <c r="AK2286" s="7" t="s">
        <v>61</v>
      </c>
      <c r="AL2286" s="7" t="s">
        <v>61</v>
      </c>
      <c r="AM2286" s="7" t="s">
        <v>0</v>
      </c>
      <c r="AN2286" s="7" t="s">
        <v>0</v>
      </c>
      <c r="AO2286" s="7" t="s">
        <v>0</v>
      </c>
      <c r="AP2286" s="7" t="s">
        <v>0</v>
      </c>
      <c r="AQ2286" s="7" t="s">
        <v>61</v>
      </c>
      <c r="AR2286" s="7" t="s">
        <v>0</v>
      </c>
      <c r="AS2286" s="10" t="str">
        <f>HYPERLINK("https://tessa.gazprom-neft.local/edo/card/05a0958d-8097-44fb-9ab5-0578ef74dfab", "https://tessa.gazprom-neft.local/edo/card/05a0958d-8097-44fb-9ab5-0578ef74dfab")</f>
        <v>https://tessa.gazprom-neft.local/edo/card/05a0958d-8097-44fb-9ab5-0578ef74dfab</v>
      </c>
    </row>
    <row r="2287" spans="1:45" x14ac:dyDescent="0.25">
      <c r="A2287" s="6" t="s">
        <v>44</v>
      </c>
      <c r="B2287" s="7" t="s">
        <v>436</v>
      </c>
      <c r="C2287" s="7" t="s">
        <v>67</v>
      </c>
      <c r="D2287" s="8">
        <v>44470</v>
      </c>
      <c r="E2287" s="8" t="s">
        <v>0</v>
      </c>
      <c r="F2287" s="16" t="s">
        <v>437</v>
      </c>
      <c r="G2287" s="7" t="s">
        <v>438</v>
      </c>
      <c r="H2287" s="7" t="s">
        <v>1029</v>
      </c>
      <c r="I2287" s="7" t="s">
        <v>0</v>
      </c>
      <c r="J2287" s="7" t="s">
        <v>331</v>
      </c>
      <c r="K2287" s="7" t="s">
        <v>47</v>
      </c>
      <c r="L2287" s="7" t="s">
        <v>48</v>
      </c>
      <c r="M2287" s="7" t="s">
        <v>0</v>
      </c>
      <c r="N2287" s="7" t="s">
        <v>8265</v>
      </c>
      <c r="O2287" s="7" t="s">
        <v>0</v>
      </c>
      <c r="P2287" s="7" t="s">
        <v>8266</v>
      </c>
      <c r="Q2287" s="7" t="s">
        <v>8267</v>
      </c>
      <c r="R2287" s="7" t="s">
        <v>273</v>
      </c>
      <c r="S2287" s="7" t="s">
        <v>273</v>
      </c>
      <c r="T2287" s="7" t="s">
        <v>54</v>
      </c>
      <c r="U2287" s="7" t="s">
        <v>274</v>
      </c>
      <c r="V2287" s="7" t="s">
        <v>340</v>
      </c>
      <c r="W2287" s="7" t="s">
        <v>57</v>
      </c>
      <c r="X2287" s="7" t="s">
        <v>103</v>
      </c>
      <c r="Y2287" s="8">
        <v>44470</v>
      </c>
      <c r="Z2287" s="8">
        <v>46022</v>
      </c>
      <c r="AA2287" s="7" t="s">
        <v>1115</v>
      </c>
      <c r="AB2287" s="7" t="s">
        <v>328</v>
      </c>
      <c r="AC2287" s="7" t="s">
        <v>278</v>
      </c>
      <c r="AD2287" s="7" t="s">
        <v>80</v>
      </c>
      <c r="AE2287" s="7" t="s">
        <v>82</v>
      </c>
      <c r="AF2287" s="7" t="s">
        <v>0</v>
      </c>
      <c r="AG2287" s="7" t="s">
        <v>0</v>
      </c>
      <c r="AH2287" s="9" t="s">
        <v>13498</v>
      </c>
      <c r="AI2287" s="9" t="s">
        <v>13499</v>
      </c>
      <c r="AJ2287" s="9" t="s">
        <v>13500</v>
      </c>
      <c r="AK2287" s="7" t="s">
        <v>61</v>
      </c>
      <c r="AL2287" s="7" t="s">
        <v>61</v>
      </c>
      <c r="AM2287" s="7" t="s">
        <v>0</v>
      </c>
      <c r="AN2287" s="7" t="s">
        <v>0</v>
      </c>
      <c r="AO2287" s="7" t="s">
        <v>0</v>
      </c>
      <c r="AP2287" s="7" t="s">
        <v>0</v>
      </c>
      <c r="AQ2287" s="7" t="s">
        <v>61</v>
      </c>
      <c r="AR2287" s="7" t="s">
        <v>0</v>
      </c>
      <c r="AS2287" s="10" t="str">
        <f>HYPERLINK("https://tessa.gazprom-neft.local/edo/card/486523fd-ee96-4f40-bc07-9c78567b71a2", "https://tessa.gazprom-neft.local/edo/card/486523fd-ee96-4f40-bc07-9c78567b71a2")</f>
        <v>https://tessa.gazprom-neft.local/edo/card/486523fd-ee96-4f40-bc07-9c78567b71a2</v>
      </c>
    </row>
    <row r="2288" spans="1:45" x14ac:dyDescent="0.25">
      <c r="A2288" s="6" t="s">
        <v>44</v>
      </c>
      <c r="B2288" s="7" t="s">
        <v>837</v>
      </c>
      <c r="C2288" s="7" t="s">
        <v>67</v>
      </c>
      <c r="D2288" s="8">
        <v>44470</v>
      </c>
      <c r="E2288" s="8" t="s">
        <v>0</v>
      </c>
      <c r="F2288" s="16" t="s">
        <v>838</v>
      </c>
      <c r="G2288" s="7" t="s">
        <v>839</v>
      </c>
      <c r="H2288" s="7" t="s">
        <v>7164</v>
      </c>
      <c r="I2288" s="7" t="s">
        <v>0</v>
      </c>
      <c r="J2288" s="7" t="s">
        <v>355</v>
      </c>
      <c r="K2288" s="7" t="s">
        <v>85</v>
      </c>
      <c r="L2288" s="7" t="s">
        <v>48</v>
      </c>
      <c r="M2288" s="7" t="s">
        <v>2128</v>
      </c>
      <c r="N2288" s="7" t="s">
        <v>8355</v>
      </c>
      <c r="O2288" s="7" t="s">
        <v>0</v>
      </c>
      <c r="P2288" s="7" t="s">
        <v>2128</v>
      </c>
      <c r="Q2288" s="7" t="s">
        <v>8356</v>
      </c>
      <c r="R2288" s="7" t="s">
        <v>836</v>
      </c>
      <c r="S2288" s="7" t="s">
        <v>836</v>
      </c>
      <c r="T2288" s="7" t="s">
        <v>54</v>
      </c>
      <c r="U2288" s="7" t="s">
        <v>294</v>
      </c>
      <c r="V2288" s="7" t="s">
        <v>295</v>
      </c>
      <c r="W2288" s="7" t="s">
        <v>57</v>
      </c>
      <c r="X2288" s="7" t="s">
        <v>223</v>
      </c>
      <c r="Y2288" s="8">
        <v>44470</v>
      </c>
      <c r="Z2288" s="8" t="s">
        <v>0</v>
      </c>
      <c r="AA2288" s="7" t="s">
        <v>1269</v>
      </c>
      <c r="AB2288" s="7" t="s">
        <v>64</v>
      </c>
      <c r="AC2288" s="7" t="s">
        <v>65</v>
      </c>
      <c r="AD2288" s="7" t="s">
        <v>80</v>
      </c>
      <c r="AE2288" s="7" t="s">
        <v>0</v>
      </c>
      <c r="AF2288" s="7" t="s">
        <v>0</v>
      </c>
      <c r="AG2288" s="7" t="s">
        <v>0</v>
      </c>
      <c r="AH2288" s="9" t="s">
        <v>0</v>
      </c>
      <c r="AI2288" s="9" t="s">
        <v>0</v>
      </c>
      <c r="AJ2288" s="9" t="s">
        <v>0</v>
      </c>
      <c r="AK2288" s="7" t="s">
        <v>61</v>
      </c>
      <c r="AL2288" s="7" t="s">
        <v>61</v>
      </c>
      <c r="AM2288" s="7" t="s">
        <v>0</v>
      </c>
      <c r="AN2288" s="7" t="s">
        <v>0</v>
      </c>
      <c r="AO2288" s="7" t="s">
        <v>0</v>
      </c>
      <c r="AP2288" s="7" t="s">
        <v>0</v>
      </c>
      <c r="AQ2288" s="7" t="s">
        <v>61</v>
      </c>
      <c r="AR2288" s="7" t="s">
        <v>0</v>
      </c>
      <c r="AS2288" s="10" t="str">
        <f>HYPERLINK("https://tessa.gazprom-neft.local/edo/card/bc610d3d-db7a-4102-a92e-e08d22b2f417", "https://tessa.gazprom-neft.local/edo/card/bc610d3d-db7a-4102-a92e-e08d22b2f417")</f>
        <v>https://tessa.gazprom-neft.local/edo/card/bc610d3d-db7a-4102-a92e-e08d22b2f417</v>
      </c>
    </row>
    <row r="2289" spans="1:45" x14ac:dyDescent="0.25">
      <c r="A2289" s="6" t="s">
        <v>44</v>
      </c>
      <c r="B2289" s="7" t="s">
        <v>374</v>
      </c>
      <c r="C2289" s="7" t="s">
        <v>67</v>
      </c>
      <c r="D2289" s="8">
        <v>44470</v>
      </c>
      <c r="E2289" s="8" t="s">
        <v>0</v>
      </c>
      <c r="F2289" s="16" t="s">
        <v>375</v>
      </c>
      <c r="G2289" s="7" t="s">
        <v>376</v>
      </c>
      <c r="H2289" s="7" t="s">
        <v>3367</v>
      </c>
      <c r="I2289" s="7" t="s">
        <v>0</v>
      </c>
      <c r="J2289" s="7" t="s">
        <v>156</v>
      </c>
      <c r="K2289" s="7" t="s">
        <v>47</v>
      </c>
      <c r="L2289" s="7" t="s">
        <v>48</v>
      </c>
      <c r="M2289" s="7" t="s">
        <v>0</v>
      </c>
      <c r="N2289" s="7" t="s">
        <v>8380</v>
      </c>
      <c r="O2289" s="7" t="s">
        <v>0</v>
      </c>
      <c r="P2289" s="7" t="s">
        <v>8381</v>
      </c>
      <c r="Q2289" s="7" t="s">
        <v>8382</v>
      </c>
      <c r="R2289" s="7" t="s">
        <v>53</v>
      </c>
      <c r="S2289" s="7" t="s">
        <v>8383</v>
      </c>
      <c r="T2289" s="7" t="s">
        <v>54</v>
      </c>
      <c r="U2289" s="7" t="s">
        <v>55</v>
      </c>
      <c r="V2289" s="7" t="s">
        <v>56</v>
      </c>
      <c r="W2289" s="7" t="s">
        <v>57</v>
      </c>
      <c r="X2289" s="7" t="s">
        <v>103</v>
      </c>
      <c r="Y2289" s="8">
        <v>44470</v>
      </c>
      <c r="Z2289" s="8">
        <v>45199</v>
      </c>
      <c r="AA2289" s="7" t="s">
        <v>1251</v>
      </c>
      <c r="AB2289" s="7" t="s">
        <v>8384</v>
      </c>
      <c r="AC2289" s="7" t="s">
        <v>65</v>
      </c>
      <c r="AD2289" s="7" t="s">
        <v>80</v>
      </c>
      <c r="AE2289" s="7" t="s">
        <v>0</v>
      </c>
      <c r="AF2289" s="7" t="s">
        <v>0</v>
      </c>
      <c r="AG2289" s="7" t="s">
        <v>0</v>
      </c>
      <c r="AH2289" s="9" t="s">
        <v>0</v>
      </c>
      <c r="AI2289" s="9" t="s">
        <v>0</v>
      </c>
      <c r="AJ2289" s="9" t="s">
        <v>0</v>
      </c>
      <c r="AK2289" s="7" t="s">
        <v>61</v>
      </c>
      <c r="AL2289" s="7" t="s">
        <v>61</v>
      </c>
      <c r="AM2289" s="7" t="s">
        <v>0</v>
      </c>
      <c r="AN2289" s="7" t="s">
        <v>0</v>
      </c>
      <c r="AO2289" s="7" t="s">
        <v>0</v>
      </c>
      <c r="AP2289" s="7" t="s">
        <v>0</v>
      </c>
      <c r="AQ2289" s="7" t="s">
        <v>61</v>
      </c>
      <c r="AR2289" s="7" t="s">
        <v>0</v>
      </c>
      <c r="AS2289" s="10" t="str">
        <f>HYPERLINK("https://tessa.gazprom-neft.local/edo/card/792bf560-636d-49fa-9a67-738ef1f69c25", "https://tessa.gazprom-neft.local/edo/card/792bf560-636d-49fa-9a67-738ef1f69c25")</f>
        <v>https://tessa.gazprom-neft.local/edo/card/792bf560-636d-49fa-9a67-738ef1f69c25</v>
      </c>
    </row>
    <row r="2290" spans="1:45" hidden="1" x14ac:dyDescent="0.25">
      <c r="A2290" s="6" t="s">
        <v>44</v>
      </c>
      <c r="B2290" s="7" t="s">
        <v>7219</v>
      </c>
      <c r="C2290" s="7" t="s">
        <v>46</v>
      </c>
      <c r="D2290" s="8">
        <v>44469</v>
      </c>
      <c r="E2290" s="8" t="s">
        <v>0</v>
      </c>
      <c r="F2290" s="16" t="s">
        <v>7220</v>
      </c>
      <c r="G2290" s="7" t="s">
        <v>7221</v>
      </c>
      <c r="H2290" s="7" t="s">
        <v>0</v>
      </c>
      <c r="I2290" s="7" t="s">
        <v>7216</v>
      </c>
      <c r="J2290" s="7" t="s">
        <v>7216</v>
      </c>
      <c r="K2290" s="7" t="s">
        <v>47</v>
      </c>
      <c r="L2290" s="7" t="s">
        <v>96</v>
      </c>
      <c r="M2290" s="7" t="s">
        <v>0</v>
      </c>
      <c r="N2290" s="7" t="s">
        <v>7215</v>
      </c>
      <c r="O2290" s="7" t="s">
        <v>0</v>
      </c>
      <c r="P2290" s="7" t="s">
        <v>7217</v>
      </c>
      <c r="Q2290" s="7" t="s">
        <v>7218</v>
      </c>
      <c r="R2290" s="7" t="s">
        <v>293</v>
      </c>
      <c r="S2290" s="7" t="s">
        <v>5041</v>
      </c>
      <c r="T2290" s="7" t="s">
        <v>54</v>
      </c>
      <c r="U2290" s="7" t="s">
        <v>294</v>
      </c>
      <c r="V2290" s="7" t="s">
        <v>295</v>
      </c>
      <c r="W2290" s="7" t="s">
        <v>57</v>
      </c>
      <c r="X2290" s="7" t="s">
        <v>58</v>
      </c>
      <c r="Y2290" s="8">
        <v>44469</v>
      </c>
      <c r="Z2290" s="8" t="s">
        <v>0</v>
      </c>
      <c r="AA2290" s="7" t="s">
        <v>1269</v>
      </c>
      <c r="AB2290" s="7" t="s">
        <v>64</v>
      </c>
      <c r="AC2290" s="7" t="s">
        <v>79</v>
      </c>
      <c r="AD2290" s="7" t="s">
        <v>80</v>
      </c>
      <c r="AE2290" s="7" t="s">
        <v>118</v>
      </c>
      <c r="AF2290" s="7" t="s">
        <v>0</v>
      </c>
      <c r="AG2290" s="7" t="s">
        <v>0</v>
      </c>
      <c r="AH2290" s="9" t="s">
        <v>13108</v>
      </c>
      <c r="AI2290" s="9" t="s">
        <v>13108</v>
      </c>
      <c r="AJ2290" s="9">
        <v>0</v>
      </c>
      <c r="AK2290" s="7" t="s">
        <v>61</v>
      </c>
      <c r="AL2290" s="7" t="s">
        <v>61</v>
      </c>
      <c r="AM2290" s="7" t="s">
        <v>0</v>
      </c>
      <c r="AN2290" s="7" t="s">
        <v>0</v>
      </c>
      <c r="AO2290" s="7" t="s">
        <v>0</v>
      </c>
      <c r="AP2290" s="7" t="s">
        <v>0</v>
      </c>
      <c r="AQ2290" s="7" t="s">
        <v>61</v>
      </c>
      <c r="AR2290" s="7" t="s">
        <v>0</v>
      </c>
      <c r="AS2290" s="10" t="str">
        <f>HYPERLINK("https://tessa.gazprom-neft.local/edo/card/d7ab757e-4643-42ef-b639-bbeb6162d7c0", "https://tessa.gazprom-neft.local/edo/card/d7ab757e-4643-42ef-b639-bbeb6162d7c0")</f>
        <v>https://tessa.gazprom-neft.local/edo/card/d7ab757e-4643-42ef-b639-bbeb6162d7c0</v>
      </c>
    </row>
    <row r="2291" spans="1:45" x14ac:dyDescent="0.25">
      <c r="A2291" s="6" t="s">
        <v>44</v>
      </c>
      <c r="B2291" s="7" t="s">
        <v>4179</v>
      </c>
      <c r="C2291" s="7" t="s">
        <v>67</v>
      </c>
      <c r="D2291" s="8">
        <v>44469</v>
      </c>
      <c r="E2291" s="8" t="s">
        <v>0</v>
      </c>
      <c r="F2291" s="16" t="s">
        <v>4180</v>
      </c>
      <c r="G2291" s="7" t="s">
        <v>4181</v>
      </c>
      <c r="H2291" s="7" t="s">
        <v>7770</v>
      </c>
      <c r="I2291" s="7" t="s">
        <v>0</v>
      </c>
      <c r="J2291" s="7" t="s">
        <v>51</v>
      </c>
      <c r="K2291" s="7" t="s">
        <v>47</v>
      </c>
      <c r="L2291" s="7" t="s">
        <v>48</v>
      </c>
      <c r="M2291" s="7" t="s">
        <v>0</v>
      </c>
      <c r="N2291" s="7" t="s">
        <v>7769</v>
      </c>
      <c r="O2291" s="7" t="s">
        <v>0</v>
      </c>
      <c r="P2291" s="7" t="s">
        <v>7771</v>
      </c>
      <c r="Q2291" s="7" t="s">
        <v>2457</v>
      </c>
      <c r="R2291" s="7" t="s">
        <v>1610</v>
      </c>
      <c r="S2291" s="7" t="s">
        <v>1610</v>
      </c>
      <c r="T2291" s="7" t="s">
        <v>54</v>
      </c>
      <c r="U2291" s="7" t="s">
        <v>101</v>
      </c>
      <c r="V2291" s="7" t="s">
        <v>137</v>
      </c>
      <c r="W2291" s="7" t="s">
        <v>57</v>
      </c>
      <c r="X2291" s="7" t="s">
        <v>58</v>
      </c>
      <c r="Y2291" s="8">
        <v>44469</v>
      </c>
      <c r="Z2291" s="8" t="s">
        <v>0</v>
      </c>
      <c r="AA2291" s="7" t="s">
        <v>0</v>
      </c>
      <c r="AB2291" s="7" t="s">
        <v>328</v>
      </c>
      <c r="AC2291" s="7" t="s">
        <v>65</v>
      </c>
      <c r="AD2291" s="7" t="s">
        <v>0</v>
      </c>
      <c r="AE2291" s="7" t="s">
        <v>0</v>
      </c>
      <c r="AF2291" s="7" t="s">
        <v>0</v>
      </c>
      <c r="AG2291" s="7" t="s">
        <v>0</v>
      </c>
      <c r="AH2291" s="9" t="s">
        <v>0</v>
      </c>
      <c r="AI2291" s="9" t="s">
        <v>0</v>
      </c>
      <c r="AJ2291" s="9" t="s">
        <v>0</v>
      </c>
      <c r="AK2291" s="7" t="s">
        <v>61</v>
      </c>
      <c r="AL2291" s="7" t="s">
        <v>61</v>
      </c>
      <c r="AM2291" s="7" t="s">
        <v>0</v>
      </c>
      <c r="AN2291" s="7" t="s">
        <v>0</v>
      </c>
      <c r="AO2291" s="7" t="s">
        <v>0</v>
      </c>
      <c r="AP2291" s="7" t="s">
        <v>0</v>
      </c>
      <c r="AQ2291" s="7" t="s">
        <v>61</v>
      </c>
      <c r="AR2291" s="7" t="s">
        <v>0</v>
      </c>
      <c r="AS2291" s="10" t="str">
        <f>HYPERLINK("https://tessa.gazprom-neft.local/edo/card/bde7297c-1016-4be8-b0ce-6bfe273e9261", "https://tessa.gazprom-neft.local/edo/card/bde7297c-1016-4be8-b0ce-6bfe273e9261")</f>
        <v>https://tessa.gazprom-neft.local/edo/card/bde7297c-1016-4be8-b0ce-6bfe273e9261</v>
      </c>
    </row>
    <row r="2292" spans="1:45" x14ac:dyDescent="0.25">
      <c r="A2292" s="6" t="s">
        <v>44</v>
      </c>
      <c r="B2292" s="7" t="s">
        <v>114</v>
      </c>
      <c r="C2292" s="7" t="s">
        <v>67</v>
      </c>
      <c r="D2292" s="8">
        <v>44469</v>
      </c>
      <c r="E2292" s="8" t="s">
        <v>0</v>
      </c>
      <c r="F2292" s="16" t="s">
        <v>115</v>
      </c>
      <c r="G2292" s="7" t="s">
        <v>116</v>
      </c>
      <c r="H2292" s="7" t="s">
        <v>8642</v>
      </c>
      <c r="I2292" s="7" t="s">
        <v>0</v>
      </c>
      <c r="J2292" s="7" t="s">
        <v>271</v>
      </c>
      <c r="K2292" s="7" t="s">
        <v>47</v>
      </c>
      <c r="L2292" s="7" t="s">
        <v>48</v>
      </c>
      <c r="M2292" s="7" t="s">
        <v>0</v>
      </c>
      <c r="N2292" s="7" t="s">
        <v>8641</v>
      </c>
      <c r="O2292" s="7" t="s">
        <v>0</v>
      </c>
      <c r="P2292" s="7" t="s">
        <v>312</v>
      </c>
      <c r="Q2292" s="7" t="s">
        <v>8486</v>
      </c>
      <c r="R2292" s="7" t="s">
        <v>110</v>
      </c>
      <c r="S2292" s="7" t="s">
        <v>110</v>
      </c>
      <c r="T2292" s="7" t="s">
        <v>54</v>
      </c>
      <c r="U2292" s="7" t="s">
        <v>111</v>
      </c>
      <c r="V2292" s="7" t="s">
        <v>137</v>
      </c>
      <c r="W2292" s="7" t="s">
        <v>57</v>
      </c>
      <c r="X2292" s="7" t="s">
        <v>58</v>
      </c>
      <c r="Y2292" s="8">
        <v>44469</v>
      </c>
      <c r="Z2292" s="8" t="s">
        <v>0</v>
      </c>
      <c r="AA2292" s="7" t="s">
        <v>0</v>
      </c>
      <c r="AB2292" s="7" t="s">
        <v>328</v>
      </c>
      <c r="AC2292" s="7" t="s">
        <v>278</v>
      </c>
      <c r="AD2292" s="7" t="s">
        <v>144</v>
      </c>
      <c r="AE2292" s="7" t="s">
        <v>118</v>
      </c>
      <c r="AF2292" s="7" t="s">
        <v>0</v>
      </c>
      <c r="AG2292" s="7" t="s">
        <v>0</v>
      </c>
      <c r="AH2292" s="9" t="s">
        <v>13635</v>
      </c>
      <c r="AI2292" s="9" t="s">
        <v>13635</v>
      </c>
      <c r="AJ2292" s="9">
        <v>0</v>
      </c>
      <c r="AK2292" s="7" t="s">
        <v>61</v>
      </c>
      <c r="AL2292" s="7" t="s">
        <v>61</v>
      </c>
      <c r="AM2292" s="7" t="s">
        <v>0</v>
      </c>
      <c r="AN2292" s="7" t="s">
        <v>0</v>
      </c>
      <c r="AO2292" s="7" t="s">
        <v>0</v>
      </c>
      <c r="AP2292" s="7" t="s">
        <v>0</v>
      </c>
      <c r="AQ2292" s="7" t="s">
        <v>61</v>
      </c>
      <c r="AR2292" s="7" t="s">
        <v>0</v>
      </c>
      <c r="AS2292" s="10" t="str">
        <f>HYPERLINK("https://tessa.gazprom-neft.local/edo/card/e966ad47-a237-43e2-b559-990e56609391", "https://tessa.gazprom-neft.local/edo/card/e966ad47-a237-43e2-b559-990e56609391")</f>
        <v>https://tessa.gazprom-neft.local/edo/card/e966ad47-a237-43e2-b559-990e56609391</v>
      </c>
    </row>
    <row r="2293" spans="1:45" hidden="1" x14ac:dyDescent="0.25">
      <c r="A2293" s="6" t="s">
        <v>44</v>
      </c>
      <c r="B2293" s="7" t="s">
        <v>0</v>
      </c>
      <c r="C2293" s="7" t="s">
        <v>46</v>
      </c>
      <c r="D2293" s="8">
        <v>44468</v>
      </c>
      <c r="E2293" s="8" t="s">
        <v>0</v>
      </c>
      <c r="F2293" s="16" t="s">
        <v>7579</v>
      </c>
      <c r="G2293" s="7" t="s">
        <v>0</v>
      </c>
      <c r="H2293" s="7" t="s">
        <v>0</v>
      </c>
      <c r="I2293" s="7" t="s">
        <v>7576</v>
      </c>
      <c r="J2293" s="7" t="s">
        <v>7576</v>
      </c>
      <c r="K2293" s="7" t="s">
        <v>47</v>
      </c>
      <c r="L2293" s="7" t="s">
        <v>96</v>
      </c>
      <c r="M2293" s="7" t="s">
        <v>0</v>
      </c>
      <c r="N2293" s="7" t="s">
        <v>7575</v>
      </c>
      <c r="O2293" s="7" t="s">
        <v>0</v>
      </c>
      <c r="P2293" s="7" t="s">
        <v>7577</v>
      </c>
      <c r="Q2293" s="7" t="s">
        <v>7578</v>
      </c>
      <c r="R2293" s="7" t="s">
        <v>1476</v>
      </c>
      <c r="S2293" s="7" t="s">
        <v>1476</v>
      </c>
      <c r="T2293" s="7" t="s">
        <v>54</v>
      </c>
      <c r="U2293" s="7" t="s">
        <v>101</v>
      </c>
      <c r="V2293" s="7" t="s">
        <v>137</v>
      </c>
      <c r="W2293" s="7" t="s">
        <v>57</v>
      </c>
      <c r="X2293" s="7" t="s">
        <v>58</v>
      </c>
      <c r="Y2293" s="8">
        <v>44424</v>
      </c>
      <c r="Z2293" s="8" t="s">
        <v>0</v>
      </c>
      <c r="AA2293" s="7" t="s">
        <v>0</v>
      </c>
      <c r="AB2293" s="7" t="s">
        <v>5899</v>
      </c>
      <c r="AC2293" s="7" t="s">
        <v>79</v>
      </c>
      <c r="AD2293" s="7" t="s">
        <v>80</v>
      </c>
      <c r="AE2293" s="7" t="s">
        <v>889</v>
      </c>
      <c r="AF2293" s="7" t="s">
        <v>0</v>
      </c>
      <c r="AG2293" s="7" t="s">
        <v>0</v>
      </c>
      <c r="AH2293" s="9" t="s">
        <v>13228</v>
      </c>
      <c r="AI2293" s="9" t="s">
        <v>13228</v>
      </c>
      <c r="AJ2293" s="9">
        <v>0</v>
      </c>
      <c r="AK2293" s="7" t="s">
        <v>61</v>
      </c>
      <c r="AL2293" s="7" t="s">
        <v>81</v>
      </c>
      <c r="AM2293" s="7" t="s">
        <v>1410</v>
      </c>
      <c r="AN2293" s="7" t="s">
        <v>7580</v>
      </c>
      <c r="AO2293" s="7" t="s">
        <v>0</v>
      </c>
      <c r="AP2293" s="7" t="s">
        <v>0</v>
      </c>
      <c r="AQ2293" s="7" t="s">
        <v>61</v>
      </c>
      <c r="AR2293" s="7" t="s">
        <v>0</v>
      </c>
      <c r="AS2293" s="10" t="str">
        <f>HYPERLINK("https://tessa.gazprom-neft.local/edo/card/89ebec74-0755-426a-8bf1-9775a7cd7980", "https://tessa.gazprom-neft.local/edo/card/89ebec74-0755-426a-8bf1-9775a7cd7980")</f>
        <v>https://tessa.gazprom-neft.local/edo/card/89ebec74-0755-426a-8bf1-9775a7cd7980</v>
      </c>
    </row>
    <row r="2294" spans="1:45" hidden="1" x14ac:dyDescent="0.25">
      <c r="A2294" s="6" t="s">
        <v>44</v>
      </c>
      <c r="B2294" s="7" t="s">
        <v>2898</v>
      </c>
      <c r="C2294" s="7" t="s">
        <v>67</v>
      </c>
      <c r="D2294" s="8">
        <v>44468</v>
      </c>
      <c r="E2294" s="8" t="s">
        <v>0</v>
      </c>
      <c r="F2294" s="16" t="s">
        <v>2899</v>
      </c>
      <c r="G2294" s="7" t="s">
        <v>2900</v>
      </c>
      <c r="H2294" s="7" t="s">
        <v>5968</v>
      </c>
      <c r="I2294" s="7" t="s">
        <v>0</v>
      </c>
      <c r="J2294" s="7" t="s">
        <v>7676</v>
      </c>
      <c r="K2294" s="7" t="s">
        <v>85</v>
      </c>
      <c r="L2294" s="7" t="s">
        <v>239</v>
      </c>
      <c r="M2294" s="7" t="s">
        <v>1252</v>
      </c>
      <c r="N2294" s="7" t="s">
        <v>7674</v>
      </c>
      <c r="O2294" s="7" t="s">
        <v>7675</v>
      </c>
      <c r="P2294" s="7" t="s">
        <v>1252</v>
      </c>
      <c r="Q2294" s="7" t="s">
        <v>7677</v>
      </c>
      <c r="R2294" s="7" t="s">
        <v>1256</v>
      </c>
      <c r="S2294" s="7" t="s">
        <v>1256</v>
      </c>
      <c r="T2294" s="7" t="s">
        <v>54</v>
      </c>
      <c r="U2294" s="7" t="s">
        <v>591</v>
      </c>
      <c r="V2294" s="7" t="s">
        <v>382</v>
      </c>
      <c r="W2294" s="7" t="s">
        <v>57</v>
      </c>
      <c r="X2294" s="7" t="s">
        <v>58</v>
      </c>
      <c r="Y2294" s="8">
        <v>44468</v>
      </c>
      <c r="Z2294" s="8" t="s">
        <v>0</v>
      </c>
      <c r="AA2294" s="7" t="s">
        <v>1656</v>
      </c>
      <c r="AB2294" s="7" t="s">
        <v>2053</v>
      </c>
      <c r="AC2294" s="7" t="s">
        <v>65</v>
      </c>
      <c r="AD2294" s="7" t="s">
        <v>0</v>
      </c>
      <c r="AE2294" s="7" t="s">
        <v>0</v>
      </c>
      <c r="AF2294" s="7" t="s">
        <v>0</v>
      </c>
      <c r="AG2294" s="7" t="s">
        <v>0</v>
      </c>
      <c r="AH2294" s="9" t="s">
        <v>0</v>
      </c>
      <c r="AI2294" s="9" t="s">
        <v>0</v>
      </c>
      <c r="AJ2294" s="9" t="s">
        <v>0</v>
      </c>
      <c r="AK2294" s="7" t="s">
        <v>61</v>
      </c>
      <c r="AL2294" s="7" t="s">
        <v>61</v>
      </c>
      <c r="AM2294" s="7" t="s">
        <v>0</v>
      </c>
      <c r="AN2294" s="7" t="s">
        <v>0</v>
      </c>
      <c r="AO2294" s="7" t="s">
        <v>0</v>
      </c>
      <c r="AP2294" s="7" t="s">
        <v>0</v>
      </c>
      <c r="AQ2294" s="7" t="s">
        <v>61</v>
      </c>
      <c r="AR2294" s="7" t="s">
        <v>0</v>
      </c>
      <c r="AS2294" s="10" t="str">
        <f>HYPERLINK("https://tessa.gazprom-neft.local/edo/card/1da55e88-8011-42a8-ab5d-d3fb098c6276", "https://tessa.gazprom-neft.local/edo/card/1da55e88-8011-42a8-ab5d-d3fb098c6276")</f>
        <v>https://tessa.gazprom-neft.local/edo/card/1da55e88-8011-42a8-ab5d-d3fb098c6276</v>
      </c>
    </row>
    <row r="2295" spans="1:45" hidden="1" x14ac:dyDescent="0.25">
      <c r="A2295" s="6" t="s">
        <v>44</v>
      </c>
      <c r="B2295" s="7" t="s">
        <v>964</v>
      </c>
      <c r="C2295" s="7" t="s">
        <v>46</v>
      </c>
      <c r="D2295" s="8">
        <v>44467</v>
      </c>
      <c r="E2295" s="8" t="s">
        <v>0</v>
      </c>
      <c r="F2295" s="16" t="s">
        <v>965</v>
      </c>
      <c r="G2295" s="7" t="s">
        <v>966</v>
      </c>
      <c r="H2295" s="7" t="s">
        <v>0</v>
      </c>
      <c r="I2295" s="7" t="s">
        <v>7668</v>
      </c>
      <c r="J2295" s="7" t="s">
        <v>7668</v>
      </c>
      <c r="K2295" s="7" t="s">
        <v>47</v>
      </c>
      <c r="L2295" s="7" t="s">
        <v>96</v>
      </c>
      <c r="M2295" s="7" t="s">
        <v>0</v>
      </c>
      <c r="N2295" s="7" t="s">
        <v>7667</v>
      </c>
      <c r="O2295" s="7" t="s">
        <v>0</v>
      </c>
      <c r="P2295" s="7" t="s">
        <v>962</v>
      </c>
      <c r="Q2295" s="7" t="s">
        <v>963</v>
      </c>
      <c r="R2295" s="7" t="s">
        <v>361</v>
      </c>
      <c r="S2295" s="7" t="s">
        <v>3926</v>
      </c>
      <c r="T2295" s="7" t="s">
        <v>54</v>
      </c>
      <c r="U2295" s="7" t="s">
        <v>1683</v>
      </c>
      <c r="V2295" s="7" t="s">
        <v>295</v>
      </c>
      <c r="W2295" s="7" t="s">
        <v>57</v>
      </c>
      <c r="X2295" s="7" t="s">
        <v>103</v>
      </c>
      <c r="Y2295" s="8">
        <v>44428</v>
      </c>
      <c r="Z2295" s="8">
        <v>44561</v>
      </c>
      <c r="AA2295" s="7" t="s">
        <v>1269</v>
      </c>
      <c r="AB2295" s="7" t="s">
        <v>1748</v>
      </c>
      <c r="AC2295" s="7" t="s">
        <v>278</v>
      </c>
      <c r="AD2295" s="7" t="s">
        <v>367</v>
      </c>
      <c r="AE2295" s="7" t="s">
        <v>82</v>
      </c>
      <c r="AF2295" s="7" t="s">
        <v>0</v>
      </c>
      <c r="AG2295" s="7" t="s">
        <v>0</v>
      </c>
      <c r="AH2295" s="9" t="s">
        <v>13262</v>
      </c>
      <c r="AI2295" s="9" t="s">
        <v>13263</v>
      </c>
      <c r="AJ2295" s="9" t="s">
        <v>13264</v>
      </c>
      <c r="AK2295" s="7" t="s">
        <v>61</v>
      </c>
      <c r="AL2295" s="7" t="s">
        <v>61</v>
      </c>
      <c r="AM2295" s="7" t="s">
        <v>0</v>
      </c>
      <c r="AN2295" s="7" t="s">
        <v>0</v>
      </c>
      <c r="AO2295" s="7" t="s">
        <v>0</v>
      </c>
      <c r="AP2295" s="7" t="s">
        <v>0</v>
      </c>
      <c r="AQ2295" s="7" t="s">
        <v>61</v>
      </c>
      <c r="AR2295" s="7" t="s">
        <v>0</v>
      </c>
      <c r="AS2295" s="10" t="str">
        <f>HYPERLINK("https://tessa.gazprom-neft.local/edo/card/45ea6dc4-4e1c-4463-9c0f-0a6ba996307f", "https://tessa.gazprom-neft.local/edo/card/45ea6dc4-4e1c-4463-9c0f-0a6ba996307f")</f>
        <v>https://tessa.gazprom-neft.local/edo/card/45ea6dc4-4e1c-4463-9c0f-0a6ba996307f</v>
      </c>
    </row>
    <row r="2296" spans="1:45" hidden="1" x14ac:dyDescent="0.25">
      <c r="A2296" s="6" t="s">
        <v>44</v>
      </c>
      <c r="B2296" s="7" t="s">
        <v>2266</v>
      </c>
      <c r="C2296" s="7" t="s">
        <v>46</v>
      </c>
      <c r="D2296" s="8">
        <v>44462</v>
      </c>
      <c r="E2296" s="8" t="s">
        <v>0</v>
      </c>
      <c r="F2296" s="16" t="s">
        <v>2267</v>
      </c>
      <c r="G2296" s="7" t="s">
        <v>2268</v>
      </c>
      <c r="H2296" s="7" t="s">
        <v>0</v>
      </c>
      <c r="I2296" s="7" t="s">
        <v>2263</v>
      </c>
      <c r="J2296" s="7" t="s">
        <v>2263</v>
      </c>
      <c r="K2296" s="7" t="s">
        <v>47</v>
      </c>
      <c r="L2296" s="7" t="s">
        <v>96</v>
      </c>
      <c r="M2296" s="7" t="s">
        <v>0</v>
      </c>
      <c r="N2296" s="7" t="s">
        <v>7524</v>
      </c>
      <c r="O2296" s="7" t="s">
        <v>0</v>
      </c>
      <c r="P2296" s="7" t="s">
        <v>7525</v>
      </c>
      <c r="Q2296" s="7" t="s">
        <v>7525</v>
      </c>
      <c r="R2296" s="7" t="s">
        <v>799</v>
      </c>
      <c r="S2296" s="7" t="s">
        <v>799</v>
      </c>
      <c r="T2296" s="7" t="s">
        <v>54</v>
      </c>
      <c r="U2296" s="7" t="s">
        <v>55</v>
      </c>
      <c r="V2296" s="7" t="s">
        <v>56</v>
      </c>
      <c r="W2296" s="7" t="s">
        <v>57</v>
      </c>
      <c r="X2296" s="7" t="s">
        <v>103</v>
      </c>
      <c r="Y2296" s="8">
        <v>44440</v>
      </c>
      <c r="Z2296" s="8">
        <v>44896</v>
      </c>
      <c r="AA2296" s="7" t="s">
        <v>1251</v>
      </c>
      <c r="AB2296" s="7" t="s">
        <v>2269</v>
      </c>
      <c r="AC2296" s="7" t="s">
        <v>79</v>
      </c>
      <c r="AD2296" s="7" t="s">
        <v>80</v>
      </c>
      <c r="AE2296" s="7" t="s">
        <v>82</v>
      </c>
      <c r="AF2296" s="7" t="s">
        <v>0</v>
      </c>
      <c r="AG2296" s="7" t="s">
        <v>0</v>
      </c>
      <c r="AH2296" s="9" t="s">
        <v>13209</v>
      </c>
      <c r="AI2296" s="9" t="s">
        <v>13210</v>
      </c>
      <c r="AJ2296" s="9" t="s">
        <v>13211</v>
      </c>
      <c r="AK2296" s="7" t="s">
        <v>61</v>
      </c>
      <c r="AL2296" s="7" t="s">
        <v>61</v>
      </c>
      <c r="AM2296" s="7" t="s">
        <v>0</v>
      </c>
      <c r="AN2296" s="7" t="s">
        <v>0</v>
      </c>
      <c r="AO2296" s="7" t="s">
        <v>0</v>
      </c>
      <c r="AP2296" s="7" t="s">
        <v>0</v>
      </c>
      <c r="AQ2296" s="7" t="s">
        <v>61</v>
      </c>
      <c r="AR2296" s="7" t="s">
        <v>0</v>
      </c>
      <c r="AS2296" s="10" t="str">
        <f>HYPERLINK("https://tessa.gazprom-neft.local/edo/card/595bb954-5ed0-44d3-81d3-681f0a1f6484", "https://tessa.gazprom-neft.local/edo/card/595bb954-5ed0-44d3-81d3-681f0a1f6484")</f>
        <v>https://tessa.gazprom-neft.local/edo/card/595bb954-5ed0-44d3-81d3-681f0a1f6484</v>
      </c>
    </row>
    <row r="2297" spans="1:45" x14ac:dyDescent="0.25">
      <c r="A2297" s="6" t="s">
        <v>44</v>
      </c>
      <c r="B2297" s="7" t="s">
        <v>793</v>
      </c>
      <c r="C2297" s="7" t="s">
        <v>67</v>
      </c>
      <c r="D2297" s="8">
        <v>44461</v>
      </c>
      <c r="E2297" s="8" t="s">
        <v>0</v>
      </c>
      <c r="F2297" s="16" t="s">
        <v>794</v>
      </c>
      <c r="G2297" s="7" t="s">
        <v>795</v>
      </c>
      <c r="H2297" s="7" t="s">
        <v>7617</v>
      </c>
      <c r="I2297" s="7" t="s">
        <v>0</v>
      </c>
      <c r="J2297" s="7" t="s">
        <v>271</v>
      </c>
      <c r="K2297" s="7" t="s">
        <v>47</v>
      </c>
      <c r="L2297" s="7" t="s">
        <v>48</v>
      </c>
      <c r="M2297" s="7" t="s">
        <v>0</v>
      </c>
      <c r="N2297" s="7" t="s">
        <v>7616</v>
      </c>
      <c r="O2297" s="7" t="s">
        <v>0</v>
      </c>
      <c r="P2297" s="7" t="s">
        <v>7618</v>
      </c>
      <c r="Q2297" s="7" t="s">
        <v>7619</v>
      </c>
      <c r="R2297" s="7" t="s">
        <v>282</v>
      </c>
      <c r="S2297" s="7" t="s">
        <v>7620</v>
      </c>
      <c r="T2297" s="7" t="s">
        <v>54</v>
      </c>
      <c r="U2297" s="7" t="s">
        <v>55</v>
      </c>
      <c r="V2297" s="7" t="s">
        <v>56</v>
      </c>
      <c r="W2297" s="7" t="s">
        <v>57</v>
      </c>
      <c r="X2297" s="7" t="s">
        <v>103</v>
      </c>
      <c r="Y2297" s="8">
        <v>44461</v>
      </c>
      <c r="Z2297" s="8">
        <v>44926</v>
      </c>
      <c r="AA2297" s="7" t="s">
        <v>1251</v>
      </c>
      <c r="AB2297" s="7" t="s">
        <v>2186</v>
      </c>
      <c r="AC2297" s="7" t="s">
        <v>65</v>
      </c>
      <c r="AD2297" s="7" t="s">
        <v>0</v>
      </c>
      <c r="AE2297" s="7" t="s">
        <v>0</v>
      </c>
      <c r="AF2297" s="7" t="s">
        <v>0</v>
      </c>
      <c r="AG2297" s="7" t="s">
        <v>0</v>
      </c>
      <c r="AH2297" s="9" t="s">
        <v>0</v>
      </c>
      <c r="AI2297" s="9" t="s">
        <v>0</v>
      </c>
      <c r="AJ2297" s="9" t="s">
        <v>0</v>
      </c>
      <c r="AK2297" s="7" t="s">
        <v>61</v>
      </c>
      <c r="AL2297" s="7" t="s">
        <v>61</v>
      </c>
      <c r="AM2297" s="7" t="s">
        <v>0</v>
      </c>
      <c r="AN2297" s="7" t="s">
        <v>0</v>
      </c>
      <c r="AO2297" s="7" t="s">
        <v>0</v>
      </c>
      <c r="AP2297" s="7" t="s">
        <v>0</v>
      </c>
      <c r="AQ2297" s="7" t="s">
        <v>61</v>
      </c>
      <c r="AR2297" s="7" t="s">
        <v>0</v>
      </c>
      <c r="AS2297" s="10" t="str">
        <f>HYPERLINK("https://tessa.gazprom-neft.local/edo/card/2d41757e-a3df-4ba4-a971-8b8571347291", "https://tessa.gazprom-neft.local/edo/card/2d41757e-a3df-4ba4-a971-8b8571347291")</f>
        <v>https://tessa.gazprom-neft.local/edo/card/2d41757e-a3df-4ba4-a971-8b8571347291</v>
      </c>
    </row>
    <row r="2298" spans="1:45" hidden="1" x14ac:dyDescent="0.25">
      <c r="A2298" s="6" t="s">
        <v>44</v>
      </c>
      <c r="B2298" s="7" t="s">
        <v>0</v>
      </c>
      <c r="C2298" s="7" t="s">
        <v>46</v>
      </c>
      <c r="D2298" s="8">
        <v>44459</v>
      </c>
      <c r="E2298" s="8" t="s">
        <v>0</v>
      </c>
      <c r="F2298" s="16" t="s">
        <v>7447</v>
      </c>
      <c r="G2298" s="7" t="s">
        <v>0</v>
      </c>
      <c r="H2298" s="7" t="s">
        <v>0</v>
      </c>
      <c r="I2298" s="7" t="s">
        <v>7445</v>
      </c>
      <c r="J2298" s="7" t="s">
        <v>7445</v>
      </c>
      <c r="K2298" s="7" t="s">
        <v>85</v>
      </c>
      <c r="L2298" s="7" t="s">
        <v>96</v>
      </c>
      <c r="M2298" s="7" t="s">
        <v>183</v>
      </c>
      <c r="N2298" s="7" t="s">
        <v>7444</v>
      </c>
      <c r="O2298" s="7" t="s">
        <v>0</v>
      </c>
      <c r="P2298" s="7" t="s">
        <v>183</v>
      </c>
      <c r="Q2298" s="7" t="s">
        <v>2122</v>
      </c>
      <c r="R2298" s="7" t="s">
        <v>4424</v>
      </c>
      <c r="S2298" s="7" t="s">
        <v>7446</v>
      </c>
      <c r="T2298" s="7" t="s">
        <v>54</v>
      </c>
      <c r="U2298" s="7" t="s">
        <v>478</v>
      </c>
      <c r="V2298" s="7" t="s">
        <v>137</v>
      </c>
      <c r="W2298" s="7" t="s">
        <v>57</v>
      </c>
      <c r="X2298" s="7" t="s">
        <v>103</v>
      </c>
      <c r="Y2298" s="8">
        <v>44459</v>
      </c>
      <c r="Z2298" s="8">
        <v>44505</v>
      </c>
      <c r="AA2298" s="7" t="s">
        <v>0</v>
      </c>
      <c r="AB2298" s="7" t="s">
        <v>192</v>
      </c>
      <c r="AC2298" s="7" t="s">
        <v>79</v>
      </c>
      <c r="AD2298" s="7" t="s">
        <v>80</v>
      </c>
      <c r="AE2298" s="7" t="s">
        <v>193</v>
      </c>
      <c r="AF2298" s="7" t="s">
        <v>0</v>
      </c>
      <c r="AG2298" s="7" t="s">
        <v>0</v>
      </c>
      <c r="AH2298" s="9" t="s">
        <v>13181</v>
      </c>
      <c r="AI2298" s="9" t="s">
        <v>13182</v>
      </c>
      <c r="AJ2298" s="9" t="s">
        <v>13183</v>
      </c>
      <c r="AK2298" s="7" t="s">
        <v>61</v>
      </c>
      <c r="AL2298" s="7" t="s">
        <v>61</v>
      </c>
      <c r="AM2298" s="7" t="s">
        <v>0</v>
      </c>
      <c r="AN2298" s="7" t="s">
        <v>0</v>
      </c>
      <c r="AO2298" s="7" t="s">
        <v>0</v>
      </c>
      <c r="AP2298" s="7" t="s">
        <v>0</v>
      </c>
      <c r="AQ2298" s="7" t="s">
        <v>61</v>
      </c>
      <c r="AR2298" s="7" t="s">
        <v>0</v>
      </c>
      <c r="AS2298" s="10" t="str">
        <f>HYPERLINK("https://tessa.gazprom-neft.local/edo/card/6b290965-1a55-436b-980d-06b656cfe4cc", "https://tessa.gazprom-neft.local/edo/card/6b290965-1a55-436b-980d-06b656cfe4cc")</f>
        <v>https://tessa.gazprom-neft.local/edo/card/6b290965-1a55-436b-980d-06b656cfe4cc</v>
      </c>
    </row>
    <row r="2299" spans="1:45" hidden="1" x14ac:dyDescent="0.25">
      <c r="A2299" s="6" t="s">
        <v>44</v>
      </c>
      <c r="B2299" s="7" t="s">
        <v>2266</v>
      </c>
      <c r="C2299" s="7" t="s">
        <v>67</v>
      </c>
      <c r="D2299" s="8">
        <v>44459</v>
      </c>
      <c r="E2299" s="8" t="s">
        <v>0</v>
      </c>
      <c r="F2299" s="16" t="s">
        <v>2267</v>
      </c>
      <c r="G2299" s="7" t="s">
        <v>2268</v>
      </c>
      <c r="H2299" s="7" t="s">
        <v>0</v>
      </c>
      <c r="I2299" s="7" t="s">
        <v>7521</v>
      </c>
      <c r="J2299" s="7" t="s">
        <v>7521</v>
      </c>
      <c r="K2299" s="7" t="s">
        <v>85</v>
      </c>
      <c r="L2299" s="7" t="s">
        <v>86</v>
      </c>
      <c r="M2299" s="7" t="s">
        <v>5706</v>
      </c>
      <c r="N2299" s="7" t="s">
        <v>7520</v>
      </c>
      <c r="O2299" s="7" t="s">
        <v>0</v>
      </c>
      <c r="P2299" s="7" t="s">
        <v>5706</v>
      </c>
      <c r="Q2299" s="7" t="s">
        <v>2491</v>
      </c>
      <c r="R2299" s="7" t="s">
        <v>799</v>
      </c>
      <c r="S2299" s="7" t="s">
        <v>799</v>
      </c>
      <c r="T2299" s="7" t="s">
        <v>54</v>
      </c>
      <c r="U2299" s="7" t="s">
        <v>55</v>
      </c>
      <c r="V2299" s="7" t="s">
        <v>56</v>
      </c>
      <c r="W2299" s="7" t="s">
        <v>57</v>
      </c>
      <c r="X2299" s="7" t="s">
        <v>58</v>
      </c>
      <c r="Y2299" s="8">
        <v>44459</v>
      </c>
      <c r="Z2299" s="8" t="s">
        <v>0</v>
      </c>
      <c r="AA2299" s="7" t="s">
        <v>1251</v>
      </c>
      <c r="AB2299" s="7" t="s">
        <v>328</v>
      </c>
      <c r="AC2299" s="7" t="s">
        <v>65</v>
      </c>
      <c r="AD2299" s="7" t="s">
        <v>0</v>
      </c>
      <c r="AE2299" s="7" t="s">
        <v>0</v>
      </c>
      <c r="AF2299" s="7" t="s">
        <v>0</v>
      </c>
      <c r="AG2299" s="7" t="s">
        <v>0</v>
      </c>
      <c r="AH2299" s="9" t="s">
        <v>0</v>
      </c>
      <c r="AI2299" s="9" t="s">
        <v>0</v>
      </c>
      <c r="AJ2299" s="9" t="s">
        <v>0</v>
      </c>
      <c r="AK2299" s="7" t="s">
        <v>61</v>
      </c>
      <c r="AL2299" s="7" t="s">
        <v>61</v>
      </c>
      <c r="AM2299" s="7" t="s">
        <v>0</v>
      </c>
      <c r="AN2299" s="7" t="s">
        <v>0</v>
      </c>
      <c r="AO2299" s="7" t="s">
        <v>0</v>
      </c>
      <c r="AP2299" s="7" t="s">
        <v>0</v>
      </c>
      <c r="AQ2299" s="7" t="s">
        <v>61</v>
      </c>
      <c r="AR2299" s="7" t="s">
        <v>0</v>
      </c>
      <c r="AS2299" s="10" t="str">
        <f>HYPERLINK("https://tessa.gazprom-neft.local/edo/card/2343b1d3-6c35-453a-84a5-b4312d331ae8", "https://tessa.gazprom-neft.local/edo/card/2343b1d3-6c35-453a-84a5-b4312d331ae8")</f>
        <v>https://tessa.gazprom-neft.local/edo/card/2343b1d3-6c35-453a-84a5-b4312d331ae8</v>
      </c>
    </row>
    <row r="2300" spans="1:45" hidden="1" x14ac:dyDescent="0.25">
      <c r="A2300" s="6" t="s">
        <v>44</v>
      </c>
      <c r="B2300" s="7" t="s">
        <v>7640</v>
      </c>
      <c r="C2300" s="7" t="s">
        <v>46</v>
      </c>
      <c r="D2300" s="8">
        <v>44459</v>
      </c>
      <c r="E2300" s="8" t="s">
        <v>0</v>
      </c>
      <c r="F2300" s="16" t="s">
        <v>7641</v>
      </c>
      <c r="G2300" s="7" t="s">
        <v>7642</v>
      </c>
      <c r="H2300" s="7" t="s">
        <v>0</v>
      </c>
      <c r="I2300" s="7" t="s">
        <v>7637</v>
      </c>
      <c r="J2300" s="7" t="s">
        <v>7637</v>
      </c>
      <c r="K2300" s="7" t="s">
        <v>85</v>
      </c>
      <c r="L2300" s="7" t="s">
        <v>86</v>
      </c>
      <c r="M2300" s="7" t="s">
        <v>523</v>
      </c>
      <c r="N2300" s="7" t="s">
        <v>7636</v>
      </c>
      <c r="O2300" s="7" t="s">
        <v>0</v>
      </c>
      <c r="P2300" s="7" t="s">
        <v>523</v>
      </c>
      <c r="Q2300" s="7" t="s">
        <v>7638</v>
      </c>
      <c r="R2300" s="7" t="s">
        <v>7639</v>
      </c>
      <c r="S2300" s="7" t="s">
        <v>7639</v>
      </c>
      <c r="T2300" s="7" t="s">
        <v>54</v>
      </c>
      <c r="U2300" s="7" t="s">
        <v>478</v>
      </c>
      <c r="V2300" s="7" t="s">
        <v>91</v>
      </c>
      <c r="W2300" s="7" t="s">
        <v>57</v>
      </c>
      <c r="X2300" s="7" t="s">
        <v>103</v>
      </c>
      <c r="Y2300" s="8">
        <v>44459</v>
      </c>
      <c r="Z2300" s="8">
        <v>44505</v>
      </c>
      <c r="AA2300" s="7" t="s">
        <v>7093</v>
      </c>
      <c r="AB2300" s="7" t="s">
        <v>94</v>
      </c>
      <c r="AC2300" s="7" t="s">
        <v>65</v>
      </c>
      <c r="AD2300" s="7" t="s">
        <v>0</v>
      </c>
      <c r="AE2300" s="7" t="s">
        <v>0</v>
      </c>
      <c r="AF2300" s="7" t="s">
        <v>0</v>
      </c>
      <c r="AG2300" s="7" t="s">
        <v>0</v>
      </c>
      <c r="AH2300" s="9" t="s">
        <v>0</v>
      </c>
      <c r="AI2300" s="9" t="s">
        <v>0</v>
      </c>
      <c r="AJ2300" s="9" t="s">
        <v>0</v>
      </c>
      <c r="AK2300" s="7" t="s">
        <v>61</v>
      </c>
      <c r="AL2300" s="7" t="s">
        <v>61</v>
      </c>
      <c r="AM2300" s="7" t="s">
        <v>0</v>
      </c>
      <c r="AN2300" s="7" t="s">
        <v>0</v>
      </c>
      <c r="AO2300" s="7" t="s">
        <v>0</v>
      </c>
      <c r="AP2300" s="7" t="s">
        <v>0</v>
      </c>
      <c r="AQ2300" s="7" t="s">
        <v>61</v>
      </c>
      <c r="AR2300" s="7" t="s">
        <v>0</v>
      </c>
      <c r="AS2300" s="10" t="str">
        <f>HYPERLINK("https://tessa.gazprom-neft.local/edo/card/5f8942f9-7772-44ef-8419-22556a325e75", "https://tessa.gazprom-neft.local/edo/card/5f8942f9-7772-44ef-8419-22556a325e75")</f>
        <v>https://tessa.gazprom-neft.local/edo/card/5f8942f9-7772-44ef-8419-22556a325e75</v>
      </c>
    </row>
    <row r="2301" spans="1:45" x14ac:dyDescent="0.25">
      <c r="A2301" s="6" t="s">
        <v>44</v>
      </c>
      <c r="B2301" s="7" t="s">
        <v>114</v>
      </c>
      <c r="C2301" s="7" t="s">
        <v>67</v>
      </c>
      <c r="D2301" s="8">
        <v>44456</v>
      </c>
      <c r="E2301" s="8" t="s">
        <v>0</v>
      </c>
      <c r="F2301" s="16" t="s">
        <v>115</v>
      </c>
      <c r="G2301" s="7" t="s">
        <v>116</v>
      </c>
      <c r="H2301" s="7" t="s">
        <v>7426</v>
      </c>
      <c r="I2301" s="7" t="s">
        <v>0</v>
      </c>
      <c r="J2301" s="7" t="s">
        <v>51</v>
      </c>
      <c r="K2301" s="7" t="s">
        <v>85</v>
      </c>
      <c r="L2301" s="7" t="s">
        <v>48</v>
      </c>
      <c r="M2301" s="7" t="s">
        <v>2128</v>
      </c>
      <c r="N2301" s="7" t="s">
        <v>7425</v>
      </c>
      <c r="O2301" s="7" t="s">
        <v>0</v>
      </c>
      <c r="P2301" s="7" t="s">
        <v>7427</v>
      </c>
      <c r="Q2301" s="7" t="s">
        <v>7428</v>
      </c>
      <c r="R2301" s="7" t="s">
        <v>1042</v>
      </c>
      <c r="S2301" s="7" t="s">
        <v>1042</v>
      </c>
      <c r="T2301" s="7" t="s">
        <v>54</v>
      </c>
      <c r="U2301" s="7" t="s">
        <v>1043</v>
      </c>
      <c r="V2301" s="7" t="s">
        <v>723</v>
      </c>
      <c r="W2301" s="7" t="s">
        <v>57</v>
      </c>
      <c r="X2301" s="7" t="s">
        <v>103</v>
      </c>
      <c r="Y2301" s="8">
        <v>44421</v>
      </c>
      <c r="Z2301" s="8">
        <v>44500</v>
      </c>
      <c r="AA2301" s="7" t="s">
        <v>0</v>
      </c>
      <c r="AB2301" s="7" t="s">
        <v>117</v>
      </c>
      <c r="AC2301" s="7" t="s">
        <v>65</v>
      </c>
      <c r="AD2301" s="7" t="s">
        <v>0</v>
      </c>
      <c r="AE2301" s="7" t="s">
        <v>0</v>
      </c>
      <c r="AF2301" s="7" t="s">
        <v>0</v>
      </c>
      <c r="AG2301" s="7" t="s">
        <v>0</v>
      </c>
      <c r="AH2301" s="9" t="s">
        <v>0</v>
      </c>
      <c r="AI2301" s="9" t="s">
        <v>0</v>
      </c>
      <c r="AJ2301" s="9" t="s">
        <v>0</v>
      </c>
      <c r="AK2301" s="7" t="s">
        <v>61</v>
      </c>
      <c r="AL2301" s="7" t="s">
        <v>61</v>
      </c>
      <c r="AM2301" s="7" t="s">
        <v>0</v>
      </c>
      <c r="AN2301" s="7" t="s">
        <v>0</v>
      </c>
      <c r="AO2301" s="7" t="s">
        <v>0</v>
      </c>
      <c r="AP2301" s="7" t="s">
        <v>0</v>
      </c>
      <c r="AQ2301" s="7" t="s">
        <v>61</v>
      </c>
      <c r="AR2301" s="7" t="s">
        <v>0</v>
      </c>
      <c r="AS2301" s="10" t="str">
        <f>HYPERLINK("https://tessa.gazprom-neft.local/edo/card/2d602bbe-4be8-4f29-8b34-b0649a1ea102", "https://tessa.gazprom-neft.local/edo/card/2d602bbe-4be8-4f29-8b34-b0649a1ea102")</f>
        <v>https://tessa.gazprom-neft.local/edo/card/2d602bbe-4be8-4f29-8b34-b0649a1ea102</v>
      </c>
    </row>
    <row r="2302" spans="1:45" x14ac:dyDescent="0.25">
      <c r="A2302" s="6" t="s">
        <v>44</v>
      </c>
      <c r="B2302" s="7" t="s">
        <v>114</v>
      </c>
      <c r="C2302" s="7" t="s">
        <v>67</v>
      </c>
      <c r="D2302" s="8">
        <v>44456</v>
      </c>
      <c r="E2302" s="8" t="s">
        <v>0</v>
      </c>
      <c r="F2302" s="16" t="s">
        <v>115</v>
      </c>
      <c r="G2302" s="7" t="s">
        <v>116</v>
      </c>
      <c r="H2302" s="7" t="s">
        <v>7435</v>
      </c>
      <c r="I2302" s="7" t="s">
        <v>0</v>
      </c>
      <c r="J2302" s="7" t="s">
        <v>51</v>
      </c>
      <c r="K2302" s="7" t="s">
        <v>85</v>
      </c>
      <c r="L2302" s="7" t="s">
        <v>48</v>
      </c>
      <c r="M2302" s="7" t="s">
        <v>2128</v>
      </c>
      <c r="N2302" s="7" t="s">
        <v>7434</v>
      </c>
      <c r="O2302" s="7" t="s">
        <v>0</v>
      </c>
      <c r="P2302" s="7" t="s">
        <v>7436</v>
      </c>
      <c r="Q2302" s="7" t="s">
        <v>7428</v>
      </c>
      <c r="R2302" s="7" t="s">
        <v>1042</v>
      </c>
      <c r="S2302" s="7" t="s">
        <v>1042</v>
      </c>
      <c r="T2302" s="7" t="s">
        <v>54</v>
      </c>
      <c r="U2302" s="7" t="s">
        <v>1043</v>
      </c>
      <c r="V2302" s="7" t="s">
        <v>723</v>
      </c>
      <c r="W2302" s="7" t="s">
        <v>57</v>
      </c>
      <c r="X2302" s="7" t="s">
        <v>103</v>
      </c>
      <c r="Y2302" s="8">
        <v>44421</v>
      </c>
      <c r="Z2302" s="8">
        <v>44500</v>
      </c>
      <c r="AA2302" s="7" t="s">
        <v>0</v>
      </c>
      <c r="AB2302" s="7" t="s">
        <v>117</v>
      </c>
      <c r="AC2302" s="7" t="s">
        <v>65</v>
      </c>
      <c r="AD2302" s="7" t="s">
        <v>0</v>
      </c>
      <c r="AE2302" s="7" t="s">
        <v>0</v>
      </c>
      <c r="AF2302" s="7" t="s">
        <v>0</v>
      </c>
      <c r="AG2302" s="7" t="s">
        <v>0</v>
      </c>
      <c r="AH2302" s="9" t="s">
        <v>0</v>
      </c>
      <c r="AI2302" s="9" t="s">
        <v>0</v>
      </c>
      <c r="AJ2302" s="9" t="s">
        <v>0</v>
      </c>
      <c r="AK2302" s="7" t="s">
        <v>61</v>
      </c>
      <c r="AL2302" s="7" t="s">
        <v>61</v>
      </c>
      <c r="AM2302" s="7" t="s">
        <v>0</v>
      </c>
      <c r="AN2302" s="7" t="s">
        <v>0</v>
      </c>
      <c r="AO2302" s="7" t="s">
        <v>0</v>
      </c>
      <c r="AP2302" s="7" t="s">
        <v>0</v>
      </c>
      <c r="AQ2302" s="7" t="s">
        <v>61</v>
      </c>
      <c r="AR2302" s="7" t="s">
        <v>0</v>
      </c>
      <c r="AS2302" s="10" t="str">
        <f>HYPERLINK("https://tessa.gazprom-neft.local/edo/card/c3bf8e41-285e-46b5-95ea-621450ceef46", "https://tessa.gazprom-neft.local/edo/card/c3bf8e41-285e-46b5-95ea-621450ceef46")</f>
        <v>https://tessa.gazprom-neft.local/edo/card/c3bf8e41-285e-46b5-95ea-621450ceef46</v>
      </c>
    </row>
    <row r="2303" spans="1:45" x14ac:dyDescent="0.25">
      <c r="A2303" s="6" t="s">
        <v>44</v>
      </c>
      <c r="B2303" s="7" t="s">
        <v>964</v>
      </c>
      <c r="C2303" s="7" t="s">
        <v>67</v>
      </c>
      <c r="D2303" s="8">
        <v>44456</v>
      </c>
      <c r="E2303" s="8" t="s">
        <v>0</v>
      </c>
      <c r="F2303" s="16" t="s">
        <v>965</v>
      </c>
      <c r="G2303" s="7" t="s">
        <v>966</v>
      </c>
      <c r="H2303" s="7" t="s">
        <v>7549</v>
      </c>
      <c r="I2303" s="7" t="s">
        <v>0</v>
      </c>
      <c r="J2303" s="7" t="s">
        <v>331</v>
      </c>
      <c r="K2303" s="7" t="s">
        <v>47</v>
      </c>
      <c r="L2303" s="7" t="s">
        <v>48</v>
      </c>
      <c r="M2303" s="7" t="s">
        <v>0</v>
      </c>
      <c r="N2303" s="7" t="s">
        <v>7548</v>
      </c>
      <c r="O2303" s="7" t="s">
        <v>0</v>
      </c>
      <c r="P2303" s="7" t="s">
        <v>7550</v>
      </c>
      <c r="Q2303" s="7" t="s">
        <v>7551</v>
      </c>
      <c r="R2303" s="7" t="s">
        <v>659</v>
      </c>
      <c r="S2303" s="7" t="s">
        <v>5941</v>
      </c>
      <c r="T2303" s="7" t="s">
        <v>54</v>
      </c>
      <c r="U2303" s="7" t="s">
        <v>1683</v>
      </c>
      <c r="V2303" s="7" t="s">
        <v>295</v>
      </c>
      <c r="W2303" s="7" t="s">
        <v>57</v>
      </c>
      <c r="X2303" s="7" t="s">
        <v>103</v>
      </c>
      <c r="Y2303" s="8">
        <v>44456</v>
      </c>
      <c r="Z2303" s="8">
        <v>44926</v>
      </c>
      <c r="AA2303" s="7" t="s">
        <v>1269</v>
      </c>
      <c r="AB2303" s="7" t="s">
        <v>1270</v>
      </c>
      <c r="AC2303" s="7" t="s">
        <v>65</v>
      </c>
      <c r="AD2303" s="7" t="s">
        <v>0</v>
      </c>
      <c r="AE2303" s="7" t="s">
        <v>0</v>
      </c>
      <c r="AF2303" s="7" t="s">
        <v>0</v>
      </c>
      <c r="AG2303" s="7" t="s">
        <v>0</v>
      </c>
      <c r="AH2303" s="9" t="s">
        <v>0</v>
      </c>
      <c r="AI2303" s="9" t="s">
        <v>0</v>
      </c>
      <c r="AJ2303" s="9" t="s">
        <v>0</v>
      </c>
      <c r="AK2303" s="7" t="s">
        <v>61</v>
      </c>
      <c r="AL2303" s="7" t="s">
        <v>61</v>
      </c>
      <c r="AM2303" s="7" t="s">
        <v>0</v>
      </c>
      <c r="AN2303" s="7" t="s">
        <v>0</v>
      </c>
      <c r="AO2303" s="7" t="s">
        <v>0</v>
      </c>
      <c r="AP2303" s="7" t="s">
        <v>0</v>
      </c>
      <c r="AQ2303" s="7" t="s">
        <v>61</v>
      </c>
      <c r="AR2303" s="7" t="s">
        <v>0</v>
      </c>
      <c r="AS2303" s="10" t="str">
        <f>HYPERLINK("https://tessa.gazprom-neft.local/edo/card/5ff72e49-3c87-4ddd-b169-d710e7e2f882", "https://tessa.gazprom-neft.local/edo/card/5ff72e49-3c87-4ddd-b169-d710e7e2f882")</f>
        <v>https://tessa.gazprom-neft.local/edo/card/5ff72e49-3c87-4ddd-b169-d710e7e2f882</v>
      </c>
    </row>
    <row r="2304" spans="1:45" x14ac:dyDescent="0.25">
      <c r="A2304" s="6" t="s">
        <v>44</v>
      </c>
      <c r="B2304" s="7" t="s">
        <v>7325</v>
      </c>
      <c r="C2304" s="7" t="s">
        <v>67</v>
      </c>
      <c r="D2304" s="8">
        <v>44454</v>
      </c>
      <c r="E2304" s="8" t="s">
        <v>0</v>
      </c>
      <c r="F2304" s="16" t="s">
        <v>7326</v>
      </c>
      <c r="G2304" s="7" t="s">
        <v>7327</v>
      </c>
      <c r="H2304" s="7" t="s">
        <v>7322</v>
      </c>
      <c r="I2304" s="7" t="s">
        <v>0</v>
      </c>
      <c r="J2304" s="7" t="s">
        <v>156</v>
      </c>
      <c r="K2304" s="7" t="s">
        <v>47</v>
      </c>
      <c r="L2304" s="7" t="s">
        <v>48</v>
      </c>
      <c r="M2304" s="7" t="s">
        <v>0</v>
      </c>
      <c r="N2304" s="7" t="s">
        <v>7321</v>
      </c>
      <c r="O2304" s="7" t="s">
        <v>0</v>
      </c>
      <c r="P2304" s="7" t="s">
        <v>7323</v>
      </c>
      <c r="Q2304" s="7" t="s">
        <v>7324</v>
      </c>
      <c r="R2304" s="7" t="s">
        <v>135</v>
      </c>
      <c r="S2304" s="7" t="s">
        <v>135</v>
      </c>
      <c r="T2304" s="7" t="s">
        <v>54</v>
      </c>
      <c r="U2304" s="7" t="s">
        <v>136</v>
      </c>
      <c r="V2304" s="7" t="s">
        <v>102</v>
      </c>
      <c r="W2304" s="7" t="s">
        <v>57</v>
      </c>
      <c r="X2304" s="7" t="s">
        <v>103</v>
      </c>
      <c r="Y2304" s="8">
        <v>44454</v>
      </c>
      <c r="Z2304" s="8">
        <v>45291</v>
      </c>
      <c r="AA2304" s="7" t="s">
        <v>6296</v>
      </c>
      <c r="AB2304" s="7" t="s">
        <v>7328</v>
      </c>
      <c r="AC2304" s="7" t="s">
        <v>65</v>
      </c>
      <c r="AD2304" s="7" t="s">
        <v>0</v>
      </c>
      <c r="AE2304" s="7" t="s">
        <v>0</v>
      </c>
      <c r="AF2304" s="7" t="s">
        <v>0</v>
      </c>
      <c r="AG2304" s="7" t="s">
        <v>0</v>
      </c>
      <c r="AH2304" s="9" t="s">
        <v>0</v>
      </c>
      <c r="AI2304" s="9" t="s">
        <v>0</v>
      </c>
      <c r="AJ2304" s="9" t="s">
        <v>0</v>
      </c>
      <c r="AK2304" s="7" t="s">
        <v>61</v>
      </c>
      <c r="AL2304" s="7" t="s">
        <v>61</v>
      </c>
      <c r="AM2304" s="7" t="s">
        <v>0</v>
      </c>
      <c r="AN2304" s="7" t="s">
        <v>0</v>
      </c>
      <c r="AO2304" s="7" t="s">
        <v>0</v>
      </c>
      <c r="AP2304" s="7" t="s">
        <v>0</v>
      </c>
      <c r="AQ2304" s="7" t="s">
        <v>61</v>
      </c>
      <c r="AR2304" s="7" t="s">
        <v>0</v>
      </c>
      <c r="AS2304" s="10" t="str">
        <f>HYPERLINK("https://tessa.gazprom-neft.local/edo/card/08808962-6a3c-4038-9680-a01c79654d1d", "https://tessa.gazprom-neft.local/edo/card/08808962-6a3c-4038-9680-a01c79654d1d")</f>
        <v>https://tessa.gazprom-neft.local/edo/card/08808962-6a3c-4038-9680-a01c79654d1d</v>
      </c>
    </row>
    <row r="2305" spans="1:45" hidden="1" x14ac:dyDescent="0.25">
      <c r="A2305" s="6" t="s">
        <v>44</v>
      </c>
      <c r="B2305" s="7" t="s">
        <v>1200</v>
      </c>
      <c r="C2305" s="7" t="s">
        <v>46</v>
      </c>
      <c r="D2305" s="8">
        <v>44454</v>
      </c>
      <c r="E2305" s="8" t="s">
        <v>0</v>
      </c>
      <c r="F2305" s="16" t="s">
        <v>1201</v>
      </c>
      <c r="G2305" s="7" t="s">
        <v>1202</v>
      </c>
      <c r="H2305" s="7" t="s">
        <v>0</v>
      </c>
      <c r="I2305" s="7" t="s">
        <v>7560</v>
      </c>
      <c r="J2305" s="7" t="s">
        <v>7560</v>
      </c>
      <c r="K2305" s="7" t="s">
        <v>47</v>
      </c>
      <c r="L2305" s="7" t="s">
        <v>96</v>
      </c>
      <c r="M2305" s="7" t="s">
        <v>0</v>
      </c>
      <c r="N2305" s="7" t="s">
        <v>7559</v>
      </c>
      <c r="O2305" s="7" t="s">
        <v>0</v>
      </c>
      <c r="P2305" s="7" t="s">
        <v>7561</v>
      </c>
      <c r="Q2305" s="7" t="s">
        <v>7562</v>
      </c>
      <c r="R2305" s="7" t="s">
        <v>1199</v>
      </c>
      <c r="S2305" s="7" t="s">
        <v>1199</v>
      </c>
      <c r="T2305" s="7" t="s">
        <v>54</v>
      </c>
      <c r="U2305" s="7" t="s">
        <v>605</v>
      </c>
      <c r="V2305" s="7" t="s">
        <v>382</v>
      </c>
      <c r="W2305" s="7" t="s">
        <v>57</v>
      </c>
      <c r="X2305" s="7" t="s">
        <v>103</v>
      </c>
      <c r="Y2305" s="8">
        <v>44454</v>
      </c>
      <c r="Z2305" s="8">
        <v>44787</v>
      </c>
      <c r="AA2305" s="7" t="s">
        <v>1656</v>
      </c>
      <c r="AB2305" s="7" t="s">
        <v>1203</v>
      </c>
      <c r="AC2305" s="7" t="s">
        <v>79</v>
      </c>
      <c r="AD2305" s="7" t="s">
        <v>80</v>
      </c>
      <c r="AE2305" s="7" t="s">
        <v>82</v>
      </c>
      <c r="AF2305" s="7" t="s">
        <v>0</v>
      </c>
      <c r="AG2305" s="7" t="s">
        <v>0</v>
      </c>
      <c r="AH2305" s="9" t="s">
        <v>12028</v>
      </c>
      <c r="AI2305" s="9" t="s">
        <v>12807</v>
      </c>
      <c r="AJ2305" s="9" t="s">
        <v>13223</v>
      </c>
      <c r="AK2305" s="7" t="s">
        <v>61</v>
      </c>
      <c r="AL2305" s="7" t="s">
        <v>61</v>
      </c>
      <c r="AM2305" s="7" t="s">
        <v>0</v>
      </c>
      <c r="AN2305" s="7" t="s">
        <v>0</v>
      </c>
      <c r="AO2305" s="7" t="s">
        <v>0</v>
      </c>
      <c r="AP2305" s="7" t="s">
        <v>0</v>
      </c>
      <c r="AQ2305" s="7" t="s">
        <v>61</v>
      </c>
      <c r="AR2305" s="7" t="s">
        <v>0</v>
      </c>
      <c r="AS2305" s="10" t="str">
        <f>HYPERLINK("https://tessa.gazprom-neft.local/edo/card/9a98d45e-ed58-41fb-a587-271ba837e8f7", "https://tessa.gazprom-neft.local/edo/card/9a98d45e-ed58-41fb-a587-271ba837e8f7")</f>
        <v>https://tessa.gazprom-neft.local/edo/card/9a98d45e-ed58-41fb-a587-271ba837e8f7</v>
      </c>
    </row>
    <row r="2306" spans="1:45" hidden="1" x14ac:dyDescent="0.25">
      <c r="A2306" s="6" t="s">
        <v>44</v>
      </c>
      <c r="B2306" s="7" t="s">
        <v>1200</v>
      </c>
      <c r="C2306" s="7" t="s">
        <v>67</v>
      </c>
      <c r="D2306" s="8">
        <v>44454</v>
      </c>
      <c r="E2306" s="8" t="s">
        <v>0</v>
      </c>
      <c r="F2306" s="16" t="s">
        <v>1201</v>
      </c>
      <c r="G2306" s="7" t="s">
        <v>1202</v>
      </c>
      <c r="H2306" s="7" t="s">
        <v>0</v>
      </c>
      <c r="I2306" s="7" t="s">
        <v>7570</v>
      </c>
      <c r="J2306" s="7" t="s">
        <v>7570</v>
      </c>
      <c r="K2306" s="7" t="s">
        <v>47</v>
      </c>
      <c r="L2306" s="7" t="s">
        <v>86</v>
      </c>
      <c r="M2306" s="7" t="s">
        <v>0</v>
      </c>
      <c r="N2306" s="7" t="s">
        <v>7569</v>
      </c>
      <c r="O2306" s="7" t="s">
        <v>0</v>
      </c>
      <c r="P2306" s="7" t="s">
        <v>7571</v>
      </c>
      <c r="Q2306" s="7" t="s">
        <v>7572</v>
      </c>
      <c r="R2306" s="7" t="s">
        <v>1199</v>
      </c>
      <c r="S2306" s="7" t="s">
        <v>1199</v>
      </c>
      <c r="T2306" s="7" t="s">
        <v>54</v>
      </c>
      <c r="U2306" s="7" t="s">
        <v>605</v>
      </c>
      <c r="V2306" s="7" t="s">
        <v>382</v>
      </c>
      <c r="W2306" s="7" t="s">
        <v>57</v>
      </c>
      <c r="X2306" s="7" t="s">
        <v>58</v>
      </c>
      <c r="Y2306" s="8">
        <v>44454</v>
      </c>
      <c r="Z2306" s="8" t="s">
        <v>0</v>
      </c>
      <c r="AA2306" s="7" t="s">
        <v>1656</v>
      </c>
      <c r="AB2306" s="7" t="s">
        <v>1203</v>
      </c>
      <c r="AC2306" s="7" t="s">
        <v>79</v>
      </c>
      <c r="AD2306" s="7" t="s">
        <v>80</v>
      </c>
      <c r="AE2306" s="7" t="s">
        <v>118</v>
      </c>
      <c r="AF2306" s="7" t="s">
        <v>0</v>
      </c>
      <c r="AG2306" s="7" t="s">
        <v>0</v>
      </c>
      <c r="AH2306" s="9" t="s">
        <v>13224</v>
      </c>
      <c r="AI2306" s="9" t="s">
        <v>13224</v>
      </c>
      <c r="AJ2306" s="9">
        <v>0</v>
      </c>
      <c r="AK2306" s="7" t="s">
        <v>61</v>
      </c>
      <c r="AL2306" s="7" t="s">
        <v>61</v>
      </c>
      <c r="AM2306" s="7" t="s">
        <v>0</v>
      </c>
      <c r="AN2306" s="7" t="s">
        <v>0</v>
      </c>
      <c r="AO2306" s="7" t="s">
        <v>0</v>
      </c>
      <c r="AP2306" s="7" t="s">
        <v>0</v>
      </c>
      <c r="AQ2306" s="7" t="s">
        <v>61</v>
      </c>
      <c r="AR2306" s="7" t="s">
        <v>0</v>
      </c>
      <c r="AS2306" s="10" t="str">
        <f>HYPERLINK("https://tessa.gazprom-neft.local/edo/card/a46e89a8-5da5-41f8-b82b-d92942c0fca5", "https://tessa.gazprom-neft.local/edo/card/a46e89a8-5da5-41f8-b82b-d92942c0fca5")</f>
        <v>https://tessa.gazprom-neft.local/edo/card/a46e89a8-5da5-41f8-b82b-d92942c0fca5</v>
      </c>
    </row>
    <row r="2307" spans="1:45" hidden="1" x14ac:dyDescent="0.25">
      <c r="A2307" s="6" t="s">
        <v>44</v>
      </c>
      <c r="B2307" s="7" t="s">
        <v>4496</v>
      </c>
      <c r="C2307" s="7" t="s">
        <v>46</v>
      </c>
      <c r="D2307" s="8">
        <v>44454</v>
      </c>
      <c r="E2307" s="8" t="s">
        <v>0</v>
      </c>
      <c r="F2307" s="16" t="s">
        <v>4497</v>
      </c>
      <c r="G2307" s="7" t="s">
        <v>4498</v>
      </c>
      <c r="H2307" s="7" t="s">
        <v>0</v>
      </c>
      <c r="I2307" s="7" t="s">
        <v>7590</v>
      </c>
      <c r="J2307" s="7" t="s">
        <v>7590</v>
      </c>
      <c r="K2307" s="7" t="s">
        <v>47</v>
      </c>
      <c r="L2307" s="7" t="s">
        <v>96</v>
      </c>
      <c r="M2307" s="7" t="s">
        <v>0</v>
      </c>
      <c r="N2307" s="7" t="s">
        <v>7589</v>
      </c>
      <c r="O2307" s="7" t="s">
        <v>0</v>
      </c>
      <c r="P2307" s="7" t="s">
        <v>7591</v>
      </c>
      <c r="Q2307" s="7" t="s">
        <v>7592</v>
      </c>
      <c r="R2307" s="7" t="s">
        <v>1199</v>
      </c>
      <c r="S2307" s="7" t="s">
        <v>1199</v>
      </c>
      <c r="T2307" s="7" t="s">
        <v>54</v>
      </c>
      <c r="U2307" s="7" t="s">
        <v>605</v>
      </c>
      <c r="V2307" s="7" t="s">
        <v>382</v>
      </c>
      <c r="W2307" s="7" t="s">
        <v>57</v>
      </c>
      <c r="X2307" s="7" t="s">
        <v>103</v>
      </c>
      <c r="Y2307" s="8">
        <v>44454</v>
      </c>
      <c r="Z2307" s="8">
        <v>44787</v>
      </c>
      <c r="AA2307" s="7" t="s">
        <v>1656</v>
      </c>
      <c r="AB2307" s="7" t="s">
        <v>2985</v>
      </c>
      <c r="AC2307" s="7" t="s">
        <v>79</v>
      </c>
      <c r="AD2307" s="7" t="s">
        <v>80</v>
      </c>
      <c r="AE2307" s="7" t="s">
        <v>82</v>
      </c>
      <c r="AF2307" s="7" t="s">
        <v>0</v>
      </c>
      <c r="AG2307" s="7" t="s">
        <v>0</v>
      </c>
      <c r="AH2307" s="9" t="s">
        <v>12810</v>
      </c>
      <c r="AI2307" s="9" t="s">
        <v>12811</v>
      </c>
      <c r="AJ2307" s="9" t="s">
        <v>12812</v>
      </c>
      <c r="AK2307" s="7" t="s">
        <v>61</v>
      </c>
      <c r="AL2307" s="7" t="s">
        <v>61</v>
      </c>
      <c r="AM2307" s="7" t="s">
        <v>0</v>
      </c>
      <c r="AN2307" s="7" t="s">
        <v>0</v>
      </c>
      <c r="AO2307" s="7" t="s">
        <v>0</v>
      </c>
      <c r="AP2307" s="7" t="s">
        <v>0</v>
      </c>
      <c r="AQ2307" s="7" t="s">
        <v>61</v>
      </c>
      <c r="AR2307" s="7" t="s">
        <v>0</v>
      </c>
      <c r="AS2307" s="10" t="str">
        <f>HYPERLINK("https://tessa.gazprom-neft.local/edo/card/dc0c76d2-5a42-4689-be6e-51c8fb04f1d8", "https://tessa.gazprom-neft.local/edo/card/dc0c76d2-5a42-4689-be6e-51c8fb04f1d8")</f>
        <v>https://tessa.gazprom-neft.local/edo/card/dc0c76d2-5a42-4689-be6e-51c8fb04f1d8</v>
      </c>
    </row>
    <row r="2308" spans="1:45" hidden="1" x14ac:dyDescent="0.25">
      <c r="A2308" s="6" t="s">
        <v>44</v>
      </c>
      <c r="B2308" s="7" t="s">
        <v>4496</v>
      </c>
      <c r="C2308" s="7" t="s">
        <v>46</v>
      </c>
      <c r="D2308" s="8">
        <v>44454</v>
      </c>
      <c r="E2308" s="8" t="s">
        <v>0</v>
      </c>
      <c r="F2308" s="16" t="s">
        <v>4497</v>
      </c>
      <c r="G2308" s="7" t="s">
        <v>4498</v>
      </c>
      <c r="H2308" s="7" t="s">
        <v>0</v>
      </c>
      <c r="I2308" s="7" t="s">
        <v>7598</v>
      </c>
      <c r="J2308" s="7" t="s">
        <v>7598</v>
      </c>
      <c r="K2308" s="7" t="s">
        <v>47</v>
      </c>
      <c r="L2308" s="7" t="s">
        <v>86</v>
      </c>
      <c r="M2308" s="7" t="s">
        <v>0</v>
      </c>
      <c r="N2308" s="7" t="s">
        <v>7597</v>
      </c>
      <c r="O2308" s="7" t="s">
        <v>0</v>
      </c>
      <c r="P2308" s="7" t="s">
        <v>7599</v>
      </c>
      <c r="Q2308" s="7" t="s">
        <v>7600</v>
      </c>
      <c r="R2308" s="7" t="s">
        <v>1199</v>
      </c>
      <c r="S2308" s="7" t="s">
        <v>1199</v>
      </c>
      <c r="T2308" s="7" t="s">
        <v>54</v>
      </c>
      <c r="U2308" s="7" t="s">
        <v>605</v>
      </c>
      <c r="V2308" s="7" t="s">
        <v>382</v>
      </c>
      <c r="W2308" s="7" t="s">
        <v>57</v>
      </c>
      <c r="X2308" s="7" t="s">
        <v>58</v>
      </c>
      <c r="Y2308" s="8">
        <v>44454</v>
      </c>
      <c r="Z2308" s="8" t="s">
        <v>0</v>
      </c>
      <c r="AA2308" s="7" t="s">
        <v>1656</v>
      </c>
      <c r="AB2308" s="7" t="s">
        <v>2985</v>
      </c>
      <c r="AC2308" s="7" t="s">
        <v>79</v>
      </c>
      <c r="AD2308" s="7" t="s">
        <v>80</v>
      </c>
      <c r="AE2308" s="7" t="s">
        <v>118</v>
      </c>
      <c r="AF2308" s="7" t="s">
        <v>0</v>
      </c>
      <c r="AG2308" s="7" t="s">
        <v>0</v>
      </c>
      <c r="AH2308" s="9" t="s">
        <v>13232</v>
      </c>
      <c r="AI2308" s="9" t="s">
        <v>13232</v>
      </c>
      <c r="AJ2308" s="9">
        <v>0</v>
      </c>
      <c r="AK2308" s="7" t="s">
        <v>61</v>
      </c>
      <c r="AL2308" s="7" t="s">
        <v>61</v>
      </c>
      <c r="AM2308" s="7" t="s">
        <v>0</v>
      </c>
      <c r="AN2308" s="7" t="s">
        <v>0</v>
      </c>
      <c r="AO2308" s="7" t="s">
        <v>0</v>
      </c>
      <c r="AP2308" s="7" t="s">
        <v>0</v>
      </c>
      <c r="AQ2308" s="7" t="s">
        <v>61</v>
      </c>
      <c r="AR2308" s="7" t="s">
        <v>0</v>
      </c>
      <c r="AS2308" s="10" t="str">
        <f>HYPERLINK("https://tessa.gazprom-neft.local/edo/card/2b1ca86a-2bff-420f-b34a-70034cb87c46", "https://tessa.gazprom-neft.local/edo/card/2b1ca86a-2bff-420f-b34a-70034cb87c46")</f>
        <v>https://tessa.gazprom-neft.local/edo/card/2b1ca86a-2bff-420f-b34a-70034cb87c46</v>
      </c>
    </row>
    <row r="2309" spans="1:45" hidden="1" x14ac:dyDescent="0.25">
      <c r="A2309" s="6" t="s">
        <v>44</v>
      </c>
      <c r="B2309" s="7" t="s">
        <v>1950</v>
      </c>
      <c r="C2309" s="7" t="s">
        <v>67</v>
      </c>
      <c r="D2309" s="8">
        <v>44454</v>
      </c>
      <c r="E2309" s="8" t="s">
        <v>0</v>
      </c>
      <c r="F2309" s="16" t="s">
        <v>1951</v>
      </c>
      <c r="G2309" s="7" t="s">
        <v>1952</v>
      </c>
      <c r="H2309" s="7" t="s">
        <v>3376</v>
      </c>
      <c r="I2309" s="7" t="s">
        <v>0</v>
      </c>
      <c r="J2309" s="7" t="s">
        <v>51</v>
      </c>
      <c r="K2309" s="7" t="s">
        <v>47</v>
      </c>
      <c r="L2309" s="7" t="s">
        <v>239</v>
      </c>
      <c r="M2309" s="7" t="s">
        <v>0</v>
      </c>
      <c r="N2309" s="7" t="s">
        <v>7604</v>
      </c>
      <c r="O2309" s="7" t="s">
        <v>0</v>
      </c>
      <c r="P2309" s="7" t="s">
        <v>7605</v>
      </c>
      <c r="Q2309" s="7" t="s">
        <v>7606</v>
      </c>
      <c r="R2309" s="7" t="s">
        <v>7312</v>
      </c>
      <c r="S2309" s="7" t="s">
        <v>1711</v>
      </c>
      <c r="T2309" s="7" t="s">
        <v>54</v>
      </c>
      <c r="U2309" s="7" t="s">
        <v>605</v>
      </c>
      <c r="V2309" s="7" t="s">
        <v>382</v>
      </c>
      <c r="W2309" s="7" t="s">
        <v>57</v>
      </c>
      <c r="X2309" s="7" t="s">
        <v>103</v>
      </c>
      <c r="Y2309" s="8">
        <v>44454</v>
      </c>
      <c r="Z2309" s="8">
        <v>44561</v>
      </c>
      <c r="AA2309" s="7" t="s">
        <v>1656</v>
      </c>
      <c r="AB2309" s="7" t="s">
        <v>1893</v>
      </c>
      <c r="AC2309" s="7" t="s">
        <v>79</v>
      </c>
      <c r="AD2309" s="7" t="s">
        <v>80</v>
      </c>
      <c r="AE2309" s="7" t="s">
        <v>82</v>
      </c>
      <c r="AF2309" s="7" t="s">
        <v>0</v>
      </c>
      <c r="AG2309" s="7" t="s">
        <v>0</v>
      </c>
      <c r="AH2309" s="9" t="s">
        <v>13233</v>
      </c>
      <c r="AI2309" s="9" t="s">
        <v>13234</v>
      </c>
      <c r="AJ2309" s="9" t="s">
        <v>13235</v>
      </c>
      <c r="AK2309" s="7" t="s">
        <v>61</v>
      </c>
      <c r="AL2309" s="7" t="s">
        <v>61</v>
      </c>
      <c r="AM2309" s="7" t="s">
        <v>0</v>
      </c>
      <c r="AN2309" s="7" t="s">
        <v>0</v>
      </c>
      <c r="AO2309" s="7" t="s">
        <v>0</v>
      </c>
      <c r="AP2309" s="7" t="s">
        <v>0</v>
      </c>
      <c r="AQ2309" s="7" t="s">
        <v>61</v>
      </c>
      <c r="AR2309" s="7" t="s">
        <v>0</v>
      </c>
      <c r="AS2309" s="10" t="str">
        <f>HYPERLINK("https://tessa.gazprom-neft.local/edo/card/a4827727-2c3f-4ee2-a6d0-2a2f797cad85", "https://tessa.gazprom-neft.local/edo/card/a4827727-2c3f-4ee2-a6d0-2a2f797cad85")</f>
        <v>https://tessa.gazprom-neft.local/edo/card/a4827727-2c3f-4ee2-a6d0-2a2f797cad85</v>
      </c>
    </row>
    <row r="2310" spans="1:45" hidden="1" x14ac:dyDescent="0.25">
      <c r="A2310" s="6" t="s">
        <v>44</v>
      </c>
      <c r="B2310" s="7" t="s">
        <v>1611</v>
      </c>
      <c r="C2310" s="7" t="s">
        <v>67</v>
      </c>
      <c r="D2310" s="8">
        <v>44453</v>
      </c>
      <c r="E2310" s="8" t="s">
        <v>0</v>
      </c>
      <c r="F2310" s="16" t="s">
        <v>1612</v>
      </c>
      <c r="G2310" s="7" t="s">
        <v>1613</v>
      </c>
      <c r="H2310" s="7" t="s">
        <v>1606</v>
      </c>
      <c r="I2310" s="7" t="s">
        <v>0</v>
      </c>
      <c r="J2310" s="7" t="s">
        <v>70</v>
      </c>
      <c r="K2310" s="7" t="s">
        <v>47</v>
      </c>
      <c r="L2310" s="7" t="s">
        <v>239</v>
      </c>
      <c r="M2310" s="7" t="s">
        <v>0</v>
      </c>
      <c r="N2310" s="7" t="s">
        <v>7500</v>
      </c>
      <c r="O2310" s="7" t="s">
        <v>0</v>
      </c>
      <c r="P2310" s="7" t="s">
        <v>7501</v>
      </c>
      <c r="Q2310" s="7" t="s">
        <v>7502</v>
      </c>
      <c r="R2310" s="7" t="s">
        <v>1610</v>
      </c>
      <c r="S2310" s="7" t="s">
        <v>1610</v>
      </c>
      <c r="T2310" s="7" t="s">
        <v>54</v>
      </c>
      <c r="U2310" s="7" t="s">
        <v>101</v>
      </c>
      <c r="V2310" s="7" t="s">
        <v>137</v>
      </c>
      <c r="W2310" s="7" t="s">
        <v>57</v>
      </c>
      <c r="X2310" s="7" t="s">
        <v>103</v>
      </c>
      <c r="Y2310" s="8">
        <v>44459</v>
      </c>
      <c r="Z2310" s="8">
        <v>44500</v>
      </c>
      <c r="AA2310" s="7" t="s">
        <v>0</v>
      </c>
      <c r="AB2310" s="7" t="s">
        <v>1614</v>
      </c>
      <c r="AC2310" s="7" t="s">
        <v>79</v>
      </c>
      <c r="AD2310" s="7" t="s">
        <v>80</v>
      </c>
      <c r="AE2310" s="7" t="s">
        <v>118</v>
      </c>
      <c r="AF2310" s="7" t="s">
        <v>0</v>
      </c>
      <c r="AG2310" s="7" t="s">
        <v>0</v>
      </c>
      <c r="AH2310" s="9" t="s">
        <v>13202</v>
      </c>
      <c r="AI2310" s="9" t="s">
        <v>13202</v>
      </c>
      <c r="AJ2310" s="9">
        <v>0</v>
      </c>
      <c r="AK2310" s="7" t="s">
        <v>61</v>
      </c>
      <c r="AL2310" s="7" t="s">
        <v>61</v>
      </c>
      <c r="AM2310" s="7" t="s">
        <v>0</v>
      </c>
      <c r="AN2310" s="7" t="s">
        <v>0</v>
      </c>
      <c r="AO2310" s="7" t="s">
        <v>0</v>
      </c>
      <c r="AP2310" s="7" t="s">
        <v>0</v>
      </c>
      <c r="AQ2310" s="7" t="s">
        <v>61</v>
      </c>
      <c r="AR2310" s="7" t="s">
        <v>0</v>
      </c>
      <c r="AS2310" s="10" t="str">
        <f>HYPERLINK("https://tessa.gazprom-neft.local/edo/card/6d8c90d0-f045-47e5-bab5-8785a3e99af2", "https://tessa.gazprom-neft.local/edo/card/6d8c90d0-f045-47e5-bab5-8785a3e99af2")</f>
        <v>https://tessa.gazprom-neft.local/edo/card/6d8c90d0-f045-47e5-bab5-8785a3e99af2</v>
      </c>
    </row>
    <row r="2311" spans="1:45" hidden="1" x14ac:dyDescent="0.25">
      <c r="A2311" s="6" t="s">
        <v>44</v>
      </c>
      <c r="B2311" s="7" t="s">
        <v>1200</v>
      </c>
      <c r="C2311" s="7" t="s">
        <v>46</v>
      </c>
      <c r="D2311" s="8">
        <v>44452</v>
      </c>
      <c r="E2311" s="8" t="s">
        <v>0</v>
      </c>
      <c r="F2311" s="16" t="s">
        <v>1201</v>
      </c>
      <c r="G2311" s="7" t="s">
        <v>1202</v>
      </c>
      <c r="H2311" s="7" t="s">
        <v>0</v>
      </c>
      <c r="I2311" s="7" t="s">
        <v>7310</v>
      </c>
      <c r="J2311" s="7" t="s">
        <v>7310</v>
      </c>
      <c r="K2311" s="7" t="s">
        <v>47</v>
      </c>
      <c r="L2311" s="7" t="s">
        <v>96</v>
      </c>
      <c r="M2311" s="7" t="s">
        <v>0</v>
      </c>
      <c r="N2311" s="7" t="s">
        <v>7309</v>
      </c>
      <c r="O2311" s="7" t="s">
        <v>0</v>
      </c>
      <c r="P2311" s="7" t="s">
        <v>6313</v>
      </c>
      <c r="Q2311" s="7" t="s">
        <v>7311</v>
      </c>
      <c r="R2311" s="7" t="s">
        <v>7312</v>
      </c>
      <c r="S2311" s="7" t="s">
        <v>604</v>
      </c>
      <c r="T2311" s="7" t="s">
        <v>54</v>
      </c>
      <c r="U2311" s="7" t="s">
        <v>605</v>
      </c>
      <c r="V2311" s="7" t="s">
        <v>382</v>
      </c>
      <c r="W2311" s="7" t="s">
        <v>57</v>
      </c>
      <c r="X2311" s="7" t="s">
        <v>103</v>
      </c>
      <c r="Y2311" s="8">
        <v>44449</v>
      </c>
      <c r="Z2311" s="8">
        <v>44782</v>
      </c>
      <c r="AA2311" s="7" t="s">
        <v>1656</v>
      </c>
      <c r="AB2311" s="7" t="s">
        <v>1203</v>
      </c>
      <c r="AC2311" s="7" t="s">
        <v>79</v>
      </c>
      <c r="AD2311" s="7" t="s">
        <v>80</v>
      </c>
      <c r="AE2311" s="7" t="s">
        <v>82</v>
      </c>
      <c r="AF2311" s="7" t="s">
        <v>0</v>
      </c>
      <c r="AG2311" s="7" t="s">
        <v>0</v>
      </c>
      <c r="AH2311" s="9" t="s">
        <v>13144</v>
      </c>
      <c r="AI2311" s="9" t="s">
        <v>13145</v>
      </c>
      <c r="AJ2311" s="9" t="s">
        <v>13146</v>
      </c>
      <c r="AK2311" s="7" t="s">
        <v>61</v>
      </c>
      <c r="AL2311" s="7" t="s">
        <v>61</v>
      </c>
      <c r="AM2311" s="7" t="s">
        <v>0</v>
      </c>
      <c r="AN2311" s="7" t="s">
        <v>0</v>
      </c>
      <c r="AO2311" s="7" t="s">
        <v>0</v>
      </c>
      <c r="AP2311" s="7" t="s">
        <v>0</v>
      </c>
      <c r="AQ2311" s="7" t="s">
        <v>61</v>
      </c>
      <c r="AR2311" s="7" t="s">
        <v>0</v>
      </c>
      <c r="AS2311" s="10" t="str">
        <f>HYPERLINK("https://tessa.gazprom-neft.local/edo/card/ad45dfd5-7d70-4055-b889-98c8f0cb30be", "https://tessa.gazprom-neft.local/edo/card/ad45dfd5-7d70-4055-b889-98c8f0cb30be")</f>
        <v>https://tessa.gazprom-neft.local/edo/card/ad45dfd5-7d70-4055-b889-98c8f0cb30be</v>
      </c>
    </row>
    <row r="2312" spans="1:45" hidden="1" x14ac:dyDescent="0.25">
      <c r="A2312" s="6" t="s">
        <v>44</v>
      </c>
      <c r="B2312" s="7" t="s">
        <v>384</v>
      </c>
      <c r="C2312" s="7" t="s">
        <v>46</v>
      </c>
      <c r="D2312" s="8">
        <v>44452</v>
      </c>
      <c r="E2312" s="8" t="s">
        <v>0</v>
      </c>
      <c r="F2312" s="16" t="s">
        <v>385</v>
      </c>
      <c r="G2312" s="7" t="s">
        <v>386</v>
      </c>
      <c r="H2312" s="7" t="s">
        <v>0</v>
      </c>
      <c r="I2312" s="7" t="s">
        <v>7451</v>
      </c>
      <c r="J2312" s="7" t="s">
        <v>7451</v>
      </c>
      <c r="K2312" s="7" t="s">
        <v>85</v>
      </c>
      <c r="L2312" s="7" t="s">
        <v>86</v>
      </c>
      <c r="M2312" s="7" t="s">
        <v>5706</v>
      </c>
      <c r="N2312" s="7" t="s">
        <v>7450</v>
      </c>
      <c r="O2312" s="7" t="s">
        <v>0</v>
      </c>
      <c r="P2312" s="7" t="s">
        <v>5706</v>
      </c>
      <c r="Q2312" s="7" t="s">
        <v>7452</v>
      </c>
      <c r="R2312" s="7" t="s">
        <v>381</v>
      </c>
      <c r="S2312" s="7" t="s">
        <v>7453</v>
      </c>
      <c r="T2312" s="7" t="s">
        <v>54</v>
      </c>
      <c r="U2312" s="7" t="s">
        <v>222</v>
      </c>
      <c r="V2312" s="7" t="s">
        <v>137</v>
      </c>
      <c r="W2312" s="7" t="s">
        <v>57</v>
      </c>
      <c r="X2312" s="7" t="s">
        <v>103</v>
      </c>
      <c r="Y2312" s="8">
        <v>44452</v>
      </c>
      <c r="Z2312" s="8">
        <v>44926</v>
      </c>
      <c r="AA2312" s="7" t="s">
        <v>0</v>
      </c>
      <c r="AB2312" s="7" t="s">
        <v>328</v>
      </c>
      <c r="AC2312" s="7" t="s">
        <v>65</v>
      </c>
      <c r="AD2312" s="7" t="s">
        <v>0</v>
      </c>
      <c r="AE2312" s="7" t="s">
        <v>0</v>
      </c>
      <c r="AF2312" s="7" t="s">
        <v>0</v>
      </c>
      <c r="AG2312" s="7" t="s">
        <v>0</v>
      </c>
      <c r="AH2312" s="9" t="s">
        <v>0</v>
      </c>
      <c r="AI2312" s="9" t="s">
        <v>0</v>
      </c>
      <c r="AJ2312" s="9" t="s">
        <v>0</v>
      </c>
      <c r="AK2312" s="7" t="s">
        <v>61</v>
      </c>
      <c r="AL2312" s="7" t="s">
        <v>61</v>
      </c>
      <c r="AM2312" s="7" t="s">
        <v>0</v>
      </c>
      <c r="AN2312" s="7" t="s">
        <v>0</v>
      </c>
      <c r="AO2312" s="7" t="s">
        <v>0</v>
      </c>
      <c r="AP2312" s="7" t="s">
        <v>0</v>
      </c>
      <c r="AQ2312" s="7" t="s">
        <v>61</v>
      </c>
      <c r="AR2312" s="7" t="s">
        <v>0</v>
      </c>
      <c r="AS2312" s="10" t="str">
        <f>HYPERLINK("https://tessa.gazprom-neft.local/edo/card/f477519e-3811-4dd2-b35e-5df0ea93ff39", "https://tessa.gazprom-neft.local/edo/card/f477519e-3811-4dd2-b35e-5df0ea93ff39")</f>
        <v>https://tessa.gazprom-neft.local/edo/card/f477519e-3811-4dd2-b35e-5df0ea93ff39</v>
      </c>
    </row>
    <row r="2313" spans="1:45" x14ac:dyDescent="0.25">
      <c r="A2313" s="6" t="s">
        <v>44</v>
      </c>
      <c r="B2313" s="7" t="s">
        <v>2291</v>
      </c>
      <c r="C2313" s="7" t="s">
        <v>67</v>
      </c>
      <c r="D2313" s="8">
        <v>44449</v>
      </c>
      <c r="E2313" s="8" t="s">
        <v>0</v>
      </c>
      <c r="F2313" s="16" t="s">
        <v>2292</v>
      </c>
      <c r="G2313" s="7" t="s">
        <v>2293</v>
      </c>
      <c r="H2313" s="7" t="s">
        <v>6272</v>
      </c>
      <c r="I2313" s="7" t="s">
        <v>0</v>
      </c>
      <c r="J2313" s="7" t="s">
        <v>271</v>
      </c>
      <c r="K2313" s="7" t="s">
        <v>47</v>
      </c>
      <c r="L2313" s="7" t="s">
        <v>48</v>
      </c>
      <c r="M2313" s="7" t="s">
        <v>0</v>
      </c>
      <c r="N2313" s="7" t="s">
        <v>7409</v>
      </c>
      <c r="O2313" s="7" t="s">
        <v>0</v>
      </c>
      <c r="P2313" s="7" t="s">
        <v>7410</v>
      </c>
      <c r="Q2313" s="7" t="s">
        <v>7411</v>
      </c>
      <c r="R2313" s="7" t="s">
        <v>1829</v>
      </c>
      <c r="S2313" s="7" t="s">
        <v>1829</v>
      </c>
      <c r="T2313" s="7" t="s">
        <v>54</v>
      </c>
      <c r="U2313" s="7" t="s">
        <v>307</v>
      </c>
      <c r="V2313" s="7" t="s">
        <v>382</v>
      </c>
      <c r="W2313" s="7" t="s">
        <v>57</v>
      </c>
      <c r="X2313" s="7" t="s">
        <v>103</v>
      </c>
      <c r="Y2313" s="8">
        <v>44449</v>
      </c>
      <c r="Z2313" s="8">
        <v>44926</v>
      </c>
      <c r="AA2313" s="7" t="s">
        <v>1656</v>
      </c>
      <c r="AB2313" s="7" t="s">
        <v>6275</v>
      </c>
      <c r="AC2313" s="7" t="s">
        <v>65</v>
      </c>
      <c r="AD2313" s="7" t="s">
        <v>80</v>
      </c>
      <c r="AE2313" s="7" t="s">
        <v>0</v>
      </c>
      <c r="AF2313" s="7" t="s">
        <v>0</v>
      </c>
      <c r="AG2313" s="7" t="s">
        <v>0</v>
      </c>
      <c r="AH2313" s="9" t="s">
        <v>0</v>
      </c>
      <c r="AI2313" s="9" t="s">
        <v>0</v>
      </c>
      <c r="AJ2313" s="9" t="s">
        <v>0</v>
      </c>
      <c r="AK2313" s="7" t="s">
        <v>61</v>
      </c>
      <c r="AL2313" s="7" t="s">
        <v>61</v>
      </c>
      <c r="AM2313" s="7" t="s">
        <v>0</v>
      </c>
      <c r="AN2313" s="7" t="s">
        <v>0</v>
      </c>
      <c r="AO2313" s="7" t="s">
        <v>0</v>
      </c>
      <c r="AP2313" s="7" t="s">
        <v>0</v>
      </c>
      <c r="AQ2313" s="7" t="s">
        <v>61</v>
      </c>
      <c r="AR2313" s="7" t="s">
        <v>0</v>
      </c>
      <c r="AS2313" s="10" t="str">
        <f>HYPERLINK("https://tessa.gazprom-neft.local/edo/card/b39f8db1-5358-47ac-b1ea-c616ee56346e", "https://tessa.gazprom-neft.local/edo/card/b39f8db1-5358-47ac-b1ea-c616ee56346e")</f>
        <v>https://tessa.gazprom-neft.local/edo/card/b39f8db1-5358-47ac-b1ea-c616ee56346e</v>
      </c>
    </row>
    <row r="2314" spans="1:45" hidden="1" x14ac:dyDescent="0.25">
      <c r="A2314" s="6" t="s">
        <v>44</v>
      </c>
      <c r="B2314" s="7" t="s">
        <v>661</v>
      </c>
      <c r="C2314" s="7" t="s">
        <v>67</v>
      </c>
      <c r="D2314" s="8">
        <v>44449</v>
      </c>
      <c r="E2314" s="8" t="s">
        <v>0</v>
      </c>
      <c r="F2314" s="16" t="s">
        <v>662</v>
      </c>
      <c r="G2314" s="7" t="s">
        <v>663</v>
      </c>
      <c r="H2314" s="7" t="s">
        <v>1426</v>
      </c>
      <c r="I2314" s="7" t="s">
        <v>0</v>
      </c>
      <c r="J2314" s="7" t="s">
        <v>51</v>
      </c>
      <c r="K2314" s="7" t="s">
        <v>47</v>
      </c>
      <c r="L2314" s="7" t="s">
        <v>1446</v>
      </c>
      <c r="M2314" s="7" t="s">
        <v>0</v>
      </c>
      <c r="N2314" s="7" t="s">
        <v>7510</v>
      </c>
      <c r="O2314" s="7" t="s">
        <v>7511</v>
      </c>
      <c r="P2314" s="7" t="s">
        <v>7512</v>
      </c>
      <c r="Q2314" s="7" t="s">
        <v>7513</v>
      </c>
      <c r="R2314" s="7" t="s">
        <v>659</v>
      </c>
      <c r="S2314" s="7" t="s">
        <v>7514</v>
      </c>
      <c r="T2314" s="7" t="s">
        <v>54</v>
      </c>
      <c r="U2314" s="7" t="s">
        <v>283</v>
      </c>
      <c r="V2314" s="7" t="s">
        <v>102</v>
      </c>
      <c r="W2314" s="7" t="s">
        <v>57</v>
      </c>
      <c r="X2314" s="7" t="s">
        <v>103</v>
      </c>
      <c r="Y2314" s="8">
        <v>44373</v>
      </c>
      <c r="Z2314" s="8">
        <v>44471</v>
      </c>
      <c r="AA2314" s="7" t="s">
        <v>6296</v>
      </c>
      <c r="AB2314" s="7" t="s">
        <v>2425</v>
      </c>
      <c r="AC2314" s="7" t="s">
        <v>79</v>
      </c>
      <c r="AD2314" s="7" t="s">
        <v>514</v>
      </c>
      <c r="AE2314" s="7" t="s">
        <v>82</v>
      </c>
      <c r="AF2314" s="7" t="s">
        <v>0</v>
      </c>
      <c r="AG2314" s="7" t="s">
        <v>0</v>
      </c>
      <c r="AH2314" s="9" t="s">
        <v>13206</v>
      </c>
      <c r="AI2314" s="9" t="s">
        <v>13207</v>
      </c>
      <c r="AJ2314" s="9" t="s">
        <v>13208</v>
      </c>
      <c r="AK2314" s="7" t="s">
        <v>61</v>
      </c>
      <c r="AL2314" s="7" t="s">
        <v>61</v>
      </c>
      <c r="AM2314" s="7" t="s">
        <v>0</v>
      </c>
      <c r="AN2314" s="7" t="s">
        <v>0</v>
      </c>
      <c r="AO2314" s="7" t="s">
        <v>0</v>
      </c>
      <c r="AP2314" s="7" t="s">
        <v>0</v>
      </c>
      <c r="AQ2314" s="7" t="s">
        <v>61</v>
      </c>
      <c r="AR2314" s="7" t="s">
        <v>0</v>
      </c>
      <c r="AS2314" s="10" t="str">
        <f>HYPERLINK("https://tessa.gazprom-neft.local/edo/card/84ad0ecd-4450-4e42-9ccd-a852ef518765", "https://tessa.gazprom-neft.local/edo/card/84ad0ecd-4450-4e42-9ccd-a852ef518765")</f>
        <v>https://tessa.gazprom-neft.local/edo/card/84ad0ecd-4450-4e42-9ccd-a852ef518765</v>
      </c>
    </row>
    <row r="2315" spans="1:45" hidden="1" x14ac:dyDescent="0.25">
      <c r="A2315" s="6" t="s">
        <v>44</v>
      </c>
      <c r="B2315" s="7" t="s">
        <v>436</v>
      </c>
      <c r="C2315" s="7" t="s">
        <v>46</v>
      </c>
      <c r="D2315" s="8">
        <v>44448</v>
      </c>
      <c r="E2315" s="8" t="s">
        <v>0</v>
      </c>
      <c r="F2315" s="16" t="s">
        <v>437</v>
      </c>
      <c r="G2315" s="7" t="s">
        <v>438</v>
      </c>
      <c r="H2315" s="7" t="s">
        <v>0</v>
      </c>
      <c r="I2315" s="7" t="s">
        <v>6579</v>
      </c>
      <c r="J2315" s="7" t="s">
        <v>6579</v>
      </c>
      <c r="K2315" s="7" t="s">
        <v>47</v>
      </c>
      <c r="L2315" s="7" t="s">
        <v>96</v>
      </c>
      <c r="M2315" s="7" t="s">
        <v>0</v>
      </c>
      <c r="N2315" s="7" t="s">
        <v>6578</v>
      </c>
      <c r="O2315" s="7" t="s">
        <v>0</v>
      </c>
      <c r="P2315" s="7" t="s">
        <v>6580</v>
      </c>
      <c r="Q2315" s="7" t="s">
        <v>6580</v>
      </c>
      <c r="R2315" s="7" t="s">
        <v>1083</v>
      </c>
      <c r="S2315" s="7" t="s">
        <v>2635</v>
      </c>
      <c r="T2315" s="7" t="s">
        <v>54</v>
      </c>
      <c r="U2315" s="7" t="s">
        <v>274</v>
      </c>
      <c r="V2315" s="7" t="s">
        <v>56</v>
      </c>
      <c r="W2315" s="7" t="s">
        <v>57</v>
      </c>
      <c r="X2315" s="7" t="s">
        <v>223</v>
      </c>
      <c r="Y2315" s="8">
        <v>44420</v>
      </c>
      <c r="Z2315" s="8" t="s">
        <v>0</v>
      </c>
      <c r="AA2315" s="7" t="s">
        <v>1251</v>
      </c>
      <c r="AB2315" s="7" t="s">
        <v>64</v>
      </c>
      <c r="AC2315" s="7" t="s">
        <v>278</v>
      </c>
      <c r="AD2315" s="7" t="s">
        <v>80</v>
      </c>
      <c r="AE2315" s="7" t="s">
        <v>82</v>
      </c>
      <c r="AF2315" s="7" t="s">
        <v>0</v>
      </c>
      <c r="AG2315" s="7" t="s">
        <v>0</v>
      </c>
      <c r="AH2315" s="9" t="s">
        <v>12899</v>
      </c>
      <c r="AI2315" s="9" t="s">
        <v>12900</v>
      </c>
      <c r="AJ2315" s="9" t="s">
        <v>12901</v>
      </c>
      <c r="AK2315" s="7" t="s">
        <v>61</v>
      </c>
      <c r="AL2315" s="7" t="s">
        <v>61</v>
      </c>
      <c r="AM2315" s="7" t="s">
        <v>0</v>
      </c>
      <c r="AN2315" s="7" t="s">
        <v>0</v>
      </c>
      <c r="AO2315" s="7" t="s">
        <v>0</v>
      </c>
      <c r="AP2315" s="7" t="s">
        <v>0</v>
      </c>
      <c r="AQ2315" s="7" t="s">
        <v>61</v>
      </c>
      <c r="AR2315" s="7" t="s">
        <v>0</v>
      </c>
      <c r="AS2315" s="10" t="str">
        <f>HYPERLINK("https://tessa.gazprom-neft.local/edo/card/18a9b223-74e1-4d9d-8c89-895f4e754e18", "https://tessa.gazprom-neft.local/edo/card/18a9b223-74e1-4d9d-8c89-895f4e754e18")</f>
        <v>https://tessa.gazprom-neft.local/edo/card/18a9b223-74e1-4d9d-8c89-895f4e754e18</v>
      </c>
    </row>
    <row r="2316" spans="1:45" hidden="1" x14ac:dyDescent="0.25">
      <c r="A2316" s="6" t="s">
        <v>44</v>
      </c>
      <c r="B2316" s="7" t="s">
        <v>1200</v>
      </c>
      <c r="C2316" s="7" t="s">
        <v>46</v>
      </c>
      <c r="D2316" s="8">
        <v>44447</v>
      </c>
      <c r="E2316" s="8" t="s">
        <v>0</v>
      </c>
      <c r="F2316" s="16" t="s">
        <v>1201</v>
      </c>
      <c r="G2316" s="7" t="s">
        <v>1202</v>
      </c>
      <c r="H2316" s="7" t="s">
        <v>0</v>
      </c>
      <c r="I2316" s="7" t="s">
        <v>7372</v>
      </c>
      <c r="J2316" s="7" t="s">
        <v>7372</v>
      </c>
      <c r="K2316" s="7" t="s">
        <v>47</v>
      </c>
      <c r="L2316" s="7" t="s">
        <v>86</v>
      </c>
      <c r="M2316" s="7" t="s">
        <v>0</v>
      </c>
      <c r="N2316" s="7" t="s">
        <v>7371</v>
      </c>
      <c r="O2316" s="7" t="s">
        <v>0</v>
      </c>
      <c r="P2316" s="7" t="s">
        <v>5794</v>
      </c>
      <c r="Q2316" s="7" t="s">
        <v>7373</v>
      </c>
      <c r="R2316" s="7" t="s">
        <v>1199</v>
      </c>
      <c r="S2316" s="7" t="s">
        <v>1199</v>
      </c>
      <c r="T2316" s="7" t="s">
        <v>54</v>
      </c>
      <c r="U2316" s="7" t="s">
        <v>605</v>
      </c>
      <c r="V2316" s="7" t="s">
        <v>382</v>
      </c>
      <c r="W2316" s="7" t="s">
        <v>57</v>
      </c>
      <c r="X2316" s="7" t="s">
        <v>58</v>
      </c>
      <c r="Y2316" s="8">
        <v>44447</v>
      </c>
      <c r="Z2316" s="8" t="s">
        <v>0</v>
      </c>
      <c r="AA2316" s="7" t="s">
        <v>1656</v>
      </c>
      <c r="AB2316" s="7" t="s">
        <v>2985</v>
      </c>
      <c r="AC2316" s="7" t="s">
        <v>79</v>
      </c>
      <c r="AD2316" s="7" t="s">
        <v>80</v>
      </c>
      <c r="AE2316" s="7" t="s">
        <v>118</v>
      </c>
      <c r="AF2316" s="7" t="s">
        <v>0</v>
      </c>
      <c r="AG2316" s="7" t="s">
        <v>0</v>
      </c>
      <c r="AH2316" s="9" t="s">
        <v>13165</v>
      </c>
      <c r="AI2316" s="9" t="s">
        <v>13165</v>
      </c>
      <c r="AJ2316" s="9">
        <v>0</v>
      </c>
      <c r="AK2316" s="7" t="s">
        <v>61</v>
      </c>
      <c r="AL2316" s="7" t="s">
        <v>61</v>
      </c>
      <c r="AM2316" s="7" t="s">
        <v>0</v>
      </c>
      <c r="AN2316" s="7" t="s">
        <v>0</v>
      </c>
      <c r="AO2316" s="7" t="s">
        <v>0</v>
      </c>
      <c r="AP2316" s="7" t="s">
        <v>0</v>
      </c>
      <c r="AQ2316" s="7" t="s">
        <v>61</v>
      </c>
      <c r="AR2316" s="7" t="s">
        <v>0</v>
      </c>
      <c r="AS2316" s="10" t="str">
        <f>HYPERLINK("https://tessa.gazprom-neft.local/edo/card/6e956fee-38d1-4629-b44d-967ea4979c6e", "https://tessa.gazprom-neft.local/edo/card/6e956fee-38d1-4629-b44d-967ea4979c6e")</f>
        <v>https://tessa.gazprom-neft.local/edo/card/6e956fee-38d1-4629-b44d-967ea4979c6e</v>
      </c>
    </row>
    <row r="2317" spans="1:45" hidden="1" x14ac:dyDescent="0.25">
      <c r="A2317" s="6" t="s">
        <v>44</v>
      </c>
      <c r="B2317" s="7" t="s">
        <v>0</v>
      </c>
      <c r="C2317" s="7" t="s">
        <v>67</v>
      </c>
      <c r="D2317" s="8">
        <v>44447</v>
      </c>
      <c r="E2317" s="8" t="s">
        <v>0</v>
      </c>
      <c r="F2317" s="16" t="s">
        <v>7392</v>
      </c>
      <c r="G2317" s="7" t="s">
        <v>0</v>
      </c>
      <c r="H2317" s="7" t="s">
        <v>0</v>
      </c>
      <c r="I2317" s="7" t="s">
        <v>261</v>
      </c>
      <c r="J2317" s="7" t="s">
        <v>261</v>
      </c>
      <c r="K2317" s="7" t="s">
        <v>47</v>
      </c>
      <c r="L2317" s="7" t="s">
        <v>96</v>
      </c>
      <c r="M2317" s="7" t="s">
        <v>0</v>
      </c>
      <c r="N2317" s="7" t="s">
        <v>7389</v>
      </c>
      <c r="O2317" s="7" t="s">
        <v>0</v>
      </c>
      <c r="P2317" s="7" t="s">
        <v>7390</v>
      </c>
      <c r="Q2317" s="7" t="s">
        <v>7391</v>
      </c>
      <c r="R2317" s="7" t="s">
        <v>198</v>
      </c>
      <c r="S2317" s="7" t="s">
        <v>198</v>
      </c>
      <c r="T2317" s="7" t="s">
        <v>54</v>
      </c>
      <c r="U2317" s="7" t="s">
        <v>199</v>
      </c>
      <c r="V2317" s="7" t="s">
        <v>211</v>
      </c>
      <c r="W2317" s="7" t="s">
        <v>57</v>
      </c>
      <c r="X2317" s="7" t="s">
        <v>103</v>
      </c>
      <c r="Y2317" s="8">
        <v>44470</v>
      </c>
      <c r="Z2317" s="8">
        <v>45657</v>
      </c>
      <c r="AA2317" s="7" t="s">
        <v>0</v>
      </c>
      <c r="AB2317" s="7" t="s">
        <v>2014</v>
      </c>
      <c r="AC2317" s="7" t="s">
        <v>79</v>
      </c>
      <c r="AD2317" s="7" t="s">
        <v>80</v>
      </c>
      <c r="AE2317" s="7" t="s">
        <v>82</v>
      </c>
      <c r="AF2317" s="7" t="s">
        <v>0</v>
      </c>
      <c r="AG2317" s="7" t="s">
        <v>0</v>
      </c>
      <c r="AH2317" s="9" t="s">
        <v>13171</v>
      </c>
      <c r="AI2317" s="9" t="s">
        <v>13172</v>
      </c>
      <c r="AJ2317" s="9" t="s">
        <v>13173</v>
      </c>
      <c r="AK2317" s="7" t="s">
        <v>61</v>
      </c>
      <c r="AL2317" s="7" t="s">
        <v>61</v>
      </c>
      <c r="AM2317" s="7" t="s">
        <v>0</v>
      </c>
      <c r="AN2317" s="7" t="s">
        <v>0</v>
      </c>
      <c r="AO2317" s="7" t="s">
        <v>0</v>
      </c>
      <c r="AP2317" s="7" t="s">
        <v>0</v>
      </c>
      <c r="AQ2317" s="7" t="s">
        <v>61</v>
      </c>
      <c r="AR2317" s="7" t="s">
        <v>0</v>
      </c>
      <c r="AS2317" s="10" t="str">
        <f>HYPERLINK("https://tessa.gazprom-neft.local/edo/card/887d7dee-50e4-4dda-8c3b-7fc794329af1", "https://tessa.gazprom-neft.local/edo/card/887d7dee-50e4-4dda-8c3b-7fc794329af1")</f>
        <v>https://tessa.gazprom-neft.local/edo/card/887d7dee-50e4-4dda-8c3b-7fc794329af1</v>
      </c>
    </row>
    <row r="2318" spans="1:45" hidden="1" x14ac:dyDescent="0.25">
      <c r="A2318" s="6" t="s">
        <v>44</v>
      </c>
      <c r="B2318" s="7" t="s">
        <v>265</v>
      </c>
      <c r="C2318" s="7" t="s">
        <v>67</v>
      </c>
      <c r="D2318" s="8">
        <v>44447</v>
      </c>
      <c r="E2318" s="8" t="s">
        <v>0</v>
      </c>
      <c r="F2318" s="16" t="s">
        <v>266</v>
      </c>
      <c r="G2318" s="7" t="s">
        <v>267</v>
      </c>
      <c r="H2318" s="7" t="s">
        <v>0</v>
      </c>
      <c r="I2318" s="7" t="s">
        <v>261</v>
      </c>
      <c r="J2318" s="7" t="s">
        <v>261</v>
      </c>
      <c r="K2318" s="7" t="s">
        <v>85</v>
      </c>
      <c r="L2318" s="7" t="s">
        <v>96</v>
      </c>
      <c r="M2318" s="7" t="s">
        <v>8197</v>
      </c>
      <c r="N2318" s="7" t="s">
        <v>8198</v>
      </c>
      <c r="O2318" s="7" t="s">
        <v>0</v>
      </c>
      <c r="P2318" s="7" t="s">
        <v>8199</v>
      </c>
      <c r="Q2318" s="7" t="s">
        <v>8200</v>
      </c>
      <c r="R2318" s="7" t="s">
        <v>1057</v>
      </c>
      <c r="S2318" s="7" t="s">
        <v>0</v>
      </c>
      <c r="T2318" s="7" t="s">
        <v>54</v>
      </c>
      <c r="U2318" s="7" t="s">
        <v>188</v>
      </c>
      <c r="V2318" s="7" t="s">
        <v>126</v>
      </c>
      <c r="W2318" s="7" t="s">
        <v>57</v>
      </c>
      <c r="X2318" s="7" t="s">
        <v>103</v>
      </c>
      <c r="Y2318" s="8">
        <v>44470</v>
      </c>
      <c r="Z2318" s="8">
        <v>45657</v>
      </c>
      <c r="AA2318" s="7" t="s">
        <v>224</v>
      </c>
      <c r="AB2318" s="7" t="s">
        <v>130</v>
      </c>
      <c r="AC2318" s="7" t="s">
        <v>79</v>
      </c>
      <c r="AD2318" s="7" t="s">
        <v>80</v>
      </c>
      <c r="AE2318" s="7" t="s">
        <v>82</v>
      </c>
      <c r="AF2318" s="7" t="s">
        <v>0</v>
      </c>
      <c r="AG2318" s="7" t="s">
        <v>0</v>
      </c>
      <c r="AH2318" s="9" t="s">
        <v>13171</v>
      </c>
      <c r="AI2318" s="9" t="s">
        <v>13172</v>
      </c>
      <c r="AJ2318" s="9" t="s">
        <v>13173</v>
      </c>
      <c r="AK2318" s="7" t="s">
        <v>61</v>
      </c>
      <c r="AL2318" s="7" t="s">
        <v>61</v>
      </c>
      <c r="AM2318" s="7" t="s">
        <v>0</v>
      </c>
      <c r="AN2318" s="7" t="s">
        <v>0</v>
      </c>
      <c r="AO2318" s="7" t="s">
        <v>0</v>
      </c>
      <c r="AP2318" s="7" t="s">
        <v>0</v>
      </c>
      <c r="AQ2318" s="7" t="s">
        <v>61</v>
      </c>
      <c r="AR2318" s="7" t="s">
        <v>0</v>
      </c>
      <c r="AS2318" s="10" t="str">
        <f>HYPERLINK("https://tessa.gazprom-neft.local/edo/card/03fecd7e-dc12-4451-9507-09cef711c6c7", "https://tessa.gazprom-neft.local/edo/card/03fecd7e-dc12-4451-9507-09cef711c6c7")</f>
        <v>https://tessa.gazprom-neft.local/edo/card/03fecd7e-dc12-4451-9507-09cef711c6c7</v>
      </c>
    </row>
    <row r="2319" spans="1:45" hidden="1" x14ac:dyDescent="0.25">
      <c r="A2319" s="6" t="s">
        <v>44</v>
      </c>
      <c r="B2319" s="7" t="s">
        <v>2982</v>
      </c>
      <c r="C2319" s="7" t="s">
        <v>46</v>
      </c>
      <c r="D2319" s="8">
        <v>44446</v>
      </c>
      <c r="E2319" s="8" t="s">
        <v>0</v>
      </c>
      <c r="F2319" s="16" t="s">
        <v>2983</v>
      </c>
      <c r="G2319" s="7" t="s">
        <v>2984</v>
      </c>
      <c r="H2319" s="7" t="s">
        <v>0</v>
      </c>
      <c r="I2319" s="7" t="s">
        <v>7027</v>
      </c>
      <c r="J2319" s="7" t="s">
        <v>7027</v>
      </c>
      <c r="K2319" s="7" t="s">
        <v>85</v>
      </c>
      <c r="L2319" s="7" t="s">
        <v>86</v>
      </c>
      <c r="M2319" s="7" t="s">
        <v>2316</v>
      </c>
      <c r="N2319" s="7" t="s">
        <v>7026</v>
      </c>
      <c r="O2319" s="7" t="s">
        <v>0</v>
      </c>
      <c r="P2319" s="7" t="s">
        <v>2316</v>
      </c>
      <c r="Q2319" s="7" t="s">
        <v>372</v>
      </c>
      <c r="R2319" s="7" t="s">
        <v>187</v>
      </c>
      <c r="S2319" s="7" t="s">
        <v>187</v>
      </c>
      <c r="T2319" s="7" t="s">
        <v>54</v>
      </c>
      <c r="U2319" s="7" t="s">
        <v>188</v>
      </c>
      <c r="V2319" s="7" t="s">
        <v>340</v>
      </c>
      <c r="W2319" s="7" t="s">
        <v>57</v>
      </c>
      <c r="X2319" s="7" t="s">
        <v>58</v>
      </c>
      <c r="Y2319" s="8">
        <v>44446</v>
      </c>
      <c r="Z2319" s="8" t="s">
        <v>0</v>
      </c>
      <c r="AA2319" s="7" t="s">
        <v>1115</v>
      </c>
      <c r="AB2319" s="7" t="s">
        <v>328</v>
      </c>
      <c r="AC2319" s="7" t="s">
        <v>65</v>
      </c>
      <c r="AD2319" s="7" t="s">
        <v>0</v>
      </c>
      <c r="AE2319" s="7" t="s">
        <v>0</v>
      </c>
      <c r="AF2319" s="7" t="s">
        <v>0</v>
      </c>
      <c r="AG2319" s="7" t="s">
        <v>0</v>
      </c>
      <c r="AH2319" s="9" t="s">
        <v>0</v>
      </c>
      <c r="AI2319" s="9" t="s">
        <v>0</v>
      </c>
      <c r="AJ2319" s="9" t="s">
        <v>0</v>
      </c>
      <c r="AK2319" s="7" t="s">
        <v>61</v>
      </c>
      <c r="AL2319" s="7" t="s">
        <v>61</v>
      </c>
      <c r="AM2319" s="7" t="s">
        <v>0</v>
      </c>
      <c r="AN2319" s="7" t="s">
        <v>0</v>
      </c>
      <c r="AO2319" s="7" t="s">
        <v>0</v>
      </c>
      <c r="AP2319" s="7" t="s">
        <v>0</v>
      </c>
      <c r="AQ2319" s="7" t="s">
        <v>61</v>
      </c>
      <c r="AR2319" s="7" t="s">
        <v>0</v>
      </c>
      <c r="AS2319" s="10" t="str">
        <f>HYPERLINK("https://tessa.gazprom-neft.local/edo/card/4e46e860-77fa-4bbb-b4b2-426745d21c1b", "https://tessa.gazprom-neft.local/edo/card/4e46e860-77fa-4bbb-b4b2-426745d21c1b")</f>
        <v>https://tessa.gazprom-neft.local/edo/card/4e46e860-77fa-4bbb-b4b2-426745d21c1b</v>
      </c>
    </row>
    <row r="2320" spans="1:45" hidden="1" x14ac:dyDescent="0.25">
      <c r="A2320" s="6" t="s">
        <v>44</v>
      </c>
      <c r="B2320" s="7" t="s">
        <v>0</v>
      </c>
      <c r="C2320" s="7" t="s">
        <v>67</v>
      </c>
      <c r="D2320" s="8">
        <v>44446</v>
      </c>
      <c r="E2320" s="8" t="s">
        <v>0</v>
      </c>
      <c r="F2320" s="16" t="s">
        <v>7362</v>
      </c>
      <c r="G2320" s="7" t="s">
        <v>0</v>
      </c>
      <c r="H2320" s="7" t="s">
        <v>0</v>
      </c>
      <c r="I2320" s="7" t="s">
        <v>7360</v>
      </c>
      <c r="J2320" s="7" t="s">
        <v>7360</v>
      </c>
      <c r="K2320" s="7" t="s">
        <v>85</v>
      </c>
      <c r="L2320" s="7" t="s">
        <v>86</v>
      </c>
      <c r="M2320" s="7" t="s">
        <v>83</v>
      </c>
      <c r="N2320" s="7" t="s">
        <v>7359</v>
      </c>
      <c r="O2320" s="7" t="s">
        <v>0</v>
      </c>
      <c r="P2320" s="7" t="s">
        <v>83</v>
      </c>
      <c r="Q2320" s="7" t="s">
        <v>7361</v>
      </c>
      <c r="R2320" s="7" t="s">
        <v>898</v>
      </c>
      <c r="S2320" s="7" t="s">
        <v>898</v>
      </c>
      <c r="T2320" s="7" t="s">
        <v>54</v>
      </c>
      <c r="U2320" s="7" t="s">
        <v>899</v>
      </c>
      <c r="V2320" s="7" t="s">
        <v>137</v>
      </c>
      <c r="W2320" s="7" t="s">
        <v>57</v>
      </c>
      <c r="X2320" s="7" t="s">
        <v>103</v>
      </c>
      <c r="Y2320" s="8">
        <v>44446</v>
      </c>
      <c r="Z2320" s="8">
        <v>45566</v>
      </c>
      <c r="AA2320" s="7" t="s">
        <v>0</v>
      </c>
      <c r="AB2320" s="7" t="s">
        <v>94</v>
      </c>
      <c r="AC2320" s="7" t="s">
        <v>65</v>
      </c>
      <c r="AD2320" s="7" t="s">
        <v>0</v>
      </c>
      <c r="AE2320" s="7" t="s">
        <v>0</v>
      </c>
      <c r="AF2320" s="7" t="s">
        <v>0</v>
      </c>
      <c r="AG2320" s="7" t="s">
        <v>0</v>
      </c>
      <c r="AH2320" s="9" t="s">
        <v>0</v>
      </c>
      <c r="AI2320" s="9" t="s">
        <v>0</v>
      </c>
      <c r="AJ2320" s="9" t="s">
        <v>0</v>
      </c>
      <c r="AK2320" s="7" t="s">
        <v>61</v>
      </c>
      <c r="AL2320" s="7" t="s">
        <v>61</v>
      </c>
      <c r="AM2320" s="7" t="s">
        <v>0</v>
      </c>
      <c r="AN2320" s="7" t="s">
        <v>0</v>
      </c>
      <c r="AO2320" s="7" t="s">
        <v>0</v>
      </c>
      <c r="AP2320" s="7" t="s">
        <v>0</v>
      </c>
      <c r="AQ2320" s="7" t="s">
        <v>61</v>
      </c>
      <c r="AR2320" s="7" t="s">
        <v>0</v>
      </c>
      <c r="AS2320" s="10" t="str">
        <f>HYPERLINK("https://tessa.gazprom-neft.local/edo/card/a0eb458b-0bef-4e22-9b48-4bf236cf4444", "https://tessa.gazprom-neft.local/edo/card/a0eb458b-0bef-4e22-9b48-4bf236cf4444")</f>
        <v>https://tessa.gazprom-neft.local/edo/card/a0eb458b-0bef-4e22-9b48-4bf236cf4444</v>
      </c>
    </row>
    <row r="2321" spans="1:45" hidden="1" x14ac:dyDescent="0.25">
      <c r="A2321" s="6" t="s">
        <v>44</v>
      </c>
      <c r="B2321" s="7" t="s">
        <v>606</v>
      </c>
      <c r="C2321" s="7" t="s">
        <v>67</v>
      </c>
      <c r="D2321" s="8">
        <v>44445</v>
      </c>
      <c r="E2321" s="8" t="s">
        <v>0</v>
      </c>
      <c r="F2321" s="16" t="s">
        <v>607</v>
      </c>
      <c r="G2321" s="7" t="s">
        <v>608</v>
      </c>
      <c r="H2321" s="7" t="s">
        <v>600</v>
      </c>
      <c r="I2321" s="7" t="s">
        <v>0</v>
      </c>
      <c r="J2321" s="7" t="s">
        <v>2667</v>
      </c>
      <c r="K2321" s="7" t="s">
        <v>47</v>
      </c>
      <c r="L2321" s="7" t="s">
        <v>239</v>
      </c>
      <c r="M2321" s="7" t="s">
        <v>0</v>
      </c>
      <c r="N2321" s="7" t="s">
        <v>6648</v>
      </c>
      <c r="O2321" s="7" t="s">
        <v>0</v>
      </c>
      <c r="P2321" s="7" t="s">
        <v>6649</v>
      </c>
      <c r="Q2321" s="7" t="s">
        <v>6650</v>
      </c>
      <c r="R2321" s="7" t="s">
        <v>604</v>
      </c>
      <c r="S2321" s="7" t="s">
        <v>604</v>
      </c>
      <c r="T2321" s="7" t="s">
        <v>54</v>
      </c>
      <c r="U2321" s="7" t="s">
        <v>605</v>
      </c>
      <c r="V2321" s="7" t="s">
        <v>382</v>
      </c>
      <c r="W2321" s="7" t="s">
        <v>57</v>
      </c>
      <c r="X2321" s="7" t="s">
        <v>103</v>
      </c>
      <c r="Y2321" s="8">
        <v>44445</v>
      </c>
      <c r="Z2321" s="8">
        <v>44651</v>
      </c>
      <c r="AA2321" s="7" t="s">
        <v>1656</v>
      </c>
      <c r="AB2321" s="7" t="s">
        <v>888</v>
      </c>
      <c r="AC2321" s="7" t="s">
        <v>79</v>
      </c>
      <c r="AD2321" s="7" t="s">
        <v>144</v>
      </c>
      <c r="AE2321" s="7" t="s">
        <v>82</v>
      </c>
      <c r="AF2321" s="7" t="s">
        <v>0</v>
      </c>
      <c r="AG2321" s="7" t="s">
        <v>0</v>
      </c>
      <c r="AH2321" s="9" t="s">
        <v>12915</v>
      </c>
      <c r="AI2321" s="9" t="s">
        <v>12916</v>
      </c>
      <c r="AJ2321" s="9" t="s">
        <v>12917</v>
      </c>
      <c r="AK2321" s="7" t="s">
        <v>61</v>
      </c>
      <c r="AL2321" s="7" t="s">
        <v>61</v>
      </c>
      <c r="AM2321" s="7" t="s">
        <v>0</v>
      </c>
      <c r="AN2321" s="7" t="s">
        <v>0</v>
      </c>
      <c r="AO2321" s="7" t="s">
        <v>0</v>
      </c>
      <c r="AP2321" s="7" t="s">
        <v>0</v>
      </c>
      <c r="AQ2321" s="7" t="s">
        <v>61</v>
      </c>
      <c r="AR2321" s="7" t="s">
        <v>0</v>
      </c>
      <c r="AS2321" s="10" t="str">
        <f>HYPERLINK("https://tessa.gazprom-neft.local/edo/card/f9bc4120-fb5c-4a2c-82f7-0b52b92127ba", "https://tessa.gazprom-neft.local/edo/card/f9bc4120-fb5c-4a2c-82f7-0b52b92127ba")</f>
        <v>https://tessa.gazprom-neft.local/edo/card/f9bc4120-fb5c-4a2c-82f7-0b52b92127ba</v>
      </c>
    </row>
    <row r="2322" spans="1:45" hidden="1" x14ac:dyDescent="0.25">
      <c r="A2322" s="6" t="s">
        <v>44</v>
      </c>
      <c r="B2322" s="7" t="s">
        <v>1101</v>
      </c>
      <c r="C2322" s="7" t="s">
        <v>67</v>
      </c>
      <c r="D2322" s="8">
        <v>44445</v>
      </c>
      <c r="E2322" s="8" t="s">
        <v>0</v>
      </c>
      <c r="F2322" s="16" t="s">
        <v>1102</v>
      </c>
      <c r="G2322" s="7" t="s">
        <v>1103</v>
      </c>
      <c r="H2322" s="7" t="s">
        <v>0</v>
      </c>
      <c r="I2322" s="7" t="s">
        <v>2522</v>
      </c>
      <c r="J2322" s="7" t="s">
        <v>2522</v>
      </c>
      <c r="K2322" s="7" t="s">
        <v>85</v>
      </c>
      <c r="L2322" s="7" t="s">
        <v>96</v>
      </c>
      <c r="M2322" s="7" t="s">
        <v>7089</v>
      </c>
      <c r="N2322" s="7" t="s">
        <v>7090</v>
      </c>
      <c r="O2322" s="7" t="s">
        <v>0</v>
      </c>
      <c r="P2322" s="7" t="s">
        <v>7091</v>
      </c>
      <c r="Q2322" s="7" t="s">
        <v>7092</v>
      </c>
      <c r="R2322" s="7" t="s">
        <v>2732</v>
      </c>
      <c r="S2322" s="7" t="s">
        <v>339</v>
      </c>
      <c r="T2322" s="7" t="s">
        <v>54</v>
      </c>
      <c r="U2322" s="7" t="s">
        <v>303</v>
      </c>
      <c r="V2322" s="7" t="s">
        <v>91</v>
      </c>
      <c r="W2322" s="7" t="s">
        <v>57</v>
      </c>
      <c r="X2322" s="7" t="s">
        <v>103</v>
      </c>
      <c r="Y2322" s="8">
        <v>44470</v>
      </c>
      <c r="Z2322" s="8">
        <v>44985</v>
      </c>
      <c r="AA2322" s="7" t="s">
        <v>7093</v>
      </c>
      <c r="AB2322" s="7" t="s">
        <v>64</v>
      </c>
      <c r="AC2322" s="7" t="s">
        <v>79</v>
      </c>
      <c r="AD2322" s="7" t="s">
        <v>144</v>
      </c>
      <c r="AE2322" s="7" t="s">
        <v>118</v>
      </c>
      <c r="AF2322" s="7" t="s">
        <v>0</v>
      </c>
      <c r="AG2322" s="7" t="s">
        <v>0</v>
      </c>
      <c r="AH2322" s="9" t="s">
        <v>13059</v>
      </c>
      <c r="AI2322" s="9" t="s">
        <v>13059</v>
      </c>
      <c r="AJ2322" s="9">
        <v>0</v>
      </c>
      <c r="AK2322" s="7" t="s">
        <v>61</v>
      </c>
      <c r="AL2322" s="7" t="s">
        <v>61</v>
      </c>
      <c r="AM2322" s="7" t="s">
        <v>0</v>
      </c>
      <c r="AN2322" s="7" t="s">
        <v>0</v>
      </c>
      <c r="AO2322" s="7" t="s">
        <v>0</v>
      </c>
      <c r="AP2322" s="7" t="s">
        <v>0</v>
      </c>
      <c r="AQ2322" s="7" t="s">
        <v>61</v>
      </c>
      <c r="AR2322" s="7" t="s">
        <v>0</v>
      </c>
      <c r="AS2322" s="10" t="str">
        <f>HYPERLINK("https://tessa.gazprom-neft.local/edo/card/f40ecd75-e662-45c1-8d90-a36637e160d5", "https://tessa.gazprom-neft.local/edo/card/f40ecd75-e662-45c1-8d90-a36637e160d5")</f>
        <v>https://tessa.gazprom-neft.local/edo/card/f40ecd75-e662-45c1-8d90-a36637e160d5</v>
      </c>
    </row>
    <row r="2323" spans="1:45" hidden="1" x14ac:dyDescent="0.25">
      <c r="A2323" s="6" t="s">
        <v>44</v>
      </c>
      <c r="B2323" s="7" t="s">
        <v>1101</v>
      </c>
      <c r="C2323" s="7" t="s">
        <v>67</v>
      </c>
      <c r="D2323" s="8">
        <v>44445</v>
      </c>
      <c r="E2323" s="8" t="s">
        <v>0</v>
      </c>
      <c r="F2323" s="16" t="s">
        <v>1102</v>
      </c>
      <c r="G2323" s="7" t="s">
        <v>1103</v>
      </c>
      <c r="H2323" s="7" t="s">
        <v>0</v>
      </c>
      <c r="I2323" s="7" t="s">
        <v>9046</v>
      </c>
      <c r="J2323" s="7" t="s">
        <v>9046</v>
      </c>
      <c r="K2323" s="7" t="s">
        <v>85</v>
      </c>
      <c r="L2323" s="7" t="s">
        <v>86</v>
      </c>
      <c r="M2323" s="7" t="s">
        <v>83</v>
      </c>
      <c r="N2323" s="7" t="s">
        <v>9045</v>
      </c>
      <c r="O2323" s="7" t="s">
        <v>0</v>
      </c>
      <c r="P2323" s="7" t="s">
        <v>83</v>
      </c>
      <c r="Q2323" s="7" t="s">
        <v>9047</v>
      </c>
      <c r="R2323" s="7" t="s">
        <v>513</v>
      </c>
      <c r="S2323" s="7" t="s">
        <v>513</v>
      </c>
      <c r="T2323" s="7" t="s">
        <v>54</v>
      </c>
      <c r="U2323" s="7" t="s">
        <v>303</v>
      </c>
      <c r="V2323" s="7" t="s">
        <v>137</v>
      </c>
      <c r="W2323" s="7" t="s">
        <v>57</v>
      </c>
      <c r="X2323" s="7" t="s">
        <v>103</v>
      </c>
      <c r="Y2323" s="8">
        <v>44445</v>
      </c>
      <c r="Z2323" s="8">
        <v>44985</v>
      </c>
      <c r="AA2323" s="7" t="s">
        <v>0</v>
      </c>
      <c r="AB2323" s="7" t="s">
        <v>94</v>
      </c>
      <c r="AC2323" s="7" t="s">
        <v>65</v>
      </c>
      <c r="AD2323" s="7" t="s">
        <v>0</v>
      </c>
      <c r="AE2323" s="7" t="s">
        <v>0</v>
      </c>
      <c r="AF2323" s="7" t="s">
        <v>0</v>
      </c>
      <c r="AG2323" s="7" t="s">
        <v>0</v>
      </c>
      <c r="AH2323" s="9" t="s">
        <v>0</v>
      </c>
      <c r="AI2323" s="9" t="s">
        <v>0</v>
      </c>
      <c r="AJ2323" s="9" t="s">
        <v>0</v>
      </c>
      <c r="AK2323" s="7" t="s">
        <v>61</v>
      </c>
      <c r="AL2323" s="7" t="s">
        <v>61</v>
      </c>
      <c r="AM2323" s="7" t="s">
        <v>0</v>
      </c>
      <c r="AN2323" s="7" t="s">
        <v>0</v>
      </c>
      <c r="AO2323" s="7" t="s">
        <v>0</v>
      </c>
      <c r="AP2323" s="7" t="s">
        <v>0</v>
      </c>
      <c r="AQ2323" s="7" t="s">
        <v>61</v>
      </c>
      <c r="AR2323" s="7" t="s">
        <v>0</v>
      </c>
      <c r="AS2323" s="10" t="str">
        <f>HYPERLINK("https://tessa.gazprom-neft.local/edo/card/1a9eea81-8a6b-421d-a8a2-e5e8fd6bedec", "https://tessa.gazprom-neft.local/edo/card/1a9eea81-8a6b-421d-a8a2-e5e8fd6bedec")</f>
        <v>https://tessa.gazprom-neft.local/edo/card/1a9eea81-8a6b-421d-a8a2-e5e8fd6bedec</v>
      </c>
    </row>
    <row r="2324" spans="1:45" hidden="1" x14ac:dyDescent="0.25">
      <c r="A2324" s="6" t="s">
        <v>44</v>
      </c>
      <c r="B2324" s="7" t="s">
        <v>1101</v>
      </c>
      <c r="C2324" s="7" t="s">
        <v>67</v>
      </c>
      <c r="D2324" s="8">
        <v>44445</v>
      </c>
      <c r="E2324" s="8" t="s">
        <v>0</v>
      </c>
      <c r="F2324" s="16" t="s">
        <v>1102</v>
      </c>
      <c r="G2324" s="7" t="s">
        <v>1103</v>
      </c>
      <c r="H2324" s="7" t="s">
        <v>0</v>
      </c>
      <c r="I2324" s="7" t="s">
        <v>9053</v>
      </c>
      <c r="J2324" s="7" t="s">
        <v>9053</v>
      </c>
      <c r="K2324" s="7" t="s">
        <v>47</v>
      </c>
      <c r="L2324" s="7" t="s">
        <v>96</v>
      </c>
      <c r="M2324" s="7" t="s">
        <v>0</v>
      </c>
      <c r="N2324" s="7" t="s">
        <v>9052</v>
      </c>
      <c r="O2324" s="7" t="s">
        <v>0</v>
      </c>
      <c r="P2324" s="7" t="s">
        <v>9054</v>
      </c>
      <c r="Q2324" s="7" t="s">
        <v>2686</v>
      </c>
      <c r="R2324" s="7" t="s">
        <v>513</v>
      </c>
      <c r="S2324" s="7" t="s">
        <v>513</v>
      </c>
      <c r="T2324" s="7" t="s">
        <v>54</v>
      </c>
      <c r="U2324" s="7" t="s">
        <v>303</v>
      </c>
      <c r="V2324" s="7" t="s">
        <v>91</v>
      </c>
      <c r="W2324" s="7" t="s">
        <v>57</v>
      </c>
      <c r="X2324" s="7" t="s">
        <v>103</v>
      </c>
      <c r="Y2324" s="8">
        <v>44445</v>
      </c>
      <c r="Z2324" s="8">
        <v>44985</v>
      </c>
      <c r="AA2324" s="7" t="s">
        <v>7093</v>
      </c>
      <c r="AB2324" s="7" t="s">
        <v>5049</v>
      </c>
      <c r="AC2324" s="7" t="s">
        <v>65</v>
      </c>
      <c r="AD2324" s="7" t="s">
        <v>0</v>
      </c>
      <c r="AE2324" s="7" t="s">
        <v>0</v>
      </c>
      <c r="AF2324" s="7" t="s">
        <v>0</v>
      </c>
      <c r="AG2324" s="7" t="s">
        <v>0</v>
      </c>
      <c r="AH2324" s="9" t="s">
        <v>0</v>
      </c>
      <c r="AI2324" s="9" t="s">
        <v>0</v>
      </c>
      <c r="AJ2324" s="9" t="s">
        <v>0</v>
      </c>
      <c r="AK2324" s="7" t="s">
        <v>61</v>
      </c>
      <c r="AL2324" s="7" t="s">
        <v>61</v>
      </c>
      <c r="AM2324" s="7" t="s">
        <v>0</v>
      </c>
      <c r="AN2324" s="7" t="s">
        <v>0</v>
      </c>
      <c r="AO2324" s="7" t="s">
        <v>0</v>
      </c>
      <c r="AP2324" s="7" t="s">
        <v>0</v>
      </c>
      <c r="AQ2324" s="7" t="s">
        <v>61</v>
      </c>
      <c r="AR2324" s="7" t="s">
        <v>0</v>
      </c>
      <c r="AS2324" s="10" t="str">
        <f>HYPERLINK("https://tessa.gazprom-neft.local/edo/card/624c744d-f0b3-432f-919b-ec0652100179", "https://tessa.gazprom-neft.local/edo/card/624c744d-f0b3-432f-919b-ec0652100179")</f>
        <v>https://tessa.gazprom-neft.local/edo/card/624c744d-f0b3-432f-919b-ec0652100179</v>
      </c>
    </row>
    <row r="2325" spans="1:45" x14ac:dyDescent="0.25">
      <c r="A2325" s="6" t="s">
        <v>44</v>
      </c>
      <c r="B2325" s="7" t="s">
        <v>737</v>
      </c>
      <c r="C2325" s="7" t="s">
        <v>67</v>
      </c>
      <c r="D2325" s="8">
        <v>44441</v>
      </c>
      <c r="E2325" s="8" t="s">
        <v>0</v>
      </c>
      <c r="F2325" s="16" t="s">
        <v>738</v>
      </c>
      <c r="G2325" s="7" t="s">
        <v>739</v>
      </c>
      <c r="H2325" s="7" t="s">
        <v>2730</v>
      </c>
      <c r="I2325" s="7" t="s">
        <v>0</v>
      </c>
      <c r="J2325" s="7" t="s">
        <v>271</v>
      </c>
      <c r="K2325" s="7" t="s">
        <v>47</v>
      </c>
      <c r="L2325" s="7" t="s">
        <v>48</v>
      </c>
      <c r="M2325" s="7" t="s">
        <v>0</v>
      </c>
      <c r="N2325" s="7" t="s">
        <v>7285</v>
      </c>
      <c r="O2325" s="7" t="s">
        <v>0</v>
      </c>
      <c r="P2325" s="7" t="s">
        <v>7286</v>
      </c>
      <c r="Q2325" s="7" t="s">
        <v>2963</v>
      </c>
      <c r="R2325" s="7" t="s">
        <v>898</v>
      </c>
      <c r="S2325" s="7" t="s">
        <v>898</v>
      </c>
      <c r="T2325" s="7" t="s">
        <v>54</v>
      </c>
      <c r="U2325" s="7" t="s">
        <v>899</v>
      </c>
      <c r="V2325" s="7" t="s">
        <v>211</v>
      </c>
      <c r="W2325" s="7" t="s">
        <v>57</v>
      </c>
      <c r="X2325" s="7" t="s">
        <v>103</v>
      </c>
      <c r="Y2325" s="8">
        <v>44441</v>
      </c>
      <c r="Z2325" s="8">
        <v>44561</v>
      </c>
      <c r="AA2325" s="7" t="s">
        <v>0</v>
      </c>
      <c r="AB2325" s="7" t="s">
        <v>2733</v>
      </c>
      <c r="AC2325" s="7" t="s">
        <v>65</v>
      </c>
      <c r="AD2325" s="7" t="s">
        <v>80</v>
      </c>
      <c r="AE2325" s="7" t="s">
        <v>0</v>
      </c>
      <c r="AF2325" s="7" t="s">
        <v>0</v>
      </c>
      <c r="AG2325" s="7" t="s">
        <v>0</v>
      </c>
      <c r="AH2325" s="9" t="s">
        <v>0</v>
      </c>
      <c r="AI2325" s="9" t="s">
        <v>0</v>
      </c>
      <c r="AJ2325" s="9" t="s">
        <v>0</v>
      </c>
      <c r="AK2325" s="7" t="s">
        <v>61</v>
      </c>
      <c r="AL2325" s="7" t="s">
        <v>61</v>
      </c>
      <c r="AM2325" s="7" t="s">
        <v>0</v>
      </c>
      <c r="AN2325" s="7" t="s">
        <v>0</v>
      </c>
      <c r="AO2325" s="7" t="s">
        <v>0</v>
      </c>
      <c r="AP2325" s="7" t="s">
        <v>0</v>
      </c>
      <c r="AQ2325" s="7" t="s">
        <v>61</v>
      </c>
      <c r="AR2325" s="7" t="s">
        <v>0</v>
      </c>
      <c r="AS2325" s="10" t="str">
        <f>HYPERLINK("https://tessa.gazprom-neft.local/edo/card/9f96ae79-1115-4f9e-845d-10e7f1306b96", "https://tessa.gazprom-neft.local/edo/card/9f96ae79-1115-4f9e-845d-10e7f1306b96")</f>
        <v>https://tessa.gazprom-neft.local/edo/card/9f96ae79-1115-4f9e-845d-10e7f1306b96</v>
      </c>
    </row>
    <row r="2326" spans="1:45" hidden="1" x14ac:dyDescent="0.25">
      <c r="A2326" s="6" t="s">
        <v>44</v>
      </c>
      <c r="B2326" s="7" t="s">
        <v>1684</v>
      </c>
      <c r="C2326" s="7" t="s">
        <v>67</v>
      </c>
      <c r="D2326" s="8">
        <v>44440</v>
      </c>
      <c r="E2326" s="8" t="s">
        <v>0</v>
      </c>
      <c r="F2326" s="16" t="s">
        <v>1685</v>
      </c>
      <c r="G2326" s="7" t="s">
        <v>1686</v>
      </c>
      <c r="H2326" s="7" t="s">
        <v>2007</v>
      </c>
      <c r="I2326" s="7" t="s">
        <v>0</v>
      </c>
      <c r="J2326" s="7" t="s">
        <v>355</v>
      </c>
      <c r="K2326" s="7" t="s">
        <v>47</v>
      </c>
      <c r="L2326" s="7" t="s">
        <v>493</v>
      </c>
      <c r="M2326" s="7" t="s">
        <v>0</v>
      </c>
      <c r="N2326" s="7" t="s">
        <v>2006</v>
      </c>
      <c r="O2326" s="7" t="s">
        <v>0</v>
      </c>
      <c r="P2326" s="7" t="s">
        <v>2008</v>
      </c>
      <c r="Q2326" s="7" t="s">
        <v>2009</v>
      </c>
      <c r="R2326" s="7" t="s">
        <v>1120</v>
      </c>
      <c r="S2326" s="7" t="s">
        <v>2010</v>
      </c>
      <c r="T2326" s="7" t="s">
        <v>54</v>
      </c>
      <c r="U2326" s="7" t="s">
        <v>294</v>
      </c>
      <c r="V2326" s="7" t="s">
        <v>295</v>
      </c>
      <c r="W2326" s="7" t="s">
        <v>57</v>
      </c>
      <c r="X2326" s="7" t="s">
        <v>58</v>
      </c>
      <c r="Y2326" s="8">
        <v>44440</v>
      </c>
      <c r="Z2326" s="8" t="s">
        <v>0</v>
      </c>
      <c r="AA2326" s="7" t="s">
        <v>1269</v>
      </c>
      <c r="AB2326" s="7" t="s">
        <v>500</v>
      </c>
      <c r="AC2326" s="7" t="s">
        <v>278</v>
      </c>
      <c r="AD2326" s="7" t="s">
        <v>80</v>
      </c>
      <c r="AE2326" s="7" t="s">
        <v>82</v>
      </c>
      <c r="AF2326" s="7" t="s">
        <v>0</v>
      </c>
      <c r="AG2326" s="7" t="s">
        <v>0</v>
      </c>
      <c r="AH2326" s="9" t="s">
        <v>11213</v>
      </c>
      <c r="AI2326" s="9" t="s">
        <v>11214</v>
      </c>
      <c r="AJ2326" s="9" t="s">
        <v>11215</v>
      </c>
      <c r="AK2326" s="7" t="s">
        <v>61</v>
      </c>
      <c r="AL2326" s="7" t="s">
        <v>61</v>
      </c>
      <c r="AM2326" s="7" t="s">
        <v>0</v>
      </c>
      <c r="AN2326" s="7" t="s">
        <v>0</v>
      </c>
      <c r="AO2326" s="7" t="s">
        <v>0</v>
      </c>
      <c r="AP2326" s="7" t="s">
        <v>0</v>
      </c>
      <c r="AQ2326" s="7" t="s">
        <v>61</v>
      </c>
      <c r="AR2326" s="7" t="s">
        <v>0</v>
      </c>
      <c r="AS2326" s="10" t="str">
        <f>HYPERLINK("https://tessa.gazprom-neft.local/edo/card/2677e278-743a-4062-b1fd-80f12e96953f", "https://tessa.gazprom-neft.local/edo/card/2677e278-743a-4062-b1fd-80f12e96953f")</f>
        <v>https://tessa.gazprom-neft.local/edo/card/2677e278-743a-4062-b1fd-80f12e96953f</v>
      </c>
    </row>
    <row r="2327" spans="1:45" hidden="1" x14ac:dyDescent="0.25">
      <c r="A2327" s="6" t="s">
        <v>44</v>
      </c>
      <c r="B2327" s="7" t="s">
        <v>606</v>
      </c>
      <c r="C2327" s="7" t="s">
        <v>67</v>
      </c>
      <c r="D2327" s="8">
        <v>44440</v>
      </c>
      <c r="E2327" s="8" t="s">
        <v>0</v>
      </c>
      <c r="F2327" s="16" t="s">
        <v>607</v>
      </c>
      <c r="G2327" s="7" t="s">
        <v>608</v>
      </c>
      <c r="H2327" s="7" t="s">
        <v>600</v>
      </c>
      <c r="I2327" s="7" t="s">
        <v>0</v>
      </c>
      <c r="J2327" s="7" t="s">
        <v>6358</v>
      </c>
      <c r="K2327" s="7" t="s">
        <v>47</v>
      </c>
      <c r="L2327" s="7" t="s">
        <v>239</v>
      </c>
      <c r="M2327" s="7" t="s">
        <v>0</v>
      </c>
      <c r="N2327" s="7" t="s">
        <v>6356</v>
      </c>
      <c r="O2327" s="7" t="s">
        <v>0</v>
      </c>
      <c r="P2327" s="7" t="s">
        <v>6357</v>
      </c>
      <c r="Q2327" s="7" t="s">
        <v>6359</v>
      </c>
      <c r="R2327" s="7" t="s">
        <v>604</v>
      </c>
      <c r="S2327" s="7" t="s">
        <v>604</v>
      </c>
      <c r="T2327" s="7" t="s">
        <v>54</v>
      </c>
      <c r="U2327" s="7" t="s">
        <v>605</v>
      </c>
      <c r="V2327" s="7" t="s">
        <v>382</v>
      </c>
      <c r="W2327" s="7" t="s">
        <v>57</v>
      </c>
      <c r="X2327" s="7" t="s">
        <v>103</v>
      </c>
      <c r="Y2327" s="8">
        <v>44440</v>
      </c>
      <c r="Z2327" s="8">
        <v>44926</v>
      </c>
      <c r="AA2327" s="7" t="s">
        <v>1656</v>
      </c>
      <c r="AB2327" s="7" t="s">
        <v>888</v>
      </c>
      <c r="AC2327" s="7" t="s">
        <v>79</v>
      </c>
      <c r="AD2327" s="7" t="s">
        <v>144</v>
      </c>
      <c r="AE2327" s="7" t="s">
        <v>472</v>
      </c>
      <c r="AF2327" s="7" t="s">
        <v>2488</v>
      </c>
      <c r="AG2327" s="7" t="s">
        <v>0</v>
      </c>
      <c r="AH2327" s="9" t="s">
        <v>12820</v>
      </c>
      <c r="AI2327" s="9" t="s">
        <v>12821</v>
      </c>
      <c r="AJ2327" s="9" t="s">
        <v>12822</v>
      </c>
      <c r="AK2327" s="7" t="s">
        <v>61</v>
      </c>
      <c r="AL2327" s="7" t="s">
        <v>61</v>
      </c>
      <c r="AM2327" s="7" t="s">
        <v>0</v>
      </c>
      <c r="AN2327" s="7" t="s">
        <v>0</v>
      </c>
      <c r="AO2327" s="7" t="s">
        <v>0</v>
      </c>
      <c r="AP2327" s="7" t="s">
        <v>0</v>
      </c>
      <c r="AQ2327" s="7" t="s">
        <v>61</v>
      </c>
      <c r="AR2327" s="7" t="s">
        <v>0</v>
      </c>
      <c r="AS2327" s="10" t="str">
        <f>HYPERLINK("https://tessa.gazprom-neft.local/edo/card/c82d1bb9-6019-4457-afa4-db6f653a608d", "https://tessa.gazprom-neft.local/edo/card/c82d1bb9-6019-4457-afa4-db6f653a608d")</f>
        <v>https://tessa.gazprom-neft.local/edo/card/c82d1bb9-6019-4457-afa4-db6f653a608d</v>
      </c>
    </row>
    <row r="2328" spans="1:45" hidden="1" x14ac:dyDescent="0.25">
      <c r="A2328" s="6" t="s">
        <v>44</v>
      </c>
      <c r="B2328" s="7" t="s">
        <v>0</v>
      </c>
      <c r="C2328" s="7" t="s">
        <v>46</v>
      </c>
      <c r="D2328" s="8">
        <v>44440</v>
      </c>
      <c r="E2328" s="8" t="s">
        <v>0</v>
      </c>
      <c r="F2328" s="16" t="s">
        <v>6573</v>
      </c>
      <c r="G2328" s="7" t="s">
        <v>0</v>
      </c>
      <c r="H2328" s="7" t="s">
        <v>0</v>
      </c>
      <c r="I2328" s="7" t="s">
        <v>2321</v>
      </c>
      <c r="J2328" s="7" t="s">
        <v>2321</v>
      </c>
      <c r="K2328" s="7" t="s">
        <v>47</v>
      </c>
      <c r="L2328" s="7" t="s">
        <v>96</v>
      </c>
      <c r="M2328" s="7" t="s">
        <v>0</v>
      </c>
      <c r="N2328" s="7" t="s">
        <v>6601</v>
      </c>
      <c r="O2328" s="7" t="s">
        <v>0</v>
      </c>
      <c r="P2328" s="7" t="s">
        <v>6602</v>
      </c>
      <c r="Q2328" s="7" t="s">
        <v>6603</v>
      </c>
      <c r="R2328" s="7" t="s">
        <v>799</v>
      </c>
      <c r="S2328" s="7" t="s">
        <v>799</v>
      </c>
      <c r="T2328" s="7" t="s">
        <v>54</v>
      </c>
      <c r="U2328" s="7" t="s">
        <v>55</v>
      </c>
      <c r="V2328" s="7" t="s">
        <v>56</v>
      </c>
      <c r="W2328" s="7" t="s">
        <v>57</v>
      </c>
      <c r="X2328" s="7" t="s">
        <v>103</v>
      </c>
      <c r="Y2328" s="8">
        <v>44440</v>
      </c>
      <c r="Z2328" s="8">
        <v>44926</v>
      </c>
      <c r="AA2328" s="7" t="s">
        <v>1251</v>
      </c>
      <c r="AB2328" s="7" t="s">
        <v>328</v>
      </c>
      <c r="AC2328" s="7" t="s">
        <v>278</v>
      </c>
      <c r="AD2328" s="7" t="s">
        <v>80</v>
      </c>
      <c r="AE2328" s="7" t="s">
        <v>82</v>
      </c>
      <c r="AF2328" s="7" t="s">
        <v>0</v>
      </c>
      <c r="AG2328" s="7" t="s">
        <v>0</v>
      </c>
      <c r="AH2328" s="9" t="s">
        <v>12906</v>
      </c>
      <c r="AI2328" s="9" t="s">
        <v>12907</v>
      </c>
      <c r="AJ2328" s="9" t="s">
        <v>12908</v>
      </c>
      <c r="AK2328" s="7" t="s">
        <v>61</v>
      </c>
      <c r="AL2328" s="7" t="s">
        <v>61</v>
      </c>
      <c r="AM2328" s="7" t="s">
        <v>0</v>
      </c>
      <c r="AN2328" s="7" t="s">
        <v>0</v>
      </c>
      <c r="AO2328" s="7" t="s">
        <v>0</v>
      </c>
      <c r="AP2328" s="7" t="s">
        <v>0</v>
      </c>
      <c r="AQ2328" s="7" t="s">
        <v>61</v>
      </c>
      <c r="AR2328" s="7" t="s">
        <v>0</v>
      </c>
      <c r="AS2328" s="10" t="str">
        <f>HYPERLINK("https://tessa.gazprom-neft.local/edo/card/8fa81b57-2370-4a27-b95a-fcc52b45a6ed", "https://tessa.gazprom-neft.local/edo/card/8fa81b57-2370-4a27-b95a-fcc52b45a6ed")</f>
        <v>https://tessa.gazprom-neft.local/edo/card/8fa81b57-2370-4a27-b95a-fcc52b45a6ed</v>
      </c>
    </row>
    <row r="2329" spans="1:45" hidden="1" x14ac:dyDescent="0.25">
      <c r="A2329" s="6" t="s">
        <v>44</v>
      </c>
      <c r="B2329" s="7" t="s">
        <v>245</v>
      </c>
      <c r="C2329" s="7" t="s">
        <v>67</v>
      </c>
      <c r="D2329" s="8">
        <v>44440</v>
      </c>
      <c r="E2329" s="8" t="s">
        <v>0</v>
      </c>
      <c r="F2329" s="16" t="s">
        <v>246</v>
      </c>
      <c r="G2329" s="7" t="s">
        <v>247</v>
      </c>
      <c r="H2329" s="7" t="s">
        <v>912</v>
      </c>
      <c r="I2329" s="7" t="s">
        <v>0</v>
      </c>
      <c r="J2329" s="7" t="s">
        <v>6987</v>
      </c>
      <c r="K2329" s="7" t="s">
        <v>47</v>
      </c>
      <c r="L2329" s="7" t="s">
        <v>239</v>
      </c>
      <c r="M2329" s="7" t="s">
        <v>0</v>
      </c>
      <c r="N2329" s="7" t="s">
        <v>6986</v>
      </c>
      <c r="O2329" s="7" t="s">
        <v>0</v>
      </c>
      <c r="P2329" s="7" t="s">
        <v>6987</v>
      </c>
      <c r="Q2329" s="7" t="s">
        <v>6988</v>
      </c>
      <c r="R2329" s="7" t="s">
        <v>915</v>
      </c>
      <c r="S2329" s="7" t="s">
        <v>0</v>
      </c>
      <c r="T2329" s="7" t="s">
        <v>54</v>
      </c>
      <c r="U2329" s="7" t="s">
        <v>916</v>
      </c>
      <c r="V2329" s="7" t="s">
        <v>917</v>
      </c>
      <c r="W2329" s="7" t="s">
        <v>57</v>
      </c>
      <c r="X2329" s="7" t="s">
        <v>103</v>
      </c>
      <c r="Y2329" s="8">
        <v>44440</v>
      </c>
      <c r="Z2329" s="8">
        <v>44500</v>
      </c>
      <c r="AA2329" s="7" t="s">
        <v>309</v>
      </c>
      <c r="AB2329" s="7" t="s">
        <v>545</v>
      </c>
      <c r="AC2329" s="7" t="s">
        <v>79</v>
      </c>
      <c r="AD2329" s="7" t="s">
        <v>144</v>
      </c>
      <c r="AE2329" s="7" t="s">
        <v>82</v>
      </c>
      <c r="AF2329" s="7" t="s">
        <v>0</v>
      </c>
      <c r="AG2329" s="7" t="s">
        <v>0</v>
      </c>
      <c r="AH2329" s="9" t="s">
        <v>13025</v>
      </c>
      <c r="AI2329" s="9" t="s">
        <v>13026</v>
      </c>
      <c r="AJ2329" s="9" t="s">
        <v>13027</v>
      </c>
      <c r="AK2329" s="7" t="s">
        <v>61</v>
      </c>
      <c r="AL2329" s="7" t="s">
        <v>61</v>
      </c>
      <c r="AM2329" s="7" t="s">
        <v>0</v>
      </c>
      <c r="AN2329" s="7" t="s">
        <v>0</v>
      </c>
      <c r="AO2329" s="7" t="s">
        <v>0</v>
      </c>
      <c r="AP2329" s="7" t="s">
        <v>0</v>
      </c>
      <c r="AQ2329" s="7" t="s">
        <v>61</v>
      </c>
      <c r="AR2329" s="7" t="s">
        <v>0</v>
      </c>
      <c r="AS2329" s="10" t="str">
        <f>HYPERLINK("https://tessa.gazprom-neft.local/edo/card/97b5cd75-03b7-4d6b-89e4-d8e688c06a04", "https://tessa.gazprom-neft.local/edo/card/97b5cd75-03b7-4d6b-89e4-d8e688c06a04")</f>
        <v>https://tessa.gazprom-neft.local/edo/card/97b5cd75-03b7-4d6b-89e4-d8e688c06a04</v>
      </c>
    </row>
    <row r="2330" spans="1:45" x14ac:dyDescent="0.25">
      <c r="A2330" s="6" t="s">
        <v>44</v>
      </c>
      <c r="B2330" s="7" t="s">
        <v>245</v>
      </c>
      <c r="C2330" s="7" t="s">
        <v>67</v>
      </c>
      <c r="D2330" s="8">
        <v>44440</v>
      </c>
      <c r="E2330" s="8" t="s">
        <v>0</v>
      </c>
      <c r="F2330" s="16" t="s">
        <v>246</v>
      </c>
      <c r="G2330" s="7" t="s">
        <v>247</v>
      </c>
      <c r="H2330" s="7" t="s">
        <v>574</v>
      </c>
      <c r="I2330" s="7" t="s">
        <v>0</v>
      </c>
      <c r="J2330" s="7" t="s">
        <v>51</v>
      </c>
      <c r="K2330" s="7" t="s">
        <v>47</v>
      </c>
      <c r="L2330" s="7" t="s">
        <v>48</v>
      </c>
      <c r="M2330" s="7" t="s">
        <v>0</v>
      </c>
      <c r="N2330" s="7" t="s">
        <v>7113</v>
      </c>
      <c r="O2330" s="7" t="s">
        <v>0</v>
      </c>
      <c r="P2330" s="7" t="s">
        <v>7114</v>
      </c>
      <c r="Q2330" s="7" t="s">
        <v>7115</v>
      </c>
      <c r="R2330" s="7" t="s">
        <v>1441</v>
      </c>
      <c r="S2330" s="7" t="s">
        <v>7116</v>
      </c>
      <c r="T2330" s="7" t="s">
        <v>54</v>
      </c>
      <c r="U2330" s="7" t="s">
        <v>55</v>
      </c>
      <c r="V2330" s="7" t="s">
        <v>56</v>
      </c>
      <c r="W2330" s="7" t="s">
        <v>57</v>
      </c>
      <c r="X2330" s="7" t="s">
        <v>103</v>
      </c>
      <c r="Y2330" s="8">
        <v>44440</v>
      </c>
      <c r="Z2330" s="8">
        <v>46387</v>
      </c>
      <c r="AA2330" s="7" t="s">
        <v>1251</v>
      </c>
      <c r="AB2330" s="7" t="s">
        <v>545</v>
      </c>
      <c r="AC2330" s="7" t="s">
        <v>65</v>
      </c>
      <c r="AD2330" s="7" t="s">
        <v>144</v>
      </c>
      <c r="AE2330" s="7" t="s">
        <v>0</v>
      </c>
      <c r="AF2330" s="7" t="s">
        <v>0</v>
      </c>
      <c r="AG2330" s="7" t="s">
        <v>0</v>
      </c>
      <c r="AH2330" s="9" t="s">
        <v>0</v>
      </c>
      <c r="AI2330" s="9" t="s">
        <v>0</v>
      </c>
      <c r="AJ2330" s="9" t="s">
        <v>0</v>
      </c>
      <c r="AK2330" s="7" t="s">
        <v>61</v>
      </c>
      <c r="AL2330" s="7" t="s">
        <v>61</v>
      </c>
      <c r="AM2330" s="7" t="s">
        <v>0</v>
      </c>
      <c r="AN2330" s="7" t="s">
        <v>0</v>
      </c>
      <c r="AO2330" s="7" t="s">
        <v>0</v>
      </c>
      <c r="AP2330" s="7" t="s">
        <v>0</v>
      </c>
      <c r="AQ2330" s="7" t="s">
        <v>61</v>
      </c>
      <c r="AR2330" s="7" t="s">
        <v>0</v>
      </c>
      <c r="AS2330" s="10" t="str">
        <f>HYPERLINK("https://tessa.gazprom-neft.local/edo/card/7c5384b1-b8b3-4814-855e-dae30caa7ad5", "https://tessa.gazprom-neft.local/edo/card/7c5384b1-b8b3-4814-855e-dae30caa7ad5")</f>
        <v>https://tessa.gazprom-neft.local/edo/card/7c5384b1-b8b3-4814-855e-dae30caa7ad5</v>
      </c>
    </row>
    <row r="2331" spans="1:45" x14ac:dyDescent="0.25">
      <c r="A2331" s="6" t="s">
        <v>44</v>
      </c>
      <c r="B2331" s="7" t="s">
        <v>170</v>
      </c>
      <c r="C2331" s="7" t="s">
        <v>67</v>
      </c>
      <c r="D2331" s="8">
        <v>44440</v>
      </c>
      <c r="E2331" s="8" t="s">
        <v>0</v>
      </c>
      <c r="F2331" s="16" t="s">
        <v>171</v>
      </c>
      <c r="G2331" s="7" t="s">
        <v>172</v>
      </c>
      <c r="H2331" s="7" t="s">
        <v>4968</v>
      </c>
      <c r="I2331" s="7" t="s">
        <v>0</v>
      </c>
      <c r="J2331" s="7" t="s">
        <v>51</v>
      </c>
      <c r="K2331" s="7" t="s">
        <v>47</v>
      </c>
      <c r="L2331" s="7" t="s">
        <v>48</v>
      </c>
      <c r="M2331" s="7" t="s">
        <v>0</v>
      </c>
      <c r="N2331" s="7" t="s">
        <v>7147</v>
      </c>
      <c r="O2331" s="7" t="s">
        <v>0</v>
      </c>
      <c r="P2331" s="7" t="s">
        <v>7148</v>
      </c>
      <c r="Q2331" s="7" t="s">
        <v>1291</v>
      </c>
      <c r="R2331" s="7" t="s">
        <v>361</v>
      </c>
      <c r="S2331" s="7" t="s">
        <v>0</v>
      </c>
      <c r="T2331" s="7" t="s">
        <v>54</v>
      </c>
      <c r="U2331" s="7" t="s">
        <v>1683</v>
      </c>
      <c r="V2331" s="7" t="s">
        <v>295</v>
      </c>
      <c r="W2331" s="7" t="s">
        <v>57</v>
      </c>
      <c r="X2331" s="7" t="s">
        <v>103</v>
      </c>
      <c r="Y2331" s="8">
        <v>44440</v>
      </c>
      <c r="Z2331" s="8">
        <v>44454</v>
      </c>
      <c r="AA2331" s="7" t="s">
        <v>1269</v>
      </c>
      <c r="AB2331" s="7" t="s">
        <v>1748</v>
      </c>
      <c r="AC2331" s="7" t="s">
        <v>65</v>
      </c>
      <c r="AD2331" s="7" t="s">
        <v>367</v>
      </c>
      <c r="AE2331" s="7" t="s">
        <v>0</v>
      </c>
      <c r="AF2331" s="7" t="s">
        <v>0</v>
      </c>
      <c r="AG2331" s="7" t="s">
        <v>0</v>
      </c>
      <c r="AH2331" s="9" t="s">
        <v>0</v>
      </c>
      <c r="AI2331" s="9" t="s">
        <v>0</v>
      </c>
      <c r="AJ2331" s="9" t="s">
        <v>0</v>
      </c>
      <c r="AK2331" s="7" t="s">
        <v>61</v>
      </c>
      <c r="AL2331" s="7" t="s">
        <v>61</v>
      </c>
      <c r="AM2331" s="7" t="s">
        <v>0</v>
      </c>
      <c r="AN2331" s="7" t="s">
        <v>0</v>
      </c>
      <c r="AO2331" s="7" t="s">
        <v>0</v>
      </c>
      <c r="AP2331" s="7" t="s">
        <v>0</v>
      </c>
      <c r="AQ2331" s="7" t="s">
        <v>61</v>
      </c>
      <c r="AR2331" s="7" t="s">
        <v>0</v>
      </c>
      <c r="AS2331" s="10" t="str">
        <f>HYPERLINK("https://tessa.gazprom-neft.local/edo/card/045c817d-f090-418b-8863-1a17b7407ebe", "https://tessa.gazprom-neft.local/edo/card/045c817d-f090-418b-8863-1a17b7407ebe")</f>
        <v>https://tessa.gazprom-neft.local/edo/card/045c817d-f090-418b-8863-1a17b7407ebe</v>
      </c>
    </row>
    <row r="2332" spans="1:45" x14ac:dyDescent="0.25">
      <c r="A2332" s="6" t="s">
        <v>44</v>
      </c>
      <c r="B2332" s="7" t="s">
        <v>837</v>
      </c>
      <c r="C2332" s="7" t="s">
        <v>67</v>
      </c>
      <c r="D2332" s="8">
        <v>44440</v>
      </c>
      <c r="E2332" s="8" t="s">
        <v>0</v>
      </c>
      <c r="F2332" s="16" t="s">
        <v>838</v>
      </c>
      <c r="G2332" s="7" t="s">
        <v>839</v>
      </c>
      <c r="H2332" s="7" t="s">
        <v>7164</v>
      </c>
      <c r="I2332" s="7" t="s">
        <v>0</v>
      </c>
      <c r="J2332" s="7" t="s">
        <v>156</v>
      </c>
      <c r="K2332" s="7" t="s">
        <v>85</v>
      </c>
      <c r="L2332" s="7" t="s">
        <v>48</v>
      </c>
      <c r="M2332" s="7" t="s">
        <v>2128</v>
      </c>
      <c r="N2332" s="7" t="s">
        <v>7163</v>
      </c>
      <c r="O2332" s="7" t="s">
        <v>0</v>
      </c>
      <c r="P2332" s="7" t="s">
        <v>7165</v>
      </c>
      <c r="Q2332" s="7" t="s">
        <v>7166</v>
      </c>
      <c r="R2332" s="7" t="s">
        <v>836</v>
      </c>
      <c r="S2332" s="7" t="s">
        <v>836</v>
      </c>
      <c r="T2332" s="7" t="s">
        <v>54</v>
      </c>
      <c r="U2332" s="7" t="s">
        <v>294</v>
      </c>
      <c r="V2332" s="7" t="s">
        <v>295</v>
      </c>
      <c r="W2332" s="7" t="s">
        <v>57</v>
      </c>
      <c r="X2332" s="7" t="s">
        <v>223</v>
      </c>
      <c r="Y2332" s="8">
        <v>44440</v>
      </c>
      <c r="Z2332" s="8" t="s">
        <v>0</v>
      </c>
      <c r="AA2332" s="7" t="s">
        <v>1269</v>
      </c>
      <c r="AB2332" s="7" t="s">
        <v>64</v>
      </c>
      <c r="AC2332" s="7" t="s">
        <v>65</v>
      </c>
      <c r="AD2332" s="7" t="s">
        <v>80</v>
      </c>
      <c r="AE2332" s="7" t="s">
        <v>0</v>
      </c>
      <c r="AF2332" s="7" t="s">
        <v>0</v>
      </c>
      <c r="AG2332" s="7" t="s">
        <v>0</v>
      </c>
      <c r="AH2332" s="9" t="s">
        <v>0</v>
      </c>
      <c r="AI2332" s="9" t="s">
        <v>0</v>
      </c>
      <c r="AJ2332" s="9" t="s">
        <v>0</v>
      </c>
      <c r="AK2332" s="7" t="s">
        <v>61</v>
      </c>
      <c r="AL2332" s="7" t="s">
        <v>61</v>
      </c>
      <c r="AM2332" s="7" t="s">
        <v>0</v>
      </c>
      <c r="AN2332" s="7" t="s">
        <v>0</v>
      </c>
      <c r="AO2332" s="7" t="s">
        <v>0</v>
      </c>
      <c r="AP2332" s="7" t="s">
        <v>0</v>
      </c>
      <c r="AQ2332" s="7" t="s">
        <v>61</v>
      </c>
      <c r="AR2332" s="7" t="s">
        <v>0</v>
      </c>
      <c r="AS2332" s="10" t="str">
        <f>HYPERLINK("https://tessa.gazprom-neft.local/edo/card/884e293f-4352-4356-9060-db05e5750f48", "https://tessa.gazprom-neft.local/edo/card/884e293f-4352-4356-9060-db05e5750f48")</f>
        <v>https://tessa.gazprom-neft.local/edo/card/884e293f-4352-4356-9060-db05e5750f48</v>
      </c>
    </row>
    <row r="2333" spans="1:45" x14ac:dyDescent="0.25">
      <c r="A2333" s="6" t="s">
        <v>44</v>
      </c>
      <c r="B2333" s="7" t="s">
        <v>6922</v>
      </c>
      <c r="C2333" s="7" t="s">
        <v>46</v>
      </c>
      <c r="D2333" s="8">
        <v>44440</v>
      </c>
      <c r="E2333" s="8" t="s">
        <v>0</v>
      </c>
      <c r="F2333" s="16" t="s">
        <v>6923</v>
      </c>
      <c r="G2333" s="7" t="s">
        <v>6924</v>
      </c>
      <c r="H2333" s="7" t="s">
        <v>5573</v>
      </c>
      <c r="I2333" s="7" t="s">
        <v>0</v>
      </c>
      <c r="J2333" s="7" t="s">
        <v>51</v>
      </c>
      <c r="K2333" s="7" t="s">
        <v>47</v>
      </c>
      <c r="L2333" s="7" t="s">
        <v>48</v>
      </c>
      <c r="M2333" s="7" t="s">
        <v>0</v>
      </c>
      <c r="N2333" s="7" t="s">
        <v>7194</v>
      </c>
      <c r="O2333" s="7" t="s">
        <v>0</v>
      </c>
      <c r="P2333" s="7" t="s">
        <v>50</v>
      </c>
      <c r="Q2333" s="7" t="s">
        <v>7195</v>
      </c>
      <c r="R2333" s="7" t="s">
        <v>1256</v>
      </c>
      <c r="S2333" s="7" t="s">
        <v>1256</v>
      </c>
      <c r="T2333" s="7" t="s">
        <v>54</v>
      </c>
      <c r="U2333" s="7" t="s">
        <v>591</v>
      </c>
      <c r="V2333" s="7" t="s">
        <v>382</v>
      </c>
      <c r="W2333" s="7" t="s">
        <v>57</v>
      </c>
      <c r="X2333" s="7" t="s">
        <v>103</v>
      </c>
      <c r="Y2333" s="8">
        <v>44440</v>
      </c>
      <c r="Z2333" s="8">
        <v>44926</v>
      </c>
      <c r="AA2333" s="7" t="s">
        <v>1656</v>
      </c>
      <c r="AB2333" s="7" t="s">
        <v>2053</v>
      </c>
      <c r="AC2333" s="7" t="s">
        <v>79</v>
      </c>
      <c r="AD2333" s="7" t="s">
        <v>80</v>
      </c>
      <c r="AE2333" s="7" t="s">
        <v>82</v>
      </c>
      <c r="AF2333" s="7" t="s">
        <v>0</v>
      </c>
      <c r="AG2333" s="7" t="s">
        <v>0</v>
      </c>
      <c r="AH2333" s="9" t="s">
        <v>13098</v>
      </c>
      <c r="AI2333" s="9" t="s">
        <v>13099</v>
      </c>
      <c r="AJ2333" s="9" t="s">
        <v>13100</v>
      </c>
      <c r="AK2333" s="7" t="s">
        <v>61</v>
      </c>
      <c r="AL2333" s="7" t="s">
        <v>61</v>
      </c>
      <c r="AM2333" s="7" t="s">
        <v>0</v>
      </c>
      <c r="AN2333" s="7" t="s">
        <v>0</v>
      </c>
      <c r="AO2333" s="7" t="s">
        <v>0</v>
      </c>
      <c r="AP2333" s="7" t="s">
        <v>0</v>
      </c>
      <c r="AQ2333" s="7" t="s">
        <v>61</v>
      </c>
      <c r="AR2333" s="7" t="s">
        <v>0</v>
      </c>
      <c r="AS2333" s="10" t="str">
        <f>HYPERLINK("https://tessa.gazprom-neft.local/edo/card/25c24e48-ce2b-433b-ac6a-287e31a6f092", "https://tessa.gazprom-neft.local/edo/card/25c24e48-ce2b-433b-ac6a-287e31a6f092")</f>
        <v>https://tessa.gazprom-neft.local/edo/card/25c24e48-ce2b-433b-ac6a-287e31a6f092</v>
      </c>
    </row>
    <row r="2334" spans="1:45" x14ac:dyDescent="0.25">
      <c r="A2334" s="6" t="s">
        <v>44</v>
      </c>
      <c r="B2334" s="7" t="s">
        <v>297</v>
      </c>
      <c r="C2334" s="7" t="s">
        <v>46</v>
      </c>
      <c r="D2334" s="8">
        <v>44440</v>
      </c>
      <c r="E2334" s="8" t="s">
        <v>0</v>
      </c>
      <c r="F2334" s="16" t="s">
        <v>298</v>
      </c>
      <c r="G2334" s="7" t="s">
        <v>299</v>
      </c>
      <c r="H2334" s="7" t="s">
        <v>7541</v>
      </c>
      <c r="I2334" s="7" t="s">
        <v>0</v>
      </c>
      <c r="J2334" s="7" t="s">
        <v>51</v>
      </c>
      <c r="K2334" s="7" t="s">
        <v>47</v>
      </c>
      <c r="L2334" s="7" t="s">
        <v>48</v>
      </c>
      <c r="M2334" s="7" t="s">
        <v>0</v>
      </c>
      <c r="N2334" s="7" t="s">
        <v>7540</v>
      </c>
      <c r="O2334" s="7" t="s">
        <v>0</v>
      </c>
      <c r="P2334" s="7" t="s">
        <v>7542</v>
      </c>
      <c r="Q2334" s="7" t="s">
        <v>7543</v>
      </c>
      <c r="R2334" s="7" t="s">
        <v>1924</v>
      </c>
      <c r="S2334" s="7" t="s">
        <v>1924</v>
      </c>
      <c r="T2334" s="7" t="s">
        <v>54</v>
      </c>
      <c r="U2334" s="7" t="s">
        <v>73</v>
      </c>
      <c r="V2334" s="7" t="s">
        <v>137</v>
      </c>
      <c r="W2334" s="7" t="s">
        <v>57</v>
      </c>
      <c r="X2334" s="7" t="s">
        <v>103</v>
      </c>
      <c r="Y2334" s="8">
        <v>44207</v>
      </c>
      <c r="Z2334" s="8">
        <v>44592</v>
      </c>
      <c r="AA2334" s="7" t="s">
        <v>0</v>
      </c>
      <c r="AB2334" s="7" t="s">
        <v>1466</v>
      </c>
      <c r="AC2334" s="7" t="s">
        <v>278</v>
      </c>
      <c r="AD2334" s="7" t="s">
        <v>367</v>
      </c>
      <c r="AE2334" s="7" t="s">
        <v>82</v>
      </c>
      <c r="AF2334" s="7" t="s">
        <v>0</v>
      </c>
      <c r="AG2334" s="7" t="s">
        <v>0</v>
      </c>
      <c r="AH2334" s="9" t="s">
        <v>13215</v>
      </c>
      <c r="AI2334" s="9" t="s">
        <v>13216</v>
      </c>
      <c r="AJ2334" s="9" t="s">
        <v>13217</v>
      </c>
      <c r="AK2334" s="7" t="s">
        <v>61</v>
      </c>
      <c r="AL2334" s="7" t="s">
        <v>61</v>
      </c>
      <c r="AM2334" s="7" t="s">
        <v>0</v>
      </c>
      <c r="AN2334" s="7" t="s">
        <v>0</v>
      </c>
      <c r="AO2334" s="7" t="s">
        <v>0</v>
      </c>
      <c r="AP2334" s="7" t="s">
        <v>0</v>
      </c>
      <c r="AQ2334" s="7" t="s">
        <v>61</v>
      </c>
      <c r="AR2334" s="7" t="s">
        <v>0</v>
      </c>
      <c r="AS2334" s="10" t="str">
        <f>HYPERLINK("https://tessa.gazprom-neft.local/edo/card/f660f2ef-c553-4215-bdc4-d8d1438d3499", "https://tessa.gazprom-neft.local/edo/card/f660f2ef-c553-4215-bdc4-d8d1438d3499")</f>
        <v>https://tessa.gazprom-neft.local/edo/card/f660f2ef-c553-4215-bdc4-d8d1438d3499</v>
      </c>
    </row>
    <row r="2335" spans="1:45" x14ac:dyDescent="0.25">
      <c r="A2335" s="6" t="s">
        <v>44</v>
      </c>
      <c r="B2335" s="7" t="s">
        <v>436</v>
      </c>
      <c r="C2335" s="7" t="s">
        <v>67</v>
      </c>
      <c r="D2335" s="8">
        <v>44440</v>
      </c>
      <c r="E2335" s="8" t="s">
        <v>0</v>
      </c>
      <c r="F2335" s="16" t="s">
        <v>437</v>
      </c>
      <c r="G2335" s="7" t="s">
        <v>438</v>
      </c>
      <c r="H2335" s="7" t="s">
        <v>8011</v>
      </c>
      <c r="I2335" s="7" t="s">
        <v>0</v>
      </c>
      <c r="J2335" s="7" t="s">
        <v>51</v>
      </c>
      <c r="K2335" s="7" t="s">
        <v>47</v>
      </c>
      <c r="L2335" s="7" t="s">
        <v>48</v>
      </c>
      <c r="M2335" s="7" t="s">
        <v>0</v>
      </c>
      <c r="N2335" s="7" t="s">
        <v>8010</v>
      </c>
      <c r="O2335" s="7" t="s">
        <v>0</v>
      </c>
      <c r="P2335" s="7" t="s">
        <v>8012</v>
      </c>
      <c r="Q2335" s="7" t="s">
        <v>8013</v>
      </c>
      <c r="R2335" s="7" t="s">
        <v>1083</v>
      </c>
      <c r="S2335" s="7" t="s">
        <v>444</v>
      </c>
      <c r="T2335" s="7" t="s">
        <v>54</v>
      </c>
      <c r="U2335" s="7" t="s">
        <v>274</v>
      </c>
      <c r="V2335" s="7" t="s">
        <v>340</v>
      </c>
      <c r="W2335" s="7" t="s">
        <v>57</v>
      </c>
      <c r="X2335" s="7" t="s">
        <v>103</v>
      </c>
      <c r="Y2335" s="8">
        <v>44440</v>
      </c>
      <c r="Z2335" s="8">
        <v>44561</v>
      </c>
      <c r="AA2335" s="7" t="s">
        <v>1115</v>
      </c>
      <c r="AB2335" s="7" t="s">
        <v>64</v>
      </c>
      <c r="AC2335" s="7" t="s">
        <v>278</v>
      </c>
      <c r="AD2335" s="7" t="s">
        <v>80</v>
      </c>
      <c r="AE2335" s="7" t="s">
        <v>82</v>
      </c>
      <c r="AF2335" s="7" t="s">
        <v>0</v>
      </c>
      <c r="AG2335" s="7" t="s">
        <v>0</v>
      </c>
      <c r="AH2335" s="9" t="s">
        <v>13398</v>
      </c>
      <c r="AI2335" s="9" t="s">
        <v>13399</v>
      </c>
      <c r="AJ2335" s="9" t="s">
        <v>13400</v>
      </c>
      <c r="AK2335" s="7" t="s">
        <v>61</v>
      </c>
      <c r="AL2335" s="7" t="s">
        <v>61</v>
      </c>
      <c r="AM2335" s="7" t="s">
        <v>0</v>
      </c>
      <c r="AN2335" s="7" t="s">
        <v>0</v>
      </c>
      <c r="AO2335" s="7" t="s">
        <v>0</v>
      </c>
      <c r="AP2335" s="7" t="s">
        <v>0</v>
      </c>
      <c r="AQ2335" s="7" t="s">
        <v>61</v>
      </c>
      <c r="AR2335" s="7" t="s">
        <v>0</v>
      </c>
      <c r="AS2335" s="10" t="str">
        <f>HYPERLINK("https://tessa.gazprom-neft.local/edo/card/a7615ac5-af2e-4647-a500-c6ccac1fa82e", "https://tessa.gazprom-neft.local/edo/card/a7615ac5-af2e-4647-a500-c6ccac1fa82e")</f>
        <v>https://tessa.gazprom-neft.local/edo/card/a7615ac5-af2e-4647-a500-c6ccac1fa82e</v>
      </c>
    </row>
    <row r="2336" spans="1:45" x14ac:dyDescent="0.25">
      <c r="A2336" s="6" t="s">
        <v>44</v>
      </c>
      <c r="B2336" s="7" t="s">
        <v>661</v>
      </c>
      <c r="C2336" s="7" t="s">
        <v>67</v>
      </c>
      <c r="D2336" s="8">
        <v>44439</v>
      </c>
      <c r="E2336" s="8" t="s">
        <v>0</v>
      </c>
      <c r="F2336" s="16" t="s">
        <v>662</v>
      </c>
      <c r="G2336" s="7" t="s">
        <v>663</v>
      </c>
      <c r="H2336" s="7" t="s">
        <v>1426</v>
      </c>
      <c r="I2336" s="7" t="s">
        <v>0</v>
      </c>
      <c r="J2336" s="7" t="s">
        <v>955</v>
      </c>
      <c r="K2336" s="7" t="s">
        <v>47</v>
      </c>
      <c r="L2336" s="7" t="s">
        <v>48</v>
      </c>
      <c r="M2336" s="7" t="s">
        <v>0</v>
      </c>
      <c r="N2336" s="7" t="s">
        <v>7173</v>
      </c>
      <c r="O2336" s="7" t="s">
        <v>0</v>
      </c>
      <c r="P2336" s="7" t="s">
        <v>7174</v>
      </c>
      <c r="Q2336" s="7" t="s">
        <v>7175</v>
      </c>
      <c r="R2336" s="7" t="s">
        <v>659</v>
      </c>
      <c r="S2336" s="7" t="s">
        <v>7176</v>
      </c>
      <c r="T2336" s="7" t="s">
        <v>54</v>
      </c>
      <c r="U2336" s="7" t="s">
        <v>283</v>
      </c>
      <c r="V2336" s="7" t="s">
        <v>102</v>
      </c>
      <c r="W2336" s="7" t="s">
        <v>57</v>
      </c>
      <c r="X2336" s="7" t="s">
        <v>103</v>
      </c>
      <c r="Y2336" s="8">
        <v>44439</v>
      </c>
      <c r="Z2336" s="8">
        <v>45657</v>
      </c>
      <c r="AA2336" s="7" t="s">
        <v>6296</v>
      </c>
      <c r="AB2336" s="7" t="s">
        <v>2425</v>
      </c>
      <c r="AC2336" s="7" t="s">
        <v>65</v>
      </c>
      <c r="AD2336" s="7" t="s">
        <v>0</v>
      </c>
      <c r="AE2336" s="7" t="s">
        <v>0</v>
      </c>
      <c r="AF2336" s="7" t="s">
        <v>0</v>
      </c>
      <c r="AG2336" s="7" t="s">
        <v>0</v>
      </c>
      <c r="AH2336" s="9" t="s">
        <v>0</v>
      </c>
      <c r="AI2336" s="9" t="s">
        <v>0</v>
      </c>
      <c r="AJ2336" s="9" t="s">
        <v>0</v>
      </c>
      <c r="AK2336" s="7" t="s">
        <v>61</v>
      </c>
      <c r="AL2336" s="7" t="s">
        <v>61</v>
      </c>
      <c r="AM2336" s="7" t="s">
        <v>0</v>
      </c>
      <c r="AN2336" s="7" t="s">
        <v>0</v>
      </c>
      <c r="AO2336" s="7" t="s">
        <v>0</v>
      </c>
      <c r="AP2336" s="7" t="s">
        <v>0</v>
      </c>
      <c r="AQ2336" s="7" t="s">
        <v>61</v>
      </c>
      <c r="AR2336" s="7" t="s">
        <v>0</v>
      </c>
      <c r="AS2336" s="10" t="str">
        <f>HYPERLINK("https://tessa.gazprom-neft.local/edo/card/e856722d-ffa2-422a-81b7-8fb350b45950", "https://tessa.gazprom-neft.local/edo/card/e856722d-ffa2-422a-81b7-8fb350b45950")</f>
        <v>https://tessa.gazprom-neft.local/edo/card/e856722d-ffa2-422a-81b7-8fb350b45950</v>
      </c>
    </row>
    <row r="2337" spans="1:45" hidden="1" x14ac:dyDescent="0.25">
      <c r="A2337" s="6" t="s">
        <v>44</v>
      </c>
      <c r="B2337" s="7" t="s">
        <v>661</v>
      </c>
      <c r="C2337" s="7" t="s">
        <v>67</v>
      </c>
      <c r="D2337" s="8">
        <v>44439</v>
      </c>
      <c r="E2337" s="8" t="s">
        <v>0</v>
      </c>
      <c r="F2337" s="16" t="s">
        <v>662</v>
      </c>
      <c r="G2337" s="7" t="s">
        <v>663</v>
      </c>
      <c r="H2337" s="7" t="s">
        <v>1426</v>
      </c>
      <c r="I2337" s="7" t="s">
        <v>0</v>
      </c>
      <c r="J2337" s="7" t="s">
        <v>936</v>
      </c>
      <c r="K2337" s="7" t="s">
        <v>47</v>
      </c>
      <c r="L2337" s="7" t="s">
        <v>239</v>
      </c>
      <c r="M2337" s="7" t="s">
        <v>0</v>
      </c>
      <c r="N2337" s="7" t="s">
        <v>7185</v>
      </c>
      <c r="O2337" s="7" t="s">
        <v>0</v>
      </c>
      <c r="P2337" s="7" t="s">
        <v>7186</v>
      </c>
      <c r="Q2337" s="7" t="s">
        <v>7187</v>
      </c>
      <c r="R2337" s="7" t="s">
        <v>659</v>
      </c>
      <c r="S2337" s="7" t="s">
        <v>7188</v>
      </c>
      <c r="T2337" s="7" t="s">
        <v>54</v>
      </c>
      <c r="U2337" s="7" t="s">
        <v>283</v>
      </c>
      <c r="V2337" s="7" t="s">
        <v>102</v>
      </c>
      <c r="W2337" s="7" t="s">
        <v>57</v>
      </c>
      <c r="X2337" s="7" t="s">
        <v>103</v>
      </c>
      <c r="Y2337" s="8">
        <v>44439</v>
      </c>
      <c r="Z2337" s="8">
        <v>44834</v>
      </c>
      <c r="AA2337" s="7" t="s">
        <v>6296</v>
      </c>
      <c r="AB2337" s="7" t="s">
        <v>2425</v>
      </c>
      <c r="AC2337" s="7" t="s">
        <v>79</v>
      </c>
      <c r="AD2337" s="7" t="s">
        <v>144</v>
      </c>
      <c r="AE2337" s="7" t="s">
        <v>82</v>
      </c>
      <c r="AF2337" s="7" t="s">
        <v>0</v>
      </c>
      <c r="AG2337" s="7" t="s">
        <v>0</v>
      </c>
      <c r="AH2337" s="9" t="s">
        <v>13095</v>
      </c>
      <c r="AI2337" s="9" t="s">
        <v>13096</v>
      </c>
      <c r="AJ2337" s="9" t="s">
        <v>13097</v>
      </c>
      <c r="AK2337" s="7" t="s">
        <v>61</v>
      </c>
      <c r="AL2337" s="7" t="s">
        <v>61</v>
      </c>
      <c r="AM2337" s="7" t="s">
        <v>0</v>
      </c>
      <c r="AN2337" s="7" t="s">
        <v>0</v>
      </c>
      <c r="AO2337" s="7" t="s">
        <v>0</v>
      </c>
      <c r="AP2337" s="7" t="s">
        <v>0</v>
      </c>
      <c r="AQ2337" s="7" t="s">
        <v>61</v>
      </c>
      <c r="AR2337" s="7" t="s">
        <v>0</v>
      </c>
      <c r="AS2337" s="10" t="str">
        <f>HYPERLINK("https://tessa.gazprom-neft.local/edo/card/38f017e4-49b3-4625-ad32-939c7e7ec1f6", "https://tessa.gazprom-neft.local/edo/card/38f017e4-49b3-4625-ad32-939c7e7ec1f6")</f>
        <v>https://tessa.gazprom-neft.local/edo/card/38f017e4-49b3-4625-ad32-939c7e7ec1f6</v>
      </c>
    </row>
    <row r="2338" spans="1:45" x14ac:dyDescent="0.25">
      <c r="A2338" s="6" t="s">
        <v>44</v>
      </c>
      <c r="B2338" s="7" t="s">
        <v>1593</v>
      </c>
      <c r="C2338" s="7" t="s">
        <v>67</v>
      </c>
      <c r="D2338" s="8">
        <v>44439</v>
      </c>
      <c r="E2338" s="8" t="s">
        <v>0</v>
      </c>
      <c r="F2338" s="16" t="s">
        <v>1594</v>
      </c>
      <c r="G2338" s="7" t="s">
        <v>1595</v>
      </c>
      <c r="H2338" s="7" t="s">
        <v>3521</v>
      </c>
      <c r="I2338" s="7" t="s">
        <v>0</v>
      </c>
      <c r="J2338" s="7" t="s">
        <v>51</v>
      </c>
      <c r="K2338" s="7" t="s">
        <v>47</v>
      </c>
      <c r="L2338" s="7" t="s">
        <v>48</v>
      </c>
      <c r="M2338" s="7" t="s">
        <v>0</v>
      </c>
      <c r="N2338" s="7" t="s">
        <v>7261</v>
      </c>
      <c r="O2338" s="7" t="s">
        <v>0</v>
      </c>
      <c r="P2338" s="7" t="s">
        <v>7262</v>
      </c>
      <c r="Q2338" s="7" t="s">
        <v>7263</v>
      </c>
      <c r="R2338" s="7" t="s">
        <v>1575</v>
      </c>
      <c r="S2338" s="7" t="s">
        <v>0</v>
      </c>
      <c r="T2338" s="7" t="s">
        <v>54</v>
      </c>
      <c r="U2338" s="7" t="s">
        <v>222</v>
      </c>
      <c r="V2338" s="7" t="s">
        <v>382</v>
      </c>
      <c r="W2338" s="7" t="s">
        <v>57</v>
      </c>
      <c r="X2338" s="7" t="s">
        <v>58</v>
      </c>
      <c r="Y2338" s="8">
        <v>44256</v>
      </c>
      <c r="Z2338" s="8" t="s">
        <v>0</v>
      </c>
      <c r="AA2338" s="7" t="s">
        <v>1656</v>
      </c>
      <c r="AB2338" s="7" t="s">
        <v>756</v>
      </c>
      <c r="AC2338" s="7" t="s">
        <v>65</v>
      </c>
      <c r="AD2338" s="7" t="s">
        <v>80</v>
      </c>
      <c r="AE2338" s="7" t="s">
        <v>0</v>
      </c>
      <c r="AF2338" s="7" t="s">
        <v>0</v>
      </c>
      <c r="AG2338" s="7" t="s">
        <v>0</v>
      </c>
      <c r="AH2338" s="9" t="s">
        <v>0</v>
      </c>
      <c r="AI2338" s="9" t="s">
        <v>0</v>
      </c>
      <c r="AJ2338" s="9" t="s">
        <v>0</v>
      </c>
      <c r="AK2338" s="7" t="s">
        <v>61</v>
      </c>
      <c r="AL2338" s="7" t="s">
        <v>61</v>
      </c>
      <c r="AM2338" s="7" t="s">
        <v>0</v>
      </c>
      <c r="AN2338" s="7" t="s">
        <v>0</v>
      </c>
      <c r="AO2338" s="7" t="s">
        <v>0</v>
      </c>
      <c r="AP2338" s="7" t="s">
        <v>0</v>
      </c>
      <c r="AQ2338" s="7" t="s">
        <v>61</v>
      </c>
      <c r="AR2338" s="7" t="s">
        <v>0</v>
      </c>
      <c r="AS2338" s="10" t="str">
        <f>HYPERLINK("https://tessa.gazprom-neft.local/edo/card/d4fc1067-fc04-4f84-8d80-206c38eb8f7a", "https://tessa.gazprom-neft.local/edo/card/d4fc1067-fc04-4f84-8d80-206c38eb8f7a")</f>
        <v>https://tessa.gazprom-neft.local/edo/card/d4fc1067-fc04-4f84-8d80-206c38eb8f7a</v>
      </c>
    </row>
    <row r="2339" spans="1:45" x14ac:dyDescent="0.25">
      <c r="A2339" s="6" t="s">
        <v>44</v>
      </c>
      <c r="B2339" s="7" t="s">
        <v>753</v>
      </c>
      <c r="C2339" s="7" t="s">
        <v>67</v>
      </c>
      <c r="D2339" s="8">
        <v>44439</v>
      </c>
      <c r="E2339" s="8" t="s">
        <v>0</v>
      </c>
      <c r="F2339" s="16" t="s">
        <v>754</v>
      </c>
      <c r="G2339" s="7" t="s">
        <v>755</v>
      </c>
      <c r="H2339" s="7" t="s">
        <v>748</v>
      </c>
      <c r="I2339" s="7" t="s">
        <v>0</v>
      </c>
      <c r="J2339" s="7" t="s">
        <v>51</v>
      </c>
      <c r="K2339" s="7" t="s">
        <v>47</v>
      </c>
      <c r="L2339" s="7" t="s">
        <v>48</v>
      </c>
      <c r="M2339" s="7" t="s">
        <v>0</v>
      </c>
      <c r="N2339" s="7" t="s">
        <v>7275</v>
      </c>
      <c r="O2339" s="7" t="s">
        <v>0</v>
      </c>
      <c r="P2339" s="7" t="s">
        <v>7276</v>
      </c>
      <c r="Q2339" s="7" t="s">
        <v>7277</v>
      </c>
      <c r="R2339" s="7" t="s">
        <v>1575</v>
      </c>
      <c r="S2339" s="7" t="s">
        <v>0</v>
      </c>
      <c r="T2339" s="7" t="s">
        <v>54</v>
      </c>
      <c r="U2339" s="7" t="s">
        <v>222</v>
      </c>
      <c r="V2339" s="7" t="s">
        <v>382</v>
      </c>
      <c r="W2339" s="7" t="s">
        <v>57</v>
      </c>
      <c r="X2339" s="7" t="s">
        <v>58</v>
      </c>
      <c r="Y2339" s="8">
        <v>44280</v>
      </c>
      <c r="Z2339" s="8" t="s">
        <v>0</v>
      </c>
      <c r="AA2339" s="7" t="s">
        <v>1656</v>
      </c>
      <c r="AB2339" s="7" t="s">
        <v>756</v>
      </c>
      <c r="AC2339" s="7" t="s">
        <v>65</v>
      </c>
      <c r="AD2339" s="7" t="s">
        <v>80</v>
      </c>
      <c r="AE2339" s="7" t="s">
        <v>0</v>
      </c>
      <c r="AF2339" s="7" t="s">
        <v>0</v>
      </c>
      <c r="AG2339" s="7" t="s">
        <v>0</v>
      </c>
      <c r="AH2339" s="9" t="s">
        <v>0</v>
      </c>
      <c r="AI2339" s="9" t="s">
        <v>0</v>
      </c>
      <c r="AJ2339" s="9" t="s">
        <v>0</v>
      </c>
      <c r="AK2339" s="7" t="s">
        <v>61</v>
      </c>
      <c r="AL2339" s="7" t="s">
        <v>61</v>
      </c>
      <c r="AM2339" s="7" t="s">
        <v>0</v>
      </c>
      <c r="AN2339" s="7" t="s">
        <v>0</v>
      </c>
      <c r="AO2339" s="7" t="s">
        <v>0</v>
      </c>
      <c r="AP2339" s="7" t="s">
        <v>0</v>
      </c>
      <c r="AQ2339" s="7" t="s">
        <v>61</v>
      </c>
      <c r="AR2339" s="7" t="s">
        <v>0</v>
      </c>
      <c r="AS2339" s="10" t="str">
        <f>HYPERLINK("https://tessa.gazprom-neft.local/edo/card/54685356-e381-4757-9d9e-f1283bd3ff9a", "https://tessa.gazprom-neft.local/edo/card/54685356-e381-4757-9d9e-f1283bd3ff9a")</f>
        <v>https://tessa.gazprom-neft.local/edo/card/54685356-e381-4757-9d9e-f1283bd3ff9a</v>
      </c>
    </row>
    <row r="2340" spans="1:45" x14ac:dyDescent="0.25">
      <c r="A2340" s="6" t="s">
        <v>44</v>
      </c>
      <c r="B2340" s="7" t="s">
        <v>3073</v>
      </c>
      <c r="C2340" s="7" t="s">
        <v>67</v>
      </c>
      <c r="D2340" s="8">
        <v>44438</v>
      </c>
      <c r="E2340" s="8" t="s">
        <v>0</v>
      </c>
      <c r="F2340" s="16" t="s">
        <v>3074</v>
      </c>
      <c r="G2340" s="7" t="s">
        <v>3075</v>
      </c>
      <c r="H2340" s="7" t="s">
        <v>6837</v>
      </c>
      <c r="I2340" s="7" t="s">
        <v>0</v>
      </c>
      <c r="J2340" s="7" t="s">
        <v>6839</v>
      </c>
      <c r="K2340" s="7" t="s">
        <v>47</v>
      </c>
      <c r="L2340" s="7" t="s">
        <v>48</v>
      </c>
      <c r="M2340" s="7" t="s">
        <v>0</v>
      </c>
      <c r="N2340" s="7" t="s">
        <v>6836</v>
      </c>
      <c r="O2340" s="7" t="s">
        <v>0</v>
      </c>
      <c r="P2340" s="7" t="s">
        <v>6838</v>
      </c>
      <c r="Q2340" s="7" t="s">
        <v>6840</v>
      </c>
      <c r="R2340" s="7" t="s">
        <v>135</v>
      </c>
      <c r="S2340" s="7" t="s">
        <v>135</v>
      </c>
      <c r="T2340" s="7" t="s">
        <v>54</v>
      </c>
      <c r="U2340" s="7" t="s">
        <v>136</v>
      </c>
      <c r="V2340" s="7" t="s">
        <v>102</v>
      </c>
      <c r="W2340" s="7" t="s">
        <v>57</v>
      </c>
      <c r="X2340" s="7" t="s">
        <v>103</v>
      </c>
      <c r="Y2340" s="8">
        <v>44438</v>
      </c>
      <c r="Z2340" s="8">
        <v>44926</v>
      </c>
      <c r="AA2340" s="7" t="s">
        <v>6296</v>
      </c>
      <c r="AB2340" s="7" t="s">
        <v>1738</v>
      </c>
      <c r="AC2340" s="7" t="s">
        <v>65</v>
      </c>
      <c r="AD2340" s="7" t="s">
        <v>0</v>
      </c>
      <c r="AE2340" s="7" t="s">
        <v>0</v>
      </c>
      <c r="AF2340" s="7" t="s">
        <v>0</v>
      </c>
      <c r="AG2340" s="7" t="s">
        <v>0</v>
      </c>
      <c r="AH2340" s="9" t="s">
        <v>0</v>
      </c>
      <c r="AI2340" s="9" t="s">
        <v>0</v>
      </c>
      <c r="AJ2340" s="9" t="s">
        <v>0</v>
      </c>
      <c r="AK2340" s="7" t="s">
        <v>61</v>
      </c>
      <c r="AL2340" s="7" t="s">
        <v>61</v>
      </c>
      <c r="AM2340" s="7" t="s">
        <v>0</v>
      </c>
      <c r="AN2340" s="7" t="s">
        <v>0</v>
      </c>
      <c r="AO2340" s="7" t="s">
        <v>0</v>
      </c>
      <c r="AP2340" s="7" t="s">
        <v>0</v>
      </c>
      <c r="AQ2340" s="7" t="s">
        <v>61</v>
      </c>
      <c r="AR2340" s="7" t="s">
        <v>0</v>
      </c>
      <c r="AS2340" s="10" t="str">
        <f>HYPERLINK("https://tessa.gazprom-neft.local/edo/card/cb1258a4-ee28-4301-9a30-df6b7eac1ca0", "https://tessa.gazprom-neft.local/edo/card/cb1258a4-ee28-4301-9a30-df6b7eac1ca0")</f>
        <v>https://tessa.gazprom-neft.local/edo/card/cb1258a4-ee28-4301-9a30-df6b7eac1ca0</v>
      </c>
    </row>
    <row r="2341" spans="1:45" x14ac:dyDescent="0.25">
      <c r="A2341" s="6" t="s">
        <v>44</v>
      </c>
      <c r="B2341" s="7" t="s">
        <v>3073</v>
      </c>
      <c r="C2341" s="7" t="s">
        <v>67</v>
      </c>
      <c r="D2341" s="8">
        <v>44438</v>
      </c>
      <c r="E2341" s="8" t="s">
        <v>0</v>
      </c>
      <c r="F2341" s="16" t="s">
        <v>3074</v>
      </c>
      <c r="G2341" s="7" t="s">
        <v>3075</v>
      </c>
      <c r="H2341" s="7" t="s">
        <v>3421</v>
      </c>
      <c r="I2341" s="7" t="s">
        <v>0</v>
      </c>
      <c r="J2341" s="7" t="s">
        <v>6839</v>
      </c>
      <c r="K2341" s="7" t="s">
        <v>47</v>
      </c>
      <c r="L2341" s="7" t="s">
        <v>48</v>
      </c>
      <c r="M2341" s="7" t="s">
        <v>0</v>
      </c>
      <c r="N2341" s="7" t="s">
        <v>6852</v>
      </c>
      <c r="O2341" s="7" t="s">
        <v>0</v>
      </c>
      <c r="P2341" s="7" t="s">
        <v>6853</v>
      </c>
      <c r="Q2341" s="7" t="s">
        <v>6854</v>
      </c>
      <c r="R2341" s="7" t="s">
        <v>135</v>
      </c>
      <c r="S2341" s="7" t="s">
        <v>135</v>
      </c>
      <c r="T2341" s="7" t="s">
        <v>54</v>
      </c>
      <c r="U2341" s="7" t="s">
        <v>136</v>
      </c>
      <c r="V2341" s="7" t="s">
        <v>102</v>
      </c>
      <c r="W2341" s="7" t="s">
        <v>57</v>
      </c>
      <c r="X2341" s="7" t="s">
        <v>103</v>
      </c>
      <c r="Y2341" s="8">
        <v>44438</v>
      </c>
      <c r="Z2341" s="8">
        <v>44926</v>
      </c>
      <c r="AA2341" s="7" t="s">
        <v>6296</v>
      </c>
      <c r="AB2341" s="7" t="s">
        <v>1738</v>
      </c>
      <c r="AC2341" s="7" t="s">
        <v>65</v>
      </c>
      <c r="AD2341" s="7" t="s">
        <v>0</v>
      </c>
      <c r="AE2341" s="7" t="s">
        <v>0</v>
      </c>
      <c r="AF2341" s="7" t="s">
        <v>0</v>
      </c>
      <c r="AG2341" s="7" t="s">
        <v>0</v>
      </c>
      <c r="AH2341" s="9" t="s">
        <v>0</v>
      </c>
      <c r="AI2341" s="9" t="s">
        <v>0</v>
      </c>
      <c r="AJ2341" s="9" t="s">
        <v>0</v>
      </c>
      <c r="AK2341" s="7" t="s">
        <v>61</v>
      </c>
      <c r="AL2341" s="7" t="s">
        <v>61</v>
      </c>
      <c r="AM2341" s="7" t="s">
        <v>0</v>
      </c>
      <c r="AN2341" s="7" t="s">
        <v>0</v>
      </c>
      <c r="AO2341" s="7" t="s">
        <v>0</v>
      </c>
      <c r="AP2341" s="7" t="s">
        <v>0</v>
      </c>
      <c r="AQ2341" s="7" t="s">
        <v>61</v>
      </c>
      <c r="AR2341" s="7" t="s">
        <v>0</v>
      </c>
      <c r="AS2341" s="10" t="str">
        <f>HYPERLINK("https://tessa.gazprom-neft.local/edo/card/c138d908-8ee7-46f3-94b7-1f1c2c974187", "https://tessa.gazprom-neft.local/edo/card/c138d908-8ee7-46f3-94b7-1f1c2c974187")</f>
        <v>https://tessa.gazprom-neft.local/edo/card/c138d908-8ee7-46f3-94b7-1f1c2c974187</v>
      </c>
    </row>
    <row r="2342" spans="1:45" x14ac:dyDescent="0.25">
      <c r="A2342" s="6" t="s">
        <v>44</v>
      </c>
      <c r="B2342" s="7" t="s">
        <v>1396</v>
      </c>
      <c r="C2342" s="7" t="s">
        <v>67</v>
      </c>
      <c r="D2342" s="8">
        <v>44438</v>
      </c>
      <c r="E2342" s="8" t="s">
        <v>0</v>
      </c>
      <c r="F2342" s="16" t="s">
        <v>1397</v>
      </c>
      <c r="G2342" s="7" t="s">
        <v>1398</v>
      </c>
      <c r="H2342" s="7" t="s">
        <v>3724</v>
      </c>
      <c r="I2342" s="7" t="s">
        <v>0</v>
      </c>
      <c r="J2342" s="7" t="s">
        <v>6152</v>
      </c>
      <c r="K2342" s="7" t="s">
        <v>47</v>
      </c>
      <c r="L2342" s="7" t="s">
        <v>48</v>
      </c>
      <c r="M2342" s="7" t="s">
        <v>0</v>
      </c>
      <c r="N2342" s="7" t="s">
        <v>7100</v>
      </c>
      <c r="O2342" s="7" t="s">
        <v>0</v>
      </c>
      <c r="P2342" s="7" t="s">
        <v>7101</v>
      </c>
      <c r="Q2342" s="7" t="s">
        <v>7102</v>
      </c>
      <c r="R2342" s="7" t="s">
        <v>135</v>
      </c>
      <c r="S2342" s="7" t="s">
        <v>0</v>
      </c>
      <c r="T2342" s="7" t="s">
        <v>54</v>
      </c>
      <c r="U2342" s="7" t="s">
        <v>136</v>
      </c>
      <c r="V2342" s="7" t="s">
        <v>102</v>
      </c>
      <c r="W2342" s="7" t="s">
        <v>57</v>
      </c>
      <c r="X2342" s="7" t="s">
        <v>103</v>
      </c>
      <c r="Y2342" s="8">
        <v>44438</v>
      </c>
      <c r="Z2342" s="8">
        <v>45657</v>
      </c>
      <c r="AA2342" s="7" t="s">
        <v>6296</v>
      </c>
      <c r="AB2342" s="7" t="s">
        <v>1738</v>
      </c>
      <c r="AC2342" s="7" t="s">
        <v>79</v>
      </c>
      <c r="AD2342" s="7" t="s">
        <v>80</v>
      </c>
      <c r="AE2342" s="7" t="s">
        <v>118</v>
      </c>
      <c r="AF2342" s="7" t="s">
        <v>0</v>
      </c>
      <c r="AG2342" s="7" t="s">
        <v>0</v>
      </c>
      <c r="AH2342" s="9" t="s">
        <v>13063</v>
      </c>
      <c r="AI2342" s="9" t="s">
        <v>13063</v>
      </c>
      <c r="AJ2342" s="9">
        <v>0</v>
      </c>
      <c r="AK2342" s="7" t="s">
        <v>61</v>
      </c>
      <c r="AL2342" s="7" t="s">
        <v>61</v>
      </c>
      <c r="AM2342" s="7" t="s">
        <v>0</v>
      </c>
      <c r="AN2342" s="7" t="s">
        <v>0</v>
      </c>
      <c r="AO2342" s="7" t="s">
        <v>0</v>
      </c>
      <c r="AP2342" s="7" t="s">
        <v>0</v>
      </c>
      <c r="AQ2342" s="7" t="s">
        <v>61</v>
      </c>
      <c r="AR2342" s="7" t="s">
        <v>0</v>
      </c>
      <c r="AS2342" s="10" t="str">
        <f>HYPERLINK("https://tessa.gazprom-neft.local/edo/card/f4ba82bc-071a-49b1-b2a7-469a18d6e005", "https://tessa.gazprom-neft.local/edo/card/f4ba82bc-071a-49b1-b2a7-469a18d6e005")</f>
        <v>https://tessa.gazprom-neft.local/edo/card/f4ba82bc-071a-49b1-b2a7-469a18d6e005</v>
      </c>
    </row>
    <row r="2343" spans="1:45" hidden="1" x14ac:dyDescent="0.25">
      <c r="A2343" s="6" t="s">
        <v>44</v>
      </c>
      <c r="B2343" s="7" t="s">
        <v>885</v>
      </c>
      <c r="C2343" s="7" t="s">
        <v>67</v>
      </c>
      <c r="D2343" s="8">
        <v>44438</v>
      </c>
      <c r="E2343" s="8" t="s">
        <v>0</v>
      </c>
      <c r="F2343" s="16" t="s">
        <v>886</v>
      </c>
      <c r="G2343" s="7" t="s">
        <v>887</v>
      </c>
      <c r="H2343" s="7" t="s">
        <v>1421</v>
      </c>
      <c r="I2343" s="7" t="s">
        <v>0</v>
      </c>
      <c r="J2343" s="7" t="s">
        <v>1098</v>
      </c>
      <c r="K2343" s="7" t="s">
        <v>47</v>
      </c>
      <c r="L2343" s="7" t="s">
        <v>239</v>
      </c>
      <c r="M2343" s="7" t="s">
        <v>0</v>
      </c>
      <c r="N2343" s="7" t="s">
        <v>7612</v>
      </c>
      <c r="O2343" s="7" t="s">
        <v>0</v>
      </c>
      <c r="P2343" s="7" t="s">
        <v>7613</v>
      </c>
      <c r="Q2343" s="7" t="s">
        <v>7614</v>
      </c>
      <c r="R2343" s="7" t="s">
        <v>604</v>
      </c>
      <c r="S2343" s="7" t="s">
        <v>604</v>
      </c>
      <c r="T2343" s="7" t="s">
        <v>54</v>
      </c>
      <c r="U2343" s="7" t="s">
        <v>605</v>
      </c>
      <c r="V2343" s="7" t="s">
        <v>382</v>
      </c>
      <c r="W2343" s="7" t="s">
        <v>57</v>
      </c>
      <c r="X2343" s="7" t="s">
        <v>103</v>
      </c>
      <c r="Y2343" s="8">
        <v>44438</v>
      </c>
      <c r="Z2343" s="8">
        <v>44926</v>
      </c>
      <c r="AA2343" s="7" t="s">
        <v>1656</v>
      </c>
      <c r="AB2343" s="7" t="s">
        <v>888</v>
      </c>
      <c r="AC2343" s="7" t="s">
        <v>79</v>
      </c>
      <c r="AD2343" s="7" t="s">
        <v>144</v>
      </c>
      <c r="AE2343" s="7" t="s">
        <v>889</v>
      </c>
      <c r="AF2343" s="7" t="s">
        <v>0</v>
      </c>
      <c r="AG2343" s="7" t="s">
        <v>0</v>
      </c>
      <c r="AH2343" s="9" t="s">
        <v>13239</v>
      </c>
      <c r="AI2343" s="9" t="s">
        <v>13239</v>
      </c>
      <c r="AJ2343" s="9">
        <v>0</v>
      </c>
      <c r="AK2343" s="7" t="s">
        <v>61</v>
      </c>
      <c r="AL2343" s="7" t="s">
        <v>61</v>
      </c>
      <c r="AM2343" s="7" t="s">
        <v>0</v>
      </c>
      <c r="AN2343" s="7" t="s">
        <v>0</v>
      </c>
      <c r="AO2343" s="7" t="s">
        <v>0</v>
      </c>
      <c r="AP2343" s="7" t="s">
        <v>0</v>
      </c>
      <c r="AQ2343" s="7" t="s">
        <v>61</v>
      </c>
      <c r="AR2343" s="7" t="s">
        <v>0</v>
      </c>
      <c r="AS2343" s="10" t="str">
        <f>HYPERLINK("https://tessa.gazprom-neft.local/edo/card/bd58cfcb-8350-447f-b9ce-9447ea2218b3", "https://tessa.gazprom-neft.local/edo/card/bd58cfcb-8350-447f-b9ce-9447ea2218b3")</f>
        <v>https://tessa.gazprom-neft.local/edo/card/bd58cfcb-8350-447f-b9ce-9447ea2218b3</v>
      </c>
    </row>
    <row r="2344" spans="1:45" x14ac:dyDescent="0.25">
      <c r="A2344" s="6" t="s">
        <v>44</v>
      </c>
      <c r="B2344" s="7" t="s">
        <v>4071</v>
      </c>
      <c r="C2344" s="7" t="s">
        <v>67</v>
      </c>
      <c r="D2344" s="8">
        <v>44438</v>
      </c>
      <c r="E2344" s="8" t="s">
        <v>0</v>
      </c>
      <c r="F2344" s="16" t="s">
        <v>4072</v>
      </c>
      <c r="G2344" s="7" t="s">
        <v>4073</v>
      </c>
      <c r="H2344" s="7" t="s">
        <v>4580</v>
      </c>
      <c r="I2344" s="7" t="s">
        <v>0</v>
      </c>
      <c r="J2344" s="7" t="s">
        <v>271</v>
      </c>
      <c r="K2344" s="7" t="s">
        <v>85</v>
      </c>
      <c r="L2344" s="7" t="s">
        <v>48</v>
      </c>
      <c r="M2344" s="7" t="s">
        <v>7037</v>
      </c>
      <c r="N2344" s="7" t="s">
        <v>9007</v>
      </c>
      <c r="O2344" s="7" t="s">
        <v>0</v>
      </c>
      <c r="P2344" s="7" t="s">
        <v>7037</v>
      </c>
      <c r="Q2344" s="7" t="s">
        <v>9008</v>
      </c>
      <c r="R2344" s="7" t="s">
        <v>519</v>
      </c>
      <c r="S2344" s="7" t="s">
        <v>519</v>
      </c>
      <c r="T2344" s="7" t="s">
        <v>54</v>
      </c>
      <c r="U2344" s="7" t="s">
        <v>362</v>
      </c>
      <c r="V2344" s="7" t="s">
        <v>295</v>
      </c>
      <c r="W2344" s="7" t="s">
        <v>57</v>
      </c>
      <c r="X2344" s="7" t="s">
        <v>103</v>
      </c>
      <c r="Y2344" s="8">
        <v>44438</v>
      </c>
      <c r="Z2344" s="8">
        <v>44926</v>
      </c>
      <c r="AA2344" s="7" t="s">
        <v>1269</v>
      </c>
      <c r="AB2344" s="7" t="s">
        <v>64</v>
      </c>
      <c r="AC2344" s="7" t="s">
        <v>65</v>
      </c>
      <c r="AD2344" s="7" t="s">
        <v>514</v>
      </c>
      <c r="AE2344" s="7" t="s">
        <v>0</v>
      </c>
      <c r="AF2344" s="7" t="s">
        <v>0</v>
      </c>
      <c r="AG2344" s="7" t="s">
        <v>0</v>
      </c>
      <c r="AH2344" s="9" t="s">
        <v>0</v>
      </c>
      <c r="AI2344" s="9" t="s">
        <v>0</v>
      </c>
      <c r="AJ2344" s="9" t="s">
        <v>0</v>
      </c>
      <c r="AK2344" s="7" t="s">
        <v>61</v>
      </c>
      <c r="AL2344" s="7" t="s">
        <v>61</v>
      </c>
      <c r="AM2344" s="7" t="s">
        <v>0</v>
      </c>
      <c r="AN2344" s="7" t="s">
        <v>0</v>
      </c>
      <c r="AO2344" s="7" t="s">
        <v>0</v>
      </c>
      <c r="AP2344" s="7" t="s">
        <v>0</v>
      </c>
      <c r="AQ2344" s="7" t="s">
        <v>61</v>
      </c>
      <c r="AR2344" s="7" t="s">
        <v>0</v>
      </c>
      <c r="AS2344" s="10" t="str">
        <f>HYPERLINK("https://tessa.gazprom-neft.local/edo/card/1eec4bb1-70d1-4b2f-8c6b-6ee0a600f2e4", "https://tessa.gazprom-neft.local/edo/card/1eec4bb1-70d1-4b2f-8c6b-6ee0a600f2e4")</f>
        <v>https://tessa.gazprom-neft.local/edo/card/1eec4bb1-70d1-4b2f-8c6b-6ee0a600f2e4</v>
      </c>
    </row>
    <row r="2345" spans="1:45" x14ac:dyDescent="0.25">
      <c r="A2345" s="6" t="s">
        <v>44</v>
      </c>
      <c r="B2345" s="7" t="s">
        <v>520</v>
      </c>
      <c r="C2345" s="7" t="s">
        <v>46</v>
      </c>
      <c r="D2345" s="8">
        <v>44435</v>
      </c>
      <c r="E2345" s="8" t="s">
        <v>0</v>
      </c>
      <c r="F2345" s="16" t="s">
        <v>521</v>
      </c>
      <c r="G2345" s="7" t="s">
        <v>522</v>
      </c>
      <c r="H2345" s="7" t="s">
        <v>6547</v>
      </c>
      <c r="I2345" s="7" t="s">
        <v>0</v>
      </c>
      <c r="J2345" s="7" t="s">
        <v>51</v>
      </c>
      <c r="K2345" s="7" t="s">
        <v>47</v>
      </c>
      <c r="L2345" s="7" t="s">
        <v>48</v>
      </c>
      <c r="M2345" s="7" t="s">
        <v>0</v>
      </c>
      <c r="N2345" s="7" t="s">
        <v>6546</v>
      </c>
      <c r="O2345" s="7" t="s">
        <v>0</v>
      </c>
      <c r="P2345" s="7" t="s">
        <v>6548</v>
      </c>
      <c r="Q2345" s="7" t="s">
        <v>6549</v>
      </c>
      <c r="R2345" s="7" t="s">
        <v>187</v>
      </c>
      <c r="S2345" s="7" t="s">
        <v>1523</v>
      </c>
      <c r="T2345" s="7" t="s">
        <v>54</v>
      </c>
      <c r="U2345" s="7" t="s">
        <v>188</v>
      </c>
      <c r="V2345" s="7" t="s">
        <v>187</v>
      </c>
      <c r="W2345" s="7" t="s">
        <v>57</v>
      </c>
      <c r="X2345" s="7" t="s">
        <v>103</v>
      </c>
      <c r="Y2345" s="8">
        <v>44424</v>
      </c>
      <c r="Z2345" s="8">
        <v>45291</v>
      </c>
      <c r="AA2345" s="7" t="s">
        <v>373</v>
      </c>
      <c r="AB2345" s="7" t="s">
        <v>64</v>
      </c>
      <c r="AC2345" s="7" t="s">
        <v>79</v>
      </c>
      <c r="AD2345" s="7" t="s">
        <v>80</v>
      </c>
      <c r="AE2345" s="7" t="s">
        <v>82</v>
      </c>
      <c r="AF2345" s="7" t="s">
        <v>0</v>
      </c>
      <c r="AG2345" s="7" t="s">
        <v>0</v>
      </c>
      <c r="AH2345" s="9" t="s">
        <v>12884</v>
      </c>
      <c r="AI2345" s="9" t="s">
        <v>12885</v>
      </c>
      <c r="AJ2345" s="9" t="s">
        <v>12886</v>
      </c>
      <c r="AK2345" s="7" t="s">
        <v>61</v>
      </c>
      <c r="AL2345" s="7" t="s">
        <v>61</v>
      </c>
      <c r="AM2345" s="7" t="s">
        <v>0</v>
      </c>
      <c r="AN2345" s="7" t="s">
        <v>0</v>
      </c>
      <c r="AO2345" s="7" t="s">
        <v>0</v>
      </c>
      <c r="AP2345" s="7" t="s">
        <v>0</v>
      </c>
      <c r="AQ2345" s="7" t="s">
        <v>61</v>
      </c>
      <c r="AR2345" s="7" t="s">
        <v>0</v>
      </c>
      <c r="AS2345" s="10" t="str">
        <f>HYPERLINK("https://tessa.gazprom-neft.local/edo/card/3c9a904c-61f6-482b-bf33-da6916162f55", "https://tessa.gazprom-neft.local/edo/card/3c9a904c-61f6-482b-bf33-da6916162f55")</f>
        <v>https://tessa.gazprom-neft.local/edo/card/3c9a904c-61f6-482b-bf33-da6916162f55</v>
      </c>
    </row>
    <row r="2346" spans="1:45" x14ac:dyDescent="0.25">
      <c r="A2346" s="6" t="s">
        <v>44</v>
      </c>
      <c r="B2346" s="7" t="s">
        <v>3089</v>
      </c>
      <c r="C2346" s="7" t="s">
        <v>67</v>
      </c>
      <c r="D2346" s="8">
        <v>44434</v>
      </c>
      <c r="E2346" s="8" t="s">
        <v>0</v>
      </c>
      <c r="F2346" s="16" t="s">
        <v>3090</v>
      </c>
      <c r="G2346" s="7" t="s">
        <v>3091</v>
      </c>
      <c r="H2346" s="7" t="s">
        <v>7039</v>
      </c>
      <c r="I2346" s="7" t="s">
        <v>0</v>
      </c>
      <c r="J2346" s="7" t="s">
        <v>51</v>
      </c>
      <c r="K2346" s="7" t="s">
        <v>85</v>
      </c>
      <c r="L2346" s="7" t="s">
        <v>48</v>
      </c>
      <c r="M2346" s="7" t="s">
        <v>7037</v>
      </c>
      <c r="N2346" s="7" t="s">
        <v>7038</v>
      </c>
      <c r="O2346" s="7" t="s">
        <v>0</v>
      </c>
      <c r="P2346" s="7" t="s">
        <v>7037</v>
      </c>
      <c r="Q2346" s="7" t="s">
        <v>7040</v>
      </c>
      <c r="R2346" s="7" t="s">
        <v>282</v>
      </c>
      <c r="S2346" s="7" t="s">
        <v>0</v>
      </c>
      <c r="T2346" s="7" t="s">
        <v>54</v>
      </c>
      <c r="U2346" s="7" t="s">
        <v>1683</v>
      </c>
      <c r="V2346" s="7" t="s">
        <v>295</v>
      </c>
      <c r="W2346" s="7" t="s">
        <v>57</v>
      </c>
      <c r="X2346" s="7" t="s">
        <v>103</v>
      </c>
      <c r="Y2346" s="8">
        <v>44434</v>
      </c>
      <c r="Z2346" s="8">
        <v>46022</v>
      </c>
      <c r="AA2346" s="7" t="s">
        <v>1269</v>
      </c>
      <c r="AB2346" s="7" t="s">
        <v>1748</v>
      </c>
      <c r="AC2346" s="7" t="s">
        <v>65</v>
      </c>
      <c r="AD2346" s="7" t="s">
        <v>0</v>
      </c>
      <c r="AE2346" s="7" t="s">
        <v>0</v>
      </c>
      <c r="AF2346" s="7" t="s">
        <v>0</v>
      </c>
      <c r="AG2346" s="7" t="s">
        <v>0</v>
      </c>
      <c r="AH2346" s="9" t="s">
        <v>0</v>
      </c>
      <c r="AI2346" s="9" t="s">
        <v>0</v>
      </c>
      <c r="AJ2346" s="9" t="s">
        <v>0</v>
      </c>
      <c r="AK2346" s="7" t="s">
        <v>61</v>
      </c>
      <c r="AL2346" s="7" t="s">
        <v>61</v>
      </c>
      <c r="AM2346" s="7" t="s">
        <v>0</v>
      </c>
      <c r="AN2346" s="7" t="s">
        <v>0</v>
      </c>
      <c r="AO2346" s="7" t="s">
        <v>0</v>
      </c>
      <c r="AP2346" s="7" t="s">
        <v>0</v>
      </c>
      <c r="AQ2346" s="7" t="s">
        <v>61</v>
      </c>
      <c r="AR2346" s="7" t="s">
        <v>0</v>
      </c>
      <c r="AS2346" s="10" t="str">
        <f>HYPERLINK("https://tessa.gazprom-neft.local/edo/card/28675c26-fa5e-4937-ba7b-d0ea3467e17d", "https://tessa.gazprom-neft.local/edo/card/28675c26-fa5e-4937-ba7b-d0ea3467e17d")</f>
        <v>https://tessa.gazprom-neft.local/edo/card/28675c26-fa5e-4937-ba7b-d0ea3467e17d</v>
      </c>
    </row>
    <row r="2347" spans="1:45" hidden="1" x14ac:dyDescent="0.25">
      <c r="A2347" s="6" t="s">
        <v>44</v>
      </c>
      <c r="B2347" s="7" t="s">
        <v>964</v>
      </c>
      <c r="C2347" s="7" t="s">
        <v>46</v>
      </c>
      <c r="D2347" s="8">
        <v>44433</v>
      </c>
      <c r="E2347" s="8" t="s">
        <v>0</v>
      </c>
      <c r="F2347" s="16" t="s">
        <v>965</v>
      </c>
      <c r="G2347" s="7" t="s">
        <v>966</v>
      </c>
      <c r="H2347" s="7" t="s">
        <v>0</v>
      </c>
      <c r="I2347" s="7" t="s">
        <v>1060</v>
      </c>
      <c r="J2347" s="7" t="s">
        <v>1060</v>
      </c>
      <c r="K2347" s="7" t="s">
        <v>47</v>
      </c>
      <c r="L2347" s="7" t="s">
        <v>96</v>
      </c>
      <c r="M2347" s="7" t="s">
        <v>0</v>
      </c>
      <c r="N2347" s="7" t="s">
        <v>6677</v>
      </c>
      <c r="O2347" s="7" t="s">
        <v>0</v>
      </c>
      <c r="P2347" s="7" t="s">
        <v>1121</v>
      </c>
      <c r="Q2347" s="7" t="s">
        <v>6678</v>
      </c>
      <c r="R2347" s="7" t="s">
        <v>293</v>
      </c>
      <c r="S2347" s="7" t="s">
        <v>5041</v>
      </c>
      <c r="T2347" s="7" t="s">
        <v>54</v>
      </c>
      <c r="U2347" s="7" t="s">
        <v>1683</v>
      </c>
      <c r="V2347" s="7" t="s">
        <v>56</v>
      </c>
      <c r="W2347" s="7" t="s">
        <v>57</v>
      </c>
      <c r="X2347" s="7" t="s">
        <v>103</v>
      </c>
      <c r="Y2347" s="8">
        <v>44424</v>
      </c>
      <c r="Z2347" s="8">
        <v>44561</v>
      </c>
      <c r="AA2347" s="7" t="s">
        <v>1251</v>
      </c>
      <c r="AB2347" s="7" t="s">
        <v>500</v>
      </c>
      <c r="AC2347" s="7" t="s">
        <v>79</v>
      </c>
      <c r="AD2347" s="7" t="s">
        <v>80</v>
      </c>
      <c r="AE2347" s="7" t="s">
        <v>82</v>
      </c>
      <c r="AF2347" s="7" t="s">
        <v>0</v>
      </c>
      <c r="AG2347" s="7" t="s">
        <v>0</v>
      </c>
      <c r="AH2347" s="9" t="s">
        <v>12918</v>
      </c>
      <c r="AI2347" s="9" t="s">
        <v>12919</v>
      </c>
      <c r="AJ2347" s="9" t="s">
        <v>12920</v>
      </c>
      <c r="AK2347" s="7" t="s">
        <v>61</v>
      </c>
      <c r="AL2347" s="7" t="s">
        <v>61</v>
      </c>
      <c r="AM2347" s="7" t="s">
        <v>0</v>
      </c>
      <c r="AN2347" s="7" t="s">
        <v>0</v>
      </c>
      <c r="AO2347" s="7" t="s">
        <v>0</v>
      </c>
      <c r="AP2347" s="7" t="s">
        <v>0</v>
      </c>
      <c r="AQ2347" s="7" t="s">
        <v>61</v>
      </c>
      <c r="AR2347" s="7" t="s">
        <v>0</v>
      </c>
      <c r="AS2347" s="10" t="str">
        <f>HYPERLINK("https://tessa.gazprom-neft.local/edo/card/7163f7dd-db99-43f3-bb0e-9346b043bdf3", "https://tessa.gazprom-neft.local/edo/card/7163f7dd-db99-43f3-bb0e-9346b043bdf3")</f>
        <v>https://tessa.gazprom-neft.local/edo/card/7163f7dd-db99-43f3-bb0e-9346b043bdf3</v>
      </c>
    </row>
    <row r="2348" spans="1:45" hidden="1" x14ac:dyDescent="0.25">
      <c r="A2348" s="6" t="s">
        <v>44</v>
      </c>
      <c r="B2348" s="7" t="s">
        <v>3503</v>
      </c>
      <c r="C2348" s="7" t="s">
        <v>46</v>
      </c>
      <c r="D2348" s="8">
        <v>44433</v>
      </c>
      <c r="E2348" s="8" t="s">
        <v>0</v>
      </c>
      <c r="F2348" s="16" t="s">
        <v>3504</v>
      </c>
      <c r="G2348" s="7" t="s">
        <v>3505</v>
      </c>
      <c r="H2348" s="7" t="s">
        <v>0</v>
      </c>
      <c r="I2348" s="7" t="s">
        <v>5746</v>
      </c>
      <c r="J2348" s="7" t="s">
        <v>5746</v>
      </c>
      <c r="K2348" s="7" t="s">
        <v>85</v>
      </c>
      <c r="L2348" s="7" t="s">
        <v>96</v>
      </c>
      <c r="M2348" s="7" t="s">
        <v>1121</v>
      </c>
      <c r="N2348" s="7" t="s">
        <v>6783</v>
      </c>
      <c r="O2348" s="7" t="s">
        <v>0</v>
      </c>
      <c r="P2348" s="7" t="s">
        <v>1121</v>
      </c>
      <c r="Q2348" s="7" t="s">
        <v>6784</v>
      </c>
      <c r="R2348" s="7" t="s">
        <v>293</v>
      </c>
      <c r="S2348" s="7" t="s">
        <v>293</v>
      </c>
      <c r="T2348" s="7" t="s">
        <v>54</v>
      </c>
      <c r="U2348" s="7" t="s">
        <v>1683</v>
      </c>
      <c r="V2348" s="7" t="s">
        <v>56</v>
      </c>
      <c r="W2348" s="7" t="s">
        <v>57</v>
      </c>
      <c r="X2348" s="7" t="s">
        <v>58</v>
      </c>
      <c r="Y2348" s="8">
        <v>44433</v>
      </c>
      <c r="Z2348" s="8" t="s">
        <v>0</v>
      </c>
      <c r="AA2348" s="7" t="s">
        <v>1251</v>
      </c>
      <c r="AB2348" s="7" t="s">
        <v>500</v>
      </c>
      <c r="AC2348" s="7" t="s">
        <v>79</v>
      </c>
      <c r="AD2348" s="7" t="s">
        <v>80</v>
      </c>
      <c r="AE2348" s="7" t="s">
        <v>82</v>
      </c>
      <c r="AF2348" s="7" t="s">
        <v>0</v>
      </c>
      <c r="AG2348" s="7" t="s">
        <v>0</v>
      </c>
      <c r="AH2348" s="9" t="s">
        <v>12946</v>
      </c>
      <c r="AI2348" s="9" t="s">
        <v>12947</v>
      </c>
      <c r="AJ2348" s="9" t="s">
        <v>12948</v>
      </c>
      <c r="AK2348" s="7" t="s">
        <v>61</v>
      </c>
      <c r="AL2348" s="7" t="s">
        <v>61</v>
      </c>
      <c r="AM2348" s="7" t="s">
        <v>0</v>
      </c>
      <c r="AN2348" s="7" t="s">
        <v>0</v>
      </c>
      <c r="AO2348" s="7" t="s">
        <v>0</v>
      </c>
      <c r="AP2348" s="7" t="s">
        <v>0</v>
      </c>
      <c r="AQ2348" s="7" t="s">
        <v>61</v>
      </c>
      <c r="AR2348" s="7" t="s">
        <v>0</v>
      </c>
      <c r="AS2348" s="10" t="str">
        <f>HYPERLINK("https://tessa.gazprom-neft.local/edo/card/a86d18c9-0953-41c3-8baa-8f5fad1831f5", "https://tessa.gazprom-neft.local/edo/card/a86d18c9-0953-41c3-8baa-8f5fad1831f5")</f>
        <v>https://tessa.gazprom-neft.local/edo/card/a86d18c9-0953-41c3-8baa-8f5fad1831f5</v>
      </c>
    </row>
    <row r="2349" spans="1:45" x14ac:dyDescent="0.25">
      <c r="A2349" s="6" t="s">
        <v>44</v>
      </c>
      <c r="B2349" s="7" t="s">
        <v>7050</v>
      </c>
      <c r="C2349" s="7" t="s">
        <v>46</v>
      </c>
      <c r="D2349" s="8">
        <v>44433</v>
      </c>
      <c r="E2349" s="8" t="s">
        <v>0</v>
      </c>
      <c r="F2349" s="16" t="s">
        <v>7051</v>
      </c>
      <c r="G2349" s="7" t="s">
        <v>7052</v>
      </c>
      <c r="H2349" s="7" t="s">
        <v>7048</v>
      </c>
      <c r="I2349" s="7" t="s">
        <v>0</v>
      </c>
      <c r="J2349" s="7" t="s">
        <v>51</v>
      </c>
      <c r="K2349" s="7" t="s">
        <v>47</v>
      </c>
      <c r="L2349" s="7" t="s">
        <v>48</v>
      </c>
      <c r="M2349" s="7" t="s">
        <v>0</v>
      </c>
      <c r="N2349" s="7" t="s">
        <v>7047</v>
      </c>
      <c r="O2349" s="7" t="s">
        <v>0</v>
      </c>
      <c r="P2349" s="7" t="s">
        <v>1859</v>
      </c>
      <c r="Q2349" s="7" t="s">
        <v>7049</v>
      </c>
      <c r="R2349" s="7" t="s">
        <v>1711</v>
      </c>
      <c r="S2349" s="7" t="s">
        <v>1711</v>
      </c>
      <c r="T2349" s="7" t="s">
        <v>54</v>
      </c>
      <c r="U2349" s="7" t="s">
        <v>605</v>
      </c>
      <c r="V2349" s="7" t="s">
        <v>137</v>
      </c>
      <c r="W2349" s="7" t="s">
        <v>57</v>
      </c>
      <c r="X2349" s="7" t="s">
        <v>223</v>
      </c>
      <c r="Y2349" s="8">
        <v>44433</v>
      </c>
      <c r="Z2349" s="8" t="s">
        <v>0</v>
      </c>
      <c r="AA2349" s="7" t="s">
        <v>0</v>
      </c>
      <c r="AB2349" s="7" t="s">
        <v>192</v>
      </c>
      <c r="AC2349" s="7" t="s">
        <v>65</v>
      </c>
      <c r="AD2349" s="7" t="s">
        <v>80</v>
      </c>
      <c r="AE2349" s="7" t="s">
        <v>0</v>
      </c>
      <c r="AF2349" s="7" t="s">
        <v>0</v>
      </c>
      <c r="AG2349" s="7" t="s">
        <v>0</v>
      </c>
      <c r="AH2349" s="9" t="s">
        <v>0</v>
      </c>
      <c r="AI2349" s="9" t="s">
        <v>0</v>
      </c>
      <c r="AJ2349" s="9" t="s">
        <v>0</v>
      </c>
      <c r="AK2349" s="7" t="s">
        <v>61</v>
      </c>
      <c r="AL2349" s="7" t="s">
        <v>61</v>
      </c>
      <c r="AM2349" s="7" t="s">
        <v>0</v>
      </c>
      <c r="AN2349" s="7" t="s">
        <v>0</v>
      </c>
      <c r="AO2349" s="7" t="s">
        <v>0</v>
      </c>
      <c r="AP2349" s="7" t="s">
        <v>0</v>
      </c>
      <c r="AQ2349" s="7" t="s">
        <v>61</v>
      </c>
      <c r="AR2349" s="7" t="s">
        <v>0</v>
      </c>
      <c r="AS2349" s="10" t="str">
        <f>HYPERLINK("https://tessa.gazprom-neft.local/edo/card/e55c6d7f-5a40-49b6-b3ec-204e42cc8be4", "https://tessa.gazprom-neft.local/edo/card/e55c6d7f-5a40-49b6-b3ec-204e42cc8be4")</f>
        <v>https://tessa.gazprom-neft.local/edo/card/e55c6d7f-5a40-49b6-b3ec-204e42cc8be4</v>
      </c>
    </row>
    <row r="2350" spans="1:45" x14ac:dyDescent="0.25">
      <c r="A2350" s="6" t="s">
        <v>44</v>
      </c>
      <c r="B2350" s="7" t="s">
        <v>1784</v>
      </c>
      <c r="C2350" s="7" t="s">
        <v>67</v>
      </c>
      <c r="D2350" s="8">
        <v>44433</v>
      </c>
      <c r="E2350" s="8" t="s">
        <v>0</v>
      </c>
      <c r="F2350" s="16" t="s">
        <v>1785</v>
      </c>
      <c r="G2350" s="7" t="s">
        <v>1786</v>
      </c>
      <c r="H2350" s="7" t="s">
        <v>7141</v>
      </c>
      <c r="I2350" s="7" t="s">
        <v>0</v>
      </c>
      <c r="J2350" s="7" t="s">
        <v>872</v>
      </c>
      <c r="K2350" s="7" t="s">
        <v>47</v>
      </c>
      <c r="L2350" s="7" t="s">
        <v>48</v>
      </c>
      <c r="M2350" s="7" t="s">
        <v>0</v>
      </c>
      <c r="N2350" s="7" t="s">
        <v>7140</v>
      </c>
      <c r="O2350" s="7" t="s">
        <v>0</v>
      </c>
      <c r="P2350" s="7" t="s">
        <v>7142</v>
      </c>
      <c r="Q2350" s="7" t="s">
        <v>7143</v>
      </c>
      <c r="R2350" s="7" t="s">
        <v>220</v>
      </c>
      <c r="S2350" s="7" t="s">
        <v>0</v>
      </c>
      <c r="T2350" s="7" t="s">
        <v>54</v>
      </c>
      <c r="U2350" s="7" t="s">
        <v>222</v>
      </c>
      <c r="V2350" s="7" t="s">
        <v>382</v>
      </c>
      <c r="W2350" s="7" t="s">
        <v>57</v>
      </c>
      <c r="X2350" s="7" t="s">
        <v>58</v>
      </c>
      <c r="Y2350" s="8">
        <v>44433</v>
      </c>
      <c r="Z2350" s="8" t="s">
        <v>0</v>
      </c>
      <c r="AA2350" s="7" t="s">
        <v>1656</v>
      </c>
      <c r="AB2350" s="7" t="s">
        <v>2403</v>
      </c>
      <c r="AC2350" s="7" t="s">
        <v>79</v>
      </c>
      <c r="AD2350" s="7" t="s">
        <v>80</v>
      </c>
      <c r="AE2350" s="7" t="s">
        <v>82</v>
      </c>
      <c r="AF2350" s="7" t="s">
        <v>0</v>
      </c>
      <c r="AG2350" s="7" t="s">
        <v>0</v>
      </c>
      <c r="AH2350" s="9" t="s">
        <v>13077</v>
      </c>
      <c r="AI2350" s="9" t="s">
        <v>13078</v>
      </c>
      <c r="AJ2350" s="9" t="s">
        <v>13079</v>
      </c>
      <c r="AK2350" s="7" t="s">
        <v>61</v>
      </c>
      <c r="AL2350" s="7" t="s">
        <v>61</v>
      </c>
      <c r="AM2350" s="7" t="s">
        <v>0</v>
      </c>
      <c r="AN2350" s="7" t="s">
        <v>0</v>
      </c>
      <c r="AO2350" s="7" t="s">
        <v>0</v>
      </c>
      <c r="AP2350" s="7" t="s">
        <v>0</v>
      </c>
      <c r="AQ2350" s="7" t="s">
        <v>61</v>
      </c>
      <c r="AR2350" s="7" t="s">
        <v>0</v>
      </c>
      <c r="AS2350" s="10" t="str">
        <f>HYPERLINK("https://tessa.gazprom-neft.local/edo/card/dcd2ed11-a943-4f65-ab4b-875e3b68ba2f", "https://tessa.gazprom-neft.local/edo/card/dcd2ed11-a943-4f65-ab4b-875e3b68ba2f")</f>
        <v>https://tessa.gazprom-neft.local/edo/card/dcd2ed11-a943-4f65-ab4b-875e3b68ba2f</v>
      </c>
    </row>
    <row r="2351" spans="1:45" hidden="1" x14ac:dyDescent="0.25">
      <c r="A2351" s="6" t="s">
        <v>44</v>
      </c>
      <c r="B2351" s="7" t="s">
        <v>1950</v>
      </c>
      <c r="C2351" s="7" t="s">
        <v>67</v>
      </c>
      <c r="D2351" s="8">
        <v>44432</v>
      </c>
      <c r="E2351" s="8" t="s">
        <v>0</v>
      </c>
      <c r="F2351" s="16" t="s">
        <v>1951</v>
      </c>
      <c r="G2351" s="7" t="s">
        <v>1952</v>
      </c>
      <c r="H2351" s="7" t="s">
        <v>0</v>
      </c>
      <c r="I2351" s="7" t="s">
        <v>1947</v>
      </c>
      <c r="J2351" s="7" t="s">
        <v>1947</v>
      </c>
      <c r="K2351" s="7" t="s">
        <v>47</v>
      </c>
      <c r="L2351" s="7" t="s">
        <v>96</v>
      </c>
      <c r="M2351" s="7" t="s">
        <v>0</v>
      </c>
      <c r="N2351" s="7" t="s">
        <v>3376</v>
      </c>
      <c r="O2351" s="7" t="s">
        <v>0</v>
      </c>
      <c r="P2351" s="7" t="s">
        <v>5237</v>
      </c>
      <c r="Q2351" s="7" t="s">
        <v>6750</v>
      </c>
      <c r="R2351" s="7" t="s">
        <v>1434</v>
      </c>
      <c r="S2351" s="7" t="s">
        <v>6751</v>
      </c>
      <c r="T2351" s="7" t="s">
        <v>54</v>
      </c>
      <c r="U2351" s="7" t="s">
        <v>125</v>
      </c>
      <c r="V2351" s="7" t="s">
        <v>382</v>
      </c>
      <c r="W2351" s="7" t="s">
        <v>57</v>
      </c>
      <c r="X2351" s="7" t="s">
        <v>103</v>
      </c>
      <c r="Y2351" s="8">
        <v>44432</v>
      </c>
      <c r="Z2351" s="8">
        <v>45657</v>
      </c>
      <c r="AA2351" s="7" t="s">
        <v>1656</v>
      </c>
      <c r="AB2351" s="7" t="s">
        <v>1893</v>
      </c>
      <c r="AC2351" s="7" t="s">
        <v>79</v>
      </c>
      <c r="AD2351" s="7" t="s">
        <v>144</v>
      </c>
      <c r="AE2351" s="7" t="s">
        <v>118</v>
      </c>
      <c r="AF2351" s="7" t="s">
        <v>0</v>
      </c>
      <c r="AG2351" s="7" t="s">
        <v>0</v>
      </c>
      <c r="AH2351" s="9" t="s">
        <v>12942</v>
      </c>
      <c r="AI2351" s="9" t="s">
        <v>12942</v>
      </c>
      <c r="AJ2351" s="9">
        <v>0</v>
      </c>
      <c r="AK2351" s="7" t="s">
        <v>61</v>
      </c>
      <c r="AL2351" s="7" t="s">
        <v>61</v>
      </c>
      <c r="AM2351" s="7" t="s">
        <v>0</v>
      </c>
      <c r="AN2351" s="7" t="s">
        <v>0</v>
      </c>
      <c r="AO2351" s="7" t="s">
        <v>0</v>
      </c>
      <c r="AP2351" s="7" t="s">
        <v>0</v>
      </c>
      <c r="AQ2351" s="7" t="s">
        <v>61</v>
      </c>
      <c r="AR2351" s="7" t="s">
        <v>0</v>
      </c>
      <c r="AS2351" s="10" t="str">
        <f>HYPERLINK("https://tessa.gazprom-neft.local/edo/card/5e64d1b2-3de9-406d-87c1-15681379f726", "https://tessa.gazprom-neft.local/edo/card/5e64d1b2-3de9-406d-87c1-15681379f726")</f>
        <v>https://tessa.gazprom-neft.local/edo/card/5e64d1b2-3de9-406d-87c1-15681379f726</v>
      </c>
    </row>
    <row r="2352" spans="1:45" hidden="1" x14ac:dyDescent="0.25">
      <c r="A2352" s="6" t="s">
        <v>44</v>
      </c>
      <c r="B2352" s="7" t="s">
        <v>6922</v>
      </c>
      <c r="C2352" s="7" t="s">
        <v>67</v>
      </c>
      <c r="D2352" s="8">
        <v>44432</v>
      </c>
      <c r="E2352" s="8" t="s">
        <v>0</v>
      </c>
      <c r="F2352" s="16" t="s">
        <v>6923</v>
      </c>
      <c r="G2352" s="7" t="s">
        <v>6924</v>
      </c>
      <c r="H2352" s="7" t="s">
        <v>0</v>
      </c>
      <c r="I2352" s="7" t="s">
        <v>6958</v>
      </c>
      <c r="J2352" s="7" t="s">
        <v>6958</v>
      </c>
      <c r="K2352" s="7" t="s">
        <v>85</v>
      </c>
      <c r="L2352" s="7" t="s">
        <v>86</v>
      </c>
      <c r="M2352" s="7" t="s">
        <v>2316</v>
      </c>
      <c r="N2352" s="7" t="s">
        <v>6957</v>
      </c>
      <c r="O2352" s="7" t="s">
        <v>0</v>
      </c>
      <c r="P2352" s="7" t="s">
        <v>2316</v>
      </c>
      <c r="Q2352" s="7" t="s">
        <v>372</v>
      </c>
      <c r="R2352" s="7" t="s">
        <v>1256</v>
      </c>
      <c r="S2352" s="7" t="s">
        <v>1256</v>
      </c>
      <c r="T2352" s="7" t="s">
        <v>54</v>
      </c>
      <c r="U2352" s="7" t="s">
        <v>591</v>
      </c>
      <c r="V2352" s="7" t="s">
        <v>382</v>
      </c>
      <c r="W2352" s="7" t="s">
        <v>57</v>
      </c>
      <c r="X2352" s="7" t="s">
        <v>58</v>
      </c>
      <c r="Y2352" s="8">
        <v>44432</v>
      </c>
      <c r="Z2352" s="8" t="s">
        <v>0</v>
      </c>
      <c r="AA2352" s="7" t="s">
        <v>1656</v>
      </c>
      <c r="AB2352" s="7" t="s">
        <v>328</v>
      </c>
      <c r="AC2352" s="7" t="s">
        <v>65</v>
      </c>
      <c r="AD2352" s="7" t="s">
        <v>0</v>
      </c>
      <c r="AE2352" s="7" t="s">
        <v>0</v>
      </c>
      <c r="AF2352" s="7" t="s">
        <v>0</v>
      </c>
      <c r="AG2352" s="7" t="s">
        <v>0</v>
      </c>
      <c r="AH2352" s="9" t="s">
        <v>0</v>
      </c>
      <c r="AI2352" s="9" t="s">
        <v>0</v>
      </c>
      <c r="AJ2352" s="9" t="s">
        <v>0</v>
      </c>
      <c r="AK2352" s="7" t="s">
        <v>61</v>
      </c>
      <c r="AL2352" s="7" t="s">
        <v>61</v>
      </c>
      <c r="AM2352" s="7" t="s">
        <v>0</v>
      </c>
      <c r="AN2352" s="7" t="s">
        <v>0</v>
      </c>
      <c r="AO2352" s="7" t="s">
        <v>0</v>
      </c>
      <c r="AP2352" s="7" t="s">
        <v>0</v>
      </c>
      <c r="AQ2352" s="7" t="s">
        <v>61</v>
      </c>
      <c r="AR2352" s="7" t="s">
        <v>0</v>
      </c>
      <c r="AS2352" s="10" t="str">
        <f>HYPERLINK("https://tessa.gazprom-neft.local/edo/card/670fe51e-0607-4f5b-a9c4-bbc20f7ba322", "https://tessa.gazprom-neft.local/edo/card/670fe51e-0607-4f5b-a9c4-bbc20f7ba322")</f>
        <v>https://tessa.gazprom-neft.local/edo/card/670fe51e-0607-4f5b-a9c4-bbc20f7ba322</v>
      </c>
    </row>
    <row r="2353" spans="1:45" hidden="1" x14ac:dyDescent="0.25">
      <c r="A2353" s="6" t="s">
        <v>44</v>
      </c>
      <c r="B2353" s="7" t="s">
        <v>245</v>
      </c>
      <c r="C2353" s="7" t="s">
        <v>67</v>
      </c>
      <c r="D2353" s="8">
        <v>44432</v>
      </c>
      <c r="E2353" s="8" t="s">
        <v>0</v>
      </c>
      <c r="F2353" s="16" t="s">
        <v>246</v>
      </c>
      <c r="G2353" s="7" t="s">
        <v>247</v>
      </c>
      <c r="H2353" s="7" t="s">
        <v>240</v>
      </c>
      <c r="I2353" s="7" t="s">
        <v>0</v>
      </c>
      <c r="J2353" s="7" t="s">
        <v>7078</v>
      </c>
      <c r="K2353" s="7" t="s">
        <v>47</v>
      </c>
      <c r="L2353" s="7" t="s">
        <v>239</v>
      </c>
      <c r="M2353" s="7" t="s">
        <v>0</v>
      </c>
      <c r="N2353" s="7" t="s">
        <v>7076</v>
      </c>
      <c r="O2353" s="7" t="s">
        <v>0</v>
      </c>
      <c r="P2353" s="7" t="s">
        <v>7077</v>
      </c>
      <c r="Q2353" s="7" t="s">
        <v>7079</v>
      </c>
      <c r="R2353" s="7" t="s">
        <v>244</v>
      </c>
      <c r="S2353" s="7" t="s">
        <v>244</v>
      </c>
      <c r="T2353" s="7" t="s">
        <v>54</v>
      </c>
      <c r="U2353" s="7" t="s">
        <v>55</v>
      </c>
      <c r="V2353" s="7" t="s">
        <v>56</v>
      </c>
      <c r="W2353" s="7" t="s">
        <v>57</v>
      </c>
      <c r="X2353" s="7" t="s">
        <v>103</v>
      </c>
      <c r="Y2353" s="8">
        <v>44432</v>
      </c>
      <c r="Z2353" s="8">
        <v>44561</v>
      </c>
      <c r="AA2353" s="7" t="s">
        <v>1251</v>
      </c>
      <c r="AB2353" s="7" t="s">
        <v>248</v>
      </c>
      <c r="AC2353" s="7" t="s">
        <v>79</v>
      </c>
      <c r="AD2353" s="7" t="s">
        <v>144</v>
      </c>
      <c r="AE2353" s="7" t="s">
        <v>82</v>
      </c>
      <c r="AF2353" s="7" t="s">
        <v>0</v>
      </c>
      <c r="AG2353" s="7" t="s">
        <v>0</v>
      </c>
      <c r="AH2353" s="9" t="s">
        <v>13050</v>
      </c>
      <c r="AI2353" s="9" t="s">
        <v>13051</v>
      </c>
      <c r="AJ2353" s="9" t="s">
        <v>13052</v>
      </c>
      <c r="AK2353" s="7" t="s">
        <v>61</v>
      </c>
      <c r="AL2353" s="7" t="s">
        <v>61</v>
      </c>
      <c r="AM2353" s="7" t="s">
        <v>0</v>
      </c>
      <c r="AN2353" s="7" t="s">
        <v>0</v>
      </c>
      <c r="AO2353" s="7" t="s">
        <v>0</v>
      </c>
      <c r="AP2353" s="7" t="s">
        <v>0</v>
      </c>
      <c r="AQ2353" s="7" t="s">
        <v>61</v>
      </c>
      <c r="AR2353" s="7" t="s">
        <v>0</v>
      </c>
      <c r="AS2353" s="10" t="str">
        <f>HYPERLINK("https://tessa.gazprom-neft.local/edo/card/c81283b1-8dc0-4a9d-ade1-6ac5cdca2e7c", "https://tessa.gazprom-neft.local/edo/card/c81283b1-8dc0-4a9d-ade1-6ac5cdca2e7c")</f>
        <v>https://tessa.gazprom-neft.local/edo/card/c81283b1-8dc0-4a9d-ade1-6ac5cdca2e7c</v>
      </c>
    </row>
    <row r="2354" spans="1:45" hidden="1" x14ac:dyDescent="0.25">
      <c r="A2354" s="6" t="s">
        <v>44</v>
      </c>
      <c r="B2354" s="7" t="s">
        <v>6387</v>
      </c>
      <c r="C2354" s="7" t="s">
        <v>67</v>
      </c>
      <c r="D2354" s="8">
        <v>44431</v>
      </c>
      <c r="E2354" s="8" t="s">
        <v>0</v>
      </c>
      <c r="F2354" s="16" t="s">
        <v>6388</v>
      </c>
      <c r="G2354" s="7" t="s">
        <v>6389</v>
      </c>
      <c r="H2354" s="7" t="s">
        <v>0</v>
      </c>
      <c r="I2354" s="7" t="s">
        <v>6718</v>
      </c>
      <c r="J2354" s="7" t="s">
        <v>6718</v>
      </c>
      <c r="K2354" s="7" t="s">
        <v>85</v>
      </c>
      <c r="L2354" s="7" t="s">
        <v>86</v>
      </c>
      <c r="M2354" s="7" t="s">
        <v>2316</v>
      </c>
      <c r="N2354" s="7" t="s">
        <v>6717</v>
      </c>
      <c r="O2354" s="7" t="s">
        <v>0</v>
      </c>
      <c r="P2354" s="7" t="s">
        <v>2316</v>
      </c>
      <c r="Q2354" s="7" t="s">
        <v>6719</v>
      </c>
      <c r="R2354" s="7" t="s">
        <v>149</v>
      </c>
      <c r="S2354" s="7" t="s">
        <v>149</v>
      </c>
      <c r="T2354" s="7" t="s">
        <v>54</v>
      </c>
      <c r="U2354" s="7" t="s">
        <v>1301</v>
      </c>
      <c r="V2354" s="7" t="s">
        <v>137</v>
      </c>
      <c r="W2354" s="7" t="s">
        <v>57</v>
      </c>
      <c r="X2354" s="7" t="s">
        <v>58</v>
      </c>
      <c r="Y2354" s="8">
        <v>44440</v>
      </c>
      <c r="Z2354" s="8" t="s">
        <v>0</v>
      </c>
      <c r="AA2354" s="7" t="s">
        <v>0</v>
      </c>
      <c r="AB2354" s="7" t="s">
        <v>328</v>
      </c>
      <c r="AC2354" s="7" t="s">
        <v>65</v>
      </c>
      <c r="AD2354" s="7" t="s">
        <v>0</v>
      </c>
      <c r="AE2354" s="7" t="s">
        <v>0</v>
      </c>
      <c r="AF2354" s="7" t="s">
        <v>0</v>
      </c>
      <c r="AG2354" s="7" t="s">
        <v>0</v>
      </c>
      <c r="AH2354" s="9" t="s">
        <v>0</v>
      </c>
      <c r="AI2354" s="9" t="s">
        <v>0</v>
      </c>
      <c r="AJ2354" s="9" t="s">
        <v>0</v>
      </c>
      <c r="AK2354" s="7" t="s">
        <v>61</v>
      </c>
      <c r="AL2354" s="7" t="s">
        <v>61</v>
      </c>
      <c r="AM2354" s="7" t="s">
        <v>0</v>
      </c>
      <c r="AN2354" s="7" t="s">
        <v>0</v>
      </c>
      <c r="AO2354" s="7" t="s">
        <v>0</v>
      </c>
      <c r="AP2354" s="7" t="s">
        <v>0</v>
      </c>
      <c r="AQ2354" s="7" t="s">
        <v>61</v>
      </c>
      <c r="AR2354" s="7" t="s">
        <v>0</v>
      </c>
      <c r="AS2354" s="10" t="str">
        <f>HYPERLINK("https://tessa.gazprom-neft.local/edo/card/5bfdbc58-5816-40de-8e0f-cbba856d8ae3", "https://tessa.gazprom-neft.local/edo/card/5bfdbc58-5816-40de-8e0f-cbba856d8ae3")</f>
        <v>https://tessa.gazprom-neft.local/edo/card/5bfdbc58-5816-40de-8e0f-cbba856d8ae3</v>
      </c>
    </row>
    <row r="2355" spans="1:45" hidden="1" x14ac:dyDescent="0.25">
      <c r="A2355" s="6" t="s">
        <v>44</v>
      </c>
      <c r="B2355" s="7" t="s">
        <v>0</v>
      </c>
      <c r="C2355" s="7" t="s">
        <v>67</v>
      </c>
      <c r="D2355" s="8">
        <v>44431</v>
      </c>
      <c r="E2355" s="8" t="s">
        <v>0</v>
      </c>
      <c r="F2355" s="16" t="s">
        <v>6800</v>
      </c>
      <c r="G2355" s="7" t="s">
        <v>0</v>
      </c>
      <c r="H2355" s="7" t="s">
        <v>0</v>
      </c>
      <c r="I2355" s="7" t="s">
        <v>5471</v>
      </c>
      <c r="J2355" s="7" t="s">
        <v>5471</v>
      </c>
      <c r="K2355" s="7" t="s">
        <v>47</v>
      </c>
      <c r="L2355" s="7" t="s">
        <v>96</v>
      </c>
      <c r="M2355" s="7" t="s">
        <v>0</v>
      </c>
      <c r="N2355" s="7" t="s">
        <v>6797</v>
      </c>
      <c r="O2355" s="7" t="s">
        <v>0</v>
      </c>
      <c r="P2355" s="7" t="s">
        <v>6798</v>
      </c>
      <c r="Q2355" s="7" t="s">
        <v>6799</v>
      </c>
      <c r="R2355" s="7" t="s">
        <v>4734</v>
      </c>
      <c r="S2355" s="7" t="s">
        <v>506</v>
      </c>
      <c r="T2355" s="7" t="s">
        <v>54</v>
      </c>
      <c r="U2355" s="7" t="s">
        <v>4736</v>
      </c>
      <c r="V2355" s="7" t="s">
        <v>56</v>
      </c>
      <c r="W2355" s="7" t="s">
        <v>57</v>
      </c>
      <c r="X2355" s="7" t="s">
        <v>103</v>
      </c>
      <c r="Y2355" s="8">
        <v>44431</v>
      </c>
      <c r="Z2355" s="8">
        <v>45291</v>
      </c>
      <c r="AA2355" s="7" t="s">
        <v>1251</v>
      </c>
      <c r="AB2355" s="7" t="s">
        <v>3761</v>
      </c>
      <c r="AC2355" s="7" t="s">
        <v>79</v>
      </c>
      <c r="AD2355" s="7" t="s">
        <v>144</v>
      </c>
      <c r="AE2355" s="7" t="s">
        <v>82</v>
      </c>
      <c r="AF2355" s="7" t="s">
        <v>0</v>
      </c>
      <c r="AG2355" s="7" t="s">
        <v>0</v>
      </c>
      <c r="AH2355" s="9" t="s">
        <v>12952</v>
      </c>
      <c r="AI2355" s="9" t="s">
        <v>12953</v>
      </c>
      <c r="AJ2355" s="9" t="s">
        <v>12954</v>
      </c>
      <c r="AK2355" s="7" t="s">
        <v>61</v>
      </c>
      <c r="AL2355" s="7" t="s">
        <v>61</v>
      </c>
      <c r="AM2355" s="7" t="s">
        <v>0</v>
      </c>
      <c r="AN2355" s="7" t="s">
        <v>0</v>
      </c>
      <c r="AO2355" s="7" t="s">
        <v>0</v>
      </c>
      <c r="AP2355" s="7" t="s">
        <v>0</v>
      </c>
      <c r="AQ2355" s="7" t="s">
        <v>61</v>
      </c>
      <c r="AR2355" s="7" t="s">
        <v>0</v>
      </c>
      <c r="AS2355" s="10" t="str">
        <f>HYPERLINK("https://tessa.gazprom-neft.local/edo/card/8a5ce884-b842-4975-9549-fc1cab11ab44", "https://tessa.gazprom-neft.local/edo/card/8a5ce884-b842-4975-9549-fc1cab11ab44")</f>
        <v>https://tessa.gazprom-neft.local/edo/card/8a5ce884-b842-4975-9549-fc1cab11ab44</v>
      </c>
    </row>
    <row r="2356" spans="1:45" hidden="1" x14ac:dyDescent="0.25">
      <c r="A2356" s="6" t="s">
        <v>44</v>
      </c>
      <c r="B2356" s="7" t="s">
        <v>350</v>
      </c>
      <c r="C2356" s="7" t="s">
        <v>67</v>
      </c>
      <c r="D2356" s="8">
        <v>44431</v>
      </c>
      <c r="E2356" s="8" t="s">
        <v>0</v>
      </c>
      <c r="F2356" s="16" t="s">
        <v>351</v>
      </c>
      <c r="G2356" s="7" t="s">
        <v>352</v>
      </c>
      <c r="H2356" s="7" t="s">
        <v>0</v>
      </c>
      <c r="I2356" s="7" t="s">
        <v>6934</v>
      </c>
      <c r="J2356" s="7" t="s">
        <v>6934</v>
      </c>
      <c r="K2356" s="7" t="s">
        <v>47</v>
      </c>
      <c r="L2356" s="7" t="s">
        <v>86</v>
      </c>
      <c r="M2356" s="7" t="s">
        <v>0</v>
      </c>
      <c r="N2356" s="7" t="s">
        <v>6933</v>
      </c>
      <c r="O2356" s="7" t="s">
        <v>0</v>
      </c>
      <c r="P2356" s="7" t="s">
        <v>6935</v>
      </c>
      <c r="Q2356" s="7" t="s">
        <v>6936</v>
      </c>
      <c r="R2356" s="7" t="s">
        <v>349</v>
      </c>
      <c r="S2356" s="7" t="s">
        <v>349</v>
      </c>
      <c r="T2356" s="7" t="s">
        <v>54</v>
      </c>
      <c r="U2356" s="7" t="s">
        <v>101</v>
      </c>
      <c r="V2356" s="7" t="s">
        <v>137</v>
      </c>
      <c r="W2356" s="7" t="s">
        <v>57</v>
      </c>
      <c r="X2356" s="7" t="s">
        <v>103</v>
      </c>
      <c r="Y2356" s="8">
        <v>44431</v>
      </c>
      <c r="Z2356" s="8">
        <v>45657</v>
      </c>
      <c r="AA2356" s="7" t="s">
        <v>0</v>
      </c>
      <c r="AB2356" s="7" t="s">
        <v>328</v>
      </c>
      <c r="AC2356" s="7" t="s">
        <v>65</v>
      </c>
      <c r="AD2356" s="7" t="s">
        <v>0</v>
      </c>
      <c r="AE2356" s="7" t="s">
        <v>0</v>
      </c>
      <c r="AF2356" s="7" t="s">
        <v>0</v>
      </c>
      <c r="AG2356" s="7" t="s">
        <v>0</v>
      </c>
      <c r="AH2356" s="9" t="s">
        <v>0</v>
      </c>
      <c r="AI2356" s="9" t="s">
        <v>0</v>
      </c>
      <c r="AJ2356" s="9" t="s">
        <v>0</v>
      </c>
      <c r="AK2356" s="7" t="s">
        <v>61</v>
      </c>
      <c r="AL2356" s="7" t="s">
        <v>61</v>
      </c>
      <c r="AM2356" s="7" t="s">
        <v>0</v>
      </c>
      <c r="AN2356" s="7" t="s">
        <v>0</v>
      </c>
      <c r="AO2356" s="7" t="s">
        <v>0</v>
      </c>
      <c r="AP2356" s="7" t="s">
        <v>0</v>
      </c>
      <c r="AQ2356" s="7" t="s">
        <v>61</v>
      </c>
      <c r="AR2356" s="7" t="s">
        <v>0</v>
      </c>
      <c r="AS2356" s="10" t="str">
        <f>HYPERLINK("https://tessa.gazprom-neft.local/edo/card/00376959-82e5-4102-80d7-4b6031303e12", "https://tessa.gazprom-neft.local/edo/card/00376959-82e5-4102-80d7-4b6031303e12")</f>
        <v>https://tessa.gazprom-neft.local/edo/card/00376959-82e5-4102-80d7-4b6031303e12</v>
      </c>
    </row>
    <row r="2357" spans="1:45" hidden="1" x14ac:dyDescent="0.25">
      <c r="A2357" s="6" t="s">
        <v>44</v>
      </c>
      <c r="B2357" s="7" t="s">
        <v>0</v>
      </c>
      <c r="C2357" s="7" t="s">
        <v>67</v>
      </c>
      <c r="D2357" s="8">
        <v>44431</v>
      </c>
      <c r="E2357" s="8" t="s">
        <v>0</v>
      </c>
      <c r="F2357" s="16" t="s">
        <v>7402</v>
      </c>
      <c r="G2357" s="7" t="s">
        <v>0</v>
      </c>
      <c r="H2357" s="7" t="s">
        <v>0</v>
      </c>
      <c r="I2357" s="7" t="s">
        <v>7400</v>
      </c>
      <c r="J2357" s="7" t="s">
        <v>7400</v>
      </c>
      <c r="K2357" s="7" t="s">
        <v>85</v>
      </c>
      <c r="L2357" s="7" t="s">
        <v>86</v>
      </c>
      <c r="M2357" s="7" t="s">
        <v>83</v>
      </c>
      <c r="N2357" s="7" t="s">
        <v>7399</v>
      </c>
      <c r="O2357" s="7" t="s">
        <v>0</v>
      </c>
      <c r="P2357" s="7" t="s">
        <v>83</v>
      </c>
      <c r="Q2357" s="7" t="s">
        <v>7401</v>
      </c>
      <c r="R2357" s="7" t="s">
        <v>506</v>
      </c>
      <c r="S2357" s="7" t="s">
        <v>506</v>
      </c>
      <c r="T2357" s="7" t="s">
        <v>54</v>
      </c>
      <c r="U2357" s="7" t="s">
        <v>541</v>
      </c>
      <c r="V2357" s="7" t="s">
        <v>137</v>
      </c>
      <c r="W2357" s="7" t="s">
        <v>57</v>
      </c>
      <c r="X2357" s="7" t="s">
        <v>223</v>
      </c>
      <c r="Y2357" s="8">
        <v>44431</v>
      </c>
      <c r="Z2357" s="8" t="s">
        <v>0</v>
      </c>
      <c r="AA2357" s="7" t="s">
        <v>0</v>
      </c>
      <c r="AB2357" s="7" t="s">
        <v>94</v>
      </c>
      <c r="AC2357" s="7" t="s">
        <v>65</v>
      </c>
      <c r="AD2357" s="7" t="s">
        <v>0</v>
      </c>
      <c r="AE2357" s="7" t="s">
        <v>0</v>
      </c>
      <c r="AF2357" s="7" t="s">
        <v>0</v>
      </c>
      <c r="AG2357" s="7" t="s">
        <v>0</v>
      </c>
      <c r="AH2357" s="9" t="s">
        <v>0</v>
      </c>
      <c r="AI2357" s="9" t="s">
        <v>0</v>
      </c>
      <c r="AJ2357" s="9" t="s">
        <v>0</v>
      </c>
      <c r="AK2357" s="7" t="s">
        <v>61</v>
      </c>
      <c r="AL2357" s="7" t="s">
        <v>61</v>
      </c>
      <c r="AM2357" s="7" t="s">
        <v>0</v>
      </c>
      <c r="AN2357" s="7" t="s">
        <v>0</v>
      </c>
      <c r="AO2357" s="7" t="s">
        <v>0</v>
      </c>
      <c r="AP2357" s="7" t="s">
        <v>0</v>
      </c>
      <c r="AQ2357" s="7" t="s">
        <v>61</v>
      </c>
      <c r="AR2357" s="7" t="s">
        <v>0</v>
      </c>
      <c r="AS2357" s="10" t="str">
        <f>HYPERLINK("https://tessa.gazprom-neft.local/edo/card/7a2789e6-9aa1-477d-8428-e544cc523f2e", "https://tessa.gazprom-neft.local/edo/card/7a2789e6-9aa1-477d-8428-e544cc523f2e")</f>
        <v>https://tessa.gazprom-neft.local/edo/card/7a2789e6-9aa1-477d-8428-e544cc523f2e</v>
      </c>
    </row>
    <row r="2358" spans="1:45" hidden="1" x14ac:dyDescent="0.25">
      <c r="A2358" s="6" t="s">
        <v>44</v>
      </c>
      <c r="B2358" s="7" t="s">
        <v>6588</v>
      </c>
      <c r="C2358" s="7" t="s">
        <v>46</v>
      </c>
      <c r="D2358" s="8">
        <v>44429</v>
      </c>
      <c r="E2358" s="8" t="s">
        <v>0</v>
      </c>
      <c r="F2358" s="16" t="s">
        <v>6589</v>
      </c>
      <c r="G2358" s="7" t="s">
        <v>6590</v>
      </c>
      <c r="H2358" s="7" t="s">
        <v>0</v>
      </c>
      <c r="I2358" s="7" t="s">
        <v>6587</v>
      </c>
      <c r="J2358" s="7" t="s">
        <v>6587</v>
      </c>
      <c r="K2358" s="7" t="s">
        <v>47</v>
      </c>
      <c r="L2358" s="7" t="s">
        <v>96</v>
      </c>
      <c r="M2358" s="7" t="s">
        <v>0</v>
      </c>
      <c r="N2358" s="7" t="s">
        <v>6586</v>
      </c>
      <c r="O2358" s="7" t="s">
        <v>0</v>
      </c>
      <c r="P2358" s="7" t="s">
        <v>64</v>
      </c>
      <c r="Q2358" s="7" t="s">
        <v>1918</v>
      </c>
      <c r="R2358" s="7" t="s">
        <v>349</v>
      </c>
      <c r="S2358" s="7" t="s">
        <v>349</v>
      </c>
      <c r="T2358" s="7" t="s">
        <v>54</v>
      </c>
      <c r="U2358" s="7" t="s">
        <v>101</v>
      </c>
      <c r="V2358" s="7" t="s">
        <v>137</v>
      </c>
      <c r="W2358" s="7" t="s">
        <v>57</v>
      </c>
      <c r="X2358" s="7" t="s">
        <v>103</v>
      </c>
      <c r="Y2358" s="8">
        <v>44429</v>
      </c>
      <c r="Z2358" s="8">
        <v>44551</v>
      </c>
      <c r="AA2358" s="7" t="s">
        <v>0</v>
      </c>
      <c r="AB2358" s="7" t="s">
        <v>192</v>
      </c>
      <c r="AC2358" s="7" t="s">
        <v>79</v>
      </c>
      <c r="AD2358" s="7" t="s">
        <v>80</v>
      </c>
      <c r="AE2358" s="7" t="s">
        <v>193</v>
      </c>
      <c r="AF2358" s="7" t="s">
        <v>0</v>
      </c>
      <c r="AG2358" s="7" t="s">
        <v>0</v>
      </c>
      <c r="AH2358" s="9" t="s">
        <v>11176</v>
      </c>
      <c r="AI2358" s="9" t="s">
        <v>11177</v>
      </c>
      <c r="AJ2358" s="9" t="s">
        <v>11178</v>
      </c>
      <c r="AK2358" s="7" t="s">
        <v>61</v>
      </c>
      <c r="AL2358" s="7" t="s">
        <v>61</v>
      </c>
      <c r="AM2358" s="7" t="s">
        <v>0</v>
      </c>
      <c r="AN2358" s="7" t="s">
        <v>0</v>
      </c>
      <c r="AO2358" s="7" t="s">
        <v>0</v>
      </c>
      <c r="AP2358" s="7" t="s">
        <v>0</v>
      </c>
      <c r="AQ2358" s="7" t="s">
        <v>61</v>
      </c>
      <c r="AR2358" s="7" t="s">
        <v>0</v>
      </c>
      <c r="AS2358" s="10" t="str">
        <f>HYPERLINK("https://tessa.gazprom-neft.local/edo/card/6d377880-54b5-408e-9e39-0bfd77fdd3e4", "https://tessa.gazprom-neft.local/edo/card/6d377880-54b5-408e-9e39-0bfd77fdd3e4")</f>
        <v>https://tessa.gazprom-neft.local/edo/card/6d377880-54b5-408e-9e39-0bfd77fdd3e4</v>
      </c>
    </row>
    <row r="2359" spans="1:45" hidden="1" x14ac:dyDescent="0.25">
      <c r="A2359" s="6" t="s">
        <v>44</v>
      </c>
      <c r="B2359" s="7" t="s">
        <v>1712</v>
      </c>
      <c r="C2359" s="7" t="s">
        <v>67</v>
      </c>
      <c r="D2359" s="8">
        <v>44428</v>
      </c>
      <c r="E2359" s="8" t="s">
        <v>0</v>
      </c>
      <c r="F2359" s="16" t="s">
        <v>1713</v>
      </c>
      <c r="G2359" s="7" t="s">
        <v>1714</v>
      </c>
      <c r="H2359" s="7" t="s">
        <v>1707</v>
      </c>
      <c r="I2359" s="7" t="s">
        <v>0</v>
      </c>
      <c r="J2359" s="7" t="s">
        <v>6760</v>
      </c>
      <c r="K2359" s="7" t="s">
        <v>47</v>
      </c>
      <c r="L2359" s="7" t="s">
        <v>389</v>
      </c>
      <c r="M2359" s="7" t="s">
        <v>0</v>
      </c>
      <c r="N2359" s="7" t="s">
        <v>6758</v>
      </c>
      <c r="O2359" s="7" t="s">
        <v>0</v>
      </c>
      <c r="P2359" s="7" t="s">
        <v>6759</v>
      </c>
      <c r="Q2359" s="7" t="s">
        <v>1710</v>
      </c>
      <c r="R2359" s="7" t="s">
        <v>1711</v>
      </c>
      <c r="S2359" s="7" t="s">
        <v>1711</v>
      </c>
      <c r="T2359" s="7" t="s">
        <v>54</v>
      </c>
      <c r="U2359" s="7" t="s">
        <v>605</v>
      </c>
      <c r="V2359" s="7" t="s">
        <v>382</v>
      </c>
      <c r="W2359" s="7" t="s">
        <v>57</v>
      </c>
      <c r="X2359" s="7" t="s">
        <v>103</v>
      </c>
      <c r="Y2359" s="8">
        <v>44428</v>
      </c>
      <c r="Z2359" s="8">
        <v>45291</v>
      </c>
      <c r="AA2359" s="7" t="s">
        <v>1656</v>
      </c>
      <c r="AB2359" s="7" t="s">
        <v>1715</v>
      </c>
      <c r="AC2359" s="7" t="s">
        <v>79</v>
      </c>
      <c r="AD2359" s="7" t="s">
        <v>144</v>
      </c>
      <c r="AE2359" s="7" t="s">
        <v>889</v>
      </c>
      <c r="AF2359" s="7" t="s">
        <v>0</v>
      </c>
      <c r="AG2359" s="7" t="s">
        <v>0</v>
      </c>
      <c r="AH2359" s="9" t="s">
        <v>11101</v>
      </c>
      <c r="AI2359" s="9" t="s">
        <v>11101</v>
      </c>
      <c r="AJ2359" s="9">
        <v>0</v>
      </c>
      <c r="AK2359" s="7" t="s">
        <v>61</v>
      </c>
      <c r="AL2359" s="7" t="s">
        <v>61</v>
      </c>
      <c r="AM2359" s="7" t="s">
        <v>0</v>
      </c>
      <c r="AN2359" s="7" t="s">
        <v>0</v>
      </c>
      <c r="AO2359" s="7" t="s">
        <v>0</v>
      </c>
      <c r="AP2359" s="7" t="s">
        <v>0</v>
      </c>
      <c r="AQ2359" s="7" t="s">
        <v>61</v>
      </c>
      <c r="AR2359" s="7" t="s">
        <v>0</v>
      </c>
      <c r="AS2359" s="10" t="str">
        <f>HYPERLINK("https://tessa.gazprom-neft.local/edo/card/eb430486-3a52-4e1b-8475-a45d47e3b8bb", "https://tessa.gazprom-neft.local/edo/card/eb430486-3a52-4e1b-8475-a45d47e3b8bb")</f>
        <v>https://tessa.gazprom-neft.local/edo/card/eb430486-3a52-4e1b-8475-a45d47e3b8bb</v>
      </c>
    </row>
    <row r="2360" spans="1:45" x14ac:dyDescent="0.25">
      <c r="A2360" s="6" t="s">
        <v>44</v>
      </c>
      <c r="B2360" s="7" t="s">
        <v>1552</v>
      </c>
      <c r="C2360" s="7" t="s">
        <v>67</v>
      </c>
      <c r="D2360" s="8">
        <v>44428</v>
      </c>
      <c r="E2360" s="8" t="s">
        <v>0</v>
      </c>
      <c r="F2360" s="16" t="s">
        <v>1553</v>
      </c>
      <c r="G2360" s="7" t="s">
        <v>1554</v>
      </c>
      <c r="H2360" s="7" t="s">
        <v>1548</v>
      </c>
      <c r="I2360" s="7" t="s">
        <v>0</v>
      </c>
      <c r="J2360" s="7" t="s">
        <v>872</v>
      </c>
      <c r="K2360" s="7" t="s">
        <v>47</v>
      </c>
      <c r="L2360" s="7" t="s">
        <v>48</v>
      </c>
      <c r="M2360" s="7" t="s">
        <v>0</v>
      </c>
      <c r="N2360" s="7" t="s">
        <v>6768</v>
      </c>
      <c r="O2360" s="7" t="s">
        <v>0</v>
      </c>
      <c r="P2360" s="7" t="s">
        <v>6769</v>
      </c>
      <c r="Q2360" s="7" t="s">
        <v>6770</v>
      </c>
      <c r="R2360" s="7" t="s">
        <v>6771</v>
      </c>
      <c r="S2360" s="7" t="s">
        <v>4594</v>
      </c>
      <c r="T2360" s="7" t="s">
        <v>54</v>
      </c>
      <c r="U2360" s="7" t="s">
        <v>210</v>
      </c>
      <c r="V2360" s="7" t="s">
        <v>211</v>
      </c>
      <c r="W2360" s="7" t="s">
        <v>57</v>
      </c>
      <c r="X2360" s="7" t="s">
        <v>58</v>
      </c>
      <c r="Y2360" s="8">
        <v>44433</v>
      </c>
      <c r="Z2360" s="8" t="s">
        <v>0</v>
      </c>
      <c r="AA2360" s="7" t="s">
        <v>0</v>
      </c>
      <c r="AB2360" s="7" t="s">
        <v>1555</v>
      </c>
      <c r="AC2360" s="7" t="s">
        <v>65</v>
      </c>
      <c r="AD2360" s="7" t="s">
        <v>80</v>
      </c>
      <c r="AE2360" s="7" t="s">
        <v>0</v>
      </c>
      <c r="AF2360" s="7" t="s">
        <v>0</v>
      </c>
      <c r="AG2360" s="7" t="s">
        <v>0</v>
      </c>
      <c r="AH2360" s="9" t="s">
        <v>0</v>
      </c>
      <c r="AI2360" s="9" t="s">
        <v>0</v>
      </c>
      <c r="AJ2360" s="9" t="s">
        <v>0</v>
      </c>
      <c r="AK2360" s="7" t="s">
        <v>61</v>
      </c>
      <c r="AL2360" s="7" t="s">
        <v>61</v>
      </c>
      <c r="AM2360" s="7" t="s">
        <v>0</v>
      </c>
      <c r="AN2360" s="7" t="s">
        <v>0</v>
      </c>
      <c r="AO2360" s="7" t="s">
        <v>0</v>
      </c>
      <c r="AP2360" s="7" t="s">
        <v>0</v>
      </c>
      <c r="AQ2360" s="7" t="s">
        <v>61</v>
      </c>
      <c r="AR2360" s="7" t="s">
        <v>0</v>
      </c>
      <c r="AS2360" s="10" t="str">
        <f>HYPERLINK("https://tessa.gazprom-neft.local/edo/card/f55ca85d-b153-4e45-b03a-0d5526de46c1", "https://tessa.gazprom-neft.local/edo/card/f55ca85d-b153-4e45-b03a-0d5526de46c1")</f>
        <v>https://tessa.gazprom-neft.local/edo/card/f55ca85d-b153-4e45-b03a-0d5526de46c1</v>
      </c>
    </row>
    <row r="2361" spans="1:45" x14ac:dyDescent="0.25">
      <c r="A2361" s="6" t="s">
        <v>44</v>
      </c>
      <c r="B2361" s="7" t="s">
        <v>813</v>
      </c>
      <c r="C2361" s="7" t="s">
        <v>67</v>
      </c>
      <c r="D2361" s="8">
        <v>44427</v>
      </c>
      <c r="E2361" s="8" t="s">
        <v>0</v>
      </c>
      <c r="F2361" s="16" t="s">
        <v>814</v>
      </c>
      <c r="G2361" s="7" t="s">
        <v>815</v>
      </c>
      <c r="H2361" s="7" t="s">
        <v>4086</v>
      </c>
      <c r="I2361" s="7" t="s">
        <v>0</v>
      </c>
      <c r="J2361" s="7" t="s">
        <v>955</v>
      </c>
      <c r="K2361" s="7" t="s">
        <v>47</v>
      </c>
      <c r="L2361" s="7" t="s">
        <v>48</v>
      </c>
      <c r="M2361" s="7" t="s">
        <v>0</v>
      </c>
      <c r="N2361" s="7" t="s">
        <v>6901</v>
      </c>
      <c r="O2361" s="7" t="s">
        <v>0</v>
      </c>
      <c r="P2361" s="7" t="s">
        <v>6902</v>
      </c>
      <c r="Q2361" s="7" t="s">
        <v>4088</v>
      </c>
      <c r="R2361" s="7" t="s">
        <v>540</v>
      </c>
      <c r="S2361" s="7" t="s">
        <v>0</v>
      </c>
      <c r="T2361" s="7" t="s">
        <v>54</v>
      </c>
      <c r="U2361" s="7" t="s">
        <v>541</v>
      </c>
      <c r="V2361" s="7" t="s">
        <v>56</v>
      </c>
      <c r="W2361" s="7" t="s">
        <v>57</v>
      </c>
      <c r="X2361" s="7" t="s">
        <v>103</v>
      </c>
      <c r="Y2361" s="8">
        <v>44427</v>
      </c>
      <c r="Z2361" s="8">
        <v>44561</v>
      </c>
      <c r="AA2361" s="7" t="s">
        <v>1251</v>
      </c>
      <c r="AB2361" s="7" t="s">
        <v>4089</v>
      </c>
      <c r="AC2361" s="7" t="s">
        <v>65</v>
      </c>
      <c r="AD2361" s="7" t="s">
        <v>144</v>
      </c>
      <c r="AE2361" s="7" t="s">
        <v>0</v>
      </c>
      <c r="AF2361" s="7" t="s">
        <v>0</v>
      </c>
      <c r="AG2361" s="7" t="s">
        <v>0</v>
      </c>
      <c r="AH2361" s="9" t="s">
        <v>0</v>
      </c>
      <c r="AI2361" s="9" t="s">
        <v>0</v>
      </c>
      <c r="AJ2361" s="9" t="s">
        <v>0</v>
      </c>
      <c r="AK2361" s="7" t="s">
        <v>61</v>
      </c>
      <c r="AL2361" s="7" t="s">
        <v>61</v>
      </c>
      <c r="AM2361" s="7" t="s">
        <v>0</v>
      </c>
      <c r="AN2361" s="7" t="s">
        <v>0</v>
      </c>
      <c r="AO2361" s="7" t="s">
        <v>0</v>
      </c>
      <c r="AP2361" s="7" t="s">
        <v>0</v>
      </c>
      <c r="AQ2361" s="7" t="s">
        <v>61</v>
      </c>
      <c r="AR2361" s="7" t="s">
        <v>0</v>
      </c>
      <c r="AS2361" s="10" t="str">
        <f>HYPERLINK("https://tessa.gazprom-neft.local/edo/card/5b9b0ac2-6b6d-485b-ba89-4bb2ea9ce90e", "https://tessa.gazprom-neft.local/edo/card/5b9b0ac2-6b6d-485b-ba89-4bb2ea9ce90e")</f>
        <v>https://tessa.gazprom-neft.local/edo/card/5b9b0ac2-6b6d-485b-ba89-4bb2ea9ce90e</v>
      </c>
    </row>
    <row r="2362" spans="1:45" hidden="1" x14ac:dyDescent="0.25">
      <c r="A2362" s="6" t="s">
        <v>44</v>
      </c>
      <c r="B2362" s="7" t="s">
        <v>813</v>
      </c>
      <c r="C2362" s="7" t="s">
        <v>67</v>
      </c>
      <c r="D2362" s="8">
        <v>44427</v>
      </c>
      <c r="E2362" s="8" t="s">
        <v>0</v>
      </c>
      <c r="F2362" s="16" t="s">
        <v>814</v>
      </c>
      <c r="G2362" s="7" t="s">
        <v>815</v>
      </c>
      <c r="H2362" s="7" t="s">
        <v>4106</v>
      </c>
      <c r="I2362" s="7" t="s">
        <v>0</v>
      </c>
      <c r="J2362" s="7" t="s">
        <v>1428</v>
      </c>
      <c r="K2362" s="7" t="s">
        <v>47</v>
      </c>
      <c r="L2362" s="7" t="s">
        <v>239</v>
      </c>
      <c r="M2362" s="7" t="s">
        <v>0</v>
      </c>
      <c r="N2362" s="7" t="s">
        <v>6903</v>
      </c>
      <c r="O2362" s="7" t="s">
        <v>0</v>
      </c>
      <c r="P2362" s="7" t="s">
        <v>6904</v>
      </c>
      <c r="Q2362" s="7" t="s">
        <v>4109</v>
      </c>
      <c r="R2362" s="7" t="s">
        <v>540</v>
      </c>
      <c r="S2362" s="7" t="s">
        <v>0</v>
      </c>
      <c r="T2362" s="7" t="s">
        <v>54</v>
      </c>
      <c r="U2362" s="7" t="s">
        <v>541</v>
      </c>
      <c r="V2362" s="7" t="s">
        <v>56</v>
      </c>
      <c r="W2362" s="7" t="s">
        <v>57</v>
      </c>
      <c r="X2362" s="7" t="s">
        <v>103</v>
      </c>
      <c r="Y2362" s="8">
        <v>44427</v>
      </c>
      <c r="Z2362" s="8">
        <v>44561</v>
      </c>
      <c r="AA2362" s="7" t="s">
        <v>1251</v>
      </c>
      <c r="AB2362" s="7" t="s">
        <v>4089</v>
      </c>
      <c r="AC2362" s="7" t="s">
        <v>79</v>
      </c>
      <c r="AD2362" s="7" t="s">
        <v>144</v>
      </c>
      <c r="AE2362" s="7" t="s">
        <v>82</v>
      </c>
      <c r="AF2362" s="7" t="s">
        <v>0</v>
      </c>
      <c r="AG2362" s="7" t="s">
        <v>0</v>
      </c>
      <c r="AH2362" s="9" t="s">
        <v>12989</v>
      </c>
      <c r="AI2362" s="9" t="s">
        <v>12990</v>
      </c>
      <c r="AJ2362" s="9" t="s">
        <v>12991</v>
      </c>
      <c r="AK2362" s="7" t="s">
        <v>61</v>
      </c>
      <c r="AL2362" s="7" t="s">
        <v>61</v>
      </c>
      <c r="AM2362" s="7" t="s">
        <v>0</v>
      </c>
      <c r="AN2362" s="7" t="s">
        <v>0</v>
      </c>
      <c r="AO2362" s="7" t="s">
        <v>0</v>
      </c>
      <c r="AP2362" s="7" t="s">
        <v>0</v>
      </c>
      <c r="AQ2362" s="7" t="s">
        <v>61</v>
      </c>
      <c r="AR2362" s="7" t="s">
        <v>0</v>
      </c>
      <c r="AS2362" s="10" t="str">
        <f>HYPERLINK("https://tessa.gazprom-neft.local/edo/card/57733eac-ad35-48e9-9a6f-999458647ba8", "https://tessa.gazprom-neft.local/edo/card/57733eac-ad35-48e9-9a6f-999458647ba8")</f>
        <v>https://tessa.gazprom-neft.local/edo/card/57733eac-ad35-48e9-9a6f-999458647ba8</v>
      </c>
    </row>
    <row r="2363" spans="1:45" hidden="1" x14ac:dyDescent="0.25">
      <c r="A2363" s="6" t="s">
        <v>44</v>
      </c>
      <c r="B2363" s="7" t="s">
        <v>245</v>
      </c>
      <c r="C2363" s="7" t="s">
        <v>67</v>
      </c>
      <c r="D2363" s="8">
        <v>44424</v>
      </c>
      <c r="E2363" s="8" t="s">
        <v>0</v>
      </c>
      <c r="F2363" s="16" t="s">
        <v>246</v>
      </c>
      <c r="G2363" s="7" t="s">
        <v>247</v>
      </c>
      <c r="H2363" s="7" t="s">
        <v>0</v>
      </c>
      <c r="I2363" s="7" t="s">
        <v>6446</v>
      </c>
      <c r="J2363" s="7" t="s">
        <v>6446</v>
      </c>
      <c r="K2363" s="7" t="s">
        <v>85</v>
      </c>
      <c r="L2363" s="7" t="s">
        <v>86</v>
      </c>
      <c r="M2363" s="7" t="s">
        <v>2316</v>
      </c>
      <c r="N2363" s="7" t="s">
        <v>6445</v>
      </c>
      <c r="O2363" s="7" t="s">
        <v>0</v>
      </c>
      <c r="P2363" s="7" t="s">
        <v>6447</v>
      </c>
      <c r="Q2363" s="7" t="s">
        <v>6448</v>
      </c>
      <c r="R2363" s="7" t="s">
        <v>427</v>
      </c>
      <c r="S2363" s="7" t="s">
        <v>427</v>
      </c>
      <c r="T2363" s="7" t="s">
        <v>54</v>
      </c>
      <c r="U2363" s="7" t="s">
        <v>428</v>
      </c>
      <c r="V2363" s="7" t="s">
        <v>137</v>
      </c>
      <c r="W2363" s="7" t="s">
        <v>57</v>
      </c>
      <c r="X2363" s="7" t="s">
        <v>103</v>
      </c>
      <c r="Y2363" s="8">
        <v>44424</v>
      </c>
      <c r="Z2363" s="8">
        <v>45534</v>
      </c>
      <c r="AA2363" s="7" t="s">
        <v>0</v>
      </c>
      <c r="AB2363" s="7" t="s">
        <v>328</v>
      </c>
      <c r="AC2363" s="7" t="s">
        <v>65</v>
      </c>
      <c r="AD2363" s="7" t="s">
        <v>0</v>
      </c>
      <c r="AE2363" s="7" t="s">
        <v>0</v>
      </c>
      <c r="AF2363" s="7" t="s">
        <v>0</v>
      </c>
      <c r="AG2363" s="7" t="s">
        <v>0</v>
      </c>
      <c r="AH2363" s="9" t="s">
        <v>0</v>
      </c>
      <c r="AI2363" s="9" t="s">
        <v>0</v>
      </c>
      <c r="AJ2363" s="9" t="s">
        <v>0</v>
      </c>
      <c r="AK2363" s="7" t="s">
        <v>61</v>
      </c>
      <c r="AL2363" s="7" t="s">
        <v>61</v>
      </c>
      <c r="AM2363" s="7" t="s">
        <v>0</v>
      </c>
      <c r="AN2363" s="7" t="s">
        <v>0</v>
      </c>
      <c r="AO2363" s="7" t="s">
        <v>0</v>
      </c>
      <c r="AP2363" s="7" t="s">
        <v>0</v>
      </c>
      <c r="AQ2363" s="7" t="s">
        <v>61</v>
      </c>
      <c r="AR2363" s="7" t="s">
        <v>0</v>
      </c>
      <c r="AS2363" s="10" t="str">
        <f>HYPERLINK("https://tessa.gazprom-neft.local/edo/card/e679d272-1c0f-423d-8557-dc96f0d611a3", "https://tessa.gazprom-neft.local/edo/card/e679d272-1c0f-423d-8557-dc96f0d611a3")</f>
        <v>https://tessa.gazprom-neft.local/edo/card/e679d272-1c0f-423d-8557-dc96f0d611a3</v>
      </c>
    </row>
    <row r="2364" spans="1:45" hidden="1" x14ac:dyDescent="0.25">
      <c r="A2364" s="6" t="s">
        <v>44</v>
      </c>
      <c r="B2364" s="7" t="s">
        <v>0</v>
      </c>
      <c r="C2364" s="7" t="s">
        <v>67</v>
      </c>
      <c r="D2364" s="8">
        <v>44424</v>
      </c>
      <c r="E2364" s="8" t="s">
        <v>0</v>
      </c>
      <c r="F2364" s="16" t="s">
        <v>6665</v>
      </c>
      <c r="G2364" s="7" t="s">
        <v>0</v>
      </c>
      <c r="H2364" s="7" t="s">
        <v>0</v>
      </c>
      <c r="I2364" s="7" t="s">
        <v>4416</v>
      </c>
      <c r="J2364" s="7" t="s">
        <v>4416</v>
      </c>
      <c r="K2364" s="7" t="s">
        <v>47</v>
      </c>
      <c r="L2364" s="7" t="s">
        <v>96</v>
      </c>
      <c r="M2364" s="7" t="s">
        <v>0</v>
      </c>
      <c r="N2364" s="7" t="s">
        <v>6662</v>
      </c>
      <c r="O2364" s="7" t="s">
        <v>0</v>
      </c>
      <c r="P2364" s="7" t="s">
        <v>6663</v>
      </c>
      <c r="Q2364" s="7" t="s">
        <v>6664</v>
      </c>
      <c r="R2364" s="7" t="s">
        <v>4734</v>
      </c>
      <c r="S2364" s="7" t="s">
        <v>506</v>
      </c>
      <c r="T2364" s="7" t="s">
        <v>54</v>
      </c>
      <c r="U2364" s="7" t="s">
        <v>4736</v>
      </c>
      <c r="V2364" s="7" t="s">
        <v>56</v>
      </c>
      <c r="W2364" s="7" t="s">
        <v>57</v>
      </c>
      <c r="X2364" s="7" t="s">
        <v>103</v>
      </c>
      <c r="Y2364" s="8">
        <v>44424</v>
      </c>
      <c r="Z2364" s="8">
        <v>45291</v>
      </c>
      <c r="AA2364" s="7" t="s">
        <v>1251</v>
      </c>
      <c r="AB2364" s="7" t="s">
        <v>3761</v>
      </c>
      <c r="AC2364" s="7" t="s">
        <v>79</v>
      </c>
      <c r="AD2364" s="7" t="s">
        <v>144</v>
      </c>
      <c r="AE2364" s="7" t="s">
        <v>82</v>
      </c>
      <c r="AF2364" s="7" t="s">
        <v>0</v>
      </c>
      <c r="AG2364" s="7" t="s">
        <v>0</v>
      </c>
      <c r="AH2364" s="9" t="s">
        <v>10980</v>
      </c>
      <c r="AI2364" s="9" t="s">
        <v>10981</v>
      </c>
      <c r="AJ2364" s="9" t="s">
        <v>10982</v>
      </c>
      <c r="AK2364" s="7" t="s">
        <v>61</v>
      </c>
      <c r="AL2364" s="7" t="s">
        <v>61</v>
      </c>
      <c r="AM2364" s="7" t="s">
        <v>0</v>
      </c>
      <c r="AN2364" s="7" t="s">
        <v>0</v>
      </c>
      <c r="AO2364" s="7" t="s">
        <v>0</v>
      </c>
      <c r="AP2364" s="7" t="s">
        <v>0</v>
      </c>
      <c r="AQ2364" s="7" t="s">
        <v>61</v>
      </c>
      <c r="AR2364" s="7" t="s">
        <v>0</v>
      </c>
      <c r="AS2364" s="10" t="str">
        <f>HYPERLINK("https://tessa.gazprom-neft.local/edo/card/6f4cea4b-0a81-4292-a8c1-49777456c222", "https://tessa.gazprom-neft.local/edo/card/6f4cea4b-0a81-4292-a8c1-49777456c222")</f>
        <v>https://tessa.gazprom-neft.local/edo/card/6f4cea4b-0a81-4292-a8c1-49777456c222</v>
      </c>
    </row>
    <row r="2365" spans="1:45" hidden="1" x14ac:dyDescent="0.25">
      <c r="A2365" s="6" t="s">
        <v>44</v>
      </c>
      <c r="B2365" s="7" t="s">
        <v>0</v>
      </c>
      <c r="C2365" s="7" t="s">
        <v>67</v>
      </c>
      <c r="D2365" s="8">
        <v>44424</v>
      </c>
      <c r="E2365" s="8" t="s">
        <v>0</v>
      </c>
      <c r="F2365" s="16" t="s">
        <v>7465</v>
      </c>
      <c r="G2365" s="7" t="s">
        <v>0</v>
      </c>
      <c r="H2365" s="7" t="s">
        <v>0</v>
      </c>
      <c r="I2365" s="7" t="s">
        <v>7463</v>
      </c>
      <c r="J2365" s="7" t="s">
        <v>7463</v>
      </c>
      <c r="K2365" s="7" t="s">
        <v>85</v>
      </c>
      <c r="L2365" s="7" t="s">
        <v>86</v>
      </c>
      <c r="M2365" s="7" t="s">
        <v>83</v>
      </c>
      <c r="N2365" s="7" t="s">
        <v>7462</v>
      </c>
      <c r="O2365" s="7" t="s">
        <v>0</v>
      </c>
      <c r="P2365" s="7" t="s">
        <v>83</v>
      </c>
      <c r="Q2365" s="7" t="s">
        <v>7464</v>
      </c>
      <c r="R2365" s="7" t="s">
        <v>506</v>
      </c>
      <c r="S2365" s="7" t="s">
        <v>506</v>
      </c>
      <c r="T2365" s="7" t="s">
        <v>54</v>
      </c>
      <c r="U2365" s="7" t="s">
        <v>541</v>
      </c>
      <c r="V2365" s="7" t="s">
        <v>137</v>
      </c>
      <c r="W2365" s="7" t="s">
        <v>57</v>
      </c>
      <c r="X2365" s="7" t="s">
        <v>58</v>
      </c>
      <c r="Y2365" s="8">
        <v>44424</v>
      </c>
      <c r="Z2365" s="8" t="s">
        <v>0</v>
      </c>
      <c r="AA2365" s="7" t="s">
        <v>0</v>
      </c>
      <c r="AB2365" s="7" t="s">
        <v>94</v>
      </c>
      <c r="AC2365" s="7" t="s">
        <v>65</v>
      </c>
      <c r="AD2365" s="7" t="s">
        <v>0</v>
      </c>
      <c r="AE2365" s="7" t="s">
        <v>0</v>
      </c>
      <c r="AF2365" s="7" t="s">
        <v>0</v>
      </c>
      <c r="AG2365" s="7" t="s">
        <v>0</v>
      </c>
      <c r="AH2365" s="9" t="s">
        <v>0</v>
      </c>
      <c r="AI2365" s="9" t="s">
        <v>0</v>
      </c>
      <c r="AJ2365" s="9" t="s">
        <v>0</v>
      </c>
      <c r="AK2365" s="7" t="s">
        <v>61</v>
      </c>
      <c r="AL2365" s="7" t="s">
        <v>61</v>
      </c>
      <c r="AM2365" s="7" t="s">
        <v>0</v>
      </c>
      <c r="AN2365" s="7" t="s">
        <v>0</v>
      </c>
      <c r="AO2365" s="7" t="s">
        <v>0</v>
      </c>
      <c r="AP2365" s="7" t="s">
        <v>0</v>
      </c>
      <c r="AQ2365" s="7" t="s">
        <v>61</v>
      </c>
      <c r="AR2365" s="7" t="s">
        <v>0</v>
      </c>
      <c r="AS2365" s="10" t="str">
        <f>HYPERLINK("https://tessa.gazprom-neft.local/edo/card/8951b957-f4cf-4533-829e-a25f00e3c0d6", "https://tessa.gazprom-neft.local/edo/card/8951b957-f4cf-4533-829e-a25f00e3c0d6")</f>
        <v>https://tessa.gazprom-neft.local/edo/card/8951b957-f4cf-4533-829e-a25f00e3c0d6</v>
      </c>
    </row>
    <row r="2366" spans="1:45" hidden="1" x14ac:dyDescent="0.25">
      <c r="A2366" s="6" t="s">
        <v>44</v>
      </c>
      <c r="B2366" s="7" t="s">
        <v>1611</v>
      </c>
      <c r="C2366" s="7" t="s">
        <v>67</v>
      </c>
      <c r="D2366" s="8">
        <v>44420</v>
      </c>
      <c r="E2366" s="8" t="s">
        <v>0</v>
      </c>
      <c r="F2366" s="16" t="s">
        <v>1612</v>
      </c>
      <c r="G2366" s="7" t="s">
        <v>1613</v>
      </c>
      <c r="H2366" s="7" t="s">
        <v>6319</v>
      </c>
      <c r="I2366" s="7" t="s">
        <v>0</v>
      </c>
      <c r="J2366" s="7" t="s">
        <v>6321</v>
      </c>
      <c r="K2366" s="7" t="s">
        <v>47</v>
      </c>
      <c r="L2366" s="7" t="s">
        <v>239</v>
      </c>
      <c r="M2366" s="7" t="s">
        <v>0</v>
      </c>
      <c r="N2366" s="7" t="s">
        <v>6318</v>
      </c>
      <c r="O2366" s="7" t="s">
        <v>51</v>
      </c>
      <c r="P2366" s="7" t="s">
        <v>6320</v>
      </c>
      <c r="Q2366" s="7" t="s">
        <v>6322</v>
      </c>
      <c r="R2366" s="7" t="s">
        <v>1610</v>
      </c>
      <c r="S2366" s="7" t="s">
        <v>1610</v>
      </c>
      <c r="T2366" s="7" t="s">
        <v>54</v>
      </c>
      <c r="U2366" s="7" t="s">
        <v>101</v>
      </c>
      <c r="V2366" s="7" t="s">
        <v>137</v>
      </c>
      <c r="W2366" s="7" t="s">
        <v>57</v>
      </c>
      <c r="X2366" s="7" t="s">
        <v>103</v>
      </c>
      <c r="Y2366" s="8">
        <v>44420</v>
      </c>
      <c r="Z2366" s="8">
        <v>44439</v>
      </c>
      <c r="AA2366" s="7" t="s">
        <v>0</v>
      </c>
      <c r="AB2366" s="7" t="s">
        <v>1614</v>
      </c>
      <c r="AC2366" s="7" t="s">
        <v>79</v>
      </c>
      <c r="AD2366" s="7" t="s">
        <v>80</v>
      </c>
      <c r="AE2366" s="7" t="s">
        <v>118</v>
      </c>
      <c r="AF2366" s="7" t="s">
        <v>0</v>
      </c>
      <c r="AG2366" s="7" t="s">
        <v>0</v>
      </c>
      <c r="AH2366" s="9" t="s">
        <v>12806</v>
      </c>
      <c r="AI2366" s="9" t="s">
        <v>12806</v>
      </c>
      <c r="AJ2366" s="9">
        <v>0</v>
      </c>
      <c r="AK2366" s="7" t="s">
        <v>61</v>
      </c>
      <c r="AL2366" s="7" t="s">
        <v>61</v>
      </c>
      <c r="AM2366" s="7" t="s">
        <v>0</v>
      </c>
      <c r="AN2366" s="7" t="s">
        <v>0</v>
      </c>
      <c r="AO2366" s="7" t="s">
        <v>0</v>
      </c>
      <c r="AP2366" s="7" t="s">
        <v>0</v>
      </c>
      <c r="AQ2366" s="7" t="s">
        <v>61</v>
      </c>
      <c r="AR2366" s="7" t="s">
        <v>0</v>
      </c>
      <c r="AS2366" s="10" t="str">
        <f>HYPERLINK("https://tessa.gazprom-neft.local/edo/card/d9e3f8d0-208e-4f15-96b7-af60f9626ded", "https://tessa.gazprom-neft.local/edo/card/d9e3f8d0-208e-4f15-96b7-af60f9626ded")</f>
        <v>https://tessa.gazprom-neft.local/edo/card/d9e3f8d0-208e-4f15-96b7-af60f9626ded</v>
      </c>
    </row>
    <row r="2367" spans="1:45" hidden="1" x14ac:dyDescent="0.25">
      <c r="A2367" s="6" t="s">
        <v>44</v>
      </c>
      <c r="B2367" s="7" t="s">
        <v>0</v>
      </c>
      <c r="C2367" s="7" t="s">
        <v>67</v>
      </c>
      <c r="D2367" s="8">
        <v>44420</v>
      </c>
      <c r="E2367" s="8" t="s">
        <v>0</v>
      </c>
      <c r="F2367" s="16" t="s">
        <v>6573</v>
      </c>
      <c r="G2367" s="7" t="s">
        <v>0</v>
      </c>
      <c r="H2367" s="7" t="s">
        <v>0</v>
      </c>
      <c r="I2367" s="7" t="s">
        <v>6571</v>
      </c>
      <c r="J2367" s="7" t="s">
        <v>6571</v>
      </c>
      <c r="K2367" s="7" t="s">
        <v>85</v>
      </c>
      <c r="L2367" s="7" t="s">
        <v>86</v>
      </c>
      <c r="M2367" s="7" t="s">
        <v>83</v>
      </c>
      <c r="N2367" s="7" t="s">
        <v>6570</v>
      </c>
      <c r="O2367" s="7" t="s">
        <v>0</v>
      </c>
      <c r="P2367" s="7" t="s">
        <v>83</v>
      </c>
      <c r="Q2367" s="7" t="s">
        <v>6572</v>
      </c>
      <c r="R2367" s="7" t="s">
        <v>799</v>
      </c>
      <c r="S2367" s="7" t="s">
        <v>799</v>
      </c>
      <c r="T2367" s="7" t="s">
        <v>54</v>
      </c>
      <c r="U2367" s="7" t="s">
        <v>55</v>
      </c>
      <c r="V2367" s="7" t="s">
        <v>56</v>
      </c>
      <c r="W2367" s="7" t="s">
        <v>57</v>
      </c>
      <c r="X2367" s="7" t="s">
        <v>103</v>
      </c>
      <c r="Y2367" s="8">
        <v>44420</v>
      </c>
      <c r="Z2367" s="8">
        <v>46752</v>
      </c>
      <c r="AA2367" s="7" t="s">
        <v>1251</v>
      </c>
      <c r="AB2367" s="7" t="s">
        <v>94</v>
      </c>
      <c r="AC2367" s="7" t="s">
        <v>65</v>
      </c>
      <c r="AD2367" s="7" t="s">
        <v>0</v>
      </c>
      <c r="AE2367" s="7" t="s">
        <v>0</v>
      </c>
      <c r="AF2367" s="7" t="s">
        <v>0</v>
      </c>
      <c r="AG2367" s="7" t="s">
        <v>0</v>
      </c>
      <c r="AH2367" s="9" t="s">
        <v>0</v>
      </c>
      <c r="AI2367" s="9" t="s">
        <v>0</v>
      </c>
      <c r="AJ2367" s="9" t="s">
        <v>0</v>
      </c>
      <c r="AK2367" s="7" t="s">
        <v>61</v>
      </c>
      <c r="AL2367" s="7" t="s">
        <v>61</v>
      </c>
      <c r="AM2367" s="7" t="s">
        <v>0</v>
      </c>
      <c r="AN2367" s="7" t="s">
        <v>0</v>
      </c>
      <c r="AO2367" s="7" t="s">
        <v>0</v>
      </c>
      <c r="AP2367" s="7" t="s">
        <v>0</v>
      </c>
      <c r="AQ2367" s="7" t="s">
        <v>61</v>
      </c>
      <c r="AR2367" s="7" t="s">
        <v>0</v>
      </c>
      <c r="AS2367" s="10" t="str">
        <f>HYPERLINK("https://tessa.gazprom-neft.local/edo/card/9565fd57-59cf-46ac-a51a-1386bbe3d41f", "https://tessa.gazprom-neft.local/edo/card/9565fd57-59cf-46ac-a51a-1386bbe3d41f")</f>
        <v>https://tessa.gazprom-neft.local/edo/card/9565fd57-59cf-46ac-a51a-1386bbe3d41f</v>
      </c>
    </row>
    <row r="2368" spans="1:45" x14ac:dyDescent="0.25">
      <c r="A2368" s="6" t="s">
        <v>44</v>
      </c>
      <c r="B2368" s="7" t="s">
        <v>2193</v>
      </c>
      <c r="C2368" s="7" t="s">
        <v>67</v>
      </c>
      <c r="D2368" s="8">
        <v>44419</v>
      </c>
      <c r="E2368" s="8" t="s">
        <v>0</v>
      </c>
      <c r="F2368" s="16" t="s">
        <v>2194</v>
      </c>
      <c r="G2368" s="7" t="s">
        <v>2195</v>
      </c>
      <c r="H2368" s="7" t="s">
        <v>2468</v>
      </c>
      <c r="I2368" s="7" t="s">
        <v>0</v>
      </c>
      <c r="J2368" s="7" t="s">
        <v>51</v>
      </c>
      <c r="K2368" s="7" t="s">
        <v>47</v>
      </c>
      <c r="L2368" s="7" t="s">
        <v>48</v>
      </c>
      <c r="M2368" s="7" t="s">
        <v>0</v>
      </c>
      <c r="N2368" s="7" t="s">
        <v>6264</v>
      </c>
      <c r="O2368" s="7" t="s">
        <v>0</v>
      </c>
      <c r="P2368" s="7" t="s">
        <v>6265</v>
      </c>
      <c r="Q2368" s="7" t="s">
        <v>3072</v>
      </c>
      <c r="R2368" s="7" t="s">
        <v>135</v>
      </c>
      <c r="S2368" s="7" t="s">
        <v>135</v>
      </c>
      <c r="T2368" s="7" t="s">
        <v>54</v>
      </c>
      <c r="U2368" s="7" t="s">
        <v>136</v>
      </c>
      <c r="V2368" s="7" t="s">
        <v>102</v>
      </c>
      <c r="W2368" s="7" t="s">
        <v>57</v>
      </c>
      <c r="X2368" s="7" t="s">
        <v>103</v>
      </c>
      <c r="Y2368" s="8">
        <v>44022</v>
      </c>
      <c r="Z2368" s="8">
        <v>44926</v>
      </c>
      <c r="AA2368" s="7" t="s">
        <v>0</v>
      </c>
      <c r="AB2368" s="7" t="s">
        <v>2472</v>
      </c>
      <c r="AC2368" s="7" t="s">
        <v>65</v>
      </c>
      <c r="AD2368" s="7" t="s">
        <v>0</v>
      </c>
      <c r="AE2368" s="7" t="s">
        <v>0</v>
      </c>
      <c r="AF2368" s="7" t="s">
        <v>0</v>
      </c>
      <c r="AG2368" s="7" t="s">
        <v>0</v>
      </c>
      <c r="AH2368" s="9" t="s">
        <v>0</v>
      </c>
      <c r="AI2368" s="9" t="s">
        <v>0</v>
      </c>
      <c r="AJ2368" s="9" t="s">
        <v>0</v>
      </c>
      <c r="AK2368" s="7" t="s">
        <v>61</v>
      </c>
      <c r="AL2368" s="7" t="s">
        <v>61</v>
      </c>
      <c r="AM2368" s="7" t="s">
        <v>0</v>
      </c>
      <c r="AN2368" s="7" t="s">
        <v>0</v>
      </c>
      <c r="AO2368" s="7" t="s">
        <v>0</v>
      </c>
      <c r="AP2368" s="7" t="s">
        <v>0</v>
      </c>
      <c r="AQ2368" s="7" t="s">
        <v>61</v>
      </c>
      <c r="AR2368" s="7" t="s">
        <v>0</v>
      </c>
      <c r="AS2368" s="10" t="str">
        <f>HYPERLINK("https://tessa.gazprom-neft.local/edo/card/db6abfe4-82ab-4664-b875-248b39883e7b", "https://tessa.gazprom-neft.local/edo/card/db6abfe4-82ab-4664-b875-248b39883e7b")</f>
        <v>https://tessa.gazprom-neft.local/edo/card/db6abfe4-82ab-4664-b875-248b39883e7b</v>
      </c>
    </row>
    <row r="2369" spans="1:45" x14ac:dyDescent="0.25">
      <c r="A2369" s="6" t="s">
        <v>44</v>
      </c>
      <c r="B2369" s="7" t="s">
        <v>2193</v>
      </c>
      <c r="C2369" s="7" t="s">
        <v>67</v>
      </c>
      <c r="D2369" s="8">
        <v>44419</v>
      </c>
      <c r="E2369" s="8" t="s">
        <v>0</v>
      </c>
      <c r="F2369" s="16" t="s">
        <v>2194</v>
      </c>
      <c r="G2369" s="7" t="s">
        <v>2195</v>
      </c>
      <c r="H2369" s="7" t="s">
        <v>6293</v>
      </c>
      <c r="I2369" s="7" t="s">
        <v>0</v>
      </c>
      <c r="J2369" s="7" t="s">
        <v>271</v>
      </c>
      <c r="K2369" s="7" t="s">
        <v>47</v>
      </c>
      <c r="L2369" s="7" t="s">
        <v>48</v>
      </c>
      <c r="M2369" s="7" t="s">
        <v>0</v>
      </c>
      <c r="N2369" s="7" t="s">
        <v>6292</v>
      </c>
      <c r="O2369" s="7" t="s">
        <v>0</v>
      </c>
      <c r="P2369" s="7" t="s">
        <v>6294</v>
      </c>
      <c r="Q2369" s="7" t="s">
        <v>6295</v>
      </c>
      <c r="R2369" s="7" t="s">
        <v>135</v>
      </c>
      <c r="S2369" s="7" t="s">
        <v>135</v>
      </c>
      <c r="T2369" s="7" t="s">
        <v>54</v>
      </c>
      <c r="U2369" s="7" t="s">
        <v>136</v>
      </c>
      <c r="V2369" s="7" t="s">
        <v>102</v>
      </c>
      <c r="W2369" s="7" t="s">
        <v>57</v>
      </c>
      <c r="X2369" s="7" t="s">
        <v>103</v>
      </c>
      <c r="Y2369" s="8">
        <v>44411</v>
      </c>
      <c r="Z2369" s="8">
        <v>44561</v>
      </c>
      <c r="AA2369" s="7" t="s">
        <v>6296</v>
      </c>
      <c r="AB2369" s="7" t="s">
        <v>1738</v>
      </c>
      <c r="AC2369" s="7" t="s">
        <v>65</v>
      </c>
      <c r="AD2369" s="7" t="s">
        <v>0</v>
      </c>
      <c r="AE2369" s="7" t="s">
        <v>0</v>
      </c>
      <c r="AF2369" s="7" t="s">
        <v>0</v>
      </c>
      <c r="AG2369" s="7" t="s">
        <v>0</v>
      </c>
      <c r="AH2369" s="9" t="s">
        <v>0</v>
      </c>
      <c r="AI2369" s="9" t="s">
        <v>0</v>
      </c>
      <c r="AJ2369" s="9" t="s">
        <v>0</v>
      </c>
      <c r="AK2369" s="7" t="s">
        <v>61</v>
      </c>
      <c r="AL2369" s="7" t="s">
        <v>61</v>
      </c>
      <c r="AM2369" s="7" t="s">
        <v>0</v>
      </c>
      <c r="AN2369" s="7" t="s">
        <v>0</v>
      </c>
      <c r="AO2369" s="7" t="s">
        <v>0</v>
      </c>
      <c r="AP2369" s="7" t="s">
        <v>0</v>
      </c>
      <c r="AQ2369" s="7" t="s">
        <v>61</v>
      </c>
      <c r="AR2369" s="7" t="s">
        <v>0</v>
      </c>
      <c r="AS2369" s="10" t="str">
        <f>HYPERLINK("https://tessa.gazprom-neft.local/edo/card/d2b179e9-3a01-4d70-8bd8-da5dd807be24", "https://tessa.gazprom-neft.local/edo/card/d2b179e9-3a01-4d70-8bd8-da5dd807be24")</f>
        <v>https://tessa.gazprom-neft.local/edo/card/d2b179e9-3a01-4d70-8bd8-da5dd807be24</v>
      </c>
    </row>
    <row r="2370" spans="1:45" hidden="1" x14ac:dyDescent="0.25">
      <c r="A2370" s="6" t="s">
        <v>44</v>
      </c>
      <c r="B2370" s="7" t="s">
        <v>6949</v>
      </c>
      <c r="C2370" s="7" t="s">
        <v>46</v>
      </c>
      <c r="D2370" s="8">
        <v>44419</v>
      </c>
      <c r="E2370" s="8" t="s">
        <v>0</v>
      </c>
      <c r="F2370" s="16" t="s">
        <v>6950</v>
      </c>
      <c r="G2370" s="7" t="s">
        <v>6951</v>
      </c>
      <c r="H2370" s="7" t="s">
        <v>0</v>
      </c>
      <c r="I2370" s="7" t="s">
        <v>6946</v>
      </c>
      <c r="J2370" s="7" t="s">
        <v>6946</v>
      </c>
      <c r="K2370" s="7" t="s">
        <v>47</v>
      </c>
      <c r="L2370" s="7" t="s">
        <v>96</v>
      </c>
      <c r="M2370" s="7" t="s">
        <v>0</v>
      </c>
      <c r="N2370" s="7" t="s">
        <v>6945</v>
      </c>
      <c r="O2370" s="7" t="s">
        <v>0</v>
      </c>
      <c r="P2370" s="7" t="s">
        <v>6947</v>
      </c>
      <c r="Q2370" s="7" t="s">
        <v>6948</v>
      </c>
      <c r="R2370" s="7" t="s">
        <v>349</v>
      </c>
      <c r="S2370" s="7" t="s">
        <v>349</v>
      </c>
      <c r="T2370" s="7" t="s">
        <v>54</v>
      </c>
      <c r="U2370" s="7" t="s">
        <v>101</v>
      </c>
      <c r="V2370" s="7" t="s">
        <v>112</v>
      </c>
      <c r="W2370" s="7" t="s">
        <v>57</v>
      </c>
      <c r="X2370" s="7" t="s">
        <v>103</v>
      </c>
      <c r="Y2370" s="8">
        <v>44419</v>
      </c>
      <c r="Z2370" s="8">
        <v>44499</v>
      </c>
      <c r="AA2370" s="7" t="s">
        <v>6296</v>
      </c>
      <c r="AB2370" s="7" t="s">
        <v>64</v>
      </c>
      <c r="AC2370" s="7" t="s">
        <v>79</v>
      </c>
      <c r="AD2370" s="7" t="s">
        <v>80</v>
      </c>
      <c r="AE2370" s="7" t="s">
        <v>118</v>
      </c>
      <c r="AF2370" s="7" t="s">
        <v>0</v>
      </c>
      <c r="AG2370" s="7" t="s">
        <v>0</v>
      </c>
      <c r="AH2370" s="9" t="s">
        <v>13011</v>
      </c>
      <c r="AI2370" s="9" t="s">
        <v>13011</v>
      </c>
      <c r="AJ2370" s="9">
        <v>0</v>
      </c>
      <c r="AK2370" s="7" t="s">
        <v>61</v>
      </c>
      <c r="AL2370" s="7" t="s">
        <v>61</v>
      </c>
      <c r="AM2370" s="7" t="s">
        <v>0</v>
      </c>
      <c r="AN2370" s="7" t="s">
        <v>0</v>
      </c>
      <c r="AO2370" s="7" t="s">
        <v>0</v>
      </c>
      <c r="AP2370" s="7" t="s">
        <v>0</v>
      </c>
      <c r="AQ2370" s="7" t="s">
        <v>61</v>
      </c>
      <c r="AR2370" s="7" t="s">
        <v>0</v>
      </c>
      <c r="AS2370" s="10" t="str">
        <f>HYPERLINK("https://tessa.gazprom-neft.local/edo/card/f050d9fc-4bec-405f-b4b1-2b5764d5978e", "https://tessa.gazprom-neft.local/edo/card/f050d9fc-4bec-405f-b4b1-2b5764d5978e")</f>
        <v>https://tessa.gazprom-neft.local/edo/card/f050d9fc-4bec-405f-b4b1-2b5764d5978e</v>
      </c>
    </row>
    <row r="2371" spans="1:45" x14ac:dyDescent="0.25">
      <c r="A2371" s="6" t="s">
        <v>44</v>
      </c>
      <c r="B2371" s="7" t="s">
        <v>1084</v>
      </c>
      <c r="C2371" s="7" t="s">
        <v>67</v>
      </c>
      <c r="D2371" s="8">
        <v>44418</v>
      </c>
      <c r="E2371" s="8" t="s">
        <v>0</v>
      </c>
      <c r="F2371" s="16" t="s">
        <v>1085</v>
      </c>
      <c r="G2371" s="7" t="s">
        <v>1086</v>
      </c>
      <c r="H2371" s="7" t="s">
        <v>5651</v>
      </c>
      <c r="I2371" s="7" t="s">
        <v>0</v>
      </c>
      <c r="J2371" s="7" t="s">
        <v>51</v>
      </c>
      <c r="K2371" s="7" t="s">
        <v>47</v>
      </c>
      <c r="L2371" s="7" t="s">
        <v>48</v>
      </c>
      <c r="M2371" s="7" t="s">
        <v>0</v>
      </c>
      <c r="N2371" s="7" t="s">
        <v>6969</v>
      </c>
      <c r="O2371" s="7" t="s">
        <v>0</v>
      </c>
      <c r="P2371" s="7" t="s">
        <v>6970</v>
      </c>
      <c r="Q2371" s="7" t="s">
        <v>6971</v>
      </c>
      <c r="R2371" s="7" t="s">
        <v>1083</v>
      </c>
      <c r="S2371" s="7" t="s">
        <v>540</v>
      </c>
      <c r="T2371" s="7" t="s">
        <v>54</v>
      </c>
      <c r="U2371" s="7" t="s">
        <v>274</v>
      </c>
      <c r="V2371" s="7" t="s">
        <v>56</v>
      </c>
      <c r="W2371" s="7" t="s">
        <v>57</v>
      </c>
      <c r="X2371" s="7" t="s">
        <v>103</v>
      </c>
      <c r="Y2371" s="8">
        <v>44418</v>
      </c>
      <c r="Z2371" s="8">
        <v>44926</v>
      </c>
      <c r="AA2371" s="7" t="s">
        <v>1251</v>
      </c>
      <c r="AB2371" s="7" t="s">
        <v>328</v>
      </c>
      <c r="AC2371" s="7" t="s">
        <v>278</v>
      </c>
      <c r="AD2371" s="7" t="s">
        <v>80</v>
      </c>
      <c r="AE2371" s="7" t="s">
        <v>82</v>
      </c>
      <c r="AF2371" s="7" t="s">
        <v>0</v>
      </c>
      <c r="AG2371" s="7" t="s">
        <v>0</v>
      </c>
      <c r="AH2371" s="9" t="s">
        <v>13018</v>
      </c>
      <c r="AI2371" s="9" t="s">
        <v>13019</v>
      </c>
      <c r="AJ2371" s="9" t="s">
        <v>13020</v>
      </c>
      <c r="AK2371" s="7" t="s">
        <v>61</v>
      </c>
      <c r="AL2371" s="7" t="s">
        <v>61</v>
      </c>
      <c r="AM2371" s="7" t="s">
        <v>0</v>
      </c>
      <c r="AN2371" s="7" t="s">
        <v>0</v>
      </c>
      <c r="AO2371" s="7" t="s">
        <v>0</v>
      </c>
      <c r="AP2371" s="7" t="s">
        <v>0</v>
      </c>
      <c r="AQ2371" s="7" t="s">
        <v>61</v>
      </c>
      <c r="AR2371" s="7" t="s">
        <v>0</v>
      </c>
      <c r="AS2371" s="10" t="str">
        <f>HYPERLINK("https://tessa.gazprom-neft.local/edo/card/482d275a-2afa-45bb-87a1-d2bc3e6dd894", "https://tessa.gazprom-neft.local/edo/card/482d275a-2afa-45bb-87a1-d2bc3e6dd894")</f>
        <v>https://tessa.gazprom-neft.local/edo/card/482d275a-2afa-45bb-87a1-d2bc3e6dd894</v>
      </c>
    </row>
    <row r="2372" spans="1:45" x14ac:dyDescent="0.25">
      <c r="A2372" s="6" t="s">
        <v>44</v>
      </c>
      <c r="B2372" s="7" t="s">
        <v>6461</v>
      </c>
      <c r="C2372" s="7" t="s">
        <v>67</v>
      </c>
      <c r="D2372" s="8">
        <v>44417</v>
      </c>
      <c r="E2372" s="8" t="s">
        <v>0</v>
      </c>
      <c r="F2372" s="16" t="s">
        <v>6462</v>
      </c>
      <c r="G2372" s="7" t="s">
        <v>6463</v>
      </c>
      <c r="H2372" s="7" t="s">
        <v>6458</v>
      </c>
      <c r="I2372" s="7" t="s">
        <v>0</v>
      </c>
      <c r="J2372" s="7" t="s">
        <v>2784</v>
      </c>
      <c r="K2372" s="7" t="s">
        <v>47</v>
      </c>
      <c r="L2372" s="7" t="s">
        <v>48</v>
      </c>
      <c r="M2372" s="7" t="s">
        <v>0</v>
      </c>
      <c r="N2372" s="7" t="s">
        <v>6457</v>
      </c>
      <c r="O2372" s="7" t="s">
        <v>0</v>
      </c>
      <c r="P2372" s="7" t="s">
        <v>6459</v>
      </c>
      <c r="Q2372" s="7" t="s">
        <v>6460</v>
      </c>
      <c r="R2372" s="7" t="s">
        <v>2079</v>
      </c>
      <c r="S2372" s="7" t="s">
        <v>2836</v>
      </c>
      <c r="T2372" s="7" t="s">
        <v>54</v>
      </c>
      <c r="U2372" s="7" t="s">
        <v>307</v>
      </c>
      <c r="V2372" s="7" t="s">
        <v>56</v>
      </c>
      <c r="W2372" s="7" t="s">
        <v>57</v>
      </c>
      <c r="X2372" s="7" t="s">
        <v>103</v>
      </c>
      <c r="Y2372" s="8">
        <v>44417</v>
      </c>
      <c r="Z2372" s="8">
        <v>45107</v>
      </c>
      <c r="AA2372" s="7" t="s">
        <v>1251</v>
      </c>
      <c r="AB2372" s="7" t="s">
        <v>1408</v>
      </c>
      <c r="AC2372" s="7" t="s">
        <v>79</v>
      </c>
      <c r="AD2372" s="7" t="s">
        <v>367</v>
      </c>
      <c r="AE2372" s="7" t="s">
        <v>82</v>
      </c>
      <c r="AF2372" s="7" t="s">
        <v>0</v>
      </c>
      <c r="AG2372" s="7" t="s">
        <v>0</v>
      </c>
      <c r="AH2372" s="9">
        <v>1</v>
      </c>
      <c r="AI2372" s="9">
        <v>0.83</v>
      </c>
      <c r="AJ2372" s="9">
        <v>0.17</v>
      </c>
      <c r="AK2372" s="7" t="s">
        <v>61</v>
      </c>
      <c r="AL2372" s="7" t="s">
        <v>61</v>
      </c>
      <c r="AM2372" s="7" t="s">
        <v>0</v>
      </c>
      <c r="AN2372" s="7" t="s">
        <v>0</v>
      </c>
      <c r="AO2372" s="7" t="s">
        <v>0</v>
      </c>
      <c r="AP2372" s="7" t="s">
        <v>0</v>
      </c>
      <c r="AQ2372" s="7" t="s">
        <v>61</v>
      </c>
      <c r="AR2372" s="7" t="s">
        <v>0</v>
      </c>
      <c r="AS2372" s="10" t="str">
        <f>HYPERLINK("https://tessa.gazprom-neft.local/edo/card/75d2140f-0f44-4f7b-9054-c2ef05421146", "https://tessa.gazprom-neft.local/edo/card/75d2140f-0f44-4f7b-9054-c2ef05421146")</f>
        <v>https://tessa.gazprom-neft.local/edo/card/75d2140f-0f44-4f7b-9054-c2ef05421146</v>
      </c>
    </row>
    <row r="2373" spans="1:45" hidden="1" x14ac:dyDescent="0.25">
      <c r="A2373" s="6" t="s">
        <v>44</v>
      </c>
      <c r="B2373" s="7" t="s">
        <v>1453</v>
      </c>
      <c r="C2373" s="7" t="s">
        <v>46</v>
      </c>
      <c r="D2373" s="8">
        <v>44415</v>
      </c>
      <c r="E2373" s="8" t="s">
        <v>0</v>
      </c>
      <c r="F2373" s="16" t="s">
        <v>1454</v>
      </c>
      <c r="G2373" s="7" t="s">
        <v>1455</v>
      </c>
      <c r="H2373" s="7" t="s">
        <v>0</v>
      </c>
      <c r="I2373" s="7" t="s">
        <v>1450</v>
      </c>
      <c r="J2373" s="7" t="s">
        <v>1450</v>
      </c>
      <c r="K2373" s="7" t="s">
        <v>47</v>
      </c>
      <c r="L2373" s="7" t="s">
        <v>96</v>
      </c>
      <c r="M2373" s="7" t="s">
        <v>0</v>
      </c>
      <c r="N2373" s="7" t="s">
        <v>6891</v>
      </c>
      <c r="O2373" s="7" t="s">
        <v>0</v>
      </c>
      <c r="P2373" s="7" t="s">
        <v>6892</v>
      </c>
      <c r="Q2373" s="7" t="s">
        <v>6893</v>
      </c>
      <c r="R2373" s="7" t="s">
        <v>1083</v>
      </c>
      <c r="S2373" s="7" t="s">
        <v>540</v>
      </c>
      <c r="T2373" s="7" t="s">
        <v>54</v>
      </c>
      <c r="U2373" s="7" t="s">
        <v>274</v>
      </c>
      <c r="V2373" s="7" t="s">
        <v>56</v>
      </c>
      <c r="W2373" s="7" t="s">
        <v>57</v>
      </c>
      <c r="X2373" s="7" t="s">
        <v>103</v>
      </c>
      <c r="Y2373" s="8">
        <v>44415</v>
      </c>
      <c r="Z2373" s="8">
        <v>45291</v>
      </c>
      <c r="AA2373" s="7" t="s">
        <v>1251</v>
      </c>
      <c r="AB2373" s="7" t="s">
        <v>328</v>
      </c>
      <c r="AC2373" s="7" t="s">
        <v>278</v>
      </c>
      <c r="AD2373" s="7" t="s">
        <v>80</v>
      </c>
      <c r="AE2373" s="7" t="s">
        <v>82</v>
      </c>
      <c r="AF2373" s="7" t="s">
        <v>0</v>
      </c>
      <c r="AG2373" s="7" t="s">
        <v>0</v>
      </c>
      <c r="AH2373" s="9" t="s">
        <v>12983</v>
      </c>
      <c r="AI2373" s="9" t="s">
        <v>12984</v>
      </c>
      <c r="AJ2373" s="9" t="s">
        <v>12985</v>
      </c>
      <c r="AK2373" s="7" t="s">
        <v>61</v>
      </c>
      <c r="AL2373" s="7" t="s">
        <v>61</v>
      </c>
      <c r="AM2373" s="7" t="s">
        <v>0</v>
      </c>
      <c r="AN2373" s="7" t="s">
        <v>0</v>
      </c>
      <c r="AO2373" s="7" t="s">
        <v>0</v>
      </c>
      <c r="AP2373" s="7" t="s">
        <v>0</v>
      </c>
      <c r="AQ2373" s="7" t="s">
        <v>61</v>
      </c>
      <c r="AR2373" s="7" t="s">
        <v>0</v>
      </c>
      <c r="AS2373" s="10" t="str">
        <f>HYPERLINK("https://tessa.gazprom-neft.local/edo/card/12666321-740b-4507-a3cc-1bda9a8aa77f", "https://tessa.gazprom-neft.local/edo/card/12666321-740b-4507-a3cc-1bda9a8aa77f")</f>
        <v>https://tessa.gazprom-neft.local/edo/card/12666321-740b-4507-a3cc-1bda9a8aa77f</v>
      </c>
    </row>
    <row r="2374" spans="1:45" hidden="1" x14ac:dyDescent="0.25">
      <c r="A2374" s="6" t="s">
        <v>44</v>
      </c>
      <c r="B2374" s="7" t="s">
        <v>245</v>
      </c>
      <c r="C2374" s="7" t="s">
        <v>67</v>
      </c>
      <c r="D2374" s="8">
        <v>44414</v>
      </c>
      <c r="E2374" s="8" t="s">
        <v>0</v>
      </c>
      <c r="F2374" s="16" t="s">
        <v>246</v>
      </c>
      <c r="G2374" s="7" t="s">
        <v>247</v>
      </c>
      <c r="H2374" s="7" t="s">
        <v>5699</v>
      </c>
      <c r="I2374" s="7" t="s">
        <v>0</v>
      </c>
      <c r="J2374" s="7" t="s">
        <v>6495</v>
      </c>
      <c r="K2374" s="7" t="s">
        <v>47</v>
      </c>
      <c r="L2374" s="7" t="s">
        <v>239</v>
      </c>
      <c r="M2374" s="7" t="s">
        <v>0</v>
      </c>
      <c r="N2374" s="7" t="s">
        <v>6494</v>
      </c>
      <c r="O2374" s="7" t="s">
        <v>0</v>
      </c>
      <c r="P2374" s="7" t="s">
        <v>239</v>
      </c>
      <c r="Q2374" s="7" t="s">
        <v>6496</v>
      </c>
      <c r="R2374" s="7" t="s">
        <v>110</v>
      </c>
      <c r="S2374" s="7" t="s">
        <v>0</v>
      </c>
      <c r="T2374" s="7" t="s">
        <v>54</v>
      </c>
      <c r="U2374" s="7" t="s">
        <v>111</v>
      </c>
      <c r="V2374" s="7" t="s">
        <v>112</v>
      </c>
      <c r="W2374" s="7" t="s">
        <v>57</v>
      </c>
      <c r="X2374" s="7" t="s">
        <v>58</v>
      </c>
      <c r="Y2374" s="8">
        <v>44434</v>
      </c>
      <c r="Z2374" s="8" t="s">
        <v>0</v>
      </c>
      <c r="AA2374" s="7" t="s">
        <v>6296</v>
      </c>
      <c r="AB2374" s="7" t="s">
        <v>64</v>
      </c>
      <c r="AC2374" s="7" t="s">
        <v>79</v>
      </c>
      <c r="AD2374" s="7" t="s">
        <v>144</v>
      </c>
      <c r="AE2374" s="7" t="s">
        <v>82</v>
      </c>
      <c r="AF2374" s="7" t="s">
        <v>0</v>
      </c>
      <c r="AG2374" s="7" t="s">
        <v>0</v>
      </c>
      <c r="AH2374" s="9" t="s">
        <v>12861</v>
      </c>
      <c r="AI2374" s="9" t="s">
        <v>12862</v>
      </c>
      <c r="AJ2374" s="9" t="s">
        <v>12863</v>
      </c>
      <c r="AK2374" s="7" t="s">
        <v>61</v>
      </c>
      <c r="AL2374" s="7" t="s">
        <v>61</v>
      </c>
      <c r="AM2374" s="7" t="s">
        <v>0</v>
      </c>
      <c r="AN2374" s="7" t="s">
        <v>0</v>
      </c>
      <c r="AO2374" s="7" t="s">
        <v>0</v>
      </c>
      <c r="AP2374" s="7" t="s">
        <v>0</v>
      </c>
      <c r="AQ2374" s="7" t="s">
        <v>61</v>
      </c>
      <c r="AR2374" s="7" t="s">
        <v>0</v>
      </c>
      <c r="AS2374" s="10" t="str">
        <f>HYPERLINK("https://tessa.gazprom-neft.local/edo/card/c977af1c-d395-4776-a642-71bfb98f5630", "https://tessa.gazprom-neft.local/edo/card/c977af1c-d395-4776-a642-71bfb98f5630")</f>
        <v>https://tessa.gazprom-neft.local/edo/card/c977af1c-d395-4776-a642-71bfb98f5630</v>
      </c>
    </row>
    <row r="2375" spans="1:45" hidden="1" x14ac:dyDescent="0.25">
      <c r="A2375" s="6" t="s">
        <v>44</v>
      </c>
      <c r="B2375" s="7" t="s">
        <v>0</v>
      </c>
      <c r="C2375" s="7" t="s">
        <v>46</v>
      </c>
      <c r="D2375" s="8">
        <v>44412</v>
      </c>
      <c r="E2375" s="8" t="s">
        <v>0</v>
      </c>
      <c r="F2375" s="16" t="s">
        <v>6229</v>
      </c>
      <c r="G2375" s="7" t="s">
        <v>0</v>
      </c>
      <c r="H2375" s="7" t="s">
        <v>0</v>
      </c>
      <c r="I2375" s="7" t="s">
        <v>6226</v>
      </c>
      <c r="J2375" s="7" t="s">
        <v>6226</v>
      </c>
      <c r="K2375" s="7" t="s">
        <v>47</v>
      </c>
      <c r="L2375" s="7" t="s">
        <v>96</v>
      </c>
      <c r="M2375" s="7" t="s">
        <v>0</v>
      </c>
      <c r="N2375" s="7" t="s">
        <v>6225</v>
      </c>
      <c r="O2375" s="7" t="s">
        <v>0</v>
      </c>
      <c r="P2375" s="7" t="s">
        <v>6227</v>
      </c>
      <c r="Q2375" s="7" t="s">
        <v>6228</v>
      </c>
      <c r="R2375" s="7" t="s">
        <v>149</v>
      </c>
      <c r="S2375" s="7" t="s">
        <v>149</v>
      </c>
      <c r="T2375" s="7" t="s">
        <v>54</v>
      </c>
      <c r="U2375" s="7" t="s">
        <v>1301</v>
      </c>
      <c r="V2375" s="7" t="s">
        <v>864</v>
      </c>
      <c r="W2375" s="7" t="s">
        <v>57</v>
      </c>
      <c r="X2375" s="7" t="s">
        <v>58</v>
      </c>
      <c r="Y2375" s="8">
        <v>44414</v>
      </c>
      <c r="Z2375" s="8" t="s">
        <v>0</v>
      </c>
      <c r="AA2375" s="7" t="s">
        <v>1465</v>
      </c>
      <c r="AB2375" s="7" t="s">
        <v>64</v>
      </c>
      <c r="AC2375" s="7" t="s">
        <v>79</v>
      </c>
      <c r="AD2375" s="7" t="s">
        <v>80</v>
      </c>
      <c r="AE2375" s="7" t="s">
        <v>118</v>
      </c>
      <c r="AF2375" s="7" t="s">
        <v>0</v>
      </c>
      <c r="AG2375" s="7" t="s">
        <v>0</v>
      </c>
      <c r="AH2375" s="9" t="s">
        <v>12761</v>
      </c>
      <c r="AI2375" s="9" t="s">
        <v>12761</v>
      </c>
      <c r="AJ2375" s="9">
        <v>0</v>
      </c>
      <c r="AK2375" s="7" t="s">
        <v>61</v>
      </c>
      <c r="AL2375" s="7" t="s">
        <v>61</v>
      </c>
      <c r="AM2375" s="7" t="s">
        <v>0</v>
      </c>
      <c r="AN2375" s="7" t="s">
        <v>0</v>
      </c>
      <c r="AO2375" s="7" t="s">
        <v>0</v>
      </c>
      <c r="AP2375" s="7" t="s">
        <v>0</v>
      </c>
      <c r="AQ2375" s="7" t="s">
        <v>61</v>
      </c>
      <c r="AR2375" s="7" t="s">
        <v>0</v>
      </c>
      <c r="AS2375" s="10" t="str">
        <f>HYPERLINK("https://tessa.gazprom-neft.local/edo/card/f98b8080-3832-4890-ae43-e580d206d899", "https://tessa.gazprom-neft.local/edo/card/f98b8080-3832-4890-ae43-e580d206d899")</f>
        <v>https://tessa.gazprom-neft.local/edo/card/f98b8080-3832-4890-ae43-e580d206d899</v>
      </c>
    </row>
    <row r="2376" spans="1:45" hidden="1" x14ac:dyDescent="0.25">
      <c r="A2376" s="6" t="s">
        <v>44</v>
      </c>
      <c r="B2376" s="7" t="s">
        <v>0</v>
      </c>
      <c r="C2376" s="7" t="s">
        <v>67</v>
      </c>
      <c r="D2376" s="8">
        <v>44411</v>
      </c>
      <c r="E2376" s="8" t="s">
        <v>0</v>
      </c>
      <c r="F2376" s="16" t="s">
        <v>5686</v>
      </c>
      <c r="G2376" s="7" t="s">
        <v>0</v>
      </c>
      <c r="H2376" s="7" t="s">
        <v>0</v>
      </c>
      <c r="I2376" s="7" t="s">
        <v>378</v>
      </c>
      <c r="J2376" s="7" t="s">
        <v>378</v>
      </c>
      <c r="K2376" s="7" t="s">
        <v>85</v>
      </c>
      <c r="L2376" s="7" t="s">
        <v>96</v>
      </c>
      <c r="M2376" s="7" t="s">
        <v>5682</v>
      </c>
      <c r="N2376" s="7" t="s">
        <v>5683</v>
      </c>
      <c r="O2376" s="7" t="s">
        <v>0</v>
      </c>
      <c r="P2376" s="7" t="s">
        <v>5684</v>
      </c>
      <c r="Q2376" s="7" t="s">
        <v>5685</v>
      </c>
      <c r="R2376" s="7" t="s">
        <v>2732</v>
      </c>
      <c r="S2376" s="7" t="s">
        <v>381</v>
      </c>
      <c r="T2376" s="7" t="s">
        <v>54</v>
      </c>
      <c r="U2376" s="7" t="s">
        <v>222</v>
      </c>
      <c r="V2376" s="7" t="s">
        <v>382</v>
      </c>
      <c r="W2376" s="7" t="s">
        <v>57</v>
      </c>
      <c r="X2376" s="7" t="s">
        <v>103</v>
      </c>
      <c r="Y2376" s="8">
        <v>44411</v>
      </c>
      <c r="Z2376" s="8">
        <v>44926</v>
      </c>
      <c r="AA2376" s="7" t="s">
        <v>1656</v>
      </c>
      <c r="AB2376" s="7" t="s">
        <v>2403</v>
      </c>
      <c r="AC2376" s="7" t="s">
        <v>79</v>
      </c>
      <c r="AD2376" s="7" t="s">
        <v>80</v>
      </c>
      <c r="AE2376" s="7" t="s">
        <v>82</v>
      </c>
      <c r="AF2376" s="7" t="s">
        <v>0</v>
      </c>
      <c r="AG2376" s="7" t="s">
        <v>0</v>
      </c>
      <c r="AH2376" s="9" t="s">
        <v>12579</v>
      </c>
      <c r="AI2376" s="9" t="s">
        <v>12580</v>
      </c>
      <c r="AJ2376" s="9" t="s">
        <v>12581</v>
      </c>
      <c r="AK2376" s="7" t="s">
        <v>61</v>
      </c>
      <c r="AL2376" s="7" t="s">
        <v>61</v>
      </c>
      <c r="AM2376" s="7" t="s">
        <v>0</v>
      </c>
      <c r="AN2376" s="7" t="s">
        <v>0</v>
      </c>
      <c r="AO2376" s="7" t="s">
        <v>0</v>
      </c>
      <c r="AP2376" s="7" t="s">
        <v>0</v>
      </c>
      <c r="AQ2376" s="7" t="s">
        <v>61</v>
      </c>
      <c r="AR2376" s="7" t="s">
        <v>0</v>
      </c>
      <c r="AS2376" s="10" t="str">
        <f>HYPERLINK("https://tessa.gazprom-neft.local/edo/card/653e2e2f-cfe4-48de-9d20-aaf0aec409c5", "https://tessa.gazprom-neft.local/edo/card/653e2e2f-cfe4-48de-9d20-aaf0aec409c5")</f>
        <v>https://tessa.gazprom-neft.local/edo/card/653e2e2f-cfe4-48de-9d20-aaf0aec409c5</v>
      </c>
    </row>
    <row r="2377" spans="1:45" hidden="1" x14ac:dyDescent="0.25">
      <c r="A2377" s="6" t="s">
        <v>44</v>
      </c>
      <c r="B2377" s="7" t="s">
        <v>0</v>
      </c>
      <c r="C2377" s="7" t="s">
        <v>46</v>
      </c>
      <c r="D2377" s="8">
        <v>44411</v>
      </c>
      <c r="E2377" s="8" t="s">
        <v>0</v>
      </c>
      <c r="F2377" s="16" t="s">
        <v>5686</v>
      </c>
      <c r="G2377" s="7" t="s">
        <v>0</v>
      </c>
      <c r="H2377" s="7" t="s">
        <v>0</v>
      </c>
      <c r="I2377" s="7" t="s">
        <v>5708</v>
      </c>
      <c r="J2377" s="7" t="s">
        <v>5708</v>
      </c>
      <c r="K2377" s="7" t="s">
        <v>85</v>
      </c>
      <c r="L2377" s="7" t="s">
        <v>86</v>
      </c>
      <c r="M2377" s="7" t="s">
        <v>5706</v>
      </c>
      <c r="N2377" s="7" t="s">
        <v>5707</v>
      </c>
      <c r="O2377" s="7" t="s">
        <v>0</v>
      </c>
      <c r="P2377" s="7" t="s">
        <v>1065</v>
      </c>
      <c r="Q2377" s="7" t="s">
        <v>5709</v>
      </c>
      <c r="R2377" s="7" t="s">
        <v>2732</v>
      </c>
      <c r="S2377" s="7" t="s">
        <v>776</v>
      </c>
      <c r="T2377" s="7" t="s">
        <v>54</v>
      </c>
      <c r="U2377" s="7" t="s">
        <v>283</v>
      </c>
      <c r="V2377" s="7" t="s">
        <v>102</v>
      </c>
      <c r="W2377" s="7" t="s">
        <v>57</v>
      </c>
      <c r="X2377" s="7" t="s">
        <v>223</v>
      </c>
      <c r="Y2377" s="8">
        <v>44411</v>
      </c>
      <c r="Z2377" s="8" t="s">
        <v>0</v>
      </c>
      <c r="AA2377" s="7" t="s">
        <v>0</v>
      </c>
      <c r="AB2377" s="7" t="s">
        <v>328</v>
      </c>
      <c r="AC2377" s="7" t="s">
        <v>65</v>
      </c>
      <c r="AD2377" s="7" t="s">
        <v>0</v>
      </c>
      <c r="AE2377" s="7" t="s">
        <v>0</v>
      </c>
      <c r="AF2377" s="7" t="s">
        <v>0</v>
      </c>
      <c r="AG2377" s="7" t="s">
        <v>0</v>
      </c>
      <c r="AH2377" s="9" t="s">
        <v>0</v>
      </c>
      <c r="AI2377" s="9" t="s">
        <v>0</v>
      </c>
      <c r="AJ2377" s="9" t="s">
        <v>0</v>
      </c>
      <c r="AK2377" s="7" t="s">
        <v>61</v>
      </c>
      <c r="AL2377" s="7" t="s">
        <v>61</v>
      </c>
      <c r="AM2377" s="7" t="s">
        <v>0</v>
      </c>
      <c r="AN2377" s="7" t="s">
        <v>0</v>
      </c>
      <c r="AO2377" s="7" t="s">
        <v>0</v>
      </c>
      <c r="AP2377" s="7" t="s">
        <v>0</v>
      </c>
      <c r="AQ2377" s="7" t="s">
        <v>61</v>
      </c>
      <c r="AR2377" s="7" t="s">
        <v>0</v>
      </c>
      <c r="AS2377" s="10" t="str">
        <f>HYPERLINK("https://tessa.gazprom-neft.local/edo/card/6a76de02-568a-4700-84ee-2b8160535249", "https://tessa.gazprom-neft.local/edo/card/6a76de02-568a-4700-84ee-2b8160535249")</f>
        <v>https://tessa.gazprom-neft.local/edo/card/6a76de02-568a-4700-84ee-2b8160535249</v>
      </c>
    </row>
    <row r="2378" spans="1:45" hidden="1" x14ac:dyDescent="0.25">
      <c r="A2378" s="6" t="s">
        <v>44</v>
      </c>
      <c r="B2378" s="7" t="s">
        <v>3172</v>
      </c>
      <c r="C2378" s="7" t="s">
        <v>67</v>
      </c>
      <c r="D2378" s="8">
        <v>44411</v>
      </c>
      <c r="E2378" s="8" t="s">
        <v>0</v>
      </c>
      <c r="F2378" s="16" t="s">
        <v>3173</v>
      </c>
      <c r="G2378" s="7" t="s">
        <v>3174</v>
      </c>
      <c r="H2378" s="7" t="s">
        <v>0</v>
      </c>
      <c r="I2378" s="7" t="s">
        <v>6307</v>
      </c>
      <c r="J2378" s="7" t="s">
        <v>6307</v>
      </c>
      <c r="K2378" s="7" t="s">
        <v>85</v>
      </c>
      <c r="L2378" s="7" t="s">
        <v>86</v>
      </c>
      <c r="M2378" s="7" t="s">
        <v>2316</v>
      </c>
      <c r="N2378" s="7" t="s">
        <v>6306</v>
      </c>
      <c r="O2378" s="7" t="s">
        <v>0</v>
      </c>
      <c r="P2378" s="7" t="s">
        <v>2316</v>
      </c>
      <c r="Q2378" s="7" t="s">
        <v>372</v>
      </c>
      <c r="R2378" s="7" t="s">
        <v>1256</v>
      </c>
      <c r="S2378" s="7" t="s">
        <v>1256</v>
      </c>
      <c r="T2378" s="7" t="s">
        <v>54</v>
      </c>
      <c r="U2378" s="7" t="s">
        <v>591</v>
      </c>
      <c r="V2378" s="7" t="s">
        <v>382</v>
      </c>
      <c r="W2378" s="7" t="s">
        <v>57</v>
      </c>
      <c r="X2378" s="7" t="s">
        <v>223</v>
      </c>
      <c r="Y2378" s="8">
        <v>44411</v>
      </c>
      <c r="Z2378" s="8" t="s">
        <v>0</v>
      </c>
      <c r="AA2378" s="7" t="s">
        <v>1656</v>
      </c>
      <c r="AB2378" s="7" t="s">
        <v>328</v>
      </c>
      <c r="AC2378" s="7" t="s">
        <v>65</v>
      </c>
      <c r="AD2378" s="7" t="s">
        <v>0</v>
      </c>
      <c r="AE2378" s="7" t="s">
        <v>0</v>
      </c>
      <c r="AF2378" s="7" t="s">
        <v>0</v>
      </c>
      <c r="AG2378" s="7" t="s">
        <v>0</v>
      </c>
      <c r="AH2378" s="9" t="s">
        <v>0</v>
      </c>
      <c r="AI2378" s="9" t="s">
        <v>0</v>
      </c>
      <c r="AJ2378" s="9" t="s">
        <v>0</v>
      </c>
      <c r="AK2378" s="7" t="s">
        <v>61</v>
      </c>
      <c r="AL2378" s="7" t="s">
        <v>61</v>
      </c>
      <c r="AM2378" s="7" t="s">
        <v>0</v>
      </c>
      <c r="AN2378" s="7" t="s">
        <v>0</v>
      </c>
      <c r="AO2378" s="7" t="s">
        <v>0</v>
      </c>
      <c r="AP2378" s="7" t="s">
        <v>0</v>
      </c>
      <c r="AQ2378" s="7" t="s">
        <v>61</v>
      </c>
      <c r="AR2378" s="7" t="s">
        <v>0</v>
      </c>
      <c r="AS2378" s="10" t="str">
        <f>HYPERLINK("https://tessa.gazprom-neft.local/edo/card/f5374f12-b1a6-49f9-86bf-eccd2bbcb7bc", "https://tessa.gazprom-neft.local/edo/card/f5374f12-b1a6-49f9-86bf-eccd2bbcb7bc")</f>
        <v>https://tessa.gazprom-neft.local/edo/card/f5374f12-b1a6-49f9-86bf-eccd2bbcb7bc</v>
      </c>
    </row>
    <row r="2379" spans="1:45" hidden="1" x14ac:dyDescent="0.25">
      <c r="A2379" s="6" t="s">
        <v>44</v>
      </c>
      <c r="B2379" s="7" t="s">
        <v>2050</v>
      </c>
      <c r="C2379" s="7" t="s">
        <v>46</v>
      </c>
      <c r="D2379" s="8">
        <v>44411</v>
      </c>
      <c r="E2379" s="8" t="s">
        <v>0</v>
      </c>
      <c r="F2379" s="16" t="s">
        <v>2051</v>
      </c>
      <c r="G2379" s="7" t="s">
        <v>2052</v>
      </c>
      <c r="H2379" s="7" t="s">
        <v>0</v>
      </c>
      <c r="I2379" s="7" t="s">
        <v>6310</v>
      </c>
      <c r="J2379" s="7" t="s">
        <v>6310</v>
      </c>
      <c r="K2379" s="7" t="s">
        <v>85</v>
      </c>
      <c r="L2379" s="7" t="s">
        <v>86</v>
      </c>
      <c r="M2379" s="7" t="s">
        <v>2316</v>
      </c>
      <c r="N2379" s="7" t="s">
        <v>6309</v>
      </c>
      <c r="O2379" s="7" t="s">
        <v>0</v>
      </c>
      <c r="P2379" s="7" t="s">
        <v>2316</v>
      </c>
      <c r="Q2379" s="7" t="s">
        <v>372</v>
      </c>
      <c r="R2379" s="7" t="s">
        <v>1256</v>
      </c>
      <c r="S2379" s="7" t="s">
        <v>1256</v>
      </c>
      <c r="T2379" s="7" t="s">
        <v>54</v>
      </c>
      <c r="U2379" s="7" t="s">
        <v>591</v>
      </c>
      <c r="V2379" s="7" t="s">
        <v>382</v>
      </c>
      <c r="W2379" s="7" t="s">
        <v>57</v>
      </c>
      <c r="X2379" s="7" t="s">
        <v>223</v>
      </c>
      <c r="Y2379" s="8">
        <v>44411</v>
      </c>
      <c r="Z2379" s="8" t="s">
        <v>0</v>
      </c>
      <c r="AA2379" s="7" t="s">
        <v>1656</v>
      </c>
      <c r="AB2379" s="7" t="s">
        <v>328</v>
      </c>
      <c r="AC2379" s="7" t="s">
        <v>65</v>
      </c>
      <c r="AD2379" s="7" t="s">
        <v>0</v>
      </c>
      <c r="AE2379" s="7" t="s">
        <v>0</v>
      </c>
      <c r="AF2379" s="7" t="s">
        <v>0</v>
      </c>
      <c r="AG2379" s="7" t="s">
        <v>0</v>
      </c>
      <c r="AH2379" s="9" t="s">
        <v>0</v>
      </c>
      <c r="AI2379" s="9" t="s">
        <v>0</v>
      </c>
      <c r="AJ2379" s="9" t="s">
        <v>0</v>
      </c>
      <c r="AK2379" s="7" t="s">
        <v>61</v>
      </c>
      <c r="AL2379" s="7" t="s">
        <v>61</v>
      </c>
      <c r="AM2379" s="7" t="s">
        <v>0</v>
      </c>
      <c r="AN2379" s="7" t="s">
        <v>0</v>
      </c>
      <c r="AO2379" s="7" t="s">
        <v>0</v>
      </c>
      <c r="AP2379" s="7" t="s">
        <v>0</v>
      </c>
      <c r="AQ2379" s="7" t="s">
        <v>61</v>
      </c>
      <c r="AR2379" s="7" t="s">
        <v>0</v>
      </c>
      <c r="AS2379" s="10" t="str">
        <f>HYPERLINK("https://tessa.gazprom-neft.local/edo/card/ab36391f-de4d-4bd9-a94d-f71a96c9f978", "https://tessa.gazprom-neft.local/edo/card/ab36391f-de4d-4bd9-a94d-f71a96c9f978")</f>
        <v>https://tessa.gazprom-neft.local/edo/card/ab36391f-de4d-4bd9-a94d-f71a96c9f978</v>
      </c>
    </row>
    <row r="2380" spans="1:45" hidden="1" x14ac:dyDescent="0.25">
      <c r="A2380" s="6" t="s">
        <v>44</v>
      </c>
      <c r="B2380" s="7" t="s">
        <v>2898</v>
      </c>
      <c r="C2380" s="7" t="s">
        <v>67</v>
      </c>
      <c r="D2380" s="8">
        <v>44411</v>
      </c>
      <c r="E2380" s="8" t="s">
        <v>0</v>
      </c>
      <c r="F2380" s="16" t="s">
        <v>2899</v>
      </c>
      <c r="G2380" s="7" t="s">
        <v>2900</v>
      </c>
      <c r="H2380" s="7" t="s">
        <v>0</v>
      </c>
      <c r="I2380" s="7" t="s">
        <v>6337</v>
      </c>
      <c r="J2380" s="7" t="s">
        <v>6337</v>
      </c>
      <c r="K2380" s="7" t="s">
        <v>85</v>
      </c>
      <c r="L2380" s="7" t="s">
        <v>86</v>
      </c>
      <c r="M2380" s="7" t="s">
        <v>2316</v>
      </c>
      <c r="N2380" s="7" t="s">
        <v>6336</v>
      </c>
      <c r="O2380" s="7" t="s">
        <v>0</v>
      </c>
      <c r="P2380" s="7" t="s">
        <v>2316</v>
      </c>
      <c r="Q2380" s="7" t="s">
        <v>372</v>
      </c>
      <c r="R2380" s="7" t="s">
        <v>1256</v>
      </c>
      <c r="S2380" s="7" t="s">
        <v>1256</v>
      </c>
      <c r="T2380" s="7" t="s">
        <v>54</v>
      </c>
      <c r="U2380" s="7" t="s">
        <v>591</v>
      </c>
      <c r="V2380" s="7" t="s">
        <v>382</v>
      </c>
      <c r="W2380" s="7" t="s">
        <v>57</v>
      </c>
      <c r="X2380" s="7" t="s">
        <v>223</v>
      </c>
      <c r="Y2380" s="8">
        <v>44411</v>
      </c>
      <c r="Z2380" s="8" t="s">
        <v>0</v>
      </c>
      <c r="AA2380" s="7" t="s">
        <v>1656</v>
      </c>
      <c r="AB2380" s="7" t="s">
        <v>328</v>
      </c>
      <c r="AC2380" s="7" t="s">
        <v>65</v>
      </c>
      <c r="AD2380" s="7" t="s">
        <v>0</v>
      </c>
      <c r="AE2380" s="7" t="s">
        <v>0</v>
      </c>
      <c r="AF2380" s="7" t="s">
        <v>0</v>
      </c>
      <c r="AG2380" s="7" t="s">
        <v>0</v>
      </c>
      <c r="AH2380" s="9" t="s">
        <v>0</v>
      </c>
      <c r="AI2380" s="9" t="s">
        <v>0</v>
      </c>
      <c r="AJ2380" s="9" t="s">
        <v>0</v>
      </c>
      <c r="AK2380" s="7" t="s">
        <v>61</v>
      </c>
      <c r="AL2380" s="7" t="s">
        <v>61</v>
      </c>
      <c r="AM2380" s="7" t="s">
        <v>0</v>
      </c>
      <c r="AN2380" s="7" t="s">
        <v>0</v>
      </c>
      <c r="AO2380" s="7" t="s">
        <v>0</v>
      </c>
      <c r="AP2380" s="7" t="s">
        <v>0</v>
      </c>
      <c r="AQ2380" s="7" t="s">
        <v>61</v>
      </c>
      <c r="AR2380" s="7" t="s">
        <v>0</v>
      </c>
      <c r="AS2380" s="10" t="str">
        <f>HYPERLINK("https://tessa.gazprom-neft.local/edo/card/97d13490-e0b7-405f-81a0-cf63b583d36e", "https://tessa.gazprom-neft.local/edo/card/97d13490-e0b7-405f-81a0-cf63b583d36e")</f>
        <v>https://tessa.gazprom-neft.local/edo/card/97d13490-e0b7-405f-81a0-cf63b583d36e</v>
      </c>
    </row>
    <row r="2381" spans="1:45" hidden="1" x14ac:dyDescent="0.25">
      <c r="A2381" s="6" t="s">
        <v>44</v>
      </c>
      <c r="B2381" s="7" t="s">
        <v>0</v>
      </c>
      <c r="C2381" s="7" t="s">
        <v>46</v>
      </c>
      <c r="D2381" s="8">
        <v>44409</v>
      </c>
      <c r="E2381" s="8" t="s">
        <v>0</v>
      </c>
      <c r="F2381" s="16" t="s">
        <v>5846</v>
      </c>
      <c r="G2381" s="7" t="s">
        <v>0</v>
      </c>
      <c r="H2381" s="7" t="s">
        <v>0</v>
      </c>
      <c r="I2381" s="7" t="s">
        <v>5843</v>
      </c>
      <c r="J2381" s="7" t="s">
        <v>5843</v>
      </c>
      <c r="K2381" s="7" t="s">
        <v>47</v>
      </c>
      <c r="L2381" s="7" t="s">
        <v>96</v>
      </c>
      <c r="M2381" s="7" t="s">
        <v>0</v>
      </c>
      <c r="N2381" s="7" t="s">
        <v>5842</v>
      </c>
      <c r="O2381" s="7" t="s">
        <v>0</v>
      </c>
      <c r="P2381" s="7" t="s">
        <v>5844</v>
      </c>
      <c r="Q2381" s="7" t="s">
        <v>5845</v>
      </c>
      <c r="R2381" s="7" t="s">
        <v>149</v>
      </c>
      <c r="S2381" s="7" t="s">
        <v>149</v>
      </c>
      <c r="T2381" s="7" t="s">
        <v>54</v>
      </c>
      <c r="U2381" s="7" t="s">
        <v>1301</v>
      </c>
      <c r="V2381" s="7" t="s">
        <v>137</v>
      </c>
      <c r="W2381" s="7" t="s">
        <v>57</v>
      </c>
      <c r="X2381" s="7" t="s">
        <v>103</v>
      </c>
      <c r="Y2381" s="8">
        <v>44409</v>
      </c>
      <c r="Z2381" s="8">
        <v>44926</v>
      </c>
      <c r="AA2381" s="7" t="s">
        <v>0</v>
      </c>
      <c r="AB2381" s="7" t="s">
        <v>64</v>
      </c>
      <c r="AC2381" s="7" t="s">
        <v>79</v>
      </c>
      <c r="AD2381" s="7" t="s">
        <v>80</v>
      </c>
      <c r="AE2381" s="7" t="s">
        <v>82</v>
      </c>
      <c r="AF2381" s="7" t="s">
        <v>0</v>
      </c>
      <c r="AG2381" s="7" t="s">
        <v>0</v>
      </c>
      <c r="AH2381" s="9" t="s">
        <v>12649</v>
      </c>
      <c r="AI2381" s="9" t="s">
        <v>12650</v>
      </c>
      <c r="AJ2381" s="9" t="s">
        <v>12651</v>
      </c>
      <c r="AK2381" s="7" t="s">
        <v>61</v>
      </c>
      <c r="AL2381" s="7" t="s">
        <v>61</v>
      </c>
      <c r="AM2381" s="7" t="s">
        <v>0</v>
      </c>
      <c r="AN2381" s="7" t="s">
        <v>0</v>
      </c>
      <c r="AO2381" s="7" t="s">
        <v>0</v>
      </c>
      <c r="AP2381" s="7" t="s">
        <v>0</v>
      </c>
      <c r="AQ2381" s="7" t="s">
        <v>61</v>
      </c>
      <c r="AR2381" s="7" t="s">
        <v>0</v>
      </c>
      <c r="AS2381" s="10" t="str">
        <f>HYPERLINK("https://tessa.gazprom-neft.local/edo/card/9b5eb2a0-3f7f-4ae7-b0f0-b83e8a2b7135", "https://tessa.gazprom-neft.local/edo/card/9b5eb2a0-3f7f-4ae7-b0f0-b83e8a2b7135")</f>
        <v>https://tessa.gazprom-neft.local/edo/card/9b5eb2a0-3f7f-4ae7-b0f0-b83e8a2b7135</v>
      </c>
    </row>
    <row r="2382" spans="1:45" x14ac:dyDescent="0.25">
      <c r="A2382" s="6" t="s">
        <v>44</v>
      </c>
      <c r="B2382" s="7" t="s">
        <v>3031</v>
      </c>
      <c r="C2382" s="7" t="s">
        <v>67</v>
      </c>
      <c r="D2382" s="8">
        <v>44409</v>
      </c>
      <c r="E2382" s="8" t="s">
        <v>0</v>
      </c>
      <c r="F2382" s="16" t="s">
        <v>3032</v>
      </c>
      <c r="G2382" s="7" t="s">
        <v>3033</v>
      </c>
      <c r="H2382" s="7" t="s">
        <v>6006</v>
      </c>
      <c r="I2382" s="7" t="s">
        <v>0</v>
      </c>
      <c r="J2382" s="7" t="s">
        <v>872</v>
      </c>
      <c r="K2382" s="7" t="s">
        <v>47</v>
      </c>
      <c r="L2382" s="7" t="s">
        <v>48</v>
      </c>
      <c r="M2382" s="7" t="s">
        <v>0</v>
      </c>
      <c r="N2382" s="7" t="s">
        <v>6005</v>
      </c>
      <c r="O2382" s="7" t="s">
        <v>0</v>
      </c>
      <c r="P2382" s="7" t="s">
        <v>6007</v>
      </c>
      <c r="Q2382" s="7" t="s">
        <v>6008</v>
      </c>
      <c r="R2382" s="7" t="s">
        <v>799</v>
      </c>
      <c r="S2382" s="7" t="s">
        <v>1829</v>
      </c>
      <c r="T2382" s="7" t="s">
        <v>54</v>
      </c>
      <c r="U2382" s="7" t="s">
        <v>125</v>
      </c>
      <c r="V2382" s="7" t="s">
        <v>382</v>
      </c>
      <c r="W2382" s="7" t="s">
        <v>57</v>
      </c>
      <c r="X2382" s="7" t="s">
        <v>103</v>
      </c>
      <c r="Y2382" s="8">
        <v>44409</v>
      </c>
      <c r="Z2382" s="8">
        <v>44926</v>
      </c>
      <c r="AA2382" s="7" t="s">
        <v>1656</v>
      </c>
      <c r="AB2382" s="7" t="s">
        <v>3034</v>
      </c>
      <c r="AC2382" s="7" t="s">
        <v>65</v>
      </c>
      <c r="AD2382" s="7" t="s">
        <v>0</v>
      </c>
      <c r="AE2382" s="7" t="s">
        <v>0</v>
      </c>
      <c r="AF2382" s="7" t="s">
        <v>0</v>
      </c>
      <c r="AG2382" s="7" t="s">
        <v>0</v>
      </c>
      <c r="AH2382" s="9" t="s">
        <v>0</v>
      </c>
      <c r="AI2382" s="9" t="s">
        <v>0</v>
      </c>
      <c r="AJ2382" s="9" t="s">
        <v>0</v>
      </c>
      <c r="AK2382" s="7" t="s">
        <v>61</v>
      </c>
      <c r="AL2382" s="7" t="s">
        <v>61</v>
      </c>
      <c r="AM2382" s="7" t="s">
        <v>0</v>
      </c>
      <c r="AN2382" s="7" t="s">
        <v>0</v>
      </c>
      <c r="AO2382" s="7" t="s">
        <v>0</v>
      </c>
      <c r="AP2382" s="7" t="s">
        <v>0</v>
      </c>
      <c r="AQ2382" s="7" t="s">
        <v>61</v>
      </c>
      <c r="AR2382" s="7" t="s">
        <v>0</v>
      </c>
      <c r="AS2382" s="10" t="str">
        <f>HYPERLINK("https://tessa.gazprom-neft.local/edo/card/5615ce06-caad-44af-8fc4-b6ea65eab864", "https://tessa.gazprom-neft.local/edo/card/5615ce06-caad-44af-8fc4-b6ea65eab864")</f>
        <v>https://tessa.gazprom-neft.local/edo/card/5615ce06-caad-44af-8fc4-b6ea65eab864</v>
      </c>
    </row>
    <row r="2383" spans="1:45" hidden="1" x14ac:dyDescent="0.25">
      <c r="A2383" s="6" t="s">
        <v>44</v>
      </c>
      <c r="B2383" s="7" t="s">
        <v>245</v>
      </c>
      <c r="C2383" s="7" t="s">
        <v>67</v>
      </c>
      <c r="D2383" s="8">
        <v>44409</v>
      </c>
      <c r="E2383" s="8" t="s">
        <v>0</v>
      </c>
      <c r="F2383" s="16" t="s">
        <v>246</v>
      </c>
      <c r="G2383" s="7" t="s">
        <v>247</v>
      </c>
      <c r="H2383" s="7" t="s">
        <v>912</v>
      </c>
      <c r="I2383" s="7" t="s">
        <v>0</v>
      </c>
      <c r="J2383" s="7" t="s">
        <v>6214</v>
      </c>
      <c r="K2383" s="7" t="s">
        <v>47</v>
      </c>
      <c r="L2383" s="7" t="s">
        <v>239</v>
      </c>
      <c r="M2383" s="7" t="s">
        <v>0</v>
      </c>
      <c r="N2383" s="7" t="s">
        <v>6213</v>
      </c>
      <c r="O2383" s="7" t="s">
        <v>0</v>
      </c>
      <c r="P2383" s="7" t="s">
        <v>6214</v>
      </c>
      <c r="Q2383" s="7" t="s">
        <v>6215</v>
      </c>
      <c r="R2383" s="7" t="s">
        <v>915</v>
      </c>
      <c r="S2383" s="7" t="s">
        <v>0</v>
      </c>
      <c r="T2383" s="7" t="s">
        <v>54</v>
      </c>
      <c r="U2383" s="7" t="s">
        <v>916</v>
      </c>
      <c r="V2383" s="7" t="s">
        <v>917</v>
      </c>
      <c r="W2383" s="7" t="s">
        <v>57</v>
      </c>
      <c r="X2383" s="7" t="s">
        <v>103</v>
      </c>
      <c r="Y2383" s="8">
        <v>44409</v>
      </c>
      <c r="Z2383" s="8">
        <v>44561</v>
      </c>
      <c r="AA2383" s="7" t="s">
        <v>309</v>
      </c>
      <c r="AB2383" s="7" t="s">
        <v>545</v>
      </c>
      <c r="AC2383" s="7" t="s">
        <v>79</v>
      </c>
      <c r="AD2383" s="7" t="s">
        <v>144</v>
      </c>
      <c r="AE2383" s="7" t="s">
        <v>82</v>
      </c>
      <c r="AF2383" s="7" t="s">
        <v>0</v>
      </c>
      <c r="AG2383" s="7" t="s">
        <v>0</v>
      </c>
      <c r="AH2383" s="9" t="s">
        <v>12757</v>
      </c>
      <c r="AI2383" s="9" t="s">
        <v>12758</v>
      </c>
      <c r="AJ2383" s="9" t="s">
        <v>12759</v>
      </c>
      <c r="AK2383" s="7" t="s">
        <v>61</v>
      </c>
      <c r="AL2383" s="7" t="s">
        <v>61</v>
      </c>
      <c r="AM2383" s="7" t="s">
        <v>0</v>
      </c>
      <c r="AN2383" s="7" t="s">
        <v>0</v>
      </c>
      <c r="AO2383" s="7" t="s">
        <v>0</v>
      </c>
      <c r="AP2383" s="7" t="s">
        <v>0</v>
      </c>
      <c r="AQ2383" s="7" t="s">
        <v>61</v>
      </c>
      <c r="AR2383" s="7" t="s">
        <v>0</v>
      </c>
      <c r="AS2383" s="10" t="str">
        <f>HYPERLINK("https://tessa.gazprom-neft.local/edo/card/69069694-1377-4ced-b57d-1b9b9ce6b362", "https://tessa.gazprom-neft.local/edo/card/69069694-1377-4ced-b57d-1b9b9ce6b362")</f>
        <v>https://tessa.gazprom-neft.local/edo/card/69069694-1377-4ced-b57d-1b9b9ce6b362</v>
      </c>
    </row>
    <row r="2384" spans="1:45" hidden="1" x14ac:dyDescent="0.25">
      <c r="A2384" s="6" t="s">
        <v>44</v>
      </c>
      <c r="B2384" s="7" t="s">
        <v>801</v>
      </c>
      <c r="C2384" s="7" t="s">
        <v>67</v>
      </c>
      <c r="D2384" s="8">
        <v>44409</v>
      </c>
      <c r="E2384" s="8" t="s">
        <v>0</v>
      </c>
      <c r="F2384" s="16" t="s">
        <v>802</v>
      </c>
      <c r="G2384" s="7" t="s">
        <v>803</v>
      </c>
      <c r="H2384" s="7" t="s">
        <v>0</v>
      </c>
      <c r="I2384" s="7" t="s">
        <v>6371</v>
      </c>
      <c r="J2384" s="7" t="s">
        <v>6371</v>
      </c>
      <c r="K2384" s="7" t="s">
        <v>47</v>
      </c>
      <c r="L2384" s="7" t="s">
        <v>96</v>
      </c>
      <c r="M2384" s="7" t="s">
        <v>0</v>
      </c>
      <c r="N2384" s="7" t="s">
        <v>6370</v>
      </c>
      <c r="O2384" s="7" t="s">
        <v>0</v>
      </c>
      <c r="P2384" s="7" t="s">
        <v>6372</v>
      </c>
      <c r="Q2384" s="7" t="s">
        <v>6373</v>
      </c>
      <c r="R2384" s="7" t="s">
        <v>1503</v>
      </c>
      <c r="S2384" s="7" t="s">
        <v>1503</v>
      </c>
      <c r="T2384" s="7" t="s">
        <v>54</v>
      </c>
      <c r="U2384" s="7" t="s">
        <v>167</v>
      </c>
      <c r="V2384" s="7" t="s">
        <v>137</v>
      </c>
      <c r="W2384" s="7" t="s">
        <v>57</v>
      </c>
      <c r="X2384" s="7" t="s">
        <v>103</v>
      </c>
      <c r="Y2384" s="8">
        <v>44409</v>
      </c>
      <c r="Z2384" s="8">
        <v>45504</v>
      </c>
      <c r="AA2384" s="7" t="s">
        <v>0</v>
      </c>
      <c r="AB2384" s="7" t="s">
        <v>6374</v>
      </c>
      <c r="AC2384" s="7" t="s">
        <v>79</v>
      </c>
      <c r="AD2384" s="7" t="s">
        <v>144</v>
      </c>
      <c r="AE2384" s="7" t="s">
        <v>82</v>
      </c>
      <c r="AF2384" s="7" t="s">
        <v>0</v>
      </c>
      <c r="AG2384" s="7" t="s">
        <v>0</v>
      </c>
      <c r="AH2384" s="9" t="s">
        <v>12823</v>
      </c>
      <c r="AI2384" s="9" t="s">
        <v>12824</v>
      </c>
      <c r="AJ2384" s="9" t="s">
        <v>12825</v>
      </c>
      <c r="AK2384" s="7" t="s">
        <v>61</v>
      </c>
      <c r="AL2384" s="7" t="s">
        <v>61</v>
      </c>
      <c r="AM2384" s="7" t="s">
        <v>0</v>
      </c>
      <c r="AN2384" s="7" t="s">
        <v>0</v>
      </c>
      <c r="AO2384" s="7" t="s">
        <v>0</v>
      </c>
      <c r="AP2384" s="7" t="s">
        <v>0</v>
      </c>
      <c r="AQ2384" s="7" t="s">
        <v>61</v>
      </c>
      <c r="AR2384" s="7" t="s">
        <v>0</v>
      </c>
      <c r="AS2384" s="10" t="str">
        <f>HYPERLINK("https://tessa.gazprom-neft.local/edo/card/e75c4b0d-5d16-4e0b-a288-80dbebcc656c", "https://tessa.gazprom-neft.local/edo/card/e75c4b0d-5d16-4e0b-a288-80dbebcc656c")</f>
        <v>https://tessa.gazprom-neft.local/edo/card/e75c4b0d-5d16-4e0b-a288-80dbebcc656c</v>
      </c>
    </row>
    <row r="2385" spans="1:45" hidden="1" x14ac:dyDescent="0.25">
      <c r="A2385" s="6" t="s">
        <v>44</v>
      </c>
      <c r="B2385" s="7" t="s">
        <v>6387</v>
      </c>
      <c r="C2385" s="7" t="s">
        <v>67</v>
      </c>
      <c r="D2385" s="8">
        <v>44409</v>
      </c>
      <c r="E2385" s="8" t="s">
        <v>0</v>
      </c>
      <c r="F2385" s="16" t="s">
        <v>6388</v>
      </c>
      <c r="G2385" s="7" t="s">
        <v>6389</v>
      </c>
      <c r="H2385" s="7" t="s">
        <v>0</v>
      </c>
      <c r="I2385" s="7" t="s">
        <v>6385</v>
      </c>
      <c r="J2385" s="7" t="s">
        <v>6385</v>
      </c>
      <c r="K2385" s="7" t="s">
        <v>85</v>
      </c>
      <c r="L2385" s="7" t="s">
        <v>86</v>
      </c>
      <c r="M2385" s="7" t="s">
        <v>3500</v>
      </c>
      <c r="N2385" s="7" t="s">
        <v>6384</v>
      </c>
      <c r="O2385" s="7" t="s">
        <v>0</v>
      </c>
      <c r="P2385" s="7" t="s">
        <v>3500</v>
      </c>
      <c r="Q2385" s="7" t="s">
        <v>6386</v>
      </c>
      <c r="R2385" s="7" t="s">
        <v>149</v>
      </c>
      <c r="S2385" s="7" t="s">
        <v>149</v>
      </c>
      <c r="T2385" s="7" t="s">
        <v>54</v>
      </c>
      <c r="U2385" s="7" t="s">
        <v>1301</v>
      </c>
      <c r="V2385" s="7" t="s">
        <v>137</v>
      </c>
      <c r="W2385" s="7" t="s">
        <v>57</v>
      </c>
      <c r="X2385" s="7" t="s">
        <v>103</v>
      </c>
      <c r="Y2385" s="8">
        <v>44409</v>
      </c>
      <c r="Z2385" s="8">
        <v>49857</v>
      </c>
      <c r="AA2385" s="7" t="s">
        <v>0</v>
      </c>
      <c r="AB2385" s="7" t="s">
        <v>94</v>
      </c>
      <c r="AC2385" s="7" t="s">
        <v>65</v>
      </c>
      <c r="AD2385" s="7" t="s">
        <v>0</v>
      </c>
      <c r="AE2385" s="7" t="s">
        <v>0</v>
      </c>
      <c r="AF2385" s="7" t="s">
        <v>0</v>
      </c>
      <c r="AG2385" s="7" t="s">
        <v>0</v>
      </c>
      <c r="AH2385" s="9" t="s">
        <v>0</v>
      </c>
      <c r="AI2385" s="9" t="s">
        <v>0</v>
      </c>
      <c r="AJ2385" s="9" t="s">
        <v>0</v>
      </c>
      <c r="AK2385" s="7" t="s">
        <v>61</v>
      </c>
      <c r="AL2385" s="7" t="s">
        <v>61</v>
      </c>
      <c r="AM2385" s="7" t="s">
        <v>0</v>
      </c>
      <c r="AN2385" s="7" t="s">
        <v>0</v>
      </c>
      <c r="AO2385" s="7" t="s">
        <v>0</v>
      </c>
      <c r="AP2385" s="7" t="s">
        <v>0</v>
      </c>
      <c r="AQ2385" s="7" t="s">
        <v>61</v>
      </c>
      <c r="AR2385" s="7" t="s">
        <v>0</v>
      </c>
      <c r="AS2385" s="10" t="str">
        <f>HYPERLINK("https://tessa.gazprom-neft.local/edo/card/13e3b8f3-b4b0-4b8d-bc17-646ac0f20fc8", "https://tessa.gazprom-neft.local/edo/card/13e3b8f3-b4b0-4b8d-bc17-646ac0f20fc8")</f>
        <v>https://tessa.gazprom-neft.local/edo/card/13e3b8f3-b4b0-4b8d-bc17-646ac0f20fc8</v>
      </c>
    </row>
    <row r="2386" spans="1:45" x14ac:dyDescent="0.25">
      <c r="A2386" s="6" t="s">
        <v>44</v>
      </c>
      <c r="B2386" s="7" t="s">
        <v>350</v>
      </c>
      <c r="C2386" s="7" t="s">
        <v>67</v>
      </c>
      <c r="D2386" s="8">
        <v>44409</v>
      </c>
      <c r="E2386" s="8" t="s">
        <v>0</v>
      </c>
      <c r="F2386" s="16" t="s">
        <v>351</v>
      </c>
      <c r="G2386" s="7" t="s">
        <v>352</v>
      </c>
      <c r="H2386" s="7" t="s">
        <v>6737</v>
      </c>
      <c r="I2386" s="7" t="s">
        <v>0</v>
      </c>
      <c r="J2386" s="7" t="s">
        <v>271</v>
      </c>
      <c r="K2386" s="7" t="s">
        <v>47</v>
      </c>
      <c r="L2386" s="7" t="s">
        <v>48</v>
      </c>
      <c r="M2386" s="7" t="s">
        <v>0</v>
      </c>
      <c r="N2386" s="7" t="s">
        <v>6736</v>
      </c>
      <c r="O2386" s="7" t="s">
        <v>0</v>
      </c>
      <c r="P2386" s="7" t="s">
        <v>6738</v>
      </c>
      <c r="Q2386" s="7" t="s">
        <v>6739</v>
      </c>
      <c r="R2386" s="7" t="s">
        <v>349</v>
      </c>
      <c r="S2386" s="7" t="s">
        <v>349</v>
      </c>
      <c r="T2386" s="7" t="s">
        <v>54</v>
      </c>
      <c r="U2386" s="7" t="s">
        <v>101</v>
      </c>
      <c r="V2386" s="7" t="s">
        <v>137</v>
      </c>
      <c r="W2386" s="7" t="s">
        <v>57</v>
      </c>
      <c r="X2386" s="7" t="s">
        <v>103</v>
      </c>
      <c r="Y2386" s="8">
        <v>44409</v>
      </c>
      <c r="Z2386" s="8">
        <v>45657</v>
      </c>
      <c r="AA2386" s="7" t="s">
        <v>0</v>
      </c>
      <c r="AB2386" s="7" t="s">
        <v>64</v>
      </c>
      <c r="AC2386" s="7" t="s">
        <v>79</v>
      </c>
      <c r="AD2386" s="7" t="s">
        <v>144</v>
      </c>
      <c r="AE2386" s="7" t="s">
        <v>82</v>
      </c>
      <c r="AF2386" s="7" t="s">
        <v>0</v>
      </c>
      <c r="AG2386" s="7" t="s">
        <v>0</v>
      </c>
      <c r="AH2386" s="9" t="s">
        <v>12936</v>
      </c>
      <c r="AI2386" s="9" t="s">
        <v>12937</v>
      </c>
      <c r="AJ2386" s="9" t="s">
        <v>12938</v>
      </c>
      <c r="AK2386" s="7" t="s">
        <v>61</v>
      </c>
      <c r="AL2386" s="7" t="s">
        <v>61</v>
      </c>
      <c r="AM2386" s="7" t="s">
        <v>0</v>
      </c>
      <c r="AN2386" s="7" t="s">
        <v>0</v>
      </c>
      <c r="AO2386" s="7" t="s">
        <v>0</v>
      </c>
      <c r="AP2386" s="7" t="s">
        <v>0</v>
      </c>
      <c r="AQ2386" s="7" t="s">
        <v>61</v>
      </c>
      <c r="AR2386" s="7" t="s">
        <v>0</v>
      </c>
      <c r="AS2386" s="10" t="str">
        <f>HYPERLINK("https://tessa.gazprom-neft.local/edo/card/360001da-b0ef-4b36-bd9b-915bf7f26189", "https://tessa.gazprom-neft.local/edo/card/360001da-b0ef-4b36-bd9b-915bf7f26189")</f>
        <v>https://tessa.gazprom-neft.local/edo/card/360001da-b0ef-4b36-bd9b-915bf7f26189</v>
      </c>
    </row>
    <row r="2387" spans="1:45" hidden="1" x14ac:dyDescent="0.25">
      <c r="A2387" s="6" t="s">
        <v>44</v>
      </c>
      <c r="B2387" s="7" t="s">
        <v>2724</v>
      </c>
      <c r="C2387" s="7" t="s">
        <v>67</v>
      </c>
      <c r="D2387" s="8">
        <v>44409</v>
      </c>
      <c r="E2387" s="8" t="s">
        <v>0</v>
      </c>
      <c r="F2387" s="16" t="s">
        <v>2671</v>
      </c>
      <c r="G2387" s="7" t="s">
        <v>2725</v>
      </c>
      <c r="H2387" s="7" t="s">
        <v>0</v>
      </c>
      <c r="I2387" s="7" t="s">
        <v>2720</v>
      </c>
      <c r="J2387" s="7" t="s">
        <v>2720</v>
      </c>
      <c r="K2387" s="7" t="s">
        <v>47</v>
      </c>
      <c r="L2387" s="7" t="s">
        <v>86</v>
      </c>
      <c r="M2387" s="7" t="s">
        <v>0</v>
      </c>
      <c r="N2387" s="7" t="s">
        <v>7643</v>
      </c>
      <c r="O2387" s="7" t="s">
        <v>0</v>
      </c>
      <c r="P2387" s="7" t="s">
        <v>7158</v>
      </c>
      <c r="Q2387" s="7" t="s">
        <v>7159</v>
      </c>
      <c r="R2387" s="7" t="s">
        <v>604</v>
      </c>
      <c r="S2387" s="7" t="s">
        <v>604</v>
      </c>
      <c r="T2387" s="7" t="s">
        <v>54</v>
      </c>
      <c r="U2387" s="7" t="s">
        <v>605</v>
      </c>
      <c r="V2387" s="7" t="s">
        <v>382</v>
      </c>
      <c r="W2387" s="7" t="s">
        <v>57</v>
      </c>
      <c r="X2387" s="7" t="s">
        <v>103</v>
      </c>
      <c r="Y2387" s="8">
        <v>44409</v>
      </c>
      <c r="Z2387" s="8">
        <v>45444</v>
      </c>
      <c r="AA2387" s="7" t="s">
        <v>1656</v>
      </c>
      <c r="AB2387" s="7" t="s">
        <v>888</v>
      </c>
      <c r="AC2387" s="7" t="s">
        <v>79</v>
      </c>
      <c r="AD2387" s="7" t="s">
        <v>80</v>
      </c>
      <c r="AE2387" s="7" t="s">
        <v>82</v>
      </c>
      <c r="AF2387" s="7" t="s">
        <v>0</v>
      </c>
      <c r="AG2387" s="7" t="s">
        <v>0</v>
      </c>
      <c r="AH2387" s="9" t="s">
        <v>13250</v>
      </c>
      <c r="AI2387" s="9" t="s">
        <v>13251</v>
      </c>
      <c r="AJ2387" s="9">
        <v>250.72</v>
      </c>
      <c r="AK2387" s="7" t="s">
        <v>61</v>
      </c>
      <c r="AL2387" s="7" t="s">
        <v>61</v>
      </c>
      <c r="AM2387" s="7" t="s">
        <v>0</v>
      </c>
      <c r="AN2387" s="7" t="s">
        <v>0</v>
      </c>
      <c r="AO2387" s="7" t="s">
        <v>0</v>
      </c>
      <c r="AP2387" s="7" t="s">
        <v>0</v>
      </c>
      <c r="AQ2387" s="7" t="s">
        <v>61</v>
      </c>
      <c r="AR2387" s="7" t="s">
        <v>0</v>
      </c>
      <c r="AS2387" s="10" t="str">
        <f>HYPERLINK("https://tessa.gazprom-neft.local/edo/card/af5e27a6-31be-4f5d-a357-e3d5f62769ba", "https://tessa.gazprom-neft.local/edo/card/af5e27a6-31be-4f5d-a357-e3d5f62769ba")</f>
        <v>https://tessa.gazprom-neft.local/edo/card/af5e27a6-31be-4f5d-a357-e3d5f62769ba</v>
      </c>
    </row>
    <row r="2388" spans="1:45" x14ac:dyDescent="0.25">
      <c r="A2388" s="6" t="s">
        <v>44</v>
      </c>
      <c r="B2388" s="7" t="s">
        <v>2291</v>
      </c>
      <c r="C2388" s="7" t="s">
        <v>67</v>
      </c>
      <c r="D2388" s="8">
        <v>44407</v>
      </c>
      <c r="E2388" s="8" t="s">
        <v>0</v>
      </c>
      <c r="F2388" s="16" t="s">
        <v>2292</v>
      </c>
      <c r="G2388" s="7" t="s">
        <v>2293</v>
      </c>
      <c r="H2388" s="7" t="s">
        <v>5197</v>
      </c>
      <c r="I2388" s="7" t="s">
        <v>0</v>
      </c>
      <c r="J2388" s="7" t="s">
        <v>156</v>
      </c>
      <c r="K2388" s="7" t="s">
        <v>85</v>
      </c>
      <c r="L2388" s="7" t="s">
        <v>48</v>
      </c>
      <c r="M2388" s="7" t="s">
        <v>5195</v>
      </c>
      <c r="N2388" s="7" t="s">
        <v>5196</v>
      </c>
      <c r="O2388" s="7" t="s">
        <v>0</v>
      </c>
      <c r="P2388" s="7" t="s">
        <v>5195</v>
      </c>
      <c r="Q2388" s="7" t="s">
        <v>5198</v>
      </c>
      <c r="R2388" s="7" t="s">
        <v>1829</v>
      </c>
      <c r="S2388" s="7" t="s">
        <v>0</v>
      </c>
      <c r="T2388" s="7" t="s">
        <v>54</v>
      </c>
      <c r="U2388" s="7" t="s">
        <v>307</v>
      </c>
      <c r="V2388" s="7" t="s">
        <v>382</v>
      </c>
      <c r="W2388" s="7" t="s">
        <v>57</v>
      </c>
      <c r="X2388" s="7" t="s">
        <v>103</v>
      </c>
      <c r="Y2388" s="8">
        <v>44407</v>
      </c>
      <c r="Z2388" s="8">
        <v>44926</v>
      </c>
      <c r="AA2388" s="7" t="s">
        <v>1656</v>
      </c>
      <c r="AB2388" s="7" t="s">
        <v>5199</v>
      </c>
      <c r="AC2388" s="7" t="s">
        <v>65</v>
      </c>
      <c r="AD2388" s="7" t="s">
        <v>144</v>
      </c>
      <c r="AE2388" s="7" t="s">
        <v>0</v>
      </c>
      <c r="AF2388" s="7" t="s">
        <v>0</v>
      </c>
      <c r="AG2388" s="7" t="s">
        <v>0</v>
      </c>
      <c r="AH2388" s="9" t="s">
        <v>0</v>
      </c>
      <c r="AI2388" s="9" t="s">
        <v>0</v>
      </c>
      <c r="AJ2388" s="9" t="s">
        <v>0</v>
      </c>
      <c r="AK2388" s="7" t="s">
        <v>61</v>
      </c>
      <c r="AL2388" s="7" t="s">
        <v>61</v>
      </c>
      <c r="AM2388" s="7" t="s">
        <v>0</v>
      </c>
      <c r="AN2388" s="7" t="s">
        <v>0</v>
      </c>
      <c r="AO2388" s="7" t="s">
        <v>0</v>
      </c>
      <c r="AP2388" s="7" t="s">
        <v>0</v>
      </c>
      <c r="AQ2388" s="7" t="s">
        <v>61</v>
      </c>
      <c r="AR2388" s="7" t="s">
        <v>0</v>
      </c>
      <c r="AS2388" s="10" t="str">
        <f>HYPERLINK("https://tessa.gazprom-neft.local/edo/card/ee22b260-16e4-4988-81d7-45b2fab09b9c", "https://tessa.gazprom-neft.local/edo/card/ee22b260-16e4-4988-81d7-45b2fab09b9c")</f>
        <v>https://tessa.gazprom-neft.local/edo/card/ee22b260-16e4-4988-81d7-45b2fab09b9c</v>
      </c>
    </row>
    <row r="2389" spans="1:45" x14ac:dyDescent="0.25">
      <c r="A2389" s="6" t="s">
        <v>44</v>
      </c>
      <c r="B2389" s="7" t="s">
        <v>436</v>
      </c>
      <c r="C2389" s="7" t="s">
        <v>67</v>
      </c>
      <c r="D2389" s="8">
        <v>44407</v>
      </c>
      <c r="E2389" s="8" t="s">
        <v>0</v>
      </c>
      <c r="F2389" s="16" t="s">
        <v>437</v>
      </c>
      <c r="G2389" s="7" t="s">
        <v>438</v>
      </c>
      <c r="H2389" s="7" t="s">
        <v>6281</v>
      </c>
      <c r="I2389" s="7" t="s">
        <v>0</v>
      </c>
      <c r="J2389" s="7" t="s">
        <v>6283</v>
      </c>
      <c r="K2389" s="7" t="s">
        <v>47</v>
      </c>
      <c r="L2389" s="7" t="s">
        <v>48</v>
      </c>
      <c r="M2389" s="7" t="s">
        <v>0</v>
      </c>
      <c r="N2389" s="7" t="s">
        <v>6280</v>
      </c>
      <c r="O2389" s="7" t="s">
        <v>0</v>
      </c>
      <c r="P2389" s="7" t="s">
        <v>6282</v>
      </c>
      <c r="Q2389" s="7" t="s">
        <v>6284</v>
      </c>
      <c r="R2389" s="7" t="s">
        <v>110</v>
      </c>
      <c r="S2389" s="7" t="s">
        <v>110</v>
      </c>
      <c r="T2389" s="7" t="s">
        <v>54</v>
      </c>
      <c r="U2389" s="7" t="s">
        <v>111</v>
      </c>
      <c r="V2389" s="7" t="s">
        <v>137</v>
      </c>
      <c r="W2389" s="7" t="s">
        <v>57</v>
      </c>
      <c r="X2389" s="7" t="s">
        <v>58</v>
      </c>
      <c r="Y2389" s="8">
        <v>44407</v>
      </c>
      <c r="Z2389" s="8" t="s">
        <v>0</v>
      </c>
      <c r="AA2389" s="7" t="s">
        <v>0</v>
      </c>
      <c r="AB2389" s="7" t="s">
        <v>161</v>
      </c>
      <c r="AC2389" s="7" t="s">
        <v>79</v>
      </c>
      <c r="AD2389" s="7" t="s">
        <v>367</v>
      </c>
      <c r="AE2389" s="7" t="s">
        <v>82</v>
      </c>
      <c r="AF2389" s="7" t="s">
        <v>0</v>
      </c>
      <c r="AG2389" s="7" t="s">
        <v>0</v>
      </c>
      <c r="AH2389" s="9" t="s">
        <v>10866</v>
      </c>
      <c r="AI2389" s="9" t="s">
        <v>12786</v>
      </c>
      <c r="AJ2389" s="9" t="s">
        <v>12787</v>
      </c>
      <c r="AK2389" s="7" t="s">
        <v>61</v>
      </c>
      <c r="AL2389" s="7" t="s">
        <v>61</v>
      </c>
      <c r="AM2389" s="7" t="s">
        <v>0</v>
      </c>
      <c r="AN2389" s="7" t="s">
        <v>0</v>
      </c>
      <c r="AO2389" s="7" t="s">
        <v>0</v>
      </c>
      <c r="AP2389" s="7" t="s">
        <v>0</v>
      </c>
      <c r="AQ2389" s="7" t="s">
        <v>61</v>
      </c>
      <c r="AR2389" s="7" t="s">
        <v>0</v>
      </c>
      <c r="AS2389" s="10" t="str">
        <f>HYPERLINK("https://tessa.gazprom-neft.local/edo/card/26556887-c883-43f1-8f86-d7fb5e6e5a56", "https://tessa.gazprom-neft.local/edo/card/26556887-c883-43f1-8f86-d7fb5e6e5a56")</f>
        <v>https://tessa.gazprom-neft.local/edo/card/26556887-c883-43f1-8f86-d7fb5e6e5a56</v>
      </c>
    </row>
    <row r="2390" spans="1:45" x14ac:dyDescent="0.25">
      <c r="A2390" s="6" t="s">
        <v>44</v>
      </c>
      <c r="B2390" s="7" t="s">
        <v>2050</v>
      </c>
      <c r="C2390" s="7" t="s">
        <v>67</v>
      </c>
      <c r="D2390" s="8">
        <v>44406</v>
      </c>
      <c r="E2390" s="8" t="s">
        <v>0</v>
      </c>
      <c r="F2390" s="16" t="s">
        <v>2051</v>
      </c>
      <c r="G2390" s="7" t="s">
        <v>2052</v>
      </c>
      <c r="H2390" s="7" t="s">
        <v>5920</v>
      </c>
      <c r="I2390" s="7" t="s">
        <v>0</v>
      </c>
      <c r="J2390" s="7" t="s">
        <v>51</v>
      </c>
      <c r="K2390" s="7" t="s">
        <v>47</v>
      </c>
      <c r="L2390" s="7" t="s">
        <v>48</v>
      </c>
      <c r="M2390" s="7" t="s">
        <v>0</v>
      </c>
      <c r="N2390" s="7" t="s">
        <v>5919</v>
      </c>
      <c r="O2390" s="7" t="s">
        <v>0</v>
      </c>
      <c r="P2390" s="7" t="s">
        <v>50</v>
      </c>
      <c r="Q2390" s="7" t="s">
        <v>5921</v>
      </c>
      <c r="R2390" s="7" t="s">
        <v>1256</v>
      </c>
      <c r="S2390" s="7" t="s">
        <v>1256</v>
      </c>
      <c r="T2390" s="7" t="s">
        <v>54</v>
      </c>
      <c r="U2390" s="7" t="s">
        <v>591</v>
      </c>
      <c r="V2390" s="7" t="s">
        <v>382</v>
      </c>
      <c r="W2390" s="7" t="s">
        <v>57</v>
      </c>
      <c r="X2390" s="7" t="s">
        <v>58</v>
      </c>
      <c r="Y2390" s="8">
        <v>44406</v>
      </c>
      <c r="Z2390" s="8" t="s">
        <v>0</v>
      </c>
      <c r="AA2390" s="7" t="s">
        <v>1656</v>
      </c>
      <c r="AB2390" s="7" t="s">
        <v>2053</v>
      </c>
      <c r="AC2390" s="7" t="s">
        <v>65</v>
      </c>
      <c r="AD2390" s="7" t="s">
        <v>0</v>
      </c>
      <c r="AE2390" s="7" t="s">
        <v>0</v>
      </c>
      <c r="AF2390" s="7" t="s">
        <v>0</v>
      </c>
      <c r="AG2390" s="7" t="s">
        <v>0</v>
      </c>
      <c r="AH2390" s="9" t="s">
        <v>0</v>
      </c>
      <c r="AI2390" s="9" t="s">
        <v>0</v>
      </c>
      <c r="AJ2390" s="9" t="s">
        <v>0</v>
      </c>
      <c r="AK2390" s="7" t="s">
        <v>61</v>
      </c>
      <c r="AL2390" s="7" t="s">
        <v>61</v>
      </c>
      <c r="AM2390" s="7" t="s">
        <v>0</v>
      </c>
      <c r="AN2390" s="7" t="s">
        <v>0</v>
      </c>
      <c r="AO2390" s="7" t="s">
        <v>0</v>
      </c>
      <c r="AP2390" s="7" t="s">
        <v>0</v>
      </c>
      <c r="AQ2390" s="7" t="s">
        <v>61</v>
      </c>
      <c r="AR2390" s="7" t="s">
        <v>0</v>
      </c>
      <c r="AS2390" s="10" t="str">
        <f>HYPERLINK("https://tessa.gazprom-neft.local/edo/card/5aea2515-b128-4ecf-9488-b93371555643", "https://tessa.gazprom-neft.local/edo/card/5aea2515-b128-4ecf-9488-b93371555643")</f>
        <v>https://tessa.gazprom-neft.local/edo/card/5aea2515-b128-4ecf-9488-b93371555643</v>
      </c>
    </row>
    <row r="2391" spans="1:45" x14ac:dyDescent="0.25">
      <c r="A2391" s="6" t="s">
        <v>44</v>
      </c>
      <c r="B2391" s="7" t="s">
        <v>2898</v>
      </c>
      <c r="C2391" s="7" t="s">
        <v>67</v>
      </c>
      <c r="D2391" s="8">
        <v>44406</v>
      </c>
      <c r="E2391" s="8" t="s">
        <v>0</v>
      </c>
      <c r="F2391" s="16" t="s">
        <v>2899</v>
      </c>
      <c r="G2391" s="7" t="s">
        <v>2900</v>
      </c>
      <c r="H2391" s="7" t="s">
        <v>5968</v>
      </c>
      <c r="I2391" s="7" t="s">
        <v>0</v>
      </c>
      <c r="J2391" s="7" t="s">
        <v>51</v>
      </c>
      <c r="K2391" s="7" t="s">
        <v>47</v>
      </c>
      <c r="L2391" s="7" t="s">
        <v>48</v>
      </c>
      <c r="M2391" s="7" t="s">
        <v>0</v>
      </c>
      <c r="N2391" s="7" t="s">
        <v>5967</v>
      </c>
      <c r="O2391" s="7" t="s">
        <v>0</v>
      </c>
      <c r="P2391" s="7" t="s">
        <v>50</v>
      </c>
      <c r="Q2391" s="7" t="s">
        <v>5921</v>
      </c>
      <c r="R2391" s="7" t="s">
        <v>1256</v>
      </c>
      <c r="S2391" s="7" t="s">
        <v>1256</v>
      </c>
      <c r="T2391" s="7" t="s">
        <v>54</v>
      </c>
      <c r="U2391" s="7" t="s">
        <v>591</v>
      </c>
      <c r="V2391" s="7" t="s">
        <v>382</v>
      </c>
      <c r="W2391" s="7" t="s">
        <v>57</v>
      </c>
      <c r="X2391" s="7" t="s">
        <v>58</v>
      </c>
      <c r="Y2391" s="8">
        <v>44406</v>
      </c>
      <c r="Z2391" s="8" t="s">
        <v>0</v>
      </c>
      <c r="AA2391" s="7" t="s">
        <v>1656</v>
      </c>
      <c r="AB2391" s="7" t="s">
        <v>2053</v>
      </c>
      <c r="AC2391" s="7" t="s">
        <v>65</v>
      </c>
      <c r="AD2391" s="7" t="s">
        <v>0</v>
      </c>
      <c r="AE2391" s="7" t="s">
        <v>0</v>
      </c>
      <c r="AF2391" s="7" t="s">
        <v>0</v>
      </c>
      <c r="AG2391" s="7" t="s">
        <v>0</v>
      </c>
      <c r="AH2391" s="9" t="s">
        <v>0</v>
      </c>
      <c r="AI2391" s="9" t="s">
        <v>0</v>
      </c>
      <c r="AJ2391" s="9" t="s">
        <v>0</v>
      </c>
      <c r="AK2391" s="7" t="s">
        <v>61</v>
      </c>
      <c r="AL2391" s="7" t="s">
        <v>61</v>
      </c>
      <c r="AM2391" s="7" t="s">
        <v>0</v>
      </c>
      <c r="AN2391" s="7" t="s">
        <v>0</v>
      </c>
      <c r="AO2391" s="7" t="s">
        <v>0</v>
      </c>
      <c r="AP2391" s="7" t="s">
        <v>0</v>
      </c>
      <c r="AQ2391" s="7" t="s">
        <v>61</v>
      </c>
      <c r="AR2391" s="7" t="s">
        <v>0</v>
      </c>
      <c r="AS2391" s="10" t="str">
        <f>HYPERLINK("https://tessa.gazprom-neft.local/edo/card/2bf3dfa7-c92f-4a26-837d-0518100ca814", "https://tessa.gazprom-neft.local/edo/card/2bf3dfa7-c92f-4a26-837d-0518100ca814")</f>
        <v>https://tessa.gazprom-neft.local/edo/card/2bf3dfa7-c92f-4a26-837d-0518100ca814</v>
      </c>
    </row>
    <row r="2392" spans="1:45" x14ac:dyDescent="0.25">
      <c r="A2392" s="6" t="s">
        <v>44</v>
      </c>
      <c r="B2392" s="7" t="s">
        <v>3172</v>
      </c>
      <c r="C2392" s="7" t="s">
        <v>67</v>
      </c>
      <c r="D2392" s="8">
        <v>44406</v>
      </c>
      <c r="E2392" s="8" t="s">
        <v>0</v>
      </c>
      <c r="F2392" s="16" t="s">
        <v>3173</v>
      </c>
      <c r="G2392" s="7" t="s">
        <v>3174</v>
      </c>
      <c r="H2392" s="7" t="s">
        <v>5994</v>
      </c>
      <c r="I2392" s="7" t="s">
        <v>0</v>
      </c>
      <c r="J2392" s="7" t="s">
        <v>271</v>
      </c>
      <c r="K2392" s="7" t="s">
        <v>47</v>
      </c>
      <c r="L2392" s="7" t="s">
        <v>48</v>
      </c>
      <c r="M2392" s="7" t="s">
        <v>0</v>
      </c>
      <c r="N2392" s="7" t="s">
        <v>5993</v>
      </c>
      <c r="O2392" s="7" t="s">
        <v>0</v>
      </c>
      <c r="P2392" s="7" t="s">
        <v>312</v>
      </c>
      <c r="Q2392" s="7" t="s">
        <v>5921</v>
      </c>
      <c r="R2392" s="7" t="s">
        <v>1256</v>
      </c>
      <c r="S2392" s="7" t="s">
        <v>1256</v>
      </c>
      <c r="T2392" s="7" t="s">
        <v>54</v>
      </c>
      <c r="U2392" s="7" t="s">
        <v>591</v>
      </c>
      <c r="V2392" s="7" t="s">
        <v>382</v>
      </c>
      <c r="W2392" s="7" t="s">
        <v>57</v>
      </c>
      <c r="X2392" s="7" t="s">
        <v>58</v>
      </c>
      <c r="Y2392" s="8">
        <v>44400</v>
      </c>
      <c r="Z2392" s="8" t="s">
        <v>0</v>
      </c>
      <c r="AA2392" s="7" t="s">
        <v>1656</v>
      </c>
      <c r="AB2392" s="7" t="s">
        <v>2053</v>
      </c>
      <c r="AC2392" s="7" t="s">
        <v>65</v>
      </c>
      <c r="AD2392" s="7" t="s">
        <v>0</v>
      </c>
      <c r="AE2392" s="7" t="s">
        <v>0</v>
      </c>
      <c r="AF2392" s="7" t="s">
        <v>0</v>
      </c>
      <c r="AG2392" s="7" t="s">
        <v>0</v>
      </c>
      <c r="AH2392" s="9" t="s">
        <v>0</v>
      </c>
      <c r="AI2392" s="9" t="s">
        <v>0</v>
      </c>
      <c r="AJ2392" s="9" t="s">
        <v>0</v>
      </c>
      <c r="AK2392" s="7" t="s">
        <v>61</v>
      </c>
      <c r="AL2392" s="7" t="s">
        <v>61</v>
      </c>
      <c r="AM2392" s="7" t="s">
        <v>0</v>
      </c>
      <c r="AN2392" s="7" t="s">
        <v>0</v>
      </c>
      <c r="AO2392" s="7" t="s">
        <v>0</v>
      </c>
      <c r="AP2392" s="7" t="s">
        <v>0</v>
      </c>
      <c r="AQ2392" s="7" t="s">
        <v>61</v>
      </c>
      <c r="AR2392" s="7" t="s">
        <v>0</v>
      </c>
      <c r="AS2392" s="10" t="str">
        <f>HYPERLINK("https://tessa.gazprom-neft.local/edo/card/059e53d2-14ff-429b-938a-20bcb800cb55", "https://tessa.gazprom-neft.local/edo/card/059e53d2-14ff-429b-938a-20bcb800cb55")</f>
        <v>https://tessa.gazprom-neft.local/edo/card/059e53d2-14ff-429b-938a-20bcb800cb55</v>
      </c>
    </row>
    <row r="2393" spans="1:45" hidden="1" x14ac:dyDescent="0.25">
      <c r="A2393" s="6" t="s">
        <v>44</v>
      </c>
      <c r="B2393" s="7" t="s">
        <v>114</v>
      </c>
      <c r="C2393" s="7" t="s">
        <v>46</v>
      </c>
      <c r="D2393" s="8">
        <v>44406</v>
      </c>
      <c r="E2393" s="8" t="s">
        <v>0</v>
      </c>
      <c r="F2393" s="16" t="s">
        <v>115</v>
      </c>
      <c r="G2393" s="7" t="s">
        <v>116</v>
      </c>
      <c r="H2393" s="7" t="s">
        <v>0</v>
      </c>
      <c r="I2393" s="7" t="s">
        <v>6116</v>
      </c>
      <c r="J2393" s="7" t="s">
        <v>6116</v>
      </c>
      <c r="K2393" s="7" t="s">
        <v>47</v>
      </c>
      <c r="L2393" s="7" t="s">
        <v>96</v>
      </c>
      <c r="M2393" s="7" t="s">
        <v>0</v>
      </c>
      <c r="N2393" s="7" t="s">
        <v>6115</v>
      </c>
      <c r="O2393" s="7" t="s">
        <v>0</v>
      </c>
      <c r="P2393" s="7" t="s">
        <v>117</v>
      </c>
      <c r="Q2393" s="7" t="s">
        <v>6117</v>
      </c>
      <c r="R2393" s="7" t="s">
        <v>1575</v>
      </c>
      <c r="S2393" s="7" t="s">
        <v>6118</v>
      </c>
      <c r="T2393" s="7" t="s">
        <v>54</v>
      </c>
      <c r="U2393" s="7" t="s">
        <v>222</v>
      </c>
      <c r="V2393" s="7" t="s">
        <v>382</v>
      </c>
      <c r="W2393" s="7" t="s">
        <v>57</v>
      </c>
      <c r="X2393" s="7" t="s">
        <v>103</v>
      </c>
      <c r="Y2393" s="8">
        <v>44406</v>
      </c>
      <c r="Z2393" s="8">
        <v>44770</v>
      </c>
      <c r="AA2393" s="7" t="s">
        <v>1656</v>
      </c>
      <c r="AB2393" s="7" t="s">
        <v>117</v>
      </c>
      <c r="AC2393" s="7" t="s">
        <v>79</v>
      </c>
      <c r="AD2393" s="7" t="s">
        <v>80</v>
      </c>
      <c r="AE2393" s="7" t="s">
        <v>118</v>
      </c>
      <c r="AF2393" s="7" t="s">
        <v>0</v>
      </c>
      <c r="AG2393" s="7" t="s">
        <v>0</v>
      </c>
      <c r="AH2393" s="9" t="s">
        <v>12067</v>
      </c>
      <c r="AI2393" s="9" t="s">
        <v>12067</v>
      </c>
      <c r="AJ2393" s="9">
        <v>0</v>
      </c>
      <c r="AK2393" s="7" t="s">
        <v>61</v>
      </c>
      <c r="AL2393" s="7" t="s">
        <v>61</v>
      </c>
      <c r="AM2393" s="7" t="s">
        <v>0</v>
      </c>
      <c r="AN2393" s="7" t="s">
        <v>0</v>
      </c>
      <c r="AO2393" s="7" t="s">
        <v>0</v>
      </c>
      <c r="AP2393" s="7" t="s">
        <v>0</v>
      </c>
      <c r="AQ2393" s="7" t="s">
        <v>61</v>
      </c>
      <c r="AR2393" s="7" t="s">
        <v>0</v>
      </c>
      <c r="AS2393" s="10" t="str">
        <f>HYPERLINK("https://tessa.gazprom-neft.local/edo/card/51ffa479-86b3-4e54-9719-2c2ebf9c01b0", "https://tessa.gazprom-neft.local/edo/card/51ffa479-86b3-4e54-9719-2c2ebf9c01b0")</f>
        <v>https://tessa.gazprom-neft.local/edo/card/51ffa479-86b3-4e54-9719-2c2ebf9c01b0</v>
      </c>
    </row>
    <row r="2394" spans="1:45" hidden="1" x14ac:dyDescent="0.25">
      <c r="A2394" s="6" t="s">
        <v>44</v>
      </c>
      <c r="B2394" s="7" t="s">
        <v>245</v>
      </c>
      <c r="C2394" s="7" t="s">
        <v>67</v>
      </c>
      <c r="D2394" s="8">
        <v>44405</v>
      </c>
      <c r="E2394" s="8" t="s">
        <v>0</v>
      </c>
      <c r="F2394" s="16" t="s">
        <v>246</v>
      </c>
      <c r="G2394" s="7" t="s">
        <v>247</v>
      </c>
      <c r="H2394" s="7" t="s">
        <v>5883</v>
      </c>
      <c r="I2394" s="7" t="s">
        <v>0</v>
      </c>
      <c r="J2394" s="7" t="s">
        <v>6130</v>
      </c>
      <c r="K2394" s="7" t="s">
        <v>47</v>
      </c>
      <c r="L2394" s="7" t="s">
        <v>239</v>
      </c>
      <c r="M2394" s="7" t="s">
        <v>0</v>
      </c>
      <c r="N2394" s="7" t="s">
        <v>6128</v>
      </c>
      <c r="O2394" s="7" t="s">
        <v>0</v>
      </c>
      <c r="P2394" s="7" t="s">
        <v>6129</v>
      </c>
      <c r="Q2394" s="7" t="s">
        <v>6131</v>
      </c>
      <c r="R2394" s="7" t="s">
        <v>540</v>
      </c>
      <c r="S2394" s="7" t="s">
        <v>0</v>
      </c>
      <c r="T2394" s="7" t="s">
        <v>54</v>
      </c>
      <c r="U2394" s="7" t="s">
        <v>541</v>
      </c>
      <c r="V2394" s="7" t="s">
        <v>56</v>
      </c>
      <c r="W2394" s="7" t="s">
        <v>57</v>
      </c>
      <c r="X2394" s="7" t="s">
        <v>103</v>
      </c>
      <c r="Y2394" s="8">
        <v>44405</v>
      </c>
      <c r="Z2394" s="8">
        <v>44545</v>
      </c>
      <c r="AA2394" s="7" t="s">
        <v>1251</v>
      </c>
      <c r="AB2394" s="7" t="s">
        <v>545</v>
      </c>
      <c r="AC2394" s="7" t="s">
        <v>79</v>
      </c>
      <c r="AD2394" s="7" t="s">
        <v>144</v>
      </c>
      <c r="AE2394" s="7" t="s">
        <v>82</v>
      </c>
      <c r="AF2394" s="7" t="s">
        <v>0</v>
      </c>
      <c r="AG2394" s="7" t="s">
        <v>0</v>
      </c>
      <c r="AH2394" s="9" t="s">
        <v>12731</v>
      </c>
      <c r="AI2394" s="9" t="s">
        <v>12732</v>
      </c>
      <c r="AJ2394" s="9" t="s">
        <v>12733</v>
      </c>
      <c r="AK2394" s="7" t="s">
        <v>61</v>
      </c>
      <c r="AL2394" s="7" t="s">
        <v>61</v>
      </c>
      <c r="AM2394" s="7" t="s">
        <v>0</v>
      </c>
      <c r="AN2394" s="7" t="s">
        <v>0</v>
      </c>
      <c r="AO2394" s="7" t="s">
        <v>0</v>
      </c>
      <c r="AP2394" s="7" t="s">
        <v>0</v>
      </c>
      <c r="AQ2394" s="7" t="s">
        <v>61</v>
      </c>
      <c r="AR2394" s="7" t="s">
        <v>0</v>
      </c>
      <c r="AS2394" s="10" t="str">
        <f>HYPERLINK("https://tessa.gazprom-neft.local/edo/card/0121ab81-57c4-4e90-9c12-7013d99ab982", "https://tessa.gazprom-neft.local/edo/card/0121ab81-57c4-4e90-9c12-7013d99ab982")</f>
        <v>https://tessa.gazprom-neft.local/edo/card/0121ab81-57c4-4e90-9c12-7013d99ab982</v>
      </c>
    </row>
    <row r="2395" spans="1:45" x14ac:dyDescent="0.25">
      <c r="A2395" s="6" t="s">
        <v>44</v>
      </c>
      <c r="B2395" s="7" t="s">
        <v>2291</v>
      </c>
      <c r="C2395" s="7" t="s">
        <v>67</v>
      </c>
      <c r="D2395" s="8">
        <v>44404</v>
      </c>
      <c r="E2395" s="8" t="s">
        <v>0</v>
      </c>
      <c r="F2395" s="16" t="s">
        <v>2292</v>
      </c>
      <c r="G2395" s="7" t="s">
        <v>2293</v>
      </c>
      <c r="H2395" s="7" t="s">
        <v>6272</v>
      </c>
      <c r="I2395" s="7" t="s">
        <v>0</v>
      </c>
      <c r="J2395" s="7" t="s">
        <v>51</v>
      </c>
      <c r="K2395" s="7" t="s">
        <v>47</v>
      </c>
      <c r="L2395" s="7" t="s">
        <v>48</v>
      </c>
      <c r="M2395" s="7" t="s">
        <v>0</v>
      </c>
      <c r="N2395" s="7" t="s">
        <v>6271</v>
      </c>
      <c r="O2395" s="7" t="s">
        <v>0</v>
      </c>
      <c r="P2395" s="7" t="s">
        <v>6273</v>
      </c>
      <c r="Q2395" s="7" t="s">
        <v>6274</v>
      </c>
      <c r="R2395" s="7" t="s">
        <v>1829</v>
      </c>
      <c r="S2395" s="7" t="s">
        <v>1829</v>
      </c>
      <c r="T2395" s="7" t="s">
        <v>54</v>
      </c>
      <c r="U2395" s="7" t="s">
        <v>307</v>
      </c>
      <c r="V2395" s="7" t="s">
        <v>382</v>
      </c>
      <c r="W2395" s="7" t="s">
        <v>57</v>
      </c>
      <c r="X2395" s="7" t="s">
        <v>103</v>
      </c>
      <c r="Y2395" s="8">
        <v>44409</v>
      </c>
      <c r="Z2395" s="8">
        <v>44926</v>
      </c>
      <c r="AA2395" s="7" t="s">
        <v>1656</v>
      </c>
      <c r="AB2395" s="7" t="s">
        <v>6275</v>
      </c>
      <c r="AC2395" s="7" t="s">
        <v>79</v>
      </c>
      <c r="AD2395" s="7" t="s">
        <v>80</v>
      </c>
      <c r="AE2395" s="7" t="s">
        <v>82</v>
      </c>
      <c r="AF2395" s="7" t="s">
        <v>0</v>
      </c>
      <c r="AG2395" s="7" t="s">
        <v>0</v>
      </c>
      <c r="AH2395" s="9" t="s">
        <v>12780</v>
      </c>
      <c r="AI2395" s="9" t="s">
        <v>12781</v>
      </c>
      <c r="AJ2395" s="9" t="s">
        <v>12782</v>
      </c>
      <c r="AK2395" s="7" t="s">
        <v>61</v>
      </c>
      <c r="AL2395" s="7" t="s">
        <v>61</v>
      </c>
      <c r="AM2395" s="7" t="s">
        <v>0</v>
      </c>
      <c r="AN2395" s="7" t="s">
        <v>0</v>
      </c>
      <c r="AO2395" s="7" t="s">
        <v>0</v>
      </c>
      <c r="AP2395" s="7" t="s">
        <v>0</v>
      </c>
      <c r="AQ2395" s="7" t="s">
        <v>61</v>
      </c>
      <c r="AR2395" s="7" t="s">
        <v>0</v>
      </c>
      <c r="AS2395" s="10" t="str">
        <f>HYPERLINK("https://tessa.gazprom-neft.local/edo/card/06aad665-c109-42c5-bf8f-1a88d95304da", "https://tessa.gazprom-neft.local/edo/card/06aad665-c109-42c5-bf8f-1a88d95304da")</f>
        <v>https://tessa.gazprom-neft.local/edo/card/06aad665-c109-42c5-bf8f-1a88d95304da</v>
      </c>
    </row>
    <row r="2396" spans="1:45" x14ac:dyDescent="0.25">
      <c r="A2396" s="6" t="s">
        <v>44</v>
      </c>
      <c r="B2396" s="7" t="s">
        <v>4513</v>
      </c>
      <c r="C2396" s="7" t="s">
        <v>67</v>
      </c>
      <c r="D2396" s="8">
        <v>44403</v>
      </c>
      <c r="E2396" s="8" t="s">
        <v>0</v>
      </c>
      <c r="F2396" s="16" t="s">
        <v>4514</v>
      </c>
      <c r="G2396" s="7" t="s">
        <v>4515</v>
      </c>
      <c r="H2396" s="7" t="s">
        <v>4511</v>
      </c>
      <c r="I2396" s="7" t="s">
        <v>0</v>
      </c>
      <c r="J2396" s="7" t="s">
        <v>872</v>
      </c>
      <c r="K2396" s="7" t="s">
        <v>47</v>
      </c>
      <c r="L2396" s="7" t="s">
        <v>48</v>
      </c>
      <c r="M2396" s="7" t="s">
        <v>0</v>
      </c>
      <c r="N2396" s="7" t="s">
        <v>5820</v>
      </c>
      <c r="O2396" s="7" t="s">
        <v>0</v>
      </c>
      <c r="P2396" s="7" t="s">
        <v>5821</v>
      </c>
      <c r="Q2396" s="7" t="s">
        <v>5822</v>
      </c>
      <c r="R2396" s="7" t="s">
        <v>799</v>
      </c>
      <c r="S2396" s="7" t="s">
        <v>1924</v>
      </c>
      <c r="T2396" s="7" t="s">
        <v>54</v>
      </c>
      <c r="U2396" s="7" t="s">
        <v>55</v>
      </c>
      <c r="V2396" s="7" t="s">
        <v>56</v>
      </c>
      <c r="W2396" s="7" t="s">
        <v>57</v>
      </c>
      <c r="X2396" s="7" t="s">
        <v>103</v>
      </c>
      <c r="Y2396" s="8">
        <v>44403</v>
      </c>
      <c r="Z2396" s="8">
        <v>45657</v>
      </c>
      <c r="AA2396" s="7" t="s">
        <v>1251</v>
      </c>
      <c r="AB2396" s="7" t="s">
        <v>1466</v>
      </c>
      <c r="AC2396" s="7" t="s">
        <v>65</v>
      </c>
      <c r="AD2396" s="7" t="s">
        <v>0</v>
      </c>
      <c r="AE2396" s="7" t="s">
        <v>0</v>
      </c>
      <c r="AF2396" s="7" t="s">
        <v>0</v>
      </c>
      <c r="AG2396" s="7" t="s">
        <v>0</v>
      </c>
      <c r="AH2396" s="9" t="s">
        <v>0</v>
      </c>
      <c r="AI2396" s="9" t="s">
        <v>0</v>
      </c>
      <c r="AJ2396" s="9" t="s">
        <v>0</v>
      </c>
      <c r="AK2396" s="7" t="s">
        <v>61</v>
      </c>
      <c r="AL2396" s="7" t="s">
        <v>61</v>
      </c>
      <c r="AM2396" s="7" t="s">
        <v>0</v>
      </c>
      <c r="AN2396" s="7" t="s">
        <v>0</v>
      </c>
      <c r="AO2396" s="7" t="s">
        <v>0</v>
      </c>
      <c r="AP2396" s="7" t="s">
        <v>0</v>
      </c>
      <c r="AQ2396" s="7" t="s">
        <v>61</v>
      </c>
      <c r="AR2396" s="7" t="s">
        <v>0</v>
      </c>
      <c r="AS2396" s="10" t="str">
        <f>HYPERLINK("https://tessa.gazprom-neft.local/edo/card/9facd57f-1c16-410f-a6c2-5eb28a96ac9a", "https://tessa.gazprom-neft.local/edo/card/9facd57f-1c16-410f-a6c2-5eb28a96ac9a")</f>
        <v>https://tessa.gazprom-neft.local/edo/card/9facd57f-1c16-410f-a6c2-5eb28a96ac9a</v>
      </c>
    </row>
    <row r="2397" spans="1:45" hidden="1" x14ac:dyDescent="0.25">
      <c r="A2397" s="6" t="s">
        <v>44</v>
      </c>
      <c r="B2397" s="7" t="s">
        <v>0</v>
      </c>
      <c r="C2397" s="7" t="s">
        <v>46</v>
      </c>
      <c r="D2397" s="8">
        <v>44403</v>
      </c>
      <c r="E2397" s="8" t="s">
        <v>0</v>
      </c>
      <c r="F2397" s="16" t="s">
        <v>5828</v>
      </c>
      <c r="G2397" s="7" t="s">
        <v>0</v>
      </c>
      <c r="H2397" s="7" t="s">
        <v>0</v>
      </c>
      <c r="I2397" s="7" t="s">
        <v>5826</v>
      </c>
      <c r="J2397" s="7" t="s">
        <v>5826</v>
      </c>
      <c r="K2397" s="7" t="s">
        <v>47</v>
      </c>
      <c r="L2397" s="7" t="s">
        <v>96</v>
      </c>
      <c r="M2397" s="7" t="s">
        <v>0</v>
      </c>
      <c r="N2397" s="7" t="s">
        <v>5825</v>
      </c>
      <c r="O2397" s="7" t="s">
        <v>0</v>
      </c>
      <c r="P2397" s="7" t="s">
        <v>5827</v>
      </c>
      <c r="Q2397" s="7" t="s">
        <v>5827</v>
      </c>
      <c r="R2397" s="7" t="s">
        <v>659</v>
      </c>
      <c r="S2397" s="7" t="s">
        <v>5173</v>
      </c>
      <c r="T2397" s="7" t="s">
        <v>54</v>
      </c>
      <c r="U2397" s="7" t="s">
        <v>1683</v>
      </c>
      <c r="V2397" s="7" t="s">
        <v>91</v>
      </c>
      <c r="W2397" s="7" t="s">
        <v>57</v>
      </c>
      <c r="X2397" s="7" t="s">
        <v>223</v>
      </c>
      <c r="Y2397" s="8">
        <v>44403</v>
      </c>
      <c r="Z2397" s="8" t="s">
        <v>0</v>
      </c>
      <c r="AA2397" s="7" t="s">
        <v>0</v>
      </c>
      <c r="AB2397" s="7" t="s">
        <v>94</v>
      </c>
      <c r="AC2397" s="7" t="s">
        <v>65</v>
      </c>
      <c r="AD2397" s="7" t="s">
        <v>0</v>
      </c>
      <c r="AE2397" s="7" t="s">
        <v>0</v>
      </c>
      <c r="AF2397" s="7" t="s">
        <v>0</v>
      </c>
      <c r="AG2397" s="7" t="s">
        <v>0</v>
      </c>
      <c r="AH2397" s="9" t="s">
        <v>0</v>
      </c>
      <c r="AI2397" s="9" t="s">
        <v>0</v>
      </c>
      <c r="AJ2397" s="9" t="s">
        <v>0</v>
      </c>
      <c r="AK2397" s="7" t="s">
        <v>61</v>
      </c>
      <c r="AL2397" s="7" t="s">
        <v>61</v>
      </c>
      <c r="AM2397" s="7" t="s">
        <v>0</v>
      </c>
      <c r="AN2397" s="7" t="s">
        <v>0</v>
      </c>
      <c r="AO2397" s="7" t="s">
        <v>0</v>
      </c>
      <c r="AP2397" s="7" t="s">
        <v>0</v>
      </c>
      <c r="AQ2397" s="7" t="s">
        <v>61</v>
      </c>
      <c r="AR2397" s="7" t="s">
        <v>0</v>
      </c>
      <c r="AS2397" s="10" t="str">
        <f>HYPERLINK("https://tessa.gazprom-neft.local/edo/card/85eb90ea-8c09-4ebe-b3a9-377df0cec8f9", "https://tessa.gazprom-neft.local/edo/card/85eb90ea-8c09-4ebe-b3a9-377df0cec8f9")</f>
        <v>https://tessa.gazprom-neft.local/edo/card/85eb90ea-8c09-4ebe-b3a9-377df0cec8f9</v>
      </c>
    </row>
    <row r="2398" spans="1:45" hidden="1" x14ac:dyDescent="0.25">
      <c r="A2398" s="6" t="s">
        <v>44</v>
      </c>
      <c r="B2398" s="7" t="s">
        <v>0</v>
      </c>
      <c r="C2398" s="7" t="s">
        <v>46</v>
      </c>
      <c r="D2398" s="8">
        <v>44403</v>
      </c>
      <c r="E2398" s="8" t="s">
        <v>0</v>
      </c>
      <c r="F2398" s="16" t="s">
        <v>5828</v>
      </c>
      <c r="G2398" s="7" t="s">
        <v>0</v>
      </c>
      <c r="H2398" s="7" t="s">
        <v>0</v>
      </c>
      <c r="I2398" s="7" t="s">
        <v>5835</v>
      </c>
      <c r="J2398" s="7" t="s">
        <v>5835</v>
      </c>
      <c r="K2398" s="7" t="s">
        <v>85</v>
      </c>
      <c r="L2398" s="7" t="s">
        <v>96</v>
      </c>
      <c r="M2398" s="7" t="s">
        <v>183</v>
      </c>
      <c r="N2398" s="7" t="s">
        <v>5834</v>
      </c>
      <c r="O2398" s="7" t="s">
        <v>0</v>
      </c>
      <c r="P2398" s="7" t="s">
        <v>183</v>
      </c>
      <c r="Q2398" s="7" t="s">
        <v>5172</v>
      </c>
      <c r="R2398" s="7" t="s">
        <v>659</v>
      </c>
      <c r="S2398" s="7" t="s">
        <v>2612</v>
      </c>
      <c r="T2398" s="7" t="s">
        <v>54</v>
      </c>
      <c r="U2398" s="7" t="s">
        <v>1683</v>
      </c>
      <c r="V2398" s="7" t="s">
        <v>295</v>
      </c>
      <c r="W2398" s="7" t="s">
        <v>57</v>
      </c>
      <c r="X2398" s="7" t="s">
        <v>103</v>
      </c>
      <c r="Y2398" s="8">
        <v>44417</v>
      </c>
      <c r="Z2398" s="8">
        <v>44444</v>
      </c>
      <c r="AA2398" s="7" t="s">
        <v>1269</v>
      </c>
      <c r="AB2398" s="7" t="s">
        <v>192</v>
      </c>
      <c r="AC2398" s="7" t="s">
        <v>79</v>
      </c>
      <c r="AD2398" s="7" t="s">
        <v>80</v>
      </c>
      <c r="AE2398" s="7" t="s">
        <v>193</v>
      </c>
      <c r="AF2398" s="7" t="s">
        <v>0</v>
      </c>
      <c r="AG2398" s="7" t="s">
        <v>0</v>
      </c>
      <c r="AH2398" s="9" t="s">
        <v>12096</v>
      </c>
      <c r="AI2398" s="9" t="s">
        <v>12097</v>
      </c>
      <c r="AJ2398" s="9" t="s">
        <v>12098</v>
      </c>
      <c r="AK2398" s="7" t="s">
        <v>61</v>
      </c>
      <c r="AL2398" s="7" t="s">
        <v>61</v>
      </c>
      <c r="AM2398" s="7" t="s">
        <v>0</v>
      </c>
      <c r="AN2398" s="7" t="s">
        <v>0</v>
      </c>
      <c r="AO2398" s="7" t="s">
        <v>0</v>
      </c>
      <c r="AP2398" s="7" t="s">
        <v>0</v>
      </c>
      <c r="AQ2398" s="7" t="s">
        <v>61</v>
      </c>
      <c r="AR2398" s="7" t="s">
        <v>0</v>
      </c>
      <c r="AS2398" s="10" t="str">
        <f>HYPERLINK("https://tessa.gazprom-neft.local/edo/card/7ab6b624-1950-467f-af1b-2a259a915b0e", "https://tessa.gazprom-neft.local/edo/card/7ab6b624-1950-467f-af1b-2a259a915b0e")</f>
        <v>https://tessa.gazprom-neft.local/edo/card/7ab6b624-1950-467f-af1b-2a259a915b0e</v>
      </c>
    </row>
    <row r="2399" spans="1:45" x14ac:dyDescent="0.25">
      <c r="A2399" s="6" t="s">
        <v>44</v>
      </c>
      <c r="B2399" s="7" t="s">
        <v>1657</v>
      </c>
      <c r="C2399" s="7" t="s">
        <v>67</v>
      </c>
      <c r="D2399" s="8">
        <v>44403</v>
      </c>
      <c r="E2399" s="8" t="s">
        <v>0</v>
      </c>
      <c r="F2399" s="16" t="s">
        <v>1658</v>
      </c>
      <c r="G2399" s="7" t="s">
        <v>1659</v>
      </c>
      <c r="H2399" s="7" t="s">
        <v>1651</v>
      </c>
      <c r="I2399" s="7" t="s">
        <v>0</v>
      </c>
      <c r="J2399" s="7" t="s">
        <v>156</v>
      </c>
      <c r="K2399" s="7" t="s">
        <v>47</v>
      </c>
      <c r="L2399" s="7" t="s">
        <v>48</v>
      </c>
      <c r="M2399" s="7" t="s">
        <v>0</v>
      </c>
      <c r="N2399" s="7" t="s">
        <v>6031</v>
      </c>
      <c r="O2399" s="7" t="s">
        <v>0</v>
      </c>
      <c r="P2399" s="7" t="s">
        <v>1652</v>
      </c>
      <c r="Q2399" s="7" t="s">
        <v>6032</v>
      </c>
      <c r="R2399" s="7" t="s">
        <v>1655</v>
      </c>
      <c r="S2399" s="7" t="s">
        <v>1655</v>
      </c>
      <c r="T2399" s="7" t="s">
        <v>54</v>
      </c>
      <c r="U2399" s="7" t="s">
        <v>307</v>
      </c>
      <c r="V2399" s="7" t="s">
        <v>382</v>
      </c>
      <c r="W2399" s="7" t="s">
        <v>57</v>
      </c>
      <c r="X2399" s="7" t="s">
        <v>103</v>
      </c>
      <c r="Y2399" s="8">
        <v>44424</v>
      </c>
      <c r="Z2399" s="8">
        <v>45657</v>
      </c>
      <c r="AA2399" s="7" t="s">
        <v>1656</v>
      </c>
      <c r="AB2399" s="7" t="s">
        <v>1652</v>
      </c>
      <c r="AC2399" s="7" t="s">
        <v>79</v>
      </c>
      <c r="AD2399" s="7" t="s">
        <v>80</v>
      </c>
      <c r="AE2399" s="7" t="s">
        <v>82</v>
      </c>
      <c r="AF2399" s="7" t="s">
        <v>0</v>
      </c>
      <c r="AG2399" s="7" t="s">
        <v>0</v>
      </c>
      <c r="AH2399" s="9" t="s">
        <v>11081</v>
      </c>
      <c r="AI2399" s="9" t="s">
        <v>11082</v>
      </c>
      <c r="AJ2399" s="9" t="s">
        <v>11083</v>
      </c>
      <c r="AK2399" s="7" t="s">
        <v>61</v>
      </c>
      <c r="AL2399" s="7" t="s">
        <v>61</v>
      </c>
      <c r="AM2399" s="7" t="s">
        <v>0</v>
      </c>
      <c r="AN2399" s="7" t="s">
        <v>0</v>
      </c>
      <c r="AO2399" s="7" t="s">
        <v>0</v>
      </c>
      <c r="AP2399" s="7" t="s">
        <v>0</v>
      </c>
      <c r="AQ2399" s="7" t="s">
        <v>61</v>
      </c>
      <c r="AR2399" s="7" t="s">
        <v>0</v>
      </c>
      <c r="AS2399" s="10" t="str">
        <f>HYPERLINK("https://tessa.gazprom-neft.local/edo/card/98d986cc-f759-4116-ba81-aa5573ca1fbf", "https://tessa.gazprom-neft.local/edo/card/98d986cc-f759-4116-ba81-aa5573ca1fbf")</f>
        <v>https://tessa.gazprom-neft.local/edo/card/98d986cc-f759-4116-ba81-aa5573ca1fbf</v>
      </c>
    </row>
    <row r="2400" spans="1:45" x14ac:dyDescent="0.25">
      <c r="A2400" s="6" t="s">
        <v>44</v>
      </c>
      <c r="B2400" s="7" t="s">
        <v>964</v>
      </c>
      <c r="C2400" s="7" t="s">
        <v>67</v>
      </c>
      <c r="D2400" s="8">
        <v>44403</v>
      </c>
      <c r="E2400" s="8" t="s">
        <v>0</v>
      </c>
      <c r="F2400" s="16" t="s">
        <v>965</v>
      </c>
      <c r="G2400" s="7" t="s">
        <v>966</v>
      </c>
      <c r="H2400" s="7" t="s">
        <v>6171</v>
      </c>
      <c r="I2400" s="7" t="s">
        <v>0</v>
      </c>
      <c r="J2400" s="7" t="s">
        <v>6173</v>
      </c>
      <c r="K2400" s="7" t="s">
        <v>47</v>
      </c>
      <c r="L2400" s="7" t="s">
        <v>48</v>
      </c>
      <c r="M2400" s="7" t="s">
        <v>0</v>
      </c>
      <c r="N2400" s="7" t="s">
        <v>6170</v>
      </c>
      <c r="O2400" s="7" t="s">
        <v>0</v>
      </c>
      <c r="P2400" s="7" t="s">
        <v>6172</v>
      </c>
      <c r="Q2400" s="7" t="s">
        <v>6174</v>
      </c>
      <c r="R2400" s="7" t="s">
        <v>659</v>
      </c>
      <c r="S2400" s="7" t="s">
        <v>5941</v>
      </c>
      <c r="T2400" s="7" t="s">
        <v>54</v>
      </c>
      <c r="U2400" s="7" t="s">
        <v>1683</v>
      </c>
      <c r="V2400" s="7" t="s">
        <v>295</v>
      </c>
      <c r="W2400" s="7" t="s">
        <v>57</v>
      </c>
      <c r="X2400" s="7" t="s">
        <v>103</v>
      </c>
      <c r="Y2400" s="8">
        <v>44403</v>
      </c>
      <c r="Z2400" s="8">
        <v>44926</v>
      </c>
      <c r="AA2400" s="7" t="s">
        <v>1269</v>
      </c>
      <c r="AB2400" s="7" t="s">
        <v>1270</v>
      </c>
      <c r="AC2400" s="7" t="s">
        <v>65</v>
      </c>
      <c r="AD2400" s="7" t="s">
        <v>80</v>
      </c>
      <c r="AE2400" s="7" t="s">
        <v>0</v>
      </c>
      <c r="AF2400" s="7" t="s">
        <v>0</v>
      </c>
      <c r="AG2400" s="7" t="s">
        <v>0</v>
      </c>
      <c r="AH2400" s="9" t="s">
        <v>0</v>
      </c>
      <c r="AI2400" s="9" t="s">
        <v>0</v>
      </c>
      <c r="AJ2400" s="9" t="s">
        <v>0</v>
      </c>
      <c r="AK2400" s="7" t="s">
        <v>61</v>
      </c>
      <c r="AL2400" s="7" t="s">
        <v>61</v>
      </c>
      <c r="AM2400" s="7" t="s">
        <v>0</v>
      </c>
      <c r="AN2400" s="7" t="s">
        <v>0</v>
      </c>
      <c r="AO2400" s="7" t="s">
        <v>0</v>
      </c>
      <c r="AP2400" s="7" t="s">
        <v>0</v>
      </c>
      <c r="AQ2400" s="7" t="s">
        <v>61</v>
      </c>
      <c r="AR2400" s="7" t="s">
        <v>0</v>
      </c>
      <c r="AS2400" s="10" t="str">
        <f>HYPERLINK("https://tessa.gazprom-neft.local/edo/card/4d253731-79e7-4ecb-9a89-556c49ef4da1", "https://tessa.gazprom-neft.local/edo/card/4d253731-79e7-4ecb-9a89-556c49ef4da1")</f>
        <v>https://tessa.gazprom-neft.local/edo/card/4d253731-79e7-4ecb-9a89-556c49ef4da1</v>
      </c>
    </row>
    <row r="2401" spans="1:45" hidden="1" x14ac:dyDescent="0.25">
      <c r="A2401" s="6" t="s">
        <v>44</v>
      </c>
      <c r="B2401" s="7" t="s">
        <v>245</v>
      </c>
      <c r="C2401" s="7" t="s">
        <v>67</v>
      </c>
      <c r="D2401" s="8">
        <v>44400</v>
      </c>
      <c r="E2401" s="8" t="s">
        <v>0</v>
      </c>
      <c r="F2401" s="16" t="s">
        <v>246</v>
      </c>
      <c r="G2401" s="7" t="s">
        <v>247</v>
      </c>
      <c r="H2401" s="7" t="s">
        <v>240</v>
      </c>
      <c r="I2401" s="7" t="s">
        <v>0</v>
      </c>
      <c r="J2401" s="7" t="s">
        <v>5871</v>
      </c>
      <c r="K2401" s="7" t="s">
        <v>47</v>
      </c>
      <c r="L2401" s="7" t="s">
        <v>239</v>
      </c>
      <c r="M2401" s="7" t="s">
        <v>0</v>
      </c>
      <c r="N2401" s="7" t="s">
        <v>5869</v>
      </c>
      <c r="O2401" s="7" t="s">
        <v>0</v>
      </c>
      <c r="P2401" s="7" t="s">
        <v>5870</v>
      </c>
      <c r="Q2401" s="7" t="s">
        <v>5872</v>
      </c>
      <c r="R2401" s="7" t="s">
        <v>244</v>
      </c>
      <c r="S2401" s="7" t="s">
        <v>0</v>
      </c>
      <c r="T2401" s="7" t="s">
        <v>54</v>
      </c>
      <c r="U2401" s="7" t="s">
        <v>55</v>
      </c>
      <c r="V2401" s="7" t="s">
        <v>56</v>
      </c>
      <c r="W2401" s="7" t="s">
        <v>57</v>
      </c>
      <c r="X2401" s="7" t="s">
        <v>103</v>
      </c>
      <c r="Y2401" s="8">
        <v>44400</v>
      </c>
      <c r="Z2401" s="8">
        <v>44561</v>
      </c>
      <c r="AA2401" s="7" t="s">
        <v>1251</v>
      </c>
      <c r="AB2401" s="7" t="s">
        <v>248</v>
      </c>
      <c r="AC2401" s="7" t="s">
        <v>79</v>
      </c>
      <c r="AD2401" s="7" t="s">
        <v>144</v>
      </c>
      <c r="AE2401" s="7" t="s">
        <v>82</v>
      </c>
      <c r="AF2401" s="7" t="s">
        <v>0</v>
      </c>
      <c r="AG2401" s="7" t="s">
        <v>0</v>
      </c>
      <c r="AH2401" s="9" t="s">
        <v>12661</v>
      </c>
      <c r="AI2401" s="9" t="s">
        <v>12662</v>
      </c>
      <c r="AJ2401" s="9" t="s">
        <v>12663</v>
      </c>
      <c r="AK2401" s="7" t="s">
        <v>61</v>
      </c>
      <c r="AL2401" s="7" t="s">
        <v>61</v>
      </c>
      <c r="AM2401" s="7" t="s">
        <v>0</v>
      </c>
      <c r="AN2401" s="7" t="s">
        <v>0</v>
      </c>
      <c r="AO2401" s="7" t="s">
        <v>0</v>
      </c>
      <c r="AP2401" s="7" t="s">
        <v>0</v>
      </c>
      <c r="AQ2401" s="7" t="s">
        <v>61</v>
      </c>
      <c r="AR2401" s="7" t="s">
        <v>0</v>
      </c>
      <c r="AS2401" s="10" t="str">
        <f>HYPERLINK("https://tessa.gazprom-neft.local/edo/card/1d989ce2-2383-487f-b624-e492a997939f", "https://tessa.gazprom-neft.local/edo/card/1d989ce2-2383-487f-b624-e492a997939f")</f>
        <v>https://tessa.gazprom-neft.local/edo/card/1d989ce2-2383-487f-b624-e492a997939f</v>
      </c>
    </row>
    <row r="2402" spans="1:45" hidden="1" x14ac:dyDescent="0.25">
      <c r="A2402" s="6" t="s">
        <v>44</v>
      </c>
      <c r="B2402" s="7" t="s">
        <v>245</v>
      </c>
      <c r="C2402" s="7" t="s">
        <v>67</v>
      </c>
      <c r="D2402" s="8">
        <v>44400</v>
      </c>
      <c r="E2402" s="8" t="s">
        <v>0</v>
      </c>
      <c r="F2402" s="16" t="s">
        <v>246</v>
      </c>
      <c r="G2402" s="7" t="s">
        <v>247</v>
      </c>
      <c r="H2402" s="7" t="s">
        <v>5883</v>
      </c>
      <c r="I2402" s="7" t="s">
        <v>0</v>
      </c>
      <c r="J2402" s="7" t="s">
        <v>5885</v>
      </c>
      <c r="K2402" s="7" t="s">
        <v>47</v>
      </c>
      <c r="L2402" s="7" t="s">
        <v>239</v>
      </c>
      <c r="M2402" s="7" t="s">
        <v>0</v>
      </c>
      <c r="N2402" s="7" t="s">
        <v>5882</v>
      </c>
      <c r="O2402" s="7" t="s">
        <v>0</v>
      </c>
      <c r="P2402" s="7" t="s">
        <v>5884</v>
      </c>
      <c r="Q2402" s="7" t="s">
        <v>2167</v>
      </c>
      <c r="R2402" s="7" t="s">
        <v>540</v>
      </c>
      <c r="S2402" s="7" t="s">
        <v>0</v>
      </c>
      <c r="T2402" s="7" t="s">
        <v>54</v>
      </c>
      <c r="U2402" s="7" t="s">
        <v>541</v>
      </c>
      <c r="V2402" s="7" t="s">
        <v>56</v>
      </c>
      <c r="W2402" s="7" t="s">
        <v>57</v>
      </c>
      <c r="X2402" s="7" t="s">
        <v>103</v>
      </c>
      <c r="Y2402" s="8">
        <v>44400</v>
      </c>
      <c r="Z2402" s="8">
        <v>44561</v>
      </c>
      <c r="AA2402" s="7" t="s">
        <v>1251</v>
      </c>
      <c r="AB2402" s="7" t="s">
        <v>545</v>
      </c>
      <c r="AC2402" s="7" t="s">
        <v>79</v>
      </c>
      <c r="AD2402" s="7" t="s">
        <v>144</v>
      </c>
      <c r="AE2402" s="7" t="s">
        <v>82</v>
      </c>
      <c r="AF2402" s="7" t="s">
        <v>0</v>
      </c>
      <c r="AG2402" s="7" t="s">
        <v>0</v>
      </c>
      <c r="AH2402" s="9" t="s">
        <v>12668</v>
      </c>
      <c r="AI2402" s="9" t="s">
        <v>12669</v>
      </c>
      <c r="AJ2402" s="9" t="s">
        <v>12670</v>
      </c>
      <c r="AK2402" s="7" t="s">
        <v>61</v>
      </c>
      <c r="AL2402" s="7" t="s">
        <v>61</v>
      </c>
      <c r="AM2402" s="7" t="s">
        <v>0</v>
      </c>
      <c r="AN2402" s="7" t="s">
        <v>0</v>
      </c>
      <c r="AO2402" s="7" t="s">
        <v>0</v>
      </c>
      <c r="AP2402" s="7" t="s">
        <v>0</v>
      </c>
      <c r="AQ2402" s="7" t="s">
        <v>61</v>
      </c>
      <c r="AR2402" s="7" t="s">
        <v>0</v>
      </c>
      <c r="AS2402" s="10" t="str">
        <f>HYPERLINK("https://tessa.gazprom-neft.local/edo/card/2876b220-80ad-4246-b8ae-0b0fa5cc7f42", "https://tessa.gazprom-neft.local/edo/card/2876b220-80ad-4246-b8ae-0b0fa5cc7f42")</f>
        <v>https://tessa.gazprom-neft.local/edo/card/2876b220-80ad-4246-b8ae-0b0fa5cc7f42</v>
      </c>
    </row>
    <row r="2403" spans="1:45" x14ac:dyDescent="0.25">
      <c r="A2403" s="6" t="s">
        <v>44</v>
      </c>
      <c r="B2403" s="7" t="s">
        <v>964</v>
      </c>
      <c r="C2403" s="7" t="s">
        <v>67</v>
      </c>
      <c r="D2403" s="8">
        <v>44400</v>
      </c>
      <c r="E2403" s="8" t="s">
        <v>0</v>
      </c>
      <c r="F2403" s="16" t="s">
        <v>965</v>
      </c>
      <c r="G2403" s="7" t="s">
        <v>966</v>
      </c>
      <c r="H2403" s="7" t="s">
        <v>5938</v>
      </c>
      <c r="I2403" s="7" t="s">
        <v>0</v>
      </c>
      <c r="J2403" s="7" t="s">
        <v>712</v>
      </c>
      <c r="K2403" s="7" t="s">
        <v>47</v>
      </c>
      <c r="L2403" s="7" t="s">
        <v>48</v>
      </c>
      <c r="M2403" s="7" t="s">
        <v>0</v>
      </c>
      <c r="N2403" s="7" t="s">
        <v>5937</v>
      </c>
      <c r="O2403" s="7" t="s">
        <v>0</v>
      </c>
      <c r="P2403" s="7" t="s">
        <v>5939</v>
      </c>
      <c r="Q2403" s="7" t="s">
        <v>5940</v>
      </c>
      <c r="R2403" s="7" t="s">
        <v>659</v>
      </c>
      <c r="S2403" s="7" t="s">
        <v>5941</v>
      </c>
      <c r="T2403" s="7" t="s">
        <v>54</v>
      </c>
      <c r="U2403" s="7" t="s">
        <v>1683</v>
      </c>
      <c r="V2403" s="7" t="s">
        <v>295</v>
      </c>
      <c r="W2403" s="7" t="s">
        <v>57</v>
      </c>
      <c r="X2403" s="7" t="s">
        <v>103</v>
      </c>
      <c r="Y2403" s="8">
        <v>44400</v>
      </c>
      <c r="Z2403" s="8">
        <v>44926</v>
      </c>
      <c r="AA2403" s="7" t="s">
        <v>1269</v>
      </c>
      <c r="AB2403" s="7" t="s">
        <v>1270</v>
      </c>
      <c r="AC2403" s="7" t="s">
        <v>65</v>
      </c>
      <c r="AD2403" s="7" t="s">
        <v>0</v>
      </c>
      <c r="AE2403" s="7" t="s">
        <v>0</v>
      </c>
      <c r="AF2403" s="7" t="s">
        <v>0</v>
      </c>
      <c r="AG2403" s="7" t="s">
        <v>0</v>
      </c>
      <c r="AH2403" s="9" t="s">
        <v>0</v>
      </c>
      <c r="AI2403" s="9" t="s">
        <v>0</v>
      </c>
      <c r="AJ2403" s="9" t="s">
        <v>0</v>
      </c>
      <c r="AK2403" s="7" t="s">
        <v>61</v>
      </c>
      <c r="AL2403" s="7" t="s">
        <v>61</v>
      </c>
      <c r="AM2403" s="7" t="s">
        <v>0</v>
      </c>
      <c r="AN2403" s="7" t="s">
        <v>0</v>
      </c>
      <c r="AO2403" s="7" t="s">
        <v>0</v>
      </c>
      <c r="AP2403" s="7" t="s">
        <v>0</v>
      </c>
      <c r="AQ2403" s="7" t="s">
        <v>61</v>
      </c>
      <c r="AR2403" s="7" t="s">
        <v>0</v>
      </c>
      <c r="AS2403" s="10" t="str">
        <f>HYPERLINK("https://tessa.gazprom-neft.local/edo/card/03b79361-9d06-455a-877a-6297847bda2d", "https://tessa.gazprom-neft.local/edo/card/03b79361-9d06-455a-877a-6297847bda2d")</f>
        <v>https://tessa.gazprom-neft.local/edo/card/03b79361-9d06-455a-877a-6297847bda2d</v>
      </c>
    </row>
    <row r="2404" spans="1:45" x14ac:dyDescent="0.25">
      <c r="A2404" s="6" t="s">
        <v>44</v>
      </c>
      <c r="B2404" s="7" t="s">
        <v>1611</v>
      </c>
      <c r="C2404" s="7" t="s">
        <v>67</v>
      </c>
      <c r="D2404" s="8">
        <v>44400</v>
      </c>
      <c r="E2404" s="8" t="s">
        <v>0</v>
      </c>
      <c r="F2404" s="16" t="s">
        <v>1612</v>
      </c>
      <c r="G2404" s="7" t="s">
        <v>1613</v>
      </c>
      <c r="H2404" s="7" t="s">
        <v>1606</v>
      </c>
      <c r="I2404" s="7" t="s">
        <v>0</v>
      </c>
      <c r="J2404" s="7" t="s">
        <v>51</v>
      </c>
      <c r="K2404" s="7" t="s">
        <v>47</v>
      </c>
      <c r="L2404" s="7" t="s">
        <v>48</v>
      </c>
      <c r="M2404" s="7" t="s">
        <v>0</v>
      </c>
      <c r="N2404" s="7" t="s">
        <v>5958</v>
      </c>
      <c r="O2404" s="7" t="s">
        <v>0</v>
      </c>
      <c r="P2404" s="7" t="s">
        <v>5959</v>
      </c>
      <c r="Q2404" s="7" t="s">
        <v>5960</v>
      </c>
      <c r="R2404" s="7" t="s">
        <v>1610</v>
      </c>
      <c r="S2404" s="7" t="s">
        <v>1610</v>
      </c>
      <c r="T2404" s="7" t="s">
        <v>54</v>
      </c>
      <c r="U2404" s="7" t="s">
        <v>101</v>
      </c>
      <c r="V2404" s="7" t="s">
        <v>137</v>
      </c>
      <c r="W2404" s="7" t="s">
        <v>57</v>
      </c>
      <c r="X2404" s="7" t="s">
        <v>103</v>
      </c>
      <c r="Y2404" s="8">
        <v>44400</v>
      </c>
      <c r="Z2404" s="8">
        <v>44561</v>
      </c>
      <c r="AA2404" s="7" t="s">
        <v>0</v>
      </c>
      <c r="AB2404" s="7" t="s">
        <v>1614</v>
      </c>
      <c r="AC2404" s="7" t="s">
        <v>65</v>
      </c>
      <c r="AD2404" s="7" t="s">
        <v>0</v>
      </c>
      <c r="AE2404" s="7" t="s">
        <v>0</v>
      </c>
      <c r="AF2404" s="7" t="s">
        <v>0</v>
      </c>
      <c r="AG2404" s="7" t="s">
        <v>0</v>
      </c>
      <c r="AH2404" s="9" t="s">
        <v>0</v>
      </c>
      <c r="AI2404" s="9" t="s">
        <v>0</v>
      </c>
      <c r="AJ2404" s="9" t="s">
        <v>0</v>
      </c>
      <c r="AK2404" s="7" t="s">
        <v>61</v>
      </c>
      <c r="AL2404" s="7" t="s">
        <v>61</v>
      </c>
      <c r="AM2404" s="7" t="s">
        <v>0</v>
      </c>
      <c r="AN2404" s="7" t="s">
        <v>0</v>
      </c>
      <c r="AO2404" s="7" t="s">
        <v>0</v>
      </c>
      <c r="AP2404" s="7" t="s">
        <v>0</v>
      </c>
      <c r="AQ2404" s="7" t="s">
        <v>61</v>
      </c>
      <c r="AR2404" s="7" t="s">
        <v>0</v>
      </c>
      <c r="AS2404" s="10" t="str">
        <f>HYPERLINK("https://tessa.gazprom-neft.local/edo/card/6049655c-aa2a-4891-8805-4798970f374d", "https://tessa.gazprom-neft.local/edo/card/6049655c-aa2a-4891-8805-4798970f374d")</f>
        <v>https://tessa.gazprom-neft.local/edo/card/6049655c-aa2a-4891-8805-4798970f374d</v>
      </c>
    </row>
    <row r="2405" spans="1:45" hidden="1" x14ac:dyDescent="0.25">
      <c r="A2405" s="6" t="s">
        <v>44</v>
      </c>
      <c r="B2405" s="7" t="s">
        <v>4951</v>
      </c>
      <c r="C2405" s="7" t="s">
        <v>67</v>
      </c>
      <c r="D2405" s="8">
        <v>44400</v>
      </c>
      <c r="E2405" s="8" t="s">
        <v>0</v>
      </c>
      <c r="F2405" s="16" t="s">
        <v>4952</v>
      </c>
      <c r="G2405" s="7" t="s">
        <v>2497</v>
      </c>
      <c r="H2405" s="7" t="s">
        <v>0</v>
      </c>
      <c r="I2405" s="7" t="s">
        <v>5977</v>
      </c>
      <c r="J2405" s="7" t="s">
        <v>5977</v>
      </c>
      <c r="K2405" s="7" t="s">
        <v>47</v>
      </c>
      <c r="L2405" s="7" t="s">
        <v>86</v>
      </c>
      <c r="M2405" s="7" t="s">
        <v>0</v>
      </c>
      <c r="N2405" s="7" t="s">
        <v>5976</v>
      </c>
      <c r="O2405" s="7" t="s">
        <v>0</v>
      </c>
      <c r="P2405" s="7" t="s">
        <v>5978</v>
      </c>
      <c r="Q2405" s="7" t="s">
        <v>5978</v>
      </c>
      <c r="R2405" s="7" t="s">
        <v>659</v>
      </c>
      <c r="S2405" s="7" t="s">
        <v>5980</v>
      </c>
      <c r="T2405" s="7" t="s">
        <v>54</v>
      </c>
      <c r="U2405" s="7" t="s">
        <v>210</v>
      </c>
      <c r="V2405" s="7" t="s">
        <v>211</v>
      </c>
      <c r="W2405" s="7" t="s">
        <v>57</v>
      </c>
      <c r="X2405" s="7" t="s">
        <v>58</v>
      </c>
      <c r="Y2405" s="8">
        <v>44400</v>
      </c>
      <c r="Z2405" s="8" t="s">
        <v>0</v>
      </c>
      <c r="AA2405" s="7" t="s">
        <v>0</v>
      </c>
      <c r="AB2405" s="7" t="s">
        <v>1498</v>
      </c>
      <c r="AC2405" s="7" t="s">
        <v>79</v>
      </c>
      <c r="AD2405" s="7" t="s">
        <v>80</v>
      </c>
      <c r="AE2405" s="7" t="s">
        <v>889</v>
      </c>
      <c r="AF2405" s="7" t="s">
        <v>0</v>
      </c>
      <c r="AG2405" s="7" t="s">
        <v>0</v>
      </c>
      <c r="AH2405" s="9" t="s">
        <v>12693</v>
      </c>
      <c r="AI2405" s="9" t="s">
        <v>12693</v>
      </c>
      <c r="AJ2405" s="9">
        <v>0</v>
      </c>
      <c r="AK2405" s="7" t="s">
        <v>61</v>
      </c>
      <c r="AL2405" s="7" t="s">
        <v>61</v>
      </c>
      <c r="AM2405" s="7" t="s">
        <v>0</v>
      </c>
      <c r="AN2405" s="7" t="s">
        <v>0</v>
      </c>
      <c r="AO2405" s="7" t="s">
        <v>0</v>
      </c>
      <c r="AP2405" s="7" t="s">
        <v>0</v>
      </c>
      <c r="AQ2405" s="7" t="s">
        <v>61</v>
      </c>
      <c r="AR2405" s="7" t="s">
        <v>0</v>
      </c>
      <c r="AS2405" s="10" t="str">
        <f>HYPERLINK("https://tessa.gazprom-neft.local/edo/card/7e751d3b-abc0-4cfa-86c3-ae225ac1d38b", "https://tessa.gazprom-neft.local/edo/card/7e751d3b-abc0-4cfa-86c3-ae225ac1d38b")</f>
        <v>https://tessa.gazprom-neft.local/edo/card/7e751d3b-abc0-4cfa-86c3-ae225ac1d38b</v>
      </c>
    </row>
    <row r="2406" spans="1:45" x14ac:dyDescent="0.25">
      <c r="A2406" s="6" t="s">
        <v>44</v>
      </c>
      <c r="B2406" s="7" t="s">
        <v>6070</v>
      </c>
      <c r="C2406" s="7" t="s">
        <v>67</v>
      </c>
      <c r="D2406" s="8">
        <v>44400</v>
      </c>
      <c r="E2406" s="8" t="s">
        <v>0</v>
      </c>
      <c r="F2406" s="16" t="s">
        <v>6071</v>
      </c>
      <c r="G2406" s="7" t="s">
        <v>6072</v>
      </c>
      <c r="H2406" s="7" t="s">
        <v>6066</v>
      </c>
      <c r="I2406" s="7" t="s">
        <v>0</v>
      </c>
      <c r="J2406" s="7" t="s">
        <v>271</v>
      </c>
      <c r="K2406" s="7" t="s">
        <v>47</v>
      </c>
      <c r="L2406" s="7" t="s">
        <v>48</v>
      </c>
      <c r="M2406" s="7" t="s">
        <v>0</v>
      </c>
      <c r="N2406" s="7" t="s">
        <v>6065</v>
      </c>
      <c r="O2406" s="7" t="s">
        <v>0</v>
      </c>
      <c r="P2406" s="7" t="s">
        <v>6067</v>
      </c>
      <c r="Q2406" s="7" t="s">
        <v>6068</v>
      </c>
      <c r="R2406" s="7" t="s">
        <v>6069</v>
      </c>
      <c r="S2406" s="7" t="s">
        <v>6069</v>
      </c>
      <c r="T2406" s="7" t="s">
        <v>54</v>
      </c>
      <c r="U2406" s="7" t="s">
        <v>1012</v>
      </c>
      <c r="V2406" s="7" t="s">
        <v>137</v>
      </c>
      <c r="W2406" s="7" t="s">
        <v>57</v>
      </c>
      <c r="X2406" s="7" t="s">
        <v>103</v>
      </c>
      <c r="Y2406" s="8">
        <v>44400</v>
      </c>
      <c r="Z2406" s="8">
        <v>45291</v>
      </c>
      <c r="AA2406" s="7" t="s">
        <v>0</v>
      </c>
      <c r="AB2406" s="7" t="s">
        <v>64</v>
      </c>
      <c r="AC2406" s="7" t="s">
        <v>65</v>
      </c>
      <c r="AD2406" s="7" t="s">
        <v>144</v>
      </c>
      <c r="AE2406" s="7" t="s">
        <v>0</v>
      </c>
      <c r="AF2406" s="7" t="s">
        <v>0</v>
      </c>
      <c r="AG2406" s="7" t="s">
        <v>0</v>
      </c>
      <c r="AH2406" s="9" t="s">
        <v>0</v>
      </c>
      <c r="AI2406" s="9" t="s">
        <v>0</v>
      </c>
      <c r="AJ2406" s="9" t="s">
        <v>0</v>
      </c>
      <c r="AK2406" s="7" t="s">
        <v>61</v>
      </c>
      <c r="AL2406" s="7" t="s">
        <v>61</v>
      </c>
      <c r="AM2406" s="7" t="s">
        <v>0</v>
      </c>
      <c r="AN2406" s="7" t="s">
        <v>0</v>
      </c>
      <c r="AO2406" s="7" t="s">
        <v>0</v>
      </c>
      <c r="AP2406" s="7" t="s">
        <v>0</v>
      </c>
      <c r="AQ2406" s="7" t="s">
        <v>61</v>
      </c>
      <c r="AR2406" s="7" t="s">
        <v>0</v>
      </c>
      <c r="AS2406" s="10" t="str">
        <f>HYPERLINK("https://tessa.gazprom-neft.local/edo/card/c25d36f4-7162-4832-9eb7-72d962feafdf", "https://tessa.gazprom-neft.local/edo/card/c25d36f4-7162-4832-9eb7-72d962feafdf")</f>
        <v>https://tessa.gazprom-neft.local/edo/card/c25d36f4-7162-4832-9eb7-72d962feafdf</v>
      </c>
    </row>
    <row r="2407" spans="1:45" hidden="1" x14ac:dyDescent="0.25">
      <c r="A2407" s="6" t="s">
        <v>44</v>
      </c>
      <c r="B2407" s="7" t="s">
        <v>0</v>
      </c>
      <c r="C2407" s="7" t="s">
        <v>46</v>
      </c>
      <c r="D2407" s="8">
        <v>44399</v>
      </c>
      <c r="E2407" s="8" t="s">
        <v>0</v>
      </c>
      <c r="F2407" s="16" t="s">
        <v>5575</v>
      </c>
      <c r="G2407" s="7" t="s">
        <v>0</v>
      </c>
      <c r="H2407" s="7" t="s">
        <v>0</v>
      </c>
      <c r="I2407" s="7" t="s">
        <v>5573</v>
      </c>
      <c r="J2407" s="7" t="s">
        <v>5573</v>
      </c>
      <c r="K2407" s="7" t="s">
        <v>85</v>
      </c>
      <c r="L2407" s="7" t="s">
        <v>96</v>
      </c>
      <c r="M2407" s="7" t="s">
        <v>5571</v>
      </c>
      <c r="N2407" s="7" t="s">
        <v>5572</v>
      </c>
      <c r="O2407" s="7" t="s">
        <v>0</v>
      </c>
      <c r="P2407" s="7" t="s">
        <v>5571</v>
      </c>
      <c r="Q2407" s="7" t="s">
        <v>5574</v>
      </c>
      <c r="R2407" s="7" t="s">
        <v>2732</v>
      </c>
      <c r="S2407" s="7" t="s">
        <v>1256</v>
      </c>
      <c r="T2407" s="7" t="s">
        <v>54</v>
      </c>
      <c r="U2407" s="7" t="s">
        <v>222</v>
      </c>
      <c r="V2407" s="7" t="s">
        <v>382</v>
      </c>
      <c r="W2407" s="7" t="s">
        <v>57</v>
      </c>
      <c r="X2407" s="7" t="s">
        <v>103</v>
      </c>
      <c r="Y2407" s="8">
        <v>44399</v>
      </c>
      <c r="Z2407" s="8">
        <v>44561</v>
      </c>
      <c r="AA2407" s="7" t="s">
        <v>1656</v>
      </c>
      <c r="AB2407" s="7" t="s">
        <v>2053</v>
      </c>
      <c r="AC2407" s="7" t="s">
        <v>79</v>
      </c>
      <c r="AD2407" s="7" t="s">
        <v>80</v>
      </c>
      <c r="AE2407" s="7" t="s">
        <v>82</v>
      </c>
      <c r="AF2407" s="7" t="s">
        <v>0</v>
      </c>
      <c r="AG2407" s="7" t="s">
        <v>0</v>
      </c>
      <c r="AH2407" s="9" t="s">
        <v>12537</v>
      </c>
      <c r="AI2407" s="9" t="s">
        <v>12538</v>
      </c>
      <c r="AJ2407" s="9" t="s">
        <v>12539</v>
      </c>
      <c r="AK2407" s="7" t="s">
        <v>61</v>
      </c>
      <c r="AL2407" s="7" t="s">
        <v>61</v>
      </c>
      <c r="AM2407" s="7" t="s">
        <v>0</v>
      </c>
      <c r="AN2407" s="7" t="s">
        <v>0</v>
      </c>
      <c r="AO2407" s="7" t="s">
        <v>0</v>
      </c>
      <c r="AP2407" s="7" t="s">
        <v>0</v>
      </c>
      <c r="AQ2407" s="7" t="s">
        <v>61</v>
      </c>
      <c r="AR2407" s="7" t="s">
        <v>0</v>
      </c>
      <c r="AS2407" s="10" t="str">
        <f>HYPERLINK("https://tessa.gazprom-neft.local/edo/card/4536f3e1-a461-4c7c-a282-3c150ef0175c", "https://tessa.gazprom-neft.local/edo/card/4536f3e1-a461-4c7c-a282-3c150ef0175c")</f>
        <v>https://tessa.gazprom-neft.local/edo/card/4536f3e1-a461-4c7c-a282-3c150ef0175c</v>
      </c>
    </row>
    <row r="2408" spans="1:45" x14ac:dyDescent="0.25">
      <c r="A2408" s="6" t="s">
        <v>44</v>
      </c>
      <c r="B2408" s="7" t="s">
        <v>964</v>
      </c>
      <c r="C2408" s="7" t="s">
        <v>67</v>
      </c>
      <c r="D2408" s="8">
        <v>44399</v>
      </c>
      <c r="E2408" s="8" t="s">
        <v>0</v>
      </c>
      <c r="F2408" s="16" t="s">
        <v>965</v>
      </c>
      <c r="G2408" s="7" t="s">
        <v>966</v>
      </c>
      <c r="H2408" s="7" t="s">
        <v>5859</v>
      </c>
      <c r="I2408" s="7" t="s">
        <v>0</v>
      </c>
      <c r="J2408" s="7" t="s">
        <v>955</v>
      </c>
      <c r="K2408" s="7" t="s">
        <v>47</v>
      </c>
      <c r="L2408" s="7" t="s">
        <v>48</v>
      </c>
      <c r="M2408" s="7" t="s">
        <v>0</v>
      </c>
      <c r="N2408" s="7" t="s">
        <v>5858</v>
      </c>
      <c r="O2408" s="7" t="s">
        <v>0</v>
      </c>
      <c r="P2408" s="7" t="s">
        <v>5860</v>
      </c>
      <c r="Q2408" s="7" t="s">
        <v>5861</v>
      </c>
      <c r="R2408" s="7" t="s">
        <v>659</v>
      </c>
      <c r="S2408" s="7" t="s">
        <v>5862</v>
      </c>
      <c r="T2408" s="7" t="s">
        <v>54</v>
      </c>
      <c r="U2408" s="7" t="s">
        <v>1683</v>
      </c>
      <c r="V2408" s="7" t="s">
        <v>295</v>
      </c>
      <c r="W2408" s="7" t="s">
        <v>57</v>
      </c>
      <c r="X2408" s="7" t="s">
        <v>103</v>
      </c>
      <c r="Y2408" s="8">
        <v>44399</v>
      </c>
      <c r="Z2408" s="8">
        <v>44561</v>
      </c>
      <c r="AA2408" s="7" t="s">
        <v>1269</v>
      </c>
      <c r="AB2408" s="7" t="s">
        <v>1270</v>
      </c>
      <c r="AC2408" s="7" t="s">
        <v>65</v>
      </c>
      <c r="AD2408" s="7" t="s">
        <v>0</v>
      </c>
      <c r="AE2408" s="7" t="s">
        <v>0</v>
      </c>
      <c r="AF2408" s="7" t="s">
        <v>0</v>
      </c>
      <c r="AG2408" s="7" t="s">
        <v>0</v>
      </c>
      <c r="AH2408" s="9" t="s">
        <v>0</v>
      </c>
      <c r="AI2408" s="9" t="s">
        <v>0</v>
      </c>
      <c r="AJ2408" s="9" t="s">
        <v>0</v>
      </c>
      <c r="AK2408" s="7" t="s">
        <v>61</v>
      </c>
      <c r="AL2408" s="7" t="s">
        <v>61</v>
      </c>
      <c r="AM2408" s="7" t="s">
        <v>0</v>
      </c>
      <c r="AN2408" s="7" t="s">
        <v>0</v>
      </c>
      <c r="AO2408" s="7" t="s">
        <v>0</v>
      </c>
      <c r="AP2408" s="7" t="s">
        <v>0</v>
      </c>
      <c r="AQ2408" s="7" t="s">
        <v>61</v>
      </c>
      <c r="AR2408" s="7" t="s">
        <v>0</v>
      </c>
      <c r="AS2408" s="10" t="str">
        <f>HYPERLINK("https://tessa.gazprom-neft.local/edo/card/b7fd388b-3814-4337-86dc-b4f59a28e091", "https://tessa.gazprom-neft.local/edo/card/b7fd388b-3814-4337-86dc-b4f59a28e091")</f>
        <v>https://tessa.gazprom-neft.local/edo/card/b7fd388b-3814-4337-86dc-b4f59a28e091</v>
      </c>
    </row>
    <row r="2409" spans="1:45" hidden="1" x14ac:dyDescent="0.25">
      <c r="A2409" s="6" t="s">
        <v>44</v>
      </c>
      <c r="B2409" s="7" t="s">
        <v>6922</v>
      </c>
      <c r="C2409" s="7" t="s">
        <v>67</v>
      </c>
      <c r="D2409" s="8">
        <v>44399</v>
      </c>
      <c r="E2409" s="8" t="s">
        <v>0</v>
      </c>
      <c r="F2409" s="16" t="s">
        <v>6923</v>
      </c>
      <c r="G2409" s="7" t="s">
        <v>6924</v>
      </c>
      <c r="H2409" s="7" t="s">
        <v>0</v>
      </c>
      <c r="I2409" s="7" t="s">
        <v>6920</v>
      </c>
      <c r="J2409" s="7" t="s">
        <v>6920</v>
      </c>
      <c r="K2409" s="7" t="s">
        <v>85</v>
      </c>
      <c r="L2409" s="7" t="s">
        <v>86</v>
      </c>
      <c r="M2409" s="7" t="s">
        <v>83</v>
      </c>
      <c r="N2409" s="7" t="s">
        <v>6919</v>
      </c>
      <c r="O2409" s="7" t="s">
        <v>0</v>
      </c>
      <c r="P2409" s="7" t="s">
        <v>83</v>
      </c>
      <c r="Q2409" s="7" t="s">
        <v>6921</v>
      </c>
      <c r="R2409" s="7" t="s">
        <v>1256</v>
      </c>
      <c r="S2409" s="7" t="s">
        <v>1256</v>
      </c>
      <c r="T2409" s="7" t="s">
        <v>54</v>
      </c>
      <c r="U2409" s="7" t="s">
        <v>591</v>
      </c>
      <c r="V2409" s="7" t="s">
        <v>382</v>
      </c>
      <c r="W2409" s="7" t="s">
        <v>57</v>
      </c>
      <c r="X2409" s="7" t="s">
        <v>58</v>
      </c>
      <c r="Y2409" s="8">
        <v>44399</v>
      </c>
      <c r="Z2409" s="8" t="s">
        <v>0</v>
      </c>
      <c r="AA2409" s="7" t="s">
        <v>1656</v>
      </c>
      <c r="AB2409" s="7" t="s">
        <v>94</v>
      </c>
      <c r="AC2409" s="7" t="s">
        <v>65</v>
      </c>
      <c r="AD2409" s="7" t="s">
        <v>0</v>
      </c>
      <c r="AE2409" s="7" t="s">
        <v>0</v>
      </c>
      <c r="AF2409" s="7" t="s">
        <v>0</v>
      </c>
      <c r="AG2409" s="7" t="s">
        <v>0</v>
      </c>
      <c r="AH2409" s="9" t="s">
        <v>0</v>
      </c>
      <c r="AI2409" s="9" t="s">
        <v>0</v>
      </c>
      <c r="AJ2409" s="9" t="s">
        <v>0</v>
      </c>
      <c r="AK2409" s="7" t="s">
        <v>61</v>
      </c>
      <c r="AL2409" s="7" t="s">
        <v>61</v>
      </c>
      <c r="AM2409" s="7" t="s">
        <v>0</v>
      </c>
      <c r="AN2409" s="7" t="s">
        <v>0</v>
      </c>
      <c r="AO2409" s="7" t="s">
        <v>0</v>
      </c>
      <c r="AP2409" s="7" t="s">
        <v>0</v>
      </c>
      <c r="AQ2409" s="7" t="s">
        <v>61</v>
      </c>
      <c r="AR2409" s="7" t="s">
        <v>0</v>
      </c>
      <c r="AS2409" s="10" t="str">
        <f>HYPERLINK("https://tessa.gazprom-neft.local/edo/card/85eb8fd3-dd7c-414f-aa21-58b3302d5d68", "https://tessa.gazprom-neft.local/edo/card/85eb8fd3-dd7c-414f-aa21-58b3302d5d68")</f>
        <v>https://tessa.gazprom-neft.local/edo/card/85eb8fd3-dd7c-414f-aa21-58b3302d5d68</v>
      </c>
    </row>
    <row r="2410" spans="1:45" hidden="1" x14ac:dyDescent="0.25">
      <c r="A2410" s="6" t="s">
        <v>44</v>
      </c>
      <c r="B2410" s="7" t="s">
        <v>1084</v>
      </c>
      <c r="C2410" s="7" t="s">
        <v>67</v>
      </c>
      <c r="D2410" s="8">
        <v>44398</v>
      </c>
      <c r="E2410" s="8" t="s">
        <v>0</v>
      </c>
      <c r="F2410" s="16" t="s">
        <v>1085</v>
      </c>
      <c r="G2410" s="7" t="s">
        <v>1086</v>
      </c>
      <c r="H2410" s="7" t="s">
        <v>0</v>
      </c>
      <c r="I2410" s="7" t="s">
        <v>2501</v>
      </c>
      <c r="J2410" s="7" t="s">
        <v>2501</v>
      </c>
      <c r="K2410" s="7" t="s">
        <v>47</v>
      </c>
      <c r="L2410" s="7" t="s">
        <v>96</v>
      </c>
      <c r="M2410" s="7" t="s">
        <v>0</v>
      </c>
      <c r="N2410" s="7" t="s">
        <v>5231</v>
      </c>
      <c r="O2410" s="7" t="s">
        <v>0</v>
      </c>
      <c r="P2410" s="7" t="s">
        <v>5232</v>
      </c>
      <c r="Q2410" s="7" t="s">
        <v>5181</v>
      </c>
      <c r="R2410" s="7" t="s">
        <v>1083</v>
      </c>
      <c r="S2410" s="7" t="s">
        <v>1638</v>
      </c>
      <c r="T2410" s="7" t="s">
        <v>54</v>
      </c>
      <c r="U2410" s="7" t="s">
        <v>274</v>
      </c>
      <c r="V2410" s="7" t="s">
        <v>846</v>
      </c>
      <c r="W2410" s="7" t="s">
        <v>57</v>
      </c>
      <c r="X2410" s="7" t="s">
        <v>103</v>
      </c>
      <c r="Y2410" s="8">
        <v>44379</v>
      </c>
      <c r="Z2410" s="8">
        <v>45138</v>
      </c>
      <c r="AA2410" s="7" t="s">
        <v>0</v>
      </c>
      <c r="AB2410" s="7" t="s">
        <v>545</v>
      </c>
      <c r="AC2410" s="7" t="s">
        <v>278</v>
      </c>
      <c r="AD2410" s="7" t="s">
        <v>80</v>
      </c>
      <c r="AE2410" s="7" t="s">
        <v>82</v>
      </c>
      <c r="AF2410" s="7" t="s">
        <v>0</v>
      </c>
      <c r="AG2410" s="7" t="s">
        <v>0</v>
      </c>
      <c r="AH2410" s="9" t="s">
        <v>12374</v>
      </c>
      <c r="AI2410" s="9" t="s">
        <v>12375</v>
      </c>
      <c r="AJ2410" s="9" t="s">
        <v>12376</v>
      </c>
      <c r="AK2410" s="7" t="s">
        <v>61</v>
      </c>
      <c r="AL2410" s="7" t="s">
        <v>61</v>
      </c>
      <c r="AM2410" s="7" t="s">
        <v>0</v>
      </c>
      <c r="AN2410" s="7" t="s">
        <v>0</v>
      </c>
      <c r="AO2410" s="7" t="s">
        <v>0</v>
      </c>
      <c r="AP2410" s="7" t="s">
        <v>0</v>
      </c>
      <c r="AQ2410" s="7" t="s">
        <v>61</v>
      </c>
      <c r="AR2410" s="7" t="s">
        <v>0</v>
      </c>
      <c r="AS2410" s="10" t="str">
        <f>HYPERLINK("https://tessa.gazprom-neft.local/edo/card/17cfef50-e44b-4dc5-9523-ac4441d05334", "https://tessa.gazprom-neft.local/edo/card/17cfef50-e44b-4dc5-9523-ac4441d05334")</f>
        <v>https://tessa.gazprom-neft.local/edo/card/17cfef50-e44b-4dc5-9523-ac4441d05334</v>
      </c>
    </row>
    <row r="2411" spans="1:45" hidden="1" x14ac:dyDescent="0.25">
      <c r="A2411" s="6" t="s">
        <v>44</v>
      </c>
      <c r="B2411" s="7" t="s">
        <v>6105</v>
      </c>
      <c r="C2411" s="7" t="s">
        <v>46</v>
      </c>
      <c r="D2411" s="8">
        <v>44398</v>
      </c>
      <c r="E2411" s="8" t="s">
        <v>0</v>
      </c>
      <c r="F2411" s="16" t="s">
        <v>6106</v>
      </c>
      <c r="G2411" s="7" t="s">
        <v>6107</v>
      </c>
      <c r="H2411" s="7" t="s">
        <v>0</v>
      </c>
      <c r="I2411" s="7" t="s">
        <v>6102</v>
      </c>
      <c r="J2411" s="7" t="s">
        <v>6102</v>
      </c>
      <c r="K2411" s="7" t="s">
        <v>47</v>
      </c>
      <c r="L2411" s="7" t="s">
        <v>86</v>
      </c>
      <c r="M2411" s="7" t="s">
        <v>0</v>
      </c>
      <c r="N2411" s="7" t="s">
        <v>6101</v>
      </c>
      <c r="O2411" s="7" t="s">
        <v>0</v>
      </c>
      <c r="P2411" s="7" t="s">
        <v>6103</v>
      </c>
      <c r="Q2411" s="7" t="s">
        <v>6104</v>
      </c>
      <c r="R2411" s="7" t="s">
        <v>1062</v>
      </c>
      <c r="S2411" s="7" t="s">
        <v>5615</v>
      </c>
      <c r="T2411" s="7" t="s">
        <v>54</v>
      </c>
      <c r="U2411" s="7" t="s">
        <v>294</v>
      </c>
      <c r="V2411" s="7" t="s">
        <v>137</v>
      </c>
      <c r="W2411" s="7" t="s">
        <v>57</v>
      </c>
      <c r="X2411" s="7" t="s">
        <v>58</v>
      </c>
      <c r="Y2411" s="8">
        <v>44773</v>
      </c>
      <c r="Z2411" s="8" t="s">
        <v>0</v>
      </c>
      <c r="AA2411" s="7" t="s">
        <v>0</v>
      </c>
      <c r="AB2411" s="7" t="s">
        <v>328</v>
      </c>
      <c r="AC2411" s="7" t="s">
        <v>79</v>
      </c>
      <c r="AD2411" s="7" t="s">
        <v>80</v>
      </c>
      <c r="AE2411" s="7" t="s">
        <v>82</v>
      </c>
      <c r="AF2411" s="7" t="s">
        <v>0</v>
      </c>
      <c r="AG2411" s="7" t="s">
        <v>0</v>
      </c>
      <c r="AH2411" s="9" t="s">
        <v>12718</v>
      </c>
      <c r="AI2411" s="9" t="s">
        <v>12719</v>
      </c>
      <c r="AJ2411" s="9" t="s">
        <v>12720</v>
      </c>
      <c r="AK2411" s="7" t="s">
        <v>61</v>
      </c>
      <c r="AL2411" s="7" t="s">
        <v>61</v>
      </c>
      <c r="AM2411" s="7" t="s">
        <v>0</v>
      </c>
      <c r="AN2411" s="7" t="s">
        <v>0</v>
      </c>
      <c r="AO2411" s="7" t="s">
        <v>0</v>
      </c>
      <c r="AP2411" s="7" t="s">
        <v>0</v>
      </c>
      <c r="AQ2411" s="7" t="s">
        <v>61</v>
      </c>
      <c r="AR2411" s="7" t="s">
        <v>0</v>
      </c>
      <c r="AS2411" s="10" t="str">
        <f>HYPERLINK("https://tessa.gazprom-neft.local/edo/card/c17713ae-7694-40d6-af61-054993e68a05", "https://tessa.gazprom-neft.local/edo/card/c17713ae-7694-40d6-af61-054993e68a05")</f>
        <v>https://tessa.gazprom-neft.local/edo/card/c17713ae-7694-40d6-af61-054993e68a05</v>
      </c>
    </row>
    <row r="2412" spans="1:45" hidden="1" x14ac:dyDescent="0.25">
      <c r="A2412" s="6" t="s">
        <v>44</v>
      </c>
      <c r="B2412" s="7" t="s">
        <v>0</v>
      </c>
      <c r="C2412" s="7" t="s">
        <v>46</v>
      </c>
      <c r="D2412" s="8">
        <v>44397</v>
      </c>
      <c r="E2412" s="8" t="s">
        <v>0</v>
      </c>
      <c r="F2412" s="16" t="s">
        <v>4966</v>
      </c>
      <c r="G2412" s="7" t="s">
        <v>0</v>
      </c>
      <c r="H2412" s="7" t="s">
        <v>0</v>
      </c>
      <c r="I2412" s="7" t="s">
        <v>4964</v>
      </c>
      <c r="J2412" s="7" t="s">
        <v>4964</v>
      </c>
      <c r="K2412" s="7" t="s">
        <v>47</v>
      </c>
      <c r="L2412" s="7" t="s">
        <v>96</v>
      </c>
      <c r="M2412" s="7" t="s">
        <v>0</v>
      </c>
      <c r="N2412" s="7" t="s">
        <v>4963</v>
      </c>
      <c r="O2412" s="7" t="s">
        <v>0</v>
      </c>
      <c r="P2412" s="7" t="s">
        <v>4965</v>
      </c>
      <c r="Q2412" s="7" t="s">
        <v>4965</v>
      </c>
      <c r="R2412" s="7" t="s">
        <v>1711</v>
      </c>
      <c r="S2412" s="7" t="s">
        <v>1711</v>
      </c>
      <c r="T2412" s="7" t="s">
        <v>54</v>
      </c>
      <c r="U2412" s="7" t="s">
        <v>605</v>
      </c>
      <c r="V2412" s="7" t="s">
        <v>137</v>
      </c>
      <c r="W2412" s="7" t="s">
        <v>57</v>
      </c>
      <c r="X2412" s="7" t="s">
        <v>103</v>
      </c>
      <c r="Y2412" s="8">
        <v>44397</v>
      </c>
      <c r="Z2412" s="8">
        <v>44469</v>
      </c>
      <c r="AA2412" s="7" t="s">
        <v>0</v>
      </c>
      <c r="AB2412" s="7" t="s">
        <v>192</v>
      </c>
      <c r="AC2412" s="7" t="s">
        <v>79</v>
      </c>
      <c r="AD2412" s="7" t="s">
        <v>80</v>
      </c>
      <c r="AE2412" s="7" t="s">
        <v>193</v>
      </c>
      <c r="AF2412" s="7" t="s">
        <v>0</v>
      </c>
      <c r="AG2412" s="7" t="s">
        <v>0</v>
      </c>
      <c r="AH2412" s="9" t="s">
        <v>12277</v>
      </c>
      <c r="AI2412" s="9" t="s">
        <v>12278</v>
      </c>
      <c r="AJ2412" s="9" t="s">
        <v>12279</v>
      </c>
      <c r="AK2412" s="7" t="s">
        <v>61</v>
      </c>
      <c r="AL2412" s="7" t="s">
        <v>61</v>
      </c>
      <c r="AM2412" s="7" t="s">
        <v>0</v>
      </c>
      <c r="AN2412" s="7" t="s">
        <v>0</v>
      </c>
      <c r="AO2412" s="7" t="s">
        <v>0</v>
      </c>
      <c r="AP2412" s="7" t="s">
        <v>0</v>
      </c>
      <c r="AQ2412" s="7" t="s">
        <v>61</v>
      </c>
      <c r="AR2412" s="7" t="s">
        <v>0</v>
      </c>
      <c r="AS2412" s="10" t="str">
        <f>HYPERLINK("https://tessa.gazprom-neft.local/edo/card/3be8118a-2e93-45fc-9f35-82a24eb40fec", "https://tessa.gazprom-neft.local/edo/card/3be8118a-2e93-45fc-9f35-82a24eb40fec")</f>
        <v>https://tessa.gazprom-neft.local/edo/card/3be8118a-2e93-45fc-9f35-82a24eb40fec</v>
      </c>
    </row>
    <row r="2413" spans="1:45" hidden="1" x14ac:dyDescent="0.25">
      <c r="A2413" s="6" t="s">
        <v>44</v>
      </c>
      <c r="B2413" s="7" t="s">
        <v>1784</v>
      </c>
      <c r="C2413" s="7" t="s">
        <v>46</v>
      </c>
      <c r="D2413" s="8">
        <v>44397</v>
      </c>
      <c r="E2413" s="8" t="s">
        <v>0</v>
      </c>
      <c r="F2413" s="16" t="s">
        <v>1785</v>
      </c>
      <c r="G2413" s="7" t="s">
        <v>1786</v>
      </c>
      <c r="H2413" s="7" t="s">
        <v>0</v>
      </c>
      <c r="I2413" s="7" t="s">
        <v>5350</v>
      </c>
      <c r="J2413" s="7" t="s">
        <v>5350</v>
      </c>
      <c r="K2413" s="7" t="s">
        <v>47</v>
      </c>
      <c r="L2413" s="7" t="s">
        <v>96</v>
      </c>
      <c r="M2413" s="7" t="s">
        <v>0</v>
      </c>
      <c r="N2413" s="7" t="s">
        <v>5349</v>
      </c>
      <c r="O2413" s="7" t="s">
        <v>0</v>
      </c>
      <c r="P2413" s="7" t="s">
        <v>5351</v>
      </c>
      <c r="Q2413" s="7" t="s">
        <v>5352</v>
      </c>
      <c r="R2413" s="7" t="s">
        <v>135</v>
      </c>
      <c r="S2413" s="7" t="s">
        <v>135</v>
      </c>
      <c r="T2413" s="7" t="s">
        <v>54</v>
      </c>
      <c r="U2413" s="7" t="s">
        <v>136</v>
      </c>
      <c r="V2413" s="7" t="s">
        <v>102</v>
      </c>
      <c r="W2413" s="7" t="s">
        <v>57</v>
      </c>
      <c r="X2413" s="7" t="s">
        <v>103</v>
      </c>
      <c r="Y2413" s="8">
        <v>44397</v>
      </c>
      <c r="Z2413" s="8">
        <v>44561</v>
      </c>
      <c r="AA2413" s="7" t="s">
        <v>0</v>
      </c>
      <c r="AB2413" s="7" t="s">
        <v>1143</v>
      </c>
      <c r="AC2413" s="7" t="s">
        <v>79</v>
      </c>
      <c r="AD2413" s="7" t="s">
        <v>80</v>
      </c>
      <c r="AE2413" s="7" t="s">
        <v>82</v>
      </c>
      <c r="AF2413" s="7" t="s">
        <v>0</v>
      </c>
      <c r="AG2413" s="7" t="s">
        <v>0</v>
      </c>
      <c r="AH2413" s="9" t="s">
        <v>12460</v>
      </c>
      <c r="AI2413" s="9" t="s">
        <v>12461</v>
      </c>
      <c r="AJ2413" s="9" t="s">
        <v>12462</v>
      </c>
      <c r="AK2413" s="7" t="s">
        <v>61</v>
      </c>
      <c r="AL2413" s="7" t="s">
        <v>61</v>
      </c>
      <c r="AM2413" s="7" t="s">
        <v>0</v>
      </c>
      <c r="AN2413" s="7" t="s">
        <v>0</v>
      </c>
      <c r="AO2413" s="7" t="s">
        <v>0</v>
      </c>
      <c r="AP2413" s="7" t="s">
        <v>0</v>
      </c>
      <c r="AQ2413" s="7" t="s">
        <v>61</v>
      </c>
      <c r="AR2413" s="7" t="s">
        <v>0</v>
      </c>
      <c r="AS2413" s="10" t="str">
        <f>HYPERLINK("https://tessa.gazprom-neft.local/edo/card/ca4762a0-5f96-4821-912b-f98bb0d3044f", "https://tessa.gazprom-neft.local/edo/card/ca4762a0-5f96-4821-912b-f98bb0d3044f")</f>
        <v>https://tessa.gazprom-neft.local/edo/card/ca4762a0-5f96-4821-912b-f98bb0d3044f</v>
      </c>
    </row>
    <row r="2414" spans="1:45" hidden="1" x14ac:dyDescent="0.25">
      <c r="A2414" s="6" t="s">
        <v>44</v>
      </c>
      <c r="B2414" s="7" t="s">
        <v>127</v>
      </c>
      <c r="C2414" s="7" t="s">
        <v>67</v>
      </c>
      <c r="D2414" s="8">
        <v>44397</v>
      </c>
      <c r="E2414" s="8" t="s">
        <v>0</v>
      </c>
      <c r="F2414" s="16" t="s">
        <v>128</v>
      </c>
      <c r="G2414" s="7" t="s">
        <v>129</v>
      </c>
      <c r="H2414" s="7" t="s">
        <v>0</v>
      </c>
      <c r="I2414" s="7" t="s">
        <v>1661</v>
      </c>
      <c r="J2414" s="7" t="s">
        <v>1661</v>
      </c>
      <c r="K2414" s="7" t="s">
        <v>47</v>
      </c>
      <c r="L2414" s="7" t="s">
        <v>86</v>
      </c>
      <c r="M2414" s="7" t="s">
        <v>0</v>
      </c>
      <c r="N2414" s="7" t="s">
        <v>5625</v>
      </c>
      <c r="O2414" s="7" t="s">
        <v>0</v>
      </c>
      <c r="P2414" s="7" t="s">
        <v>5626</v>
      </c>
      <c r="Q2414" s="7" t="s">
        <v>5626</v>
      </c>
      <c r="R2414" s="7" t="s">
        <v>659</v>
      </c>
      <c r="S2414" s="7" t="s">
        <v>5627</v>
      </c>
      <c r="T2414" s="7" t="s">
        <v>54</v>
      </c>
      <c r="U2414" s="7" t="s">
        <v>210</v>
      </c>
      <c r="V2414" s="7" t="s">
        <v>211</v>
      </c>
      <c r="W2414" s="7" t="s">
        <v>57</v>
      </c>
      <c r="X2414" s="7" t="s">
        <v>103</v>
      </c>
      <c r="Y2414" s="8">
        <v>44397</v>
      </c>
      <c r="Z2414" s="8">
        <v>45657</v>
      </c>
      <c r="AA2414" s="7" t="s">
        <v>0</v>
      </c>
      <c r="AB2414" s="7" t="s">
        <v>1698</v>
      </c>
      <c r="AC2414" s="7" t="s">
        <v>79</v>
      </c>
      <c r="AD2414" s="7" t="s">
        <v>514</v>
      </c>
      <c r="AE2414" s="7" t="s">
        <v>82</v>
      </c>
      <c r="AF2414" s="7" t="s">
        <v>0</v>
      </c>
      <c r="AG2414" s="7" t="s">
        <v>0</v>
      </c>
      <c r="AH2414" s="9" t="s">
        <v>12554</v>
      </c>
      <c r="AI2414" s="9" t="s">
        <v>12555</v>
      </c>
      <c r="AJ2414" s="9" t="s">
        <v>12556</v>
      </c>
      <c r="AK2414" s="7" t="s">
        <v>61</v>
      </c>
      <c r="AL2414" s="7" t="s">
        <v>61</v>
      </c>
      <c r="AM2414" s="7" t="s">
        <v>0</v>
      </c>
      <c r="AN2414" s="7" t="s">
        <v>0</v>
      </c>
      <c r="AO2414" s="7" t="s">
        <v>0</v>
      </c>
      <c r="AP2414" s="7" t="s">
        <v>0</v>
      </c>
      <c r="AQ2414" s="7" t="s">
        <v>61</v>
      </c>
      <c r="AR2414" s="7" t="s">
        <v>0</v>
      </c>
      <c r="AS2414" s="10" t="str">
        <f>HYPERLINK("https://tessa.gazprom-neft.local/edo/card/2d8b4d39-2f58-4e1b-b35c-e189ab4274d1", "https://tessa.gazprom-neft.local/edo/card/2d8b4d39-2f58-4e1b-b35c-e189ab4274d1")</f>
        <v>https://tessa.gazprom-neft.local/edo/card/2d8b4d39-2f58-4e1b-b35c-e189ab4274d1</v>
      </c>
    </row>
    <row r="2415" spans="1:45" hidden="1" x14ac:dyDescent="0.25">
      <c r="A2415" s="6" t="s">
        <v>44</v>
      </c>
      <c r="B2415" s="7" t="s">
        <v>245</v>
      </c>
      <c r="C2415" s="7" t="s">
        <v>67</v>
      </c>
      <c r="D2415" s="8">
        <v>44397</v>
      </c>
      <c r="E2415" s="8" t="s">
        <v>0</v>
      </c>
      <c r="F2415" s="16" t="s">
        <v>246</v>
      </c>
      <c r="G2415" s="7" t="s">
        <v>247</v>
      </c>
      <c r="H2415" s="7" t="s">
        <v>1483</v>
      </c>
      <c r="I2415" s="7" t="s">
        <v>0</v>
      </c>
      <c r="J2415" s="7" t="s">
        <v>5775</v>
      </c>
      <c r="K2415" s="7" t="s">
        <v>47</v>
      </c>
      <c r="L2415" s="7" t="s">
        <v>239</v>
      </c>
      <c r="M2415" s="7" t="s">
        <v>0</v>
      </c>
      <c r="N2415" s="7" t="s">
        <v>5774</v>
      </c>
      <c r="O2415" s="7" t="s">
        <v>0</v>
      </c>
      <c r="P2415" s="7" t="s">
        <v>239</v>
      </c>
      <c r="Q2415" s="7" t="s">
        <v>5776</v>
      </c>
      <c r="R2415" s="7" t="s">
        <v>110</v>
      </c>
      <c r="S2415" s="7" t="s">
        <v>110</v>
      </c>
      <c r="T2415" s="7" t="s">
        <v>54</v>
      </c>
      <c r="U2415" s="7" t="s">
        <v>111</v>
      </c>
      <c r="V2415" s="7" t="s">
        <v>112</v>
      </c>
      <c r="W2415" s="7" t="s">
        <v>57</v>
      </c>
      <c r="X2415" s="7" t="s">
        <v>58</v>
      </c>
      <c r="Y2415" s="8">
        <v>44404</v>
      </c>
      <c r="Z2415" s="8" t="s">
        <v>0</v>
      </c>
      <c r="AA2415" s="7" t="s">
        <v>0</v>
      </c>
      <c r="AB2415" s="7" t="s">
        <v>64</v>
      </c>
      <c r="AC2415" s="7" t="s">
        <v>79</v>
      </c>
      <c r="AD2415" s="7" t="s">
        <v>144</v>
      </c>
      <c r="AE2415" s="7" t="s">
        <v>82</v>
      </c>
      <c r="AF2415" s="7" t="s">
        <v>0</v>
      </c>
      <c r="AG2415" s="7" t="s">
        <v>0</v>
      </c>
      <c r="AH2415" s="9" t="s">
        <v>12620</v>
      </c>
      <c r="AI2415" s="9" t="s">
        <v>12621</v>
      </c>
      <c r="AJ2415" s="9" t="s">
        <v>12622</v>
      </c>
      <c r="AK2415" s="7" t="s">
        <v>61</v>
      </c>
      <c r="AL2415" s="7" t="s">
        <v>61</v>
      </c>
      <c r="AM2415" s="7" t="s">
        <v>0</v>
      </c>
      <c r="AN2415" s="7" t="s">
        <v>0</v>
      </c>
      <c r="AO2415" s="7" t="s">
        <v>0</v>
      </c>
      <c r="AP2415" s="7" t="s">
        <v>0</v>
      </c>
      <c r="AQ2415" s="7" t="s">
        <v>61</v>
      </c>
      <c r="AR2415" s="7" t="s">
        <v>0</v>
      </c>
      <c r="AS2415" s="10" t="str">
        <f>HYPERLINK("https://tessa.gazprom-neft.local/edo/card/c3ac4e04-dfe7-4172-b0f4-c8d68119287b", "https://tessa.gazprom-neft.local/edo/card/c3ac4e04-dfe7-4172-b0f4-c8d68119287b")</f>
        <v>https://tessa.gazprom-neft.local/edo/card/c3ac4e04-dfe7-4172-b0f4-c8d68119287b</v>
      </c>
    </row>
    <row r="2416" spans="1:45" hidden="1" x14ac:dyDescent="0.25">
      <c r="A2416" s="6" t="s">
        <v>44</v>
      </c>
      <c r="B2416" s="7" t="s">
        <v>245</v>
      </c>
      <c r="C2416" s="7" t="s">
        <v>67</v>
      </c>
      <c r="D2416" s="8">
        <v>44397</v>
      </c>
      <c r="E2416" s="8" t="s">
        <v>0</v>
      </c>
      <c r="F2416" s="16" t="s">
        <v>246</v>
      </c>
      <c r="G2416" s="7" t="s">
        <v>247</v>
      </c>
      <c r="H2416" s="7" t="s">
        <v>1483</v>
      </c>
      <c r="I2416" s="7" t="s">
        <v>0</v>
      </c>
      <c r="J2416" s="7" t="s">
        <v>5790</v>
      </c>
      <c r="K2416" s="7" t="s">
        <v>47</v>
      </c>
      <c r="L2416" s="7" t="s">
        <v>239</v>
      </c>
      <c r="M2416" s="7" t="s">
        <v>0</v>
      </c>
      <c r="N2416" s="7" t="s">
        <v>5789</v>
      </c>
      <c r="O2416" s="7" t="s">
        <v>0</v>
      </c>
      <c r="P2416" s="7" t="s">
        <v>239</v>
      </c>
      <c r="Q2416" s="7" t="s">
        <v>5791</v>
      </c>
      <c r="R2416" s="7" t="s">
        <v>110</v>
      </c>
      <c r="S2416" s="7" t="s">
        <v>110</v>
      </c>
      <c r="T2416" s="7" t="s">
        <v>54</v>
      </c>
      <c r="U2416" s="7" t="s">
        <v>111</v>
      </c>
      <c r="V2416" s="7" t="s">
        <v>112</v>
      </c>
      <c r="W2416" s="7" t="s">
        <v>57</v>
      </c>
      <c r="X2416" s="7" t="s">
        <v>58</v>
      </c>
      <c r="Y2416" s="8">
        <v>44403</v>
      </c>
      <c r="Z2416" s="8" t="s">
        <v>0</v>
      </c>
      <c r="AA2416" s="7" t="s">
        <v>0</v>
      </c>
      <c r="AB2416" s="7" t="s">
        <v>64</v>
      </c>
      <c r="AC2416" s="7" t="s">
        <v>79</v>
      </c>
      <c r="AD2416" s="7" t="s">
        <v>144</v>
      </c>
      <c r="AE2416" s="7" t="s">
        <v>82</v>
      </c>
      <c r="AF2416" s="7" t="s">
        <v>0</v>
      </c>
      <c r="AG2416" s="7" t="s">
        <v>0</v>
      </c>
      <c r="AH2416" s="9" t="s">
        <v>12626</v>
      </c>
      <c r="AI2416" s="9" t="s">
        <v>12627</v>
      </c>
      <c r="AJ2416" s="9" t="s">
        <v>11042</v>
      </c>
      <c r="AK2416" s="7" t="s">
        <v>61</v>
      </c>
      <c r="AL2416" s="7" t="s">
        <v>61</v>
      </c>
      <c r="AM2416" s="7" t="s">
        <v>0</v>
      </c>
      <c r="AN2416" s="7" t="s">
        <v>0</v>
      </c>
      <c r="AO2416" s="7" t="s">
        <v>0</v>
      </c>
      <c r="AP2416" s="7" t="s">
        <v>0</v>
      </c>
      <c r="AQ2416" s="7" t="s">
        <v>61</v>
      </c>
      <c r="AR2416" s="7" t="s">
        <v>0</v>
      </c>
      <c r="AS2416" s="10" t="str">
        <f>HYPERLINK("https://tessa.gazprom-neft.local/edo/card/1b788467-de16-46b7-9a50-36a6f888d1b4", "https://tessa.gazprom-neft.local/edo/card/1b788467-de16-46b7-9a50-36a6f888d1b4")</f>
        <v>https://tessa.gazprom-neft.local/edo/card/1b788467-de16-46b7-9a50-36a6f888d1b4</v>
      </c>
    </row>
    <row r="2417" spans="1:45" hidden="1" x14ac:dyDescent="0.25">
      <c r="A2417" s="6" t="s">
        <v>44</v>
      </c>
      <c r="B2417" s="7" t="s">
        <v>127</v>
      </c>
      <c r="C2417" s="7" t="s">
        <v>67</v>
      </c>
      <c r="D2417" s="8">
        <v>44397</v>
      </c>
      <c r="E2417" s="8" t="s">
        <v>0</v>
      </c>
      <c r="F2417" s="16" t="s">
        <v>128</v>
      </c>
      <c r="G2417" s="7" t="s">
        <v>129</v>
      </c>
      <c r="H2417" s="7" t="s">
        <v>0</v>
      </c>
      <c r="I2417" s="7" t="s">
        <v>1661</v>
      </c>
      <c r="J2417" s="7" t="s">
        <v>1661</v>
      </c>
      <c r="K2417" s="7" t="s">
        <v>85</v>
      </c>
      <c r="L2417" s="7" t="s">
        <v>96</v>
      </c>
      <c r="M2417" s="7" t="s">
        <v>8197</v>
      </c>
      <c r="N2417" s="7" t="s">
        <v>8243</v>
      </c>
      <c r="O2417" s="7" t="s">
        <v>0</v>
      </c>
      <c r="P2417" s="7" t="s">
        <v>8197</v>
      </c>
      <c r="Q2417" s="7" t="s">
        <v>5626</v>
      </c>
      <c r="R2417" s="7" t="s">
        <v>1057</v>
      </c>
      <c r="S2417" s="7" t="s">
        <v>1057</v>
      </c>
      <c r="T2417" s="7" t="s">
        <v>54</v>
      </c>
      <c r="U2417" s="7" t="s">
        <v>188</v>
      </c>
      <c r="V2417" s="7" t="s">
        <v>126</v>
      </c>
      <c r="W2417" s="7" t="s">
        <v>57</v>
      </c>
      <c r="X2417" s="7" t="s">
        <v>103</v>
      </c>
      <c r="Y2417" s="8">
        <v>44397</v>
      </c>
      <c r="Z2417" s="8">
        <v>45657</v>
      </c>
      <c r="AA2417" s="7" t="s">
        <v>224</v>
      </c>
      <c r="AB2417" s="7" t="s">
        <v>130</v>
      </c>
      <c r="AC2417" s="7" t="s">
        <v>79</v>
      </c>
      <c r="AD2417" s="7" t="s">
        <v>514</v>
      </c>
      <c r="AE2417" s="7" t="s">
        <v>82</v>
      </c>
      <c r="AF2417" s="7" t="s">
        <v>0</v>
      </c>
      <c r="AG2417" s="7" t="s">
        <v>0</v>
      </c>
      <c r="AH2417" s="9" t="s">
        <v>12554</v>
      </c>
      <c r="AI2417" s="9" t="s">
        <v>12555</v>
      </c>
      <c r="AJ2417" s="9" t="s">
        <v>12556</v>
      </c>
      <c r="AK2417" s="7" t="s">
        <v>61</v>
      </c>
      <c r="AL2417" s="7" t="s">
        <v>61</v>
      </c>
      <c r="AM2417" s="7" t="s">
        <v>0</v>
      </c>
      <c r="AN2417" s="7" t="s">
        <v>0</v>
      </c>
      <c r="AO2417" s="7" t="s">
        <v>0</v>
      </c>
      <c r="AP2417" s="7" t="s">
        <v>0</v>
      </c>
      <c r="AQ2417" s="7" t="s">
        <v>61</v>
      </c>
      <c r="AR2417" s="7" t="s">
        <v>0</v>
      </c>
      <c r="AS2417" s="10" t="str">
        <f>HYPERLINK("https://tessa.gazprom-neft.local/edo/card/022969ff-df77-4b1e-acef-dd886fbb0d70", "https://tessa.gazprom-neft.local/edo/card/022969ff-df77-4b1e-acef-dd886fbb0d70")</f>
        <v>https://tessa.gazprom-neft.local/edo/card/022969ff-df77-4b1e-acef-dd886fbb0d70</v>
      </c>
    </row>
    <row r="2418" spans="1:45" hidden="1" x14ac:dyDescent="0.25">
      <c r="A2418" s="6" t="s">
        <v>44</v>
      </c>
      <c r="B2418" s="7" t="s">
        <v>0</v>
      </c>
      <c r="C2418" s="7" t="s">
        <v>46</v>
      </c>
      <c r="D2418" s="8">
        <v>44396</v>
      </c>
      <c r="E2418" s="8" t="s">
        <v>0</v>
      </c>
      <c r="F2418" s="16" t="s">
        <v>5562</v>
      </c>
      <c r="G2418" s="7" t="s">
        <v>0</v>
      </c>
      <c r="H2418" s="7" t="s">
        <v>0</v>
      </c>
      <c r="I2418" s="7" t="s">
        <v>5558</v>
      </c>
      <c r="J2418" s="7" t="s">
        <v>5558</v>
      </c>
      <c r="K2418" s="7" t="s">
        <v>85</v>
      </c>
      <c r="L2418" s="7" t="s">
        <v>96</v>
      </c>
      <c r="M2418" s="7" t="s">
        <v>183</v>
      </c>
      <c r="N2418" s="7" t="s">
        <v>5557</v>
      </c>
      <c r="O2418" s="7" t="s">
        <v>0</v>
      </c>
      <c r="P2418" s="7" t="s">
        <v>183</v>
      </c>
      <c r="Q2418" s="7" t="s">
        <v>5559</v>
      </c>
      <c r="R2418" s="7" t="s">
        <v>5560</v>
      </c>
      <c r="S2418" s="7" t="s">
        <v>5560</v>
      </c>
      <c r="T2418" s="7" t="s">
        <v>54</v>
      </c>
      <c r="U2418" s="7" t="s">
        <v>5561</v>
      </c>
      <c r="V2418" s="7" t="s">
        <v>917</v>
      </c>
      <c r="W2418" s="7" t="s">
        <v>57</v>
      </c>
      <c r="X2418" s="7" t="s">
        <v>103</v>
      </c>
      <c r="Y2418" s="8">
        <v>44396</v>
      </c>
      <c r="Z2418" s="8">
        <v>44414</v>
      </c>
      <c r="AA2418" s="7" t="s">
        <v>309</v>
      </c>
      <c r="AB2418" s="7" t="s">
        <v>192</v>
      </c>
      <c r="AC2418" s="7" t="s">
        <v>79</v>
      </c>
      <c r="AD2418" s="7" t="s">
        <v>80</v>
      </c>
      <c r="AE2418" s="7" t="s">
        <v>193</v>
      </c>
      <c r="AF2418" s="7" t="s">
        <v>0</v>
      </c>
      <c r="AG2418" s="7" t="s">
        <v>0</v>
      </c>
      <c r="AH2418" s="9" t="s">
        <v>12531</v>
      </c>
      <c r="AI2418" s="9" t="s">
        <v>12532</v>
      </c>
      <c r="AJ2418" s="9" t="s">
        <v>12533</v>
      </c>
      <c r="AK2418" s="7" t="s">
        <v>61</v>
      </c>
      <c r="AL2418" s="7" t="s">
        <v>61</v>
      </c>
      <c r="AM2418" s="7" t="s">
        <v>0</v>
      </c>
      <c r="AN2418" s="7" t="s">
        <v>0</v>
      </c>
      <c r="AO2418" s="7" t="s">
        <v>0</v>
      </c>
      <c r="AP2418" s="7" t="s">
        <v>0</v>
      </c>
      <c r="AQ2418" s="7" t="s">
        <v>61</v>
      </c>
      <c r="AR2418" s="7" t="s">
        <v>0</v>
      </c>
      <c r="AS2418" s="10" t="str">
        <f>HYPERLINK("https://tessa.gazprom-neft.local/edo/card/3d29e993-6e5b-4ad1-81cf-4d47c57f81ce", "https://tessa.gazprom-neft.local/edo/card/3d29e993-6e5b-4ad1-81cf-4d47c57f81ce")</f>
        <v>https://tessa.gazprom-neft.local/edo/card/3d29e993-6e5b-4ad1-81cf-4d47c57f81ce</v>
      </c>
    </row>
    <row r="2419" spans="1:45" hidden="1" x14ac:dyDescent="0.25">
      <c r="A2419" s="6" t="s">
        <v>44</v>
      </c>
      <c r="B2419" s="7" t="s">
        <v>0</v>
      </c>
      <c r="C2419" s="7" t="s">
        <v>46</v>
      </c>
      <c r="D2419" s="8">
        <v>44396</v>
      </c>
      <c r="E2419" s="8" t="s">
        <v>0</v>
      </c>
      <c r="F2419" s="16" t="s">
        <v>5562</v>
      </c>
      <c r="G2419" s="7" t="s">
        <v>0</v>
      </c>
      <c r="H2419" s="7" t="s">
        <v>0</v>
      </c>
      <c r="I2419" s="7" t="s">
        <v>5670</v>
      </c>
      <c r="J2419" s="7" t="s">
        <v>5670</v>
      </c>
      <c r="K2419" s="7" t="s">
        <v>85</v>
      </c>
      <c r="L2419" s="7" t="s">
        <v>86</v>
      </c>
      <c r="M2419" s="7" t="s">
        <v>523</v>
      </c>
      <c r="N2419" s="7" t="s">
        <v>5669</v>
      </c>
      <c r="O2419" s="7" t="s">
        <v>0</v>
      </c>
      <c r="P2419" s="7" t="s">
        <v>523</v>
      </c>
      <c r="Q2419" s="7" t="s">
        <v>5671</v>
      </c>
      <c r="R2419" s="7" t="s">
        <v>5560</v>
      </c>
      <c r="S2419" s="7" t="s">
        <v>5560</v>
      </c>
      <c r="T2419" s="7" t="s">
        <v>54</v>
      </c>
      <c r="U2419" s="7" t="s">
        <v>5561</v>
      </c>
      <c r="V2419" s="7" t="s">
        <v>137</v>
      </c>
      <c r="W2419" s="7" t="s">
        <v>57</v>
      </c>
      <c r="X2419" s="7" t="s">
        <v>103</v>
      </c>
      <c r="Y2419" s="8">
        <v>44396</v>
      </c>
      <c r="Z2419" s="8">
        <v>44414</v>
      </c>
      <c r="AA2419" s="7" t="s">
        <v>0</v>
      </c>
      <c r="AB2419" s="7" t="s">
        <v>94</v>
      </c>
      <c r="AC2419" s="7" t="s">
        <v>65</v>
      </c>
      <c r="AD2419" s="7" t="s">
        <v>0</v>
      </c>
      <c r="AE2419" s="7" t="s">
        <v>0</v>
      </c>
      <c r="AF2419" s="7" t="s">
        <v>0</v>
      </c>
      <c r="AG2419" s="7" t="s">
        <v>0</v>
      </c>
      <c r="AH2419" s="9" t="s">
        <v>0</v>
      </c>
      <c r="AI2419" s="9" t="s">
        <v>0</v>
      </c>
      <c r="AJ2419" s="9" t="s">
        <v>0</v>
      </c>
      <c r="AK2419" s="7" t="s">
        <v>61</v>
      </c>
      <c r="AL2419" s="7" t="s">
        <v>61</v>
      </c>
      <c r="AM2419" s="7" t="s">
        <v>0</v>
      </c>
      <c r="AN2419" s="7" t="s">
        <v>0</v>
      </c>
      <c r="AO2419" s="7" t="s">
        <v>0</v>
      </c>
      <c r="AP2419" s="7" t="s">
        <v>0</v>
      </c>
      <c r="AQ2419" s="7" t="s">
        <v>61</v>
      </c>
      <c r="AR2419" s="7" t="s">
        <v>0</v>
      </c>
      <c r="AS2419" s="10" t="str">
        <f>HYPERLINK("https://tessa.gazprom-neft.local/edo/card/d5bd5db3-267f-4a8d-9290-488d35602bcf", "https://tessa.gazprom-neft.local/edo/card/d5bd5db3-267f-4a8d-9290-488d35602bcf")</f>
        <v>https://tessa.gazprom-neft.local/edo/card/d5bd5db3-267f-4a8d-9290-488d35602bcf</v>
      </c>
    </row>
    <row r="2420" spans="1:45" hidden="1" x14ac:dyDescent="0.25">
      <c r="A2420" s="6" t="s">
        <v>44</v>
      </c>
      <c r="B2420" s="7" t="s">
        <v>1165</v>
      </c>
      <c r="C2420" s="7" t="s">
        <v>67</v>
      </c>
      <c r="D2420" s="8">
        <v>44396</v>
      </c>
      <c r="E2420" s="8" t="s">
        <v>0</v>
      </c>
      <c r="F2420" s="16" t="s">
        <v>1166</v>
      </c>
      <c r="G2420" s="7" t="s">
        <v>1167</v>
      </c>
      <c r="H2420" s="7" t="s">
        <v>1847</v>
      </c>
      <c r="I2420" s="7" t="s">
        <v>0</v>
      </c>
      <c r="J2420" s="7" t="s">
        <v>5723</v>
      </c>
      <c r="K2420" s="7" t="s">
        <v>47</v>
      </c>
      <c r="L2420" s="7" t="s">
        <v>239</v>
      </c>
      <c r="M2420" s="7" t="s">
        <v>0</v>
      </c>
      <c r="N2420" s="7" t="s">
        <v>5721</v>
      </c>
      <c r="O2420" s="7" t="s">
        <v>0</v>
      </c>
      <c r="P2420" s="7" t="s">
        <v>5722</v>
      </c>
      <c r="Q2420" s="7" t="s">
        <v>5724</v>
      </c>
      <c r="R2420" s="7" t="s">
        <v>244</v>
      </c>
      <c r="S2420" s="7" t="s">
        <v>244</v>
      </c>
      <c r="T2420" s="7" t="s">
        <v>54</v>
      </c>
      <c r="U2420" s="7" t="s">
        <v>55</v>
      </c>
      <c r="V2420" s="7" t="s">
        <v>56</v>
      </c>
      <c r="W2420" s="7" t="s">
        <v>57</v>
      </c>
      <c r="X2420" s="7" t="s">
        <v>103</v>
      </c>
      <c r="Y2420" s="8">
        <v>44396</v>
      </c>
      <c r="Z2420" s="8">
        <v>44438</v>
      </c>
      <c r="AA2420" s="7" t="s">
        <v>1251</v>
      </c>
      <c r="AB2420" s="7" t="s">
        <v>3468</v>
      </c>
      <c r="AC2420" s="7" t="s">
        <v>79</v>
      </c>
      <c r="AD2420" s="7" t="s">
        <v>144</v>
      </c>
      <c r="AE2420" s="7" t="s">
        <v>82</v>
      </c>
      <c r="AF2420" s="7" t="s">
        <v>0</v>
      </c>
      <c r="AG2420" s="7" t="s">
        <v>0</v>
      </c>
      <c r="AH2420" s="9" t="s">
        <v>12592</v>
      </c>
      <c r="AI2420" s="9" t="s">
        <v>12593</v>
      </c>
      <c r="AJ2420" s="9" t="s">
        <v>12594</v>
      </c>
      <c r="AK2420" s="7" t="s">
        <v>61</v>
      </c>
      <c r="AL2420" s="7" t="s">
        <v>61</v>
      </c>
      <c r="AM2420" s="7" t="s">
        <v>0</v>
      </c>
      <c r="AN2420" s="7" t="s">
        <v>0</v>
      </c>
      <c r="AO2420" s="7" t="s">
        <v>0</v>
      </c>
      <c r="AP2420" s="7" t="s">
        <v>0</v>
      </c>
      <c r="AQ2420" s="7" t="s">
        <v>61</v>
      </c>
      <c r="AR2420" s="7" t="s">
        <v>0</v>
      </c>
      <c r="AS2420" s="10" t="str">
        <f>HYPERLINK("https://tessa.gazprom-neft.local/edo/card/3f4077e5-24c7-4934-8b4f-0a6281039e0a", "https://tessa.gazprom-neft.local/edo/card/3f4077e5-24c7-4934-8b4f-0a6281039e0a")</f>
        <v>https://tessa.gazprom-neft.local/edo/card/3f4077e5-24c7-4934-8b4f-0a6281039e0a</v>
      </c>
    </row>
    <row r="2421" spans="1:45" x14ac:dyDescent="0.25">
      <c r="A2421" s="6" t="s">
        <v>44</v>
      </c>
      <c r="B2421" s="7" t="s">
        <v>964</v>
      </c>
      <c r="C2421" s="7" t="s">
        <v>67</v>
      </c>
      <c r="D2421" s="8">
        <v>44392</v>
      </c>
      <c r="E2421" s="8" t="s">
        <v>0</v>
      </c>
      <c r="F2421" s="16" t="s">
        <v>965</v>
      </c>
      <c r="G2421" s="7" t="s">
        <v>966</v>
      </c>
      <c r="H2421" s="7" t="s">
        <v>2282</v>
      </c>
      <c r="I2421" s="7" t="s">
        <v>0</v>
      </c>
      <c r="J2421" s="7" t="s">
        <v>2284</v>
      </c>
      <c r="K2421" s="7" t="s">
        <v>47</v>
      </c>
      <c r="L2421" s="7" t="s">
        <v>48</v>
      </c>
      <c r="M2421" s="7" t="s">
        <v>0</v>
      </c>
      <c r="N2421" s="7" t="s">
        <v>2281</v>
      </c>
      <c r="O2421" s="7" t="s">
        <v>0</v>
      </c>
      <c r="P2421" s="7" t="s">
        <v>2283</v>
      </c>
      <c r="Q2421" s="7" t="s">
        <v>2285</v>
      </c>
      <c r="R2421" s="7" t="s">
        <v>1062</v>
      </c>
      <c r="S2421" s="7" t="s">
        <v>2286</v>
      </c>
      <c r="T2421" s="7" t="s">
        <v>54</v>
      </c>
      <c r="U2421" s="7" t="s">
        <v>294</v>
      </c>
      <c r="V2421" s="7" t="s">
        <v>295</v>
      </c>
      <c r="W2421" s="7" t="s">
        <v>57</v>
      </c>
      <c r="X2421" s="7" t="s">
        <v>58</v>
      </c>
      <c r="Y2421" s="8">
        <v>44317</v>
      </c>
      <c r="Z2421" s="8" t="s">
        <v>0</v>
      </c>
      <c r="AA2421" s="7" t="s">
        <v>1269</v>
      </c>
      <c r="AB2421" s="7" t="s">
        <v>366</v>
      </c>
      <c r="AC2421" s="7" t="s">
        <v>79</v>
      </c>
      <c r="AD2421" s="7" t="s">
        <v>367</v>
      </c>
      <c r="AE2421" s="7" t="s">
        <v>472</v>
      </c>
      <c r="AF2421" s="7" t="s">
        <v>0</v>
      </c>
      <c r="AG2421" s="7" t="s">
        <v>0</v>
      </c>
      <c r="AH2421" s="9">
        <v>0</v>
      </c>
      <c r="AI2421" s="9">
        <v>0</v>
      </c>
      <c r="AJ2421" s="9">
        <v>0</v>
      </c>
      <c r="AK2421" s="7" t="s">
        <v>61</v>
      </c>
      <c r="AL2421" s="7" t="s">
        <v>61</v>
      </c>
      <c r="AM2421" s="7" t="s">
        <v>0</v>
      </c>
      <c r="AN2421" s="7" t="s">
        <v>0</v>
      </c>
      <c r="AO2421" s="7" t="s">
        <v>0</v>
      </c>
      <c r="AP2421" s="7" t="s">
        <v>0</v>
      </c>
      <c r="AQ2421" s="7" t="s">
        <v>61</v>
      </c>
      <c r="AR2421" s="7" t="s">
        <v>0</v>
      </c>
      <c r="AS2421" s="10" t="str">
        <f>HYPERLINK("https://tessa.gazprom-neft.local/edo/card/96fc9551-fee3-479d-8252-84c6e18184b6", "https://tessa.gazprom-neft.local/edo/card/96fc9551-fee3-479d-8252-84c6e18184b6")</f>
        <v>https://tessa.gazprom-neft.local/edo/card/96fc9551-fee3-479d-8252-84c6e18184b6</v>
      </c>
    </row>
    <row r="2422" spans="1:45" x14ac:dyDescent="0.25">
      <c r="A2422" s="6" t="s">
        <v>44</v>
      </c>
      <c r="B2422" s="7" t="s">
        <v>885</v>
      </c>
      <c r="C2422" s="7" t="s">
        <v>67</v>
      </c>
      <c r="D2422" s="8">
        <v>44392</v>
      </c>
      <c r="E2422" s="8" t="s">
        <v>0</v>
      </c>
      <c r="F2422" s="16" t="s">
        <v>886</v>
      </c>
      <c r="G2422" s="7" t="s">
        <v>887</v>
      </c>
      <c r="H2422" s="7" t="s">
        <v>2084</v>
      </c>
      <c r="I2422" s="7" t="s">
        <v>0</v>
      </c>
      <c r="J2422" s="7" t="s">
        <v>156</v>
      </c>
      <c r="K2422" s="7" t="s">
        <v>85</v>
      </c>
      <c r="L2422" s="7" t="s">
        <v>48</v>
      </c>
      <c r="M2422" s="7" t="s">
        <v>5195</v>
      </c>
      <c r="N2422" s="7" t="s">
        <v>5477</v>
      </c>
      <c r="O2422" s="7" t="s">
        <v>5478</v>
      </c>
      <c r="P2422" s="7" t="s">
        <v>5195</v>
      </c>
      <c r="Q2422" s="7" t="s">
        <v>5479</v>
      </c>
      <c r="R2422" s="7" t="s">
        <v>604</v>
      </c>
      <c r="S2422" s="7" t="s">
        <v>604</v>
      </c>
      <c r="T2422" s="7" t="s">
        <v>54</v>
      </c>
      <c r="U2422" s="7" t="s">
        <v>605</v>
      </c>
      <c r="V2422" s="7" t="s">
        <v>382</v>
      </c>
      <c r="W2422" s="7" t="s">
        <v>57</v>
      </c>
      <c r="X2422" s="7" t="s">
        <v>103</v>
      </c>
      <c r="Y2422" s="8">
        <v>44392</v>
      </c>
      <c r="Z2422" s="8">
        <v>45657</v>
      </c>
      <c r="AA2422" s="7" t="s">
        <v>1656</v>
      </c>
      <c r="AB2422" s="7" t="s">
        <v>888</v>
      </c>
      <c r="AC2422" s="7" t="s">
        <v>65</v>
      </c>
      <c r="AD2422" s="7" t="s">
        <v>0</v>
      </c>
      <c r="AE2422" s="7" t="s">
        <v>0</v>
      </c>
      <c r="AF2422" s="7" t="s">
        <v>0</v>
      </c>
      <c r="AG2422" s="7" t="s">
        <v>0</v>
      </c>
      <c r="AH2422" s="9" t="s">
        <v>0</v>
      </c>
      <c r="AI2422" s="9" t="s">
        <v>0</v>
      </c>
      <c r="AJ2422" s="9" t="s">
        <v>0</v>
      </c>
      <c r="AK2422" s="7" t="s">
        <v>61</v>
      </c>
      <c r="AL2422" s="7" t="s">
        <v>61</v>
      </c>
      <c r="AM2422" s="7" t="s">
        <v>0</v>
      </c>
      <c r="AN2422" s="7" t="s">
        <v>0</v>
      </c>
      <c r="AO2422" s="7" t="s">
        <v>0</v>
      </c>
      <c r="AP2422" s="7" t="s">
        <v>0</v>
      </c>
      <c r="AQ2422" s="7" t="s">
        <v>61</v>
      </c>
      <c r="AR2422" s="7" t="s">
        <v>0</v>
      </c>
      <c r="AS2422" s="10" t="str">
        <f>HYPERLINK("https://tessa.gazprom-neft.local/edo/card/d9cf338e-9164-4ff5-9fc8-44e7446871a5", "https://tessa.gazprom-neft.local/edo/card/d9cf338e-9164-4ff5-9fc8-44e7446871a5")</f>
        <v>https://tessa.gazprom-neft.local/edo/card/d9cf338e-9164-4ff5-9fc8-44e7446871a5</v>
      </c>
    </row>
    <row r="2423" spans="1:45" x14ac:dyDescent="0.25">
      <c r="A2423" s="6" t="s">
        <v>44</v>
      </c>
      <c r="B2423" s="7" t="s">
        <v>606</v>
      </c>
      <c r="C2423" s="7" t="s">
        <v>67</v>
      </c>
      <c r="D2423" s="8">
        <v>44392</v>
      </c>
      <c r="E2423" s="8" t="s">
        <v>0</v>
      </c>
      <c r="F2423" s="16" t="s">
        <v>607</v>
      </c>
      <c r="G2423" s="7" t="s">
        <v>608</v>
      </c>
      <c r="H2423" s="7" t="s">
        <v>600</v>
      </c>
      <c r="I2423" s="7" t="s">
        <v>0</v>
      </c>
      <c r="J2423" s="7" t="s">
        <v>271</v>
      </c>
      <c r="K2423" s="7" t="s">
        <v>85</v>
      </c>
      <c r="L2423" s="7" t="s">
        <v>48</v>
      </c>
      <c r="M2423" s="7" t="s">
        <v>5195</v>
      </c>
      <c r="N2423" s="7" t="s">
        <v>5496</v>
      </c>
      <c r="O2423" s="7" t="s">
        <v>5497</v>
      </c>
      <c r="P2423" s="7" t="s">
        <v>5195</v>
      </c>
      <c r="Q2423" s="7" t="s">
        <v>5479</v>
      </c>
      <c r="R2423" s="7" t="s">
        <v>604</v>
      </c>
      <c r="S2423" s="7" t="s">
        <v>604</v>
      </c>
      <c r="T2423" s="7" t="s">
        <v>54</v>
      </c>
      <c r="U2423" s="7" t="s">
        <v>605</v>
      </c>
      <c r="V2423" s="7" t="s">
        <v>382</v>
      </c>
      <c r="W2423" s="7" t="s">
        <v>57</v>
      </c>
      <c r="X2423" s="7" t="s">
        <v>103</v>
      </c>
      <c r="Y2423" s="8">
        <v>44392</v>
      </c>
      <c r="Z2423" s="8">
        <v>45657</v>
      </c>
      <c r="AA2423" s="7" t="s">
        <v>1656</v>
      </c>
      <c r="AB2423" s="7" t="s">
        <v>888</v>
      </c>
      <c r="AC2423" s="7" t="s">
        <v>65</v>
      </c>
      <c r="AD2423" s="7" t="s">
        <v>0</v>
      </c>
      <c r="AE2423" s="7" t="s">
        <v>0</v>
      </c>
      <c r="AF2423" s="7" t="s">
        <v>0</v>
      </c>
      <c r="AG2423" s="7" t="s">
        <v>0</v>
      </c>
      <c r="AH2423" s="9" t="s">
        <v>0</v>
      </c>
      <c r="AI2423" s="9" t="s">
        <v>0</v>
      </c>
      <c r="AJ2423" s="9" t="s">
        <v>0</v>
      </c>
      <c r="AK2423" s="7" t="s">
        <v>61</v>
      </c>
      <c r="AL2423" s="7" t="s">
        <v>61</v>
      </c>
      <c r="AM2423" s="7" t="s">
        <v>0</v>
      </c>
      <c r="AN2423" s="7" t="s">
        <v>0</v>
      </c>
      <c r="AO2423" s="7" t="s">
        <v>0</v>
      </c>
      <c r="AP2423" s="7" t="s">
        <v>0</v>
      </c>
      <c r="AQ2423" s="7" t="s">
        <v>61</v>
      </c>
      <c r="AR2423" s="7" t="s">
        <v>0</v>
      </c>
      <c r="AS2423" s="10" t="str">
        <f>HYPERLINK("https://tessa.gazprom-neft.local/edo/card/9ae5500a-91aa-4126-9cdf-d3da6bf4066f", "https://tessa.gazprom-neft.local/edo/card/9ae5500a-91aa-4126-9cdf-d3da6bf4066f")</f>
        <v>https://tessa.gazprom-neft.local/edo/card/9ae5500a-91aa-4126-9cdf-d3da6bf4066f</v>
      </c>
    </row>
    <row r="2424" spans="1:45" x14ac:dyDescent="0.25">
      <c r="A2424" s="6" t="s">
        <v>44</v>
      </c>
      <c r="B2424" s="7" t="s">
        <v>2362</v>
      </c>
      <c r="C2424" s="7" t="s">
        <v>67</v>
      </c>
      <c r="D2424" s="8">
        <v>44392</v>
      </c>
      <c r="E2424" s="8" t="s">
        <v>0</v>
      </c>
      <c r="F2424" s="16" t="s">
        <v>2363</v>
      </c>
      <c r="G2424" s="7" t="s">
        <v>2364</v>
      </c>
      <c r="H2424" s="7" t="s">
        <v>2358</v>
      </c>
      <c r="I2424" s="7" t="s">
        <v>0</v>
      </c>
      <c r="J2424" s="7" t="s">
        <v>51</v>
      </c>
      <c r="K2424" s="7" t="s">
        <v>85</v>
      </c>
      <c r="L2424" s="7" t="s">
        <v>48</v>
      </c>
      <c r="M2424" s="7" t="s">
        <v>5195</v>
      </c>
      <c r="N2424" s="7" t="s">
        <v>5507</v>
      </c>
      <c r="O2424" s="7" t="s">
        <v>0</v>
      </c>
      <c r="P2424" s="7" t="s">
        <v>5195</v>
      </c>
      <c r="Q2424" s="7" t="s">
        <v>5479</v>
      </c>
      <c r="R2424" s="7" t="s">
        <v>604</v>
      </c>
      <c r="S2424" s="7" t="s">
        <v>604</v>
      </c>
      <c r="T2424" s="7" t="s">
        <v>54</v>
      </c>
      <c r="U2424" s="7" t="s">
        <v>605</v>
      </c>
      <c r="V2424" s="7" t="s">
        <v>382</v>
      </c>
      <c r="W2424" s="7" t="s">
        <v>57</v>
      </c>
      <c r="X2424" s="7" t="s">
        <v>103</v>
      </c>
      <c r="Y2424" s="8">
        <v>44392</v>
      </c>
      <c r="Z2424" s="8">
        <v>45291</v>
      </c>
      <c r="AA2424" s="7" t="s">
        <v>1656</v>
      </c>
      <c r="AB2424" s="7" t="s">
        <v>888</v>
      </c>
      <c r="AC2424" s="7" t="s">
        <v>65</v>
      </c>
      <c r="AD2424" s="7" t="s">
        <v>0</v>
      </c>
      <c r="AE2424" s="7" t="s">
        <v>0</v>
      </c>
      <c r="AF2424" s="7" t="s">
        <v>0</v>
      </c>
      <c r="AG2424" s="7" t="s">
        <v>0</v>
      </c>
      <c r="AH2424" s="9" t="s">
        <v>0</v>
      </c>
      <c r="AI2424" s="9" t="s">
        <v>0</v>
      </c>
      <c r="AJ2424" s="9" t="s">
        <v>0</v>
      </c>
      <c r="AK2424" s="7" t="s">
        <v>61</v>
      </c>
      <c r="AL2424" s="7" t="s">
        <v>61</v>
      </c>
      <c r="AM2424" s="7" t="s">
        <v>0</v>
      </c>
      <c r="AN2424" s="7" t="s">
        <v>0</v>
      </c>
      <c r="AO2424" s="7" t="s">
        <v>0</v>
      </c>
      <c r="AP2424" s="7" t="s">
        <v>0</v>
      </c>
      <c r="AQ2424" s="7" t="s">
        <v>61</v>
      </c>
      <c r="AR2424" s="7" t="s">
        <v>0</v>
      </c>
      <c r="AS2424" s="10" t="str">
        <f>HYPERLINK("https://tessa.gazprom-neft.local/edo/card/e8783e2d-f38c-4abc-b7f4-b657e592ed1d", "https://tessa.gazprom-neft.local/edo/card/e8783e2d-f38c-4abc-b7f4-b657e592ed1d")</f>
        <v>https://tessa.gazprom-neft.local/edo/card/e8783e2d-f38c-4abc-b7f4-b657e592ed1d</v>
      </c>
    </row>
    <row r="2425" spans="1:45" x14ac:dyDescent="0.25">
      <c r="A2425" s="6" t="s">
        <v>44</v>
      </c>
      <c r="B2425" s="7" t="s">
        <v>1712</v>
      </c>
      <c r="C2425" s="7" t="s">
        <v>67</v>
      </c>
      <c r="D2425" s="8">
        <v>44392</v>
      </c>
      <c r="E2425" s="8" t="s">
        <v>0</v>
      </c>
      <c r="F2425" s="16" t="s">
        <v>1713</v>
      </c>
      <c r="G2425" s="7" t="s">
        <v>1714</v>
      </c>
      <c r="H2425" s="7" t="s">
        <v>5638</v>
      </c>
      <c r="I2425" s="7" t="s">
        <v>0</v>
      </c>
      <c r="J2425" s="7" t="s">
        <v>271</v>
      </c>
      <c r="K2425" s="7" t="s">
        <v>85</v>
      </c>
      <c r="L2425" s="7" t="s">
        <v>48</v>
      </c>
      <c r="M2425" s="7" t="s">
        <v>5195</v>
      </c>
      <c r="N2425" s="7" t="s">
        <v>5637</v>
      </c>
      <c r="O2425" s="7" t="s">
        <v>0</v>
      </c>
      <c r="P2425" s="7" t="s">
        <v>5195</v>
      </c>
      <c r="Q2425" s="7" t="s">
        <v>5479</v>
      </c>
      <c r="R2425" s="7" t="s">
        <v>604</v>
      </c>
      <c r="S2425" s="7" t="s">
        <v>604</v>
      </c>
      <c r="T2425" s="7" t="s">
        <v>54</v>
      </c>
      <c r="U2425" s="7" t="s">
        <v>605</v>
      </c>
      <c r="V2425" s="7" t="s">
        <v>382</v>
      </c>
      <c r="W2425" s="7" t="s">
        <v>57</v>
      </c>
      <c r="X2425" s="7" t="s">
        <v>103</v>
      </c>
      <c r="Y2425" s="8">
        <v>44392</v>
      </c>
      <c r="Z2425" s="8">
        <v>45291</v>
      </c>
      <c r="AA2425" s="7" t="s">
        <v>1656</v>
      </c>
      <c r="AB2425" s="7" t="s">
        <v>1715</v>
      </c>
      <c r="AC2425" s="7" t="s">
        <v>65</v>
      </c>
      <c r="AD2425" s="7" t="s">
        <v>0</v>
      </c>
      <c r="AE2425" s="7" t="s">
        <v>0</v>
      </c>
      <c r="AF2425" s="7" t="s">
        <v>0</v>
      </c>
      <c r="AG2425" s="7" t="s">
        <v>0</v>
      </c>
      <c r="AH2425" s="9" t="s">
        <v>0</v>
      </c>
      <c r="AI2425" s="9" t="s">
        <v>0</v>
      </c>
      <c r="AJ2425" s="9" t="s">
        <v>0</v>
      </c>
      <c r="AK2425" s="7" t="s">
        <v>61</v>
      </c>
      <c r="AL2425" s="7" t="s">
        <v>61</v>
      </c>
      <c r="AM2425" s="7" t="s">
        <v>0</v>
      </c>
      <c r="AN2425" s="7" t="s">
        <v>0</v>
      </c>
      <c r="AO2425" s="7" t="s">
        <v>0</v>
      </c>
      <c r="AP2425" s="7" t="s">
        <v>0</v>
      </c>
      <c r="AQ2425" s="7" t="s">
        <v>61</v>
      </c>
      <c r="AR2425" s="7" t="s">
        <v>0</v>
      </c>
      <c r="AS2425" s="10" t="str">
        <f>HYPERLINK("https://tessa.gazprom-neft.local/edo/card/f44fd241-7ea3-456b-b1d5-395b179fc087", "https://tessa.gazprom-neft.local/edo/card/f44fd241-7ea3-456b-b1d5-395b179fc087")</f>
        <v>https://tessa.gazprom-neft.local/edo/card/f44fd241-7ea3-456b-b1d5-395b179fc087</v>
      </c>
    </row>
    <row r="2426" spans="1:45" x14ac:dyDescent="0.25">
      <c r="A2426" s="6" t="s">
        <v>44</v>
      </c>
      <c r="B2426" s="7" t="s">
        <v>3248</v>
      </c>
      <c r="C2426" s="7" t="s">
        <v>46</v>
      </c>
      <c r="D2426" s="8">
        <v>44392</v>
      </c>
      <c r="E2426" s="8" t="s">
        <v>0</v>
      </c>
      <c r="F2426" s="16" t="s">
        <v>3249</v>
      </c>
      <c r="G2426" s="7" t="s">
        <v>3250</v>
      </c>
      <c r="H2426" s="7" t="s">
        <v>5648</v>
      </c>
      <c r="I2426" s="7" t="s">
        <v>0</v>
      </c>
      <c r="J2426" s="7" t="s">
        <v>51</v>
      </c>
      <c r="K2426" s="7" t="s">
        <v>85</v>
      </c>
      <c r="L2426" s="7" t="s">
        <v>48</v>
      </c>
      <c r="M2426" s="7" t="s">
        <v>5195</v>
      </c>
      <c r="N2426" s="7" t="s">
        <v>5647</v>
      </c>
      <c r="O2426" s="7" t="s">
        <v>0</v>
      </c>
      <c r="P2426" s="7" t="s">
        <v>5195</v>
      </c>
      <c r="Q2426" s="7" t="s">
        <v>5479</v>
      </c>
      <c r="R2426" s="7" t="s">
        <v>604</v>
      </c>
      <c r="S2426" s="7" t="s">
        <v>604</v>
      </c>
      <c r="T2426" s="7" t="s">
        <v>54</v>
      </c>
      <c r="U2426" s="7" t="s">
        <v>605</v>
      </c>
      <c r="V2426" s="7" t="s">
        <v>382</v>
      </c>
      <c r="W2426" s="7" t="s">
        <v>57</v>
      </c>
      <c r="X2426" s="7" t="s">
        <v>103</v>
      </c>
      <c r="Y2426" s="8">
        <v>44392</v>
      </c>
      <c r="Z2426" s="8">
        <v>45291</v>
      </c>
      <c r="AA2426" s="7" t="s">
        <v>1656</v>
      </c>
      <c r="AB2426" s="7" t="s">
        <v>1893</v>
      </c>
      <c r="AC2426" s="7" t="s">
        <v>65</v>
      </c>
      <c r="AD2426" s="7" t="s">
        <v>0</v>
      </c>
      <c r="AE2426" s="7" t="s">
        <v>0</v>
      </c>
      <c r="AF2426" s="7" t="s">
        <v>0</v>
      </c>
      <c r="AG2426" s="7" t="s">
        <v>0</v>
      </c>
      <c r="AH2426" s="9" t="s">
        <v>0</v>
      </c>
      <c r="AI2426" s="9" t="s">
        <v>0</v>
      </c>
      <c r="AJ2426" s="9" t="s">
        <v>0</v>
      </c>
      <c r="AK2426" s="7" t="s">
        <v>61</v>
      </c>
      <c r="AL2426" s="7" t="s">
        <v>61</v>
      </c>
      <c r="AM2426" s="7" t="s">
        <v>0</v>
      </c>
      <c r="AN2426" s="7" t="s">
        <v>0</v>
      </c>
      <c r="AO2426" s="7" t="s">
        <v>0</v>
      </c>
      <c r="AP2426" s="7" t="s">
        <v>0</v>
      </c>
      <c r="AQ2426" s="7" t="s">
        <v>61</v>
      </c>
      <c r="AR2426" s="7" t="s">
        <v>0</v>
      </c>
      <c r="AS2426" s="10" t="str">
        <f>HYPERLINK("https://tessa.gazprom-neft.local/edo/card/e5929914-ee80-42b9-ad0b-369447487b28", "https://tessa.gazprom-neft.local/edo/card/e5929914-ee80-42b9-ad0b-369447487b28")</f>
        <v>https://tessa.gazprom-neft.local/edo/card/e5929914-ee80-42b9-ad0b-369447487b28</v>
      </c>
    </row>
    <row r="2427" spans="1:45" hidden="1" x14ac:dyDescent="0.25">
      <c r="A2427" s="6" t="s">
        <v>44</v>
      </c>
      <c r="B2427" s="7" t="s">
        <v>245</v>
      </c>
      <c r="C2427" s="7" t="s">
        <v>67</v>
      </c>
      <c r="D2427" s="8">
        <v>44392</v>
      </c>
      <c r="E2427" s="8" t="s">
        <v>0</v>
      </c>
      <c r="F2427" s="16" t="s">
        <v>246</v>
      </c>
      <c r="G2427" s="7" t="s">
        <v>247</v>
      </c>
      <c r="H2427" s="7" t="s">
        <v>5699</v>
      </c>
      <c r="I2427" s="7" t="s">
        <v>0</v>
      </c>
      <c r="J2427" s="7" t="s">
        <v>5700</v>
      </c>
      <c r="K2427" s="7" t="s">
        <v>47</v>
      </c>
      <c r="L2427" s="7" t="s">
        <v>239</v>
      </c>
      <c r="M2427" s="7" t="s">
        <v>0</v>
      </c>
      <c r="N2427" s="7" t="s">
        <v>5698</v>
      </c>
      <c r="O2427" s="7" t="s">
        <v>0</v>
      </c>
      <c r="P2427" s="7" t="s">
        <v>239</v>
      </c>
      <c r="Q2427" s="7" t="s">
        <v>5701</v>
      </c>
      <c r="R2427" s="7" t="s">
        <v>110</v>
      </c>
      <c r="S2427" s="7" t="s">
        <v>0</v>
      </c>
      <c r="T2427" s="7" t="s">
        <v>54</v>
      </c>
      <c r="U2427" s="7" t="s">
        <v>111</v>
      </c>
      <c r="V2427" s="7" t="s">
        <v>112</v>
      </c>
      <c r="W2427" s="7" t="s">
        <v>57</v>
      </c>
      <c r="X2427" s="7" t="s">
        <v>58</v>
      </c>
      <c r="Y2427" s="8">
        <v>44396</v>
      </c>
      <c r="Z2427" s="8" t="s">
        <v>0</v>
      </c>
      <c r="AA2427" s="7" t="s">
        <v>0</v>
      </c>
      <c r="AB2427" s="7" t="s">
        <v>161</v>
      </c>
      <c r="AC2427" s="7" t="s">
        <v>79</v>
      </c>
      <c r="AD2427" s="7" t="s">
        <v>144</v>
      </c>
      <c r="AE2427" s="7" t="s">
        <v>82</v>
      </c>
      <c r="AF2427" s="7" t="s">
        <v>0</v>
      </c>
      <c r="AG2427" s="7" t="s">
        <v>0</v>
      </c>
      <c r="AH2427" s="9" t="s">
        <v>12582</v>
      </c>
      <c r="AI2427" s="9" t="s">
        <v>12583</v>
      </c>
      <c r="AJ2427" s="9" t="s">
        <v>12584</v>
      </c>
      <c r="AK2427" s="7" t="s">
        <v>61</v>
      </c>
      <c r="AL2427" s="7" t="s">
        <v>61</v>
      </c>
      <c r="AM2427" s="7" t="s">
        <v>0</v>
      </c>
      <c r="AN2427" s="7" t="s">
        <v>0</v>
      </c>
      <c r="AO2427" s="7" t="s">
        <v>0</v>
      </c>
      <c r="AP2427" s="7" t="s">
        <v>0</v>
      </c>
      <c r="AQ2427" s="7" t="s">
        <v>61</v>
      </c>
      <c r="AR2427" s="7" t="s">
        <v>0</v>
      </c>
      <c r="AS2427" s="10" t="str">
        <f>HYPERLINK("https://tessa.gazprom-neft.local/edo/card/f2ca817f-2222-494e-8ef8-d9ecfc3f8711", "https://tessa.gazprom-neft.local/edo/card/f2ca817f-2222-494e-8ef8-d9ecfc3f8711")</f>
        <v>https://tessa.gazprom-neft.local/edo/card/f2ca817f-2222-494e-8ef8-d9ecfc3f8711</v>
      </c>
    </row>
    <row r="2428" spans="1:45" x14ac:dyDescent="0.25">
      <c r="A2428" s="6" t="s">
        <v>44</v>
      </c>
      <c r="B2428" s="7" t="s">
        <v>1328</v>
      </c>
      <c r="C2428" s="7" t="s">
        <v>67</v>
      </c>
      <c r="D2428" s="8">
        <v>44392</v>
      </c>
      <c r="E2428" s="8" t="s">
        <v>0</v>
      </c>
      <c r="F2428" s="16" t="s">
        <v>1329</v>
      </c>
      <c r="G2428" s="7" t="s">
        <v>1330</v>
      </c>
      <c r="H2428" s="7" t="s">
        <v>5804</v>
      </c>
      <c r="I2428" s="7" t="s">
        <v>0</v>
      </c>
      <c r="J2428" s="7" t="s">
        <v>2515</v>
      </c>
      <c r="K2428" s="7" t="s">
        <v>47</v>
      </c>
      <c r="L2428" s="7" t="s">
        <v>48</v>
      </c>
      <c r="M2428" s="7" t="s">
        <v>0</v>
      </c>
      <c r="N2428" s="7" t="s">
        <v>5803</v>
      </c>
      <c r="O2428" s="7" t="s">
        <v>0</v>
      </c>
      <c r="P2428" s="7" t="s">
        <v>5805</v>
      </c>
      <c r="Q2428" s="7" t="s">
        <v>5805</v>
      </c>
      <c r="R2428" s="7" t="s">
        <v>2424</v>
      </c>
      <c r="S2428" s="7" t="s">
        <v>2424</v>
      </c>
      <c r="T2428" s="7" t="s">
        <v>54</v>
      </c>
      <c r="U2428" s="7" t="s">
        <v>167</v>
      </c>
      <c r="V2428" s="7" t="s">
        <v>137</v>
      </c>
      <c r="W2428" s="7" t="s">
        <v>57</v>
      </c>
      <c r="X2428" s="7" t="s">
        <v>103</v>
      </c>
      <c r="Y2428" s="8">
        <v>44392</v>
      </c>
      <c r="Z2428" s="8">
        <v>44561</v>
      </c>
      <c r="AA2428" s="7" t="s">
        <v>0</v>
      </c>
      <c r="AB2428" s="7" t="s">
        <v>5806</v>
      </c>
      <c r="AC2428" s="7" t="s">
        <v>79</v>
      </c>
      <c r="AD2428" s="7" t="s">
        <v>144</v>
      </c>
      <c r="AE2428" s="7" t="s">
        <v>82</v>
      </c>
      <c r="AF2428" s="7" t="s">
        <v>0</v>
      </c>
      <c r="AG2428" s="7" t="s">
        <v>0</v>
      </c>
      <c r="AH2428" s="9" t="s">
        <v>12634</v>
      </c>
      <c r="AI2428" s="9" t="s">
        <v>12635</v>
      </c>
      <c r="AJ2428" s="9" t="s">
        <v>12636</v>
      </c>
      <c r="AK2428" s="7" t="s">
        <v>61</v>
      </c>
      <c r="AL2428" s="7" t="s">
        <v>61</v>
      </c>
      <c r="AM2428" s="7" t="s">
        <v>0</v>
      </c>
      <c r="AN2428" s="7" t="s">
        <v>0</v>
      </c>
      <c r="AO2428" s="7" t="s">
        <v>0</v>
      </c>
      <c r="AP2428" s="7" t="s">
        <v>0</v>
      </c>
      <c r="AQ2428" s="7" t="s">
        <v>61</v>
      </c>
      <c r="AR2428" s="7" t="s">
        <v>0</v>
      </c>
      <c r="AS2428" s="10" t="str">
        <f>HYPERLINK("https://tessa.gazprom-neft.local/edo/card/5bb0d2d2-e109-43ac-86ea-e90f63a24429", "https://tessa.gazprom-neft.local/edo/card/5bb0d2d2-e109-43ac-86ea-e90f63a24429")</f>
        <v>https://tessa.gazprom-neft.local/edo/card/5bb0d2d2-e109-43ac-86ea-e90f63a24429</v>
      </c>
    </row>
    <row r="2429" spans="1:45" x14ac:dyDescent="0.25">
      <c r="A2429" s="6" t="s">
        <v>44</v>
      </c>
      <c r="B2429" s="7" t="s">
        <v>3538</v>
      </c>
      <c r="C2429" s="7" t="s">
        <v>67</v>
      </c>
      <c r="D2429" s="8">
        <v>44392</v>
      </c>
      <c r="E2429" s="8" t="s">
        <v>0</v>
      </c>
      <c r="F2429" s="16" t="s">
        <v>3539</v>
      </c>
      <c r="G2429" s="7" t="s">
        <v>3540</v>
      </c>
      <c r="H2429" s="7" t="s">
        <v>6089</v>
      </c>
      <c r="I2429" s="7" t="s">
        <v>0</v>
      </c>
      <c r="J2429" s="7" t="s">
        <v>271</v>
      </c>
      <c r="K2429" s="7" t="s">
        <v>47</v>
      </c>
      <c r="L2429" s="7" t="s">
        <v>48</v>
      </c>
      <c r="M2429" s="7" t="s">
        <v>0</v>
      </c>
      <c r="N2429" s="7" t="s">
        <v>6088</v>
      </c>
      <c r="O2429" s="7" t="s">
        <v>0</v>
      </c>
      <c r="P2429" s="7" t="s">
        <v>312</v>
      </c>
      <c r="Q2429" s="7" t="s">
        <v>6090</v>
      </c>
      <c r="R2429" s="7" t="s">
        <v>1256</v>
      </c>
      <c r="S2429" s="7" t="s">
        <v>1256</v>
      </c>
      <c r="T2429" s="7" t="s">
        <v>54</v>
      </c>
      <c r="U2429" s="7" t="s">
        <v>591</v>
      </c>
      <c r="V2429" s="7" t="s">
        <v>382</v>
      </c>
      <c r="W2429" s="7" t="s">
        <v>57</v>
      </c>
      <c r="X2429" s="7" t="s">
        <v>103</v>
      </c>
      <c r="Y2429" s="8">
        <v>44392</v>
      </c>
      <c r="Z2429" s="8">
        <v>44926</v>
      </c>
      <c r="AA2429" s="7" t="s">
        <v>1656</v>
      </c>
      <c r="AB2429" s="7" t="s">
        <v>2053</v>
      </c>
      <c r="AC2429" s="7" t="s">
        <v>65</v>
      </c>
      <c r="AD2429" s="7" t="s">
        <v>0</v>
      </c>
      <c r="AE2429" s="7" t="s">
        <v>0</v>
      </c>
      <c r="AF2429" s="7" t="s">
        <v>0</v>
      </c>
      <c r="AG2429" s="7" t="s">
        <v>0</v>
      </c>
      <c r="AH2429" s="9" t="s">
        <v>0</v>
      </c>
      <c r="AI2429" s="9" t="s">
        <v>0</v>
      </c>
      <c r="AJ2429" s="9" t="s">
        <v>0</v>
      </c>
      <c r="AK2429" s="7" t="s">
        <v>61</v>
      </c>
      <c r="AL2429" s="7" t="s">
        <v>61</v>
      </c>
      <c r="AM2429" s="7" t="s">
        <v>0</v>
      </c>
      <c r="AN2429" s="7" t="s">
        <v>0</v>
      </c>
      <c r="AO2429" s="7" t="s">
        <v>0</v>
      </c>
      <c r="AP2429" s="7" t="s">
        <v>0</v>
      </c>
      <c r="AQ2429" s="7" t="s">
        <v>61</v>
      </c>
      <c r="AR2429" s="7" t="s">
        <v>0</v>
      </c>
      <c r="AS2429" s="10" t="str">
        <f>HYPERLINK("https://tessa.gazprom-neft.local/edo/card/9cd0d28b-ec58-48ee-874c-4b1c875de2c7", "https://tessa.gazprom-neft.local/edo/card/9cd0d28b-ec58-48ee-874c-4b1c875de2c7")</f>
        <v>https://tessa.gazprom-neft.local/edo/card/9cd0d28b-ec58-48ee-874c-4b1c875de2c7</v>
      </c>
    </row>
    <row r="2430" spans="1:45" x14ac:dyDescent="0.25">
      <c r="A2430" s="6" t="s">
        <v>44</v>
      </c>
      <c r="B2430" s="7" t="s">
        <v>245</v>
      </c>
      <c r="C2430" s="7" t="s">
        <v>67</v>
      </c>
      <c r="D2430" s="8">
        <v>44391</v>
      </c>
      <c r="E2430" s="8" t="s">
        <v>0</v>
      </c>
      <c r="F2430" s="16" t="s">
        <v>246</v>
      </c>
      <c r="G2430" s="7" t="s">
        <v>247</v>
      </c>
      <c r="H2430" s="7" t="s">
        <v>240</v>
      </c>
      <c r="I2430" s="7" t="s">
        <v>0</v>
      </c>
      <c r="J2430" s="7" t="s">
        <v>5662</v>
      </c>
      <c r="K2430" s="7" t="s">
        <v>47</v>
      </c>
      <c r="L2430" s="7" t="s">
        <v>48</v>
      </c>
      <c r="M2430" s="7" t="s">
        <v>0</v>
      </c>
      <c r="N2430" s="7" t="s">
        <v>5661</v>
      </c>
      <c r="O2430" s="7" t="s">
        <v>0</v>
      </c>
      <c r="P2430" s="7" t="s">
        <v>5662</v>
      </c>
      <c r="Q2430" s="7" t="s">
        <v>5663</v>
      </c>
      <c r="R2430" s="7" t="s">
        <v>244</v>
      </c>
      <c r="S2430" s="7" t="s">
        <v>0</v>
      </c>
      <c r="T2430" s="7" t="s">
        <v>54</v>
      </c>
      <c r="U2430" s="7" t="s">
        <v>55</v>
      </c>
      <c r="V2430" s="7" t="s">
        <v>56</v>
      </c>
      <c r="W2430" s="7" t="s">
        <v>57</v>
      </c>
      <c r="X2430" s="7" t="s">
        <v>103</v>
      </c>
      <c r="Y2430" s="8">
        <v>44391</v>
      </c>
      <c r="Z2430" s="8">
        <v>44561</v>
      </c>
      <c r="AA2430" s="7" t="s">
        <v>1251</v>
      </c>
      <c r="AB2430" s="7" t="s">
        <v>248</v>
      </c>
      <c r="AC2430" s="7" t="s">
        <v>79</v>
      </c>
      <c r="AD2430" s="7" t="s">
        <v>144</v>
      </c>
      <c r="AE2430" s="7" t="s">
        <v>82</v>
      </c>
      <c r="AF2430" s="7" t="s">
        <v>0</v>
      </c>
      <c r="AG2430" s="7" t="s">
        <v>0</v>
      </c>
      <c r="AH2430" s="9" t="s">
        <v>12572</v>
      </c>
      <c r="AI2430" s="9" t="s">
        <v>12573</v>
      </c>
      <c r="AJ2430" s="9" t="s">
        <v>12574</v>
      </c>
      <c r="AK2430" s="7" t="s">
        <v>61</v>
      </c>
      <c r="AL2430" s="7" t="s">
        <v>61</v>
      </c>
      <c r="AM2430" s="7" t="s">
        <v>0</v>
      </c>
      <c r="AN2430" s="7" t="s">
        <v>0</v>
      </c>
      <c r="AO2430" s="7" t="s">
        <v>0</v>
      </c>
      <c r="AP2430" s="7" t="s">
        <v>0</v>
      </c>
      <c r="AQ2430" s="7" t="s">
        <v>61</v>
      </c>
      <c r="AR2430" s="7" t="s">
        <v>0</v>
      </c>
      <c r="AS2430" s="10" t="str">
        <f>HYPERLINK("https://tessa.gazprom-neft.local/edo/card/77c4ad33-81a1-4253-9cad-b85603549af9", "https://tessa.gazprom-neft.local/edo/card/77c4ad33-81a1-4253-9cad-b85603549af9")</f>
        <v>https://tessa.gazprom-neft.local/edo/card/77c4ad33-81a1-4253-9cad-b85603549af9</v>
      </c>
    </row>
    <row r="2431" spans="1:45" hidden="1" x14ac:dyDescent="0.25">
      <c r="A2431" s="6" t="s">
        <v>44</v>
      </c>
      <c r="B2431" s="7" t="s">
        <v>245</v>
      </c>
      <c r="C2431" s="7" t="s">
        <v>67</v>
      </c>
      <c r="D2431" s="8">
        <v>44389</v>
      </c>
      <c r="E2431" s="8" t="s">
        <v>0</v>
      </c>
      <c r="F2431" s="16" t="s">
        <v>246</v>
      </c>
      <c r="G2431" s="7" t="s">
        <v>247</v>
      </c>
      <c r="H2431" s="7" t="s">
        <v>0</v>
      </c>
      <c r="I2431" s="7" t="s">
        <v>574</v>
      </c>
      <c r="J2431" s="7" t="s">
        <v>574</v>
      </c>
      <c r="K2431" s="7" t="s">
        <v>47</v>
      </c>
      <c r="L2431" s="7" t="s">
        <v>96</v>
      </c>
      <c r="M2431" s="7" t="s">
        <v>0</v>
      </c>
      <c r="N2431" s="7" t="s">
        <v>5127</v>
      </c>
      <c r="O2431" s="7" t="s">
        <v>0</v>
      </c>
      <c r="P2431" s="7" t="s">
        <v>5128</v>
      </c>
      <c r="Q2431" s="7" t="s">
        <v>5129</v>
      </c>
      <c r="R2431" s="7" t="s">
        <v>2732</v>
      </c>
      <c r="S2431" s="7" t="s">
        <v>540</v>
      </c>
      <c r="T2431" s="7" t="s">
        <v>54</v>
      </c>
      <c r="U2431" s="7" t="s">
        <v>55</v>
      </c>
      <c r="V2431" s="7" t="s">
        <v>56</v>
      </c>
      <c r="W2431" s="7" t="s">
        <v>57</v>
      </c>
      <c r="X2431" s="7" t="s">
        <v>103</v>
      </c>
      <c r="Y2431" s="8">
        <v>44389</v>
      </c>
      <c r="Z2431" s="8">
        <v>46387</v>
      </c>
      <c r="AA2431" s="7" t="s">
        <v>1251</v>
      </c>
      <c r="AB2431" s="7" t="s">
        <v>545</v>
      </c>
      <c r="AC2431" s="7" t="s">
        <v>79</v>
      </c>
      <c r="AD2431" s="7" t="s">
        <v>144</v>
      </c>
      <c r="AE2431" s="7" t="s">
        <v>82</v>
      </c>
      <c r="AF2431" s="7" t="s">
        <v>0</v>
      </c>
      <c r="AG2431" s="7" t="s">
        <v>0</v>
      </c>
      <c r="AH2431" s="9" t="s">
        <v>12349</v>
      </c>
      <c r="AI2431" s="9" t="s">
        <v>12350</v>
      </c>
      <c r="AJ2431" s="9" t="s">
        <v>12351</v>
      </c>
      <c r="AK2431" s="7" t="s">
        <v>61</v>
      </c>
      <c r="AL2431" s="7" t="s">
        <v>61</v>
      </c>
      <c r="AM2431" s="7" t="s">
        <v>0</v>
      </c>
      <c r="AN2431" s="7" t="s">
        <v>0</v>
      </c>
      <c r="AO2431" s="7" t="s">
        <v>0</v>
      </c>
      <c r="AP2431" s="7" t="s">
        <v>0</v>
      </c>
      <c r="AQ2431" s="7" t="s">
        <v>61</v>
      </c>
      <c r="AR2431" s="7" t="s">
        <v>0</v>
      </c>
      <c r="AS2431" s="10" t="str">
        <f>HYPERLINK("https://tessa.gazprom-neft.local/edo/card/e9bad498-4f5b-48ae-bd6d-b0b4580635f1", "https://tessa.gazprom-neft.local/edo/card/e9bad498-4f5b-48ae-bd6d-b0b4580635f1")</f>
        <v>https://tessa.gazprom-neft.local/edo/card/e9bad498-4f5b-48ae-bd6d-b0b4580635f1</v>
      </c>
    </row>
    <row r="2432" spans="1:45" hidden="1" x14ac:dyDescent="0.25">
      <c r="A2432" s="6" t="s">
        <v>44</v>
      </c>
      <c r="B2432" s="7" t="s">
        <v>297</v>
      </c>
      <c r="C2432" s="7" t="s">
        <v>67</v>
      </c>
      <c r="D2432" s="8">
        <v>44389</v>
      </c>
      <c r="E2432" s="8" t="s">
        <v>0</v>
      </c>
      <c r="F2432" s="16" t="s">
        <v>298</v>
      </c>
      <c r="G2432" s="7" t="s">
        <v>299</v>
      </c>
      <c r="H2432" s="7" t="s">
        <v>0</v>
      </c>
      <c r="I2432" s="7" t="s">
        <v>5287</v>
      </c>
      <c r="J2432" s="7" t="s">
        <v>5287</v>
      </c>
      <c r="K2432" s="7" t="s">
        <v>47</v>
      </c>
      <c r="L2432" s="7" t="s">
        <v>96</v>
      </c>
      <c r="M2432" s="7" t="s">
        <v>0</v>
      </c>
      <c r="N2432" s="7" t="s">
        <v>5286</v>
      </c>
      <c r="O2432" s="7" t="s">
        <v>0</v>
      </c>
      <c r="P2432" s="7" t="s">
        <v>5288</v>
      </c>
      <c r="Q2432" s="7" t="s">
        <v>5289</v>
      </c>
      <c r="R2432" s="7" t="s">
        <v>604</v>
      </c>
      <c r="S2432" s="7" t="s">
        <v>604</v>
      </c>
      <c r="T2432" s="7" t="s">
        <v>54</v>
      </c>
      <c r="U2432" s="7" t="s">
        <v>605</v>
      </c>
      <c r="V2432" s="7" t="s">
        <v>382</v>
      </c>
      <c r="W2432" s="7" t="s">
        <v>57</v>
      </c>
      <c r="X2432" s="7" t="s">
        <v>103</v>
      </c>
      <c r="Y2432" s="8">
        <v>44389</v>
      </c>
      <c r="Z2432" s="8">
        <v>45291</v>
      </c>
      <c r="AA2432" s="7" t="s">
        <v>1656</v>
      </c>
      <c r="AB2432" s="7" t="s">
        <v>888</v>
      </c>
      <c r="AC2432" s="7" t="s">
        <v>79</v>
      </c>
      <c r="AD2432" s="7" t="s">
        <v>144</v>
      </c>
      <c r="AE2432" s="7" t="s">
        <v>82</v>
      </c>
      <c r="AF2432" s="7" t="s">
        <v>0</v>
      </c>
      <c r="AG2432" s="7" t="s">
        <v>0</v>
      </c>
      <c r="AH2432" s="9" t="s">
        <v>12430</v>
      </c>
      <c r="AI2432" s="9" t="s">
        <v>12431</v>
      </c>
      <c r="AJ2432" s="9" t="s">
        <v>12432</v>
      </c>
      <c r="AK2432" s="7" t="s">
        <v>61</v>
      </c>
      <c r="AL2432" s="7" t="s">
        <v>61</v>
      </c>
      <c r="AM2432" s="7" t="s">
        <v>0</v>
      </c>
      <c r="AN2432" s="7" t="s">
        <v>0</v>
      </c>
      <c r="AO2432" s="7" t="s">
        <v>0</v>
      </c>
      <c r="AP2432" s="7" t="s">
        <v>0</v>
      </c>
      <c r="AQ2432" s="7" t="s">
        <v>61</v>
      </c>
      <c r="AR2432" s="7" t="s">
        <v>0</v>
      </c>
      <c r="AS2432" s="10" t="str">
        <f>HYPERLINK("https://tessa.gazprom-neft.local/edo/card/71a3257f-4e11-459e-81b7-d1cbd43f8892", "https://tessa.gazprom-neft.local/edo/card/71a3257f-4e11-459e-81b7-d1cbd43f8892")</f>
        <v>https://tessa.gazprom-neft.local/edo/card/71a3257f-4e11-459e-81b7-d1cbd43f8892</v>
      </c>
    </row>
    <row r="2433" spans="1:45" hidden="1" x14ac:dyDescent="0.25">
      <c r="A2433" s="6" t="s">
        <v>44</v>
      </c>
      <c r="B2433" s="7" t="s">
        <v>0</v>
      </c>
      <c r="C2433" s="7" t="s">
        <v>46</v>
      </c>
      <c r="D2433" s="8">
        <v>44389</v>
      </c>
      <c r="E2433" s="8" t="s">
        <v>0</v>
      </c>
      <c r="F2433" s="16" t="s">
        <v>5587</v>
      </c>
      <c r="G2433" s="7" t="s">
        <v>0</v>
      </c>
      <c r="H2433" s="7" t="s">
        <v>0</v>
      </c>
      <c r="I2433" s="7" t="s">
        <v>5583</v>
      </c>
      <c r="J2433" s="7" t="s">
        <v>5583</v>
      </c>
      <c r="K2433" s="7" t="s">
        <v>47</v>
      </c>
      <c r="L2433" s="7" t="s">
        <v>96</v>
      </c>
      <c r="M2433" s="7" t="s">
        <v>0</v>
      </c>
      <c r="N2433" s="7" t="s">
        <v>5582</v>
      </c>
      <c r="O2433" s="7" t="s">
        <v>0</v>
      </c>
      <c r="P2433" s="7" t="s">
        <v>5584</v>
      </c>
      <c r="Q2433" s="7" t="s">
        <v>5585</v>
      </c>
      <c r="R2433" s="7" t="s">
        <v>5586</v>
      </c>
      <c r="S2433" s="7" t="s">
        <v>5586</v>
      </c>
      <c r="T2433" s="7" t="s">
        <v>54</v>
      </c>
      <c r="U2433" s="7" t="s">
        <v>303</v>
      </c>
      <c r="V2433" s="7" t="s">
        <v>137</v>
      </c>
      <c r="W2433" s="7" t="s">
        <v>57</v>
      </c>
      <c r="X2433" s="7" t="s">
        <v>58</v>
      </c>
      <c r="Y2433" s="8">
        <v>44389</v>
      </c>
      <c r="Z2433" s="8" t="s">
        <v>0</v>
      </c>
      <c r="AA2433" s="7" t="s">
        <v>0</v>
      </c>
      <c r="AB2433" s="7" t="s">
        <v>64</v>
      </c>
      <c r="AC2433" s="7" t="s">
        <v>79</v>
      </c>
      <c r="AD2433" s="7" t="s">
        <v>80</v>
      </c>
      <c r="AE2433" s="7" t="s">
        <v>82</v>
      </c>
      <c r="AF2433" s="7" t="s">
        <v>0</v>
      </c>
      <c r="AG2433" s="7" t="s">
        <v>0</v>
      </c>
      <c r="AH2433" s="9" t="s">
        <v>12540</v>
      </c>
      <c r="AI2433" s="9" t="s">
        <v>12541</v>
      </c>
      <c r="AJ2433" s="9" t="s">
        <v>12542</v>
      </c>
      <c r="AK2433" s="7" t="s">
        <v>61</v>
      </c>
      <c r="AL2433" s="7" t="s">
        <v>61</v>
      </c>
      <c r="AM2433" s="7" t="s">
        <v>0</v>
      </c>
      <c r="AN2433" s="7" t="s">
        <v>0</v>
      </c>
      <c r="AO2433" s="7" t="s">
        <v>0</v>
      </c>
      <c r="AP2433" s="7" t="s">
        <v>0</v>
      </c>
      <c r="AQ2433" s="7" t="s">
        <v>61</v>
      </c>
      <c r="AR2433" s="7" t="s">
        <v>0</v>
      </c>
      <c r="AS2433" s="10" t="str">
        <f>HYPERLINK("https://tessa.gazprom-neft.local/edo/card/05498577-baf9-4aab-9328-248de1b6ba9c", "https://tessa.gazprom-neft.local/edo/card/05498577-baf9-4aab-9328-248de1b6ba9c")</f>
        <v>https://tessa.gazprom-neft.local/edo/card/05498577-baf9-4aab-9328-248de1b6ba9c</v>
      </c>
    </row>
    <row r="2434" spans="1:45" hidden="1" x14ac:dyDescent="0.25">
      <c r="A2434" s="6" t="s">
        <v>44</v>
      </c>
      <c r="B2434" s="7" t="s">
        <v>245</v>
      </c>
      <c r="C2434" s="7" t="s">
        <v>67</v>
      </c>
      <c r="D2434" s="8">
        <v>44389</v>
      </c>
      <c r="E2434" s="8" t="s">
        <v>0</v>
      </c>
      <c r="F2434" s="16" t="s">
        <v>246</v>
      </c>
      <c r="G2434" s="7" t="s">
        <v>247</v>
      </c>
      <c r="H2434" s="7" t="s">
        <v>5598</v>
      </c>
      <c r="I2434" s="7" t="s">
        <v>0</v>
      </c>
      <c r="J2434" s="7" t="s">
        <v>5600</v>
      </c>
      <c r="K2434" s="7" t="s">
        <v>47</v>
      </c>
      <c r="L2434" s="7" t="s">
        <v>239</v>
      </c>
      <c r="M2434" s="7" t="s">
        <v>0</v>
      </c>
      <c r="N2434" s="7" t="s">
        <v>5597</v>
      </c>
      <c r="O2434" s="7" t="s">
        <v>0</v>
      </c>
      <c r="P2434" s="7" t="s">
        <v>5599</v>
      </c>
      <c r="Q2434" s="7" t="s">
        <v>5601</v>
      </c>
      <c r="R2434" s="7" t="s">
        <v>198</v>
      </c>
      <c r="S2434" s="7" t="s">
        <v>0</v>
      </c>
      <c r="T2434" s="7" t="s">
        <v>54</v>
      </c>
      <c r="U2434" s="7" t="s">
        <v>199</v>
      </c>
      <c r="V2434" s="7" t="s">
        <v>137</v>
      </c>
      <c r="W2434" s="7" t="s">
        <v>57</v>
      </c>
      <c r="X2434" s="7" t="s">
        <v>103</v>
      </c>
      <c r="Y2434" s="8">
        <v>44389</v>
      </c>
      <c r="Z2434" s="8">
        <v>44561</v>
      </c>
      <c r="AA2434" s="7" t="s">
        <v>0</v>
      </c>
      <c r="AB2434" s="7" t="s">
        <v>545</v>
      </c>
      <c r="AC2434" s="7" t="s">
        <v>79</v>
      </c>
      <c r="AD2434" s="7" t="s">
        <v>80</v>
      </c>
      <c r="AE2434" s="7" t="s">
        <v>82</v>
      </c>
      <c r="AF2434" s="7" t="s">
        <v>0</v>
      </c>
      <c r="AG2434" s="7" t="s">
        <v>0</v>
      </c>
      <c r="AH2434" s="9" t="s">
        <v>12544</v>
      </c>
      <c r="AI2434" s="9" t="s">
        <v>12545</v>
      </c>
      <c r="AJ2434" s="9" t="s">
        <v>12546</v>
      </c>
      <c r="AK2434" s="7" t="s">
        <v>61</v>
      </c>
      <c r="AL2434" s="7" t="s">
        <v>61</v>
      </c>
      <c r="AM2434" s="7" t="s">
        <v>0</v>
      </c>
      <c r="AN2434" s="7" t="s">
        <v>0</v>
      </c>
      <c r="AO2434" s="7" t="s">
        <v>0</v>
      </c>
      <c r="AP2434" s="7" t="s">
        <v>0</v>
      </c>
      <c r="AQ2434" s="7" t="s">
        <v>61</v>
      </c>
      <c r="AR2434" s="7" t="s">
        <v>0</v>
      </c>
      <c r="AS2434" s="10" t="str">
        <f>HYPERLINK("https://tessa.gazprom-neft.local/edo/card/2129b47e-9e77-41ac-8f7a-d0c1b58e940d", "https://tessa.gazprom-neft.local/edo/card/2129b47e-9e77-41ac-8f7a-d0c1b58e940d")</f>
        <v>https://tessa.gazprom-neft.local/edo/card/2129b47e-9e77-41ac-8f7a-d0c1b58e940d</v>
      </c>
    </row>
    <row r="2435" spans="1:45" hidden="1" x14ac:dyDescent="0.25">
      <c r="A2435" s="6" t="s">
        <v>44</v>
      </c>
      <c r="B2435" s="7" t="s">
        <v>0</v>
      </c>
      <c r="C2435" s="7" t="s">
        <v>46</v>
      </c>
      <c r="D2435" s="8">
        <v>44389</v>
      </c>
      <c r="E2435" s="8" t="s">
        <v>0</v>
      </c>
      <c r="F2435" s="16" t="s">
        <v>5898</v>
      </c>
      <c r="G2435" s="7" t="s">
        <v>0</v>
      </c>
      <c r="H2435" s="7" t="s">
        <v>0</v>
      </c>
      <c r="I2435" s="7" t="s">
        <v>5896</v>
      </c>
      <c r="J2435" s="7" t="s">
        <v>5896</v>
      </c>
      <c r="K2435" s="7" t="s">
        <v>47</v>
      </c>
      <c r="L2435" s="7" t="s">
        <v>96</v>
      </c>
      <c r="M2435" s="7" t="s">
        <v>0</v>
      </c>
      <c r="N2435" s="7" t="s">
        <v>5895</v>
      </c>
      <c r="O2435" s="7" t="s">
        <v>0</v>
      </c>
      <c r="P2435" s="7" t="s">
        <v>5897</v>
      </c>
      <c r="Q2435" s="7" t="s">
        <v>5897</v>
      </c>
      <c r="R2435" s="7" t="s">
        <v>1610</v>
      </c>
      <c r="S2435" s="7" t="s">
        <v>1610</v>
      </c>
      <c r="T2435" s="7" t="s">
        <v>54</v>
      </c>
      <c r="U2435" s="7" t="s">
        <v>101</v>
      </c>
      <c r="V2435" s="7" t="s">
        <v>137</v>
      </c>
      <c r="W2435" s="7" t="s">
        <v>57</v>
      </c>
      <c r="X2435" s="7" t="s">
        <v>103</v>
      </c>
      <c r="Y2435" s="8">
        <v>44389</v>
      </c>
      <c r="Z2435" s="8">
        <v>44561</v>
      </c>
      <c r="AA2435" s="7" t="s">
        <v>0</v>
      </c>
      <c r="AB2435" s="7" t="s">
        <v>5899</v>
      </c>
      <c r="AC2435" s="7" t="s">
        <v>79</v>
      </c>
      <c r="AD2435" s="7" t="s">
        <v>80</v>
      </c>
      <c r="AE2435" s="7" t="s">
        <v>118</v>
      </c>
      <c r="AF2435" s="7" t="s">
        <v>0</v>
      </c>
      <c r="AG2435" s="7" t="s">
        <v>0</v>
      </c>
      <c r="AH2435" s="9" t="s">
        <v>12559</v>
      </c>
      <c r="AI2435" s="9" t="s">
        <v>12559</v>
      </c>
      <c r="AJ2435" s="9">
        <v>0</v>
      </c>
      <c r="AK2435" s="7" t="s">
        <v>61</v>
      </c>
      <c r="AL2435" s="7" t="s">
        <v>61</v>
      </c>
      <c r="AM2435" s="7" t="s">
        <v>0</v>
      </c>
      <c r="AN2435" s="7" t="s">
        <v>0</v>
      </c>
      <c r="AO2435" s="7" t="s">
        <v>0</v>
      </c>
      <c r="AP2435" s="7" t="s">
        <v>0</v>
      </c>
      <c r="AQ2435" s="7" t="s">
        <v>61</v>
      </c>
      <c r="AR2435" s="7" t="s">
        <v>0</v>
      </c>
      <c r="AS2435" s="10" t="str">
        <f>HYPERLINK("https://tessa.gazprom-neft.local/edo/card/0e7c7801-f9e6-4765-863d-e7e904fd4c2b", "https://tessa.gazprom-neft.local/edo/card/0e7c7801-f9e6-4765-863d-e7e904fd4c2b")</f>
        <v>https://tessa.gazprom-neft.local/edo/card/0e7c7801-f9e6-4765-863d-e7e904fd4c2b</v>
      </c>
    </row>
    <row r="2436" spans="1:45" x14ac:dyDescent="0.25">
      <c r="A2436" s="6" t="s">
        <v>44</v>
      </c>
      <c r="B2436" s="7" t="s">
        <v>275</v>
      </c>
      <c r="C2436" s="7" t="s">
        <v>67</v>
      </c>
      <c r="D2436" s="8">
        <v>44386</v>
      </c>
      <c r="E2436" s="8" t="s">
        <v>0</v>
      </c>
      <c r="F2436" s="16" t="s">
        <v>6193</v>
      </c>
      <c r="G2436" s="7" t="s">
        <v>277</v>
      </c>
      <c r="H2436" s="7" t="s">
        <v>6190</v>
      </c>
      <c r="I2436" s="7" t="s">
        <v>0</v>
      </c>
      <c r="J2436" s="7" t="s">
        <v>51</v>
      </c>
      <c r="K2436" s="7" t="s">
        <v>47</v>
      </c>
      <c r="L2436" s="7" t="s">
        <v>48</v>
      </c>
      <c r="M2436" s="7" t="s">
        <v>0</v>
      </c>
      <c r="N2436" s="7" t="s">
        <v>6189</v>
      </c>
      <c r="O2436" s="7" t="s">
        <v>0</v>
      </c>
      <c r="P2436" s="7" t="s">
        <v>6191</v>
      </c>
      <c r="Q2436" s="7" t="s">
        <v>6192</v>
      </c>
      <c r="R2436" s="7" t="s">
        <v>1083</v>
      </c>
      <c r="S2436" s="7" t="s">
        <v>3615</v>
      </c>
      <c r="T2436" s="7" t="s">
        <v>54</v>
      </c>
      <c r="U2436" s="7" t="s">
        <v>274</v>
      </c>
      <c r="V2436" s="7" t="s">
        <v>137</v>
      </c>
      <c r="W2436" s="7" t="s">
        <v>57</v>
      </c>
      <c r="X2436" s="7" t="s">
        <v>58</v>
      </c>
      <c r="Y2436" s="8">
        <v>44397</v>
      </c>
      <c r="Z2436" s="8" t="s">
        <v>0</v>
      </c>
      <c r="AA2436" s="7" t="s">
        <v>0</v>
      </c>
      <c r="AB2436" s="7" t="s">
        <v>64</v>
      </c>
      <c r="AC2436" s="7" t="s">
        <v>278</v>
      </c>
      <c r="AD2436" s="7" t="s">
        <v>80</v>
      </c>
      <c r="AE2436" s="7" t="s">
        <v>82</v>
      </c>
      <c r="AF2436" s="7" t="s">
        <v>0</v>
      </c>
      <c r="AG2436" s="7" t="s">
        <v>0</v>
      </c>
      <c r="AH2436" s="9" t="s">
        <v>12744</v>
      </c>
      <c r="AI2436" s="9" t="s">
        <v>12745</v>
      </c>
      <c r="AJ2436" s="9" t="s">
        <v>12746</v>
      </c>
      <c r="AK2436" s="7" t="s">
        <v>61</v>
      </c>
      <c r="AL2436" s="7" t="s">
        <v>61</v>
      </c>
      <c r="AM2436" s="7" t="s">
        <v>0</v>
      </c>
      <c r="AN2436" s="7" t="s">
        <v>0</v>
      </c>
      <c r="AO2436" s="7" t="s">
        <v>0</v>
      </c>
      <c r="AP2436" s="7" t="s">
        <v>0</v>
      </c>
      <c r="AQ2436" s="7" t="s">
        <v>61</v>
      </c>
      <c r="AR2436" s="7" t="s">
        <v>0</v>
      </c>
      <c r="AS2436" s="10" t="str">
        <f>HYPERLINK("https://tessa.gazprom-neft.local/edo/card/fe5f0602-0f84-4ea2-b1fc-9ed20fa83025", "https://tessa.gazprom-neft.local/edo/card/fe5f0602-0f84-4ea2-b1fc-9ed20fa83025")</f>
        <v>https://tessa.gazprom-neft.local/edo/card/fe5f0602-0f84-4ea2-b1fc-9ed20fa83025</v>
      </c>
    </row>
    <row r="2437" spans="1:45" hidden="1" x14ac:dyDescent="0.25">
      <c r="A2437" s="6" t="s">
        <v>44</v>
      </c>
      <c r="B2437" s="7" t="s">
        <v>0</v>
      </c>
      <c r="C2437" s="7" t="s">
        <v>46</v>
      </c>
      <c r="D2437" s="8">
        <v>44385</v>
      </c>
      <c r="E2437" s="8" t="s">
        <v>0</v>
      </c>
      <c r="F2437" s="16" t="s">
        <v>5174</v>
      </c>
      <c r="G2437" s="7" t="s">
        <v>0</v>
      </c>
      <c r="H2437" s="7" t="s">
        <v>0</v>
      </c>
      <c r="I2437" s="7" t="s">
        <v>5170</v>
      </c>
      <c r="J2437" s="7" t="s">
        <v>5170</v>
      </c>
      <c r="K2437" s="7" t="s">
        <v>47</v>
      </c>
      <c r="L2437" s="7" t="s">
        <v>96</v>
      </c>
      <c r="M2437" s="7" t="s">
        <v>0</v>
      </c>
      <c r="N2437" s="7" t="s">
        <v>5169</v>
      </c>
      <c r="O2437" s="7" t="s">
        <v>0</v>
      </c>
      <c r="P2437" s="7" t="s">
        <v>5171</v>
      </c>
      <c r="Q2437" s="7" t="s">
        <v>5172</v>
      </c>
      <c r="R2437" s="7" t="s">
        <v>659</v>
      </c>
      <c r="S2437" s="7" t="s">
        <v>5173</v>
      </c>
      <c r="T2437" s="7" t="s">
        <v>54</v>
      </c>
      <c r="U2437" s="7" t="s">
        <v>1683</v>
      </c>
      <c r="V2437" s="7" t="s">
        <v>295</v>
      </c>
      <c r="W2437" s="7" t="s">
        <v>57</v>
      </c>
      <c r="X2437" s="7" t="s">
        <v>103</v>
      </c>
      <c r="Y2437" s="8">
        <v>44389</v>
      </c>
      <c r="Z2437" s="8">
        <v>44416</v>
      </c>
      <c r="AA2437" s="7" t="s">
        <v>1269</v>
      </c>
      <c r="AB2437" s="7" t="s">
        <v>192</v>
      </c>
      <c r="AC2437" s="7" t="s">
        <v>79</v>
      </c>
      <c r="AD2437" s="7" t="s">
        <v>80</v>
      </c>
      <c r="AE2437" s="7" t="s">
        <v>193</v>
      </c>
      <c r="AF2437" s="7" t="s">
        <v>0</v>
      </c>
      <c r="AG2437" s="7" t="s">
        <v>0</v>
      </c>
      <c r="AH2437" s="9" t="s">
        <v>12096</v>
      </c>
      <c r="AI2437" s="9" t="s">
        <v>12097</v>
      </c>
      <c r="AJ2437" s="9" t="s">
        <v>12098</v>
      </c>
      <c r="AK2437" s="7" t="s">
        <v>61</v>
      </c>
      <c r="AL2437" s="7" t="s">
        <v>61</v>
      </c>
      <c r="AM2437" s="7" t="s">
        <v>0</v>
      </c>
      <c r="AN2437" s="7" t="s">
        <v>0</v>
      </c>
      <c r="AO2437" s="7" t="s">
        <v>0</v>
      </c>
      <c r="AP2437" s="7" t="s">
        <v>0</v>
      </c>
      <c r="AQ2437" s="7" t="s">
        <v>61</v>
      </c>
      <c r="AR2437" s="7" t="s">
        <v>0</v>
      </c>
      <c r="AS2437" s="10" t="str">
        <f>HYPERLINK("https://tessa.gazprom-neft.local/edo/card/0f350292-1412-4bae-a43a-ee5707e709b1", "https://tessa.gazprom-neft.local/edo/card/0f350292-1412-4bae-a43a-ee5707e709b1")</f>
        <v>https://tessa.gazprom-neft.local/edo/card/0f350292-1412-4bae-a43a-ee5707e709b1</v>
      </c>
    </row>
    <row r="2438" spans="1:45" hidden="1" x14ac:dyDescent="0.25">
      <c r="A2438" s="6" t="s">
        <v>44</v>
      </c>
      <c r="B2438" s="7" t="s">
        <v>0</v>
      </c>
      <c r="C2438" s="7" t="s">
        <v>46</v>
      </c>
      <c r="D2438" s="8">
        <v>44385</v>
      </c>
      <c r="E2438" s="8" t="s">
        <v>0</v>
      </c>
      <c r="F2438" s="16" t="s">
        <v>5174</v>
      </c>
      <c r="G2438" s="7" t="s">
        <v>0</v>
      </c>
      <c r="H2438" s="7" t="s">
        <v>0</v>
      </c>
      <c r="I2438" s="7" t="s">
        <v>5375</v>
      </c>
      <c r="J2438" s="7" t="s">
        <v>5375</v>
      </c>
      <c r="K2438" s="7" t="s">
        <v>47</v>
      </c>
      <c r="L2438" s="7" t="s">
        <v>96</v>
      </c>
      <c r="M2438" s="7" t="s">
        <v>0</v>
      </c>
      <c r="N2438" s="7" t="s">
        <v>5374</v>
      </c>
      <c r="O2438" s="7" t="s">
        <v>0</v>
      </c>
      <c r="P2438" s="7" t="s">
        <v>5376</v>
      </c>
      <c r="Q2438" s="7" t="s">
        <v>5376</v>
      </c>
      <c r="R2438" s="7" t="s">
        <v>659</v>
      </c>
      <c r="S2438" s="7" t="s">
        <v>2612</v>
      </c>
      <c r="T2438" s="7" t="s">
        <v>54</v>
      </c>
      <c r="U2438" s="7" t="s">
        <v>1683</v>
      </c>
      <c r="V2438" s="7" t="s">
        <v>91</v>
      </c>
      <c r="W2438" s="7" t="s">
        <v>57</v>
      </c>
      <c r="X2438" s="7" t="s">
        <v>223</v>
      </c>
      <c r="Y2438" s="8">
        <v>44385</v>
      </c>
      <c r="Z2438" s="8" t="s">
        <v>0</v>
      </c>
      <c r="AA2438" s="7" t="s">
        <v>0</v>
      </c>
      <c r="AB2438" s="7" t="s">
        <v>94</v>
      </c>
      <c r="AC2438" s="7" t="s">
        <v>65</v>
      </c>
      <c r="AD2438" s="7" t="s">
        <v>0</v>
      </c>
      <c r="AE2438" s="7" t="s">
        <v>0</v>
      </c>
      <c r="AF2438" s="7" t="s">
        <v>0</v>
      </c>
      <c r="AG2438" s="7" t="s">
        <v>0</v>
      </c>
      <c r="AH2438" s="9" t="s">
        <v>0</v>
      </c>
      <c r="AI2438" s="9" t="s">
        <v>0</v>
      </c>
      <c r="AJ2438" s="9" t="s">
        <v>0</v>
      </c>
      <c r="AK2438" s="7" t="s">
        <v>61</v>
      </c>
      <c r="AL2438" s="7" t="s">
        <v>61</v>
      </c>
      <c r="AM2438" s="7" t="s">
        <v>0</v>
      </c>
      <c r="AN2438" s="7" t="s">
        <v>0</v>
      </c>
      <c r="AO2438" s="7" t="s">
        <v>0</v>
      </c>
      <c r="AP2438" s="7" t="s">
        <v>0</v>
      </c>
      <c r="AQ2438" s="7" t="s">
        <v>61</v>
      </c>
      <c r="AR2438" s="7" t="s">
        <v>0</v>
      </c>
      <c r="AS2438" s="10" t="str">
        <f>HYPERLINK("https://tessa.gazprom-neft.local/edo/card/c71add4a-a009-464f-b944-858255495ec6", "https://tessa.gazprom-neft.local/edo/card/c71add4a-a009-464f-b944-858255495ec6")</f>
        <v>https://tessa.gazprom-neft.local/edo/card/c71add4a-a009-464f-b944-858255495ec6</v>
      </c>
    </row>
    <row r="2439" spans="1:45" x14ac:dyDescent="0.25">
      <c r="A2439" s="6" t="s">
        <v>44</v>
      </c>
      <c r="B2439" s="7" t="s">
        <v>2350</v>
      </c>
      <c r="C2439" s="7" t="s">
        <v>67</v>
      </c>
      <c r="D2439" s="8">
        <v>44384</v>
      </c>
      <c r="E2439" s="8" t="s">
        <v>0</v>
      </c>
      <c r="F2439" s="16" t="s">
        <v>2351</v>
      </c>
      <c r="G2439" s="7" t="s">
        <v>2352</v>
      </c>
      <c r="H2439" s="7" t="s">
        <v>5336</v>
      </c>
      <c r="I2439" s="7" t="s">
        <v>0</v>
      </c>
      <c r="J2439" s="7" t="s">
        <v>70</v>
      </c>
      <c r="K2439" s="7" t="s">
        <v>47</v>
      </c>
      <c r="L2439" s="7" t="s">
        <v>48</v>
      </c>
      <c r="M2439" s="7" t="s">
        <v>0</v>
      </c>
      <c r="N2439" s="7" t="s">
        <v>5335</v>
      </c>
      <c r="O2439" s="7" t="s">
        <v>0</v>
      </c>
      <c r="P2439" s="7" t="s">
        <v>5337</v>
      </c>
      <c r="Q2439" s="7" t="s">
        <v>5338</v>
      </c>
      <c r="R2439" s="7" t="s">
        <v>282</v>
      </c>
      <c r="S2439" s="7" t="s">
        <v>282</v>
      </c>
      <c r="T2439" s="7" t="s">
        <v>54</v>
      </c>
      <c r="U2439" s="7" t="s">
        <v>1683</v>
      </c>
      <c r="V2439" s="7" t="s">
        <v>295</v>
      </c>
      <c r="W2439" s="7" t="s">
        <v>57</v>
      </c>
      <c r="X2439" s="7" t="s">
        <v>103</v>
      </c>
      <c r="Y2439" s="8">
        <v>44384</v>
      </c>
      <c r="Z2439" s="8">
        <v>44561</v>
      </c>
      <c r="AA2439" s="7" t="s">
        <v>1269</v>
      </c>
      <c r="AB2439" s="7" t="s">
        <v>1748</v>
      </c>
      <c r="AC2439" s="7" t="s">
        <v>65</v>
      </c>
      <c r="AD2439" s="7" t="s">
        <v>0</v>
      </c>
      <c r="AE2439" s="7" t="s">
        <v>0</v>
      </c>
      <c r="AF2439" s="7" t="s">
        <v>0</v>
      </c>
      <c r="AG2439" s="7" t="s">
        <v>0</v>
      </c>
      <c r="AH2439" s="9" t="s">
        <v>0</v>
      </c>
      <c r="AI2439" s="9" t="s">
        <v>0</v>
      </c>
      <c r="AJ2439" s="9" t="s">
        <v>0</v>
      </c>
      <c r="AK2439" s="7" t="s">
        <v>61</v>
      </c>
      <c r="AL2439" s="7" t="s">
        <v>61</v>
      </c>
      <c r="AM2439" s="7" t="s">
        <v>0</v>
      </c>
      <c r="AN2439" s="7" t="s">
        <v>0</v>
      </c>
      <c r="AO2439" s="7" t="s">
        <v>0</v>
      </c>
      <c r="AP2439" s="7" t="s">
        <v>0</v>
      </c>
      <c r="AQ2439" s="7" t="s">
        <v>61</v>
      </c>
      <c r="AR2439" s="7" t="s">
        <v>0</v>
      </c>
      <c r="AS2439" s="10" t="str">
        <f>HYPERLINK("https://tessa.gazprom-neft.local/edo/card/40c752d7-c39e-44b9-ad1d-05a70e65dba6", "https://tessa.gazprom-neft.local/edo/card/40c752d7-c39e-44b9-ad1d-05a70e65dba6")</f>
        <v>https://tessa.gazprom-neft.local/edo/card/40c752d7-c39e-44b9-ad1d-05a70e65dba6</v>
      </c>
    </row>
    <row r="2440" spans="1:45" hidden="1" x14ac:dyDescent="0.25">
      <c r="A2440" s="6" t="s">
        <v>44</v>
      </c>
      <c r="B2440" s="7" t="s">
        <v>0</v>
      </c>
      <c r="C2440" s="7" t="s">
        <v>67</v>
      </c>
      <c r="D2440" s="8">
        <v>44384</v>
      </c>
      <c r="E2440" s="8" t="s">
        <v>0</v>
      </c>
      <c r="F2440" s="16" t="s">
        <v>5415</v>
      </c>
      <c r="G2440" s="7" t="s">
        <v>0</v>
      </c>
      <c r="H2440" s="7" t="s">
        <v>0</v>
      </c>
      <c r="I2440" s="7" t="s">
        <v>5412</v>
      </c>
      <c r="J2440" s="7" t="s">
        <v>5412</v>
      </c>
      <c r="K2440" s="7" t="s">
        <v>85</v>
      </c>
      <c r="L2440" s="7" t="s">
        <v>86</v>
      </c>
      <c r="M2440" s="7" t="s">
        <v>83</v>
      </c>
      <c r="N2440" s="7" t="s">
        <v>5411</v>
      </c>
      <c r="O2440" s="7" t="s">
        <v>0</v>
      </c>
      <c r="P2440" s="7" t="s">
        <v>83</v>
      </c>
      <c r="Q2440" s="7" t="s">
        <v>5413</v>
      </c>
      <c r="R2440" s="7" t="s">
        <v>5414</v>
      </c>
      <c r="S2440" s="7" t="s">
        <v>5414</v>
      </c>
      <c r="T2440" s="7" t="s">
        <v>54</v>
      </c>
      <c r="U2440" s="7" t="s">
        <v>1464</v>
      </c>
      <c r="V2440" s="7" t="s">
        <v>137</v>
      </c>
      <c r="W2440" s="7" t="s">
        <v>57</v>
      </c>
      <c r="X2440" s="7" t="s">
        <v>103</v>
      </c>
      <c r="Y2440" s="8">
        <v>44384</v>
      </c>
      <c r="Z2440" s="8">
        <v>44926</v>
      </c>
      <c r="AA2440" s="7" t="s">
        <v>0</v>
      </c>
      <c r="AB2440" s="7" t="s">
        <v>94</v>
      </c>
      <c r="AC2440" s="7" t="s">
        <v>65</v>
      </c>
      <c r="AD2440" s="7" t="s">
        <v>0</v>
      </c>
      <c r="AE2440" s="7" t="s">
        <v>0</v>
      </c>
      <c r="AF2440" s="7" t="s">
        <v>0</v>
      </c>
      <c r="AG2440" s="7" t="s">
        <v>0</v>
      </c>
      <c r="AH2440" s="9" t="s">
        <v>0</v>
      </c>
      <c r="AI2440" s="9" t="s">
        <v>0</v>
      </c>
      <c r="AJ2440" s="9" t="s">
        <v>0</v>
      </c>
      <c r="AK2440" s="7" t="s">
        <v>61</v>
      </c>
      <c r="AL2440" s="7" t="s">
        <v>61</v>
      </c>
      <c r="AM2440" s="7" t="s">
        <v>0</v>
      </c>
      <c r="AN2440" s="7" t="s">
        <v>0</v>
      </c>
      <c r="AO2440" s="7" t="s">
        <v>0</v>
      </c>
      <c r="AP2440" s="7" t="s">
        <v>0</v>
      </c>
      <c r="AQ2440" s="7" t="s">
        <v>61</v>
      </c>
      <c r="AR2440" s="7" t="s">
        <v>0</v>
      </c>
      <c r="AS2440" s="10" t="str">
        <f>HYPERLINK("https://tessa.gazprom-neft.local/edo/card/651b45c9-0640-4b3e-bd3f-3bd2b38db48a", "https://tessa.gazprom-neft.local/edo/card/651b45c9-0640-4b3e-bd3f-3bd2b38db48a")</f>
        <v>https://tessa.gazprom-neft.local/edo/card/651b45c9-0640-4b3e-bd3f-3bd2b38db48a</v>
      </c>
    </row>
    <row r="2441" spans="1:45" hidden="1" x14ac:dyDescent="0.25">
      <c r="A2441" s="6" t="s">
        <v>44</v>
      </c>
      <c r="B2441" s="7" t="s">
        <v>245</v>
      </c>
      <c r="C2441" s="7" t="s">
        <v>67</v>
      </c>
      <c r="D2441" s="8">
        <v>44384</v>
      </c>
      <c r="E2441" s="8" t="s">
        <v>0</v>
      </c>
      <c r="F2441" s="16" t="s">
        <v>246</v>
      </c>
      <c r="G2441" s="7" t="s">
        <v>247</v>
      </c>
      <c r="H2441" s="7" t="s">
        <v>1483</v>
      </c>
      <c r="I2441" s="7" t="s">
        <v>0</v>
      </c>
      <c r="J2441" s="7" t="s">
        <v>5457</v>
      </c>
      <c r="K2441" s="7" t="s">
        <v>47</v>
      </c>
      <c r="L2441" s="7" t="s">
        <v>239</v>
      </c>
      <c r="M2441" s="7" t="s">
        <v>0</v>
      </c>
      <c r="N2441" s="7" t="s">
        <v>5456</v>
      </c>
      <c r="O2441" s="7" t="s">
        <v>0</v>
      </c>
      <c r="P2441" s="7" t="s">
        <v>239</v>
      </c>
      <c r="Q2441" s="7" t="s">
        <v>5458</v>
      </c>
      <c r="R2441" s="7" t="s">
        <v>110</v>
      </c>
      <c r="S2441" s="7" t="s">
        <v>110</v>
      </c>
      <c r="T2441" s="7" t="s">
        <v>54</v>
      </c>
      <c r="U2441" s="7" t="s">
        <v>111</v>
      </c>
      <c r="V2441" s="7" t="s">
        <v>112</v>
      </c>
      <c r="W2441" s="7" t="s">
        <v>57</v>
      </c>
      <c r="X2441" s="7" t="s">
        <v>58</v>
      </c>
      <c r="Y2441" s="8">
        <v>44389</v>
      </c>
      <c r="Z2441" s="8" t="s">
        <v>0</v>
      </c>
      <c r="AA2441" s="7" t="s">
        <v>0</v>
      </c>
      <c r="AB2441" s="7" t="s">
        <v>161</v>
      </c>
      <c r="AC2441" s="7" t="s">
        <v>79</v>
      </c>
      <c r="AD2441" s="7" t="s">
        <v>144</v>
      </c>
      <c r="AE2441" s="7" t="s">
        <v>82</v>
      </c>
      <c r="AF2441" s="7" t="s">
        <v>0</v>
      </c>
      <c r="AG2441" s="7" t="s">
        <v>0</v>
      </c>
      <c r="AH2441" s="9" t="s">
        <v>12497</v>
      </c>
      <c r="AI2441" s="9" t="s">
        <v>12498</v>
      </c>
      <c r="AJ2441" s="9" t="s">
        <v>12499</v>
      </c>
      <c r="AK2441" s="7" t="s">
        <v>61</v>
      </c>
      <c r="AL2441" s="7" t="s">
        <v>61</v>
      </c>
      <c r="AM2441" s="7" t="s">
        <v>0</v>
      </c>
      <c r="AN2441" s="7" t="s">
        <v>0</v>
      </c>
      <c r="AO2441" s="7" t="s">
        <v>0</v>
      </c>
      <c r="AP2441" s="7" t="s">
        <v>0</v>
      </c>
      <c r="AQ2441" s="7" t="s">
        <v>61</v>
      </c>
      <c r="AR2441" s="7" t="s">
        <v>0</v>
      </c>
      <c r="AS2441" s="10" t="str">
        <f>HYPERLINK("https://tessa.gazprom-neft.local/edo/card/5b4685f1-8dab-4d56-946e-8f2af80287ed", "https://tessa.gazprom-neft.local/edo/card/5b4685f1-8dab-4d56-946e-8f2af80287ed")</f>
        <v>https://tessa.gazprom-neft.local/edo/card/5b4685f1-8dab-4d56-946e-8f2af80287ed</v>
      </c>
    </row>
    <row r="2442" spans="1:45" hidden="1" x14ac:dyDescent="0.25">
      <c r="A2442" s="6" t="s">
        <v>44</v>
      </c>
      <c r="B2442" s="7" t="s">
        <v>1351</v>
      </c>
      <c r="C2442" s="7" t="s">
        <v>67</v>
      </c>
      <c r="D2442" s="8">
        <v>44382</v>
      </c>
      <c r="E2442" s="8" t="s">
        <v>0</v>
      </c>
      <c r="F2442" s="16" t="s">
        <v>1352</v>
      </c>
      <c r="G2442" s="7" t="s">
        <v>1353</v>
      </c>
      <c r="H2442" s="7" t="s">
        <v>0</v>
      </c>
      <c r="I2442" s="7" t="s">
        <v>5223</v>
      </c>
      <c r="J2442" s="7" t="s">
        <v>5223</v>
      </c>
      <c r="K2442" s="7" t="s">
        <v>85</v>
      </c>
      <c r="L2442" s="7" t="s">
        <v>96</v>
      </c>
      <c r="M2442" s="7" t="s">
        <v>1121</v>
      </c>
      <c r="N2442" s="7" t="s">
        <v>5222</v>
      </c>
      <c r="O2442" s="7" t="s">
        <v>0</v>
      </c>
      <c r="P2442" s="7" t="s">
        <v>1121</v>
      </c>
      <c r="Q2442" s="7" t="s">
        <v>5224</v>
      </c>
      <c r="R2442" s="7" t="s">
        <v>293</v>
      </c>
      <c r="S2442" s="7" t="s">
        <v>5225</v>
      </c>
      <c r="T2442" s="7" t="s">
        <v>54</v>
      </c>
      <c r="U2442" s="7" t="s">
        <v>210</v>
      </c>
      <c r="V2442" s="7" t="s">
        <v>295</v>
      </c>
      <c r="W2442" s="7" t="s">
        <v>57</v>
      </c>
      <c r="X2442" s="7" t="s">
        <v>58</v>
      </c>
      <c r="Y2442" s="8">
        <v>44378</v>
      </c>
      <c r="Z2442" s="8" t="s">
        <v>0</v>
      </c>
      <c r="AA2442" s="7" t="s">
        <v>1269</v>
      </c>
      <c r="AB2442" s="7" t="s">
        <v>500</v>
      </c>
      <c r="AC2442" s="7" t="s">
        <v>79</v>
      </c>
      <c r="AD2442" s="7" t="s">
        <v>80</v>
      </c>
      <c r="AE2442" s="7" t="s">
        <v>82</v>
      </c>
      <c r="AF2442" s="7" t="s">
        <v>0</v>
      </c>
      <c r="AG2442" s="7" t="s">
        <v>0</v>
      </c>
      <c r="AH2442" s="9" t="s">
        <v>12399</v>
      </c>
      <c r="AI2442" s="9" t="s">
        <v>12400</v>
      </c>
      <c r="AJ2442" s="9" t="s">
        <v>12401</v>
      </c>
      <c r="AK2442" s="7" t="s">
        <v>61</v>
      </c>
      <c r="AL2442" s="7" t="s">
        <v>61</v>
      </c>
      <c r="AM2442" s="7" t="s">
        <v>0</v>
      </c>
      <c r="AN2442" s="7" t="s">
        <v>0</v>
      </c>
      <c r="AO2442" s="7" t="s">
        <v>0</v>
      </c>
      <c r="AP2442" s="7" t="s">
        <v>0</v>
      </c>
      <c r="AQ2442" s="7" t="s">
        <v>61</v>
      </c>
      <c r="AR2442" s="7" t="s">
        <v>0</v>
      </c>
      <c r="AS2442" s="10" t="str">
        <f>HYPERLINK("https://tessa.gazprom-neft.local/edo/card/59ae5f5c-4084-461c-b6d0-9d133273fc0e", "https://tessa.gazprom-neft.local/edo/card/59ae5f5c-4084-461c-b6d0-9d133273fc0e")</f>
        <v>https://tessa.gazprom-neft.local/edo/card/59ae5f5c-4084-461c-b6d0-9d133273fc0e</v>
      </c>
    </row>
    <row r="2443" spans="1:45" hidden="1" x14ac:dyDescent="0.25">
      <c r="A2443" s="6" t="s">
        <v>44</v>
      </c>
      <c r="B2443" s="7" t="s">
        <v>0</v>
      </c>
      <c r="C2443" s="7" t="s">
        <v>46</v>
      </c>
      <c r="D2443" s="8">
        <v>44379</v>
      </c>
      <c r="E2443" s="8" t="s">
        <v>0</v>
      </c>
      <c r="F2443" s="16" t="s">
        <v>3312</v>
      </c>
      <c r="G2443" s="7" t="s">
        <v>0</v>
      </c>
      <c r="H2443" s="7" t="s">
        <v>0</v>
      </c>
      <c r="I2443" s="7" t="s">
        <v>3310</v>
      </c>
      <c r="J2443" s="7" t="s">
        <v>3310</v>
      </c>
      <c r="K2443" s="7" t="s">
        <v>85</v>
      </c>
      <c r="L2443" s="7" t="s">
        <v>96</v>
      </c>
      <c r="M2443" s="7" t="s">
        <v>3308</v>
      </c>
      <c r="N2443" s="7" t="s">
        <v>3309</v>
      </c>
      <c r="O2443" s="7" t="s">
        <v>0</v>
      </c>
      <c r="P2443" s="7" t="s">
        <v>3308</v>
      </c>
      <c r="Q2443" s="7" t="s">
        <v>3311</v>
      </c>
      <c r="R2443" s="7" t="s">
        <v>2732</v>
      </c>
      <c r="S2443" s="7" t="s">
        <v>540</v>
      </c>
      <c r="T2443" s="7" t="s">
        <v>54</v>
      </c>
      <c r="U2443" s="7" t="s">
        <v>55</v>
      </c>
      <c r="V2443" s="7" t="s">
        <v>56</v>
      </c>
      <c r="W2443" s="7" t="s">
        <v>57</v>
      </c>
      <c r="X2443" s="7" t="s">
        <v>103</v>
      </c>
      <c r="Y2443" s="8">
        <v>44379</v>
      </c>
      <c r="Z2443" s="8">
        <v>44926</v>
      </c>
      <c r="AA2443" s="7" t="s">
        <v>1251</v>
      </c>
      <c r="AB2443" s="7" t="s">
        <v>545</v>
      </c>
      <c r="AC2443" s="7" t="s">
        <v>79</v>
      </c>
      <c r="AD2443" s="7" t="s">
        <v>144</v>
      </c>
      <c r="AE2443" s="7" t="s">
        <v>82</v>
      </c>
      <c r="AF2443" s="7" t="s">
        <v>0</v>
      </c>
      <c r="AG2443" s="7" t="s">
        <v>0</v>
      </c>
      <c r="AH2443" s="9" t="s">
        <v>11613</v>
      </c>
      <c r="AI2443" s="9" t="s">
        <v>11614</v>
      </c>
      <c r="AJ2443" s="9" t="s">
        <v>11615</v>
      </c>
      <c r="AK2443" s="7" t="s">
        <v>61</v>
      </c>
      <c r="AL2443" s="7" t="s">
        <v>61</v>
      </c>
      <c r="AM2443" s="7" t="s">
        <v>0</v>
      </c>
      <c r="AN2443" s="7" t="s">
        <v>0</v>
      </c>
      <c r="AO2443" s="7" t="s">
        <v>0</v>
      </c>
      <c r="AP2443" s="7" t="s">
        <v>0</v>
      </c>
      <c r="AQ2443" s="7" t="s">
        <v>61</v>
      </c>
      <c r="AR2443" s="7" t="s">
        <v>0</v>
      </c>
      <c r="AS2443" s="10" t="str">
        <f>HYPERLINK("https://tessa.gazprom-neft.local/edo/card/c974f3dd-4839-48dc-9d09-2adc29d8701f", "https://tessa.gazprom-neft.local/edo/card/c974f3dd-4839-48dc-9d09-2adc29d8701f")</f>
        <v>https://tessa.gazprom-neft.local/edo/card/c974f3dd-4839-48dc-9d09-2adc29d8701f</v>
      </c>
    </row>
    <row r="2444" spans="1:45" hidden="1" x14ac:dyDescent="0.25">
      <c r="A2444" s="6" t="s">
        <v>44</v>
      </c>
      <c r="B2444" s="7" t="s">
        <v>793</v>
      </c>
      <c r="C2444" s="7" t="s">
        <v>46</v>
      </c>
      <c r="D2444" s="8">
        <v>44379</v>
      </c>
      <c r="E2444" s="8" t="s">
        <v>0</v>
      </c>
      <c r="F2444" s="16" t="s">
        <v>794</v>
      </c>
      <c r="G2444" s="7" t="s">
        <v>795</v>
      </c>
      <c r="H2444" s="7" t="s">
        <v>0</v>
      </c>
      <c r="I2444" s="7" t="s">
        <v>5115</v>
      </c>
      <c r="J2444" s="7" t="s">
        <v>5115</v>
      </c>
      <c r="K2444" s="7" t="s">
        <v>85</v>
      </c>
      <c r="L2444" s="7" t="s">
        <v>96</v>
      </c>
      <c r="M2444" s="7" t="s">
        <v>5113</v>
      </c>
      <c r="N2444" s="7" t="s">
        <v>5114</v>
      </c>
      <c r="O2444" s="7" t="s">
        <v>0</v>
      </c>
      <c r="P2444" s="7" t="s">
        <v>5116</v>
      </c>
      <c r="Q2444" s="7" t="s">
        <v>5117</v>
      </c>
      <c r="R2444" s="7" t="s">
        <v>2732</v>
      </c>
      <c r="S2444" s="7" t="s">
        <v>5118</v>
      </c>
      <c r="T2444" s="7" t="s">
        <v>54</v>
      </c>
      <c r="U2444" s="7" t="s">
        <v>55</v>
      </c>
      <c r="V2444" s="7" t="s">
        <v>56</v>
      </c>
      <c r="W2444" s="7" t="s">
        <v>57</v>
      </c>
      <c r="X2444" s="7" t="s">
        <v>103</v>
      </c>
      <c r="Y2444" s="8">
        <v>44379</v>
      </c>
      <c r="Z2444" s="8">
        <v>44926</v>
      </c>
      <c r="AA2444" s="7" t="s">
        <v>1251</v>
      </c>
      <c r="AB2444" s="7" t="s">
        <v>507</v>
      </c>
      <c r="AC2444" s="7" t="s">
        <v>79</v>
      </c>
      <c r="AD2444" s="7" t="s">
        <v>144</v>
      </c>
      <c r="AE2444" s="7" t="s">
        <v>82</v>
      </c>
      <c r="AF2444" s="7" t="s">
        <v>0</v>
      </c>
      <c r="AG2444" s="7" t="s">
        <v>0</v>
      </c>
      <c r="AH2444" s="9" t="s">
        <v>12343</v>
      </c>
      <c r="AI2444" s="9" t="s">
        <v>12344</v>
      </c>
      <c r="AJ2444" s="9" t="s">
        <v>12345</v>
      </c>
      <c r="AK2444" s="7" t="s">
        <v>61</v>
      </c>
      <c r="AL2444" s="7" t="s">
        <v>61</v>
      </c>
      <c r="AM2444" s="7" t="s">
        <v>0</v>
      </c>
      <c r="AN2444" s="7" t="s">
        <v>0</v>
      </c>
      <c r="AO2444" s="7" t="s">
        <v>0</v>
      </c>
      <c r="AP2444" s="7" t="s">
        <v>0</v>
      </c>
      <c r="AQ2444" s="7" t="s">
        <v>61</v>
      </c>
      <c r="AR2444" s="7" t="s">
        <v>0</v>
      </c>
      <c r="AS2444" s="10" t="str">
        <f>HYPERLINK("https://tessa.gazprom-neft.local/edo/card/c07eebfe-d618-4264-aa18-098289f1a21c", "https://tessa.gazprom-neft.local/edo/card/c07eebfe-d618-4264-aa18-098289f1a21c")</f>
        <v>https://tessa.gazprom-neft.local/edo/card/c07eebfe-d618-4264-aa18-098289f1a21c</v>
      </c>
    </row>
    <row r="2445" spans="1:45" hidden="1" x14ac:dyDescent="0.25">
      <c r="A2445" s="6" t="s">
        <v>44</v>
      </c>
      <c r="B2445" s="7" t="s">
        <v>793</v>
      </c>
      <c r="C2445" s="7" t="s">
        <v>46</v>
      </c>
      <c r="D2445" s="8">
        <v>44379</v>
      </c>
      <c r="E2445" s="8" t="s">
        <v>0</v>
      </c>
      <c r="F2445" s="16" t="s">
        <v>794</v>
      </c>
      <c r="G2445" s="7" t="s">
        <v>795</v>
      </c>
      <c r="H2445" s="7" t="s">
        <v>0</v>
      </c>
      <c r="I2445" s="7" t="s">
        <v>5304</v>
      </c>
      <c r="J2445" s="7" t="s">
        <v>5304</v>
      </c>
      <c r="K2445" s="7" t="s">
        <v>85</v>
      </c>
      <c r="L2445" s="7" t="s">
        <v>86</v>
      </c>
      <c r="M2445" s="7" t="s">
        <v>3500</v>
      </c>
      <c r="N2445" s="7" t="s">
        <v>5303</v>
      </c>
      <c r="O2445" s="7" t="s">
        <v>0</v>
      </c>
      <c r="P2445" s="7" t="s">
        <v>3500</v>
      </c>
      <c r="Q2445" s="7" t="s">
        <v>5305</v>
      </c>
      <c r="R2445" s="7" t="s">
        <v>2732</v>
      </c>
      <c r="S2445" s="7" t="s">
        <v>0</v>
      </c>
      <c r="T2445" s="7" t="s">
        <v>54</v>
      </c>
      <c r="U2445" s="7" t="s">
        <v>55</v>
      </c>
      <c r="V2445" s="7" t="s">
        <v>91</v>
      </c>
      <c r="W2445" s="7" t="s">
        <v>57</v>
      </c>
      <c r="X2445" s="7" t="s">
        <v>103</v>
      </c>
      <c r="Y2445" s="8">
        <v>44379</v>
      </c>
      <c r="Z2445" s="8">
        <v>44926</v>
      </c>
      <c r="AA2445" s="7" t="s">
        <v>0</v>
      </c>
      <c r="AB2445" s="7" t="s">
        <v>94</v>
      </c>
      <c r="AC2445" s="7" t="s">
        <v>65</v>
      </c>
      <c r="AD2445" s="7" t="s">
        <v>0</v>
      </c>
      <c r="AE2445" s="7" t="s">
        <v>0</v>
      </c>
      <c r="AF2445" s="7" t="s">
        <v>0</v>
      </c>
      <c r="AG2445" s="7" t="s">
        <v>0</v>
      </c>
      <c r="AH2445" s="9" t="s">
        <v>0</v>
      </c>
      <c r="AI2445" s="9" t="s">
        <v>0</v>
      </c>
      <c r="AJ2445" s="9" t="s">
        <v>0</v>
      </c>
      <c r="AK2445" s="7" t="s">
        <v>61</v>
      </c>
      <c r="AL2445" s="7" t="s">
        <v>61</v>
      </c>
      <c r="AM2445" s="7" t="s">
        <v>0</v>
      </c>
      <c r="AN2445" s="7" t="s">
        <v>0</v>
      </c>
      <c r="AO2445" s="7" t="s">
        <v>0</v>
      </c>
      <c r="AP2445" s="7" t="s">
        <v>0</v>
      </c>
      <c r="AQ2445" s="7" t="s">
        <v>61</v>
      </c>
      <c r="AR2445" s="7" t="s">
        <v>0</v>
      </c>
      <c r="AS2445" s="10" t="str">
        <f>HYPERLINK("https://tessa.gazprom-neft.local/edo/card/06e7a904-9258-4c58-92a1-0fbbf031b03f", "https://tessa.gazprom-neft.local/edo/card/06e7a904-9258-4c58-92a1-0fbbf031b03f")</f>
        <v>https://tessa.gazprom-neft.local/edo/card/06e7a904-9258-4c58-92a1-0fbbf031b03f</v>
      </c>
    </row>
    <row r="2446" spans="1:45" hidden="1" x14ac:dyDescent="0.25">
      <c r="A2446" s="6" t="s">
        <v>44</v>
      </c>
      <c r="B2446" s="7" t="s">
        <v>0</v>
      </c>
      <c r="C2446" s="7" t="s">
        <v>46</v>
      </c>
      <c r="D2446" s="8">
        <v>44379</v>
      </c>
      <c r="E2446" s="8" t="s">
        <v>0</v>
      </c>
      <c r="F2446" s="16" t="s">
        <v>5532</v>
      </c>
      <c r="G2446" s="7" t="s">
        <v>0</v>
      </c>
      <c r="H2446" s="7" t="s">
        <v>0</v>
      </c>
      <c r="I2446" s="7" t="s">
        <v>5529</v>
      </c>
      <c r="J2446" s="7" t="s">
        <v>5529</v>
      </c>
      <c r="K2446" s="7" t="s">
        <v>85</v>
      </c>
      <c r="L2446" s="7" t="s">
        <v>86</v>
      </c>
      <c r="M2446" s="7" t="s">
        <v>83</v>
      </c>
      <c r="N2446" s="7" t="s">
        <v>5528</v>
      </c>
      <c r="O2446" s="7" t="s">
        <v>0</v>
      </c>
      <c r="P2446" s="7" t="s">
        <v>83</v>
      </c>
      <c r="Q2446" s="7" t="s">
        <v>5530</v>
      </c>
      <c r="R2446" s="7" t="s">
        <v>244</v>
      </c>
      <c r="S2446" s="7" t="s">
        <v>5531</v>
      </c>
      <c r="T2446" s="7" t="s">
        <v>54</v>
      </c>
      <c r="U2446" s="7" t="s">
        <v>55</v>
      </c>
      <c r="V2446" s="7" t="s">
        <v>56</v>
      </c>
      <c r="W2446" s="7" t="s">
        <v>57</v>
      </c>
      <c r="X2446" s="7" t="s">
        <v>103</v>
      </c>
      <c r="Y2446" s="8">
        <v>44379</v>
      </c>
      <c r="Z2446" s="8">
        <v>44926</v>
      </c>
      <c r="AA2446" s="7" t="s">
        <v>1251</v>
      </c>
      <c r="AB2446" s="7" t="s">
        <v>94</v>
      </c>
      <c r="AC2446" s="7" t="s">
        <v>65</v>
      </c>
      <c r="AD2446" s="7" t="s">
        <v>0</v>
      </c>
      <c r="AE2446" s="7" t="s">
        <v>0</v>
      </c>
      <c r="AF2446" s="7" t="s">
        <v>0</v>
      </c>
      <c r="AG2446" s="7" t="s">
        <v>0</v>
      </c>
      <c r="AH2446" s="9" t="s">
        <v>0</v>
      </c>
      <c r="AI2446" s="9" t="s">
        <v>0</v>
      </c>
      <c r="AJ2446" s="9" t="s">
        <v>0</v>
      </c>
      <c r="AK2446" s="7" t="s">
        <v>61</v>
      </c>
      <c r="AL2446" s="7" t="s">
        <v>61</v>
      </c>
      <c r="AM2446" s="7" t="s">
        <v>0</v>
      </c>
      <c r="AN2446" s="7" t="s">
        <v>0</v>
      </c>
      <c r="AO2446" s="7" t="s">
        <v>0</v>
      </c>
      <c r="AP2446" s="7" t="s">
        <v>0</v>
      </c>
      <c r="AQ2446" s="7" t="s">
        <v>61</v>
      </c>
      <c r="AR2446" s="7" t="s">
        <v>0</v>
      </c>
      <c r="AS2446" s="10" t="str">
        <f>HYPERLINK("https://tessa.gazprom-neft.local/edo/card/61db9927-d925-436b-89f1-c17054fc5102", "https://tessa.gazprom-neft.local/edo/card/61db9927-d925-436b-89f1-c17054fc5102")</f>
        <v>https://tessa.gazprom-neft.local/edo/card/61db9927-d925-436b-89f1-c17054fc5102</v>
      </c>
    </row>
    <row r="2447" spans="1:45" hidden="1" x14ac:dyDescent="0.25">
      <c r="A2447" s="6" t="s">
        <v>44</v>
      </c>
      <c r="B2447" s="7" t="s">
        <v>0</v>
      </c>
      <c r="C2447" s="7" t="s">
        <v>46</v>
      </c>
      <c r="D2447" s="8">
        <v>44378</v>
      </c>
      <c r="E2447" s="8" t="s">
        <v>0</v>
      </c>
      <c r="F2447" s="16" t="s">
        <v>4689</v>
      </c>
      <c r="G2447" s="7" t="s">
        <v>0</v>
      </c>
      <c r="H2447" s="7" t="s">
        <v>0</v>
      </c>
      <c r="I2447" s="7" t="s">
        <v>4686</v>
      </c>
      <c r="J2447" s="7" t="s">
        <v>4686</v>
      </c>
      <c r="K2447" s="7" t="s">
        <v>47</v>
      </c>
      <c r="L2447" s="7" t="s">
        <v>96</v>
      </c>
      <c r="M2447" s="7" t="s">
        <v>0</v>
      </c>
      <c r="N2447" s="7" t="s">
        <v>4685</v>
      </c>
      <c r="O2447" s="7" t="s">
        <v>0</v>
      </c>
      <c r="P2447" s="7" t="s">
        <v>4645</v>
      </c>
      <c r="Q2447" s="7" t="s">
        <v>4687</v>
      </c>
      <c r="R2447" s="7" t="s">
        <v>324</v>
      </c>
      <c r="S2447" s="7" t="s">
        <v>4688</v>
      </c>
      <c r="T2447" s="7" t="s">
        <v>54</v>
      </c>
      <c r="U2447" s="7" t="s">
        <v>188</v>
      </c>
      <c r="V2447" s="7" t="s">
        <v>137</v>
      </c>
      <c r="W2447" s="7" t="s">
        <v>57</v>
      </c>
      <c r="X2447" s="7" t="s">
        <v>103</v>
      </c>
      <c r="Y2447" s="8">
        <v>44379</v>
      </c>
      <c r="Z2447" s="8">
        <v>44439</v>
      </c>
      <c r="AA2447" s="7" t="s">
        <v>0</v>
      </c>
      <c r="AB2447" s="7" t="s">
        <v>64</v>
      </c>
      <c r="AC2447" s="7" t="s">
        <v>79</v>
      </c>
      <c r="AD2447" s="7" t="s">
        <v>80</v>
      </c>
      <c r="AE2447" s="7" t="s">
        <v>82</v>
      </c>
      <c r="AF2447" s="7" t="s">
        <v>0</v>
      </c>
      <c r="AG2447" s="7" t="s">
        <v>0</v>
      </c>
      <c r="AH2447" s="9" t="s">
        <v>12172</v>
      </c>
      <c r="AI2447" s="9" t="s">
        <v>12173</v>
      </c>
      <c r="AJ2447" s="9" t="s">
        <v>12174</v>
      </c>
      <c r="AK2447" s="7" t="s">
        <v>61</v>
      </c>
      <c r="AL2447" s="7" t="s">
        <v>81</v>
      </c>
      <c r="AM2447" s="7" t="s">
        <v>4690</v>
      </c>
      <c r="AN2447" s="7" t="s">
        <v>4691</v>
      </c>
      <c r="AO2447" s="7" t="s">
        <v>0</v>
      </c>
      <c r="AP2447" s="7" t="s">
        <v>0</v>
      </c>
      <c r="AQ2447" s="7" t="s">
        <v>61</v>
      </c>
      <c r="AR2447" s="7" t="s">
        <v>0</v>
      </c>
      <c r="AS2447" s="10" t="str">
        <f>HYPERLINK("https://tessa.gazprom-neft.local/edo/card/f3cc7ad2-dc09-4a02-8acd-d1d8b6783791", "https://tessa.gazprom-neft.local/edo/card/f3cc7ad2-dc09-4a02-8acd-d1d8b6783791")</f>
        <v>https://tessa.gazprom-neft.local/edo/card/f3cc7ad2-dc09-4a02-8acd-d1d8b6783791</v>
      </c>
    </row>
    <row r="2448" spans="1:45" hidden="1" x14ac:dyDescent="0.25">
      <c r="A2448" s="6" t="s">
        <v>44</v>
      </c>
      <c r="B2448" s="7" t="s">
        <v>0</v>
      </c>
      <c r="C2448" s="7" t="s">
        <v>46</v>
      </c>
      <c r="D2448" s="8">
        <v>44378</v>
      </c>
      <c r="E2448" s="8" t="s">
        <v>0</v>
      </c>
      <c r="F2448" s="16" t="s">
        <v>5025</v>
      </c>
      <c r="G2448" s="7" t="s">
        <v>0</v>
      </c>
      <c r="H2448" s="7" t="s">
        <v>0</v>
      </c>
      <c r="I2448" s="7" t="s">
        <v>5023</v>
      </c>
      <c r="J2448" s="7" t="s">
        <v>5023</v>
      </c>
      <c r="K2448" s="7" t="s">
        <v>47</v>
      </c>
      <c r="L2448" s="7" t="s">
        <v>96</v>
      </c>
      <c r="M2448" s="7" t="s">
        <v>0</v>
      </c>
      <c r="N2448" s="7" t="s">
        <v>5022</v>
      </c>
      <c r="O2448" s="7" t="s">
        <v>0</v>
      </c>
      <c r="P2448" s="7" t="s">
        <v>5024</v>
      </c>
      <c r="Q2448" s="7" t="s">
        <v>4656</v>
      </c>
      <c r="R2448" s="7" t="s">
        <v>427</v>
      </c>
      <c r="S2448" s="7" t="s">
        <v>427</v>
      </c>
      <c r="T2448" s="7" t="s">
        <v>54</v>
      </c>
      <c r="U2448" s="7" t="s">
        <v>428</v>
      </c>
      <c r="V2448" s="7" t="s">
        <v>137</v>
      </c>
      <c r="W2448" s="7" t="s">
        <v>57</v>
      </c>
      <c r="X2448" s="7" t="s">
        <v>103</v>
      </c>
      <c r="Y2448" s="8">
        <v>44440</v>
      </c>
      <c r="Z2448" s="8">
        <v>45352</v>
      </c>
      <c r="AA2448" s="7" t="s">
        <v>0</v>
      </c>
      <c r="AB2448" s="7" t="s">
        <v>64</v>
      </c>
      <c r="AC2448" s="7" t="s">
        <v>79</v>
      </c>
      <c r="AD2448" s="7" t="s">
        <v>80</v>
      </c>
      <c r="AE2448" s="7" t="s">
        <v>82</v>
      </c>
      <c r="AF2448" s="7" t="s">
        <v>0</v>
      </c>
      <c r="AG2448" s="7" t="s">
        <v>0</v>
      </c>
      <c r="AH2448" s="9" t="s">
        <v>12306</v>
      </c>
      <c r="AI2448" s="9" t="s">
        <v>12307</v>
      </c>
      <c r="AJ2448" s="9" t="s">
        <v>12308</v>
      </c>
      <c r="AK2448" s="7" t="s">
        <v>61</v>
      </c>
      <c r="AL2448" s="7" t="s">
        <v>61</v>
      </c>
      <c r="AM2448" s="7" t="s">
        <v>0</v>
      </c>
      <c r="AN2448" s="7" t="s">
        <v>0</v>
      </c>
      <c r="AO2448" s="7" t="s">
        <v>0</v>
      </c>
      <c r="AP2448" s="7" t="s">
        <v>0</v>
      </c>
      <c r="AQ2448" s="7" t="s">
        <v>61</v>
      </c>
      <c r="AR2448" s="7" t="s">
        <v>0</v>
      </c>
      <c r="AS2448" s="10" t="str">
        <f>HYPERLINK("https://tessa.gazprom-neft.local/edo/card/4b43d721-4c30-428b-96c8-2f20e9b51841", "https://tessa.gazprom-neft.local/edo/card/4b43d721-4c30-428b-96c8-2f20e9b51841")</f>
        <v>https://tessa.gazprom-neft.local/edo/card/4b43d721-4c30-428b-96c8-2f20e9b51841</v>
      </c>
    </row>
    <row r="2449" spans="1:45" hidden="1" x14ac:dyDescent="0.25">
      <c r="A2449" s="6" t="s">
        <v>44</v>
      </c>
      <c r="B2449" s="7" t="s">
        <v>0</v>
      </c>
      <c r="C2449" s="7" t="s">
        <v>46</v>
      </c>
      <c r="D2449" s="8">
        <v>44378</v>
      </c>
      <c r="E2449" s="8" t="s">
        <v>0</v>
      </c>
      <c r="F2449" s="16" t="s">
        <v>5025</v>
      </c>
      <c r="G2449" s="7" t="s">
        <v>0</v>
      </c>
      <c r="H2449" s="7" t="s">
        <v>0</v>
      </c>
      <c r="I2449" s="7" t="s">
        <v>5033</v>
      </c>
      <c r="J2449" s="7" t="s">
        <v>5033</v>
      </c>
      <c r="K2449" s="7" t="s">
        <v>85</v>
      </c>
      <c r="L2449" s="7" t="s">
        <v>86</v>
      </c>
      <c r="M2449" s="7" t="s">
        <v>83</v>
      </c>
      <c r="N2449" s="7" t="s">
        <v>5032</v>
      </c>
      <c r="O2449" s="7" t="s">
        <v>0</v>
      </c>
      <c r="P2449" s="7" t="s">
        <v>83</v>
      </c>
      <c r="Q2449" s="7" t="s">
        <v>4656</v>
      </c>
      <c r="R2449" s="7" t="s">
        <v>427</v>
      </c>
      <c r="S2449" s="7" t="s">
        <v>427</v>
      </c>
      <c r="T2449" s="7" t="s">
        <v>54</v>
      </c>
      <c r="U2449" s="7" t="s">
        <v>428</v>
      </c>
      <c r="V2449" s="7" t="s">
        <v>137</v>
      </c>
      <c r="W2449" s="7" t="s">
        <v>57</v>
      </c>
      <c r="X2449" s="7" t="s">
        <v>103</v>
      </c>
      <c r="Y2449" s="8">
        <v>44440</v>
      </c>
      <c r="Z2449" s="8">
        <v>45352</v>
      </c>
      <c r="AA2449" s="7" t="s">
        <v>0</v>
      </c>
      <c r="AB2449" s="7" t="s">
        <v>64</v>
      </c>
      <c r="AC2449" s="7" t="s">
        <v>65</v>
      </c>
      <c r="AD2449" s="7" t="s">
        <v>0</v>
      </c>
      <c r="AE2449" s="7" t="s">
        <v>0</v>
      </c>
      <c r="AF2449" s="7" t="s">
        <v>0</v>
      </c>
      <c r="AG2449" s="7" t="s">
        <v>0</v>
      </c>
      <c r="AH2449" s="9" t="s">
        <v>0</v>
      </c>
      <c r="AI2449" s="9" t="s">
        <v>0</v>
      </c>
      <c r="AJ2449" s="9" t="s">
        <v>0</v>
      </c>
      <c r="AK2449" s="7" t="s">
        <v>61</v>
      </c>
      <c r="AL2449" s="7" t="s">
        <v>61</v>
      </c>
      <c r="AM2449" s="7" t="s">
        <v>0</v>
      </c>
      <c r="AN2449" s="7" t="s">
        <v>0</v>
      </c>
      <c r="AO2449" s="7" t="s">
        <v>0</v>
      </c>
      <c r="AP2449" s="7" t="s">
        <v>0</v>
      </c>
      <c r="AQ2449" s="7" t="s">
        <v>61</v>
      </c>
      <c r="AR2449" s="7" t="s">
        <v>0</v>
      </c>
      <c r="AS2449" s="10" t="str">
        <f>HYPERLINK("https://tessa.gazprom-neft.local/edo/card/95edb8ee-7cac-41a0-beef-46c6dadc9dae", "https://tessa.gazprom-neft.local/edo/card/95edb8ee-7cac-41a0-beef-46c6dadc9dae")</f>
        <v>https://tessa.gazprom-neft.local/edo/card/95edb8ee-7cac-41a0-beef-46c6dadc9dae</v>
      </c>
    </row>
    <row r="2450" spans="1:45" x14ac:dyDescent="0.25">
      <c r="A2450" s="6" t="s">
        <v>44</v>
      </c>
      <c r="B2450" s="7" t="s">
        <v>964</v>
      </c>
      <c r="C2450" s="7" t="s">
        <v>67</v>
      </c>
      <c r="D2450" s="8">
        <v>44378</v>
      </c>
      <c r="E2450" s="8" t="s">
        <v>0</v>
      </c>
      <c r="F2450" s="16" t="s">
        <v>965</v>
      </c>
      <c r="G2450" s="7" t="s">
        <v>966</v>
      </c>
      <c r="H2450" s="7" t="s">
        <v>5038</v>
      </c>
      <c r="I2450" s="7" t="s">
        <v>0</v>
      </c>
      <c r="J2450" s="7" t="s">
        <v>70</v>
      </c>
      <c r="K2450" s="7" t="s">
        <v>47</v>
      </c>
      <c r="L2450" s="7" t="s">
        <v>48</v>
      </c>
      <c r="M2450" s="7" t="s">
        <v>0</v>
      </c>
      <c r="N2450" s="7" t="s">
        <v>5036</v>
      </c>
      <c r="O2450" s="7" t="s">
        <v>5037</v>
      </c>
      <c r="P2450" s="7" t="s">
        <v>5039</v>
      </c>
      <c r="Q2450" s="7" t="s">
        <v>5040</v>
      </c>
      <c r="R2450" s="7" t="s">
        <v>293</v>
      </c>
      <c r="S2450" s="7" t="s">
        <v>5041</v>
      </c>
      <c r="T2450" s="7" t="s">
        <v>54</v>
      </c>
      <c r="U2450" s="7" t="s">
        <v>1683</v>
      </c>
      <c r="V2450" s="7" t="s">
        <v>295</v>
      </c>
      <c r="W2450" s="7" t="s">
        <v>57</v>
      </c>
      <c r="X2450" s="7" t="s">
        <v>58</v>
      </c>
      <c r="Y2450" s="8">
        <v>44378</v>
      </c>
      <c r="Z2450" s="8" t="s">
        <v>0</v>
      </c>
      <c r="AA2450" s="7" t="s">
        <v>1269</v>
      </c>
      <c r="AB2450" s="7" t="s">
        <v>366</v>
      </c>
      <c r="AC2450" s="7" t="s">
        <v>65</v>
      </c>
      <c r="AD2450" s="7" t="s">
        <v>0</v>
      </c>
      <c r="AE2450" s="7" t="s">
        <v>0</v>
      </c>
      <c r="AF2450" s="7" t="s">
        <v>0</v>
      </c>
      <c r="AG2450" s="7" t="s">
        <v>0</v>
      </c>
      <c r="AH2450" s="9" t="s">
        <v>0</v>
      </c>
      <c r="AI2450" s="9" t="s">
        <v>0</v>
      </c>
      <c r="AJ2450" s="9" t="s">
        <v>0</v>
      </c>
      <c r="AK2450" s="7" t="s">
        <v>61</v>
      </c>
      <c r="AL2450" s="7" t="s">
        <v>61</v>
      </c>
      <c r="AM2450" s="7" t="s">
        <v>0</v>
      </c>
      <c r="AN2450" s="7" t="s">
        <v>0</v>
      </c>
      <c r="AO2450" s="7" t="s">
        <v>0</v>
      </c>
      <c r="AP2450" s="7" t="s">
        <v>0</v>
      </c>
      <c r="AQ2450" s="7" t="s">
        <v>61</v>
      </c>
      <c r="AR2450" s="7" t="s">
        <v>0</v>
      </c>
      <c r="AS2450" s="10" t="str">
        <f>HYPERLINK("https://tessa.gazprom-neft.local/edo/card/a5151f6f-e10a-463c-bff0-182dac0fe168", "https://tessa.gazprom-neft.local/edo/card/a5151f6f-e10a-463c-bff0-182dac0fe168")</f>
        <v>https://tessa.gazprom-neft.local/edo/card/a5151f6f-e10a-463c-bff0-182dac0fe168</v>
      </c>
    </row>
    <row r="2451" spans="1:45" hidden="1" x14ac:dyDescent="0.25">
      <c r="A2451" s="6" t="s">
        <v>44</v>
      </c>
      <c r="B2451" s="7" t="s">
        <v>0</v>
      </c>
      <c r="C2451" s="7" t="s">
        <v>67</v>
      </c>
      <c r="D2451" s="8">
        <v>44378</v>
      </c>
      <c r="E2451" s="8" t="s">
        <v>0</v>
      </c>
      <c r="F2451" s="16" t="s">
        <v>5025</v>
      </c>
      <c r="G2451" s="7" t="s">
        <v>0</v>
      </c>
      <c r="H2451" s="7" t="s">
        <v>0</v>
      </c>
      <c r="I2451" s="7" t="s">
        <v>5212</v>
      </c>
      <c r="J2451" s="7" t="s">
        <v>5212</v>
      </c>
      <c r="K2451" s="7" t="s">
        <v>85</v>
      </c>
      <c r="L2451" s="7" t="s">
        <v>86</v>
      </c>
      <c r="M2451" s="7" t="s">
        <v>2316</v>
      </c>
      <c r="N2451" s="7" t="s">
        <v>5211</v>
      </c>
      <c r="O2451" s="7" t="s">
        <v>0</v>
      </c>
      <c r="P2451" s="7" t="s">
        <v>2316</v>
      </c>
      <c r="Q2451" s="7" t="s">
        <v>5213</v>
      </c>
      <c r="R2451" s="7" t="s">
        <v>427</v>
      </c>
      <c r="S2451" s="7" t="s">
        <v>427</v>
      </c>
      <c r="T2451" s="7" t="s">
        <v>54</v>
      </c>
      <c r="U2451" s="7" t="s">
        <v>428</v>
      </c>
      <c r="V2451" s="7" t="s">
        <v>137</v>
      </c>
      <c r="W2451" s="7" t="s">
        <v>57</v>
      </c>
      <c r="X2451" s="7" t="s">
        <v>103</v>
      </c>
      <c r="Y2451" s="8">
        <v>44378</v>
      </c>
      <c r="Z2451" s="8">
        <v>46204</v>
      </c>
      <c r="AA2451" s="7" t="s">
        <v>0</v>
      </c>
      <c r="AB2451" s="7" t="s">
        <v>328</v>
      </c>
      <c r="AC2451" s="7" t="s">
        <v>65</v>
      </c>
      <c r="AD2451" s="7" t="s">
        <v>0</v>
      </c>
      <c r="AE2451" s="7" t="s">
        <v>0</v>
      </c>
      <c r="AF2451" s="7" t="s">
        <v>0</v>
      </c>
      <c r="AG2451" s="7" t="s">
        <v>0</v>
      </c>
      <c r="AH2451" s="9" t="s">
        <v>0</v>
      </c>
      <c r="AI2451" s="9" t="s">
        <v>0</v>
      </c>
      <c r="AJ2451" s="9" t="s">
        <v>0</v>
      </c>
      <c r="AK2451" s="7" t="s">
        <v>61</v>
      </c>
      <c r="AL2451" s="7" t="s">
        <v>61</v>
      </c>
      <c r="AM2451" s="7" t="s">
        <v>0</v>
      </c>
      <c r="AN2451" s="7" t="s">
        <v>0</v>
      </c>
      <c r="AO2451" s="7" t="s">
        <v>0</v>
      </c>
      <c r="AP2451" s="7" t="s">
        <v>0</v>
      </c>
      <c r="AQ2451" s="7" t="s">
        <v>61</v>
      </c>
      <c r="AR2451" s="7" t="s">
        <v>0</v>
      </c>
      <c r="AS2451" s="10" t="str">
        <f>HYPERLINK("https://tessa.gazprom-neft.local/edo/card/a3220a96-0b11-4183-9fd4-0758ea19d6b2", "https://tessa.gazprom-neft.local/edo/card/a3220a96-0b11-4183-9fd4-0758ea19d6b2")</f>
        <v>https://tessa.gazprom-neft.local/edo/card/a3220a96-0b11-4183-9fd4-0758ea19d6b2</v>
      </c>
    </row>
    <row r="2452" spans="1:45" x14ac:dyDescent="0.25">
      <c r="A2452" s="6" t="s">
        <v>44</v>
      </c>
      <c r="B2452" s="7" t="s">
        <v>342</v>
      </c>
      <c r="C2452" s="7" t="s">
        <v>67</v>
      </c>
      <c r="D2452" s="8">
        <v>44378</v>
      </c>
      <c r="E2452" s="8" t="s">
        <v>0</v>
      </c>
      <c r="F2452" s="16" t="s">
        <v>343</v>
      </c>
      <c r="G2452" s="7" t="s">
        <v>344</v>
      </c>
      <c r="H2452" s="7" t="s">
        <v>5400</v>
      </c>
      <c r="I2452" s="7" t="s">
        <v>0</v>
      </c>
      <c r="J2452" s="7" t="s">
        <v>872</v>
      </c>
      <c r="K2452" s="7" t="s">
        <v>85</v>
      </c>
      <c r="L2452" s="7" t="s">
        <v>48</v>
      </c>
      <c r="M2452" s="7" t="s">
        <v>5195</v>
      </c>
      <c r="N2452" s="7" t="s">
        <v>5399</v>
      </c>
      <c r="O2452" s="7" t="s">
        <v>0</v>
      </c>
      <c r="P2452" s="7" t="s">
        <v>5195</v>
      </c>
      <c r="Q2452" s="7" t="s">
        <v>4986</v>
      </c>
      <c r="R2452" s="7" t="s">
        <v>513</v>
      </c>
      <c r="S2452" s="7" t="s">
        <v>513</v>
      </c>
      <c r="T2452" s="7" t="s">
        <v>54</v>
      </c>
      <c r="U2452" s="7" t="s">
        <v>303</v>
      </c>
      <c r="V2452" s="7" t="s">
        <v>91</v>
      </c>
      <c r="W2452" s="7" t="s">
        <v>57</v>
      </c>
      <c r="X2452" s="7" t="s">
        <v>103</v>
      </c>
      <c r="Y2452" s="8">
        <v>44378</v>
      </c>
      <c r="Z2452" s="8">
        <v>44926</v>
      </c>
      <c r="AA2452" s="7" t="s">
        <v>0</v>
      </c>
      <c r="AB2452" s="7" t="s">
        <v>328</v>
      </c>
      <c r="AC2452" s="7" t="s">
        <v>65</v>
      </c>
      <c r="AD2452" s="7" t="s">
        <v>0</v>
      </c>
      <c r="AE2452" s="7" t="s">
        <v>0</v>
      </c>
      <c r="AF2452" s="7" t="s">
        <v>0</v>
      </c>
      <c r="AG2452" s="7" t="s">
        <v>0</v>
      </c>
      <c r="AH2452" s="9" t="s">
        <v>0</v>
      </c>
      <c r="AI2452" s="9" t="s">
        <v>0</v>
      </c>
      <c r="AJ2452" s="9" t="s">
        <v>0</v>
      </c>
      <c r="AK2452" s="7" t="s">
        <v>61</v>
      </c>
      <c r="AL2452" s="7" t="s">
        <v>61</v>
      </c>
      <c r="AM2452" s="7" t="s">
        <v>0</v>
      </c>
      <c r="AN2452" s="7" t="s">
        <v>0</v>
      </c>
      <c r="AO2452" s="7" t="s">
        <v>0</v>
      </c>
      <c r="AP2452" s="7" t="s">
        <v>0</v>
      </c>
      <c r="AQ2452" s="7" t="s">
        <v>61</v>
      </c>
      <c r="AR2452" s="7" t="s">
        <v>0</v>
      </c>
      <c r="AS2452" s="10" t="str">
        <f>HYPERLINK("https://tessa.gazprom-neft.local/edo/card/a9bd0f6e-8365-4b10-8a6e-093db8cb5493", "https://tessa.gazprom-neft.local/edo/card/a9bd0f6e-8365-4b10-8a6e-093db8cb5493")</f>
        <v>https://tessa.gazprom-neft.local/edo/card/a9bd0f6e-8365-4b10-8a6e-093db8cb5493</v>
      </c>
    </row>
    <row r="2453" spans="1:45" x14ac:dyDescent="0.25">
      <c r="A2453" s="6" t="s">
        <v>44</v>
      </c>
      <c r="B2453" s="7" t="s">
        <v>2383</v>
      </c>
      <c r="C2453" s="7" t="s">
        <v>67</v>
      </c>
      <c r="D2453" s="8">
        <v>44378</v>
      </c>
      <c r="E2453" s="8" t="s">
        <v>0</v>
      </c>
      <c r="F2453" s="16" t="s">
        <v>2384</v>
      </c>
      <c r="G2453" s="7" t="s">
        <v>2385</v>
      </c>
      <c r="H2453" s="7" t="s">
        <v>5425</v>
      </c>
      <c r="I2453" s="7" t="s">
        <v>0</v>
      </c>
      <c r="J2453" s="7" t="s">
        <v>5426</v>
      </c>
      <c r="K2453" s="7" t="s">
        <v>85</v>
      </c>
      <c r="L2453" s="7" t="s">
        <v>48</v>
      </c>
      <c r="M2453" s="7" t="s">
        <v>5195</v>
      </c>
      <c r="N2453" s="7" t="s">
        <v>5424</v>
      </c>
      <c r="O2453" s="7" t="s">
        <v>0</v>
      </c>
      <c r="P2453" s="7" t="s">
        <v>5195</v>
      </c>
      <c r="Q2453" s="7" t="s">
        <v>4986</v>
      </c>
      <c r="R2453" s="7" t="s">
        <v>513</v>
      </c>
      <c r="S2453" s="7" t="s">
        <v>513</v>
      </c>
      <c r="T2453" s="7" t="s">
        <v>54</v>
      </c>
      <c r="U2453" s="7" t="s">
        <v>303</v>
      </c>
      <c r="V2453" s="7" t="s">
        <v>91</v>
      </c>
      <c r="W2453" s="7" t="s">
        <v>57</v>
      </c>
      <c r="X2453" s="7" t="s">
        <v>103</v>
      </c>
      <c r="Y2453" s="8">
        <v>44378</v>
      </c>
      <c r="Z2453" s="8">
        <v>44926</v>
      </c>
      <c r="AA2453" s="7" t="s">
        <v>0</v>
      </c>
      <c r="AB2453" s="7" t="s">
        <v>328</v>
      </c>
      <c r="AC2453" s="7" t="s">
        <v>65</v>
      </c>
      <c r="AD2453" s="7" t="s">
        <v>0</v>
      </c>
      <c r="AE2453" s="7" t="s">
        <v>0</v>
      </c>
      <c r="AF2453" s="7" t="s">
        <v>0</v>
      </c>
      <c r="AG2453" s="7" t="s">
        <v>0</v>
      </c>
      <c r="AH2453" s="9" t="s">
        <v>0</v>
      </c>
      <c r="AI2453" s="9" t="s">
        <v>0</v>
      </c>
      <c r="AJ2453" s="9" t="s">
        <v>0</v>
      </c>
      <c r="AK2453" s="7" t="s">
        <v>61</v>
      </c>
      <c r="AL2453" s="7" t="s">
        <v>61</v>
      </c>
      <c r="AM2453" s="7" t="s">
        <v>0</v>
      </c>
      <c r="AN2453" s="7" t="s">
        <v>0</v>
      </c>
      <c r="AO2453" s="7" t="s">
        <v>0</v>
      </c>
      <c r="AP2453" s="7" t="s">
        <v>0</v>
      </c>
      <c r="AQ2453" s="7" t="s">
        <v>61</v>
      </c>
      <c r="AR2453" s="7" t="s">
        <v>0</v>
      </c>
      <c r="AS2453" s="10" t="str">
        <f>HYPERLINK("https://tessa.gazprom-neft.local/edo/card/5b3c9d87-805f-4064-91f0-d5dd83cf04ab", "https://tessa.gazprom-neft.local/edo/card/5b3c9d87-805f-4064-91f0-d5dd83cf04ab")</f>
        <v>https://tessa.gazprom-neft.local/edo/card/5b3c9d87-805f-4064-91f0-d5dd83cf04ab</v>
      </c>
    </row>
    <row r="2454" spans="1:45" x14ac:dyDescent="0.25">
      <c r="A2454" s="6" t="s">
        <v>44</v>
      </c>
      <c r="B2454" s="7" t="s">
        <v>2383</v>
      </c>
      <c r="C2454" s="7" t="s">
        <v>67</v>
      </c>
      <c r="D2454" s="8">
        <v>44378</v>
      </c>
      <c r="E2454" s="8" t="s">
        <v>0</v>
      </c>
      <c r="F2454" s="16" t="s">
        <v>2384</v>
      </c>
      <c r="G2454" s="7" t="s">
        <v>2385</v>
      </c>
      <c r="H2454" s="7" t="s">
        <v>5446</v>
      </c>
      <c r="I2454" s="7" t="s">
        <v>0</v>
      </c>
      <c r="J2454" s="7" t="s">
        <v>5447</v>
      </c>
      <c r="K2454" s="7" t="s">
        <v>85</v>
      </c>
      <c r="L2454" s="7" t="s">
        <v>48</v>
      </c>
      <c r="M2454" s="7" t="s">
        <v>5195</v>
      </c>
      <c r="N2454" s="7" t="s">
        <v>5445</v>
      </c>
      <c r="O2454" s="7" t="s">
        <v>0</v>
      </c>
      <c r="P2454" s="7" t="s">
        <v>5195</v>
      </c>
      <c r="Q2454" s="7" t="s">
        <v>4986</v>
      </c>
      <c r="R2454" s="7" t="s">
        <v>513</v>
      </c>
      <c r="S2454" s="7" t="s">
        <v>513</v>
      </c>
      <c r="T2454" s="7" t="s">
        <v>54</v>
      </c>
      <c r="U2454" s="7" t="s">
        <v>303</v>
      </c>
      <c r="V2454" s="7" t="s">
        <v>91</v>
      </c>
      <c r="W2454" s="7" t="s">
        <v>57</v>
      </c>
      <c r="X2454" s="7" t="s">
        <v>103</v>
      </c>
      <c r="Y2454" s="8">
        <v>44378</v>
      </c>
      <c r="Z2454" s="8">
        <v>44926</v>
      </c>
      <c r="AA2454" s="7" t="s">
        <v>0</v>
      </c>
      <c r="AB2454" s="7" t="s">
        <v>328</v>
      </c>
      <c r="AC2454" s="7" t="s">
        <v>65</v>
      </c>
      <c r="AD2454" s="7" t="s">
        <v>0</v>
      </c>
      <c r="AE2454" s="7" t="s">
        <v>0</v>
      </c>
      <c r="AF2454" s="7" t="s">
        <v>0</v>
      </c>
      <c r="AG2454" s="7" t="s">
        <v>0</v>
      </c>
      <c r="AH2454" s="9" t="s">
        <v>0</v>
      </c>
      <c r="AI2454" s="9" t="s">
        <v>0</v>
      </c>
      <c r="AJ2454" s="9" t="s">
        <v>0</v>
      </c>
      <c r="AK2454" s="7" t="s">
        <v>61</v>
      </c>
      <c r="AL2454" s="7" t="s">
        <v>61</v>
      </c>
      <c r="AM2454" s="7" t="s">
        <v>0</v>
      </c>
      <c r="AN2454" s="7" t="s">
        <v>0</v>
      </c>
      <c r="AO2454" s="7" t="s">
        <v>0</v>
      </c>
      <c r="AP2454" s="7" t="s">
        <v>0</v>
      </c>
      <c r="AQ2454" s="7" t="s">
        <v>61</v>
      </c>
      <c r="AR2454" s="7" t="s">
        <v>0</v>
      </c>
      <c r="AS2454" s="10" t="str">
        <f>HYPERLINK("https://tessa.gazprom-neft.local/edo/card/c0136a1e-6169-46e1-a7ac-8c0b617c1d98", "https://tessa.gazprom-neft.local/edo/card/c0136a1e-6169-46e1-a7ac-8c0b617c1d98")</f>
        <v>https://tessa.gazprom-neft.local/edo/card/c0136a1e-6169-46e1-a7ac-8c0b617c1d98</v>
      </c>
    </row>
    <row r="2455" spans="1:45" x14ac:dyDescent="0.25">
      <c r="A2455" s="6" t="s">
        <v>44</v>
      </c>
      <c r="B2455" s="7" t="s">
        <v>245</v>
      </c>
      <c r="C2455" s="7" t="s">
        <v>67</v>
      </c>
      <c r="D2455" s="8">
        <v>44377</v>
      </c>
      <c r="E2455" s="8" t="s">
        <v>0</v>
      </c>
      <c r="F2455" s="16" t="s">
        <v>246</v>
      </c>
      <c r="G2455" s="7" t="s">
        <v>247</v>
      </c>
      <c r="H2455" s="7" t="s">
        <v>4159</v>
      </c>
      <c r="I2455" s="7" t="s">
        <v>0</v>
      </c>
      <c r="J2455" s="7" t="s">
        <v>4161</v>
      </c>
      <c r="K2455" s="7" t="s">
        <v>47</v>
      </c>
      <c r="L2455" s="7" t="s">
        <v>48</v>
      </c>
      <c r="M2455" s="7" t="s">
        <v>0</v>
      </c>
      <c r="N2455" s="7" t="s">
        <v>4157</v>
      </c>
      <c r="O2455" s="7" t="s">
        <v>4158</v>
      </c>
      <c r="P2455" s="7" t="s">
        <v>4160</v>
      </c>
      <c r="Q2455" s="7" t="s">
        <v>4162</v>
      </c>
      <c r="R2455" s="7" t="s">
        <v>1774</v>
      </c>
      <c r="S2455" s="7" t="s">
        <v>4163</v>
      </c>
      <c r="T2455" s="7" t="s">
        <v>54</v>
      </c>
      <c r="U2455" s="7" t="s">
        <v>307</v>
      </c>
      <c r="V2455" s="7" t="s">
        <v>382</v>
      </c>
      <c r="W2455" s="7" t="s">
        <v>57</v>
      </c>
      <c r="X2455" s="7" t="s">
        <v>103</v>
      </c>
      <c r="Y2455" s="8">
        <v>44377</v>
      </c>
      <c r="Z2455" s="8">
        <v>44439</v>
      </c>
      <c r="AA2455" s="7" t="s">
        <v>1656</v>
      </c>
      <c r="AB2455" s="7" t="s">
        <v>4164</v>
      </c>
      <c r="AC2455" s="7" t="s">
        <v>65</v>
      </c>
      <c r="AD2455" s="7" t="s">
        <v>514</v>
      </c>
      <c r="AE2455" s="7" t="s">
        <v>0</v>
      </c>
      <c r="AF2455" s="7" t="s">
        <v>0</v>
      </c>
      <c r="AG2455" s="7" t="s">
        <v>0</v>
      </c>
      <c r="AH2455" s="9" t="s">
        <v>0</v>
      </c>
      <c r="AI2455" s="9" t="s">
        <v>0</v>
      </c>
      <c r="AJ2455" s="9" t="s">
        <v>0</v>
      </c>
      <c r="AK2455" s="7" t="s">
        <v>61</v>
      </c>
      <c r="AL2455" s="7" t="s">
        <v>61</v>
      </c>
      <c r="AM2455" s="7" t="s">
        <v>0</v>
      </c>
      <c r="AN2455" s="7" t="s">
        <v>0</v>
      </c>
      <c r="AO2455" s="7" t="s">
        <v>0</v>
      </c>
      <c r="AP2455" s="7" t="s">
        <v>0</v>
      </c>
      <c r="AQ2455" s="7" t="s">
        <v>61</v>
      </c>
      <c r="AR2455" s="7" t="s">
        <v>0</v>
      </c>
      <c r="AS2455" s="10" t="str">
        <f>HYPERLINK("https://tessa.gazprom-neft.local/edo/card/d75140d6-0d9b-48f5-82ba-a8f395ea3dad", "https://tessa.gazprom-neft.local/edo/card/d75140d6-0d9b-48f5-82ba-a8f395ea3dad")</f>
        <v>https://tessa.gazprom-neft.local/edo/card/d75140d6-0d9b-48f5-82ba-a8f395ea3dad</v>
      </c>
    </row>
    <row r="2456" spans="1:45" hidden="1" x14ac:dyDescent="0.25">
      <c r="A2456" s="6" t="s">
        <v>44</v>
      </c>
      <c r="B2456" s="7" t="s">
        <v>497</v>
      </c>
      <c r="C2456" s="7" t="s">
        <v>46</v>
      </c>
      <c r="D2456" s="8">
        <v>44377</v>
      </c>
      <c r="E2456" s="8" t="s">
        <v>0</v>
      </c>
      <c r="F2456" s="16" t="s">
        <v>498</v>
      </c>
      <c r="G2456" s="7" t="s">
        <v>499</v>
      </c>
      <c r="H2456" s="7" t="s">
        <v>0</v>
      </c>
      <c r="I2456" s="7" t="s">
        <v>5010</v>
      </c>
      <c r="J2456" s="7" t="s">
        <v>5010</v>
      </c>
      <c r="K2456" s="7" t="s">
        <v>47</v>
      </c>
      <c r="L2456" s="7" t="s">
        <v>96</v>
      </c>
      <c r="M2456" s="7" t="s">
        <v>0</v>
      </c>
      <c r="N2456" s="7" t="s">
        <v>5009</v>
      </c>
      <c r="O2456" s="7" t="s">
        <v>0</v>
      </c>
      <c r="P2456" s="7" t="s">
        <v>5011</v>
      </c>
      <c r="Q2456" s="7" t="s">
        <v>5012</v>
      </c>
      <c r="R2456" s="7" t="s">
        <v>2079</v>
      </c>
      <c r="S2456" s="7" t="s">
        <v>5013</v>
      </c>
      <c r="T2456" s="7" t="s">
        <v>54</v>
      </c>
      <c r="U2456" s="7" t="s">
        <v>307</v>
      </c>
      <c r="V2456" s="7" t="s">
        <v>56</v>
      </c>
      <c r="W2456" s="7" t="s">
        <v>57</v>
      </c>
      <c r="X2456" s="7" t="s">
        <v>58</v>
      </c>
      <c r="Y2456" s="8">
        <v>44377</v>
      </c>
      <c r="Z2456" s="8" t="s">
        <v>0</v>
      </c>
      <c r="AA2456" s="7" t="s">
        <v>1251</v>
      </c>
      <c r="AB2456" s="7" t="s">
        <v>500</v>
      </c>
      <c r="AC2456" s="7" t="s">
        <v>79</v>
      </c>
      <c r="AD2456" s="7" t="s">
        <v>80</v>
      </c>
      <c r="AE2456" s="7" t="s">
        <v>82</v>
      </c>
      <c r="AF2456" s="7" t="s">
        <v>0</v>
      </c>
      <c r="AG2456" s="7" t="s">
        <v>0</v>
      </c>
      <c r="AH2456" s="9" t="s">
        <v>12300</v>
      </c>
      <c r="AI2456" s="9" t="s">
        <v>12301</v>
      </c>
      <c r="AJ2456" s="9" t="s">
        <v>12302</v>
      </c>
      <c r="AK2456" s="7" t="s">
        <v>61</v>
      </c>
      <c r="AL2456" s="7" t="s">
        <v>61</v>
      </c>
      <c r="AM2456" s="7" t="s">
        <v>0</v>
      </c>
      <c r="AN2456" s="7" t="s">
        <v>0</v>
      </c>
      <c r="AO2456" s="7" t="s">
        <v>0</v>
      </c>
      <c r="AP2456" s="7" t="s">
        <v>0</v>
      </c>
      <c r="AQ2456" s="7" t="s">
        <v>61</v>
      </c>
      <c r="AR2456" s="7" t="s">
        <v>0</v>
      </c>
      <c r="AS2456" s="10" t="str">
        <f>HYPERLINK("https://tessa.gazprom-neft.local/edo/card/69ebb886-d673-4e70-849d-373e7e885fa9", "https://tessa.gazprom-neft.local/edo/card/69ebb886-d673-4e70-849d-373e7e885fa9")</f>
        <v>https://tessa.gazprom-neft.local/edo/card/69ebb886-d673-4e70-849d-373e7e885fa9</v>
      </c>
    </row>
    <row r="2457" spans="1:45" x14ac:dyDescent="0.25">
      <c r="A2457" s="6" t="s">
        <v>44</v>
      </c>
      <c r="B2457" s="7" t="s">
        <v>3031</v>
      </c>
      <c r="C2457" s="7" t="s">
        <v>67</v>
      </c>
      <c r="D2457" s="8">
        <v>44377</v>
      </c>
      <c r="E2457" s="8" t="s">
        <v>0</v>
      </c>
      <c r="F2457" s="16" t="s">
        <v>3032</v>
      </c>
      <c r="G2457" s="7" t="s">
        <v>3033</v>
      </c>
      <c r="H2457" s="7" t="s">
        <v>5244</v>
      </c>
      <c r="I2457" s="7" t="s">
        <v>0</v>
      </c>
      <c r="J2457" s="7" t="s">
        <v>271</v>
      </c>
      <c r="K2457" s="7" t="s">
        <v>85</v>
      </c>
      <c r="L2457" s="7" t="s">
        <v>48</v>
      </c>
      <c r="M2457" s="7" t="s">
        <v>5195</v>
      </c>
      <c r="N2457" s="7" t="s">
        <v>5243</v>
      </c>
      <c r="O2457" s="7" t="s">
        <v>0</v>
      </c>
      <c r="P2457" s="7" t="s">
        <v>5195</v>
      </c>
      <c r="Q2457" s="7" t="s">
        <v>5198</v>
      </c>
      <c r="R2457" s="7" t="s">
        <v>1829</v>
      </c>
      <c r="S2457" s="7" t="s">
        <v>0</v>
      </c>
      <c r="T2457" s="7" t="s">
        <v>54</v>
      </c>
      <c r="U2457" s="7" t="s">
        <v>307</v>
      </c>
      <c r="V2457" s="7" t="s">
        <v>382</v>
      </c>
      <c r="W2457" s="7" t="s">
        <v>57</v>
      </c>
      <c r="X2457" s="7" t="s">
        <v>103</v>
      </c>
      <c r="Y2457" s="8">
        <v>44377</v>
      </c>
      <c r="Z2457" s="8">
        <v>45291</v>
      </c>
      <c r="AA2457" s="7" t="s">
        <v>1656</v>
      </c>
      <c r="AB2457" s="7" t="s">
        <v>5245</v>
      </c>
      <c r="AC2457" s="7" t="s">
        <v>65</v>
      </c>
      <c r="AD2457" s="7" t="s">
        <v>0</v>
      </c>
      <c r="AE2457" s="7" t="s">
        <v>0</v>
      </c>
      <c r="AF2457" s="7" t="s">
        <v>0</v>
      </c>
      <c r="AG2457" s="7" t="s">
        <v>0</v>
      </c>
      <c r="AH2457" s="9" t="s">
        <v>0</v>
      </c>
      <c r="AI2457" s="9" t="s">
        <v>0</v>
      </c>
      <c r="AJ2457" s="9" t="s">
        <v>0</v>
      </c>
      <c r="AK2457" s="7" t="s">
        <v>61</v>
      </c>
      <c r="AL2457" s="7" t="s">
        <v>61</v>
      </c>
      <c r="AM2457" s="7" t="s">
        <v>0</v>
      </c>
      <c r="AN2457" s="7" t="s">
        <v>0</v>
      </c>
      <c r="AO2457" s="7" t="s">
        <v>0</v>
      </c>
      <c r="AP2457" s="7" t="s">
        <v>0</v>
      </c>
      <c r="AQ2457" s="7" t="s">
        <v>61</v>
      </c>
      <c r="AR2457" s="7" t="s">
        <v>0</v>
      </c>
      <c r="AS2457" s="10" t="str">
        <f>HYPERLINK("https://tessa.gazprom-neft.local/edo/card/8317c00f-8669-406f-bc23-6655dbca1b97", "https://tessa.gazprom-neft.local/edo/card/8317c00f-8669-406f-bc23-6655dbca1b97")</f>
        <v>https://tessa.gazprom-neft.local/edo/card/8317c00f-8669-406f-bc23-6655dbca1b97</v>
      </c>
    </row>
    <row r="2458" spans="1:45" hidden="1" x14ac:dyDescent="0.25">
      <c r="A2458" s="6" t="s">
        <v>44</v>
      </c>
      <c r="B2458" s="7" t="s">
        <v>1328</v>
      </c>
      <c r="C2458" s="7" t="s">
        <v>67</v>
      </c>
      <c r="D2458" s="8">
        <v>44376</v>
      </c>
      <c r="E2458" s="8" t="s">
        <v>0</v>
      </c>
      <c r="F2458" s="16" t="s">
        <v>1329</v>
      </c>
      <c r="G2458" s="7" t="s">
        <v>1330</v>
      </c>
      <c r="H2458" s="7" t="s">
        <v>5907</v>
      </c>
      <c r="I2458" s="7" t="s">
        <v>0</v>
      </c>
      <c r="J2458" s="7" t="s">
        <v>5909</v>
      </c>
      <c r="K2458" s="7" t="s">
        <v>47</v>
      </c>
      <c r="L2458" s="7" t="s">
        <v>389</v>
      </c>
      <c r="M2458" s="7" t="s">
        <v>0</v>
      </c>
      <c r="N2458" s="7" t="s">
        <v>5906</v>
      </c>
      <c r="O2458" s="7" t="s">
        <v>0</v>
      </c>
      <c r="P2458" s="7" t="s">
        <v>5908</v>
      </c>
      <c r="Q2458" s="7" t="s">
        <v>5910</v>
      </c>
      <c r="R2458" s="7" t="s">
        <v>2424</v>
      </c>
      <c r="S2458" s="7" t="s">
        <v>2424</v>
      </c>
      <c r="T2458" s="7" t="s">
        <v>54</v>
      </c>
      <c r="U2458" s="7" t="s">
        <v>167</v>
      </c>
      <c r="V2458" s="7" t="s">
        <v>137</v>
      </c>
      <c r="W2458" s="7" t="s">
        <v>57</v>
      </c>
      <c r="X2458" s="7" t="s">
        <v>103</v>
      </c>
      <c r="Y2458" s="8">
        <v>44197</v>
      </c>
      <c r="Z2458" s="8">
        <v>44533</v>
      </c>
      <c r="AA2458" s="7" t="s">
        <v>0</v>
      </c>
      <c r="AB2458" s="7" t="s">
        <v>5806</v>
      </c>
      <c r="AC2458" s="7" t="s">
        <v>79</v>
      </c>
      <c r="AD2458" s="7" t="s">
        <v>144</v>
      </c>
      <c r="AE2458" s="7" t="s">
        <v>82</v>
      </c>
      <c r="AF2458" s="7" t="s">
        <v>0</v>
      </c>
      <c r="AG2458" s="7" t="s">
        <v>0</v>
      </c>
      <c r="AH2458" s="9" t="s">
        <v>12677</v>
      </c>
      <c r="AI2458" s="9" t="s">
        <v>12678</v>
      </c>
      <c r="AJ2458" s="9" t="s">
        <v>12679</v>
      </c>
      <c r="AK2458" s="7" t="s">
        <v>61</v>
      </c>
      <c r="AL2458" s="7" t="s">
        <v>61</v>
      </c>
      <c r="AM2458" s="7" t="s">
        <v>0</v>
      </c>
      <c r="AN2458" s="7" t="s">
        <v>0</v>
      </c>
      <c r="AO2458" s="7" t="s">
        <v>0</v>
      </c>
      <c r="AP2458" s="7" t="s">
        <v>0</v>
      </c>
      <c r="AQ2458" s="7" t="s">
        <v>61</v>
      </c>
      <c r="AR2458" s="7" t="s">
        <v>0</v>
      </c>
      <c r="AS2458" s="10" t="str">
        <f>HYPERLINK("https://tessa.gazprom-neft.local/edo/card/2af81870-0540-470b-8de5-2fcc1c134b74", "https://tessa.gazprom-neft.local/edo/card/2af81870-0540-470b-8de5-2fcc1c134b74")</f>
        <v>https://tessa.gazprom-neft.local/edo/card/2af81870-0540-470b-8de5-2fcc1c134b74</v>
      </c>
    </row>
    <row r="2459" spans="1:45" x14ac:dyDescent="0.25">
      <c r="A2459" s="6" t="s">
        <v>44</v>
      </c>
      <c r="B2459" s="7" t="s">
        <v>520</v>
      </c>
      <c r="C2459" s="7" t="s">
        <v>67</v>
      </c>
      <c r="D2459" s="8">
        <v>44375</v>
      </c>
      <c r="E2459" s="8" t="s">
        <v>0</v>
      </c>
      <c r="F2459" s="16" t="s">
        <v>521</v>
      </c>
      <c r="G2459" s="7" t="s">
        <v>522</v>
      </c>
      <c r="H2459" s="7" t="s">
        <v>2674</v>
      </c>
      <c r="I2459" s="7" t="s">
        <v>0</v>
      </c>
      <c r="J2459" s="7" t="s">
        <v>51</v>
      </c>
      <c r="K2459" s="7" t="s">
        <v>47</v>
      </c>
      <c r="L2459" s="7" t="s">
        <v>48</v>
      </c>
      <c r="M2459" s="7" t="s">
        <v>0</v>
      </c>
      <c r="N2459" s="7" t="s">
        <v>2673</v>
      </c>
      <c r="O2459" s="7" t="s">
        <v>0</v>
      </c>
      <c r="P2459" s="7" t="s">
        <v>2675</v>
      </c>
      <c r="Q2459" s="7" t="s">
        <v>2676</v>
      </c>
      <c r="R2459" s="7" t="s">
        <v>519</v>
      </c>
      <c r="S2459" s="7" t="s">
        <v>2677</v>
      </c>
      <c r="T2459" s="7" t="s">
        <v>54</v>
      </c>
      <c r="U2459" s="7" t="s">
        <v>294</v>
      </c>
      <c r="V2459" s="7" t="s">
        <v>295</v>
      </c>
      <c r="W2459" s="7" t="s">
        <v>57</v>
      </c>
      <c r="X2459" s="7" t="s">
        <v>103</v>
      </c>
      <c r="Y2459" s="8">
        <v>44197</v>
      </c>
      <c r="Z2459" s="8">
        <v>44926</v>
      </c>
      <c r="AA2459" s="7" t="s">
        <v>1269</v>
      </c>
      <c r="AB2459" s="7" t="s">
        <v>2678</v>
      </c>
      <c r="AC2459" s="7" t="s">
        <v>79</v>
      </c>
      <c r="AD2459" s="7" t="s">
        <v>80</v>
      </c>
      <c r="AE2459" s="7" t="s">
        <v>82</v>
      </c>
      <c r="AF2459" s="7" t="s">
        <v>0</v>
      </c>
      <c r="AG2459" s="7" t="s">
        <v>0</v>
      </c>
      <c r="AH2459" s="9">
        <v>0.01</v>
      </c>
      <c r="AI2459" s="9" t="s">
        <v>11425</v>
      </c>
      <c r="AJ2459" s="9" t="s">
        <v>11426</v>
      </c>
      <c r="AK2459" s="7" t="s">
        <v>61</v>
      </c>
      <c r="AL2459" s="7" t="s">
        <v>61</v>
      </c>
      <c r="AM2459" s="7" t="s">
        <v>0</v>
      </c>
      <c r="AN2459" s="7" t="s">
        <v>0</v>
      </c>
      <c r="AO2459" s="7" t="s">
        <v>0</v>
      </c>
      <c r="AP2459" s="7" t="s">
        <v>0</v>
      </c>
      <c r="AQ2459" s="7" t="s">
        <v>61</v>
      </c>
      <c r="AR2459" s="7" t="s">
        <v>0</v>
      </c>
      <c r="AS2459" s="10" t="str">
        <f>HYPERLINK("https://tessa.gazprom-neft.local/edo/card/d71c510d-7c9a-4c5d-89f4-d4018100f265", "https://tessa.gazprom-neft.local/edo/card/d71c510d-7c9a-4c5d-89f4-d4018100f265")</f>
        <v>https://tessa.gazprom-neft.local/edo/card/d71c510d-7c9a-4c5d-89f4-d4018100f265</v>
      </c>
    </row>
    <row r="2460" spans="1:45" x14ac:dyDescent="0.25">
      <c r="A2460" s="6" t="s">
        <v>44</v>
      </c>
      <c r="B2460" s="7" t="s">
        <v>964</v>
      </c>
      <c r="C2460" s="7" t="s">
        <v>67</v>
      </c>
      <c r="D2460" s="8">
        <v>44371</v>
      </c>
      <c r="E2460" s="8" t="s">
        <v>0</v>
      </c>
      <c r="F2460" s="16" t="s">
        <v>965</v>
      </c>
      <c r="G2460" s="7" t="s">
        <v>966</v>
      </c>
      <c r="H2460" s="7" t="s">
        <v>2229</v>
      </c>
      <c r="I2460" s="7" t="s">
        <v>0</v>
      </c>
      <c r="J2460" s="7" t="s">
        <v>936</v>
      </c>
      <c r="K2460" s="7" t="s">
        <v>47</v>
      </c>
      <c r="L2460" s="7" t="s">
        <v>48</v>
      </c>
      <c r="M2460" s="7" t="s">
        <v>0</v>
      </c>
      <c r="N2460" s="7" t="s">
        <v>2227</v>
      </c>
      <c r="O2460" s="7" t="s">
        <v>2228</v>
      </c>
      <c r="P2460" s="7" t="s">
        <v>2230</v>
      </c>
      <c r="Q2460" s="7" t="s">
        <v>2231</v>
      </c>
      <c r="R2460" s="7" t="s">
        <v>293</v>
      </c>
      <c r="S2460" s="7" t="s">
        <v>293</v>
      </c>
      <c r="T2460" s="7" t="s">
        <v>54</v>
      </c>
      <c r="U2460" s="7" t="s">
        <v>1683</v>
      </c>
      <c r="V2460" s="7" t="s">
        <v>295</v>
      </c>
      <c r="W2460" s="7" t="s">
        <v>57</v>
      </c>
      <c r="X2460" s="7" t="s">
        <v>103</v>
      </c>
      <c r="Y2460" s="8">
        <v>44371</v>
      </c>
      <c r="Z2460" s="8">
        <v>44926</v>
      </c>
      <c r="AA2460" s="7" t="s">
        <v>1269</v>
      </c>
      <c r="AB2460" s="7" t="s">
        <v>1270</v>
      </c>
      <c r="AC2460" s="7" t="s">
        <v>65</v>
      </c>
      <c r="AD2460" s="7" t="s">
        <v>0</v>
      </c>
      <c r="AE2460" s="7" t="s">
        <v>0</v>
      </c>
      <c r="AF2460" s="7" t="s">
        <v>0</v>
      </c>
      <c r="AG2460" s="7" t="s">
        <v>0</v>
      </c>
      <c r="AH2460" s="9" t="s">
        <v>0</v>
      </c>
      <c r="AI2460" s="9" t="s">
        <v>0</v>
      </c>
      <c r="AJ2460" s="9" t="s">
        <v>0</v>
      </c>
      <c r="AK2460" s="7" t="s">
        <v>61</v>
      </c>
      <c r="AL2460" s="7" t="s">
        <v>61</v>
      </c>
      <c r="AM2460" s="7" t="s">
        <v>0</v>
      </c>
      <c r="AN2460" s="7" t="s">
        <v>0</v>
      </c>
      <c r="AO2460" s="7" t="s">
        <v>0</v>
      </c>
      <c r="AP2460" s="7" t="s">
        <v>0</v>
      </c>
      <c r="AQ2460" s="7" t="s">
        <v>61</v>
      </c>
      <c r="AR2460" s="7" t="s">
        <v>0</v>
      </c>
      <c r="AS2460" s="10" t="str">
        <f>HYPERLINK("https://tessa.gazprom-neft.local/edo/card/a8cfe08b-f9c3-4c3f-b37b-9d729b2c0a58", "https://tessa.gazprom-neft.local/edo/card/a8cfe08b-f9c3-4c3f-b37b-9d729b2c0a58")</f>
        <v>https://tessa.gazprom-neft.local/edo/card/a8cfe08b-f9c3-4c3f-b37b-9d729b2c0a58</v>
      </c>
    </row>
    <row r="2461" spans="1:45" hidden="1" x14ac:dyDescent="0.25">
      <c r="A2461" s="6" t="s">
        <v>44</v>
      </c>
      <c r="B2461" s="7" t="s">
        <v>4951</v>
      </c>
      <c r="C2461" s="7" t="s">
        <v>67</v>
      </c>
      <c r="D2461" s="8">
        <v>44371</v>
      </c>
      <c r="E2461" s="8" t="s">
        <v>0</v>
      </c>
      <c r="F2461" s="16" t="s">
        <v>4952</v>
      </c>
      <c r="G2461" s="7" t="s">
        <v>2497</v>
      </c>
      <c r="H2461" s="7" t="s">
        <v>0</v>
      </c>
      <c r="I2461" s="7" t="s">
        <v>5067</v>
      </c>
      <c r="J2461" s="7" t="s">
        <v>5067</v>
      </c>
      <c r="K2461" s="7" t="s">
        <v>47</v>
      </c>
      <c r="L2461" s="7" t="s">
        <v>86</v>
      </c>
      <c r="M2461" s="7" t="s">
        <v>0</v>
      </c>
      <c r="N2461" s="7" t="s">
        <v>5066</v>
      </c>
      <c r="O2461" s="7" t="s">
        <v>0</v>
      </c>
      <c r="P2461" s="7" t="s">
        <v>5068</v>
      </c>
      <c r="Q2461" s="7" t="s">
        <v>5069</v>
      </c>
      <c r="R2461" s="7" t="s">
        <v>659</v>
      </c>
      <c r="S2461" s="7" t="s">
        <v>1753</v>
      </c>
      <c r="T2461" s="7" t="s">
        <v>54</v>
      </c>
      <c r="U2461" s="7" t="s">
        <v>210</v>
      </c>
      <c r="V2461" s="7" t="s">
        <v>211</v>
      </c>
      <c r="W2461" s="7" t="s">
        <v>57</v>
      </c>
      <c r="X2461" s="7" t="s">
        <v>58</v>
      </c>
      <c r="Y2461" s="8">
        <v>44371</v>
      </c>
      <c r="Z2461" s="8" t="s">
        <v>0</v>
      </c>
      <c r="AA2461" s="7" t="s">
        <v>0</v>
      </c>
      <c r="AB2461" s="7" t="s">
        <v>624</v>
      </c>
      <c r="AC2461" s="7" t="s">
        <v>79</v>
      </c>
      <c r="AD2461" s="7" t="s">
        <v>80</v>
      </c>
      <c r="AE2461" s="7" t="s">
        <v>118</v>
      </c>
      <c r="AF2461" s="7" t="s">
        <v>0</v>
      </c>
      <c r="AG2461" s="7" t="s">
        <v>0</v>
      </c>
      <c r="AH2461" s="9" t="s">
        <v>12318</v>
      </c>
      <c r="AI2461" s="9" t="s">
        <v>12318</v>
      </c>
      <c r="AJ2461" s="9">
        <v>0</v>
      </c>
      <c r="AK2461" s="7" t="s">
        <v>61</v>
      </c>
      <c r="AL2461" s="7" t="s">
        <v>61</v>
      </c>
      <c r="AM2461" s="7" t="s">
        <v>0</v>
      </c>
      <c r="AN2461" s="7" t="s">
        <v>0</v>
      </c>
      <c r="AO2461" s="7" t="s">
        <v>0</v>
      </c>
      <c r="AP2461" s="7" t="s">
        <v>0</v>
      </c>
      <c r="AQ2461" s="7" t="s">
        <v>61</v>
      </c>
      <c r="AR2461" s="7" t="s">
        <v>0</v>
      </c>
      <c r="AS2461" s="10" t="str">
        <f>HYPERLINK("https://tessa.gazprom-neft.local/edo/card/69fc20bb-6d78-4966-bb7d-0488c77da194", "https://tessa.gazprom-neft.local/edo/card/69fc20bb-6d78-4966-bb7d-0488c77da194")</f>
        <v>https://tessa.gazprom-neft.local/edo/card/69fc20bb-6d78-4966-bb7d-0488c77da194</v>
      </c>
    </row>
    <row r="2462" spans="1:45" x14ac:dyDescent="0.25">
      <c r="A2462" s="6" t="s">
        <v>44</v>
      </c>
      <c r="B2462" s="7" t="s">
        <v>2350</v>
      </c>
      <c r="C2462" s="7" t="s">
        <v>67</v>
      </c>
      <c r="D2462" s="8">
        <v>44371</v>
      </c>
      <c r="E2462" s="8" t="s">
        <v>0</v>
      </c>
      <c r="F2462" s="16" t="s">
        <v>2351</v>
      </c>
      <c r="G2462" s="7" t="s">
        <v>2352</v>
      </c>
      <c r="H2462" s="7" t="s">
        <v>3557</v>
      </c>
      <c r="I2462" s="7" t="s">
        <v>0</v>
      </c>
      <c r="J2462" s="7" t="s">
        <v>51</v>
      </c>
      <c r="K2462" s="7" t="s">
        <v>47</v>
      </c>
      <c r="L2462" s="7" t="s">
        <v>48</v>
      </c>
      <c r="M2462" s="7" t="s">
        <v>0</v>
      </c>
      <c r="N2462" s="7" t="s">
        <v>5160</v>
      </c>
      <c r="O2462" s="7" t="s">
        <v>0</v>
      </c>
      <c r="P2462" s="7" t="s">
        <v>5161</v>
      </c>
      <c r="Q2462" s="7" t="s">
        <v>5162</v>
      </c>
      <c r="R2462" s="7" t="s">
        <v>282</v>
      </c>
      <c r="S2462" s="7" t="s">
        <v>282</v>
      </c>
      <c r="T2462" s="7" t="s">
        <v>54</v>
      </c>
      <c r="U2462" s="7" t="s">
        <v>1683</v>
      </c>
      <c r="V2462" s="7" t="s">
        <v>295</v>
      </c>
      <c r="W2462" s="7" t="s">
        <v>57</v>
      </c>
      <c r="X2462" s="7" t="s">
        <v>103</v>
      </c>
      <c r="Y2462" s="8">
        <v>44371</v>
      </c>
      <c r="Z2462" s="8">
        <v>46022</v>
      </c>
      <c r="AA2462" s="7" t="s">
        <v>1269</v>
      </c>
      <c r="AB2462" s="7" t="s">
        <v>1748</v>
      </c>
      <c r="AC2462" s="7" t="s">
        <v>65</v>
      </c>
      <c r="AD2462" s="7" t="s">
        <v>144</v>
      </c>
      <c r="AE2462" s="7" t="s">
        <v>0</v>
      </c>
      <c r="AF2462" s="7" t="s">
        <v>0</v>
      </c>
      <c r="AG2462" s="7" t="s">
        <v>0</v>
      </c>
      <c r="AH2462" s="9" t="s">
        <v>0</v>
      </c>
      <c r="AI2462" s="9" t="s">
        <v>0</v>
      </c>
      <c r="AJ2462" s="9" t="s">
        <v>0</v>
      </c>
      <c r="AK2462" s="7" t="s">
        <v>61</v>
      </c>
      <c r="AL2462" s="7" t="s">
        <v>61</v>
      </c>
      <c r="AM2462" s="7" t="s">
        <v>0</v>
      </c>
      <c r="AN2462" s="7" t="s">
        <v>0</v>
      </c>
      <c r="AO2462" s="7" t="s">
        <v>0</v>
      </c>
      <c r="AP2462" s="7" t="s">
        <v>0</v>
      </c>
      <c r="AQ2462" s="7" t="s">
        <v>61</v>
      </c>
      <c r="AR2462" s="7" t="s">
        <v>0</v>
      </c>
      <c r="AS2462" s="10" t="str">
        <f>HYPERLINK("https://tessa.gazprom-neft.local/edo/card/7b0265de-c91b-43c1-9d87-82e1d8d7d644", "https://tessa.gazprom-neft.local/edo/card/7b0265de-c91b-43c1-9d87-82e1d8d7d644")</f>
        <v>https://tessa.gazprom-neft.local/edo/card/7b0265de-c91b-43c1-9d87-82e1d8d7d644</v>
      </c>
    </row>
    <row r="2463" spans="1:45" hidden="1" x14ac:dyDescent="0.25">
      <c r="A2463" s="6" t="s">
        <v>44</v>
      </c>
      <c r="B2463" s="7" t="s">
        <v>245</v>
      </c>
      <c r="C2463" s="7" t="s">
        <v>67</v>
      </c>
      <c r="D2463" s="8">
        <v>44370</v>
      </c>
      <c r="E2463" s="8" t="s">
        <v>0</v>
      </c>
      <c r="F2463" s="16" t="s">
        <v>246</v>
      </c>
      <c r="G2463" s="7" t="s">
        <v>247</v>
      </c>
      <c r="H2463" s="7" t="s">
        <v>1483</v>
      </c>
      <c r="I2463" s="7" t="s">
        <v>0</v>
      </c>
      <c r="J2463" s="7" t="s">
        <v>5083</v>
      </c>
      <c r="K2463" s="7" t="s">
        <v>47</v>
      </c>
      <c r="L2463" s="7" t="s">
        <v>239</v>
      </c>
      <c r="M2463" s="7" t="s">
        <v>0</v>
      </c>
      <c r="N2463" s="7" t="s">
        <v>5082</v>
      </c>
      <c r="O2463" s="7" t="s">
        <v>0</v>
      </c>
      <c r="P2463" s="7" t="s">
        <v>239</v>
      </c>
      <c r="Q2463" s="7" t="s">
        <v>5084</v>
      </c>
      <c r="R2463" s="7" t="s">
        <v>110</v>
      </c>
      <c r="S2463" s="7" t="s">
        <v>110</v>
      </c>
      <c r="T2463" s="7" t="s">
        <v>54</v>
      </c>
      <c r="U2463" s="7" t="s">
        <v>111</v>
      </c>
      <c r="V2463" s="7" t="s">
        <v>112</v>
      </c>
      <c r="W2463" s="7" t="s">
        <v>57</v>
      </c>
      <c r="X2463" s="7" t="s">
        <v>58</v>
      </c>
      <c r="Y2463" s="8">
        <v>44375</v>
      </c>
      <c r="Z2463" s="8" t="s">
        <v>0</v>
      </c>
      <c r="AA2463" s="7" t="s">
        <v>0</v>
      </c>
      <c r="AB2463" s="7" t="s">
        <v>64</v>
      </c>
      <c r="AC2463" s="7" t="s">
        <v>79</v>
      </c>
      <c r="AD2463" s="7" t="s">
        <v>144</v>
      </c>
      <c r="AE2463" s="7" t="s">
        <v>82</v>
      </c>
      <c r="AF2463" s="7" t="s">
        <v>0</v>
      </c>
      <c r="AG2463" s="7" t="s">
        <v>0</v>
      </c>
      <c r="AH2463" s="9" t="s">
        <v>11041</v>
      </c>
      <c r="AI2463" s="9" t="s">
        <v>11042</v>
      </c>
      <c r="AJ2463" s="9" t="s">
        <v>11043</v>
      </c>
      <c r="AK2463" s="7" t="s">
        <v>61</v>
      </c>
      <c r="AL2463" s="7" t="s">
        <v>61</v>
      </c>
      <c r="AM2463" s="7" t="s">
        <v>0</v>
      </c>
      <c r="AN2463" s="7" t="s">
        <v>0</v>
      </c>
      <c r="AO2463" s="7" t="s">
        <v>0</v>
      </c>
      <c r="AP2463" s="7" t="s">
        <v>0</v>
      </c>
      <c r="AQ2463" s="7" t="s">
        <v>61</v>
      </c>
      <c r="AR2463" s="7" t="s">
        <v>0</v>
      </c>
      <c r="AS2463" s="10" t="str">
        <f>HYPERLINK("https://tessa.gazprom-neft.local/edo/card/c90eb175-a929-4596-b79f-ec119de72db3", "https://tessa.gazprom-neft.local/edo/card/c90eb175-a929-4596-b79f-ec119de72db3")</f>
        <v>https://tessa.gazprom-neft.local/edo/card/c90eb175-a929-4596-b79f-ec119de72db3</v>
      </c>
    </row>
    <row r="2464" spans="1:45" hidden="1" x14ac:dyDescent="0.25">
      <c r="A2464" s="6" t="s">
        <v>44</v>
      </c>
      <c r="B2464" s="7" t="s">
        <v>4179</v>
      </c>
      <c r="C2464" s="7" t="s">
        <v>46</v>
      </c>
      <c r="D2464" s="8">
        <v>44368</v>
      </c>
      <c r="E2464" s="8" t="s">
        <v>0</v>
      </c>
      <c r="F2464" s="16" t="s">
        <v>4180</v>
      </c>
      <c r="G2464" s="7" t="s">
        <v>4181</v>
      </c>
      <c r="H2464" s="7" t="s">
        <v>0</v>
      </c>
      <c r="I2464" s="7" t="s">
        <v>4178</v>
      </c>
      <c r="J2464" s="7" t="s">
        <v>4178</v>
      </c>
      <c r="K2464" s="7" t="s">
        <v>47</v>
      </c>
      <c r="L2464" s="7" t="s">
        <v>96</v>
      </c>
      <c r="M2464" s="7" t="s">
        <v>0</v>
      </c>
      <c r="N2464" s="7" t="s">
        <v>4177</v>
      </c>
      <c r="O2464" s="7" t="s">
        <v>0</v>
      </c>
      <c r="P2464" s="7" t="s">
        <v>64</v>
      </c>
      <c r="Q2464" s="7" t="s">
        <v>2122</v>
      </c>
      <c r="R2464" s="7" t="s">
        <v>1610</v>
      </c>
      <c r="S2464" s="7" t="s">
        <v>0</v>
      </c>
      <c r="T2464" s="7" t="s">
        <v>54</v>
      </c>
      <c r="U2464" s="7" t="s">
        <v>101</v>
      </c>
      <c r="V2464" s="7" t="s">
        <v>102</v>
      </c>
      <c r="W2464" s="7" t="s">
        <v>57</v>
      </c>
      <c r="X2464" s="7" t="s">
        <v>103</v>
      </c>
      <c r="Y2464" s="8">
        <v>44378</v>
      </c>
      <c r="Z2464" s="8">
        <v>44500</v>
      </c>
      <c r="AA2464" s="7" t="s">
        <v>0</v>
      </c>
      <c r="AB2464" s="7" t="s">
        <v>192</v>
      </c>
      <c r="AC2464" s="7" t="s">
        <v>79</v>
      </c>
      <c r="AD2464" s="7" t="s">
        <v>80</v>
      </c>
      <c r="AE2464" s="7" t="s">
        <v>193</v>
      </c>
      <c r="AF2464" s="7" t="s">
        <v>0</v>
      </c>
      <c r="AG2464" s="7" t="s">
        <v>0</v>
      </c>
      <c r="AH2464" s="9" t="s">
        <v>11176</v>
      </c>
      <c r="AI2464" s="9" t="s">
        <v>11177</v>
      </c>
      <c r="AJ2464" s="9" t="s">
        <v>11178</v>
      </c>
      <c r="AK2464" s="7" t="s">
        <v>61</v>
      </c>
      <c r="AL2464" s="7" t="s">
        <v>61</v>
      </c>
      <c r="AM2464" s="7" t="s">
        <v>0</v>
      </c>
      <c r="AN2464" s="7" t="s">
        <v>0</v>
      </c>
      <c r="AO2464" s="7" t="s">
        <v>0</v>
      </c>
      <c r="AP2464" s="7" t="s">
        <v>0</v>
      </c>
      <c r="AQ2464" s="7" t="s">
        <v>61</v>
      </c>
      <c r="AR2464" s="7" t="s">
        <v>0</v>
      </c>
      <c r="AS2464" s="10" t="str">
        <f>HYPERLINK("https://tessa.gazprom-neft.local/edo/card/27d165c0-c72c-483c-83d9-fd70ec646beb", "https://tessa.gazprom-neft.local/edo/card/27d165c0-c72c-483c-83d9-fd70ec646beb")</f>
        <v>https://tessa.gazprom-neft.local/edo/card/27d165c0-c72c-483c-83d9-fd70ec646beb</v>
      </c>
    </row>
    <row r="2465" spans="1:45" x14ac:dyDescent="0.25">
      <c r="A2465" s="6" t="s">
        <v>44</v>
      </c>
      <c r="B2465" s="7" t="s">
        <v>403</v>
      </c>
      <c r="C2465" s="7" t="s">
        <v>67</v>
      </c>
      <c r="D2465" s="8">
        <v>44368</v>
      </c>
      <c r="E2465" s="8" t="s">
        <v>0</v>
      </c>
      <c r="F2465" s="16" t="s">
        <v>404</v>
      </c>
      <c r="G2465" s="7" t="s">
        <v>405</v>
      </c>
      <c r="H2465" s="7" t="s">
        <v>4599</v>
      </c>
      <c r="I2465" s="7" t="s">
        <v>0</v>
      </c>
      <c r="J2465" s="7" t="s">
        <v>70</v>
      </c>
      <c r="K2465" s="7" t="s">
        <v>47</v>
      </c>
      <c r="L2465" s="7" t="s">
        <v>48</v>
      </c>
      <c r="M2465" s="7" t="s">
        <v>0</v>
      </c>
      <c r="N2465" s="7" t="s">
        <v>4598</v>
      </c>
      <c r="O2465" s="7" t="s">
        <v>0</v>
      </c>
      <c r="P2465" s="7" t="s">
        <v>4600</v>
      </c>
      <c r="Q2465" s="7" t="s">
        <v>4601</v>
      </c>
      <c r="R2465" s="7" t="s">
        <v>799</v>
      </c>
      <c r="S2465" s="7" t="s">
        <v>799</v>
      </c>
      <c r="T2465" s="7" t="s">
        <v>54</v>
      </c>
      <c r="U2465" s="7" t="s">
        <v>55</v>
      </c>
      <c r="V2465" s="7" t="s">
        <v>137</v>
      </c>
      <c r="W2465" s="7" t="s">
        <v>57</v>
      </c>
      <c r="X2465" s="7" t="s">
        <v>103</v>
      </c>
      <c r="Y2465" s="8">
        <v>44368</v>
      </c>
      <c r="Z2465" s="8">
        <v>45199</v>
      </c>
      <c r="AA2465" s="7" t="s">
        <v>0</v>
      </c>
      <c r="AB2465" s="7" t="s">
        <v>2269</v>
      </c>
      <c r="AC2465" s="7" t="s">
        <v>65</v>
      </c>
      <c r="AD2465" s="7" t="s">
        <v>80</v>
      </c>
      <c r="AE2465" s="7" t="s">
        <v>0</v>
      </c>
      <c r="AF2465" s="7" t="s">
        <v>0</v>
      </c>
      <c r="AG2465" s="7" t="s">
        <v>0</v>
      </c>
      <c r="AH2465" s="9" t="s">
        <v>0</v>
      </c>
      <c r="AI2465" s="9" t="s">
        <v>0</v>
      </c>
      <c r="AJ2465" s="9" t="s">
        <v>0</v>
      </c>
      <c r="AK2465" s="7" t="s">
        <v>61</v>
      </c>
      <c r="AL2465" s="7" t="s">
        <v>61</v>
      </c>
      <c r="AM2465" s="7" t="s">
        <v>0</v>
      </c>
      <c r="AN2465" s="7" t="s">
        <v>0</v>
      </c>
      <c r="AO2465" s="7" t="s">
        <v>0</v>
      </c>
      <c r="AP2465" s="7" t="s">
        <v>0</v>
      </c>
      <c r="AQ2465" s="7" t="s">
        <v>61</v>
      </c>
      <c r="AR2465" s="7" t="s">
        <v>0</v>
      </c>
      <c r="AS2465" s="10" t="str">
        <f>HYPERLINK("https://tessa.gazprom-neft.local/edo/card/25bb4c78-1266-415b-b11b-1e46e8d57948", "https://tessa.gazprom-neft.local/edo/card/25bb4c78-1266-415b-b11b-1e46e8d57948")</f>
        <v>https://tessa.gazprom-neft.local/edo/card/25bb4c78-1266-415b-b11b-1e46e8d57948</v>
      </c>
    </row>
    <row r="2466" spans="1:45" x14ac:dyDescent="0.25">
      <c r="A2466" s="6" t="s">
        <v>44</v>
      </c>
      <c r="B2466" s="7" t="s">
        <v>2266</v>
      </c>
      <c r="C2466" s="7" t="s">
        <v>67</v>
      </c>
      <c r="D2466" s="8">
        <v>44368</v>
      </c>
      <c r="E2466" s="8" t="s">
        <v>0</v>
      </c>
      <c r="F2466" s="16" t="s">
        <v>2267</v>
      </c>
      <c r="G2466" s="7" t="s">
        <v>2268</v>
      </c>
      <c r="H2466" s="7" t="s">
        <v>4615</v>
      </c>
      <c r="I2466" s="7" t="s">
        <v>0</v>
      </c>
      <c r="J2466" s="7" t="s">
        <v>355</v>
      </c>
      <c r="K2466" s="7" t="s">
        <v>47</v>
      </c>
      <c r="L2466" s="7" t="s">
        <v>48</v>
      </c>
      <c r="M2466" s="7" t="s">
        <v>0</v>
      </c>
      <c r="N2466" s="7" t="s">
        <v>4613</v>
      </c>
      <c r="O2466" s="7" t="s">
        <v>4614</v>
      </c>
      <c r="P2466" s="7" t="s">
        <v>685</v>
      </c>
      <c r="Q2466" s="7" t="s">
        <v>4601</v>
      </c>
      <c r="R2466" s="7" t="s">
        <v>799</v>
      </c>
      <c r="S2466" s="7" t="s">
        <v>799</v>
      </c>
      <c r="T2466" s="7" t="s">
        <v>54</v>
      </c>
      <c r="U2466" s="7" t="s">
        <v>55</v>
      </c>
      <c r="V2466" s="7" t="s">
        <v>56</v>
      </c>
      <c r="W2466" s="7" t="s">
        <v>57</v>
      </c>
      <c r="X2466" s="7" t="s">
        <v>103</v>
      </c>
      <c r="Y2466" s="8">
        <v>44368</v>
      </c>
      <c r="Z2466" s="8">
        <v>44926</v>
      </c>
      <c r="AA2466" s="7" t="s">
        <v>1251</v>
      </c>
      <c r="AB2466" s="7" t="s">
        <v>2269</v>
      </c>
      <c r="AC2466" s="7" t="s">
        <v>65</v>
      </c>
      <c r="AD2466" s="7" t="s">
        <v>0</v>
      </c>
      <c r="AE2466" s="7" t="s">
        <v>0</v>
      </c>
      <c r="AF2466" s="7" t="s">
        <v>0</v>
      </c>
      <c r="AG2466" s="7" t="s">
        <v>0</v>
      </c>
      <c r="AH2466" s="9" t="s">
        <v>0</v>
      </c>
      <c r="AI2466" s="9" t="s">
        <v>0</v>
      </c>
      <c r="AJ2466" s="9" t="s">
        <v>0</v>
      </c>
      <c r="AK2466" s="7" t="s">
        <v>61</v>
      </c>
      <c r="AL2466" s="7" t="s">
        <v>61</v>
      </c>
      <c r="AM2466" s="7" t="s">
        <v>0</v>
      </c>
      <c r="AN2466" s="7" t="s">
        <v>0</v>
      </c>
      <c r="AO2466" s="7" t="s">
        <v>0</v>
      </c>
      <c r="AP2466" s="7" t="s">
        <v>0</v>
      </c>
      <c r="AQ2466" s="7" t="s">
        <v>61</v>
      </c>
      <c r="AR2466" s="7" t="s">
        <v>0</v>
      </c>
      <c r="AS2466" s="10" t="str">
        <f>HYPERLINK("https://tessa.gazprom-neft.local/edo/card/04b77958-49ef-4349-8069-a71e0ef69864", "https://tessa.gazprom-neft.local/edo/card/04b77958-49ef-4349-8069-a71e0ef69864")</f>
        <v>https://tessa.gazprom-neft.local/edo/card/04b77958-49ef-4349-8069-a71e0ef69864</v>
      </c>
    </row>
    <row r="2467" spans="1:45" x14ac:dyDescent="0.25">
      <c r="A2467" s="6" t="s">
        <v>44</v>
      </c>
      <c r="B2467" s="7" t="s">
        <v>403</v>
      </c>
      <c r="C2467" s="7" t="s">
        <v>67</v>
      </c>
      <c r="D2467" s="8">
        <v>44368</v>
      </c>
      <c r="E2467" s="8" t="s">
        <v>0</v>
      </c>
      <c r="F2467" s="16" t="s">
        <v>404</v>
      </c>
      <c r="G2467" s="7" t="s">
        <v>405</v>
      </c>
      <c r="H2467" s="7" t="s">
        <v>4625</v>
      </c>
      <c r="I2467" s="7" t="s">
        <v>0</v>
      </c>
      <c r="J2467" s="7" t="s">
        <v>156</v>
      </c>
      <c r="K2467" s="7" t="s">
        <v>47</v>
      </c>
      <c r="L2467" s="7" t="s">
        <v>48</v>
      </c>
      <c r="M2467" s="7" t="s">
        <v>0</v>
      </c>
      <c r="N2467" s="7" t="s">
        <v>4624</v>
      </c>
      <c r="O2467" s="7" t="s">
        <v>0</v>
      </c>
      <c r="P2467" s="7" t="s">
        <v>4626</v>
      </c>
      <c r="Q2467" s="7" t="s">
        <v>4601</v>
      </c>
      <c r="R2467" s="7" t="s">
        <v>799</v>
      </c>
      <c r="S2467" s="7" t="s">
        <v>799</v>
      </c>
      <c r="T2467" s="7" t="s">
        <v>54</v>
      </c>
      <c r="U2467" s="7" t="s">
        <v>55</v>
      </c>
      <c r="V2467" s="7" t="s">
        <v>56</v>
      </c>
      <c r="W2467" s="7" t="s">
        <v>57</v>
      </c>
      <c r="X2467" s="7" t="s">
        <v>103</v>
      </c>
      <c r="Y2467" s="8">
        <v>44368</v>
      </c>
      <c r="Z2467" s="8">
        <v>46022</v>
      </c>
      <c r="AA2467" s="7" t="s">
        <v>1251</v>
      </c>
      <c r="AB2467" s="7" t="s">
        <v>2269</v>
      </c>
      <c r="AC2467" s="7" t="s">
        <v>65</v>
      </c>
      <c r="AD2467" s="7" t="s">
        <v>0</v>
      </c>
      <c r="AE2467" s="7" t="s">
        <v>0</v>
      </c>
      <c r="AF2467" s="7" t="s">
        <v>0</v>
      </c>
      <c r="AG2467" s="7" t="s">
        <v>0</v>
      </c>
      <c r="AH2467" s="9" t="s">
        <v>0</v>
      </c>
      <c r="AI2467" s="9" t="s">
        <v>0</v>
      </c>
      <c r="AJ2467" s="9" t="s">
        <v>0</v>
      </c>
      <c r="AK2467" s="7" t="s">
        <v>61</v>
      </c>
      <c r="AL2467" s="7" t="s">
        <v>61</v>
      </c>
      <c r="AM2467" s="7" t="s">
        <v>0</v>
      </c>
      <c r="AN2467" s="7" t="s">
        <v>0</v>
      </c>
      <c r="AO2467" s="7" t="s">
        <v>0</v>
      </c>
      <c r="AP2467" s="7" t="s">
        <v>0</v>
      </c>
      <c r="AQ2467" s="7" t="s">
        <v>61</v>
      </c>
      <c r="AR2467" s="7" t="s">
        <v>0</v>
      </c>
      <c r="AS2467" s="10" t="str">
        <f>HYPERLINK("https://tessa.gazprom-neft.local/edo/card/0541eb99-abfb-4f2f-b626-a360648ef884", "https://tessa.gazprom-neft.local/edo/card/0541eb99-abfb-4f2f-b626-a360648ef884")</f>
        <v>https://tessa.gazprom-neft.local/edo/card/0541eb99-abfb-4f2f-b626-a360648ef884</v>
      </c>
    </row>
    <row r="2468" spans="1:45" x14ac:dyDescent="0.25">
      <c r="A2468" s="6" t="s">
        <v>44</v>
      </c>
      <c r="B2468" s="7" t="s">
        <v>727</v>
      </c>
      <c r="C2468" s="7" t="s">
        <v>67</v>
      </c>
      <c r="D2468" s="8">
        <v>44368</v>
      </c>
      <c r="E2468" s="8" t="s">
        <v>0</v>
      </c>
      <c r="F2468" s="16" t="s">
        <v>728</v>
      </c>
      <c r="G2468" s="7" t="s">
        <v>729</v>
      </c>
      <c r="H2468" s="7" t="s">
        <v>4661</v>
      </c>
      <c r="I2468" s="7" t="s">
        <v>0</v>
      </c>
      <c r="J2468" s="7" t="s">
        <v>271</v>
      </c>
      <c r="K2468" s="7" t="s">
        <v>47</v>
      </c>
      <c r="L2468" s="7" t="s">
        <v>48</v>
      </c>
      <c r="M2468" s="7" t="s">
        <v>0</v>
      </c>
      <c r="N2468" s="7" t="s">
        <v>4660</v>
      </c>
      <c r="O2468" s="7" t="s">
        <v>0</v>
      </c>
      <c r="P2468" s="7" t="s">
        <v>2540</v>
      </c>
      <c r="Q2468" s="7" t="s">
        <v>4601</v>
      </c>
      <c r="R2468" s="7" t="s">
        <v>799</v>
      </c>
      <c r="S2468" s="7" t="s">
        <v>799</v>
      </c>
      <c r="T2468" s="7" t="s">
        <v>54</v>
      </c>
      <c r="U2468" s="7" t="s">
        <v>55</v>
      </c>
      <c r="V2468" s="7" t="s">
        <v>56</v>
      </c>
      <c r="W2468" s="7" t="s">
        <v>57</v>
      </c>
      <c r="X2468" s="7" t="s">
        <v>103</v>
      </c>
      <c r="Y2468" s="8">
        <v>44368</v>
      </c>
      <c r="Z2468" s="8">
        <v>45291</v>
      </c>
      <c r="AA2468" s="7" t="s">
        <v>1251</v>
      </c>
      <c r="AB2468" s="7" t="s">
        <v>2269</v>
      </c>
      <c r="AC2468" s="7" t="s">
        <v>65</v>
      </c>
      <c r="AD2468" s="7" t="s">
        <v>0</v>
      </c>
      <c r="AE2468" s="7" t="s">
        <v>0</v>
      </c>
      <c r="AF2468" s="7" t="s">
        <v>0</v>
      </c>
      <c r="AG2468" s="7" t="s">
        <v>0</v>
      </c>
      <c r="AH2468" s="9" t="s">
        <v>0</v>
      </c>
      <c r="AI2468" s="9" t="s">
        <v>0</v>
      </c>
      <c r="AJ2468" s="9" t="s">
        <v>0</v>
      </c>
      <c r="AK2468" s="7" t="s">
        <v>61</v>
      </c>
      <c r="AL2468" s="7" t="s">
        <v>61</v>
      </c>
      <c r="AM2468" s="7" t="s">
        <v>0</v>
      </c>
      <c r="AN2468" s="7" t="s">
        <v>0</v>
      </c>
      <c r="AO2468" s="7" t="s">
        <v>0</v>
      </c>
      <c r="AP2468" s="7" t="s">
        <v>0</v>
      </c>
      <c r="AQ2468" s="7" t="s">
        <v>61</v>
      </c>
      <c r="AR2468" s="7" t="s">
        <v>0</v>
      </c>
      <c r="AS2468" s="10" t="str">
        <f>HYPERLINK("https://tessa.gazprom-neft.local/edo/card/90e22a0b-fc25-44a4-93ef-c1974a8163ca", "https://tessa.gazprom-neft.local/edo/card/90e22a0b-fc25-44a4-93ef-c1974a8163ca")</f>
        <v>https://tessa.gazprom-neft.local/edo/card/90e22a0b-fc25-44a4-93ef-c1974a8163ca</v>
      </c>
    </row>
    <row r="2469" spans="1:45" x14ac:dyDescent="0.25">
      <c r="A2469" s="6" t="s">
        <v>44</v>
      </c>
      <c r="B2469" s="7" t="s">
        <v>3031</v>
      </c>
      <c r="C2469" s="7" t="s">
        <v>67</v>
      </c>
      <c r="D2469" s="8">
        <v>44368</v>
      </c>
      <c r="E2469" s="8" t="s">
        <v>0</v>
      </c>
      <c r="F2469" s="16" t="s">
        <v>3032</v>
      </c>
      <c r="G2469" s="7" t="s">
        <v>3033</v>
      </c>
      <c r="H2469" s="7" t="s">
        <v>3027</v>
      </c>
      <c r="I2469" s="7" t="s">
        <v>0</v>
      </c>
      <c r="J2469" s="7" t="s">
        <v>355</v>
      </c>
      <c r="K2469" s="7" t="s">
        <v>47</v>
      </c>
      <c r="L2469" s="7" t="s">
        <v>48</v>
      </c>
      <c r="M2469" s="7" t="s">
        <v>0</v>
      </c>
      <c r="N2469" s="7" t="s">
        <v>4671</v>
      </c>
      <c r="O2469" s="7" t="s">
        <v>0</v>
      </c>
      <c r="P2469" s="7" t="s">
        <v>685</v>
      </c>
      <c r="Q2469" s="7" t="s">
        <v>4601</v>
      </c>
      <c r="R2469" s="7" t="s">
        <v>799</v>
      </c>
      <c r="S2469" s="7" t="s">
        <v>799</v>
      </c>
      <c r="T2469" s="7" t="s">
        <v>54</v>
      </c>
      <c r="U2469" s="7" t="s">
        <v>125</v>
      </c>
      <c r="V2469" s="7" t="s">
        <v>382</v>
      </c>
      <c r="W2469" s="7" t="s">
        <v>57</v>
      </c>
      <c r="X2469" s="7" t="s">
        <v>103</v>
      </c>
      <c r="Y2469" s="8">
        <v>44368</v>
      </c>
      <c r="Z2469" s="8">
        <v>44926</v>
      </c>
      <c r="AA2469" s="7" t="s">
        <v>1656</v>
      </c>
      <c r="AB2469" s="7" t="s">
        <v>3034</v>
      </c>
      <c r="AC2469" s="7" t="s">
        <v>65</v>
      </c>
      <c r="AD2469" s="7" t="s">
        <v>0</v>
      </c>
      <c r="AE2469" s="7" t="s">
        <v>0</v>
      </c>
      <c r="AF2469" s="7" t="s">
        <v>0</v>
      </c>
      <c r="AG2469" s="7" t="s">
        <v>0</v>
      </c>
      <c r="AH2469" s="9" t="s">
        <v>0</v>
      </c>
      <c r="AI2469" s="9" t="s">
        <v>0</v>
      </c>
      <c r="AJ2469" s="9" t="s">
        <v>0</v>
      </c>
      <c r="AK2469" s="7" t="s">
        <v>61</v>
      </c>
      <c r="AL2469" s="7" t="s">
        <v>61</v>
      </c>
      <c r="AM2469" s="7" t="s">
        <v>0</v>
      </c>
      <c r="AN2469" s="7" t="s">
        <v>0</v>
      </c>
      <c r="AO2469" s="7" t="s">
        <v>0</v>
      </c>
      <c r="AP2469" s="7" t="s">
        <v>0</v>
      </c>
      <c r="AQ2469" s="7" t="s">
        <v>61</v>
      </c>
      <c r="AR2469" s="7" t="s">
        <v>0</v>
      </c>
      <c r="AS2469" s="10" t="str">
        <f>HYPERLINK("https://tessa.gazprom-neft.local/edo/card/d2454e69-3331-466c-a0c2-1ff96cafd725", "https://tessa.gazprom-neft.local/edo/card/d2454e69-3331-466c-a0c2-1ff96cafd725")</f>
        <v>https://tessa.gazprom-neft.local/edo/card/d2454e69-3331-466c-a0c2-1ff96cafd725</v>
      </c>
    </row>
    <row r="2470" spans="1:45" x14ac:dyDescent="0.25">
      <c r="A2470" s="6" t="s">
        <v>44</v>
      </c>
      <c r="B2470" s="7" t="s">
        <v>0</v>
      </c>
      <c r="C2470" s="7" t="s">
        <v>67</v>
      </c>
      <c r="D2470" s="8">
        <v>44368</v>
      </c>
      <c r="E2470" s="8" t="s">
        <v>0</v>
      </c>
      <c r="F2470" s="16" t="s">
        <v>4720</v>
      </c>
      <c r="G2470" s="7" t="s">
        <v>973</v>
      </c>
      <c r="H2470" s="7" t="s">
        <v>4718</v>
      </c>
      <c r="I2470" s="7" t="s">
        <v>0</v>
      </c>
      <c r="J2470" s="7" t="s">
        <v>955</v>
      </c>
      <c r="K2470" s="7" t="s">
        <v>85</v>
      </c>
      <c r="L2470" s="7" t="s">
        <v>48</v>
      </c>
      <c r="M2470" s="7" t="s">
        <v>4716</v>
      </c>
      <c r="N2470" s="7" t="s">
        <v>4717</v>
      </c>
      <c r="O2470" s="7" t="s">
        <v>0</v>
      </c>
      <c r="P2470" s="7" t="s">
        <v>4716</v>
      </c>
      <c r="Q2470" s="7" t="s">
        <v>4719</v>
      </c>
      <c r="R2470" s="7" t="s">
        <v>513</v>
      </c>
      <c r="S2470" s="7" t="s">
        <v>0</v>
      </c>
      <c r="T2470" s="7" t="s">
        <v>54</v>
      </c>
      <c r="U2470" s="7" t="s">
        <v>303</v>
      </c>
      <c r="V2470" s="7" t="s">
        <v>91</v>
      </c>
      <c r="W2470" s="7" t="s">
        <v>57</v>
      </c>
      <c r="X2470" s="7" t="s">
        <v>103</v>
      </c>
      <c r="Y2470" s="8">
        <v>44368</v>
      </c>
      <c r="Z2470" s="8">
        <v>44926</v>
      </c>
      <c r="AA2470" s="7" t="s">
        <v>0</v>
      </c>
      <c r="AB2470" s="7" t="s">
        <v>328</v>
      </c>
      <c r="AC2470" s="7" t="s">
        <v>65</v>
      </c>
      <c r="AD2470" s="7" t="s">
        <v>0</v>
      </c>
      <c r="AE2470" s="7" t="s">
        <v>0</v>
      </c>
      <c r="AF2470" s="7" t="s">
        <v>0</v>
      </c>
      <c r="AG2470" s="7" t="s">
        <v>0</v>
      </c>
      <c r="AH2470" s="9" t="s">
        <v>0</v>
      </c>
      <c r="AI2470" s="9" t="s">
        <v>0</v>
      </c>
      <c r="AJ2470" s="9" t="s">
        <v>0</v>
      </c>
      <c r="AK2470" s="7" t="s">
        <v>61</v>
      </c>
      <c r="AL2470" s="7" t="s">
        <v>61</v>
      </c>
      <c r="AM2470" s="7" t="s">
        <v>0</v>
      </c>
      <c r="AN2470" s="7" t="s">
        <v>0</v>
      </c>
      <c r="AO2470" s="7" t="s">
        <v>0</v>
      </c>
      <c r="AP2470" s="7" t="s">
        <v>0</v>
      </c>
      <c r="AQ2470" s="7" t="s">
        <v>61</v>
      </c>
      <c r="AR2470" s="7" t="s">
        <v>0</v>
      </c>
      <c r="AS2470" s="10" t="str">
        <f>HYPERLINK("https://tessa.gazprom-neft.local/edo/card/cf9e960e-2231-45b7-8765-50cad46acfe6", "https://tessa.gazprom-neft.local/edo/card/cf9e960e-2231-45b7-8765-50cad46acfe6")</f>
        <v>https://tessa.gazprom-neft.local/edo/card/cf9e960e-2231-45b7-8765-50cad46acfe6</v>
      </c>
    </row>
    <row r="2471" spans="1:45" x14ac:dyDescent="0.25">
      <c r="A2471" s="6" t="s">
        <v>44</v>
      </c>
      <c r="B2471" s="7" t="s">
        <v>971</v>
      </c>
      <c r="C2471" s="7" t="s">
        <v>67</v>
      </c>
      <c r="D2471" s="8">
        <v>44368</v>
      </c>
      <c r="E2471" s="8" t="s">
        <v>0</v>
      </c>
      <c r="F2471" s="16" t="s">
        <v>972</v>
      </c>
      <c r="G2471" s="7" t="s">
        <v>973</v>
      </c>
      <c r="H2471" s="7" t="s">
        <v>4985</v>
      </c>
      <c r="I2471" s="7" t="s">
        <v>0</v>
      </c>
      <c r="J2471" s="7" t="s">
        <v>955</v>
      </c>
      <c r="K2471" s="7" t="s">
        <v>85</v>
      </c>
      <c r="L2471" s="7" t="s">
        <v>48</v>
      </c>
      <c r="M2471" s="7" t="s">
        <v>4716</v>
      </c>
      <c r="N2471" s="7" t="s">
        <v>4984</v>
      </c>
      <c r="O2471" s="7" t="s">
        <v>0</v>
      </c>
      <c r="P2471" s="7" t="s">
        <v>4716</v>
      </c>
      <c r="Q2471" s="7" t="s">
        <v>4986</v>
      </c>
      <c r="R2471" s="7" t="s">
        <v>513</v>
      </c>
      <c r="S2471" s="7" t="s">
        <v>513</v>
      </c>
      <c r="T2471" s="7" t="s">
        <v>54</v>
      </c>
      <c r="U2471" s="7" t="s">
        <v>303</v>
      </c>
      <c r="V2471" s="7" t="s">
        <v>91</v>
      </c>
      <c r="W2471" s="7" t="s">
        <v>57</v>
      </c>
      <c r="X2471" s="7" t="s">
        <v>103</v>
      </c>
      <c r="Y2471" s="8">
        <v>44368</v>
      </c>
      <c r="Z2471" s="8">
        <v>44926</v>
      </c>
      <c r="AA2471" s="7" t="s">
        <v>0</v>
      </c>
      <c r="AB2471" s="7" t="s">
        <v>328</v>
      </c>
      <c r="AC2471" s="7" t="s">
        <v>65</v>
      </c>
      <c r="AD2471" s="7" t="s">
        <v>0</v>
      </c>
      <c r="AE2471" s="7" t="s">
        <v>0</v>
      </c>
      <c r="AF2471" s="7" t="s">
        <v>0</v>
      </c>
      <c r="AG2471" s="7" t="s">
        <v>0</v>
      </c>
      <c r="AH2471" s="9" t="s">
        <v>0</v>
      </c>
      <c r="AI2471" s="9" t="s">
        <v>0</v>
      </c>
      <c r="AJ2471" s="9" t="s">
        <v>0</v>
      </c>
      <c r="AK2471" s="7" t="s">
        <v>61</v>
      </c>
      <c r="AL2471" s="7" t="s">
        <v>61</v>
      </c>
      <c r="AM2471" s="7" t="s">
        <v>0</v>
      </c>
      <c r="AN2471" s="7" t="s">
        <v>0</v>
      </c>
      <c r="AO2471" s="7" t="s">
        <v>0</v>
      </c>
      <c r="AP2471" s="7" t="s">
        <v>0</v>
      </c>
      <c r="AQ2471" s="7" t="s">
        <v>61</v>
      </c>
      <c r="AR2471" s="7" t="s">
        <v>0</v>
      </c>
      <c r="AS2471" s="10" t="str">
        <f>HYPERLINK("https://tessa.gazprom-neft.local/edo/card/a4cdc8ba-5562-44c1-bb1f-3cdaf963b0e5", "https://tessa.gazprom-neft.local/edo/card/a4cdc8ba-5562-44c1-bb1f-3cdaf963b0e5")</f>
        <v>https://tessa.gazprom-neft.local/edo/card/a4cdc8ba-5562-44c1-bb1f-3cdaf963b0e5</v>
      </c>
    </row>
    <row r="2472" spans="1:45" hidden="1" x14ac:dyDescent="0.25">
      <c r="A2472" s="6" t="s">
        <v>44</v>
      </c>
      <c r="B2472" s="7" t="s">
        <v>542</v>
      </c>
      <c r="C2472" s="7" t="s">
        <v>67</v>
      </c>
      <c r="D2472" s="8">
        <v>44368</v>
      </c>
      <c r="E2472" s="8" t="s">
        <v>0</v>
      </c>
      <c r="F2472" s="16" t="s">
        <v>543</v>
      </c>
      <c r="G2472" s="7" t="s">
        <v>544</v>
      </c>
      <c r="H2472" s="7" t="s">
        <v>536</v>
      </c>
      <c r="I2472" s="7" t="s">
        <v>0</v>
      </c>
      <c r="J2472" s="7" t="s">
        <v>4998</v>
      </c>
      <c r="K2472" s="7" t="s">
        <v>47</v>
      </c>
      <c r="L2472" s="7" t="s">
        <v>239</v>
      </c>
      <c r="M2472" s="7" t="s">
        <v>0</v>
      </c>
      <c r="N2472" s="7" t="s">
        <v>4996</v>
      </c>
      <c r="O2472" s="7" t="s">
        <v>0</v>
      </c>
      <c r="P2472" s="7" t="s">
        <v>4997</v>
      </c>
      <c r="Q2472" s="7" t="s">
        <v>4999</v>
      </c>
      <c r="R2472" s="7" t="s">
        <v>540</v>
      </c>
      <c r="S2472" s="7" t="s">
        <v>0</v>
      </c>
      <c r="T2472" s="7" t="s">
        <v>54</v>
      </c>
      <c r="U2472" s="7" t="s">
        <v>541</v>
      </c>
      <c r="V2472" s="7" t="s">
        <v>56</v>
      </c>
      <c r="W2472" s="7" t="s">
        <v>57</v>
      </c>
      <c r="X2472" s="7" t="s">
        <v>103</v>
      </c>
      <c r="Y2472" s="8">
        <v>44368</v>
      </c>
      <c r="Z2472" s="8">
        <v>44429</v>
      </c>
      <c r="AA2472" s="7" t="s">
        <v>1251</v>
      </c>
      <c r="AB2472" s="7" t="s">
        <v>545</v>
      </c>
      <c r="AC2472" s="7" t="s">
        <v>79</v>
      </c>
      <c r="AD2472" s="7" t="s">
        <v>144</v>
      </c>
      <c r="AE2472" s="7" t="s">
        <v>82</v>
      </c>
      <c r="AF2472" s="7" t="s">
        <v>0</v>
      </c>
      <c r="AG2472" s="7" t="s">
        <v>0</v>
      </c>
      <c r="AH2472" s="9" t="s">
        <v>12294</v>
      </c>
      <c r="AI2472" s="9" t="s">
        <v>12295</v>
      </c>
      <c r="AJ2472" s="9" t="s">
        <v>12296</v>
      </c>
      <c r="AK2472" s="7" t="s">
        <v>61</v>
      </c>
      <c r="AL2472" s="7" t="s">
        <v>61</v>
      </c>
      <c r="AM2472" s="7" t="s">
        <v>0</v>
      </c>
      <c r="AN2472" s="7" t="s">
        <v>0</v>
      </c>
      <c r="AO2472" s="7" t="s">
        <v>0</v>
      </c>
      <c r="AP2472" s="7" t="s">
        <v>0</v>
      </c>
      <c r="AQ2472" s="7" t="s">
        <v>61</v>
      </c>
      <c r="AR2472" s="7" t="s">
        <v>0</v>
      </c>
      <c r="AS2472" s="10" t="str">
        <f>HYPERLINK("https://tessa.gazprom-neft.local/edo/card/a5c57663-9c08-4271-ad1d-d155c8dac41d", "https://tessa.gazprom-neft.local/edo/card/a5c57663-9c08-4271-ad1d-d155c8dac41d")</f>
        <v>https://tessa.gazprom-neft.local/edo/card/a5c57663-9c08-4271-ad1d-d155c8dac41d</v>
      </c>
    </row>
    <row r="2473" spans="1:45" hidden="1" x14ac:dyDescent="0.25">
      <c r="A2473" s="6" t="s">
        <v>44</v>
      </c>
      <c r="B2473" s="7" t="s">
        <v>4179</v>
      </c>
      <c r="C2473" s="7" t="s">
        <v>46</v>
      </c>
      <c r="D2473" s="8">
        <v>44368</v>
      </c>
      <c r="E2473" s="8" t="s">
        <v>0</v>
      </c>
      <c r="F2473" s="16" t="s">
        <v>4180</v>
      </c>
      <c r="G2473" s="7" t="s">
        <v>4181</v>
      </c>
      <c r="H2473" s="7" t="s">
        <v>0</v>
      </c>
      <c r="I2473" s="7" t="s">
        <v>5051</v>
      </c>
      <c r="J2473" s="7" t="s">
        <v>5051</v>
      </c>
      <c r="K2473" s="7" t="s">
        <v>85</v>
      </c>
      <c r="L2473" s="7" t="s">
        <v>86</v>
      </c>
      <c r="M2473" s="7" t="s">
        <v>523</v>
      </c>
      <c r="N2473" s="7" t="s">
        <v>5050</v>
      </c>
      <c r="O2473" s="7" t="s">
        <v>0</v>
      </c>
      <c r="P2473" s="7" t="s">
        <v>523</v>
      </c>
      <c r="Q2473" s="7" t="s">
        <v>5052</v>
      </c>
      <c r="R2473" s="7" t="s">
        <v>1610</v>
      </c>
      <c r="S2473" s="7" t="s">
        <v>1610</v>
      </c>
      <c r="T2473" s="7" t="s">
        <v>54</v>
      </c>
      <c r="U2473" s="7" t="s">
        <v>101</v>
      </c>
      <c r="V2473" s="7" t="s">
        <v>137</v>
      </c>
      <c r="W2473" s="7" t="s">
        <v>57</v>
      </c>
      <c r="X2473" s="7" t="s">
        <v>103</v>
      </c>
      <c r="Y2473" s="8">
        <v>44378</v>
      </c>
      <c r="Z2473" s="8">
        <v>44500</v>
      </c>
      <c r="AA2473" s="7" t="s">
        <v>0</v>
      </c>
      <c r="AB2473" s="7" t="s">
        <v>94</v>
      </c>
      <c r="AC2473" s="7" t="s">
        <v>65</v>
      </c>
      <c r="AD2473" s="7" t="s">
        <v>0</v>
      </c>
      <c r="AE2473" s="7" t="s">
        <v>0</v>
      </c>
      <c r="AF2473" s="7" t="s">
        <v>0</v>
      </c>
      <c r="AG2473" s="7" t="s">
        <v>0</v>
      </c>
      <c r="AH2473" s="9" t="s">
        <v>0</v>
      </c>
      <c r="AI2473" s="9" t="s">
        <v>0</v>
      </c>
      <c r="AJ2473" s="9" t="s">
        <v>0</v>
      </c>
      <c r="AK2473" s="7" t="s">
        <v>61</v>
      </c>
      <c r="AL2473" s="7" t="s">
        <v>61</v>
      </c>
      <c r="AM2473" s="7" t="s">
        <v>0</v>
      </c>
      <c r="AN2473" s="7" t="s">
        <v>0</v>
      </c>
      <c r="AO2473" s="7" t="s">
        <v>0</v>
      </c>
      <c r="AP2473" s="7" t="s">
        <v>0</v>
      </c>
      <c r="AQ2473" s="7" t="s">
        <v>61</v>
      </c>
      <c r="AR2473" s="7" t="s">
        <v>0</v>
      </c>
      <c r="AS2473" s="10" t="str">
        <f>HYPERLINK("https://tessa.gazprom-neft.local/edo/card/b3b46252-5edd-4afa-b458-928129a26e2e", "https://tessa.gazprom-neft.local/edo/card/b3b46252-5edd-4afa-b458-928129a26e2e")</f>
        <v>https://tessa.gazprom-neft.local/edo/card/b3b46252-5edd-4afa-b458-928129a26e2e</v>
      </c>
    </row>
    <row r="2474" spans="1:45" x14ac:dyDescent="0.25">
      <c r="A2474" s="6" t="s">
        <v>44</v>
      </c>
      <c r="B2474" s="7" t="s">
        <v>245</v>
      </c>
      <c r="C2474" s="7" t="s">
        <v>67</v>
      </c>
      <c r="D2474" s="8">
        <v>44368</v>
      </c>
      <c r="E2474" s="8" t="s">
        <v>0</v>
      </c>
      <c r="F2474" s="16" t="s">
        <v>246</v>
      </c>
      <c r="G2474" s="7" t="s">
        <v>247</v>
      </c>
      <c r="H2474" s="7" t="s">
        <v>5883</v>
      </c>
      <c r="I2474" s="7" t="s">
        <v>0</v>
      </c>
      <c r="J2474" s="7" t="s">
        <v>271</v>
      </c>
      <c r="K2474" s="7" t="s">
        <v>47</v>
      </c>
      <c r="L2474" s="7" t="s">
        <v>48</v>
      </c>
      <c r="M2474" s="7" t="s">
        <v>0</v>
      </c>
      <c r="N2474" s="7" t="s">
        <v>6559</v>
      </c>
      <c r="O2474" s="7" t="s">
        <v>0</v>
      </c>
      <c r="P2474" s="7" t="s">
        <v>6560</v>
      </c>
      <c r="Q2474" s="7" t="s">
        <v>6561</v>
      </c>
      <c r="R2474" s="7" t="s">
        <v>540</v>
      </c>
      <c r="S2474" s="7" t="s">
        <v>0</v>
      </c>
      <c r="T2474" s="7" t="s">
        <v>54</v>
      </c>
      <c r="U2474" s="7" t="s">
        <v>541</v>
      </c>
      <c r="V2474" s="7" t="s">
        <v>56</v>
      </c>
      <c r="W2474" s="7" t="s">
        <v>57</v>
      </c>
      <c r="X2474" s="7" t="s">
        <v>103</v>
      </c>
      <c r="Y2474" s="8">
        <v>44419</v>
      </c>
      <c r="Z2474" s="8">
        <v>44561</v>
      </c>
      <c r="AA2474" s="7" t="s">
        <v>1251</v>
      </c>
      <c r="AB2474" s="7" t="s">
        <v>545</v>
      </c>
      <c r="AC2474" s="7" t="s">
        <v>79</v>
      </c>
      <c r="AD2474" s="7" t="s">
        <v>144</v>
      </c>
      <c r="AE2474" s="7" t="s">
        <v>82</v>
      </c>
      <c r="AF2474" s="7" t="s">
        <v>0</v>
      </c>
      <c r="AG2474" s="7" t="s">
        <v>0</v>
      </c>
      <c r="AH2474" s="9" t="s">
        <v>12890</v>
      </c>
      <c r="AI2474" s="9" t="s">
        <v>12891</v>
      </c>
      <c r="AJ2474" s="9" t="s">
        <v>12892</v>
      </c>
      <c r="AK2474" s="7" t="s">
        <v>61</v>
      </c>
      <c r="AL2474" s="7" t="s">
        <v>61</v>
      </c>
      <c r="AM2474" s="7" t="s">
        <v>0</v>
      </c>
      <c r="AN2474" s="7" t="s">
        <v>0</v>
      </c>
      <c r="AO2474" s="7" t="s">
        <v>0</v>
      </c>
      <c r="AP2474" s="7" t="s">
        <v>0</v>
      </c>
      <c r="AQ2474" s="7" t="s">
        <v>61</v>
      </c>
      <c r="AR2474" s="7" t="s">
        <v>0</v>
      </c>
      <c r="AS2474" s="10" t="str">
        <f>HYPERLINK("https://tessa.gazprom-neft.local/edo/card/52f65233-3e24-4a72-ac7f-6af9e2620069", "https://tessa.gazprom-neft.local/edo/card/52f65233-3e24-4a72-ac7f-6af9e2620069")</f>
        <v>https://tessa.gazprom-neft.local/edo/card/52f65233-3e24-4a72-ac7f-6af9e2620069</v>
      </c>
    </row>
    <row r="2475" spans="1:45" x14ac:dyDescent="0.25">
      <c r="A2475" s="6" t="s">
        <v>44</v>
      </c>
      <c r="B2475" s="7" t="s">
        <v>0</v>
      </c>
      <c r="C2475" s="7" t="s">
        <v>67</v>
      </c>
      <c r="D2475" s="8">
        <v>44363</v>
      </c>
      <c r="E2475" s="8" t="s">
        <v>0</v>
      </c>
      <c r="F2475" s="16" t="s">
        <v>4773</v>
      </c>
      <c r="G2475" s="7" t="s">
        <v>0</v>
      </c>
      <c r="H2475" s="7" t="s">
        <v>4770</v>
      </c>
      <c r="I2475" s="7" t="s">
        <v>0</v>
      </c>
      <c r="J2475" s="7" t="s">
        <v>51</v>
      </c>
      <c r="K2475" s="7" t="s">
        <v>47</v>
      </c>
      <c r="L2475" s="7" t="s">
        <v>48</v>
      </c>
      <c r="M2475" s="7" t="s">
        <v>0</v>
      </c>
      <c r="N2475" s="7" t="s">
        <v>4769</v>
      </c>
      <c r="O2475" s="7" t="s">
        <v>0</v>
      </c>
      <c r="P2475" s="7" t="s">
        <v>4771</v>
      </c>
      <c r="Q2475" s="7" t="s">
        <v>4772</v>
      </c>
      <c r="R2475" s="7" t="s">
        <v>1610</v>
      </c>
      <c r="S2475" s="7" t="s">
        <v>0</v>
      </c>
      <c r="T2475" s="7" t="s">
        <v>54</v>
      </c>
      <c r="U2475" s="7" t="s">
        <v>101</v>
      </c>
      <c r="V2475" s="7" t="s">
        <v>102</v>
      </c>
      <c r="W2475" s="7" t="s">
        <v>57</v>
      </c>
      <c r="X2475" s="7" t="s">
        <v>103</v>
      </c>
      <c r="Y2475" s="8">
        <v>44348</v>
      </c>
      <c r="Z2475" s="8">
        <v>44547</v>
      </c>
      <c r="AA2475" s="7" t="s">
        <v>0</v>
      </c>
      <c r="AB2475" s="7" t="s">
        <v>64</v>
      </c>
      <c r="AC2475" s="7" t="s">
        <v>65</v>
      </c>
      <c r="AD2475" s="7" t="s">
        <v>80</v>
      </c>
      <c r="AE2475" s="7" t="s">
        <v>0</v>
      </c>
      <c r="AF2475" s="7" t="s">
        <v>0</v>
      </c>
      <c r="AG2475" s="7" t="s">
        <v>0</v>
      </c>
      <c r="AH2475" s="9" t="s">
        <v>0</v>
      </c>
      <c r="AI2475" s="9" t="s">
        <v>0</v>
      </c>
      <c r="AJ2475" s="9" t="s">
        <v>0</v>
      </c>
      <c r="AK2475" s="7" t="s">
        <v>61</v>
      </c>
      <c r="AL2475" s="7" t="s">
        <v>61</v>
      </c>
      <c r="AM2475" s="7" t="s">
        <v>0</v>
      </c>
      <c r="AN2475" s="7" t="s">
        <v>0</v>
      </c>
      <c r="AO2475" s="7" t="s">
        <v>0</v>
      </c>
      <c r="AP2475" s="7" t="s">
        <v>0</v>
      </c>
      <c r="AQ2475" s="7" t="s">
        <v>61</v>
      </c>
      <c r="AR2475" s="7" t="s">
        <v>0</v>
      </c>
      <c r="AS2475" s="10" t="str">
        <f>HYPERLINK("https://tessa.gazprom-neft.local/edo/card/7a61c829-9ea1-4cbe-986b-b5987a7290ca", "https://tessa.gazprom-neft.local/edo/card/7a61c829-9ea1-4cbe-986b-b5987a7290ca")</f>
        <v>https://tessa.gazprom-neft.local/edo/card/7a61c829-9ea1-4cbe-986b-b5987a7290ca</v>
      </c>
    </row>
    <row r="2476" spans="1:45" x14ac:dyDescent="0.25">
      <c r="A2476" s="6" t="s">
        <v>44</v>
      </c>
      <c r="B2476" s="7" t="s">
        <v>436</v>
      </c>
      <c r="C2476" s="7" t="s">
        <v>67</v>
      </c>
      <c r="D2476" s="8">
        <v>44363</v>
      </c>
      <c r="E2476" s="8" t="s">
        <v>0</v>
      </c>
      <c r="F2476" s="16" t="s">
        <v>437</v>
      </c>
      <c r="G2476" s="7" t="s">
        <v>438</v>
      </c>
      <c r="H2476" s="7" t="s">
        <v>4786</v>
      </c>
      <c r="I2476" s="7" t="s">
        <v>0</v>
      </c>
      <c r="J2476" s="7" t="s">
        <v>4788</v>
      </c>
      <c r="K2476" s="7" t="s">
        <v>47</v>
      </c>
      <c r="L2476" s="7" t="s">
        <v>48</v>
      </c>
      <c r="M2476" s="7" t="s">
        <v>0</v>
      </c>
      <c r="N2476" s="7" t="s">
        <v>4785</v>
      </c>
      <c r="O2476" s="7" t="s">
        <v>0</v>
      </c>
      <c r="P2476" s="7" t="s">
        <v>4787</v>
      </c>
      <c r="Q2476" s="7" t="s">
        <v>4789</v>
      </c>
      <c r="R2476" s="7" t="s">
        <v>1342</v>
      </c>
      <c r="S2476" s="7" t="s">
        <v>1342</v>
      </c>
      <c r="T2476" s="7" t="s">
        <v>54</v>
      </c>
      <c r="U2476" s="7" t="s">
        <v>274</v>
      </c>
      <c r="V2476" s="7" t="s">
        <v>864</v>
      </c>
      <c r="W2476" s="7" t="s">
        <v>57</v>
      </c>
      <c r="X2476" s="7" t="s">
        <v>103</v>
      </c>
      <c r="Y2476" s="8">
        <v>44317</v>
      </c>
      <c r="Z2476" s="8">
        <v>44926</v>
      </c>
      <c r="AA2476" s="7" t="s">
        <v>1465</v>
      </c>
      <c r="AB2476" s="7" t="s">
        <v>328</v>
      </c>
      <c r="AC2476" s="7" t="s">
        <v>278</v>
      </c>
      <c r="AD2476" s="7" t="s">
        <v>80</v>
      </c>
      <c r="AE2476" s="7" t="s">
        <v>82</v>
      </c>
      <c r="AF2476" s="7" t="s">
        <v>0</v>
      </c>
      <c r="AG2476" s="7" t="s">
        <v>0</v>
      </c>
      <c r="AH2476" s="9" t="s">
        <v>12207</v>
      </c>
      <c r="AI2476" s="9" t="s">
        <v>12208</v>
      </c>
      <c r="AJ2476" s="9" t="s">
        <v>12209</v>
      </c>
      <c r="AK2476" s="7" t="s">
        <v>61</v>
      </c>
      <c r="AL2476" s="7" t="s">
        <v>61</v>
      </c>
      <c r="AM2476" s="7" t="s">
        <v>0</v>
      </c>
      <c r="AN2476" s="7" t="s">
        <v>0</v>
      </c>
      <c r="AO2476" s="7" t="s">
        <v>0</v>
      </c>
      <c r="AP2476" s="7" t="s">
        <v>0</v>
      </c>
      <c r="AQ2476" s="7" t="s">
        <v>61</v>
      </c>
      <c r="AR2476" s="7" t="s">
        <v>0</v>
      </c>
      <c r="AS2476" s="10" t="str">
        <f>HYPERLINK("https://tessa.gazprom-neft.local/edo/card/7ed50165-3499-4f52-a884-26920be0d301", "https://tessa.gazprom-neft.local/edo/card/7ed50165-3499-4f52-a884-26920be0d301")</f>
        <v>https://tessa.gazprom-neft.local/edo/card/7ed50165-3499-4f52-a884-26920be0d301</v>
      </c>
    </row>
    <row r="2477" spans="1:45" x14ac:dyDescent="0.25">
      <c r="A2477" s="6" t="s">
        <v>44</v>
      </c>
      <c r="B2477" s="7" t="s">
        <v>2132</v>
      </c>
      <c r="C2477" s="7" t="s">
        <v>67</v>
      </c>
      <c r="D2477" s="8">
        <v>44362</v>
      </c>
      <c r="E2477" s="8" t="s">
        <v>0</v>
      </c>
      <c r="F2477" s="16" t="s">
        <v>2133</v>
      </c>
      <c r="G2477" s="7" t="s">
        <v>739</v>
      </c>
      <c r="H2477" s="7" t="s">
        <v>2730</v>
      </c>
      <c r="I2477" s="7" t="s">
        <v>0</v>
      </c>
      <c r="J2477" s="7" t="s">
        <v>51</v>
      </c>
      <c r="K2477" s="7" t="s">
        <v>47</v>
      </c>
      <c r="L2477" s="7" t="s">
        <v>48</v>
      </c>
      <c r="M2477" s="7" t="s">
        <v>0</v>
      </c>
      <c r="N2477" s="7" t="s">
        <v>4811</v>
      </c>
      <c r="O2477" s="7" t="s">
        <v>0</v>
      </c>
      <c r="P2477" s="7" t="s">
        <v>4812</v>
      </c>
      <c r="Q2477" s="7" t="s">
        <v>4813</v>
      </c>
      <c r="R2477" s="7" t="s">
        <v>2732</v>
      </c>
      <c r="S2477" s="7" t="s">
        <v>898</v>
      </c>
      <c r="T2477" s="7" t="s">
        <v>54</v>
      </c>
      <c r="U2477" s="7" t="s">
        <v>210</v>
      </c>
      <c r="V2477" s="7" t="s">
        <v>211</v>
      </c>
      <c r="W2477" s="7" t="s">
        <v>57</v>
      </c>
      <c r="X2477" s="7" t="s">
        <v>103</v>
      </c>
      <c r="Y2477" s="8">
        <v>44362</v>
      </c>
      <c r="Z2477" s="8">
        <v>44561</v>
      </c>
      <c r="AA2477" s="7" t="s">
        <v>0</v>
      </c>
      <c r="AB2477" s="7" t="s">
        <v>2733</v>
      </c>
      <c r="AC2477" s="7" t="s">
        <v>65</v>
      </c>
      <c r="AD2477" s="7" t="s">
        <v>0</v>
      </c>
      <c r="AE2477" s="7" t="s">
        <v>0</v>
      </c>
      <c r="AF2477" s="7" t="s">
        <v>0</v>
      </c>
      <c r="AG2477" s="7" t="s">
        <v>0</v>
      </c>
      <c r="AH2477" s="9" t="s">
        <v>0</v>
      </c>
      <c r="AI2477" s="9" t="s">
        <v>0</v>
      </c>
      <c r="AJ2477" s="9" t="s">
        <v>0</v>
      </c>
      <c r="AK2477" s="7" t="s">
        <v>61</v>
      </c>
      <c r="AL2477" s="7" t="s">
        <v>61</v>
      </c>
      <c r="AM2477" s="7" t="s">
        <v>0</v>
      </c>
      <c r="AN2477" s="7" t="s">
        <v>0</v>
      </c>
      <c r="AO2477" s="7" t="s">
        <v>0</v>
      </c>
      <c r="AP2477" s="7" t="s">
        <v>0</v>
      </c>
      <c r="AQ2477" s="7" t="s">
        <v>61</v>
      </c>
      <c r="AR2477" s="7" t="s">
        <v>0</v>
      </c>
      <c r="AS2477" s="10" t="str">
        <f>HYPERLINK("https://tessa.gazprom-neft.local/edo/card/c80a1e16-54bd-4ba9-b800-718e95a962d8", "https://tessa.gazprom-neft.local/edo/card/c80a1e16-54bd-4ba9-b800-718e95a962d8")</f>
        <v>https://tessa.gazprom-neft.local/edo/card/c80a1e16-54bd-4ba9-b800-718e95a962d8</v>
      </c>
    </row>
    <row r="2478" spans="1:45" hidden="1" x14ac:dyDescent="0.25">
      <c r="A2478" s="6" t="s">
        <v>44</v>
      </c>
      <c r="B2478" s="7" t="s">
        <v>2132</v>
      </c>
      <c r="C2478" s="7" t="s">
        <v>67</v>
      </c>
      <c r="D2478" s="8">
        <v>44361</v>
      </c>
      <c r="E2478" s="8" t="s">
        <v>0</v>
      </c>
      <c r="F2478" s="16" t="s">
        <v>2133</v>
      </c>
      <c r="G2478" s="7" t="s">
        <v>739</v>
      </c>
      <c r="H2478" s="7" t="s">
        <v>0</v>
      </c>
      <c r="I2478" s="7" t="s">
        <v>2730</v>
      </c>
      <c r="J2478" s="7" t="s">
        <v>2730</v>
      </c>
      <c r="K2478" s="7" t="s">
        <v>85</v>
      </c>
      <c r="L2478" s="7" t="s">
        <v>96</v>
      </c>
      <c r="M2478" s="7" t="s">
        <v>2728</v>
      </c>
      <c r="N2478" s="7" t="s">
        <v>2729</v>
      </c>
      <c r="O2478" s="7" t="s">
        <v>0</v>
      </c>
      <c r="P2478" s="7" t="s">
        <v>2728</v>
      </c>
      <c r="Q2478" s="7" t="s">
        <v>2731</v>
      </c>
      <c r="R2478" s="7" t="s">
        <v>2732</v>
      </c>
      <c r="S2478" s="7" t="s">
        <v>2732</v>
      </c>
      <c r="T2478" s="7" t="s">
        <v>54</v>
      </c>
      <c r="U2478" s="7" t="s">
        <v>210</v>
      </c>
      <c r="V2478" s="7" t="s">
        <v>211</v>
      </c>
      <c r="W2478" s="7" t="s">
        <v>57</v>
      </c>
      <c r="X2478" s="7" t="s">
        <v>103</v>
      </c>
      <c r="Y2478" s="8">
        <v>44361</v>
      </c>
      <c r="Z2478" s="8">
        <v>44561</v>
      </c>
      <c r="AA2478" s="7" t="s">
        <v>0</v>
      </c>
      <c r="AB2478" s="7" t="s">
        <v>2733</v>
      </c>
      <c r="AC2478" s="7" t="s">
        <v>79</v>
      </c>
      <c r="AD2478" s="7" t="s">
        <v>80</v>
      </c>
      <c r="AE2478" s="7" t="s">
        <v>82</v>
      </c>
      <c r="AF2478" s="7" t="s">
        <v>0</v>
      </c>
      <c r="AG2478" s="7" t="s">
        <v>0</v>
      </c>
      <c r="AH2478" s="9" t="s">
        <v>11436</v>
      </c>
      <c r="AI2478" s="9" t="s">
        <v>11437</v>
      </c>
      <c r="AJ2478" s="9" t="s">
        <v>11438</v>
      </c>
      <c r="AK2478" s="7" t="s">
        <v>61</v>
      </c>
      <c r="AL2478" s="7" t="s">
        <v>61</v>
      </c>
      <c r="AM2478" s="7" t="s">
        <v>0</v>
      </c>
      <c r="AN2478" s="7" t="s">
        <v>0</v>
      </c>
      <c r="AO2478" s="7" t="s">
        <v>0</v>
      </c>
      <c r="AP2478" s="7" t="s">
        <v>0</v>
      </c>
      <c r="AQ2478" s="7" t="s">
        <v>61</v>
      </c>
      <c r="AR2478" s="7" t="s">
        <v>0</v>
      </c>
      <c r="AS2478" s="10" t="str">
        <f>HYPERLINK("https://tessa.gazprom-neft.local/edo/card/716f03f1-7bcb-416d-85cc-16dca8f9917b", "https://tessa.gazprom-neft.local/edo/card/716f03f1-7bcb-416d-85cc-16dca8f9917b")</f>
        <v>https://tessa.gazprom-neft.local/edo/card/716f03f1-7bcb-416d-85cc-16dca8f9917b</v>
      </c>
    </row>
    <row r="2479" spans="1:45" hidden="1" x14ac:dyDescent="0.25">
      <c r="A2479" s="6" t="s">
        <v>44</v>
      </c>
      <c r="B2479" s="7" t="s">
        <v>737</v>
      </c>
      <c r="C2479" s="7" t="s">
        <v>67</v>
      </c>
      <c r="D2479" s="8">
        <v>44358</v>
      </c>
      <c r="E2479" s="8" t="s">
        <v>0</v>
      </c>
      <c r="F2479" s="16" t="s">
        <v>738</v>
      </c>
      <c r="G2479" s="7" t="s">
        <v>739</v>
      </c>
      <c r="H2479" s="7" t="s">
        <v>1758</v>
      </c>
      <c r="I2479" s="7" t="s">
        <v>0</v>
      </c>
      <c r="J2479" s="7" t="s">
        <v>316</v>
      </c>
      <c r="K2479" s="7" t="s">
        <v>47</v>
      </c>
      <c r="L2479" s="7" t="s">
        <v>239</v>
      </c>
      <c r="M2479" s="7" t="s">
        <v>0</v>
      </c>
      <c r="N2479" s="7" t="s">
        <v>4633</v>
      </c>
      <c r="O2479" s="7" t="s">
        <v>0</v>
      </c>
      <c r="P2479" s="7" t="s">
        <v>4634</v>
      </c>
      <c r="Q2479" s="7" t="s">
        <v>4635</v>
      </c>
      <c r="R2479" s="7" t="s">
        <v>244</v>
      </c>
      <c r="S2479" s="7" t="s">
        <v>244</v>
      </c>
      <c r="T2479" s="7" t="s">
        <v>54</v>
      </c>
      <c r="U2479" s="7" t="s">
        <v>55</v>
      </c>
      <c r="V2479" s="7" t="s">
        <v>137</v>
      </c>
      <c r="W2479" s="7" t="s">
        <v>57</v>
      </c>
      <c r="X2479" s="7" t="s">
        <v>103</v>
      </c>
      <c r="Y2479" s="8">
        <v>44358</v>
      </c>
      <c r="Z2479" s="8">
        <v>44666</v>
      </c>
      <c r="AA2479" s="7" t="s">
        <v>0</v>
      </c>
      <c r="AB2479" s="7" t="s">
        <v>248</v>
      </c>
      <c r="AC2479" s="7" t="s">
        <v>79</v>
      </c>
      <c r="AD2479" s="7" t="s">
        <v>144</v>
      </c>
      <c r="AE2479" s="7" t="s">
        <v>82</v>
      </c>
      <c r="AF2479" s="7" t="s">
        <v>0</v>
      </c>
      <c r="AG2479" s="7" t="s">
        <v>0</v>
      </c>
      <c r="AH2479" s="9" t="s">
        <v>12147</v>
      </c>
      <c r="AI2479" s="9" t="s">
        <v>12148</v>
      </c>
      <c r="AJ2479" s="9" t="s">
        <v>12149</v>
      </c>
      <c r="AK2479" s="7" t="s">
        <v>61</v>
      </c>
      <c r="AL2479" s="7" t="s">
        <v>61</v>
      </c>
      <c r="AM2479" s="7" t="s">
        <v>0</v>
      </c>
      <c r="AN2479" s="7" t="s">
        <v>0</v>
      </c>
      <c r="AO2479" s="7" t="s">
        <v>0</v>
      </c>
      <c r="AP2479" s="7" t="s">
        <v>0</v>
      </c>
      <c r="AQ2479" s="7" t="s">
        <v>61</v>
      </c>
      <c r="AR2479" s="7" t="s">
        <v>0</v>
      </c>
      <c r="AS2479" s="10" t="str">
        <f>HYPERLINK("https://tessa.gazprom-neft.local/edo/card/708175c8-c09e-43ff-a87e-1b6f49c43698", "https://tessa.gazprom-neft.local/edo/card/708175c8-c09e-43ff-a87e-1b6f49c43698")</f>
        <v>https://tessa.gazprom-neft.local/edo/card/708175c8-c09e-43ff-a87e-1b6f49c43698</v>
      </c>
    </row>
    <row r="2480" spans="1:45" x14ac:dyDescent="0.25">
      <c r="A2480" s="6" t="s">
        <v>44</v>
      </c>
      <c r="B2480" s="7" t="s">
        <v>245</v>
      </c>
      <c r="C2480" s="7" t="s">
        <v>67</v>
      </c>
      <c r="D2480" s="8">
        <v>44358</v>
      </c>
      <c r="E2480" s="8" t="s">
        <v>0</v>
      </c>
      <c r="F2480" s="16" t="s">
        <v>246</v>
      </c>
      <c r="G2480" s="7" t="s">
        <v>247</v>
      </c>
      <c r="H2480" s="7" t="s">
        <v>4698</v>
      </c>
      <c r="I2480" s="7" t="s">
        <v>0</v>
      </c>
      <c r="J2480" s="7" t="s">
        <v>4700</v>
      </c>
      <c r="K2480" s="7" t="s">
        <v>47</v>
      </c>
      <c r="L2480" s="7" t="s">
        <v>48</v>
      </c>
      <c r="M2480" s="7" t="s">
        <v>0</v>
      </c>
      <c r="N2480" s="7" t="s">
        <v>4696</v>
      </c>
      <c r="O2480" s="7" t="s">
        <v>4697</v>
      </c>
      <c r="P2480" s="7" t="s">
        <v>4699</v>
      </c>
      <c r="Q2480" s="7" t="s">
        <v>4701</v>
      </c>
      <c r="R2480" s="7" t="s">
        <v>244</v>
      </c>
      <c r="S2480" s="7" t="s">
        <v>244</v>
      </c>
      <c r="T2480" s="7" t="s">
        <v>54</v>
      </c>
      <c r="U2480" s="7" t="s">
        <v>55</v>
      </c>
      <c r="V2480" s="7" t="s">
        <v>56</v>
      </c>
      <c r="W2480" s="7" t="s">
        <v>57</v>
      </c>
      <c r="X2480" s="7" t="s">
        <v>103</v>
      </c>
      <c r="Y2480" s="8">
        <v>44166</v>
      </c>
      <c r="Z2480" s="8">
        <v>44561</v>
      </c>
      <c r="AA2480" s="7" t="s">
        <v>1251</v>
      </c>
      <c r="AB2480" s="7" t="s">
        <v>248</v>
      </c>
      <c r="AC2480" s="7" t="s">
        <v>79</v>
      </c>
      <c r="AD2480" s="7" t="s">
        <v>144</v>
      </c>
      <c r="AE2480" s="7" t="s">
        <v>82</v>
      </c>
      <c r="AF2480" s="7" t="s">
        <v>0</v>
      </c>
      <c r="AG2480" s="7" t="s">
        <v>0</v>
      </c>
      <c r="AH2480" s="9" t="s">
        <v>12178</v>
      </c>
      <c r="AI2480" s="9" t="s">
        <v>12179</v>
      </c>
      <c r="AJ2480" s="9" t="s">
        <v>12180</v>
      </c>
      <c r="AK2480" s="7" t="s">
        <v>61</v>
      </c>
      <c r="AL2480" s="7" t="s">
        <v>61</v>
      </c>
      <c r="AM2480" s="7" t="s">
        <v>0</v>
      </c>
      <c r="AN2480" s="7" t="s">
        <v>0</v>
      </c>
      <c r="AO2480" s="7" t="s">
        <v>0</v>
      </c>
      <c r="AP2480" s="7" t="s">
        <v>0</v>
      </c>
      <c r="AQ2480" s="7" t="s">
        <v>61</v>
      </c>
      <c r="AR2480" s="7" t="s">
        <v>0</v>
      </c>
      <c r="AS2480" s="10" t="str">
        <f>HYPERLINK("https://tessa.gazprom-neft.local/edo/card/a07c06a8-e550-429e-865b-633c61599261", "https://tessa.gazprom-neft.local/edo/card/a07c06a8-e550-429e-865b-633c61599261")</f>
        <v>https://tessa.gazprom-neft.local/edo/card/a07c06a8-e550-429e-865b-633c61599261</v>
      </c>
    </row>
    <row r="2481" spans="1:45" hidden="1" x14ac:dyDescent="0.25">
      <c r="A2481" s="6" t="s">
        <v>44</v>
      </c>
      <c r="B2481" s="7" t="s">
        <v>2338</v>
      </c>
      <c r="C2481" s="7" t="s">
        <v>46</v>
      </c>
      <c r="D2481" s="8">
        <v>44357</v>
      </c>
      <c r="E2481" s="8" t="s">
        <v>0</v>
      </c>
      <c r="F2481" s="16" t="s">
        <v>2339</v>
      </c>
      <c r="G2481" s="7" t="s">
        <v>2340</v>
      </c>
      <c r="H2481" s="7" t="s">
        <v>0</v>
      </c>
      <c r="I2481" s="7" t="s">
        <v>2333</v>
      </c>
      <c r="J2481" s="7" t="s">
        <v>2333</v>
      </c>
      <c r="K2481" s="7" t="s">
        <v>47</v>
      </c>
      <c r="L2481" s="7" t="s">
        <v>86</v>
      </c>
      <c r="M2481" s="7" t="s">
        <v>0</v>
      </c>
      <c r="N2481" s="7" t="s">
        <v>2332</v>
      </c>
      <c r="O2481" s="7" t="s">
        <v>0</v>
      </c>
      <c r="P2481" s="7" t="s">
        <v>2334</v>
      </c>
      <c r="Q2481" s="7" t="s">
        <v>2335</v>
      </c>
      <c r="R2481" s="7" t="s">
        <v>2336</v>
      </c>
      <c r="S2481" s="7" t="s">
        <v>2337</v>
      </c>
      <c r="T2481" s="7" t="s">
        <v>54</v>
      </c>
      <c r="U2481" s="7" t="s">
        <v>307</v>
      </c>
      <c r="V2481" s="7" t="s">
        <v>137</v>
      </c>
      <c r="W2481" s="7" t="s">
        <v>57</v>
      </c>
      <c r="X2481" s="7" t="s">
        <v>58</v>
      </c>
      <c r="Y2481" s="8">
        <v>44357</v>
      </c>
      <c r="Z2481" s="8" t="s">
        <v>0</v>
      </c>
      <c r="AA2481" s="7" t="s">
        <v>0</v>
      </c>
      <c r="AB2481" s="7" t="s">
        <v>1419</v>
      </c>
      <c r="AC2481" s="7" t="s">
        <v>65</v>
      </c>
      <c r="AD2481" s="7" t="s">
        <v>0</v>
      </c>
      <c r="AE2481" s="7" t="s">
        <v>0</v>
      </c>
      <c r="AF2481" s="7" t="s">
        <v>0</v>
      </c>
      <c r="AG2481" s="7" t="s">
        <v>0</v>
      </c>
      <c r="AH2481" s="9" t="s">
        <v>0</v>
      </c>
      <c r="AI2481" s="9" t="s">
        <v>0</v>
      </c>
      <c r="AJ2481" s="9" t="s">
        <v>0</v>
      </c>
      <c r="AK2481" s="7" t="s">
        <v>61</v>
      </c>
      <c r="AL2481" s="7" t="s">
        <v>61</v>
      </c>
      <c r="AM2481" s="7" t="s">
        <v>0</v>
      </c>
      <c r="AN2481" s="7" t="s">
        <v>0</v>
      </c>
      <c r="AO2481" s="7" t="s">
        <v>0</v>
      </c>
      <c r="AP2481" s="7" t="s">
        <v>0</v>
      </c>
      <c r="AQ2481" s="7" t="s">
        <v>61</v>
      </c>
      <c r="AR2481" s="7" t="s">
        <v>0</v>
      </c>
      <c r="AS2481" s="10" t="str">
        <f>HYPERLINK("https://tessa.gazprom-neft.local/edo/card/7042d977-a1f3-4c60-957b-29ecc40cadfe", "https://tessa.gazprom-neft.local/edo/card/7042d977-a1f3-4c60-957b-29ecc40cadfe")</f>
        <v>https://tessa.gazprom-neft.local/edo/card/7042d977-a1f3-4c60-957b-29ecc40cadfe</v>
      </c>
    </row>
    <row r="2482" spans="1:45" hidden="1" x14ac:dyDescent="0.25">
      <c r="A2482" s="6" t="s">
        <v>44</v>
      </c>
      <c r="B2482" s="7" t="s">
        <v>3172</v>
      </c>
      <c r="C2482" s="7" t="s">
        <v>67</v>
      </c>
      <c r="D2482" s="8">
        <v>44354</v>
      </c>
      <c r="E2482" s="8" t="s">
        <v>0</v>
      </c>
      <c r="F2482" s="16" t="s">
        <v>3173</v>
      </c>
      <c r="G2482" s="7" t="s">
        <v>3174</v>
      </c>
      <c r="H2482" s="7" t="s">
        <v>3169</v>
      </c>
      <c r="I2482" s="7" t="s">
        <v>0</v>
      </c>
      <c r="J2482" s="7" t="s">
        <v>3935</v>
      </c>
      <c r="K2482" s="7" t="s">
        <v>85</v>
      </c>
      <c r="L2482" s="7" t="s">
        <v>239</v>
      </c>
      <c r="M2482" s="7" t="s">
        <v>1252</v>
      </c>
      <c r="N2482" s="7" t="s">
        <v>3934</v>
      </c>
      <c r="O2482" s="7" t="s">
        <v>0</v>
      </c>
      <c r="P2482" s="7" t="s">
        <v>1252</v>
      </c>
      <c r="Q2482" s="7" t="s">
        <v>3936</v>
      </c>
      <c r="R2482" s="7" t="s">
        <v>1256</v>
      </c>
      <c r="S2482" s="7" t="s">
        <v>1256</v>
      </c>
      <c r="T2482" s="7" t="s">
        <v>54</v>
      </c>
      <c r="U2482" s="7" t="s">
        <v>591</v>
      </c>
      <c r="V2482" s="7" t="s">
        <v>382</v>
      </c>
      <c r="W2482" s="7" t="s">
        <v>57</v>
      </c>
      <c r="X2482" s="7" t="s">
        <v>103</v>
      </c>
      <c r="Y2482" s="8">
        <v>44354</v>
      </c>
      <c r="Z2482" s="8">
        <v>44560</v>
      </c>
      <c r="AA2482" s="7" t="s">
        <v>1656</v>
      </c>
      <c r="AB2482" s="7" t="s">
        <v>387</v>
      </c>
      <c r="AC2482" s="7" t="s">
        <v>79</v>
      </c>
      <c r="AD2482" s="7" t="s">
        <v>144</v>
      </c>
      <c r="AE2482" s="7" t="s">
        <v>82</v>
      </c>
      <c r="AF2482" s="7" t="s">
        <v>0</v>
      </c>
      <c r="AG2482" s="7" t="s">
        <v>0</v>
      </c>
      <c r="AH2482" s="9" t="s">
        <v>11868</v>
      </c>
      <c r="AI2482" s="9" t="s">
        <v>11869</v>
      </c>
      <c r="AJ2482" s="9" t="s">
        <v>11870</v>
      </c>
      <c r="AK2482" s="7" t="s">
        <v>61</v>
      </c>
      <c r="AL2482" s="7" t="s">
        <v>61</v>
      </c>
      <c r="AM2482" s="7" t="s">
        <v>0</v>
      </c>
      <c r="AN2482" s="7" t="s">
        <v>0</v>
      </c>
      <c r="AO2482" s="7" t="s">
        <v>0</v>
      </c>
      <c r="AP2482" s="7" t="s">
        <v>0</v>
      </c>
      <c r="AQ2482" s="7" t="s">
        <v>61</v>
      </c>
      <c r="AR2482" s="7" t="s">
        <v>0</v>
      </c>
      <c r="AS2482" s="10" t="str">
        <f>HYPERLINK("https://tessa.gazprom-neft.local/edo/card/833a5f90-d8be-4821-80aa-a6e96056fc8c", "https://tessa.gazprom-neft.local/edo/card/833a5f90-d8be-4821-80aa-a6e96056fc8c")</f>
        <v>https://tessa.gazprom-neft.local/edo/card/833a5f90-d8be-4821-80aa-a6e96056fc8c</v>
      </c>
    </row>
    <row r="2483" spans="1:45" hidden="1" x14ac:dyDescent="0.25">
      <c r="A2483" s="6" t="s">
        <v>44</v>
      </c>
      <c r="B2483" s="7" t="s">
        <v>3172</v>
      </c>
      <c r="C2483" s="7" t="s">
        <v>67</v>
      </c>
      <c r="D2483" s="8">
        <v>44354</v>
      </c>
      <c r="E2483" s="8" t="s">
        <v>0</v>
      </c>
      <c r="F2483" s="16" t="s">
        <v>3173</v>
      </c>
      <c r="G2483" s="7" t="s">
        <v>3174</v>
      </c>
      <c r="H2483" s="7" t="s">
        <v>3169</v>
      </c>
      <c r="I2483" s="7" t="s">
        <v>0</v>
      </c>
      <c r="J2483" s="7" t="s">
        <v>3947</v>
      </c>
      <c r="K2483" s="7" t="s">
        <v>85</v>
      </c>
      <c r="L2483" s="7" t="s">
        <v>239</v>
      </c>
      <c r="M2483" s="7" t="s">
        <v>1252</v>
      </c>
      <c r="N2483" s="7" t="s">
        <v>3946</v>
      </c>
      <c r="O2483" s="7" t="s">
        <v>0</v>
      </c>
      <c r="P2483" s="7" t="s">
        <v>1252</v>
      </c>
      <c r="Q2483" s="7" t="s">
        <v>3948</v>
      </c>
      <c r="R2483" s="7" t="s">
        <v>1256</v>
      </c>
      <c r="S2483" s="7" t="s">
        <v>1256</v>
      </c>
      <c r="T2483" s="7" t="s">
        <v>54</v>
      </c>
      <c r="U2483" s="7" t="s">
        <v>591</v>
      </c>
      <c r="V2483" s="7" t="s">
        <v>382</v>
      </c>
      <c r="W2483" s="7" t="s">
        <v>57</v>
      </c>
      <c r="X2483" s="7" t="s">
        <v>103</v>
      </c>
      <c r="Y2483" s="8">
        <v>44354</v>
      </c>
      <c r="Z2483" s="8">
        <v>44560</v>
      </c>
      <c r="AA2483" s="7" t="s">
        <v>1656</v>
      </c>
      <c r="AB2483" s="7" t="s">
        <v>387</v>
      </c>
      <c r="AC2483" s="7" t="s">
        <v>79</v>
      </c>
      <c r="AD2483" s="7" t="s">
        <v>144</v>
      </c>
      <c r="AE2483" s="7" t="s">
        <v>82</v>
      </c>
      <c r="AF2483" s="7" t="s">
        <v>0</v>
      </c>
      <c r="AG2483" s="7" t="s">
        <v>0</v>
      </c>
      <c r="AH2483" s="9" t="s">
        <v>11877</v>
      </c>
      <c r="AI2483" s="9" t="s">
        <v>11878</v>
      </c>
      <c r="AJ2483" s="9" t="s">
        <v>11879</v>
      </c>
      <c r="AK2483" s="7" t="s">
        <v>61</v>
      </c>
      <c r="AL2483" s="7" t="s">
        <v>61</v>
      </c>
      <c r="AM2483" s="7" t="s">
        <v>0</v>
      </c>
      <c r="AN2483" s="7" t="s">
        <v>0</v>
      </c>
      <c r="AO2483" s="7" t="s">
        <v>0</v>
      </c>
      <c r="AP2483" s="7" t="s">
        <v>0</v>
      </c>
      <c r="AQ2483" s="7" t="s">
        <v>61</v>
      </c>
      <c r="AR2483" s="7" t="s">
        <v>0</v>
      </c>
      <c r="AS2483" s="10" t="str">
        <f>HYPERLINK("https://tessa.gazprom-neft.local/edo/card/500a357f-085e-4eb2-bbdd-95ffa982e878", "https://tessa.gazprom-neft.local/edo/card/500a357f-085e-4eb2-bbdd-95ffa982e878")</f>
        <v>https://tessa.gazprom-neft.local/edo/card/500a357f-085e-4eb2-bbdd-95ffa982e878</v>
      </c>
    </row>
    <row r="2484" spans="1:45" hidden="1" x14ac:dyDescent="0.25">
      <c r="A2484" s="6" t="s">
        <v>44</v>
      </c>
      <c r="B2484" s="7" t="s">
        <v>3172</v>
      </c>
      <c r="C2484" s="7" t="s">
        <v>67</v>
      </c>
      <c r="D2484" s="8">
        <v>44354</v>
      </c>
      <c r="E2484" s="8" t="s">
        <v>0</v>
      </c>
      <c r="F2484" s="16" t="s">
        <v>3173</v>
      </c>
      <c r="G2484" s="7" t="s">
        <v>3174</v>
      </c>
      <c r="H2484" s="7" t="s">
        <v>3169</v>
      </c>
      <c r="I2484" s="7" t="s">
        <v>0</v>
      </c>
      <c r="J2484" s="7" t="s">
        <v>3959</v>
      </c>
      <c r="K2484" s="7" t="s">
        <v>85</v>
      </c>
      <c r="L2484" s="7" t="s">
        <v>239</v>
      </c>
      <c r="M2484" s="7" t="s">
        <v>1252</v>
      </c>
      <c r="N2484" s="7" t="s">
        <v>3958</v>
      </c>
      <c r="O2484" s="7" t="s">
        <v>0</v>
      </c>
      <c r="P2484" s="7" t="s">
        <v>1252</v>
      </c>
      <c r="Q2484" s="7" t="s">
        <v>3960</v>
      </c>
      <c r="R2484" s="7" t="s">
        <v>1256</v>
      </c>
      <c r="S2484" s="7" t="s">
        <v>1256</v>
      </c>
      <c r="T2484" s="7" t="s">
        <v>54</v>
      </c>
      <c r="U2484" s="7" t="s">
        <v>591</v>
      </c>
      <c r="V2484" s="7" t="s">
        <v>382</v>
      </c>
      <c r="W2484" s="7" t="s">
        <v>57</v>
      </c>
      <c r="X2484" s="7" t="s">
        <v>103</v>
      </c>
      <c r="Y2484" s="8">
        <v>44354</v>
      </c>
      <c r="Z2484" s="8">
        <v>44560</v>
      </c>
      <c r="AA2484" s="7" t="s">
        <v>1656</v>
      </c>
      <c r="AB2484" s="7" t="s">
        <v>387</v>
      </c>
      <c r="AC2484" s="7" t="s">
        <v>79</v>
      </c>
      <c r="AD2484" s="7" t="s">
        <v>144</v>
      </c>
      <c r="AE2484" s="7" t="s">
        <v>82</v>
      </c>
      <c r="AF2484" s="7" t="s">
        <v>0</v>
      </c>
      <c r="AG2484" s="7" t="s">
        <v>0</v>
      </c>
      <c r="AH2484" s="9" t="s">
        <v>11884</v>
      </c>
      <c r="AI2484" s="9" t="s">
        <v>11885</v>
      </c>
      <c r="AJ2484" s="9" t="s">
        <v>11886</v>
      </c>
      <c r="AK2484" s="7" t="s">
        <v>61</v>
      </c>
      <c r="AL2484" s="7" t="s">
        <v>61</v>
      </c>
      <c r="AM2484" s="7" t="s">
        <v>0</v>
      </c>
      <c r="AN2484" s="7" t="s">
        <v>0</v>
      </c>
      <c r="AO2484" s="7" t="s">
        <v>0</v>
      </c>
      <c r="AP2484" s="7" t="s">
        <v>0</v>
      </c>
      <c r="AQ2484" s="7" t="s">
        <v>61</v>
      </c>
      <c r="AR2484" s="7" t="s">
        <v>0</v>
      </c>
      <c r="AS2484" s="10" t="str">
        <f>HYPERLINK("https://tessa.gazprom-neft.local/edo/card/1e3ab281-d2e8-40ce-ac8f-ba024aa65ceb", "https://tessa.gazprom-neft.local/edo/card/1e3ab281-d2e8-40ce-ac8f-ba024aa65ceb")</f>
        <v>https://tessa.gazprom-neft.local/edo/card/1e3ab281-d2e8-40ce-ac8f-ba024aa65ceb</v>
      </c>
    </row>
    <row r="2485" spans="1:45" hidden="1" x14ac:dyDescent="0.25">
      <c r="A2485" s="6" t="s">
        <v>44</v>
      </c>
      <c r="B2485" s="7" t="s">
        <v>245</v>
      </c>
      <c r="C2485" s="7" t="s">
        <v>67</v>
      </c>
      <c r="D2485" s="8">
        <v>44354</v>
      </c>
      <c r="E2485" s="8" t="s">
        <v>0</v>
      </c>
      <c r="F2485" s="16" t="s">
        <v>246</v>
      </c>
      <c r="G2485" s="7" t="s">
        <v>247</v>
      </c>
      <c r="H2485" s="7" t="s">
        <v>1483</v>
      </c>
      <c r="I2485" s="7" t="s">
        <v>0</v>
      </c>
      <c r="J2485" s="7" t="s">
        <v>4139</v>
      </c>
      <c r="K2485" s="7" t="s">
        <v>47</v>
      </c>
      <c r="L2485" s="7" t="s">
        <v>239</v>
      </c>
      <c r="M2485" s="7" t="s">
        <v>0</v>
      </c>
      <c r="N2485" s="7" t="s">
        <v>4138</v>
      </c>
      <c r="O2485" s="7" t="s">
        <v>0</v>
      </c>
      <c r="P2485" s="7" t="s">
        <v>239</v>
      </c>
      <c r="Q2485" s="7" t="s">
        <v>4140</v>
      </c>
      <c r="R2485" s="7" t="s">
        <v>110</v>
      </c>
      <c r="S2485" s="7" t="s">
        <v>0</v>
      </c>
      <c r="T2485" s="7" t="s">
        <v>54</v>
      </c>
      <c r="U2485" s="7" t="s">
        <v>111</v>
      </c>
      <c r="V2485" s="7" t="s">
        <v>112</v>
      </c>
      <c r="W2485" s="7" t="s">
        <v>57</v>
      </c>
      <c r="X2485" s="7" t="s">
        <v>58</v>
      </c>
      <c r="Y2485" s="8">
        <v>44354</v>
      </c>
      <c r="Z2485" s="8" t="s">
        <v>0</v>
      </c>
      <c r="AA2485" s="7" t="s">
        <v>0</v>
      </c>
      <c r="AB2485" s="7" t="s">
        <v>64</v>
      </c>
      <c r="AC2485" s="7" t="s">
        <v>79</v>
      </c>
      <c r="AD2485" s="7" t="s">
        <v>144</v>
      </c>
      <c r="AE2485" s="7" t="s">
        <v>82</v>
      </c>
      <c r="AF2485" s="7" t="s">
        <v>0</v>
      </c>
      <c r="AG2485" s="7" t="s">
        <v>0</v>
      </c>
      <c r="AH2485" s="9" t="s">
        <v>11041</v>
      </c>
      <c r="AI2485" s="9" t="s">
        <v>11042</v>
      </c>
      <c r="AJ2485" s="9" t="s">
        <v>11043</v>
      </c>
      <c r="AK2485" s="7" t="s">
        <v>61</v>
      </c>
      <c r="AL2485" s="7" t="s">
        <v>61</v>
      </c>
      <c r="AM2485" s="7" t="s">
        <v>0</v>
      </c>
      <c r="AN2485" s="7" t="s">
        <v>0</v>
      </c>
      <c r="AO2485" s="7" t="s">
        <v>0</v>
      </c>
      <c r="AP2485" s="7" t="s">
        <v>0</v>
      </c>
      <c r="AQ2485" s="7" t="s">
        <v>61</v>
      </c>
      <c r="AR2485" s="7" t="s">
        <v>0</v>
      </c>
      <c r="AS2485" s="10" t="str">
        <f>HYPERLINK("https://tessa.gazprom-neft.local/edo/card/2d0adffc-1d09-4975-854d-26a1609da9b2", "https://tessa.gazprom-neft.local/edo/card/2d0adffc-1d09-4975-854d-26a1609da9b2")</f>
        <v>https://tessa.gazprom-neft.local/edo/card/2d0adffc-1d09-4975-854d-26a1609da9b2</v>
      </c>
    </row>
    <row r="2486" spans="1:45" x14ac:dyDescent="0.25">
      <c r="A2486" s="6" t="s">
        <v>44</v>
      </c>
      <c r="B2486" s="7" t="s">
        <v>1396</v>
      </c>
      <c r="C2486" s="7" t="s">
        <v>67</v>
      </c>
      <c r="D2486" s="8">
        <v>44352</v>
      </c>
      <c r="E2486" s="8" t="s">
        <v>0</v>
      </c>
      <c r="F2486" s="16" t="s">
        <v>1397</v>
      </c>
      <c r="G2486" s="7" t="s">
        <v>1398</v>
      </c>
      <c r="H2486" s="7" t="s">
        <v>1735</v>
      </c>
      <c r="I2486" s="7" t="s">
        <v>0</v>
      </c>
      <c r="J2486" s="7" t="s">
        <v>51</v>
      </c>
      <c r="K2486" s="7" t="s">
        <v>47</v>
      </c>
      <c r="L2486" s="7" t="s">
        <v>48</v>
      </c>
      <c r="M2486" s="7" t="s">
        <v>0</v>
      </c>
      <c r="N2486" s="7" t="s">
        <v>6049</v>
      </c>
      <c r="O2486" s="7" t="s">
        <v>0</v>
      </c>
      <c r="P2486" s="7" t="s">
        <v>6050</v>
      </c>
      <c r="Q2486" s="7" t="s">
        <v>6051</v>
      </c>
      <c r="R2486" s="7" t="s">
        <v>282</v>
      </c>
      <c r="S2486" s="7" t="s">
        <v>6052</v>
      </c>
      <c r="T2486" s="7" t="s">
        <v>54</v>
      </c>
      <c r="U2486" s="7" t="s">
        <v>283</v>
      </c>
      <c r="V2486" s="7" t="s">
        <v>102</v>
      </c>
      <c r="W2486" s="7" t="s">
        <v>57</v>
      </c>
      <c r="X2486" s="7" t="s">
        <v>103</v>
      </c>
      <c r="Y2486" s="8">
        <v>44352</v>
      </c>
      <c r="Z2486" s="8">
        <v>45657</v>
      </c>
      <c r="AA2486" s="7" t="s">
        <v>0</v>
      </c>
      <c r="AB2486" s="7" t="s">
        <v>1738</v>
      </c>
      <c r="AC2486" s="7" t="s">
        <v>65</v>
      </c>
      <c r="AD2486" s="7" t="s">
        <v>0</v>
      </c>
      <c r="AE2486" s="7" t="s">
        <v>0</v>
      </c>
      <c r="AF2486" s="7" t="s">
        <v>0</v>
      </c>
      <c r="AG2486" s="7" t="s">
        <v>0</v>
      </c>
      <c r="AH2486" s="9" t="s">
        <v>0</v>
      </c>
      <c r="AI2486" s="9" t="s">
        <v>0</v>
      </c>
      <c r="AJ2486" s="9" t="s">
        <v>0</v>
      </c>
      <c r="AK2486" s="7" t="s">
        <v>61</v>
      </c>
      <c r="AL2486" s="7" t="s">
        <v>61</v>
      </c>
      <c r="AM2486" s="7" t="s">
        <v>0</v>
      </c>
      <c r="AN2486" s="7" t="s">
        <v>0</v>
      </c>
      <c r="AO2486" s="7" t="s">
        <v>0</v>
      </c>
      <c r="AP2486" s="7" t="s">
        <v>0</v>
      </c>
      <c r="AQ2486" s="7" t="s">
        <v>61</v>
      </c>
      <c r="AR2486" s="7" t="s">
        <v>0</v>
      </c>
      <c r="AS2486" s="10" t="str">
        <f>HYPERLINK("https://tessa.gazprom-neft.local/edo/card/b331efea-af6a-4673-9a4a-62f924dde3d1", "https://tessa.gazprom-neft.local/edo/card/b331efea-af6a-4673-9a4a-62f924dde3d1")</f>
        <v>https://tessa.gazprom-neft.local/edo/card/b331efea-af6a-4673-9a4a-62f924dde3d1</v>
      </c>
    </row>
    <row r="2487" spans="1:45" hidden="1" x14ac:dyDescent="0.25">
      <c r="A2487" s="6" t="s">
        <v>44</v>
      </c>
      <c r="B2487" s="7" t="s">
        <v>1396</v>
      </c>
      <c r="C2487" s="7" t="s">
        <v>67</v>
      </c>
      <c r="D2487" s="8">
        <v>44352</v>
      </c>
      <c r="E2487" s="8" t="s">
        <v>0</v>
      </c>
      <c r="F2487" s="16" t="s">
        <v>1397</v>
      </c>
      <c r="G2487" s="7" t="s">
        <v>1398</v>
      </c>
      <c r="H2487" s="7" t="s">
        <v>1735</v>
      </c>
      <c r="I2487" s="7" t="s">
        <v>0</v>
      </c>
      <c r="J2487" s="7" t="s">
        <v>51</v>
      </c>
      <c r="K2487" s="7" t="s">
        <v>47</v>
      </c>
      <c r="L2487" s="7" t="s">
        <v>239</v>
      </c>
      <c r="M2487" s="7" t="s">
        <v>0</v>
      </c>
      <c r="N2487" s="7" t="s">
        <v>6079</v>
      </c>
      <c r="O2487" s="7" t="s">
        <v>0</v>
      </c>
      <c r="P2487" s="7" t="s">
        <v>6080</v>
      </c>
      <c r="Q2487" s="7" t="s">
        <v>6081</v>
      </c>
      <c r="R2487" s="7" t="s">
        <v>282</v>
      </c>
      <c r="S2487" s="7" t="s">
        <v>6052</v>
      </c>
      <c r="T2487" s="7" t="s">
        <v>54</v>
      </c>
      <c r="U2487" s="7" t="s">
        <v>283</v>
      </c>
      <c r="V2487" s="7" t="s">
        <v>102</v>
      </c>
      <c r="W2487" s="7" t="s">
        <v>57</v>
      </c>
      <c r="X2487" s="7" t="s">
        <v>103</v>
      </c>
      <c r="Y2487" s="8">
        <v>44352</v>
      </c>
      <c r="Z2487" s="8">
        <v>44561</v>
      </c>
      <c r="AA2487" s="7" t="s">
        <v>0</v>
      </c>
      <c r="AB2487" s="7" t="s">
        <v>1738</v>
      </c>
      <c r="AC2487" s="7" t="s">
        <v>65</v>
      </c>
      <c r="AD2487" s="7" t="s">
        <v>0</v>
      </c>
      <c r="AE2487" s="7" t="s">
        <v>0</v>
      </c>
      <c r="AF2487" s="7" t="s">
        <v>0</v>
      </c>
      <c r="AG2487" s="7" t="s">
        <v>0</v>
      </c>
      <c r="AH2487" s="9" t="s">
        <v>0</v>
      </c>
      <c r="AI2487" s="9" t="s">
        <v>0</v>
      </c>
      <c r="AJ2487" s="9" t="s">
        <v>0</v>
      </c>
      <c r="AK2487" s="7" t="s">
        <v>61</v>
      </c>
      <c r="AL2487" s="7" t="s">
        <v>61</v>
      </c>
      <c r="AM2487" s="7" t="s">
        <v>0</v>
      </c>
      <c r="AN2487" s="7" t="s">
        <v>0</v>
      </c>
      <c r="AO2487" s="7" t="s">
        <v>0</v>
      </c>
      <c r="AP2487" s="7" t="s">
        <v>0</v>
      </c>
      <c r="AQ2487" s="7" t="s">
        <v>61</v>
      </c>
      <c r="AR2487" s="7" t="s">
        <v>0</v>
      </c>
      <c r="AS2487" s="10" t="str">
        <f>HYPERLINK("https://tessa.gazprom-neft.local/edo/card/cdd868cd-6f23-458e-84ef-6b1ce8ce446b", "https://tessa.gazprom-neft.local/edo/card/cdd868cd-6f23-458e-84ef-6b1ce8ce446b")</f>
        <v>https://tessa.gazprom-neft.local/edo/card/cdd868cd-6f23-458e-84ef-6b1ce8ce446b</v>
      </c>
    </row>
    <row r="2488" spans="1:45" hidden="1" x14ac:dyDescent="0.25">
      <c r="A2488" s="6" t="s">
        <v>44</v>
      </c>
      <c r="B2488" s="7" t="s">
        <v>964</v>
      </c>
      <c r="C2488" s="7" t="s">
        <v>67</v>
      </c>
      <c r="D2488" s="8">
        <v>44351</v>
      </c>
      <c r="E2488" s="8" t="s">
        <v>0</v>
      </c>
      <c r="F2488" s="16" t="s">
        <v>965</v>
      </c>
      <c r="G2488" s="7" t="s">
        <v>966</v>
      </c>
      <c r="H2488" s="7" t="s">
        <v>3153</v>
      </c>
      <c r="I2488" s="7" t="s">
        <v>0</v>
      </c>
      <c r="J2488" s="7" t="s">
        <v>3155</v>
      </c>
      <c r="K2488" s="7" t="s">
        <v>47</v>
      </c>
      <c r="L2488" s="7" t="s">
        <v>493</v>
      </c>
      <c r="M2488" s="7" t="s">
        <v>0</v>
      </c>
      <c r="N2488" s="7" t="s">
        <v>3152</v>
      </c>
      <c r="O2488" s="7" t="s">
        <v>0</v>
      </c>
      <c r="P2488" s="7" t="s">
        <v>3154</v>
      </c>
      <c r="Q2488" s="7" t="s">
        <v>3156</v>
      </c>
      <c r="R2488" s="7" t="s">
        <v>293</v>
      </c>
      <c r="S2488" s="7" t="s">
        <v>293</v>
      </c>
      <c r="T2488" s="7" t="s">
        <v>54</v>
      </c>
      <c r="U2488" s="7" t="s">
        <v>1683</v>
      </c>
      <c r="V2488" s="7" t="s">
        <v>295</v>
      </c>
      <c r="W2488" s="7" t="s">
        <v>57</v>
      </c>
      <c r="X2488" s="7" t="s">
        <v>58</v>
      </c>
      <c r="Y2488" s="8">
        <v>44347</v>
      </c>
      <c r="Z2488" s="8" t="s">
        <v>0</v>
      </c>
      <c r="AA2488" s="7" t="s">
        <v>1269</v>
      </c>
      <c r="AB2488" s="7" t="s">
        <v>366</v>
      </c>
      <c r="AC2488" s="7" t="s">
        <v>79</v>
      </c>
      <c r="AD2488" s="7" t="s">
        <v>367</v>
      </c>
      <c r="AE2488" s="7" t="s">
        <v>82</v>
      </c>
      <c r="AF2488" s="7" t="s">
        <v>0</v>
      </c>
      <c r="AG2488" s="7" t="s">
        <v>0</v>
      </c>
      <c r="AH2488" s="9" t="s">
        <v>11555</v>
      </c>
      <c r="AI2488" s="9" t="s">
        <v>11556</v>
      </c>
      <c r="AJ2488" s="9" t="s">
        <v>11557</v>
      </c>
      <c r="AK2488" s="7" t="s">
        <v>61</v>
      </c>
      <c r="AL2488" s="7" t="s">
        <v>61</v>
      </c>
      <c r="AM2488" s="7" t="s">
        <v>0</v>
      </c>
      <c r="AN2488" s="7" t="s">
        <v>0</v>
      </c>
      <c r="AO2488" s="7" t="s">
        <v>0</v>
      </c>
      <c r="AP2488" s="7" t="s">
        <v>0</v>
      </c>
      <c r="AQ2488" s="7" t="s">
        <v>61</v>
      </c>
      <c r="AR2488" s="7" t="s">
        <v>0</v>
      </c>
      <c r="AS2488" s="10" t="str">
        <f>HYPERLINK("https://tessa.gazprom-neft.local/edo/card/23c1c64d-4ec6-43c4-b130-9065126ec35c", "https://tessa.gazprom-neft.local/edo/card/23c1c64d-4ec6-43c4-b130-9065126ec35c")</f>
        <v>https://tessa.gazprom-neft.local/edo/card/23c1c64d-4ec6-43c4-b130-9065126ec35c</v>
      </c>
    </row>
    <row r="2489" spans="1:45" hidden="1" x14ac:dyDescent="0.25">
      <c r="A2489" s="6" t="s">
        <v>44</v>
      </c>
      <c r="B2489" s="7" t="s">
        <v>1351</v>
      </c>
      <c r="C2489" s="7" t="s">
        <v>67</v>
      </c>
      <c r="D2489" s="8">
        <v>44351</v>
      </c>
      <c r="E2489" s="8" t="s">
        <v>0</v>
      </c>
      <c r="F2489" s="16" t="s">
        <v>1352</v>
      </c>
      <c r="G2489" s="7" t="s">
        <v>1353</v>
      </c>
      <c r="H2489" s="7" t="s">
        <v>3865</v>
      </c>
      <c r="I2489" s="7" t="s">
        <v>0</v>
      </c>
      <c r="J2489" s="7" t="s">
        <v>3867</v>
      </c>
      <c r="K2489" s="7" t="s">
        <v>47</v>
      </c>
      <c r="L2489" s="7" t="s">
        <v>239</v>
      </c>
      <c r="M2489" s="7" t="s">
        <v>0</v>
      </c>
      <c r="N2489" s="7" t="s">
        <v>3864</v>
      </c>
      <c r="O2489" s="7" t="s">
        <v>0</v>
      </c>
      <c r="P2489" s="7" t="s">
        <v>3866</v>
      </c>
      <c r="Q2489" s="7" t="s">
        <v>3868</v>
      </c>
      <c r="R2489" s="7" t="s">
        <v>198</v>
      </c>
      <c r="S2489" s="7" t="s">
        <v>0</v>
      </c>
      <c r="T2489" s="7" t="s">
        <v>54</v>
      </c>
      <c r="U2489" s="7" t="s">
        <v>199</v>
      </c>
      <c r="V2489" s="7" t="s">
        <v>211</v>
      </c>
      <c r="W2489" s="7" t="s">
        <v>57</v>
      </c>
      <c r="X2489" s="7" t="s">
        <v>103</v>
      </c>
      <c r="Y2489" s="8">
        <v>44361</v>
      </c>
      <c r="Z2489" s="8">
        <v>44561</v>
      </c>
      <c r="AA2489" s="7" t="s">
        <v>0</v>
      </c>
      <c r="AB2489" s="7" t="s">
        <v>3869</v>
      </c>
      <c r="AC2489" s="7" t="s">
        <v>79</v>
      </c>
      <c r="AD2489" s="7" t="s">
        <v>80</v>
      </c>
      <c r="AE2489" s="7" t="s">
        <v>82</v>
      </c>
      <c r="AF2489" s="7" t="s">
        <v>0</v>
      </c>
      <c r="AG2489" s="7" t="s">
        <v>0</v>
      </c>
      <c r="AH2489" s="9" t="s">
        <v>11844</v>
      </c>
      <c r="AI2489" s="9" t="s">
        <v>11845</v>
      </c>
      <c r="AJ2489" s="9" t="s">
        <v>11846</v>
      </c>
      <c r="AK2489" s="7" t="s">
        <v>61</v>
      </c>
      <c r="AL2489" s="7" t="s">
        <v>61</v>
      </c>
      <c r="AM2489" s="7" t="s">
        <v>0</v>
      </c>
      <c r="AN2489" s="7" t="s">
        <v>0</v>
      </c>
      <c r="AO2489" s="7" t="s">
        <v>0</v>
      </c>
      <c r="AP2489" s="7" t="s">
        <v>0</v>
      </c>
      <c r="AQ2489" s="7" t="s">
        <v>61</v>
      </c>
      <c r="AR2489" s="7" t="s">
        <v>0</v>
      </c>
      <c r="AS2489" s="10" t="str">
        <f>HYPERLINK("https://tessa.gazprom-neft.local/edo/card/416d9ef4-521b-4abc-828f-a0479430ac17", "https://tessa.gazprom-neft.local/edo/card/416d9ef4-521b-4abc-828f-a0479430ac17")</f>
        <v>https://tessa.gazprom-neft.local/edo/card/416d9ef4-521b-4abc-828f-a0479430ac17</v>
      </c>
    </row>
    <row r="2490" spans="1:45" x14ac:dyDescent="0.25">
      <c r="A2490" s="6" t="s">
        <v>44</v>
      </c>
      <c r="B2490" s="7" t="s">
        <v>245</v>
      </c>
      <c r="C2490" s="7" t="s">
        <v>67</v>
      </c>
      <c r="D2490" s="8">
        <v>44351</v>
      </c>
      <c r="E2490" s="8" t="s">
        <v>0</v>
      </c>
      <c r="F2490" s="16" t="s">
        <v>246</v>
      </c>
      <c r="G2490" s="7" t="s">
        <v>247</v>
      </c>
      <c r="H2490" s="7" t="s">
        <v>1205</v>
      </c>
      <c r="I2490" s="7" t="s">
        <v>0</v>
      </c>
      <c r="J2490" s="7" t="s">
        <v>51</v>
      </c>
      <c r="K2490" s="7" t="s">
        <v>47</v>
      </c>
      <c r="L2490" s="7" t="s">
        <v>48</v>
      </c>
      <c r="M2490" s="7" t="s">
        <v>0</v>
      </c>
      <c r="N2490" s="7" t="s">
        <v>3912</v>
      </c>
      <c r="O2490" s="7" t="s">
        <v>3913</v>
      </c>
      <c r="P2490" s="7" t="s">
        <v>3019</v>
      </c>
      <c r="Q2490" s="7" t="s">
        <v>3914</v>
      </c>
      <c r="R2490" s="7" t="s">
        <v>244</v>
      </c>
      <c r="S2490" s="7" t="s">
        <v>244</v>
      </c>
      <c r="T2490" s="7" t="s">
        <v>54</v>
      </c>
      <c r="U2490" s="7" t="s">
        <v>55</v>
      </c>
      <c r="V2490" s="7" t="s">
        <v>56</v>
      </c>
      <c r="W2490" s="7" t="s">
        <v>57</v>
      </c>
      <c r="X2490" s="7" t="s">
        <v>103</v>
      </c>
      <c r="Y2490" s="8">
        <v>44351</v>
      </c>
      <c r="Z2490" s="8">
        <v>44561</v>
      </c>
      <c r="AA2490" s="7" t="s">
        <v>1251</v>
      </c>
      <c r="AB2490" s="7" t="s">
        <v>248</v>
      </c>
      <c r="AC2490" s="7" t="s">
        <v>79</v>
      </c>
      <c r="AD2490" s="7" t="s">
        <v>144</v>
      </c>
      <c r="AE2490" s="7" t="s">
        <v>82</v>
      </c>
      <c r="AF2490" s="7" t="s">
        <v>0</v>
      </c>
      <c r="AG2490" s="7" t="s">
        <v>0</v>
      </c>
      <c r="AH2490" s="9" t="s">
        <v>11862</v>
      </c>
      <c r="AI2490" s="9" t="s">
        <v>11863</v>
      </c>
      <c r="AJ2490" s="9" t="s">
        <v>11864</v>
      </c>
      <c r="AK2490" s="7" t="s">
        <v>61</v>
      </c>
      <c r="AL2490" s="7" t="s">
        <v>61</v>
      </c>
      <c r="AM2490" s="7" t="s">
        <v>0</v>
      </c>
      <c r="AN2490" s="7" t="s">
        <v>0</v>
      </c>
      <c r="AO2490" s="7" t="s">
        <v>0</v>
      </c>
      <c r="AP2490" s="7" t="s">
        <v>0</v>
      </c>
      <c r="AQ2490" s="7" t="s">
        <v>61</v>
      </c>
      <c r="AR2490" s="7" t="s">
        <v>0</v>
      </c>
      <c r="AS2490" s="10" t="str">
        <f>HYPERLINK("https://tessa.gazprom-neft.local/edo/card/c807b58f-cd93-419a-884f-b2f2e308e50f", "https://tessa.gazprom-neft.local/edo/card/c807b58f-cd93-419a-884f-b2f2e308e50f")</f>
        <v>https://tessa.gazprom-neft.local/edo/card/c807b58f-cd93-419a-884f-b2f2e308e50f</v>
      </c>
    </row>
    <row r="2491" spans="1:45" hidden="1" x14ac:dyDescent="0.25">
      <c r="A2491" s="6" t="s">
        <v>44</v>
      </c>
      <c r="B2491" s="7" t="s">
        <v>0</v>
      </c>
      <c r="C2491" s="7" t="s">
        <v>46</v>
      </c>
      <c r="D2491" s="8">
        <v>44351</v>
      </c>
      <c r="E2491" s="8" t="s">
        <v>0</v>
      </c>
      <c r="F2491" s="16" t="s">
        <v>3927</v>
      </c>
      <c r="G2491" s="7" t="s">
        <v>0</v>
      </c>
      <c r="H2491" s="7" t="s">
        <v>0</v>
      </c>
      <c r="I2491" s="7" t="s">
        <v>3923</v>
      </c>
      <c r="J2491" s="7" t="s">
        <v>3923</v>
      </c>
      <c r="K2491" s="7" t="s">
        <v>47</v>
      </c>
      <c r="L2491" s="7" t="s">
        <v>96</v>
      </c>
      <c r="M2491" s="7" t="s">
        <v>0</v>
      </c>
      <c r="N2491" s="7" t="s">
        <v>3922</v>
      </c>
      <c r="O2491" s="7" t="s">
        <v>0</v>
      </c>
      <c r="P2491" s="7" t="s">
        <v>3924</v>
      </c>
      <c r="Q2491" s="7" t="s">
        <v>3925</v>
      </c>
      <c r="R2491" s="7" t="s">
        <v>361</v>
      </c>
      <c r="S2491" s="7" t="s">
        <v>3926</v>
      </c>
      <c r="T2491" s="7" t="s">
        <v>54</v>
      </c>
      <c r="U2491" s="7" t="s">
        <v>1683</v>
      </c>
      <c r="V2491" s="7" t="s">
        <v>295</v>
      </c>
      <c r="W2491" s="7" t="s">
        <v>57</v>
      </c>
      <c r="X2491" s="7" t="s">
        <v>103</v>
      </c>
      <c r="Y2491" s="8">
        <v>44351</v>
      </c>
      <c r="Z2491" s="8">
        <v>44561</v>
      </c>
      <c r="AA2491" s="7" t="s">
        <v>1269</v>
      </c>
      <c r="AB2491" s="7" t="s">
        <v>1748</v>
      </c>
      <c r="AC2491" s="7" t="s">
        <v>278</v>
      </c>
      <c r="AD2491" s="7" t="s">
        <v>367</v>
      </c>
      <c r="AE2491" s="7" t="s">
        <v>82</v>
      </c>
      <c r="AF2491" s="7" t="s">
        <v>0</v>
      </c>
      <c r="AG2491" s="7" t="s">
        <v>0</v>
      </c>
      <c r="AH2491" s="9" t="s">
        <v>11865</v>
      </c>
      <c r="AI2491" s="9" t="s">
        <v>11866</v>
      </c>
      <c r="AJ2491" s="9" t="s">
        <v>11867</v>
      </c>
      <c r="AK2491" s="7" t="s">
        <v>61</v>
      </c>
      <c r="AL2491" s="7" t="s">
        <v>61</v>
      </c>
      <c r="AM2491" s="7" t="s">
        <v>0</v>
      </c>
      <c r="AN2491" s="7" t="s">
        <v>0</v>
      </c>
      <c r="AO2491" s="7" t="s">
        <v>0</v>
      </c>
      <c r="AP2491" s="7" t="s">
        <v>0</v>
      </c>
      <c r="AQ2491" s="7" t="s">
        <v>61</v>
      </c>
      <c r="AR2491" s="7" t="s">
        <v>0</v>
      </c>
      <c r="AS2491" s="10" t="str">
        <f>HYPERLINK("https://tessa.gazprom-neft.local/edo/card/9dcfd72a-ddfe-4a28-b435-25eb107997fc", "https://tessa.gazprom-neft.local/edo/card/9dcfd72a-ddfe-4a28-b435-25eb107997fc")</f>
        <v>https://tessa.gazprom-neft.local/edo/card/9dcfd72a-ddfe-4a28-b435-25eb107997fc</v>
      </c>
    </row>
    <row r="2492" spans="1:45" hidden="1" x14ac:dyDescent="0.25">
      <c r="A2492" s="6" t="s">
        <v>44</v>
      </c>
      <c r="B2492" s="7" t="s">
        <v>606</v>
      </c>
      <c r="C2492" s="7" t="s">
        <v>67</v>
      </c>
      <c r="D2492" s="8">
        <v>44348</v>
      </c>
      <c r="E2492" s="8" t="s">
        <v>0</v>
      </c>
      <c r="F2492" s="16" t="s">
        <v>607</v>
      </c>
      <c r="G2492" s="7" t="s">
        <v>608</v>
      </c>
      <c r="H2492" s="7" t="s">
        <v>2774</v>
      </c>
      <c r="I2492" s="7" t="s">
        <v>0</v>
      </c>
      <c r="J2492" s="7" t="s">
        <v>3049</v>
      </c>
      <c r="K2492" s="7" t="s">
        <v>47</v>
      </c>
      <c r="L2492" s="7" t="s">
        <v>239</v>
      </c>
      <c r="M2492" s="7" t="s">
        <v>0</v>
      </c>
      <c r="N2492" s="7" t="s">
        <v>3046</v>
      </c>
      <c r="O2492" s="7" t="s">
        <v>3047</v>
      </c>
      <c r="P2492" s="7" t="s">
        <v>3048</v>
      </c>
      <c r="Q2492" s="7" t="s">
        <v>3050</v>
      </c>
      <c r="R2492" s="7" t="s">
        <v>938</v>
      </c>
      <c r="S2492" s="7" t="s">
        <v>3051</v>
      </c>
      <c r="T2492" s="7" t="s">
        <v>54</v>
      </c>
      <c r="U2492" s="7" t="s">
        <v>605</v>
      </c>
      <c r="V2492" s="7" t="s">
        <v>382</v>
      </c>
      <c r="W2492" s="7" t="s">
        <v>57</v>
      </c>
      <c r="X2492" s="7" t="s">
        <v>103</v>
      </c>
      <c r="Y2492" s="8">
        <v>44348</v>
      </c>
      <c r="Z2492" s="8">
        <v>44926</v>
      </c>
      <c r="AA2492" s="7" t="s">
        <v>1656</v>
      </c>
      <c r="AB2492" s="7" t="s">
        <v>888</v>
      </c>
      <c r="AC2492" s="7" t="s">
        <v>79</v>
      </c>
      <c r="AD2492" s="7" t="s">
        <v>144</v>
      </c>
      <c r="AE2492" s="7" t="s">
        <v>82</v>
      </c>
      <c r="AF2492" s="7" t="s">
        <v>0</v>
      </c>
      <c r="AG2492" s="7" t="s">
        <v>0</v>
      </c>
      <c r="AH2492" s="9" t="s">
        <v>11531</v>
      </c>
      <c r="AI2492" s="9" t="s">
        <v>11532</v>
      </c>
      <c r="AJ2492" s="9" t="s">
        <v>11533</v>
      </c>
      <c r="AK2492" s="7" t="s">
        <v>61</v>
      </c>
      <c r="AL2492" s="7" t="s">
        <v>61</v>
      </c>
      <c r="AM2492" s="7" t="s">
        <v>0</v>
      </c>
      <c r="AN2492" s="7" t="s">
        <v>0</v>
      </c>
      <c r="AO2492" s="7" t="s">
        <v>0</v>
      </c>
      <c r="AP2492" s="7" t="s">
        <v>0</v>
      </c>
      <c r="AQ2492" s="7" t="s">
        <v>61</v>
      </c>
      <c r="AR2492" s="7" t="s">
        <v>0</v>
      </c>
      <c r="AS2492" s="10" t="str">
        <f>HYPERLINK("https://tessa.gazprom-neft.local/edo/card/d7dedac9-37b9-4e85-a94c-3db1f04b5eb4", "https://tessa.gazprom-neft.local/edo/card/d7dedac9-37b9-4e85-a94c-3db1f04b5eb4")</f>
        <v>https://tessa.gazprom-neft.local/edo/card/d7dedac9-37b9-4e85-a94c-3db1f04b5eb4</v>
      </c>
    </row>
    <row r="2493" spans="1:45" hidden="1" x14ac:dyDescent="0.25">
      <c r="A2493" s="6" t="s">
        <v>44</v>
      </c>
      <c r="B2493" s="7" t="s">
        <v>3089</v>
      </c>
      <c r="C2493" s="7" t="s">
        <v>67</v>
      </c>
      <c r="D2493" s="8">
        <v>44348</v>
      </c>
      <c r="E2493" s="8" t="s">
        <v>0</v>
      </c>
      <c r="F2493" s="16" t="s">
        <v>3090</v>
      </c>
      <c r="G2493" s="7" t="s">
        <v>3091</v>
      </c>
      <c r="H2493" s="7" t="s">
        <v>0</v>
      </c>
      <c r="I2493" s="7" t="s">
        <v>3088</v>
      </c>
      <c r="J2493" s="7" t="s">
        <v>3088</v>
      </c>
      <c r="K2493" s="7" t="s">
        <v>85</v>
      </c>
      <c r="L2493" s="7" t="s">
        <v>86</v>
      </c>
      <c r="M2493" s="7" t="s">
        <v>2316</v>
      </c>
      <c r="N2493" s="7" t="s">
        <v>3087</v>
      </c>
      <c r="O2493" s="7" t="s">
        <v>0</v>
      </c>
      <c r="P2493" s="7" t="s">
        <v>2316</v>
      </c>
      <c r="Q2493" s="7" t="s">
        <v>426</v>
      </c>
      <c r="R2493" s="7" t="s">
        <v>361</v>
      </c>
      <c r="S2493" s="7" t="s">
        <v>361</v>
      </c>
      <c r="T2493" s="7" t="s">
        <v>54</v>
      </c>
      <c r="U2493" s="7" t="s">
        <v>1683</v>
      </c>
      <c r="V2493" s="7" t="s">
        <v>295</v>
      </c>
      <c r="W2493" s="7" t="s">
        <v>57</v>
      </c>
      <c r="X2493" s="7" t="s">
        <v>58</v>
      </c>
      <c r="Y2493" s="8">
        <v>44348</v>
      </c>
      <c r="Z2493" s="8" t="s">
        <v>0</v>
      </c>
      <c r="AA2493" s="7" t="s">
        <v>1269</v>
      </c>
      <c r="AB2493" s="7" t="s">
        <v>328</v>
      </c>
      <c r="AC2493" s="7" t="s">
        <v>65</v>
      </c>
      <c r="AD2493" s="7" t="s">
        <v>0</v>
      </c>
      <c r="AE2493" s="7" t="s">
        <v>0</v>
      </c>
      <c r="AF2493" s="7" t="s">
        <v>0</v>
      </c>
      <c r="AG2493" s="7" t="s">
        <v>0</v>
      </c>
      <c r="AH2493" s="9" t="s">
        <v>0</v>
      </c>
      <c r="AI2493" s="9" t="s">
        <v>0</v>
      </c>
      <c r="AJ2493" s="9" t="s">
        <v>0</v>
      </c>
      <c r="AK2493" s="7" t="s">
        <v>61</v>
      </c>
      <c r="AL2493" s="7" t="s">
        <v>61</v>
      </c>
      <c r="AM2493" s="7" t="s">
        <v>0</v>
      </c>
      <c r="AN2493" s="7" t="s">
        <v>0</v>
      </c>
      <c r="AO2493" s="7" t="s">
        <v>0</v>
      </c>
      <c r="AP2493" s="7" t="s">
        <v>0</v>
      </c>
      <c r="AQ2493" s="7" t="s">
        <v>61</v>
      </c>
      <c r="AR2493" s="7" t="s">
        <v>0</v>
      </c>
      <c r="AS2493" s="10" t="str">
        <f>HYPERLINK("https://tessa.gazprom-neft.local/edo/card/93b6b06f-e0f8-4835-a61f-c9d53d6fa078", "https://tessa.gazprom-neft.local/edo/card/93b6b06f-e0f8-4835-a61f-c9d53d6fa078")</f>
        <v>https://tessa.gazprom-neft.local/edo/card/93b6b06f-e0f8-4835-a61f-c9d53d6fa078</v>
      </c>
    </row>
    <row r="2494" spans="1:45" hidden="1" x14ac:dyDescent="0.25">
      <c r="A2494" s="6" t="s">
        <v>44</v>
      </c>
      <c r="B2494" s="7" t="s">
        <v>3248</v>
      </c>
      <c r="C2494" s="7" t="s">
        <v>46</v>
      </c>
      <c r="D2494" s="8">
        <v>44348</v>
      </c>
      <c r="E2494" s="8" t="s">
        <v>0</v>
      </c>
      <c r="F2494" s="16" t="s">
        <v>3249</v>
      </c>
      <c r="G2494" s="7" t="s">
        <v>3250</v>
      </c>
      <c r="H2494" s="7" t="s">
        <v>3244</v>
      </c>
      <c r="I2494" s="7" t="s">
        <v>0</v>
      </c>
      <c r="J2494" s="7" t="s">
        <v>3246</v>
      </c>
      <c r="K2494" s="7" t="s">
        <v>47</v>
      </c>
      <c r="L2494" s="7" t="s">
        <v>239</v>
      </c>
      <c r="M2494" s="7" t="s">
        <v>0</v>
      </c>
      <c r="N2494" s="7" t="s">
        <v>3243</v>
      </c>
      <c r="O2494" s="7" t="s">
        <v>0</v>
      </c>
      <c r="P2494" s="7" t="s">
        <v>3245</v>
      </c>
      <c r="Q2494" s="7" t="s">
        <v>3247</v>
      </c>
      <c r="R2494" s="7" t="s">
        <v>1711</v>
      </c>
      <c r="S2494" s="7" t="s">
        <v>1711</v>
      </c>
      <c r="T2494" s="7" t="s">
        <v>54</v>
      </c>
      <c r="U2494" s="7" t="s">
        <v>605</v>
      </c>
      <c r="V2494" s="7" t="s">
        <v>137</v>
      </c>
      <c r="W2494" s="7" t="s">
        <v>57</v>
      </c>
      <c r="X2494" s="7" t="s">
        <v>103</v>
      </c>
      <c r="Y2494" s="8">
        <v>44348</v>
      </c>
      <c r="Z2494" s="8">
        <v>45291</v>
      </c>
      <c r="AA2494" s="7" t="s">
        <v>0</v>
      </c>
      <c r="AB2494" s="7" t="s">
        <v>1893</v>
      </c>
      <c r="AC2494" s="7" t="s">
        <v>79</v>
      </c>
      <c r="AD2494" s="7" t="s">
        <v>144</v>
      </c>
      <c r="AE2494" s="7" t="s">
        <v>82</v>
      </c>
      <c r="AF2494" s="7" t="s">
        <v>0</v>
      </c>
      <c r="AG2494" s="7" t="s">
        <v>0</v>
      </c>
      <c r="AH2494" s="9" t="s">
        <v>11597</v>
      </c>
      <c r="AI2494" s="9" t="s">
        <v>11598</v>
      </c>
      <c r="AJ2494" s="9" t="s">
        <v>11599</v>
      </c>
      <c r="AK2494" s="7" t="s">
        <v>61</v>
      </c>
      <c r="AL2494" s="7" t="s">
        <v>61</v>
      </c>
      <c r="AM2494" s="7" t="s">
        <v>0</v>
      </c>
      <c r="AN2494" s="7" t="s">
        <v>0</v>
      </c>
      <c r="AO2494" s="7" t="s">
        <v>0</v>
      </c>
      <c r="AP2494" s="7" t="s">
        <v>0</v>
      </c>
      <c r="AQ2494" s="7" t="s">
        <v>61</v>
      </c>
      <c r="AR2494" s="7" t="s">
        <v>0</v>
      </c>
      <c r="AS2494" s="10" t="str">
        <f>HYPERLINK("https://tessa.gazprom-neft.local/edo/card/5984cf44-1ff9-498e-a8e4-3fb22ae9d62d", "https://tessa.gazprom-neft.local/edo/card/5984cf44-1ff9-498e-a8e4-3fb22ae9d62d")</f>
        <v>https://tessa.gazprom-neft.local/edo/card/5984cf44-1ff9-498e-a8e4-3fb22ae9d62d</v>
      </c>
    </row>
    <row r="2495" spans="1:45" hidden="1" x14ac:dyDescent="0.25">
      <c r="A2495" s="6" t="s">
        <v>44</v>
      </c>
      <c r="B2495" s="7" t="s">
        <v>3258</v>
      </c>
      <c r="C2495" s="7" t="s">
        <v>67</v>
      </c>
      <c r="D2495" s="8">
        <v>44348</v>
      </c>
      <c r="E2495" s="8" t="s">
        <v>0</v>
      </c>
      <c r="F2495" s="16" t="s">
        <v>3259</v>
      </c>
      <c r="G2495" s="7" t="s">
        <v>3260</v>
      </c>
      <c r="H2495" s="7" t="s">
        <v>0</v>
      </c>
      <c r="I2495" s="7" t="s">
        <v>3257</v>
      </c>
      <c r="J2495" s="7" t="s">
        <v>3257</v>
      </c>
      <c r="K2495" s="7" t="s">
        <v>85</v>
      </c>
      <c r="L2495" s="7" t="s">
        <v>86</v>
      </c>
      <c r="M2495" s="7" t="s">
        <v>2316</v>
      </c>
      <c r="N2495" s="7" t="s">
        <v>3256</v>
      </c>
      <c r="O2495" s="7" t="s">
        <v>0</v>
      </c>
      <c r="P2495" s="7" t="s">
        <v>2316</v>
      </c>
      <c r="Q2495" s="7" t="s">
        <v>780</v>
      </c>
      <c r="R2495" s="7" t="s">
        <v>540</v>
      </c>
      <c r="S2495" s="7" t="s">
        <v>0</v>
      </c>
      <c r="T2495" s="7" t="s">
        <v>54</v>
      </c>
      <c r="U2495" s="7" t="s">
        <v>541</v>
      </c>
      <c r="V2495" s="7" t="s">
        <v>56</v>
      </c>
      <c r="W2495" s="7" t="s">
        <v>57</v>
      </c>
      <c r="X2495" s="7" t="s">
        <v>223</v>
      </c>
      <c r="Y2495" s="8">
        <v>44348</v>
      </c>
      <c r="Z2495" s="8" t="s">
        <v>0</v>
      </c>
      <c r="AA2495" s="7" t="s">
        <v>1251</v>
      </c>
      <c r="AB2495" s="7" t="s">
        <v>328</v>
      </c>
      <c r="AC2495" s="7" t="s">
        <v>65</v>
      </c>
      <c r="AD2495" s="7" t="s">
        <v>144</v>
      </c>
      <c r="AE2495" s="7" t="s">
        <v>0</v>
      </c>
      <c r="AF2495" s="7" t="s">
        <v>0</v>
      </c>
      <c r="AG2495" s="7" t="s">
        <v>0</v>
      </c>
      <c r="AH2495" s="9" t="s">
        <v>0</v>
      </c>
      <c r="AI2495" s="9" t="s">
        <v>0</v>
      </c>
      <c r="AJ2495" s="9" t="s">
        <v>0</v>
      </c>
      <c r="AK2495" s="7" t="s">
        <v>61</v>
      </c>
      <c r="AL2495" s="7" t="s">
        <v>61</v>
      </c>
      <c r="AM2495" s="7" t="s">
        <v>0</v>
      </c>
      <c r="AN2495" s="7" t="s">
        <v>0</v>
      </c>
      <c r="AO2495" s="7" t="s">
        <v>0</v>
      </c>
      <c r="AP2495" s="7" t="s">
        <v>0</v>
      </c>
      <c r="AQ2495" s="7" t="s">
        <v>61</v>
      </c>
      <c r="AR2495" s="7" t="s">
        <v>0</v>
      </c>
      <c r="AS2495" s="10" t="str">
        <f>HYPERLINK("https://tessa.gazprom-neft.local/edo/card/8eb71501-a9d6-4cb2-ba86-2d75ca1ba2c5", "https://tessa.gazprom-neft.local/edo/card/8eb71501-a9d6-4cb2-ba86-2d75ca1ba2c5")</f>
        <v>https://tessa.gazprom-neft.local/edo/card/8eb71501-a9d6-4cb2-ba86-2d75ca1ba2c5</v>
      </c>
    </row>
    <row r="2496" spans="1:45" x14ac:dyDescent="0.25">
      <c r="A2496" s="6" t="s">
        <v>44</v>
      </c>
      <c r="B2496" s="7" t="s">
        <v>661</v>
      </c>
      <c r="C2496" s="7" t="s">
        <v>67</v>
      </c>
      <c r="D2496" s="8">
        <v>44348</v>
      </c>
      <c r="E2496" s="8" t="s">
        <v>0</v>
      </c>
      <c r="F2496" s="16" t="s">
        <v>662</v>
      </c>
      <c r="G2496" s="7" t="s">
        <v>663</v>
      </c>
      <c r="H2496" s="7" t="s">
        <v>764</v>
      </c>
      <c r="I2496" s="7" t="s">
        <v>0</v>
      </c>
      <c r="J2496" s="7" t="s">
        <v>3266</v>
      </c>
      <c r="K2496" s="7" t="s">
        <v>47</v>
      </c>
      <c r="L2496" s="7" t="s">
        <v>48</v>
      </c>
      <c r="M2496" s="7" t="s">
        <v>0</v>
      </c>
      <c r="N2496" s="7" t="s">
        <v>3264</v>
      </c>
      <c r="O2496" s="7" t="s">
        <v>0</v>
      </c>
      <c r="P2496" s="7" t="s">
        <v>3265</v>
      </c>
      <c r="Q2496" s="7" t="s">
        <v>3267</v>
      </c>
      <c r="R2496" s="7" t="s">
        <v>659</v>
      </c>
      <c r="S2496" s="7" t="s">
        <v>3268</v>
      </c>
      <c r="T2496" s="7" t="s">
        <v>54</v>
      </c>
      <c r="U2496" s="7" t="s">
        <v>101</v>
      </c>
      <c r="V2496" s="7" t="s">
        <v>102</v>
      </c>
      <c r="W2496" s="7" t="s">
        <v>57</v>
      </c>
      <c r="X2496" s="7" t="s">
        <v>103</v>
      </c>
      <c r="Y2496" s="8">
        <v>44348</v>
      </c>
      <c r="Z2496" s="8">
        <v>45657</v>
      </c>
      <c r="AA2496" s="7" t="s">
        <v>0</v>
      </c>
      <c r="AB2496" s="7" t="s">
        <v>2425</v>
      </c>
      <c r="AC2496" s="7" t="s">
        <v>79</v>
      </c>
      <c r="AD2496" s="7" t="s">
        <v>514</v>
      </c>
      <c r="AE2496" s="7" t="s">
        <v>82</v>
      </c>
      <c r="AF2496" s="7" t="s">
        <v>0</v>
      </c>
      <c r="AG2496" s="7" t="s">
        <v>0</v>
      </c>
      <c r="AH2496" s="9">
        <v>0.01</v>
      </c>
      <c r="AI2496" s="9">
        <v>0.01</v>
      </c>
      <c r="AJ2496" s="9">
        <v>0</v>
      </c>
      <c r="AK2496" s="7" t="s">
        <v>61</v>
      </c>
      <c r="AL2496" s="7" t="s">
        <v>61</v>
      </c>
      <c r="AM2496" s="7" t="s">
        <v>0</v>
      </c>
      <c r="AN2496" s="7" t="s">
        <v>0</v>
      </c>
      <c r="AO2496" s="7" t="s">
        <v>0</v>
      </c>
      <c r="AP2496" s="7" t="s">
        <v>0</v>
      </c>
      <c r="AQ2496" s="7" t="s">
        <v>61</v>
      </c>
      <c r="AR2496" s="7" t="s">
        <v>0</v>
      </c>
      <c r="AS2496" s="10" t="str">
        <f>HYPERLINK("https://tessa.gazprom-neft.local/edo/card/c65aa196-478a-444c-8057-6db5e37a85cf", "https://tessa.gazprom-neft.local/edo/card/c65aa196-478a-444c-8057-6db5e37a85cf")</f>
        <v>https://tessa.gazprom-neft.local/edo/card/c65aa196-478a-444c-8057-6db5e37a85cf</v>
      </c>
    </row>
    <row r="2497" spans="1:45" hidden="1" x14ac:dyDescent="0.25">
      <c r="A2497" s="6" t="s">
        <v>44</v>
      </c>
      <c r="B2497" s="7" t="s">
        <v>2872</v>
      </c>
      <c r="C2497" s="7" t="s">
        <v>46</v>
      </c>
      <c r="D2497" s="8">
        <v>44348</v>
      </c>
      <c r="E2497" s="8" t="s">
        <v>0</v>
      </c>
      <c r="F2497" s="16" t="s">
        <v>2873</v>
      </c>
      <c r="G2497" s="7" t="s">
        <v>2874</v>
      </c>
      <c r="H2497" s="7" t="s">
        <v>0</v>
      </c>
      <c r="I2497" s="7" t="s">
        <v>3286</v>
      </c>
      <c r="J2497" s="7" t="s">
        <v>3286</v>
      </c>
      <c r="K2497" s="7" t="s">
        <v>47</v>
      </c>
      <c r="L2497" s="7" t="s">
        <v>96</v>
      </c>
      <c r="M2497" s="7" t="s">
        <v>0</v>
      </c>
      <c r="N2497" s="7" t="s">
        <v>3285</v>
      </c>
      <c r="O2497" s="7" t="s">
        <v>0</v>
      </c>
      <c r="P2497" s="7" t="s">
        <v>2870</v>
      </c>
      <c r="Q2497" s="7" t="s">
        <v>3287</v>
      </c>
      <c r="R2497" s="7" t="s">
        <v>1199</v>
      </c>
      <c r="S2497" s="7" t="s">
        <v>1199</v>
      </c>
      <c r="T2497" s="7" t="s">
        <v>54</v>
      </c>
      <c r="U2497" s="7" t="s">
        <v>605</v>
      </c>
      <c r="V2497" s="7" t="s">
        <v>382</v>
      </c>
      <c r="W2497" s="7" t="s">
        <v>57</v>
      </c>
      <c r="X2497" s="7" t="s">
        <v>103</v>
      </c>
      <c r="Y2497" s="8">
        <v>44348</v>
      </c>
      <c r="Z2497" s="8">
        <v>44681</v>
      </c>
      <c r="AA2497" s="7" t="s">
        <v>1656</v>
      </c>
      <c r="AB2497" s="7" t="s">
        <v>1203</v>
      </c>
      <c r="AC2497" s="7" t="s">
        <v>79</v>
      </c>
      <c r="AD2497" s="7" t="s">
        <v>80</v>
      </c>
      <c r="AE2497" s="7" t="s">
        <v>118</v>
      </c>
      <c r="AF2497" s="7" t="s">
        <v>0</v>
      </c>
      <c r="AG2497" s="7" t="s">
        <v>0</v>
      </c>
      <c r="AH2497" s="9" t="s">
        <v>11609</v>
      </c>
      <c r="AI2497" s="9" t="s">
        <v>11609</v>
      </c>
      <c r="AJ2497" s="9">
        <v>0</v>
      </c>
      <c r="AK2497" s="7" t="s">
        <v>61</v>
      </c>
      <c r="AL2497" s="7" t="s">
        <v>61</v>
      </c>
      <c r="AM2497" s="7" t="s">
        <v>0</v>
      </c>
      <c r="AN2497" s="7" t="s">
        <v>0</v>
      </c>
      <c r="AO2497" s="7" t="s">
        <v>0</v>
      </c>
      <c r="AP2497" s="7" t="s">
        <v>0</v>
      </c>
      <c r="AQ2497" s="7" t="s">
        <v>61</v>
      </c>
      <c r="AR2497" s="7" t="s">
        <v>0</v>
      </c>
      <c r="AS2497" s="10" t="str">
        <f>HYPERLINK("https://tessa.gazprom-neft.local/edo/card/bb873b6a-7a90-4434-818c-ef11bfedaed9", "https://tessa.gazprom-neft.local/edo/card/bb873b6a-7a90-4434-818c-ef11bfedaed9")</f>
        <v>https://tessa.gazprom-neft.local/edo/card/bb873b6a-7a90-4434-818c-ef11bfedaed9</v>
      </c>
    </row>
    <row r="2498" spans="1:45" x14ac:dyDescent="0.25">
      <c r="A2498" s="6" t="s">
        <v>44</v>
      </c>
      <c r="B2498" s="7" t="s">
        <v>837</v>
      </c>
      <c r="C2498" s="7" t="s">
        <v>67</v>
      </c>
      <c r="D2498" s="8">
        <v>44348</v>
      </c>
      <c r="E2498" s="8" t="s">
        <v>0</v>
      </c>
      <c r="F2498" s="16" t="s">
        <v>838</v>
      </c>
      <c r="G2498" s="7" t="s">
        <v>839</v>
      </c>
      <c r="H2498" s="7" t="s">
        <v>3746</v>
      </c>
      <c r="I2498" s="7" t="s">
        <v>0</v>
      </c>
      <c r="J2498" s="7" t="s">
        <v>2811</v>
      </c>
      <c r="K2498" s="7" t="s">
        <v>47</v>
      </c>
      <c r="L2498" s="7" t="s">
        <v>48</v>
      </c>
      <c r="M2498" s="7" t="s">
        <v>0</v>
      </c>
      <c r="N2498" s="7" t="s">
        <v>3744</v>
      </c>
      <c r="O2498" s="7" t="s">
        <v>3745</v>
      </c>
      <c r="P2498" s="7" t="s">
        <v>3747</v>
      </c>
      <c r="Q2498" s="7" t="s">
        <v>3748</v>
      </c>
      <c r="R2498" s="7" t="s">
        <v>836</v>
      </c>
      <c r="S2498" s="7" t="s">
        <v>836</v>
      </c>
      <c r="T2498" s="7" t="s">
        <v>54</v>
      </c>
      <c r="U2498" s="7" t="s">
        <v>294</v>
      </c>
      <c r="V2498" s="7" t="s">
        <v>295</v>
      </c>
      <c r="W2498" s="7" t="s">
        <v>57</v>
      </c>
      <c r="X2498" s="7" t="s">
        <v>103</v>
      </c>
      <c r="Y2498" s="8">
        <v>44348</v>
      </c>
      <c r="Z2498" s="8">
        <v>44926</v>
      </c>
      <c r="AA2498" s="7" t="s">
        <v>1269</v>
      </c>
      <c r="AB2498" s="7" t="s">
        <v>64</v>
      </c>
      <c r="AC2498" s="7" t="s">
        <v>79</v>
      </c>
      <c r="AD2498" s="7" t="s">
        <v>80</v>
      </c>
      <c r="AE2498" s="7" t="s">
        <v>82</v>
      </c>
      <c r="AF2498" s="7" t="s">
        <v>0</v>
      </c>
      <c r="AG2498" s="7" t="s">
        <v>0</v>
      </c>
      <c r="AH2498" s="9">
        <v>0.01</v>
      </c>
      <c r="AI2498" s="9" t="s">
        <v>11801</v>
      </c>
      <c r="AJ2498" s="9" t="s">
        <v>11802</v>
      </c>
      <c r="AK2498" s="7" t="s">
        <v>61</v>
      </c>
      <c r="AL2498" s="7" t="s">
        <v>61</v>
      </c>
      <c r="AM2498" s="7" t="s">
        <v>0</v>
      </c>
      <c r="AN2498" s="7" t="s">
        <v>0</v>
      </c>
      <c r="AO2498" s="7" t="s">
        <v>0</v>
      </c>
      <c r="AP2498" s="7" t="s">
        <v>0</v>
      </c>
      <c r="AQ2498" s="7" t="s">
        <v>61</v>
      </c>
      <c r="AR2498" s="7" t="s">
        <v>0</v>
      </c>
      <c r="AS2498" s="10" t="str">
        <f>HYPERLINK("https://tessa.gazprom-neft.local/edo/card/b1d0ef6c-2a2c-42f2-9258-795efd9e3538", "https://tessa.gazprom-neft.local/edo/card/b1d0ef6c-2a2c-42f2-9258-795efd9e3538")</f>
        <v>https://tessa.gazprom-neft.local/edo/card/b1d0ef6c-2a2c-42f2-9258-795efd9e3538</v>
      </c>
    </row>
    <row r="2499" spans="1:45" x14ac:dyDescent="0.25">
      <c r="A2499" s="6" t="s">
        <v>44</v>
      </c>
      <c r="B2499" s="7" t="s">
        <v>497</v>
      </c>
      <c r="C2499" s="7" t="s">
        <v>67</v>
      </c>
      <c r="D2499" s="8">
        <v>44348</v>
      </c>
      <c r="E2499" s="8" t="s">
        <v>0</v>
      </c>
      <c r="F2499" s="16" t="s">
        <v>498</v>
      </c>
      <c r="G2499" s="7" t="s">
        <v>499</v>
      </c>
      <c r="H2499" s="7" t="s">
        <v>3829</v>
      </c>
      <c r="I2499" s="7" t="s">
        <v>0</v>
      </c>
      <c r="J2499" s="7" t="s">
        <v>3831</v>
      </c>
      <c r="K2499" s="7" t="s">
        <v>47</v>
      </c>
      <c r="L2499" s="7" t="s">
        <v>48</v>
      </c>
      <c r="M2499" s="7" t="s">
        <v>0</v>
      </c>
      <c r="N2499" s="7" t="s">
        <v>3828</v>
      </c>
      <c r="O2499" s="7" t="s">
        <v>0</v>
      </c>
      <c r="P2499" s="7" t="s">
        <v>3830</v>
      </c>
      <c r="Q2499" s="7" t="s">
        <v>3832</v>
      </c>
      <c r="R2499" s="7" t="s">
        <v>1342</v>
      </c>
      <c r="S2499" s="7" t="s">
        <v>1342</v>
      </c>
      <c r="T2499" s="7" t="s">
        <v>54</v>
      </c>
      <c r="U2499" s="7" t="s">
        <v>274</v>
      </c>
      <c r="V2499" s="7" t="s">
        <v>864</v>
      </c>
      <c r="W2499" s="7" t="s">
        <v>57</v>
      </c>
      <c r="X2499" s="7" t="s">
        <v>103</v>
      </c>
      <c r="Y2499" s="8">
        <v>44197</v>
      </c>
      <c r="Z2499" s="8">
        <v>44561</v>
      </c>
      <c r="AA2499" s="7" t="s">
        <v>1465</v>
      </c>
      <c r="AB2499" s="7" t="s">
        <v>328</v>
      </c>
      <c r="AC2499" s="7" t="s">
        <v>278</v>
      </c>
      <c r="AD2499" s="7" t="s">
        <v>80</v>
      </c>
      <c r="AE2499" s="7" t="s">
        <v>82</v>
      </c>
      <c r="AF2499" s="7" t="s">
        <v>0</v>
      </c>
      <c r="AG2499" s="7" t="s">
        <v>0</v>
      </c>
      <c r="AH2499" s="9" t="s">
        <v>11829</v>
      </c>
      <c r="AI2499" s="9" t="s">
        <v>11830</v>
      </c>
      <c r="AJ2499" s="9" t="s">
        <v>11831</v>
      </c>
      <c r="AK2499" s="7" t="s">
        <v>61</v>
      </c>
      <c r="AL2499" s="7" t="s">
        <v>61</v>
      </c>
      <c r="AM2499" s="7" t="s">
        <v>0</v>
      </c>
      <c r="AN2499" s="7" t="s">
        <v>0</v>
      </c>
      <c r="AO2499" s="7" t="s">
        <v>0</v>
      </c>
      <c r="AP2499" s="7" t="s">
        <v>0</v>
      </c>
      <c r="AQ2499" s="7" t="s">
        <v>61</v>
      </c>
      <c r="AR2499" s="7" t="s">
        <v>0</v>
      </c>
      <c r="AS2499" s="10" t="str">
        <f>HYPERLINK("https://tessa.gazprom-neft.local/edo/card/8a157eef-a868-430c-8d9a-aed6c729439d", "https://tessa.gazprom-neft.local/edo/card/8a157eef-a868-430c-8d9a-aed6c729439d")</f>
        <v>https://tessa.gazprom-neft.local/edo/card/8a157eef-a868-430c-8d9a-aed6c729439d</v>
      </c>
    </row>
    <row r="2500" spans="1:45" hidden="1" x14ac:dyDescent="0.25">
      <c r="A2500" s="6" t="s">
        <v>44</v>
      </c>
      <c r="B2500" s="7" t="s">
        <v>4071</v>
      </c>
      <c r="C2500" s="7" t="s">
        <v>67</v>
      </c>
      <c r="D2500" s="8">
        <v>44348</v>
      </c>
      <c r="E2500" s="8" t="s">
        <v>0</v>
      </c>
      <c r="F2500" s="16" t="s">
        <v>4072</v>
      </c>
      <c r="G2500" s="7" t="s">
        <v>4073</v>
      </c>
      <c r="H2500" s="7" t="s">
        <v>0</v>
      </c>
      <c r="I2500" s="7" t="s">
        <v>4070</v>
      </c>
      <c r="J2500" s="7" t="s">
        <v>4070</v>
      </c>
      <c r="K2500" s="7" t="s">
        <v>85</v>
      </c>
      <c r="L2500" s="7" t="s">
        <v>86</v>
      </c>
      <c r="M2500" s="7" t="s">
        <v>2316</v>
      </c>
      <c r="N2500" s="7" t="s">
        <v>4069</v>
      </c>
      <c r="O2500" s="7" t="s">
        <v>0</v>
      </c>
      <c r="P2500" s="7" t="s">
        <v>2316</v>
      </c>
      <c r="Q2500" s="7" t="s">
        <v>426</v>
      </c>
      <c r="R2500" s="7" t="s">
        <v>361</v>
      </c>
      <c r="S2500" s="7" t="s">
        <v>3926</v>
      </c>
      <c r="T2500" s="7" t="s">
        <v>54</v>
      </c>
      <c r="U2500" s="7" t="s">
        <v>1683</v>
      </c>
      <c r="V2500" s="7" t="s">
        <v>295</v>
      </c>
      <c r="W2500" s="7" t="s">
        <v>57</v>
      </c>
      <c r="X2500" s="7" t="s">
        <v>58</v>
      </c>
      <c r="Y2500" s="8">
        <v>44348</v>
      </c>
      <c r="Z2500" s="8" t="s">
        <v>0</v>
      </c>
      <c r="AA2500" s="7" t="s">
        <v>1269</v>
      </c>
      <c r="AB2500" s="7" t="s">
        <v>328</v>
      </c>
      <c r="AC2500" s="7" t="s">
        <v>65</v>
      </c>
      <c r="AD2500" s="7" t="s">
        <v>0</v>
      </c>
      <c r="AE2500" s="7" t="s">
        <v>0</v>
      </c>
      <c r="AF2500" s="7" t="s">
        <v>0</v>
      </c>
      <c r="AG2500" s="7" t="s">
        <v>0</v>
      </c>
      <c r="AH2500" s="9" t="s">
        <v>0</v>
      </c>
      <c r="AI2500" s="9" t="s">
        <v>0</v>
      </c>
      <c r="AJ2500" s="9" t="s">
        <v>0</v>
      </c>
      <c r="AK2500" s="7" t="s">
        <v>61</v>
      </c>
      <c r="AL2500" s="7" t="s">
        <v>61</v>
      </c>
      <c r="AM2500" s="7" t="s">
        <v>0</v>
      </c>
      <c r="AN2500" s="7" t="s">
        <v>0</v>
      </c>
      <c r="AO2500" s="7" t="s">
        <v>0</v>
      </c>
      <c r="AP2500" s="7" t="s">
        <v>0</v>
      </c>
      <c r="AQ2500" s="7" t="s">
        <v>61</v>
      </c>
      <c r="AR2500" s="7" t="s">
        <v>0</v>
      </c>
      <c r="AS2500" s="10" t="str">
        <f>HYPERLINK("https://tessa.gazprom-neft.local/edo/card/9044b0d1-a5ac-4eee-9691-1f46e5fea365", "https://tessa.gazprom-neft.local/edo/card/9044b0d1-a5ac-4eee-9691-1f46e5fea365")</f>
        <v>https://tessa.gazprom-neft.local/edo/card/9044b0d1-a5ac-4eee-9691-1f46e5fea365</v>
      </c>
    </row>
    <row r="2501" spans="1:45" hidden="1" x14ac:dyDescent="0.25">
      <c r="A2501" s="6" t="s">
        <v>44</v>
      </c>
      <c r="B2501" s="7" t="s">
        <v>245</v>
      </c>
      <c r="C2501" s="7" t="s">
        <v>67</v>
      </c>
      <c r="D2501" s="8">
        <v>44348</v>
      </c>
      <c r="E2501" s="8" t="s">
        <v>0</v>
      </c>
      <c r="F2501" s="16" t="s">
        <v>246</v>
      </c>
      <c r="G2501" s="7" t="s">
        <v>247</v>
      </c>
      <c r="H2501" s="7" t="s">
        <v>1105</v>
      </c>
      <c r="I2501" s="7" t="s">
        <v>0</v>
      </c>
      <c r="J2501" s="7" t="s">
        <v>6623</v>
      </c>
      <c r="K2501" s="7" t="s">
        <v>47</v>
      </c>
      <c r="L2501" s="7" t="s">
        <v>239</v>
      </c>
      <c r="M2501" s="7" t="s">
        <v>0</v>
      </c>
      <c r="N2501" s="7" t="s">
        <v>6622</v>
      </c>
      <c r="O2501" s="7" t="s">
        <v>0</v>
      </c>
      <c r="P2501" s="7" t="s">
        <v>1106</v>
      </c>
      <c r="Q2501" s="7" t="s">
        <v>6624</v>
      </c>
      <c r="R2501" s="7" t="s">
        <v>1083</v>
      </c>
      <c r="S2501" s="7" t="s">
        <v>6625</v>
      </c>
      <c r="T2501" s="7" t="s">
        <v>54</v>
      </c>
      <c r="U2501" s="7" t="s">
        <v>274</v>
      </c>
      <c r="V2501" s="7" t="s">
        <v>917</v>
      </c>
      <c r="W2501" s="7" t="s">
        <v>57</v>
      </c>
      <c r="X2501" s="7" t="s">
        <v>103</v>
      </c>
      <c r="Y2501" s="8">
        <v>44348</v>
      </c>
      <c r="Z2501" s="8">
        <v>44561</v>
      </c>
      <c r="AA2501" s="7" t="s">
        <v>309</v>
      </c>
      <c r="AB2501" s="7" t="s">
        <v>328</v>
      </c>
      <c r="AC2501" s="7" t="s">
        <v>278</v>
      </c>
      <c r="AD2501" s="7" t="s">
        <v>80</v>
      </c>
      <c r="AE2501" s="7" t="s">
        <v>82</v>
      </c>
      <c r="AF2501" s="7" t="s">
        <v>0</v>
      </c>
      <c r="AG2501" s="7" t="s">
        <v>0</v>
      </c>
      <c r="AH2501" s="9" t="s">
        <v>12912</v>
      </c>
      <c r="AI2501" s="9" t="s">
        <v>12913</v>
      </c>
      <c r="AJ2501" s="9" t="s">
        <v>12914</v>
      </c>
      <c r="AK2501" s="7" t="s">
        <v>61</v>
      </c>
      <c r="AL2501" s="7" t="s">
        <v>61</v>
      </c>
      <c r="AM2501" s="7" t="s">
        <v>0</v>
      </c>
      <c r="AN2501" s="7" t="s">
        <v>0</v>
      </c>
      <c r="AO2501" s="7" t="s">
        <v>0</v>
      </c>
      <c r="AP2501" s="7" t="s">
        <v>0</v>
      </c>
      <c r="AQ2501" s="7" t="s">
        <v>61</v>
      </c>
      <c r="AR2501" s="7" t="s">
        <v>0</v>
      </c>
      <c r="AS2501" s="10" t="str">
        <f>HYPERLINK("https://tessa.gazprom-neft.local/edo/card/09a774a9-e877-4dc1-b769-5879aef7ab9b", "https://tessa.gazprom-neft.local/edo/card/09a774a9-e877-4dc1-b769-5879aef7ab9b")</f>
        <v>https://tessa.gazprom-neft.local/edo/card/09a774a9-e877-4dc1-b769-5879aef7ab9b</v>
      </c>
    </row>
    <row r="2502" spans="1:45" hidden="1" x14ac:dyDescent="0.25">
      <c r="A2502" s="6" t="s">
        <v>44</v>
      </c>
      <c r="B2502" s="7" t="s">
        <v>436</v>
      </c>
      <c r="C2502" s="7" t="s">
        <v>46</v>
      </c>
      <c r="D2502" s="8">
        <v>44347</v>
      </c>
      <c r="E2502" s="8" t="s">
        <v>0</v>
      </c>
      <c r="F2502" s="16" t="s">
        <v>437</v>
      </c>
      <c r="G2502" s="7" t="s">
        <v>438</v>
      </c>
      <c r="H2502" s="7" t="s">
        <v>0</v>
      </c>
      <c r="I2502" s="7" t="s">
        <v>2771</v>
      </c>
      <c r="J2502" s="7" t="s">
        <v>2771</v>
      </c>
      <c r="K2502" s="7" t="s">
        <v>47</v>
      </c>
      <c r="L2502" s="7" t="s">
        <v>96</v>
      </c>
      <c r="M2502" s="7" t="s">
        <v>0</v>
      </c>
      <c r="N2502" s="7" t="s">
        <v>2770</v>
      </c>
      <c r="O2502" s="7" t="s">
        <v>0</v>
      </c>
      <c r="P2502" s="7" t="s">
        <v>2618</v>
      </c>
      <c r="Q2502" s="7" t="s">
        <v>2772</v>
      </c>
      <c r="R2502" s="7" t="s">
        <v>1586</v>
      </c>
      <c r="S2502" s="7" t="s">
        <v>0</v>
      </c>
      <c r="T2502" s="7" t="s">
        <v>54</v>
      </c>
      <c r="U2502" s="7" t="s">
        <v>428</v>
      </c>
      <c r="V2502" s="7" t="s">
        <v>340</v>
      </c>
      <c r="W2502" s="7" t="s">
        <v>57</v>
      </c>
      <c r="X2502" s="7" t="s">
        <v>103</v>
      </c>
      <c r="Y2502" s="8">
        <v>44340</v>
      </c>
      <c r="Z2502" s="8">
        <v>45436</v>
      </c>
      <c r="AA2502" s="7" t="s">
        <v>1115</v>
      </c>
      <c r="AB2502" s="7" t="s">
        <v>2618</v>
      </c>
      <c r="AC2502" s="7" t="s">
        <v>79</v>
      </c>
      <c r="AD2502" s="7" t="s">
        <v>80</v>
      </c>
      <c r="AE2502" s="7" t="s">
        <v>118</v>
      </c>
      <c r="AF2502" s="7" t="s">
        <v>0</v>
      </c>
      <c r="AG2502" s="7" t="s">
        <v>0</v>
      </c>
      <c r="AH2502" s="9" t="s">
        <v>11442</v>
      </c>
      <c r="AI2502" s="9" t="s">
        <v>11442</v>
      </c>
      <c r="AJ2502" s="9">
        <v>0</v>
      </c>
      <c r="AK2502" s="7" t="s">
        <v>61</v>
      </c>
      <c r="AL2502" s="7" t="s">
        <v>61</v>
      </c>
      <c r="AM2502" s="7" t="s">
        <v>0</v>
      </c>
      <c r="AN2502" s="7" t="s">
        <v>0</v>
      </c>
      <c r="AO2502" s="7" t="s">
        <v>0</v>
      </c>
      <c r="AP2502" s="7" t="s">
        <v>0</v>
      </c>
      <c r="AQ2502" s="7" t="s">
        <v>61</v>
      </c>
      <c r="AR2502" s="7" t="s">
        <v>0</v>
      </c>
      <c r="AS2502" s="10" t="str">
        <f>HYPERLINK("https://tessa.gazprom-neft.local/edo/card/d2b50bd6-01fd-4e3b-b1a3-8a9095d51d92", "https://tessa.gazprom-neft.local/edo/card/d2b50bd6-01fd-4e3b-b1a3-8a9095d51d92")</f>
        <v>https://tessa.gazprom-neft.local/edo/card/d2b50bd6-01fd-4e3b-b1a3-8a9095d51d92</v>
      </c>
    </row>
    <row r="2503" spans="1:45" hidden="1" x14ac:dyDescent="0.25">
      <c r="A2503" s="6" t="s">
        <v>44</v>
      </c>
      <c r="B2503" s="7" t="s">
        <v>245</v>
      </c>
      <c r="C2503" s="7" t="s">
        <v>67</v>
      </c>
      <c r="D2503" s="8">
        <v>44347</v>
      </c>
      <c r="E2503" s="8" t="s">
        <v>0</v>
      </c>
      <c r="F2503" s="16" t="s">
        <v>246</v>
      </c>
      <c r="G2503" s="7" t="s">
        <v>247</v>
      </c>
      <c r="H2503" s="7" t="s">
        <v>0</v>
      </c>
      <c r="I2503" s="7" t="s">
        <v>2795</v>
      </c>
      <c r="J2503" s="7" t="s">
        <v>2795</v>
      </c>
      <c r="K2503" s="7" t="s">
        <v>47</v>
      </c>
      <c r="L2503" s="7" t="s">
        <v>96</v>
      </c>
      <c r="M2503" s="7" t="s">
        <v>0</v>
      </c>
      <c r="N2503" s="7" t="s">
        <v>2794</v>
      </c>
      <c r="O2503" s="7" t="s">
        <v>0</v>
      </c>
      <c r="P2503" s="7" t="s">
        <v>2796</v>
      </c>
      <c r="Q2503" s="7" t="s">
        <v>2797</v>
      </c>
      <c r="R2503" s="7" t="s">
        <v>1403</v>
      </c>
      <c r="S2503" s="7" t="s">
        <v>1403</v>
      </c>
      <c r="T2503" s="7" t="s">
        <v>54</v>
      </c>
      <c r="U2503" s="7" t="s">
        <v>303</v>
      </c>
      <c r="V2503" s="7" t="s">
        <v>91</v>
      </c>
      <c r="W2503" s="7" t="s">
        <v>57</v>
      </c>
      <c r="X2503" s="7" t="s">
        <v>103</v>
      </c>
      <c r="Y2503" s="8">
        <v>44348</v>
      </c>
      <c r="Z2503" s="8">
        <v>46008</v>
      </c>
      <c r="AA2503" s="7" t="s">
        <v>0</v>
      </c>
      <c r="AB2503" s="7" t="s">
        <v>64</v>
      </c>
      <c r="AC2503" s="7" t="s">
        <v>79</v>
      </c>
      <c r="AD2503" s="7" t="s">
        <v>80</v>
      </c>
      <c r="AE2503" s="7" t="s">
        <v>82</v>
      </c>
      <c r="AF2503" s="7" t="s">
        <v>0</v>
      </c>
      <c r="AG2503" s="7" t="s">
        <v>0</v>
      </c>
      <c r="AH2503" s="9" t="s">
        <v>11449</v>
      </c>
      <c r="AI2503" s="9" t="s">
        <v>11450</v>
      </c>
      <c r="AJ2503" s="9" t="s">
        <v>11451</v>
      </c>
      <c r="AK2503" s="7" t="s">
        <v>61</v>
      </c>
      <c r="AL2503" s="7" t="s">
        <v>61</v>
      </c>
      <c r="AM2503" s="7" t="s">
        <v>0</v>
      </c>
      <c r="AN2503" s="7" t="s">
        <v>0</v>
      </c>
      <c r="AO2503" s="7" t="s">
        <v>0</v>
      </c>
      <c r="AP2503" s="7" t="s">
        <v>0</v>
      </c>
      <c r="AQ2503" s="7" t="s">
        <v>61</v>
      </c>
      <c r="AR2503" s="7" t="s">
        <v>0</v>
      </c>
      <c r="AS2503" s="10" t="str">
        <f>HYPERLINK("https://tessa.gazprom-neft.local/edo/card/9c8930d9-35e7-4185-b54a-c79ebae08f6b", "https://tessa.gazprom-neft.local/edo/card/9c8930d9-35e7-4185-b54a-c79ebae08f6b")</f>
        <v>https://tessa.gazprom-neft.local/edo/card/9c8930d9-35e7-4185-b54a-c79ebae08f6b</v>
      </c>
    </row>
    <row r="2504" spans="1:45" x14ac:dyDescent="0.25">
      <c r="A2504" s="6" t="s">
        <v>44</v>
      </c>
      <c r="B2504" s="7" t="s">
        <v>3073</v>
      </c>
      <c r="C2504" s="7" t="s">
        <v>67</v>
      </c>
      <c r="D2504" s="8">
        <v>44347</v>
      </c>
      <c r="E2504" s="8" t="s">
        <v>0</v>
      </c>
      <c r="F2504" s="16" t="s">
        <v>3074</v>
      </c>
      <c r="G2504" s="7" t="s">
        <v>3075</v>
      </c>
      <c r="H2504" s="7" t="s">
        <v>3069</v>
      </c>
      <c r="I2504" s="7" t="s">
        <v>0</v>
      </c>
      <c r="J2504" s="7" t="s">
        <v>3071</v>
      </c>
      <c r="K2504" s="7" t="s">
        <v>47</v>
      </c>
      <c r="L2504" s="7" t="s">
        <v>48</v>
      </c>
      <c r="M2504" s="7" t="s">
        <v>0</v>
      </c>
      <c r="N2504" s="7" t="s">
        <v>3068</v>
      </c>
      <c r="O2504" s="7" t="s">
        <v>0</v>
      </c>
      <c r="P2504" s="7" t="s">
        <v>3070</v>
      </c>
      <c r="Q2504" s="7" t="s">
        <v>3072</v>
      </c>
      <c r="R2504" s="7" t="s">
        <v>135</v>
      </c>
      <c r="S2504" s="7" t="s">
        <v>0</v>
      </c>
      <c r="T2504" s="7" t="s">
        <v>54</v>
      </c>
      <c r="U2504" s="7" t="s">
        <v>136</v>
      </c>
      <c r="V2504" s="7" t="s">
        <v>102</v>
      </c>
      <c r="W2504" s="7" t="s">
        <v>57</v>
      </c>
      <c r="X2504" s="7" t="s">
        <v>103</v>
      </c>
      <c r="Y2504" s="8">
        <v>44347</v>
      </c>
      <c r="Z2504" s="8">
        <v>44926</v>
      </c>
      <c r="AA2504" s="7" t="s">
        <v>0</v>
      </c>
      <c r="AB2504" s="7" t="s">
        <v>1738</v>
      </c>
      <c r="AC2504" s="7" t="s">
        <v>65</v>
      </c>
      <c r="AD2504" s="7" t="s">
        <v>0</v>
      </c>
      <c r="AE2504" s="7" t="s">
        <v>0</v>
      </c>
      <c r="AF2504" s="7" t="s">
        <v>0</v>
      </c>
      <c r="AG2504" s="7" t="s">
        <v>0</v>
      </c>
      <c r="AH2504" s="9" t="s">
        <v>0</v>
      </c>
      <c r="AI2504" s="9" t="s">
        <v>0</v>
      </c>
      <c r="AJ2504" s="9" t="s">
        <v>0</v>
      </c>
      <c r="AK2504" s="7" t="s">
        <v>61</v>
      </c>
      <c r="AL2504" s="7" t="s">
        <v>61</v>
      </c>
      <c r="AM2504" s="7" t="s">
        <v>0</v>
      </c>
      <c r="AN2504" s="7" t="s">
        <v>0</v>
      </c>
      <c r="AO2504" s="7" t="s">
        <v>0</v>
      </c>
      <c r="AP2504" s="7" t="s">
        <v>0</v>
      </c>
      <c r="AQ2504" s="7" t="s">
        <v>61</v>
      </c>
      <c r="AR2504" s="7" t="s">
        <v>0</v>
      </c>
      <c r="AS2504" s="10" t="str">
        <f>HYPERLINK("https://tessa.gazprom-neft.local/edo/card/3158450f-9e0b-49c3-8f49-bf0e4111ae9f", "https://tessa.gazprom-neft.local/edo/card/3158450f-9e0b-49c3-8f49-bf0e4111ae9f")</f>
        <v>https://tessa.gazprom-neft.local/edo/card/3158450f-9e0b-49c3-8f49-bf0e4111ae9f</v>
      </c>
    </row>
    <row r="2505" spans="1:45" x14ac:dyDescent="0.25">
      <c r="A2505" s="6" t="s">
        <v>44</v>
      </c>
      <c r="B2505" s="7" t="s">
        <v>3073</v>
      </c>
      <c r="C2505" s="7" t="s">
        <v>67</v>
      </c>
      <c r="D2505" s="8">
        <v>44347</v>
      </c>
      <c r="E2505" s="8" t="s">
        <v>0</v>
      </c>
      <c r="F2505" s="16" t="s">
        <v>3074</v>
      </c>
      <c r="G2505" s="7" t="s">
        <v>3075</v>
      </c>
      <c r="H2505" s="7" t="s">
        <v>3107</v>
      </c>
      <c r="I2505" s="7" t="s">
        <v>0</v>
      </c>
      <c r="J2505" s="7" t="s">
        <v>3071</v>
      </c>
      <c r="K2505" s="7" t="s">
        <v>47</v>
      </c>
      <c r="L2505" s="7" t="s">
        <v>48</v>
      </c>
      <c r="M2505" s="7" t="s">
        <v>0</v>
      </c>
      <c r="N2505" s="7" t="s">
        <v>3106</v>
      </c>
      <c r="O2505" s="7" t="s">
        <v>0</v>
      </c>
      <c r="P2505" s="7" t="s">
        <v>3108</v>
      </c>
      <c r="Q2505" s="7" t="s">
        <v>3109</v>
      </c>
      <c r="R2505" s="7" t="s">
        <v>135</v>
      </c>
      <c r="S2505" s="7" t="s">
        <v>3110</v>
      </c>
      <c r="T2505" s="7" t="s">
        <v>54</v>
      </c>
      <c r="U2505" s="7" t="s">
        <v>136</v>
      </c>
      <c r="V2505" s="7" t="s">
        <v>102</v>
      </c>
      <c r="W2505" s="7" t="s">
        <v>57</v>
      </c>
      <c r="X2505" s="7" t="s">
        <v>103</v>
      </c>
      <c r="Y2505" s="8">
        <v>44347</v>
      </c>
      <c r="Z2505" s="8">
        <v>44926</v>
      </c>
      <c r="AA2505" s="7" t="s">
        <v>0</v>
      </c>
      <c r="AB2505" s="7" t="s">
        <v>1738</v>
      </c>
      <c r="AC2505" s="7" t="s">
        <v>65</v>
      </c>
      <c r="AD2505" s="7" t="s">
        <v>0</v>
      </c>
      <c r="AE2505" s="7" t="s">
        <v>0</v>
      </c>
      <c r="AF2505" s="7" t="s">
        <v>0</v>
      </c>
      <c r="AG2505" s="7" t="s">
        <v>0</v>
      </c>
      <c r="AH2505" s="9" t="s">
        <v>0</v>
      </c>
      <c r="AI2505" s="9" t="s">
        <v>0</v>
      </c>
      <c r="AJ2505" s="9" t="s">
        <v>0</v>
      </c>
      <c r="AK2505" s="7" t="s">
        <v>61</v>
      </c>
      <c r="AL2505" s="7" t="s">
        <v>61</v>
      </c>
      <c r="AM2505" s="7" t="s">
        <v>0</v>
      </c>
      <c r="AN2505" s="7" t="s">
        <v>0</v>
      </c>
      <c r="AO2505" s="7" t="s">
        <v>0</v>
      </c>
      <c r="AP2505" s="7" t="s">
        <v>0</v>
      </c>
      <c r="AQ2505" s="7" t="s">
        <v>61</v>
      </c>
      <c r="AR2505" s="7" t="s">
        <v>0</v>
      </c>
      <c r="AS2505" s="10" t="str">
        <f>HYPERLINK("https://tessa.gazprom-neft.local/edo/card/91084ccd-e1d2-448c-9dc7-ec239633d657", "https://tessa.gazprom-neft.local/edo/card/91084ccd-e1d2-448c-9dc7-ec239633d657")</f>
        <v>https://tessa.gazprom-neft.local/edo/card/91084ccd-e1d2-448c-9dc7-ec239633d657</v>
      </c>
    </row>
    <row r="2506" spans="1:45" hidden="1" x14ac:dyDescent="0.25">
      <c r="A2506" s="6" t="s">
        <v>44</v>
      </c>
      <c r="B2506" s="7" t="s">
        <v>3758</v>
      </c>
      <c r="C2506" s="7" t="s">
        <v>67</v>
      </c>
      <c r="D2506" s="8">
        <v>44344</v>
      </c>
      <c r="E2506" s="8" t="s">
        <v>0</v>
      </c>
      <c r="F2506" s="16" t="s">
        <v>3759</v>
      </c>
      <c r="G2506" s="7" t="s">
        <v>3760</v>
      </c>
      <c r="H2506" s="7" t="s">
        <v>3753</v>
      </c>
      <c r="I2506" s="7" t="s">
        <v>0</v>
      </c>
      <c r="J2506" s="7" t="s">
        <v>3755</v>
      </c>
      <c r="K2506" s="7" t="s">
        <v>47</v>
      </c>
      <c r="L2506" s="7" t="s">
        <v>239</v>
      </c>
      <c r="M2506" s="7" t="s">
        <v>0</v>
      </c>
      <c r="N2506" s="7" t="s">
        <v>3752</v>
      </c>
      <c r="O2506" s="7" t="s">
        <v>0</v>
      </c>
      <c r="P2506" s="7" t="s">
        <v>3754</v>
      </c>
      <c r="Q2506" s="7" t="s">
        <v>3756</v>
      </c>
      <c r="R2506" s="7" t="s">
        <v>244</v>
      </c>
      <c r="S2506" s="7" t="s">
        <v>3757</v>
      </c>
      <c r="T2506" s="7" t="s">
        <v>54</v>
      </c>
      <c r="U2506" s="7" t="s">
        <v>55</v>
      </c>
      <c r="V2506" s="7" t="s">
        <v>56</v>
      </c>
      <c r="W2506" s="7" t="s">
        <v>57</v>
      </c>
      <c r="X2506" s="7" t="s">
        <v>103</v>
      </c>
      <c r="Y2506" s="8">
        <v>44344</v>
      </c>
      <c r="Z2506" s="8">
        <v>44407</v>
      </c>
      <c r="AA2506" s="7" t="s">
        <v>1251</v>
      </c>
      <c r="AB2506" s="7" t="s">
        <v>3761</v>
      </c>
      <c r="AC2506" s="7" t="s">
        <v>79</v>
      </c>
      <c r="AD2506" s="7" t="s">
        <v>144</v>
      </c>
      <c r="AE2506" s="7" t="s">
        <v>82</v>
      </c>
      <c r="AF2506" s="7" t="s">
        <v>0</v>
      </c>
      <c r="AG2506" s="7" t="s">
        <v>0</v>
      </c>
      <c r="AH2506" s="9" t="s">
        <v>11804</v>
      </c>
      <c r="AI2506" s="9" t="s">
        <v>11805</v>
      </c>
      <c r="AJ2506" s="9" t="s">
        <v>11806</v>
      </c>
      <c r="AK2506" s="7" t="s">
        <v>61</v>
      </c>
      <c r="AL2506" s="7" t="s">
        <v>61</v>
      </c>
      <c r="AM2506" s="7" t="s">
        <v>0</v>
      </c>
      <c r="AN2506" s="7" t="s">
        <v>0</v>
      </c>
      <c r="AO2506" s="7" t="s">
        <v>0</v>
      </c>
      <c r="AP2506" s="7" t="s">
        <v>0</v>
      </c>
      <c r="AQ2506" s="7" t="s">
        <v>61</v>
      </c>
      <c r="AR2506" s="7" t="s">
        <v>0</v>
      </c>
      <c r="AS2506" s="10" t="str">
        <f>HYPERLINK("https://tessa.gazprom-neft.local/edo/card/0d209f70-4012-4b19-865c-0128eac66ccc", "https://tessa.gazprom-neft.local/edo/card/0d209f70-4012-4b19-865c-0128eac66ccc")</f>
        <v>https://tessa.gazprom-neft.local/edo/card/0d209f70-4012-4b19-865c-0128eac66ccc</v>
      </c>
    </row>
    <row r="2507" spans="1:45" hidden="1" x14ac:dyDescent="0.25">
      <c r="A2507" s="6" t="s">
        <v>44</v>
      </c>
      <c r="B2507" s="7" t="s">
        <v>3758</v>
      </c>
      <c r="C2507" s="7" t="s">
        <v>67</v>
      </c>
      <c r="D2507" s="8">
        <v>44344</v>
      </c>
      <c r="E2507" s="8" t="s">
        <v>0</v>
      </c>
      <c r="F2507" s="16" t="s">
        <v>3759</v>
      </c>
      <c r="G2507" s="7" t="s">
        <v>3760</v>
      </c>
      <c r="H2507" s="7" t="s">
        <v>3753</v>
      </c>
      <c r="I2507" s="7" t="s">
        <v>0</v>
      </c>
      <c r="J2507" s="7" t="s">
        <v>3771</v>
      </c>
      <c r="K2507" s="7" t="s">
        <v>47</v>
      </c>
      <c r="L2507" s="7" t="s">
        <v>239</v>
      </c>
      <c r="M2507" s="7" t="s">
        <v>0</v>
      </c>
      <c r="N2507" s="7" t="s">
        <v>3769</v>
      </c>
      <c r="O2507" s="7" t="s">
        <v>0</v>
      </c>
      <c r="P2507" s="7" t="s">
        <v>3770</v>
      </c>
      <c r="Q2507" s="7" t="s">
        <v>3756</v>
      </c>
      <c r="R2507" s="7" t="s">
        <v>244</v>
      </c>
      <c r="S2507" s="7" t="s">
        <v>244</v>
      </c>
      <c r="T2507" s="7" t="s">
        <v>54</v>
      </c>
      <c r="U2507" s="7" t="s">
        <v>44</v>
      </c>
      <c r="V2507" s="7" t="s">
        <v>56</v>
      </c>
      <c r="W2507" s="7" t="s">
        <v>57</v>
      </c>
      <c r="X2507" s="7" t="s">
        <v>103</v>
      </c>
      <c r="Y2507" s="8">
        <v>44344</v>
      </c>
      <c r="Z2507" s="8">
        <v>44407</v>
      </c>
      <c r="AA2507" s="7" t="s">
        <v>1251</v>
      </c>
      <c r="AB2507" s="7" t="s">
        <v>3761</v>
      </c>
      <c r="AC2507" s="7" t="s">
        <v>79</v>
      </c>
      <c r="AD2507" s="7" t="s">
        <v>144</v>
      </c>
      <c r="AE2507" s="7" t="s">
        <v>82</v>
      </c>
      <c r="AF2507" s="7" t="s">
        <v>0</v>
      </c>
      <c r="AG2507" s="7" t="s">
        <v>0</v>
      </c>
      <c r="AH2507" s="9" t="s">
        <v>11810</v>
      </c>
      <c r="AI2507" s="9" t="s">
        <v>11811</v>
      </c>
      <c r="AJ2507" s="9" t="s">
        <v>11812</v>
      </c>
      <c r="AK2507" s="7" t="s">
        <v>61</v>
      </c>
      <c r="AL2507" s="7" t="s">
        <v>61</v>
      </c>
      <c r="AM2507" s="7" t="s">
        <v>0</v>
      </c>
      <c r="AN2507" s="7" t="s">
        <v>0</v>
      </c>
      <c r="AO2507" s="7" t="s">
        <v>0</v>
      </c>
      <c r="AP2507" s="7" t="s">
        <v>0</v>
      </c>
      <c r="AQ2507" s="7" t="s">
        <v>61</v>
      </c>
      <c r="AR2507" s="7" t="s">
        <v>0</v>
      </c>
      <c r="AS2507" s="10" t="str">
        <f>HYPERLINK("https://tessa.gazprom-neft.local/edo/card/76bbe98d-c615-4636-818c-33d6583fb5d1", "https://tessa.gazprom-neft.local/edo/card/76bbe98d-c615-4636-818c-33d6583fb5d1")</f>
        <v>https://tessa.gazprom-neft.local/edo/card/76bbe98d-c615-4636-818c-33d6583fb5d1</v>
      </c>
    </row>
    <row r="2508" spans="1:45" hidden="1" x14ac:dyDescent="0.25">
      <c r="A2508" s="6" t="s">
        <v>44</v>
      </c>
      <c r="B2508" s="7" t="s">
        <v>813</v>
      </c>
      <c r="C2508" s="7" t="s">
        <v>67</v>
      </c>
      <c r="D2508" s="8">
        <v>44344</v>
      </c>
      <c r="E2508" s="8" t="s">
        <v>0</v>
      </c>
      <c r="F2508" s="16" t="s">
        <v>814</v>
      </c>
      <c r="G2508" s="7" t="s">
        <v>815</v>
      </c>
      <c r="H2508" s="7" t="s">
        <v>4106</v>
      </c>
      <c r="I2508" s="7" t="s">
        <v>0</v>
      </c>
      <c r="J2508" s="7" t="s">
        <v>4108</v>
      </c>
      <c r="K2508" s="7" t="s">
        <v>47</v>
      </c>
      <c r="L2508" s="7" t="s">
        <v>239</v>
      </c>
      <c r="M2508" s="7" t="s">
        <v>0</v>
      </c>
      <c r="N2508" s="7" t="s">
        <v>4105</v>
      </c>
      <c r="O2508" s="7" t="s">
        <v>0</v>
      </c>
      <c r="P2508" s="7" t="s">
        <v>4107</v>
      </c>
      <c r="Q2508" s="7" t="s">
        <v>4109</v>
      </c>
      <c r="R2508" s="7" t="s">
        <v>540</v>
      </c>
      <c r="S2508" s="7" t="s">
        <v>0</v>
      </c>
      <c r="T2508" s="7" t="s">
        <v>54</v>
      </c>
      <c r="U2508" s="7" t="s">
        <v>541</v>
      </c>
      <c r="V2508" s="7" t="s">
        <v>56</v>
      </c>
      <c r="W2508" s="7" t="s">
        <v>57</v>
      </c>
      <c r="X2508" s="7" t="s">
        <v>103</v>
      </c>
      <c r="Y2508" s="8">
        <v>44344</v>
      </c>
      <c r="Z2508" s="8">
        <v>44530</v>
      </c>
      <c r="AA2508" s="7" t="s">
        <v>1251</v>
      </c>
      <c r="AB2508" s="7" t="s">
        <v>545</v>
      </c>
      <c r="AC2508" s="7" t="s">
        <v>79</v>
      </c>
      <c r="AD2508" s="7" t="s">
        <v>144</v>
      </c>
      <c r="AE2508" s="7" t="s">
        <v>82</v>
      </c>
      <c r="AF2508" s="7" t="s">
        <v>0</v>
      </c>
      <c r="AG2508" s="7" t="s">
        <v>0</v>
      </c>
      <c r="AH2508" s="9" t="s">
        <v>11932</v>
      </c>
      <c r="AI2508" s="9" t="s">
        <v>11933</v>
      </c>
      <c r="AJ2508" s="9" t="s">
        <v>11934</v>
      </c>
      <c r="AK2508" s="7" t="s">
        <v>61</v>
      </c>
      <c r="AL2508" s="7" t="s">
        <v>61</v>
      </c>
      <c r="AM2508" s="7" t="s">
        <v>0</v>
      </c>
      <c r="AN2508" s="7" t="s">
        <v>0</v>
      </c>
      <c r="AO2508" s="7" t="s">
        <v>0</v>
      </c>
      <c r="AP2508" s="7" t="s">
        <v>0</v>
      </c>
      <c r="AQ2508" s="7" t="s">
        <v>61</v>
      </c>
      <c r="AR2508" s="7" t="s">
        <v>0</v>
      </c>
      <c r="AS2508" s="10" t="str">
        <f>HYPERLINK("https://tessa.gazprom-neft.local/edo/card/213dfc43-4de8-4371-91af-cd6a14bf1d14", "https://tessa.gazprom-neft.local/edo/card/213dfc43-4de8-4371-91af-cd6a14bf1d14")</f>
        <v>https://tessa.gazprom-neft.local/edo/card/213dfc43-4de8-4371-91af-cd6a14bf1d14</v>
      </c>
    </row>
    <row r="2509" spans="1:45" hidden="1" x14ac:dyDescent="0.25">
      <c r="A2509" s="6" t="s">
        <v>44</v>
      </c>
      <c r="B2509" s="7" t="s">
        <v>813</v>
      </c>
      <c r="C2509" s="7" t="s">
        <v>67</v>
      </c>
      <c r="D2509" s="8">
        <v>44344</v>
      </c>
      <c r="E2509" s="8" t="s">
        <v>0</v>
      </c>
      <c r="F2509" s="16" t="s">
        <v>814</v>
      </c>
      <c r="G2509" s="7" t="s">
        <v>815</v>
      </c>
      <c r="H2509" s="7" t="s">
        <v>4106</v>
      </c>
      <c r="I2509" s="7" t="s">
        <v>0</v>
      </c>
      <c r="J2509" s="7" t="s">
        <v>4117</v>
      </c>
      <c r="K2509" s="7" t="s">
        <v>47</v>
      </c>
      <c r="L2509" s="7" t="s">
        <v>239</v>
      </c>
      <c r="M2509" s="7" t="s">
        <v>0</v>
      </c>
      <c r="N2509" s="7" t="s">
        <v>4115</v>
      </c>
      <c r="O2509" s="7" t="s">
        <v>0</v>
      </c>
      <c r="P2509" s="7" t="s">
        <v>4116</v>
      </c>
      <c r="Q2509" s="7" t="s">
        <v>4118</v>
      </c>
      <c r="R2509" s="7" t="s">
        <v>540</v>
      </c>
      <c r="S2509" s="7" t="s">
        <v>0</v>
      </c>
      <c r="T2509" s="7" t="s">
        <v>54</v>
      </c>
      <c r="U2509" s="7" t="s">
        <v>541</v>
      </c>
      <c r="V2509" s="7" t="s">
        <v>56</v>
      </c>
      <c r="W2509" s="7" t="s">
        <v>57</v>
      </c>
      <c r="X2509" s="7" t="s">
        <v>103</v>
      </c>
      <c r="Y2509" s="8">
        <v>44344</v>
      </c>
      <c r="Z2509" s="8">
        <v>44561</v>
      </c>
      <c r="AA2509" s="7" t="s">
        <v>1251</v>
      </c>
      <c r="AB2509" s="7" t="s">
        <v>4089</v>
      </c>
      <c r="AC2509" s="7" t="s">
        <v>79</v>
      </c>
      <c r="AD2509" s="7" t="s">
        <v>144</v>
      </c>
      <c r="AE2509" s="7" t="s">
        <v>82</v>
      </c>
      <c r="AF2509" s="7" t="s">
        <v>0</v>
      </c>
      <c r="AG2509" s="7" t="s">
        <v>0</v>
      </c>
      <c r="AH2509" s="9" t="s">
        <v>11936</v>
      </c>
      <c r="AI2509" s="9" t="s">
        <v>11937</v>
      </c>
      <c r="AJ2509" s="9" t="s">
        <v>11938</v>
      </c>
      <c r="AK2509" s="7" t="s">
        <v>61</v>
      </c>
      <c r="AL2509" s="7" t="s">
        <v>61</v>
      </c>
      <c r="AM2509" s="7" t="s">
        <v>0</v>
      </c>
      <c r="AN2509" s="7" t="s">
        <v>0</v>
      </c>
      <c r="AO2509" s="7" t="s">
        <v>0</v>
      </c>
      <c r="AP2509" s="7" t="s">
        <v>0</v>
      </c>
      <c r="AQ2509" s="7" t="s">
        <v>61</v>
      </c>
      <c r="AR2509" s="7" t="s">
        <v>0</v>
      </c>
      <c r="AS2509" s="10" t="str">
        <f>HYPERLINK("https://tessa.gazprom-neft.local/edo/card/c289885b-cb53-436f-ac4d-4835242fdfbe", "https://tessa.gazprom-neft.local/edo/card/c289885b-cb53-436f-ac4d-4835242fdfbe")</f>
        <v>https://tessa.gazprom-neft.local/edo/card/c289885b-cb53-436f-ac4d-4835242fdfbe</v>
      </c>
    </row>
    <row r="2510" spans="1:45" hidden="1" x14ac:dyDescent="0.25">
      <c r="A2510" s="6" t="s">
        <v>44</v>
      </c>
      <c r="B2510" s="7" t="s">
        <v>813</v>
      </c>
      <c r="C2510" s="7" t="s">
        <v>67</v>
      </c>
      <c r="D2510" s="8">
        <v>44344</v>
      </c>
      <c r="E2510" s="8" t="s">
        <v>0</v>
      </c>
      <c r="F2510" s="16" t="s">
        <v>814</v>
      </c>
      <c r="G2510" s="7" t="s">
        <v>815</v>
      </c>
      <c r="H2510" s="7" t="s">
        <v>4106</v>
      </c>
      <c r="I2510" s="7" t="s">
        <v>0</v>
      </c>
      <c r="J2510" s="7" t="s">
        <v>4131</v>
      </c>
      <c r="K2510" s="7" t="s">
        <v>47</v>
      </c>
      <c r="L2510" s="7" t="s">
        <v>239</v>
      </c>
      <c r="M2510" s="7" t="s">
        <v>0</v>
      </c>
      <c r="N2510" s="7" t="s">
        <v>4129</v>
      </c>
      <c r="O2510" s="7" t="s">
        <v>0</v>
      </c>
      <c r="P2510" s="7" t="s">
        <v>4130</v>
      </c>
      <c r="Q2510" s="7" t="s">
        <v>4109</v>
      </c>
      <c r="R2510" s="7" t="s">
        <v>540</v>
      </c>
      <c r="S2510" s="7" t="s">
        <v>0</v>
      </c>
      <c r="T2510" s="7" t="s">
        <v>54</v>
      </c>
      <c r="U2510" s="7" t="s">
        <v>541</v>
      </c>
      <c r="V2510" s="7" t="s">
        <v>56</v>
      </c>
      <c r="W2510" s="7" t="s">
        <v>57</v>
      </c>
      <c r="X2510" s="7" t="s">
        <v>103</v>
      </c>
      <c r="Y2510" s="8">
        <v>44344</v>
      </c>
      <c r="Z2510" s="8">
        <v>44530</v>
      </c>
      <c r="AA2510" s="7" t="s">
        <v>1251</v>
      </c>
      <c r="AB2510" s="7" t="s">
        <v>4089</v>
      </c>
      <c r="AC2510" s="7" t="s">
        <v>79</v>
      </c>
      <c r="AD2510" s="7" t="s">
        <v>144</v>
      </c>
      <c r="AE2510" s="7" t="s">
        <v>82</v>
      </c>
      <c r="AF2510" s="7" t="s">
        <v>0</v>
      </c>
      <c r="AG2510" s="7" t="s">
        <v>0</v>
      </c>
      <c r="AH2510" s="9" t="s">
        <v>11942</v>
      </c>
      <c r="AI2510" s="9" t="s">
        <v>11943</v>
      </c>
      <c r="AJ2510" s="9" t="s">
        <v>11944</v>
      </c>
      <c r="AK2510" s="7" t="s">
        <v>61</v>
      </c>
      <c r="AL2510" s="7" t="s">
        <v>61</v>
      </c>
      <c r="AM2510" s="7" t="s">
        <v>0</v>
      </c>
      <c r="AN2510" s="7" t="s">
        <v>0</v>
      </c>
      <c r="AO2510" s="7" t="s">
        <v>0</v>
      </c>
      <c r="AP2510" s="7" t="s">
        <v>0</v>
      </c>
      <c r="AQ2510" s="7" t="s">
        <v>61</v>
      </c>
      <c r="AR2510" s="7" t="s">
        <v>0</v>
      </c>
      <c r="AS2510" s="10" t="str">
        <f>HYPERLINK("https://tessa.gazprom-neft.local/edo/card/f6267c0c-27d3-450e-955d-f5b5037bff6a", "https://tessa.gazprom-neft.local/edo/card/f6267c0c-27d3-450e-955d-f5b5037bff6a")</f>
        <v>https://tessa.gazprom-neft.local/edo/card/f6267c0c-27d3-450e-955d-f5b5037bff6a</v>
      </c>
    </row>
    <row r="2511" spans="1:45" hidden="1" x14ac:dyDescent="0.25">
      <c r="A2511" s="6" t="s">
        <v>44</v>
      </c>
      <c r="B2511" s="7" t="s">
        <v>661</v>
      </c>
      <c r="C2511" s="7" t="s">
        <v>67</v>
      </c>
      <c r="D2511" s="8">
        <v>44343</v>
      </c>
      <c r="E2511" s="8" t="s">
        <v>0</v>
      </c>
      <c r="F2511" s="16" t="s">
        <v>662</v>
      </c>
      <c r="G2511" s="7" t="s">
        <v>663</v>
      </c>
      <c r="H2511" s="7" t="s">
        <v>764</v>
      </c>
      <c r="I2511" s="7" t="s">
        <v>0</v>
      </c>
      <c r="J2511" s="7" t="s">
        <v>3135</v>
      </c>
      <c r="K2511" s="7" t="s">
        <v>47</v>
      </c>
      <c r="L2511" s="7" t="s">
        <v>239</v>
      </c>
      <c r="M2511" s="7" t="s">
        <v>0</v>
      </c>
      <c r="N2511" s="7" t="s">
        <v>3133</v>
      </c>
      <c r="O2511" s="7" t="s">
        <v>0</v>
      </c>
      <c r="P2511" s="7" t="s">
        <v>3134</v>
      </c>
      <c r="Q2511" s="7" t="s">
        <v>3136</v>
      </c>
      <c r="R2511" s="7" t="s">
        <v>659</v>
      </c>
      <c r="S2511" s="7" t="s">
        <v>3137</v>
      </c>
      <c r="T2511" s="7" t="s">
        <v>54</v>
      </c>
      <c r="U2511" s="7" t="s">
        <v>101</v>
      </c>
      <c r="V2511" s="7" t="s">
        <v>102</v>
      </c>
      <c r="W2511" s="7" t="s">
        <v>57</v>
      </c>
      <c r="X2511" s="7" t="s">
        <v>103</v>
      </c>
      <c r="Y2511" s="8">
        <v>44364</v>
      </c>
      <c r="Z2511" s="8">
        <v>44454</v>
      </c>
      <c r="AA2511" s="7" t="s">
        <v>0</v>
      </c>
      <c r="AB2511" s="7" t="s">
        <v>2425</v>
      </c>
      <c r="AC2511" s="7" t="s">
        <v>79</v>
      </c>
      <c r="AD2511" s="7" t="s">
        <v>514</v>
      </c>
      <c r="AE2511" s="7" t="s">
        <v>82</v>
      </c>
      <c r="AF2511" s="7" t="s">
        <v>0</v>
      </c>
      <c r="AG2511" s="7" t="s">
        <v>0</v>
      </c>
      <c r="AH2511" s="9" t="s">
        <v>11549</v>
      </c>
      <c r="AI2511" s="9" t="s">
        <v>11550</v>
      </c>
      <c r="AJ2511" s="9" t="s">
        <v>11551</v>
      </c>
      <c r="AK2511" s="7" t="s">
        <v>61</v>
      </c>
      <c r="AL2511" s="7" t="s">
        <v>61</v>
      </c>
      <c r="AM2511" s="7" t="s">
        <v>0</v>
      </c>
      <c r="AN2511" s="7" t="s">
        <v>0</v>
      </c>
      <c r="AO2511" s="7" t="s">
        <v>0</v>
      </c>
      <c r="AP2511" s="7" t="s">
        <v>0</v>
      </c>
      <c r="AQ2511" s="7" t="s">
        <v>61</v>
      </c>
      <c r="AR2511" s="7" t="s">
        <v>0</v>
      </c>
      <c r="AS2511" s="10" t="str">
        <f>HYPERLINK("https://tessa.gazprom-neft.local/edo/card/bc96377b-3e1f-41fd-925b-9ac7a6282851", "https://tessa.gazprom-neft.local/edo/card/bc96377b-3e1f-41fd-925b-9ac7a6282851")</f>
        <v>https://tessa.gazprom-neft.local/edo/card/bc96377b-3e1f-41fd-925b-9ac7a6282851</v>
      </c>
    </row>
    <row r="2512" spans="1:45" x14ac:dyDescent="0.25">
      <c r="A2512" s="6" t="s">
        <v>44</v>
      </c>
      <c r="B2512" s="7" t="s">
        <v>3031</v>
      </c>
      <c r="C2512" s="7" t="s">
        <v>67</v>
      </c>
      <c r="D2512" s="8">
        <v>44341</v>
      </c>
      <c r="E2512" s="8" t="s">
        <v>0</v>
      </c>
      <c r="F2512" s="16" t="s">
        <v>3032</v>
      </c>
      <c r="G2512" s="7" t="s">
        <v>3033</v>
      </c>
      <c r="H2512" s="7" t="s">
        <v>3027</v>
      </c>
      <c r="I2512" s="7" t="s">
        <v>0</v>
      </c>
      <c r="J2512" s="7" t="s">
        <v>156</v>
      </c>
      <c r="K2512" s="7" t="s">
        <v>47</v>
      </c>
      <c r="L2512" s="7" t="s">
        <v>48</v>
      </c>
      <c r="M2512" s="7" t="s">
        <v>0</v>
      </c>
      <c r="N2512" s="7" t="s">
        <v>3026</v>
      </c>
      <c r="O2512" s="7" t="s">
        <v>0</v>
      </c>
      <c r="P2512" s="7" t="s">
        <v>3028</v>
      </c>
      <c r="Q2512" s="7" t="s">
        <v>3029</v>
      </c>
      <c r="R2512" s="7" t="s">
        <v>659</v>
      </c>
      <c r="S2512" s="7" t="s">
        <v>3030</v>
      </c>
      <c r="T2512" s="7" t="s">
        <v>54</v>
      </c>
      <c r="U2512" s="7" t="s">
        <v>307</v>
      </c>
      <c r="V2512" s="7" t="s">
        <v>382</v>
      </c>
      <c r="W2512" s="7" t="s">
        <v>57</v>
      </c>
      <c r="X2512" s="7" t="s">
        <v>103</v>
      </c>
      <c r="Y2512" s="8">
        <v>44341</v>
      </c>
      <c r="Z2512" s="8">
        <v>44926</v>
      </c>
      <c r="AA2512" s="7" t="s">
        <v>1656</v>
      </c>
      <c r="AB2512" s="7" t="s">
        <v>3034</v>
      </c>
      <c r="AC2512" s="7" t="s">
        <v>79</v>
      </c>
      <c r="AD2512" s="7" t="s">
        <v>514</v>
      </c>
      <c r="AE2512" s="7" t="s">
        <v>82</v>
      </c>
      <c r="AF2512" s="7" t="s">
        <v>0</v>
      </c>
      <c r="AG2512" s="7" t="s">
        <v>0</v>
      </c>
      <c r="AH2512" s="9">
        <v>0.01</v>
      </c>
      <c r="AI2512" s="9">
        <v>0.01</v>
      </c>
      <c r="AJ2512" s="9">
        <v>0</v>
      </c>
      <c r="AK2512" s="7" t="s">
        <v>61</v>
      </c>
      <c r="AL2512" s="7" t="s">
        <v>61</v>
      </c>
      <c r="AM2512" s="7" t="s">
        <v>0</v>
      </c>
      <c r="AN2512" s="7" t="s">
        <v>0</v>
      </c>
      <c r="AO2512" s="7" t="s">
        <v>0</v>
      </c>
      <c r="AP2512" s="7" t="s">
        <v>0</v>
      </c>
      <c r="AQ2512" s="7" t="s">
        <v>61</v>
      </c>
      <c r="AR2512" s="7" t="s">
        <v>0</v>
      </c>
      <c r="AS2512" s="10" t="str">
        <f>HYPERLINK("https://tessa.gazprom-neft.local/edo/card/41088ce0-2945-4284-a816-fbbc9fb23d0d", "https://tessa.gazprom-neft.local/edo/card/41088ce0-2945-4284-a816-fbbc9fb23d0d")</f>
        <v>https://tessa.gazprom-neft.local/edo/card/41088ce0-2945-4284-a816-fbbc9fb23d0d</v>
      </c>
    </row>
    <row r="2513" spans="1:45" hidden="1" x14ac:dyDescent="0.25">
      <c r="A2513" s="6" t="s">
        <v>44</v>
      </c>
      <c r="B2513" s="7" t="s">
        <v>3172</v>
      </c>
      <c r="C2513" s="7" t="s">
        <v>67</v>
      </c>
      <c r="D2513" s="8">
        <v>44341</v>
      </c>
      <c r="E2513" s="8" t="s">
        <v>0</v>
      </c>
      <c r="F2513" s="16" t="s">
        <v>3173</v>
      </c>
      <c r="G2513" s="7" t="s">
        <v>3174</v>
      </c>
      <c r="H2513" s="7" t="s">
        <v>3169</v>
      </c>
      <c r="I2513" s="7" t="s">
        <v>0</v>
      </c>
      <c r="J2513" s="7" t="s">
        <v>3170</v>
      </c>
      <c r="K2513" s="7" t="s">
        <v>85</v>
      </c>
      <c r="L2513" s="7" t="s">
        <v>239</v>
      </c>
      <c r="M2513" s="7" t="s">
        <v>1252</v>
      </c>
      <c r="N2513" s="7" t="s">
        <v>3168</v>
      </c>
      <c r="O2513" s="7" t="s">
        <v>1467</v>
      </c>
      <c r="P2513" s="7" t="s">
        <v>1252</v>
      </c>
      <c r="Q2513" s="7" t="s">
        <v>3171</v>
      </c>
      <c r="R2513" s="7" t="s">
        <v>1256</v>
      </c>
      <c r="S2513" s="7" t="s">
        <v>1256</v>
      </c>
      <c r="T2513" s="7" t="s">
        <v>54</v>
      </c>
      <c r="U2513" s="7" t="s">
        <v>591</v>
      </c>
      <c r="V2513" s="7" t="s">
        <v>382</v>
      </c>
      <c r="W2513" s="7" t="s">
        <v>57</v>
      </c>
      <c r="X2513" s="7" t="s">
        <v>103</v>
      </c>
      <c r="Y2513" s="8">
        <v>44341</v>
      </c>
      <c r="Z2513" s="8">
        <v>44560</v>
      </c>
      <c r="AA2513" s="7" t="s">
        <v>1656</v>
      </c>
      <c r="AB2513" s="7" t="s">
        <v>387</v>
      </c>
      <c r="AC2513" s="7" t="s">
        <v>79</v>
      </c>
      <c r="AD2513" s="7" t="s">
        <v>144</v>
      </c>
      <c r="AE2513" s="7" t="s">
        <v>82</v>
      </c>
      <c r="AF2513" s="7" t="s">
        <v>0</v>
      </c>
      <c r="AG2513" s="7" t="s">
        <v>0</v>
      </c>
      <c r="AH2513" s="9" t="s">
        <v>11564</v>
      </c>
      <c r="AI2513" s="9" t="s">
        <v>11565</v>
      </c>
      <c r="AJ2513" s="9" t="s">
        <v>11566</v>
      </c>
      <c r="AK2513" s="7" t="s">
        <v>61</v>
      </c>
      <c r="AL2513" s="7" t="s">
        <v>61</v>
      </c>
      <c r="AM2513" s="7" t="s">
        <v>0</v>
      </c>
      <c r="AN2513" s="7" t="s">
        <v>0</v>
      </c>
      <c r="AO2513" s="7" t="s">
        <v>0</v>
      </c>
      <c r="AP2513" s="7" t="s">
        <v>0</v>
      </c>
      <c r="AQ2513" s="7" t="s">
        <v>61</v>
      </c>
      <c r="AR2513" s="7" t="s">
        <v>0</v>
      </c>
      <c r="AS2513" s="10" t="str">
        <f>HYPERLINK("https://tessa.gazprom-neft.local/edo/card/65304913-7fb5-4573-8b5e-2c92cbb4277f", "https://tessa.gazprom-neft.local/edo/card/65304913-7fb5-4573-8b5e-2c92cbb4277f")</f>
        <v>https://tessa.gazprom-neft.local/edo/card/65304913-7fb5-4573-8b5e-2c92cbb4277f</v>
      </c>
    </row>
    <row r="2514" spans="1:45" hidden="1" x14ac:dyDescent="0.25">
      <c r="A2514" s="6" t="s">
        <v>44</v>
      </c>
      <c r="B2514" s="7" t="s">
        <v>3172</v>
      </c>
      <c r="C2514" s="7" t="s">
        <v>67</v>
      </c>
      <c r="D2514" s="8">
        <v>44341</v>
      </c>
      <c r="E2514" s="8" t="s">
        <v>0</v>
      </c>
      <c r="F2514" s="16" t="s">
        <v>3173</v>
      </c>
      <c r="G2514" s="7" t="s">
        <v>3174</v>
      </c>
      <c r="H2514" s="7" t="s">
        <v>3169</v>
      </c>
      <c r="I2514" s="7" t="s">
        <v>0</v>
      </c>
      <c r="J2514" s="7" t="s">
        <v>3185</v>
      </c>
      <c r="K2514" s="7" t="s">
        <v>85</v>
      </c>
      <c r="L2514" s="7" t="s">
        <v>239</v>
      </c>
      <c r="M2514" s="7" t="s">
        <v>1252</v>
      </c>
      <c r="N2514" s="7" t="s">
        <v>3184</v>
      </c>
      <c r="O2514" s="7" t="s">
        <v>0</v>
      </c>
      <c r="P2514" s="7" t="s">
        <v>1252</v>
      </c>
      <c r="Q2514" s="7" t="s">
        <v>3186</v>
      </c>
      <c r="R2514" s="7" t="s">
        <v>1256</v>
      </c>
      <c r="S2514" s="7" t="s">
        <v>1256</v>
      </c>
      <c r="T2514" s="7" t="s">
        <v>54</v>
      </c>
      <c r="U2514" s="7" t="s">
        <v>591</v>
      </c>
      <c r="V2514" s="7" t="s">
        <v>382</v>
      </c>
      <c r="W2514" s="7" t="s">
        <v>57</v>
      </c>
      <c r="X2514" s="7" t="s">
        <v>103</v>
      </c>
      <c r="Y2514" s="8">
        <v>44341</v>
      </c>
      <c r="Z2514" s="8">
        <v>44561</v>
      </c>
      <c r="AA2514" s="7" t="s">
        <v>1656</v>
      </c>
      <c r="AB2514" s="7" t="s">
        <v>387</v>
      </c>
      <c r="AC2514" s="7" t="s">
        <v>79</v>
      </c>
      <c r="AD2514" s="7" t="s">
        <v>144</v>
      </c>
      <c r="AE2514" s="7" t="s">
        <v>82</v>
      </c>
      <c r="AF2514" s="7" t="s">
        <v>0</v>
      </c>
      <c r="AG2514" s="7" t="s">
        <v>0</v>
      </c>
      <c r="AH2514" s="9" t="s">
        <v>11570</v>
      </c>
      <c r="AI2514" s="9" t="s">
        <v>11571</v>
      </c>
      <c r="AJ2514" s="9" t="s">
        <v>11572</v>
      </c>
      <c r="AK2514" s="7" t="s">
        <v>61</v>
      </c>
      <c r="AL2514" s="7" t="s">
        <v>61</v>
      </c>
      <c r="AM2514" s="7" t="s">
        <v>0</v>
      </c>
      <c r="AN2514" s="7" t="s">
        <v>0</v>
      </c>
      <c r="AO2514" s="7" t="s">
        <v>0</v>
      </c>
      <c r="AP2514" s="7" t="s">
        <v>0</v>
      </c>
      <c r="AQ2514" s="7" t="s">
        <v>61</v>
      </c>
      <c r="AR2514" s="7" t="s">
        <v>0</v>
      </c>
      <c r="AS2514" s="10" t="str">
        <f>HYPERLINK("https://tessa.gazprom-neft.local/edo/card/985b0662-b156-4964-aa0f-dfbdd0a3948f", "https://tessa.gazprom-neft.local/edo/card/985b0662-b156-4964-aa0f-dfbdd0a3948f")</f>
        <v>https://tessa.gazprom-neft.local/edo/card/985b0662-b156-4964-aa0f-dfbdd0a3948f</v>
      </c>
    </row>
    <row r="2515" spans="1:45" hidden="1" x14ac:dyDescent="0.25">
      <c r="A2515" s="6" t="s">
        <v>44</v>
      </c>
      <c r="B2515" s="7" t="s">
        <v>2898</v>
      </c>
      <c r="C2515" s="7" t="s">
        <v>67</v>
      </c>
      <c r="D2515" s="8">
        <v>44341</v>
      </c>
      <c r="E2515" s="8" t="s">
        <v>0</v>
      </c>
      <c r="F2515" s="16" t="s">
        <v>2899</v>
      </c>
      <c r="G2515" s="7" t="s">
        <v>2900</v>
      </c>
      <c r="H2515" s="7" t="s">
        <v>3195</v>
      </c>
      <c r="I2515" s="7" t="s">
        <v>0</v>
      </c>
      <c r="J2515" s="7" t="s">
        <v>3196</v>
      </c>
      <c r="K2515" s="7" t="s">
        <v>85</v>
      </c>
      <c r="L2515" s="7" t="s">
        <v>239</v>
      </c>
      <c r="M2515" s="7" t="s">
        <v>1252</v>
      </c>
      <c r="N2515" s="7" t="s">
        <v>3193</v>
      </c>
      <c r="O2515" s="7" t="s">
        <v>3194</v>
      </c>
      <c r="P2515" s="7" t="s">
        <v>1252</v>
      </c>
      <c r="Q2515" s="7" t="s">
        <v>3197</v>
      </c>
      <c r="R2515" s="7" t="s">
        <v>1256</v>
      </c>
      <c r="S2515" s="7" t="s">
        <v>1256</v>
      </c>
      <c r="T2515" s="7" t="s">
        <v>54</v>
      </c>
      <c r="U2515" s="7" t="s">
        <v>591</v>
      </c>
      <c r="V2515" s="7" t="s">
        <v>382</v>
      </c>
      <c r="W2515" s="7" t="s">
        <v>57</v>
      </c>
      <c r="X2515" s="7" t="s">
        <v>103</v>
      </c>
      <c r="Y2515" s="8">
        <v>44341</v>
      </c>
      <c r="Z2515" s="8">
        <v>44377</v>
      </c>
      <c r="AA2515" s="7" t="s">
        <v>1656</v>
      </c>
      <c r="AB2515" s="7" t="s">
        <v>387</v>
      </c>
      <c r="AC2515" s="7" t="s">
        <v>79</v>
      </c>
      <c r="AD2515" s="7" t="s">
        <v>144</v>
      </c>
      <c r="AE2515" s="7" t="s">
        <v>82</v>
      </c>
      <c r="AF2515" s="7" t="s">
        <v>0</v>
      </c>
      <c r="AG2515" s="7" t="s">
        <v>0</v>
      </c>
      <c r="AH2515" s="9" t="s">
        <v>11576</v>
      </c>
      <c r="AI2515" s="9" t="s">
        <v>11577</v>
      </c>
      <c r="AJ2515" s="9" t="s">
        <v>11578</v>
      </c>
      <c r="AK2515" s="7" t="s">
        <v>61</v>
      </c>
      <c r="AL2515" s="7" t="s">
        <v>61</v>
      </c>
      <c r="AM2515" s="7" t="s">
        <v>0</v>
      </c>
      <c r="AN2515" s="7" t="s">
        <v>0</v>
      </c>
      <c r="AO2515" s="7" t="s">
        <v>0</v>
      </c>
      <c r="AP2515" s="7" t="s">
        <v>0</v>
      </c>
      <c r="AQ2515" s="7" t="s">
        <v>61</v>
      </c>
      <c r="AR2515" s="7" t="s">
        <v>0</v>
      </c>
      <c r="AS2515" s="10" t="str">
        <f>HYPERLINK("https://tessa.gazprom-neft.local/edo/card/308d9e38-54ed-4bd8-bfc4-e05f70ee0bed", "https://tessa.gazprom-neft.local/edo/card/308d9e38-54ed-4bd8-bfc4-e05f70ee0bed")</f>
        <v>https://tessa.gazprom-neft.local/edo/card/308d9e38-54ed-4bd8-bfc4-e05f70ee0bed</v>
      </c>
    </row>
    <row r="2516" spans="1:45" hidden="1" x14ac:dyDescent="0.25">
      <c r="A2516" s="6" t="s">
        <v>44</v>
      </c>
      <c r="B2516" s="7" t="s">
        <v>2898</v>
      </c>
      <c r="C2516" s="7" t="s">
        <v>67</v>
      </c>
      <c r="D2516" s="8">
        <v>44341</v>
      </c>
      <c r="E2516" s="8" t="s">
        <v>0</v>
      </c>
      <c r="F2516" s="16" t="s">
        <v>2899</v>
      </c>
      <c r="G2516" s="7" t="s">
        <v>2900</v>
      </c>
      <c r="H2516" s="7" t="s">
        <v>3209</v>
      </c>
      <c r="I2516" s="7" t="s">
        <v>0</v>
      </c>
      <c r="J2516" s="7" t="s">
        <v>2198</v>
      </c>
      <c r="K2516" s="7" t="s">
        <v>85</v>
      </c>
      <c r="L2516" s="7" t="s">
        <v>239</v>
      </c>
      <c r="M2516" s="7" t="s">
        <v>1252</v>
      </c>
      <c r="N2516" s="7" t="s">
        <v>3208</v>
      </c>
      <c r="O2516" s="7" t="s">
        <v>0</v>
      </c>
      <c r="P2516" s="7" t="s">
        <v>1252</v>
      </c>
      <c r="Q2516" s="7" t="s">
        <v>3210</v>
      </c>
      <c r="R2516" s="7" t="s">
        <v>1256</v>
      </c>
      <c r="S2516" s="7" t="s">
        <v>1256</v>
      </c>
      <c r="T2516" s="7" t="s">
        <v>54</v>
      </c>
      <c r="U2516" s="7" t="s">
        <v>591</v>
      </c>
      <c r="V2516" s="7" t="s">
        <v>382</v>
      </c>
      <c r="W2516" s="7" t="s">
        <v>57</v>
      </c>
      <c r="X2516" s="7" t="s">
        <v>103</v>
      </c>
      <c r="Y2516" s="8">
        <v>44341</v>
      </c>
      <c r="Z2516" s="8">
        <v>44742</v>
      </c>
      <c r="AA2516" s="7" t="s">
        <v>1656</v>
      </c>
      <c r="AB2516" s="7" t="s">
        <v>387</v>
      </c>
      <c r="AC2516" s="7" t="s">
        <v>79</v>
      </c>
      <c r="AD2516" s="7" t="s">
        <v>144</v>
      </c>
      <c r="AE2516" s="7" t="s">
        <v>82</v>
      </c>
      <c r="AF2516" s="7" t="s">
        <v>0</v>
      </c>
      <c r="AG2516" s="7" t="s">
        <v>0</v>
      </c>
      <c r="AH2516" s="9" t="s">
        <v>11582</v>
      </c>
      <c r="AI2516" s="9" t="s">
        <v>11583</v>
      </c>
      <c r="AJ2516" s="9" t="s">
        <v>11584</v>
      </c>
      <c r="AK2516" s="7" t="s">
        <v>61</v>
      </c>
      <c r="AL2516" s="7" t="s">
        <v>61</v>
      </c>
      <c r="AM2516" s="7" t="s">
        <v>0</v>
      </c>
      <c r="AN2516" s="7" t="s">
        <v>0</v>
      </c>
      <c r="AO2516" s="7" t="s">
        <v>0</v>
      </c>
      <c r="AP2516" s="7" t="s">
        <v>0</v>
      </c>
      <c r="AQ2516" s="7" t="s">
        <v>61</v>
      </c>
      <c r="AR2516" s="7" t="s">
        <v>0</v>
      </c>
      <c r="AS2516" s="10" t="str">
        <f>HYPERLINK("https://tessa.gazprom-neft.local/edo/card/ea740129-e961-4180-b6a8-783345500679", "https://tessa.gazprom-neft.local/edo/card/ea740129-e961-4180-b6a8-783345500679")</f>
        <v>https://tessa.gazprom-neft.local/edo/card/ea740129-e961-4180-b6a8-783345500679</v>
      </c>
    </row>
    <row r="2517" spans="1:45" hidden="1" x14ac:dyDescent="0.25">
      <c r="A2517" s="6" t="s">
        <v>44</v>
      </c>
      <c r="B2517" s="7" t="s">
        <v>2291</v>
      </c>
      <c r="C2517" s="7" t="s">
        <v>67</v>
      </c>
      <c r="D2517" s="8">
        <v>44340</v>
      </c>
      <c r="E2517" s="8" t="s">
        <v>0</v>
      </c>
      <c r="F2517" s="16" t="s">
        <v>2292</v>
      </c>
      <c r="G2517" s="7" t="s">
        <v>2293</v>
      </c>
      <c r="H2517" s="7" t="s">
        <v>0</v>
      </c>
      <c r="I2517" s="7" t="s">
        <v>2713</v>
      </c>
      <c r="J2517" s="7" t="s">
        <v>2713</v>
      </c>
      <c r="K2517" s="7" t="s">
        <v>85</v>
      </c>
      <c r="L2517" s="7" t="s">
        <v>86</v>
      </c>
      <c r="M2517" s="7" t="s">
        <v>2316</v>
      </c>
      <c r="N2517" s="7" t="s">
        <v>2712</v>
      </c>
      <c r="O2517" s="7" t="s">
        <v>0</v>
      </c>
      <c r="P2517" s="7" t="s">
        <v>2316</v>
      </c>
      <c r="Q2517" s="7" t="s">
        <v>2714</v>
      </c>
      <c r="R2517" s="7" t="s">
        <v>1829</v>
      </c>
      <c r="S2517" s="7" t="s">
        <v>0</v>
      </c>
      <c r="T2517" s="7" t="s">
        <v>54</v>
      </c>
      <c r="U2517" s="7" t="s">
        <v>307</v>
      </c>
      <c r="V2517" s="7" t="s">
        <v>137</v>
      </c>
      <c r="W2517" s="7" t="s">
        <v>57</v>
      </c>
      <c r="X2517" s="7" t="s">
        <v>58</v>
      </c>
      <c r="Y2517" s="8">
        <v>44340</v>
      </c>
      <c r="Z2517" s="8" t="s">
        <v>0</v>
      </c>
      <c r="AA2517" s="7" t="s">
        <v>0</v>
      </c>
      <c r="AB2517" s="7" t="s">
        <v>328</v>
      </c>
      <c r="AC2517" s="7" t="s">
        <v>65</v>
      </c>
      <c r="AD2517" s="7" t="s">
        <v>0</v>
      </c>
      <c r="AE2517" s="7" t="s">
        <v>0</v>
      </c>
      <c r="AF2517" s="7" t="s">
        <v>0</v>
      </c>
      <c r="AG2517" s="7" t="s">
        <v>0</v>
      </c>
      <c r="AH2517" s="9" t="s">
        <v>0</v>
      </c>
      <c r="AI2517" s="9" t="s">
        <v>0</v>
      </c>
      <c r="AJ2517" s="9" t="s">
        <v>0</v>
      </c>
      <c r="AK2517" s="7" t="s">
        <v>61</v>
      </c>
      <c r="AL2517" s="7" t="s">
        <v>61</v>
      </c>
      <c r="AM2517" s="7" t="s">
        <v>0</v>
      </c>
      <c r="AN2517" s="7" t="s">
        <v>0</v>
      </c>
      <c r="AO2517" s="7" t="s">
        <v>0</v>
      </c>
      <c r="AP2517" s="7" t="s">
        <v>0</v>
      </c>
      <c r="AQ2517" s="7" t="s">
        <v>61</v>
      </c>
      <c r="AR2517" s="7" t="s">
        <v>0</v>
      </c>
      <c r="AS2517" s="10" t="str">
        <f>HYPERLINK("https://tessa.gazprom-neft.local/edo/card/af538ae7-d922-42cb-9ee4-bdbef76c8f22", "https://tessa.gazprom-neft.local/edo/card/af538ae7-d922-42cb-9ee4-bdbef76c8f22")</f>
        <v>https://tessa.gazprom-neft.local/edo/card/af538ae7-d922-42cb-9ee4-bdbef76c8f22</v>
      </c>
    </row>
    <row r="2518" spans="1:45" x14ac:dyDescent="0.25">
      <c r="A2518" s="6" t="s">
        <v>44</v>
      </c>
      <c r="B2518" s="7" t="s">
        <v>885</v>
      </c>
      <c r="C2518" s="7" t="s">
        <v>67</v>
      </c>
      <c r="D2518" s="8">
        <v>44340</v>
      </c>
      <c r="E2518" s="8" t="s">
        <v>0</v>
      </c>
      <c r="F2518" s="16" t="s">
        <v>886</v>
      </c>
      <c r="G2518" s="7" t="s">
        <v>887</v>
      </c>
      <c r="H2518" s="7" t="s">
        <v>2084</v>
      </c>
      <c r="I2518" s="7" t="s">
        <v>0</v>
      </c>
      <c r="J2518" s="7" t="s">
        <v>2811</v>
      </c>
      <c r="K2518" s="7" t="s">
        <v>47</v>
      </c>
      <c r="L2518" s="7" t="s">
        <v>48</v>
      </c>
      <c r="M2518" s="7" t="s">
        <v>0</v>
      </c>
      <c r="N2518" s="7" t="s">
        <v>2808</v>
      </c>
      <c r="O2518" s="7" t="s">
        <v>2809</v>
      </c>
      <c r="P2518" s="7" t="s">
        <v>2810</v>
      </c>
      <c r="Q2518" s="7" t="s">
        <v>2812</v>
      </c>
      <c r="R2518" s="7" t="s">
        <v>604</v>
      </c>
      <c r="S2518" s="7" t="s">
        <v>884</v>
      </c>
      <c r="T2518" s="7" t="s">
        <v>54</v>
      </c>
      <c r="U2518" s="7" t="s">
        <v>605</v>
      </c>
      <c r="V2518" s="7" t="s">
        <v>137</v>
      </c>
      <c r="W2518" s="7" t="s">
        <v>57</v>
      </c>
      <c r="X2518" s="7" t="s">
        <v>103</v>
      </c>
      <c r="Y2518" s="8">
        <v>44340</v>
      </c>
      <c r="Z2518" s="8">
        <v>45657</v>
      </c>
      <c r="AA2518" s="7" t="s">
        <v>0</v>
      </c>
      <c r="AB2518" s="7" t="s">
        <v>888</v>
      </c>
      <c r="AC2518" s="7" t="s">
        <v>65</v>
      </c>
      <c r="AD2518" s="7" t="s">
        <v>0</v>
      </c>
      <c r="AE2518" s="7" t="s">
        <v>0</v>
      </c>
      <c r="AF2518" s="7" t="s">
        <v>0</v>
      </c>
      <c r="AG2518" s="7" t="s">
        <v>0</v>
      </c>
      <c r="AH2518" s="9" t="s">
        <v>0</v>
      </c>
      <c r="AI2518" s="9" t="s">
        <v>0</v>
      </c>
      <c r="AJ2518" s="9" t="s">
        <v>0</v>
      </c>
      <c r="AK2518" s="7" t="s">
        <v>61</v>
      </c>
      <c r="AL2518" s="7" t="s">
        <v>61</v>
      </c>
      <c r="AM2518" s="7" t="s">
        <v>0</v>
      </c>
      <c r="AN2518" s="7" t="s">
        <v>0</v>
      </c>
      <c r="AO2518" s="7" t="s">
        <v>0</v>
      </c>
      <c r="AP2518" s="7" t="s">
        <v>0</v>
      </c>
      <c r="AQ2518" s="7" t="s">
        <v>61</v>
      </c>
      <c r="AR2518" s="7" t="s">
        <v>0</v>
      </c>
      <c r="AS2518" s="10" t="str">
        <f>HYPERLINK("https://tessa.gazprom-neft.local/edo/card/98f8a734-9184-4fd0-8d4c-a212ff67951e", "https://tessa.gazprom-neft.local/edo/card/98f8a734-9184-4fd0-8d4c-a212ff67951e")</f>
        <v>https://tessa.gazprom-neft.local/edo/card/98f8a734-9184-4fd0-8d4c-a212ff67951e</v>
      </c>
    </row>
    <row r="2519" spans="1:45" hidden="1" x14ac:dyDescent="0.25">
      <c r="A2519" s="6" t="s">
        <v>44</v>
      </c>
      <c r="B2519" s="7" t="s">
        <v>0</v>
      </c>
      <c r="C2519" s="7" t="s">
        <v>67</v>
      </c>
      <c r="D2519" s="8">
        <v>44337</v>
      </c>
      <c r="E2519" s="8" t="s">
        <v>0</v>
      </c>
      <c r="F2519" s="16" t="s">
        <v>2564</v>
      </c>
      <c r="G2519" s="7" t="s">
        <v>0</v>
      </c>
      <c r="H2519" s="7" t="s">
        <v>0</v>
      </c>
      <c r="I2519" s="7" t="s">
        <v>1735</v>
      </c>
      <c r="J2519" s="7" t="s">
        <v>1735</v>
      </c>
      <c r="K2519" s="7" t="s">
        <v>85</v>
      </c>
      <c r="L2519" s="7" t="s">
        <v>96</v>
      </c>
      <c r="M2519" s="7" t="s">
        <v>2560</v>
      </c>
      <c r="N2519" s="7" t="s">
        <v>2561</v>
      </c>
      <c r="O2519" s="7" t="s">
        <v>0</v>
      </c>
      <c r="P2519" s="7" t="s">
        <v>2560</v>
      </c>
      <c r="Q2519" s="7" t="s">
        <v>2562</v>
      </c>
      <c r="R2519" s="7" t="s">
        <v>282</v>
      </c>
      <c r="S2519" s="7" t="s">
        <v>2563</v>
      </c>
      <c r="T2519" s="7" t="s">
        <v>54</v>
      </c>
      <c r="U2519" s="7" t="s">
        <v>283</v>
      </c>
      <c r="V2519" s="7" t="s">
        <v>102</v>
      </c>
      <c r="W2519" s="7" t="s">
        <v>57</v>
      </c>
      <c r="X2519" s="7" t="s">
        <v>103</v>
      </c>
      <c r="Y2519" s="8">
        <v>44328</v>
      </c>
      <c r="Z2519" s="8">
        <v>45657</v>
      </c>
      <c r="AA2519" s="7" t="s">
        <v>0</v>
      </c>
      <c r="AB2519" s="7" t="s">
        <v>1738</v>
      </c>
      <c r="AC2519" s="7" t="s">
        <v>79</v>
      </c>
      <c r="AD2519" s="7" t="s">
        <v>144</v>
      </c>
      <c r="AE2519" s="7" t="s">
        <v>118</v>
      </c>
      <c r="AF2519" s="7" t="s">
        <v>0</v>
      </c>
      <c r="AG2519" s="7" t="s">
        <v>0</v>
      </c>
      <c r="AH2519" s="9" t="s">
        <v>11386</v>
      </c>
      <c r="AI2519" s="9" t="s">
        <v>11386</v>
      </c>
      <c r="AJ2519" s="9">
        <v>0</v>
      </c>
      <c r="AK2519" s="7" t="s">
        <v>61</v>
      </c>
      <c r="AL2519" s="7" t="s">
        <v>61</v>
      </c>
      <c r="AM2519" s="7" t="s">
        <v>0</v>
      </c>
      <c r="AN2519" s="7" t="s">
        <v>0</v>
      </c>
      <c r="AO2519" s="7" t="s">
        <v>0</v>
      </c>
      <c r="AP2519" s="7" t="s">
        <v>0</v>
      </c>
      <c r="AQ2519" s="7" t="s">
        <v>61</v>
      </c>
      <c r="AR2519" s="7" t="s">
        <v>0</v>
      </c>
      <c r="AS2519" s="10" t="str">
        <f>HYPERLINK("https://tessa.gazprom-neft.local/edo/card/32369d06-da73-43c3-9815-628a5e18e3a7", "https://tessa.gazprom-neft.local/edo/card/32369d06-da73-43c3-9815-628a5e18e3a7")</f>
        <v>https://tessa.gazprom-neft.local/edo/card/32369d06-da73-43c3-9815-628a5e18e3a7</v>
      </c>
    </row>
    <row r="2520" spans="1:45" hidden="1" x14ac:dyDescent="0.25">
      <c r="A2520" s="6" t="s">
        <v>44</v>
      </c>
      <c r="B2520" s="7" t="s">
        <v>2193</v>
      </c>
      <c r="C2520" s="7" t="s">
        <v>67</v>
      </c>
      <c r="D2520" s="8">
        <v>44336</v>
      </c>
      <c r="E2520" s="8" t="s">
        <v>0</v>
      </c>
      <c r="F2520" s="16" t="s">
        <v>2194</v>
      </c>
      <c r="G2520" s="7" t="s">
        <v>2195</v>
      </c>
      <c r="H2520" s="7" t="s">
        <v>2468</v>
      </c>
      <c r="I2520" s="7" t="s">
        <v>0</v>
      </c>
      <c r="J2520" s="7" t="s">
        <v>2470</v>
      </c>
      <c r="K2520" s="7" t="s">
        <v>47</v>
      </c>
      <c r="L2520" s="7" t="s">
        <v>239</v>
      </c>
      <c r="M2520" s="7" t="s">
        <v>0</v>
      </c>
      <c r="N2520" s="7" t="s">
        <v>2467</v>
      </c>
      <c r="O2520" s="7" t="s">
        <v>0</v>
      </c>
      <c r="P2520" s="7" t="s">
        <v>2469</v>
      </c>
      <c r="Q2520" s="7" t="s">
        <v>2471</v>
      </c>
      <c r="R2520" s="7" t="s">
        <v>135</v>
      </c>
      <c r="S2520" s="7" t="s">
        <v>0</v>
      </c>
      <c r="T2520" s="7" t="s">
        <v>54</v>
      </c>
      <c r="U2520" s="7" t="s">
        <v>136</v>
      </c>
      <c r="V2520" s="7" t="s">
        <v>102</v>
      </c>
      <c r="W2520" s="7" t="s">
        <v>57</v>
      </c>
      <c r="X2520" s="7" t="s">
        <v>103</v>
      </c>
      <c r="Y2520" s="8">
        <v>44336</v>
      </c>
      <c r="Z2520" s="8">
        <v>44561</v>
      </c>
      <c r="AA2520" s="7" t="s">
        <v>0</v>
      </c>
      <c r="AB2520" s="7" t="s">
        <v>2472</v>
      </c>
      <c r="AC2520" s="7" t="s">
        <v>79</v>
      </c>
      <c r="AD2520" s="7" t="s">
        <v>144</v>
      </c>
      <c r="AE2520" s="7" t="s">
        <v>118</v>
      </c>
      <c r="AF2520" s="7" t="s">
        <v>0</v>
      </c>
      <c r="AG2520" s="7" t="s">
        <v>0</v>
      </c>
      <c r="AH2520" s="9" t="s">
        <v>11351</v>
      </c>
      <c r="AI2520" s="9" t="s">
        <v>11351</v>
      </c>
      <c r="AJ2520" s="9">
        <v>0</v>
      </c>
      <c r="AK2520" s="7" t="s">
        <v>61</v>
      </c>
      <c r="AL2520" s="7" t="s">
        <v>61</v>
      </c>
      <c r="AM2520" s="7" t="s">
        <v>0</v>
      </c>
      <c r="AN2520" s="7" t="s">
        <v>0</v>
      </c>
      <c r="AO2520" s="7" t="s">
        <v>0</v>
      </c>
      <c r="AP2520" s="7" t="s">
        <v>0</v>
      </c>
      <c r="AQ2520" s="7" t="s">
        <v>61</v>
      </c>
      <c r="AR2520" s="7" t="s">
        <v>0</v>
      </c>
      <c r="AS2520" s="10" t="str">
        <f>HYPERLINK("https://tessa.gazprom-neft.local/edo/card/7c2686d0-ec13-416b-a364-7b85607a70cb", "https://tessa.gazprom-neft.local/edo/card/7c2686d0-ec13-416b-a364-7b85607a70cb")</f>
        <v>https://tessa.gazprom-neft.local/edo/card/7c2686d0-ec13-416b-a364-7b85607a70cb</v>
      </c>
    </row>
    <row r="2521" spans="1:45" hidden="1" x14ac:dyDescent="0.25">
      <c r="A2521" s="6" t="s">
        <v>44</v>
      </c>
      <c r="B2521" s="7" t="s">
        <v>964</v>
      </c>
      <c r="C2521" s="7" t="s">
        <v>67</v>
      </c>
      <c r="D2521" s="8">
        <v>44336</v>
      </c>
      <c r="E2521" s="8" t="s">
        <v>0</v>
      </c>
      <c r="F2521" s="16" t="s">
        <v>965</v>
      </c>
      <c r="G2521" s="7" t="s">
        <v>966</v>
      </c>
      <c r="H2521" s="7" t="s">
        <v>2484</v>
      </c>
      <c r="I2521" s="7" t="s">
        <v>0</v>
      </c>
      <c r="J2521" s="7" t="s">
        <v>2486</v>
      </c>
      <c r="K2521" s="7" t="s">
        <v>47</v>
      </c>
      <c r="L2521" s="7" t="s">
        <v>493</v>
      </c>
      <c r="M2521" s="7" t="s">
        <v>0</v>
      </c>
      <c r="N2521" s="7" t="s">
        <v>2482</v>
      </c>
      <c r="O2521" s="7" t="s">
        <v>2483</v>
      </c>
      <c r="P2521" s="7" t="s">
        <v>2485</v>
      </c>
      <c r="Q2521" s="7" t="s">
        <v>2487</v>
      </c>
      <c r="R2521" s="7" t="s">
        <v>293</v>
      </c>
      <c r="S2521" s="7" t="s">
        <v>293</v>
      </c>
      <c r="T2521" s="7" t="s">
        <v>54</v>
      </c>
      <c r="U2521" s="7" t="s">
        <v>1683</v>
      </c>
      <c r="V2521" s="7" t="s">
        <v>295</v>
      </c>
      <c r="W2521" s="7" t="s">
        <v>57</v>
      </c>
      <c r="X2521" s="7" t="s">
        <v>58</v>
      </c>
      <c r="Y2521" s="8">
        <v>44329</v>
      </c>
      <c r="Z2521" s="8" t="s">
        <v>0</v>
      </c>
      <c r="AA2521" s="7" t="s">
        <v>1269</v>
      </c>
      <c r="AB2521" s="7" t="s">
        <v>500</v>
      </c>
      <c r="AC2521" s="7" t="s">
        <v>79</v>
      </c>
      <c r="AD2521" s="7" t="s">
        <v>80</v>
      </c>
      <c r="AE2521" s="7" t="s">
        <v>472</v>
      </c>
      <c r="AF2521" s="7" t="s">
        <v>2488</v>
      </c>
      <c r="AG2521" s="7" t="s">
        <v>0</v>
      </c>
      <c r="AH2521" s="9" t="s">
        <v>11352</v>
      </c>
      <c r="AI2521" s="9" t="s">
        <v>11353</v>
      </c>
      <c r="AJ2521" s="9" t="s">
        <v>11354</v>
      </c>
      <c r="AK2521" s="7" t="s">
        <v>61</v>
      </c>
      <c r="AL2521" s="7" t="s">
        <v>61</v>
      </c>
      <c r="AM2521" s="7" t="s">
        <v>0</v>
      </c>
      <c r="AN2521" s="7" t="s">
        <v>0</v>
      </c>
      <c r="AO2521" s="7" t="s">
        <v>0</v>
      </c>
      <c r="AP2521" s="7" t="s">
        <v>0</v>
      </c>
      <c r="AQ2521" s="7" t="s">
        <v>61</v>
      </c>
      <c r="AR2521" s="7" t="s">
        <v>0</v>
      </c>
      <c r="AS2521" s="10" t="str">
        <f>HYPERLINK("https://tessa.gazprom-neft.local/edo/card/680d785d-cadd-4ff6-8655-eba1d3a25acb", "https://tessa.gazprom-neft.local/edo/card/680d785d-cadd-4ff6-8655-eba1d3a25acb")</f>
        <v>https://tessa.gazprom-neft.local/edo/card/680d785d-cadd-4ff6-8655-eba1d3a25acb</v>
      </c>
    </row>
    <row r="2522" spans="1:45" hidden="1" x14ac:dyDescent="0.25">
      <c r="A2522" s="6" t="s">
        <v>44</v>
      </c>
      <c r="B2522" s="7" t="s">
        <v>2091</v>
      </c>
      <c r="C2522" s="7" t="s">
        <v>46</v>
      </c>
      <c r="D2522" s="8">
        <v>44336</v>
      </c>
      <c r="E2522" s="8" t="s">
        <v>0</v>
      </c>
      <c r="F2522" s="16" t="s">
        <v>2092</v>
      </c>
      <c r="G2522" s="7" t="s">
        <v>2093</v>
      </c>
      <c r="H2522" s="7" t="s">
        <v>0</v>
      </c>
      <c r="I2522" s="7" t="s">
        <v>2647</v>
      </c>
      <c r="J2522" s="7" t="s">
        <v>2647</v>
      </c>
      <c r="K2522" s="7" t="s">
        <v>85</v>
      </c>
      <c r="L2522" s="7" t="s">
        <v>96</v>
      </c>
      <c r="M2522" s="7" t="s">
        <v>2645</v>
      </c>
      <c r="N2522" s="7" t="s">
        <v>2646</v>
      </c>
      <c r="O2522" s="7" t="s">
        <v>0</v>
      </c>
      <c r="P2522" s="7" t="s">
        <v>2645</v>
      </c>
      <c r="Q2522" s="7" t="s">
        <v>2648</v>
      </c>
      <c r="R2522" s="7" t="s">
        <v>1610</v>
      </c>
      <c r="S2522" s="7" t="s">
        <v>1610</v>
      </c>
      <c r="T2522" s="7" t="s">
        <v>54</v>
      </c>
      <c r="U2522" s="7" t="s">
        <v>101</v>
      </c>
      <c r="V2522" s="7" t="s">
        <v>137</v>
      </c>
      <c r="W2522" s="7" t="s">
        <v>57</v>
      </c>
      <c r="X2522" s="7" t="s">
        <v>103</v>
      </c>
      <c r="Y2522" s="8">
        <v>44336</v>
      </c>
      <c r="Z2522" s="8">
        <v>44712</v>
      </c>
      <c r="AA2522" s="7" t="s">
        <v>0</v>
      </c>
      <c r="AB2522" s="7" t="s">
        <v>1270</v>
      </c>
      <c r="AC2522" s="7" t="s">
        <v>79</v>
      </c>
      <c r="AD2522" s="7" t="s">
        <v>80</v>
      </c>
      <c r="AE2522" s="7" t="s">
        <v>82</v>
      </c>
      <c r="AF2522" s="7" t="s">
        <v>0</v>
      </c>
      <c r="AG2522" s="7" t="s">
        <v>0</v>
      </c>
      <c r="AH2522" s="9" t="s">
        <v>11413</v>
      </c>
      <c r="AI2522" s="9" t="s">
        <v>11414</v>
      </c>
      <c r="AJ2522" s="9" t="s">
        <v>11415</v>
      </c>
      <c r="AK2522" s="7" t="s">
        <v>61</v>
      </c>
      <c r="AL2522" s="7" t="s">
        <v>61</v>
      </c>
      <c r="AM2522" s="7" t="s">
        <v>0</v>
      </c>
      <c r="AN2522" s="7" t="s">
        <v>0</v>
      </c>
      <c r="AO2522" s="7" t="s">
        <v>0</v>
      </c>
      <c r="AP2522" s="7" t="s">
        <v>0</v>
      </c>
      <c r="AQ2522" s="7" t="s">
        <v>61</v>
      </c>
      <c r="AR2522" s="7" t="s">
        <v>0</v>
      </c>
      <c r="AS2522" s="10" t="str">
        <f>HYPERLINK("https://tessa.gazprom-neft.local/edo/card/bcbb3681-9eab-4825-bbb9-e839942d3428", "https://tessa.gazprom-neft.local/edo/card/bcbb3681-9eab-4825-bbb9-e839942d3428")</f>
        <v>https://tessa.gazprom-neft.local/edo/card/bcbb3681-9eab-4825-bbb9-e839942d3428</v>
      </c>
    </row>
    <row r="2523" spans="1:45" x14ac:dyDescent="0.25">
      <c r="A2523" s="6" t="s">
        <v>44</v>
      </c>
      <c r="B2523" s="7" t="s">
        <v>245</v>
      </c>
      <c r="C2523" s="7" t="s">
        <v>67</v>
      </c>
      <c r="D2523" s="8">
        <v>44334</v>
      </c>
      <c r="E2523" s="8" t="s">
        <v>0</v>
      </c>
      <c r="F2523" s="16" t="s">
        <v>246</v>
      </c>
      <c r="G2523" s="7" t="s">
        <v>247</v>
      </c>
      <c r="H2523" s="7" t="s">
        <v>240</v>
      </c>
      <c r="I2523" s="7" t="s">
        <v>0</v>
      </c>
      <c r="J2523" s="7" t="s">
        <v>2658</v>
      </c>
      <c r="K2523" s="7" t="s">
        <v>47</v>
      </c>
      <c r="L2523" s="7" t="s">
        <v>48</v>
      </c>
      <c r="M2523" s="7" t="s">
        <v>0</v>
      </c>
      <c r="N2523" s="7" t="s">
        <v>2655</v>
      </c>
      <c r="O2523" s="7" t="s">
        <v>2656</v>
      </c>
      <c r="P2523" s="7" t="s">
        <v>2657</v>
      </c>
      <c r="Q2523" s="7" t="s">
        <v>2659</v>
      </c>
      <c r="R2523" s="7" t="s">
        <v>244</v>
      </c>
      <c r="S2523" s="7" t="s">
        <v>0</v>
      </c>
      <c r="T2523" s="7" t="s">
        <v>54</v>
      </c>
      <c r="U2523" s="7" t="s">
        <v>55</v>
      </c>
      <c r="V2523" s="7" t="s">
        <v>56</v>
      </c>
      <c r="W2523" s="7" t="s">
        <v>57</v>
      </c>
      <c r="X2523" s="7" t="s">
        <v>103</v>
      </c>
      <c r="Y2523" s="8">
        <v>44334</v>
      </c>
      <c r="Z2523" s="8">
        <v>44561</v>
      </c>
      <c r="AA2523" s="7" t="s">
        <v>1251</v>
      </c>
      <c r="AB2523" s="7" t="s">
        <v>248</v>
      </c>
      <c r="AC2523" s="7" t="s">
        <v>79</v>
      </c>
      <c r="AD2523" s="7" t="s">
        <v>144</v>
      </c>
      <c r="AE2523" s="7" t="s">
        <v>82</v>
      </c>
      <c r="AF2523" s="7" t="s">
        <v>0</v>
      </c>
      <c r="AG2523" s="7" t="s">
        <v>0</v>
      </c>
      <c r="AH2523" s="9" t="s">
        <v>11419</v>
      </c>
      <c r="AI2523" s="9" t="s">
        <v>11420</v>
      </c>
      <c r="AJ2523" s="9" t="s">
        <v>11421</v>
      </c>
      <c r="AK2523" s="7" t="s">
        <v>61</v>
      </c>
      <c r="AL2523" s="7" t="s">
        <v>61</v>
      </c>
      <c r="AM2523" s="7" t="s">
        <v>0</v>
      </c>
      <c r="AN2523" s="7" t="s">
        <v>0</v>
      </c>
      <c r="AO2523" s="7" t="s">
        <v>0</v>
      </c>
      <c r="AP2523" s="7" t="s">
        <v>0</v>
      </c>
      <c r="AQ2523" s="7" t="s">
        <v>61</v>
      </c>
      <c r="AR2523" s="7" t="s">
        <v>0</v>
      </c>
      <c r="AS2523" s="10" t="str">
        <f>HYPERLINK("https://tessa.gazprom-neft.local/edo/card/9f3b4e12-0150-40a8-a29a-37a371849b0b", "https://tessa.gazprom-neft.local/edo/card/9f3b4e12-0150-40a8-a29a-37a371849b0b")</f>
        <v>https://tessa.gazprom-neft.local/edo/card/9f3b4e12-0150-40a8-a29a-37a371849b0b</v>
      </c>
    </row>
    <row r="2524" spans="1:45" hidden="1" x14ac:dyDescent="0.25">
      <c r="A2524" s="6" t="s">
        <v>44</v>
      </c>
      <c r="B2524" s="7" t="s">
        <v>2695</v>
      </c>
      <c r="C2524" s="7" t="s">
        <v>46</v>
      </c>
      <c r="D2524" s="8">
        <v>44334</v>
      </c>
      <c r="E2524" s="8" t="s">
        <v>0</v>
      </c>
      <c r="F2524" s="16" t="s">
        <v>2696</v>
      </c>
      <c r="G2524" s="7" t="s">
        <v>2697</v>
      </c>
      <c r="H2524" s="7" t="s">
        <v>0</v>
      </c>
      <c r="I2524" s="7" t="s">
        <v>2693</v>
      </c>
      <c r="J2524" s="7" t="s">
        <v>2693</v>
      </c>
      <c r="K2524" s="7" t="s">
        <v>47</v>
      </c>
      <c r="L2524" s="7" t="s">
        <v>96</v>
      </c>
      <c r="M2524" s="7" t="s">
        <v>0</v>
      </c>
      <c r="N2524" s="7" t="s">
        <v>2692</v>
      </c>
      <c r="O2524" s="7" t="s">
        <v>0</v>
      </c>
      <c r="P2524" s="7" t="s">
        <v>2694</v>
      </c>
      <c r="Q2524" s="7" t="s">
        <v>2694</v>
      </c>
      <c r="R2524" s="7" t="s">
        <v>540</v>
      </c>
      <c r="S2524" s="7" t="s">
        <v>0</v>
      </c>
      <c r="T2524" s="7" t="s">
        <v>54</v>
      </c>
      <c r="U2524" s="7" t="s">
        <v>541</v>
      </c>
      <c r="V2524" s="7" t="s">
        <v>56</v>
      </c>
      <c r="W2524" s="7" t="s">
        <v>57</v>
      </c>
      <c r="X2524" s="7" t="s">
        <v>103</v>
      </c>
      <c r="Y2524" s="8">
        <v>44334</v>
      </c>
      <c r="Z2524" s="8">
        <v>44561</v>
      </c>
      <c r="AA2524" s="7" t="s">
        <v>1251</v>
      </c>
      <c r="AB2524" s="7" t="s">
        <v>545</v>
      </c>
      <c r="AC2524" s="7" t="s">
        <v>79</v>
      </c>
      <c r="AD2524" s="7" t="s">
        <v>144</v>
      </c>
      <c r="AE2524" s="7" t="s">
        <v>82</v>
      </c>
      <c r="AF2524" s="7" t="s">
        <v>0</v>
      </c>
      <c r="AG2524" s="7" t="s">
        <v>0</v>
      </c>
      <c r="AH2524" s="9" t="s">
        <v>11431</v>
      </c>
      <c r="AI2524" s="9" t="s">
        <v>11432</v>
      </c>
      <c r="AJ2524" s="9" t="s">
        <v>11433</v>
      </c>
      <c r="AK2524" s="7" t="s">
        <v>61</v>
      </c>
      <c r="AL2524" s="7" t="s">
        <v>61</v>
      </c>
      <c r="AM2524" s="7" t="s">
        <v>0</v>
      </c>
      <c r="AN2524" s="7" t="s">
        <v>0</v>
      </c>
      <c r="AO2524" s="7" t="s">
        <v>0</v>
      </c>
      <c r="AP2524" s="7" t="s">
        <v>0</v>
      </c>
      <c r="AQ2524" s="7" t="s">
        <v>61</v>
      </c>
      <c r="AR2524" s="7" t="s">
        <v>0</v>
      </c>
      <c r="AS2524" s="10" t="str">
        <f>HYPERLINK("https://tessa.gazprom-neft.local/edo/card/91aa39c4-1731-4cbf-89e7-2d97c1011993", "https://tessa.gazprom-neft.local/edo/card/91aa39c4-1731-4cbf-89e7-2d97c1011993")</f>
        <v>https://tessa.gazprom-neft.local/edo/card/91aa39c4-1731-4cbf-89e7-2d97c1011993</v>
      </c>
    </row>
    <row r="2525" spans="1:45" hidden="1" x14ac:dyDescent="0.25">
      <c r="A2525" s="6" t="s">
        <v>44</v>
      </c>
      <c r="B2525" s="7" t="s">
        <v>245</v>
      </c>
      <c r="C2525" s="7" t="s">
        <v>67</v>
      </c>
      <c r="D2525" s="8">
        <v>44334</v>
      </c>
      <c r="E2525" s="8" t="s">
        <v>0</v>
      </c>
      <c r="F2525" s="16" t="s">
        <v>246</v>
      </c>
      <c r="G2525" s="7" t="s">
        <v>247</v>
      </c>
      <c r="H2525" s="7" t="s">
        <v>1105</v>
      </c>
      <c r="I2525" s="7" t="s">
        <v>0</v>
      </c>
      <c r="J2525" s="7" t="s">
        <v>3901</v>
      </c>
      <c r="K2525" s="7" t="s">
        <v>47</v>
      </c>
      <c r="L2525" s="7" t="s">
        <v>239</v>
      </c>
      <c r="M2525" s="7" t="s">
        <v>0</v>
      </c>
      <c r="N2525" s="7" t="s">
        <v>3900</v>
      </c>
      <c r="O2525" s="7" t="s">
        <v>0</v>
      </c>
      <c r="P2525" s="7" t="s">
        <v>1106</v>
      </c>
      <c r="Q2525" s="7" t="s">
        <v>3902</v>
      </c>
      <c r="R2525" s="7" t="s">
        <v>273</v>
      </c>
      <c r="S2525" s="7" t="s">
        <v>0</v>
      </c>
      <c r="T2525" s="7" t="s">
        <v>54</v>
      </c>
      <c r="U2525" s="7" t="s">
        <v>3903</v>
      </c>
      <c r="V2525" s="7" t="s">
        <v>917</v>
      </c>
      <c r="W2525" s="7" t="s">
        <v>57</v>
      </c>
      <c r="X2525" s="7" t="s">
        <v>103</v>
      </c>
      <c r="Y2525" s="8">
        <v>44348</v>
      </c>
      <c r="Z2525" s="8">
        <v>44377</v>
      </c>
      <c r="AA2525" s="7" t="s">
        <v>309</v>
      </c>
      <c r="AB2525" s="7" t="s">
        <v>328</v>
      </c>
      <c r="AC2525" s="7" t="s">
        <v>278</v>
      </c>
      <c r="AD2525" s="7" t="s">
        <v>80</v>
      </c>
      <c r="AE2525" s="7" t="s">
        <v>82</v>
      </c>
      <c r="AF2525" s="7" t="s">
        <v>0</v>
      </c>
      <c r="AG2525" s="7" t="s">
        <v>0</v>
      </c>
      <c r="AH2525" s="9" t="s">
        <v>11856</v>
      </c>
      <c r="AI2525" s="9" t="s">
        <v>11857</v>
      </c>
      <c r="AJ2525" s="9" t="s">
        <v>11858</v>
      </c>
      <c r="AK2525" s="7" t="s">
        <v>61</v>
      </c>
      <c r="AL2525" s="7" t="s">
        <v>61</v>
      </c>
      <c r="AM2525" s="7" t="s">
        <v>0</v>
      </c>
      <c r="AN2525" s="7" t="s">
        <v>0</v>
      </c>
      <c r="AO2525" s="7" t="s">
        <v>0</v>
      </c>
      <c r="AP2525" s="7" t="s">
        <v>0</v>
      </c>
      <c r="AQ2525" s="7" t="s">
        <v>61</v>
      </c>
      <c r="AR2525" s="7" t="s">
        <v>0</v>
      </c>
      <c r="AS2525" s="10" t="str">
        <f>HYPERLINK("https://tessa.gazprom-neft.local/edo/card/deb00467-e0f1-4771-9902-f748bc2177f3", "https://tessa.gazprom-neft.local/edo/card/deb00467-e0f1-4771-9902-f748bc2177f3")</f>
        <v>https://tessa.gazprom-neft.local/edo/card/deb00467-e0f1-4771-9902-f748bc2177f3</v>
      </c>
    </row>
    <row r="2526" spans="1:45" x14ac:dyDescent="0.25">
      <c r="A2526" s="6" t="s">
        <v>44</v>
      </c>
      <c r="B2526" s="7" t="s">
        <v>245</v>
      </c>
      <c r="C2526" s="7" t="s">
        <v>492</v>
      </c>
      <c r="D2526" s="8">
        <v>44334</v>
      </c>
      <c r="E2526" s="8" t="s">
        <v>0</v>
      </c>
      <c r="F2526" s="16" t="s">
        <v>246</v>
      </c>
      <c r="G2526" s="7" t="s">
        <v>247</v>
      </c>
      <c r="H2526" s="7" t="s">
        <v>1105</v>
      </c>
      <c r="I2526" s="7" t="s">
        <v>0</v>
      </c>
      <c r="J2526" s="7" t="s">
        <v>0</v>
      </c>
      <c r="K2526" s="7" t="s">
        <v>47</v>
      </c>
      <c r="L2526" s="7" t="s">
        <v>48</v>
      </c>
      <c r="M2526" s="7" t="s">
        <v>0</v>
      </c>
      <c r="N2526" s="7" t="s">
        <v>6631</v>
      </c>
      <c r="O2526" s="7" t="s">
        <v>0</v>
      </c>
      <c r="P2526" s="7" t="s">
        <v>50</v>
      </c>
      <c r="Q2526" s="7" t="s">
        <v>50</v>
      </c>
      <c r="R2526" s="7" t="s">
        <v>1083</v>
      </c>
      <c r="S2526" s="7" t="s">
        <v>6625</v>
      </c>
      <c r="T2526" s="7" t="s">
        <v>54</v>
      </c>
      <c r="U2526" s="7" t="s">
        <v>274</v>
      </c>
      <c r="V2526" s="7" t="s">
        <v>917</v>
      </c>
      <c r="W2526" s="7" t="s">
        <v>57</v>
      </c>
      <c r="X2526" s="7" t="s">
        <v>223</v>
      </c>
      <c r="Y2526" s="8">
        <v>44334</v>
      </c>
      <c r="Z2526" s="8" t="s">
        <v>0</v>
      </c>
      <c r="AA2526" s="7" t="s">
        <v>309</v>
      </c>
      <c r="AB2526" s="7" t="s">
        <v>328</v>
      </c>
      <c r="AC2526" s="7" t="s">
        <v>65</v>
      </c>
      <c r="AD2526" s="7" t="s">
        <v>0</v>
      </c>
      <c r="AE2526" s="7" t="s">
        <v>0</v>
      </c>
      <c r="AF2526" s="7" t="s">
        <v>0</v>
      </c>
      <c r="AG2526" s="7" t="s">
        <v>0</v>
      </c>
      <c r="AH2526" s="9" t="s">
        <v>0</v>
      </c>
      <c r="AI2526" s="9" t="s">
        <v>0</v>
      </c>
      <c r="AJ2526" s="9" t="s">
        <v>0</v>
      </c>
      <c r="AK2526" s="7" t="s">
        <v>61</v>
      </c>
      <c r="AL2526" s="7" t="s">
        <v>61</v>
      </c>
      <c r="AM2526" s="7" t="s">
        <v>0</v>
      </c>
      <c r="AN2526" s="7" t="s">
        <v>0</v>
      </c>
      <c r="AO2526" s="7" t="s">
        <v>0</v>
      </c>
      <c r="AP2526" s="7" t="s">
        <v>0</v>
      </c>
      <c r="AQ2526" s="7" t="s">
        <v>61</v>
      </c>
      <c r="AR2526" s="7" t="s">
        <v>0</v>
      </c>
      <c r="AS2526" s="10" t="str">
        <f>HYPERLINK("https://tessa.gazprom-neft.local/edo/card/0b8b2150-0ace-4036-84ac-1f3010d5f8a3", "https://tessa.gazprom-neft.local/edo/card/0b8b2150-0ace-4036-84ac-1f3010d5f8a3")</f>
        <v>https://tessa.gazprom-neft.local/edo/card/0b8b2150-0ace-4036-84ac-1f3010d5f8a3</v>
      </c>
    </row>
    <row r="2527" spans="1:45" hidden="1" x14ac:dyDescent="0.25">
      <c r="A2527" s="6" t="s">
        <v>44</v>
      </c>
      <c r="B2527" s="7" t="s">
        <v>245</v>
      </c>
      <c r="C2527" s="7" t="s">
        <v>67</v>
      </c>
      <c r="D2527" s="8">
        <v>44333</v>
      </c>
      <c r="E2527" s="8" t="s">
        <v>0</v>
      </c>
      <c r="F2527" s="16" t="s">
        <v>246</v>
      </c>
      <c r="G2527" s="7" t="s">
        <v>247</v>
      </c>
      <c r="H2527" s="7" t="s">
        <v>0</v>
      </c>
      <c r="I2527" s="7" t="s">
        <v>1105</v>
      </c>
      <c r="J2527" s="7" t="s">
        <v>1105</v>
      </c>
      <c r="K2527" s="7" t="s">
        <v>47</v>
      </c>
      <c r="L2527" s="7" t="s">
        <v>96</v>
      </c>
      <c r="M2527" s="7" t="s">
        <v>0</v>
      </c>
      <c r="N2527" s="7" t="s">
        <v>1104</v>
      </c>
      <c r="O2527" s="7" t="s">
        <v>0</v>
      </c>
      <c r="P2527" s="7" t="s">
        <v>1106</v>
      </c>
      <c r="Q2527" s="7" t="s">
        <v>947</v>
      </c>
      <c r="R2527" s="7" t="s">
        <v>273</v>
      </c>
      <c r="S2527" s="7" t="s">
        <v>1107</v>
      </c>
      <c r="T2527" s="7" t="s">
        <v>54</v>
      </c>
      <c r="U2527" s="7" t="s">
        <v>274</v>
      </c>
      <c r="V2527" s="7" t="s">
        <v>917</v>
      </c>
      <c r="W2527" s="7" t="s">
        <v>57</v>
      </c>
      <c r="X2527" s="7" t="s">
        <v>103</v>
      </c>
      <c r="Y2527" s="8">
        <v>44333</v>
      </c>
      <c r="Z2527" s="8">
        <v>45291</v>
      </c>
      <c r="AA2527" s="7" t="s">
        <v>309</v>
      </c>
      <c r="AB2527" s="7" t="s">
        <v>328</v>
      </c>
      <c r="AC2527" s="7" t="s">
        <v>278</v>
      </c>
      <c r="AD2527" s="7" t="s">
        <v>144</v>
      </c>
      <c r="AE2527" s="7" t="s">
        <v>82</v>
      </c>
      <c r="AF2527" s="7" t="s">
        <v>0</v>
      </c>
      <c r="AG2527" s="7" t="s">
        <v>0</v>
      </c>
      <c r="AH2527" s="9" t="s">
        <v>10923</v>
      </c>
      <c r="AI2527" s="9" t="s">
        <v>10924</v>
      </c>
      <c r="AJ2527" s="9" t="s">
        <v>10925</v>
      </c>
      <c r="AK2527" s="7" t="s">
        <v>61</v>
      </c>
      <c r="AL2527" s="7" t="s">
        <v>61</v>
      </c>
      <c r="AM2527" s="7" t="s">
        <v>0</v>
      </c>
      <c r="AN2527" s="7" t="s">
        <v>0</v>
      </c>
      <c r="AO2527" s="7" t="s">
        <v>0</v>
      </c>
      <c r="AP2527" s="7" t="s">
        <v>0</v>
      </c>
      <c r="AQ2527" s="7" t="s">
        <v>61</v>
      </c>
      <c r="AR2527" s="7" t="s">
        <v>0</v>
      </c>
      <c r="AS2527" s="10" t="str">
        <f>HYPERLINK("https://tessa.gazprom-neft.local/edo/card/c9f93401-229f-49aa-8079-53dc87834a1d", "https://tessa.gazprom-neft.local/edo/card/c9f93401-229f-49aa-8079-53dc87834a1d")</f>
        <v>https://tessa.gazprom-neft.local/edo/card/c9f93401-229f-49aa-8079-53dc87834a1d</v>
      </c>
    </row>
    <row r="2528" spans="1:45" hidden="1" x14ac:dyDescent="0.25">
      <c r="A2528" s="6" t="s">
        <v>44</v>
      </c>
      <c r="B2528" s="7" t="s">
        <v>964</v>
      </c>
      <c r="C2528" s="7" t="s">
        <v>67</v>
      </c>
      <c r="D2528" s="8">
        <v>44333</v>
      </c>
      <c r="E2528" s="8" t="s">
        <v>0</v>
      </c>
      <c r="F2528" s="16" t="s">
        <v>965</v>
      </c>
      <c r="G2528" s="7" t="s">
        <v>966</v>
      </c>
      <c r="H2528" s="7" t="s">
        <v>2587</v>
      </c>
      <c r="I2528" s="7" t="s">
        <v>0</v>
      </c>
      <c r="J2528" s="7" t="s">
        <v>2589</v>
      </c>
      <c r="K2528" s="7" t="s">
        <v>47</v>
      </c>
      <c r="L2528" s="7" t="s">
        <v>493</v>
      </c>
      <c r="M2528" s="7" t="s">
        <v>0</v>
      </c>
      <c r="N2528" s="7" t="s">
        <v>2586</v>
      </c>
      <c r="O2528" s="7" t="s">
        <v>0</v>
      </c>
      <c r="P2528" s="7" t="s">
        <v>2588</v>
      </c>
      <c r="Q2528" s="7" t="s">
        <v>2590</v>
      </c>
      <c r="R2528" s="7" t="s">
        <v>293</v>
      </c>
      <c r="S2528" s="7" t="s">
        <v>293</v>
      </c>
      <c r="T2528" s="7" t="s">
        <v>54</v>
      </c>
      <c r="U2528" s="7" t="s">
        <v>1683</v>
      </c>
      <c r="V2528" s="7" t="s">
        <v>295</v>
      </c>
      <c r="W2528" s="7" t="s">
        <v>57</v>
      </c>
      <c r="X2528" s="7" t="s">
        <v>58</v>
      </c>
      <c r="Y2528" s="8">
        <v>44333</v>
      </c>
      <c r="Z2528" s="8" t="s">
        <v>0</v>
      </c>
      <c r="AA2528" s="7" t="s">
        <v>1269</v>
      </c>
      <c r="AB2528" s="7" t="s">
        <v>366</v>
      </c>
      <c r="AC2528" s="7" t="s">
        <v>278</v>
      </c>
      <c r="AD2528" s="7" t="s">
        <v>367</v>
      </c>
      <c r="AE2528" s="7" t="s">
        <v>82</v>
      </c>
      <c r="AF2528" s="7" t="s">
        <v>0</v>
      </c>
      <c r="AG2528" s="7" t="s">
        <v>0</v>
      </c>
      <c r="AH2528" s="9" t="s">
        <v>11396</v>
      </c>
      <c r="AI2528" s="9" t="s">
        <v>11397</v>
      </c>
      <c r="AJ2528" s="9" t="s">
        <v>11398</v>
      </c>
      <c r="AK2528" s="7" t="s">
        <v>61</v>
      </c>
      <c r="AL2528" s="7" t="s">
        <v>61</v>
      </c>
      <c r="AM2528" s="7" t="s">
        <v>0</v>
      </c>
      <c r="AN2528" s="7" t="s">
        <v>0</v>
      </c>
      <c r="AO2528" s="7" t="s">
        <v>0</v>
      </c>
      <c r="AP2528" s="7" t="s">
        <v>0</v>
      </c>
      <c r="AQ2528" s="7" t="s">
        <v>61</v>
      </c>
      <c r="AR2528" s="7" t="s">
        <v>0</v>
      </c>
      <c r="AS2528" s="10" t="str">
        <f>HYPERLINK("https://tessa.gazprom-neft.local/edo/card/453d9058-4d03-4cb5-9040-814d41f657e5", "https://tessa.gazprom-neft.local/edo/card/453d9058-4d03-4cb5-9040-814d41f657e5")</f>
        <v>https://tessa.gazprom-neft.local/edo/card/453d9058-4d03-4cb5-9040-814d41f657e5</v>
      </c>
    </row>
    <row r="2529" spans="1:45" hidden="1" x14ac:dyDescent="0.25">
      <c r="A2529" s="6" t="s">
        <v>44</v>
      </c>
      <c r="B2529" s="7" t="s">
        <v>661</v>
      </c>
      <c r="C2529" s="7" t="s">
        <v>67</v>
      </c>
      <c r="D2529" s="8">
        <v>44333</v>
      </c>
      <c r="E2529" s="8" t="s">
        <v>0</v>
      </c>
      <c r="F2529" s="16" t="s">
        <v>662</v>
      </c>
      <c r="G2529" s="7" t="s">
        <v>663</v>
      </c>
      <c r="H2529" s="7" t="s">
        <v>764</v>
      </c>
      <c r="I2529" s="7" t="s">
        <v>0</v>
      </c>
      <c r="J2529" s="7" t="s">
        <v>2611</v>
      </c>
      <c r="K2529" s="7" t="s">
        <v>47</v>
      </c>
      <c r="L2529" s="7" t="s">
        <v>239</v>
      </c>
      <c r="M2529" s="7" t="s">
        <v>0</v>
      </c>
      <c r="N2529" s="7" t="s">
        <v>2609</v>
      </c>
      <c r="O2529" s="7" t="s">
        <v>0</v>
      </c>
      <c r="P2529" s="7" t="s">
        <v>2610</v>
      </c>
      <c r="Q2529" s="7" t="s">
        <v>2610</v>
      </c>
      <c r="R2529" s="7" t="s">
        <v>659</v>
      </c>
      <c r="S2529" s="7" t="s">
        <v>2612</v>
      </c>
      <c r="T2529" s="7" t="s">
        <v>54</v>
      </c>
      <c r="U2529" s="7" t="s">
        <v>283</v>
      </c>
      <c r="V2529" s="7" t="s">
        <v>137</v>
      </c>
      <c r="W2529" s="7" t="s">
        <v>57</v>
      </c>
      <c r="X2529" s="7" t="s">
        <v>103</v>
      </c>
      <c r="Y2529" s="8">
        <v>44470</v>
      </c>
      <c r="Z2529" s="8">
        <v>44530</v>
      </c>
      <c r="AA2529" s="7" t="s">
        <v>0</v>
      </c>
      <c r="AB2529" s="7" t="s">
        <v>2425</v>
      </c>
      <c r="AC2529" s="7" t="s">
        <v>79</v>
      </c>
      <c r="AD2529" s="7" t="s">
        <v>514</v>
      </c>
      <c r="AE2529" s="7" t="s">
        <v>82</v>
      </c>
      <c r="AF2529" s="7" t="s">
        <v>0</v>
      </c>
      <c r="AG2529" s="7" t="s">
        <v>0</v>
      </c>
      <c r="AH2529" s="9" t="s">
        <v>11405</v>
      </c>
      <c r="AI2529" s="9" t="s">
        <v>11406</v>
      </c>
      <c r="AJ2529" s="9" t="s">
        <v>11407</v>
      </c>
      <c r="AK2529" s="7" t="s">
        <v>61</v>
      </c>
      <c r="AL2529" s="7" t="s">
        <v>61</v>
      </c>
      <c r="AM2529" s="7" t="s">
        <v>0</v>
      </c>
      <c r="AN2529" s="7" t="s">
        <v>0</v>
      </c>
      <c r="AO2529" s="7" t="s">
        <v>0</v>
      </c>
      <c r="AP2529" s="7" t="s">
        <v>0</v>
      </c>
      <c r="AQ2529" s="7" t="s">
        <v>61</v>
      </c>
      <c r="AR2529" s="7" t="s">
        <v>0</v>
      </c>
      <c r="AS2529" s="10" t="str">
        <f>HYPERLINK("https://tessa.gazprom-neft.local/edo/card/fa185012-b99c-44d5-88f7-1519720b4b7f", "https://tessa.gazprom-neft.local/edo/card/fa185012-b99c-44d5-88f7-1519720b4b7f")</f>
        <v>https://tessa.gazprom-neft.local/edo/card/fa185012-b99c-44d5-88f7-1519720b4b7f</v>
      </c>
    </row>
    <row r="2530" spans="1:45" x14ac:dyDescent="0.25">
      <c r="A2530" s="6" t="s">
        <v>44</v>
      </c>
      <c r="B2530" s="7" t="s">
        <v>2543</v>
      </c>
      <c r="C2530" s="7" t="s">
        <v>67</v>
      </c>
      <c r="D2530" s="8">
        <v>44330</v>
      </c>
      <c r="E2530" s="8" t="s">
        <v>0</v>
      </c>
      <c r="F2530" s="16" t="s">
        <v>2544</v>
      </c>
      <c r="G2530" s="7" t="s">
        <v>2545</v>
      </c>
      <c r="H2530" s="7" t="s">
        <v>2539</v>
      </c>
      <c r="I2530" s="7" t="s">
        <v>0</v>
      </c>
      <c r="J2530" s="7" t="s">
        <v>2541</v>
      </c>
      <c r="K2530" s="7" t="s">
        <v>47</v>
      </c>
      <c r="L2530" s="7" t="s">
        <v>48</v>
      </c>
      <c r="M2530" s="7" t="s">
        <v>0</v>
      </c>
      <c r="N2530" s="7" t="s">
        <v>2537</v>
      </c>
      <c r="O2530" s="7" t="s">
        <v>2538</v>
      </c>
      <c r="P2530" s="7" t="s">
        <v>2540</v>
      </c>
      <c r="Q2530" s="7" t="s">
        <v>2542</v>
      </c>
      <c r="R2530" s="7" t="s">
        <v>2424</v>
      </c>
      <c r="S2530" s="7" t="s">
        <v>0</v>
      </c>
      <c r="T2530" s="7" t="s">
        <v>54</v>
      </c>
      <c r="U2530" s="7" t="s">
        <v>167</v>
      </c>
      <c r="V2530" s="7" t="s">
        <v>137</v>
      </c>
      <c r="W2530" s="7" t="s">
        <v>57</v>
      </c>
      <c r="X2530" s="7" t="s">
        <v>103</v>
      </c>
      <c r="Y2530" s="8">
        <v>44330</v>
      </c>
      <c r="Z2530" s="8">
        <v>44561</v>
      </c>
      <c r="AA2530" s="7" t="s">
        <v>0</v>
      </c>
      <c r="AB2530" s="7" t="s">
        <v>2546</v>
      </c>
      <c r="AC2530" s="7" t="s">
        <v>65</v>
      </c>
      <c r="AD2530" s="7" t="s">
        <v>0</v>
      </c>
      <c r="AE2530" s="7" t="s">
        <v>0</v>
      </c>
      <c r="AF2530" s="7" t="s">
        <v>0</v>
      </c>
      <c r="AG2530" s="7" t="s">
        <v>0</v>
      </c>
      <c r="AH2530" s="9" t="s">
        <v>0</v>
      </c>
      <c r="AI2530" s="9" t="s">
        <v>0</v>
      </c>
      <c r="AJ2530" s="9" t="s">
        <v>0</v>
      </c>
      <c r="AK2530" s="7" t="s">
        <v>61</v>
      </c>
      <c r="AL2530" s="7" t="s">
        <v>61</v>
      </c>
      <c r="AM2530" s="7" t="s">
        <v>0</v>
      </c>
      <c r="AN2530" s="7" t="s">
        <v>0</v>
      </c>
      <c r="AO2530" s="7" t="s">
        <v>0</v>
      </c>
      <c r="AP2530" s="7" t="s">
        <v>0</v>
      </c>
      <c r="AQ2530" s="7" t="s">
        <v>61</v>
      </c>
      <c r="AR2530" s="7" t="s">
        <v>0</v>
      </c>
      <c r="AS2530" s="10" t="str">
        <f>HYPERLINK("https://tessa.gazprom-neft.local/edo/card/5a9d87e8-d9c3-4773-a5ee-9649bc6215b4", "https://tessa.gazprom-neft.local/edo/card/5a9d87e8-d9c3-4773-a5ee-9649bc6215b4")</f>
        <v>https://tessa.gazprom-neft.local/edo/card/5a9d87e8-d9c3-4773-a5ee-9649bc6215b4</v>
      </c>
    </row>
    <row r="2531" spans="1:45" hidden="1" x14ac:dyDescent="0.25">
      <c r="A2531" s="6" t="s">
        <v>44</v>
      </c>
      <c r="B2531" s="7" t="s">
        <v>2080</v>
      </c>
      <c r="C2531" s="7" t="s">
        <v>46</v>
      </c>
      <c r="D2531" s="8">
        <v>44330</v>
      </c>
      <c r="E2531" s="8" t="s">
        <v>0</v>
      </c>
      <c r="F2531" s="16" t="s">
        <v>2081</v>
      </c>
      <c r="G2531" s="7" t="s">
        <v>2082</v>
      </c>
      <c r="H2531" s="7" t="s">
        <v>0</v>
      </c>
      <c r="I2531" s="7" t="s">
        <v>2632</v>
      </c>
      <c r="J2531" s="7" t="s">
        <v>2632</v>
      </c>
      <c r="K2531" s="7" t="s">
        <v>47</v>
      </c>
      <c r="L2531" s="7" t="s">
        <v>96</v>
      </c>
      <c r="M2531" s="7" t="s">
        <v>0</v>
      </c>
      <c r="N2531" s="7" t="s">
        <v>2631</v>
      </c>
      <c r="O2531" s="7" t="s">
        <v>0</v>
      </c>
      <c r="P2531" s="7" t="s">
        <v>2633</v>
      </c>
      <c r="Q2531" s="7" t="s">
        <v>2634</v>
      </c>
      <c r="R2531" s="7" t="s">
        <v>2079</v>
      </c>
      <c r="S2531" s="7" t="s">
        <v>2635</v>
      </c>
      <c r="T2531" s="7" t="s">
        <v>54</v>
      </c>
      <c r="U2531" s="7" t="s">
        <v>307</v>
      </c>
      <c r="V2531" s="7" t="s">
        <v>56</v>
      </c>
      <c r="W2531" s="7" t="s">
        <v>57</v>
      </c>
      <c r="X2531" s="7" t="s">
        <v>103</v>
      </c>
      <c r="Y2531" s="8">
        <v>44330</v>
      </c>
      <c r="Z2531" s="8">
        <v>44694</v>
      </c>
      <c r="AA2531" s="7" t="s">
        <v>1251</v>
      </c>
      <c r="AB2531" s="7" t="s">
        <v>64</v>
      </c>
      <c r="AC2531" s="7" t="s">
        <v>79</v>
      </c>
      <c r="AD2531" s="7" t="s">
        <v>514</v>
      </c>
      <c r="AE2531" s="7" t="s">
        <v>118</v>
      </c>
      <c r="AF2531" s="7" t="s">
        <v>0</v>
      </c>
      <c r="AG2531" s="7" t="s">
        <v>0</v>
      </c>
      <c r="AH2531" s="9" t="s">
        <v>11409</v>
      </c>
      <c r="AI2531" s="9" t="s">
        <v>11409</v>
      </c>
      <c r="AJ2531" s="9">
        <v>0</v>
      </c>
      <c r="AK2531" s="7" t="s">
        <v>61</v>
      </c>
      <c r="AL2531" s="7" t="s">
        <v>61</v>
      </c>
      <c r="AM2531" s="7" t="s">
        <v>0</v>
      </c>
      <c r="AN2531" s="7" t="s">
        <v>0</v>
      </c>
      <c r="AO2531" s="7" t="s">
        <v>0</v>
      </c>
      <c r="AP2531" s="7" t="s">
        <v>0</v>
      </c>
      <c r="AQ2531" s="7" t="s">
        <v>61</v>
      </c>
      <c r="AR2531" s="7" t="s">
        <v>0</v>
      </c>
      <c r="AS2531" s="10" t="str">
        <f>HYPERLINK("https://tessa.gazprom-neft.local/edo/card/cfad4b4e-f360-41ab-8750-301716715fb7", "https://tessa.gazprom-neft.local/edo/card/cfad4b4e-f360-41ab-8750-301716715fb7")</f>
        <v>https://tessa.gazprom-neft.local/edo/card/cfad4b4e-f360-41ab-8750-301716715fb7</v>
      </c>
    </row>
    <row r="2532" spans="1:45" hidden="1" x14ac:dyDescent="0.25">
      <c r="A2532" s="6" t="s">
        <v>44</v>
      </c>
      <c r="B2532" s="7" t="s">
        <v>2124</v>
      </c>
      <c r="C2532" s="7" t="s">
        <v>46</v>
      </c>
      <c r="D2532" s="8">
        <v>44328</v>
      </c>
      <c r="E2532" s="8" t="s">
        <v>0</v>
      </c>
      <c r="F2532" s="16" t="s">
        <v>2125</v>
      </c>
      <c r="G2532" s="7" t="s">
        <v>2126</v>
      </c>
      <c r="H2532" s="7" t="s">
        <v>0</v>
      </c>
      <c r="I2532" s="7" t="s">
        <v>2301</v>
      </c>
      <c r="J2532" s="7" t="s">
        <v>2301</v>
      </c>
      <c r="K2532" s="7" t="s">
        <v>47</v>
      </c>
      <c r="L2532" s="7" t="s">
        <v>96</v>
      </c>
      <c r="M2532" s="7" t="s">
        <v>0</v>
      </c>
      <c r="N2532" s="7" t="s">
        <v>2300</v>
      </c>
      <c r="O2532" s="7" t="s">
        <v>0</v>
      </c>
      <c r="P2532" s="7" t="s">
        <v>64</v>
      </c>
      <c r="Q2532" s="7" t="s">
        <v>2122</v>
      </c>
      <c r="R2532" s="7" t="s">
        <v>2302</v>
      </c>
      <c r="S2532" s="7" t="s">
        <v>2303</v>
      </c>
      <c r="T2532" s="7" t="s">
        <v>54</v>
      </c>
      <c r="U2532" s="7" t="s">
        <v>478</v>
      </c>
      <c r="V2532" s="7" t="s">
        <v>137</v>
      </c>
      <c r="W2532" s="7" t="s">
        <v>57</v>
      </c>
      <c r="X2532" s="7" t="s">
        <v>103</v>
      </c>
      <c r="Y2532" s="8">
        <v>44328</v>
      </c>
      <c r="Z2532" s="8">
        <v>44421</v>
      </c>
      <c r="AA2532" s="7" t="s">
        <v>0</v>
      </c>
      <c r="AB2532" s="7" t="s">
        <v>192</v>
      </c>
      <c r="AC2532" s="7" t="s">
        <v>79</v>
      </c>
      <c r="AD2532" s="7" t="s">
        <v>80</v>
      </c>
      <c r="AE2532" s="7" t="s">
        <v>193</v>
      </c>
      <c r="AF2532" s="7" t="s">
        <v>0</v>
      </c>
      <c r="AG2532" s="7" t="s">
        <v>0</v>
      </c>
      <c r="AH2532" s="9" t="s">
        <v>11248</v>
      </c>
      <c r="AI2532" s="9" t="s">
        <v>11249</v>
      </c>
      <c r="AJ2532" s="9" t="s">
        <v>11250</v>
      </c>
      <c r="AK2532" s="7" t="s">
        <v>61</v>
      </c>
      <c r="AL2532" s="7" t="s">
        <v>61</v>
      </c>
      <c r="AM2532" s="7" t="s">
        <v>0</v>
      </c>
      <c r="AN2532" s="7" t="s">
        <v>0</v>
      </c>
      <c r="AO2532" s="7" t="s">
        <v>0</v>
      </c>
      <c r="AP2532" s="7" t="s">
        <v>0</v>
      </c>
      <c r="AQ2532" s="7" t="s">
        <v>61</v>
      </c>
      <c r="AR2532" s="7" t="s">
        <v>0</v>
      </c>
      <c r="AS2532" s="10" t="str">
        <f>HYPERLINK("https://tessa.gazprom-neft.local/edo/card/59b315ca-5592-47f2-8548-15fc5b6a6763", "https://tessa.gazprom-neft.local/edo/card/59b315ca-5592-47f2-8548-15fc5b6a6763")</f>
        <v>https://tessa.gazprom-neft.local/edo/card/59b315ca-5592-47f2-8548-15fc5b6a6763</v>
      </c>
    </row>
    <row r="2533" spans="1:45" hidden="1" x14ac:dyDescent="0.25">
      <c r="A2533" s="6" t="s">
        <v>44</v>
      </c>
      <c r="B2533" s="7" t="s">
        <v>2362</v>
      </c>
      <c r="C2533" s="7" t="s">
        <v>67</v>
      </c>
      <c r="D2533" s="8">
        <v>44328</v>
      </c>
      <c r="E2533" s="8" t="s">
        <v>0</v>
      </c>
      <c r="F2533" s="16" t="s">
        <v>2363</v>
      </c>
      <c r="G2533" s="7" t="s">
        <v>2364</v>
      </c>
      <c r="H2533" s="7" t="s">
        <v>2358</v>
      </c>
      <c r="I2533" s="7" t="s">
        <v>0</v>
      </c>
      <c r="J2533" s="7" t="s">
        <v>2360</v>
      </c>
      <c r="K2533" s="7" t="s">
        <v>47</v>
      </c>
      <c r="L2533" s="7" t="s">
        <v>239</v>
      </c>
      <c r="M2533" s="7" t="s">
        <v>0</v>
      </c>
      <c r="N2533" s="7" t="s">
        <v>2357</v>
      </c>
      <c r="O2533" s="7" t="s">
        <v>0</v>
      </c>
      <c r="P2533" s="7" t="s">
        <v>2359</v>
      </c>
      <c r="Q2533" s="7" t="s">
        <v>2361</v>
      </c>
      <c r="R2533" s="7" t="s">
        <v>604</v>
      </c>
      <c r="S2533" s="7" t="s">
        <v>884</v>
      </c>
      <c r="T2533" s="7" t="s">
        <v>54</v>
      </c>
      <c r="U2533" s="7" t="s">
        <v>605</v>
      </c>
      <c r="V2533" s="7" t="s">
        <v>137</v>
      </c>
      <c r="W2533" s="7" t="s">
        <v>57</v>
      </c>
      <c r="X2533" s="7" t="s">
        <v>103</v>
      </c>
      <c r="Y2533" s="8">
        <v>44328</v>
      </c>
      <c r="Z2533" s="8">
        <v>44561</v>
      </c>
      <c r="AA2533" s="7" t="s">
        <v>0</v>
      </c>
      <c r="AB2533" s="7" t="s">
        <v>888</v>
      </c>
      <c r="AC2533" s="7" t="s">
        <v>79</v>
      </c>
      <c r="AD2533" s="7" t="s">
        <v>144</v>
      </c>
      <c r="AE2533" s="7" t="s">
        <v>889</v>
      </c>
      <c r="AF2533" s="7" t="s">
        <v>0</v>
      </c>
      <c r="AG2533" s="7" t="s">
        <v>0</v>
      </c>
      <c r="AH2533" s="9" t="s">
        <v>11328</v>
      </c>
      <c r="AI2533" s="9" t="s">
        <v>11328</v>
      </c>
      <c r="AJ2533" s="9">
        <v>0</v>
      </c>
      <c r="AK2533" s="7" t="s">
        <v>61</v>
      </c>
      <c r="AL2533" s="7" t="s">
        <v>61</v>
      </c>
      <c r="AM2533" s="7" t="s">
        <v>0</v>
      </c>
      <c r="AN2533" s="7" t="s">
        <v>0</v>
      </c>
      <c r="AO2533" s="7" t="s">
        <v>0</v>
      </c>
      <c r="AP2533" s="7" t="s">
        <v>0</v>
      </c>
      <c r="AQ2533" s="7" t="s">
        <v>61</v>
      </c>
      <c r="AR2533" s="7" t="s">
        <v>0</v>
      </c>
      <c r="AS2533" s="10" t="str">
        <f>HYPERLINK("https://tessa.gazprom-neft.local/edo/card/21b836ee-ecec-4866-b222-3b13fb11554f", "https://tessa.gazprom-neft.local/edo/card/21b836ee-ecec-4866-b222-3b13fb11554f")</f>
        <v>https://tessa.gazprom-neft.local/edo/card/21b836ee-ecec-4866-b222-3b13fb11554f</v>
      </c>
    </row>
    <row r="2534" spans="1:45" x14ac:dyDescent="0.25">
      <c r="A2534" s="6" t="s">
        <v>44</v>
      </c>
      <c r="B2534" s="7" t="s">
        <v>606</v>
      </c>
      <c r="C2534" s="7" t="s">
        <v>67</v>
      </c>
      <c r="D2534" s="8">
        <v>44328</v>
      </c>
      <c r="E2534" s="8" t="s">
        <v>0</v>
      </c>
      <c r="F2534" s="16" t="s">
        <v>607</v>
      </c>
      <c r="G2534" s="7" t="s">
        <v>608</v>
      </c>
      <c r="H2534" s="7" t="s">
        <v>600</v>
      </c>
      <c r="I2534" s="7" t="s">
        <v>0</v>
      </c>
      <c r="J2534" s="7" t="s">
        <v>2379</v>
      </c>
      <c r="K2534" s="7" t="s">
        <v>47</v>
      </c>
      <c r="L2534" s="7" t="s">
        <v>48</v>
      </c>
      <c r="M2534" s="7" t="s">
        <v>0</v>
      </c>
      <c r="N2534" s="7" t="s">
        <v>2377</v>
      </c>
      <c r="O2534" s="7" t="s">
        <v>0</v>
      </c>
      <c r="P2534" s="7" t="s">
        <v>2378</v>
      </c>
      <c r="Q2534" s="7" t="s">
        <v>2380</v>
      </c>
      <c r="R2534" s="7" t="s">
        <v>604</v>
      </c>
      <c r="S2534" s="7" t="s">
        <v>884</v>
      </c>
      <c r="T2534" s="7" t="s">
        <v>54</v>
      </c>
      <c r="U2534" s="7" t="s">
        <v>605</v>
      </c>
      <c r="V2534" s="7" t="s">
        <v>137</v>
      </c>
      <c r="W2534" s="7" t="s">
        <v>57</v>
      </c>
      <c r="X2534" s="7" t="s">
        <v>103</v>
      </c>
      <c r="Y2534" s="8">
        <v>44328</v>
      </c>
      <c r="Z2534" s="8">
        <v>45657</v>
      </c>
      <c r="AA2534" s="7" t="s">
        <v>0</v>
      </c>
      <c r="AB2534" s="7" t="s">
        <v>888</v>
      </c>
      <c r="AC2534" s="7" t="s">
        <v>65</v>
      </c>
      <c r="AD2534" s="7" t="s">
        <v>144</v>
      </c>
      <c r="AE2534" s="7" t="s">
        <v>0</v>
      </c>
      <c r="AF2534" s="7" t="s">
        <v>0</v>
      </c>
      <c r="AG2534" s="7" t="s">
        <v>0</v>
      </c>
      <c r="AH2534" s="9" t="s">
        <v>0</v>
      </c>
      <c r="AI2534" s="9" t="s">
        <v>0</v>
      </c>
      <c r="AJ2534" s="9" t="s">
        <v>0</v>
      </c>
      <c r="AK2534" s="7" t="s">
        <v>61</v>
      </c>
      <c r="AL2534" s="7" t="s">
        <v>61</v>
      </c>
      <c r="AM2534" s="7" t="s">
        <v>0</v>
      </c>
      <c r="AN2534" s="7" t="s">
        <v>0</v>
      </c>
      <c r="AO2534" s="7" t="s">
        <v>0</v>
      </c>
      <c r="AP2534" s="7" t="s">
        <v>0</v>
      </c>
      <c r="AQ2534" s="7" t="s">
        <v>61</v>
      </c>
      <c r="AR2534" s="7" t="s">
        <v>0</v>
      </c>
      <c r="AS2534" s="10" t="str">
        <f>HYPERLINK("https://tessa.gazprom-neft.local/edo/card/d0fdc776-d349-4053-84ef-d925919f7883", "https://tessa.gazprom-neft.local/edo/card/d0fdc776-d349-4053-84ef-d925919f7883")</f>
        <v>https://tessa.gazprom-neft.local/edo/card/d0fdc776-d349-4053-84ef-d925919f7883</v>
      </c>
    </row>
    <row r="2535" spans="1:45" x14ac:dyDescent="0.25">
      <c r="A2535" s="6" t="s">
        <v>44</v>
      </c>
      <c r="B2535" s="7" t="s">
        <v>1784</v>
      </c>
      <c r="C2535" s="7" t="s">
        <v>67</v>
      </c>
      <c r="D2535" s="8">
        <v>44328</v>
      </c>
      <c r="E2535" s="8" t="s">
        <v>0</v>
      </c>
      <c r="F2535" s="16" t="s">
        <v>1785</v>
      </c>
      <c r="G2535" s="7" t="s">
        <v>1786</v>
      </c>
      <c r="H2535" s="7" t="s">
        <v>2400</v>
      </c>
      <c r="I2535" s="7" t="s">
        <v>0</v>
      </c>
      <c r="J2535" s="7" t="s">
        <v>2401</v>
      </c>
      <c r="K2535" s="7" t="s">
        <v>47</v>
      </c>
      <c r="L2535" s="7" t="s">
        <v>48</v>
      </c>
      <c r="M2535" s="7" t="s">
        <v>0</v>
      </c>
      <c r="N2535" s="7" t="s">
        <v>2398</v>
      </c>
      <c r="O2535" s="7" t="s">
        <v>2399</v>
      </c>
      <c r="P2535" s="7" t="s">
        <v>2401</v>
      </c>
      <c r="Q2535" s="7" t="s">
        <v>2402</v>
      </c>
      <c r="R2535" s="7" t="s">
        <v>220</v>
      </c>
      <c r="S2535" s="7" t="s">
        <v>0</v>
      </c>
      <c r="T2535" s="7" t="s">
        <v>54</v>
      </c>
      <c r="U2535" s="7" t="s">
        <v>222</v>
      </c>
      <c r="V2535" s="7" t="s">
        <v>864</v>
      </c>
      <c r="W2535" s="7" t="s">
        <v>57</v>
      </c>
      <c r="X2535" s="7" t="s">
        <v>58</v>
      </c>
      <c r="Y2535" s="8">
        <v>44328</v>
      </c>
      <c r="Z2535" s="8" t="s">
        <v>0</v>
      </c>
      <c r="AA2535" s="7" t="s">
        <v>1465</v>
      </c>
      <c r="AB2535" s="7" t="s">
        <v>2403</v>
      </c>
      <c r="AC2535" s="7" t="s">
        <v>79</v>
      </c>
      <c r="AD2535" s="7" t="s">
        <v>80</v>
      </c>
      <c r="AE2535" s="7" t="s">
        <v>82</v>
      </c>
      <c r="AF2535" s="7" t="s">
        <v>0</v>
      </c>
      <c r="AG2535" s="7" t="s">
        <v>0</v>
      </c>
      <c r="AH2535" s="9">
        <v>0</v>
      </c>
      <c r="AI2535" s="9">
        <v>0</v>
      </c>
      <c r="AJ2535" s="9" t="s">
        <v>11338</v>
      </c>
      <c r="AK2535" s="7" t="s">
        <v>61</v>
      </c>
      <c r="AL2535" s="7" t="s">
        <v>61</v>
      </c>
      <c r="AM2535" s="7" t="s">
        <v>0</v>
      </c>
      <c r="AN2535" s="7" t="s">
        <v>0</v>
      </c>
      <c r="AO2535" s="7" t="s">
        <v>0</v>
      </c>
      <c r="AP2535" s="7" t="s">
        <v>0</v>
      </c>
      <c r="AQ2535" s="7" t="s">
        <v>61</v>
      </c>
      <c r="AR2535" s="7" t="s">
        <v>0</v>
      </c>
      <c r="AS2535" s="10" t="str">
        <f>HYPERLINK("https://tessa.gazprom-neft.local/edo/card/aa275dde-8d3c-4830-ad8d-3e4f2a695540", "https://tessa.gazprom-neft.local/edo/card/aa275dde-8d3c-4830-ad8d-3e4f2a695540")</f>
        <v>https://tessa.gazprom-neft.local/edo/card/aa275dde-8d3c-4830-ad8d-3e4f2a695540</v>
      </c>
    </row>
    <row r="2536" spans="1:45" hidden="1" x14ac:dyDescent="0.25">
      <c r="A2536" s="6" t="s">
        <v>44</v>
      </c>
      <c r="B2536" s="7" t="s">
        <v>245</v>
      </c>
      <c r="C2536" s="7" t="s">
        <v>67</v>
      </c>
      <c r="D2536" s="8">
        <v>44328</v>
      </c>
      <c r="E2536" s="8" t="s">
        <v>0</v>
      </c>
      <c r="F2536" s="16" t="s">
        <v>246</v>
      </c>
      <c r="G2536" s="7" t="s">
        <v>247</v>
      </c>
      <c r="H2536" s="7" t="s">
        <v>1483</v>
      </c>
      <c r="I2536" s="7" t="s">
        <v>0</v>
      </c>
      <c r="J2536" s="7" t="s">
        <v>2748</v>
      </c>
      <c r="K2536" s="7" t="s">
        <v>47</v>
      </c>
      <c r="L2536" s="7" t="s">
        <v>239</v>
      </c>
      <c r="M2536" s="7" t="s">
        <v>0</v>
      </c>
      <c r="N2536" s="7" t="s">
        <v>2747</v>
      </c>
      <c r="O2536" s="7" t="s">
        <v>0</v>
      </c>
      <c r="P2536" s="7" t="s">
        <v>239</v>
      </c>
      <c r="Q2536" s="7" t="s">
        <v>2749</v>
      </c>
      <c r="R2536" s="7" t="s">
        <v>110</v>
      </c>
      <c r="S2536" s="7" t="s">
        <v>110</v>
      </c>
      <c r="T2536" s="7" t="s">
        <v>54</v>
      </c>
      <c r="U2536" s="7" t="s">
        <v>111</v>
      </c>
      <c r="V2536" s="7" t="s">
        <v>112</v>
      </c>
      <c r="W2536" s="7" t="s">
        <v>57</v>
      </c>
      <c r="X2536" s="7" t="s">
        <v>58</v>
      </c>
      <c r="Y2536" s="8">
        <v>44328</v>
      </c>
      <c r="Z2536" s="8" t="s">
        <v>0</v>
      </c>
      <c r="AA2536" s="7" t="s">
        <v>0</v>
      </c>
      <c r="AB2536" s="7" t="s">
        <v>64</v>
      </c>
      <c r="AC2536" s="7" t="s">
        <v>79</v>
      </c>
      <c r="AD2536" s="7" t="s">
        <v>144</v>
      </c>
      <c r="AE2536" s="7" t="s">
        <v>82</v>
      </c>
      <c r="AF2536" s="7" t="s">
        <v>0</v>
      </c>
      <c r="AG2536" s="7" t="s">
        <v>0</v>
      </c>
      <c r="AH2536" s="9" t="s">
        <v>11041</v>
      </c>
      <c r="AI2536" s="9" t="s">
        <v>11042</v>
      </c>
      <c r="AJ2536" s="9" t="s">
        <v>11043</v>
      </c>
      <c r="AK2536" s="7" t="s">
        <v>61</v>
      </c>
      <c r="AL2536" s="7" t="s">
        <v>61</v>
      </c>
      <c r="AM2536" s="7" t="s">
        <v>0</v>
      </c>
      <c r="AN2536" s="7" t="s">
        <v>0</v>
      </c>
      <c r="AO2536" s="7" t="s">
        <v>0</v>
      </c>
      <c r="AP2536" s="7" t="s">
        <v>0</v>
      </c>
      <c r="AQ2536" s="7" t="s">
        <v>61</v>
      </c>
      <c r="AR2536" s="7" t="s">
        <v>0</v>
      </c>
      <c r="AS2536" s="10" t="str">
        <f>HYPERLINK("https://tessa.gazprom-neft.local/edo/card/dc94d0fa-da36-42ce-bec8-d70d24349c0c", "https://tessa.gazprom-neft.local/edo/card/dc94d0fa-da36-42ce-bec8-d70d24349c0c")</f>
        <v>https://tessa.gazprom-neft.local/edo/card/dc94d0fa-da36-42ce-bec8-d70d24349c0c</v>
      </c>
    </row>
    <row r="2537" spans="1:45" hidden="1" x14ac:dyDescent="0.25">
      <c r="A2537" s="6" t="s">
        <v>44</v>
      </c>
      <c r="B2537" s="7" t="s">
        <v>0</v>
      </c>
      <c r="C2537" s="7" t="s">
        <v>67</v>
      </c>
      <c r="D2537" s="8">
        <v>44327</v>
      </c>
      <c r="E2537" s="8" t="s">
        <v>0</v>
      </c>
      <c r="F2537" s="16" t="s">
        <v>2139</v>
      </c>
      <c r="G2537" s="7" t="s">
        <v>0</v>
      </c>
      <c r="H2537" s="7" t="s">
        <v>0</v>
      </c>
      <c r="I2537" s="7" t="s">
        <v>2318</v>
      </c>
      <c r="J2537" s="7" t="s">
        <v>2318</v>
      </c>
      <c r="K2537" s="7" t="s">
        <v>85</v>
      </c>
      <c r="L2537" s="7" t="s">
        <v>86</v>
      </c>
      <c r="M2537" s="7" t="s">
        <v>2316</v>
      </c>
      <c r="N2537" s="7" t="s">
        <v>2317</v>
      </c>
      <c r="O2537" s="7" t="s">
        <v>0</v>
      </c>
      <c r="P2537" s="7" t="s">
        <v>2316</v>
      </c>
      <c r="Q2537" s="7" t="s">
        <v>2319</v>
      </c>
      <c r="R2537" s="7" t="s">
        <v>149</v>
      </c>
      <c r="S2537" s="7" t="s">
        <v>149</v>
      </c>
      <c r="T2537" s="7" t="s">
        <v>54</v>
      </c>
      <c r="U2537" s="7" t="s">
        <v>1301</v>
      </c>
      <c r="V2537" s="7" t="s">
        <v>137</v>
      </c>
      <c r="W2537" s="7" t="s">
        <v>57</v>
      </c>
      <c r="X2537" s="7" t="s">
        <v>103</v>
      </c>
      <c r="Y2537" s="8">
        <v>44327</v>
      </c>
      <c r="Z2537" s="8">
        <v>44561</v>
      </c>
      <c r="AA2537" s="7" t="s">
        <v>0</v>
      </c>
      <c r="AB2537" s="7" t="s">
        <v>328</v>
      </c>
      <c r="AC2537" s="7" t="s">
        <v>65</v>
      </c>
      <c r="AD2537" s="7" t="s">
        <v>0</v>
      </c>
      <c r="AE2537" s="7" t="s">
        <v>0</v>
      </c>
      <c r="AF2537" s="7" t="s">
        <v>0</v>
      </c>
      <c r="AG2537" s="7" t="s">
        <v>0</v>
      </c>
      <c r="AH2537" s="9" t="s">
        <v>0</v>
      </c>
      <c r="AI2537" s="9" t="s">
        <v>0</v>
      </c>
      <c r="AJ2537" s="9" t="s">
        <v>0</v>
      </c>
      <c r="AK2537" s="7" t="s">
        <v>61</v>
      </c>
      <c r="AL2537" s="7" t="s">
        <v>61</v>
      </c>
      <c r="AM2537" s="7" t="s">
        <v>0</v>
      </c>
      <c r="AN2537" s="7" t="s">
        <v>0</v>
      </c>
      <c r="AO2537" s="7" t="s">
        <v>0</v>
      </c>
      <c r="AP2537" s="7" t="s">
        <v>0</v>
      </c>
      <c r="AQ2537" s="7" t="s">
        <v>61</v>
      </c>
      <c r="AR2537" s="7" t="s">
        <v>0</v>
      </c>
      <c r="AS2537" s="10" t="str">
        <f>HYPERLINK("https://tessa.gazprom-neft.local/edo/card/f0caecb9-decf-487e-a756-a9d793fc30f6", "https://tessa.gazprom-neft.local/edo/card/f0caecb9-decf-487e-a756-a9d793fc30f6")</f>
        <v>https://tessa.gazprom-neft.local/edo/card/f0caecb9-decf-487e-a756-a9d793fc30f6</v>
      </c>
    </row>
    <row r="2538" spans="1:45" x14ac:dyDescent="0.25">
      <c r="A2538" s="6" t="s">
        <v>44</v>
      </c>
      <c r="B2538" s="7" t="s">
        <v>1084</v>
      </c>
      <c r="C2538" s="7" t="s">
        <v>67</v>
      </c>
      <c r="D2538" s="8">
        <v>44327</v>
      </c>
      <c r="E2538" s="8" t="s">
        <v>0</v>
      </c>
      <c r="F2538" s="16" t="s">
        <v>1085</v>
      </c>
      <c r="G2538" s="7" t="s">
        <v>1086</v>
      </c>
      <c r="H2538" s="7" t="s">
        <v>2758</v>
      </c>
      <c r="I2538" s="7" t="s">
        <v>0</v>
      </c>
      <c r="J2538" s="7" t="s">
        <v>2760</v>
      </c>
      <c r="K2538" s="7" t="s">
        <v>47</v>
      </c>
      <c r="L2538" s="7" t="s">
        <v>48</v>
      </c>
      <c r="M2538" s="7" t="s">
        <v>0</v>
      </c>
      <c r="N2538" s="7" t="s">
        <v>2757</v>
      </c>
      <c r="O2538" s="7" t="s">
        <v>0</v>
      </c>
      <c r="P2538" s="7" t="s">
        <v>2759</v>
      </c>
      <c r="Q2538" s="7" t="s">
        <v>2457</v>
      </c>
      <c r="R2538" s="7" t="s">
        <v>1083</v>
      </c>
      <c r="S2538" s="7" t="s">
        <v>2761</v>
      </c>
      <c r="T2538" s="7" t="s">
        <v>54</v>
      </c>
      <c r="U2538" s="7" t="s">
        <v>274</v>
      </c>
      <c r="V2538" s="7" t="s">
        <v>137</v>
      </c>
      <c r="W2538" s="7" t="s">
        <v>57</v>
      </c>
      <c r="X2538" s="7" t="s">
        <v>223</v>
      </c>
      <c r="Y2538" s="8">
        <v>44327</v>
      </c>
      <c r="Z2538" s="8" t="s">
        <v>0</v>
      </c>
      <c r="AA2538" s="7" t="s">
        <v>0</v>
      </c>
      <c r="AB2538" s="7" t="s">
        <v>78</v>
      </c>
      <c r="AC2538" s="7" t="s">
        <v>65</v>
      </c>
      <c r="AD2538" s="7" t="s">
        <v>0</v>
      </c>
      <c r="AE2538" s="7" t="s">
        <v>0</v>
      </c>
      <c r="AF2538" s="7" t="s">
        <v>0</v>
      </c>
      <c r="AG2538" s="7" t="s">
        <v>0</v>
      </c>
      <c r="AH2538" s="9" t="s">
        <v>0</v>
      </c>
      <c r="AI2538" s="9" t="s">
        <v>0</v>
      </c>
      <c r="AJ2538" s="9" t="s">
        <v>0</v>
      </c>
      <c r="AK2538" s="7" t="s">
        <v>61</v>
      </c>
      <c r="AL2538" s="7" t="s">
        <v>61</v>
      </c>
      <c r="AM2538" s="7" t="s">
        <v>0</v>
      </c>
      <c r="AN2538" s="7" t="s">
        <v>0</v>
      </c>
      <c r="AO2538" s="7" t="s">
        <v>0</v>
      </c>
      <c r="AP2538" s="7" t="s">
        <v>0</v>
      </c>
      <c r="AQ2538" s="7" t="s">
        <v>61</v>
      </c>
      <c r="AR2538" s="7" t="s">
        <v>0</v>
      </c>
      <c r="AS2538" s="10" t="str">
        <f>HYPERLINK("https://tessa.gazprom-neft.local/edo/card/c1957179-a2e2-4ae0-87e4-980bef59badc", "https://tessa.gazprom-neft.local/edo/card/c1957179-a2e2-4ae0-87e4-980bef59badc")</f>
        <v>https://tessa.gazprom-neft.local/edo/card/c1957179-a2e2-4ae0-87e4-980bef59badc</v>
      </c>
    </row>
    <row r="2539" spans="1:45" x14ac:dyDescent="0.25">
      <c r="A2539" s="6" t="s">
        <v>44</v>
      </c>
      <c r="B2539" s="7" t="s">
        <v>1570</v>
      </c>
      <c r="C2539" s="7" t="s">
        <v>67</v>
      </c>
      <c r="D2539" s="8">
        <v>44317</v>
      </c>
      <c r="E2539" s="8" t="s">
        <v>0</v>
      </c>
      <c r="F2539" s="16" t="s">
        <v>1571</v>
      </c>
      <c r="G2539" s="7" t="s">
        <v>0</v>
      </c>
      <c r="H2539" s="7" t="s">
        <v>1960</v>
      </c>
      <c r="I2539" s="7" t="s">
        <v>0</v>
      </c>
      <c r="J2539" s="7" t="s">
        <v>1962</v>
      </c>
      <c r="K2539" s="7" t="s">
        <v>47</v>
      </c>
      <c r="L2539" s="7" t="s">
        <v>48</v>
      </c>
      <c r="M2539" s="7" t="s">
        <v>0</v>
      </c>
      <c r="N2539" s="7" t="s">
        <v>1959</v>
      </c>
      <c r="O2539" s="7" t="s">
        <v>0</v>
      </c>
      <c r="P2539" s="7" t="s">
        <v>1961</v>
      </c>
      <c r="Q2539" s="7" t="s">
        <v>1963</v>
      </c>
      <c r="R2539" s="7" t="s">
        <v>361</v>
      </c>
      <c r="S2539" s="7" t="s">
        <v>0</v>
      </c>
      <c r="T2539" s="7" t="s">
        <v>54</v>
      </c>
      <c r="U2539" s="7" t="s">
        <v>1683</v>
      </c>
      <c r="V2539" s="7" t="s">
        <v>295</v>
      </c>
      <c r="W2539" s="7" t="s">
        <v>57</v>
      </c>
      <c r="X2539" s="7" t="s">
        <v>103</v>
      </c>
      <c r="Y2539" s="8">
        <v>44317</v>
      </c>
      <c r="Z2539" s="8">
        <v>44561</v>
      </c>
      <c r="AA2539" s="7" t="s">
        <v>1269</v>
      </c>
      <c r="AB2539" s="7" t="s">
        <v>1748</v>
      </c>
      <c r="AC2539" s="7" t="s">
        <v>278</v>
      </c>
      <c r="AD2539" s="7" t="s">
        <v>367</v>
      </c>
      <c r="AE2539" s="7" t="s">
        <v>82</v>
      </c>
      <c r="AF2539" s="7" t="s">
        <v>0</v>
      </c>
      <c r="AG2539" s="7" t="s">
        <v>0</v>
      </c>
      <c r="AH2539" s="9" t="s">
        <v>11192</v>
      </c>
      <c r="AI2539" s="9" t="s">
        <v>11193</v>
      </c>
      <c r="AJ2539" s="9" t="s">
        <v>11194</v>
      </c>
      <c r="AK2539" s="7" t="s">
        <v>61</v>
      </c>
      <c r="AL2539" s="7" t="s">
        <v>61</v>
      </c>
      <c r="AM2539" s="7" t="s">
        <v>0</v>
      </c>
      <c r="AN2539" s="7" t="s">
        <v>0</v>
      </c>
      <c r="AO2539" s="7" t="s">
        <v>0</v>
      </c>
      <c r="AP2539" s="7" t="s">
        <v>0</v>
      </c>
      <c r="AQ2539" s="7" t="s">
        <v>61</v>
      </c>
      <c r="AR2539" s="7" t="s">
        <v>0</v>
      </c>
      <c r="AS2539" s="10" t="str">
        <f>HYPERLINK("https://tessa.gazprom-neft.local/edo/card/add0f849-3089-4501-83a4-d995460081f5", "https://tessa.gazprom-neft.local/edo/card/add0f849-3089-4501-83a4-d995460081f5")</f>
        <v>https://tessa.gazprom-neft.local/edo/card/add0f849-3089-4501-83a4-d995460081f5</v>
      </c>
    </row>
    <row r="2540" spans="1:45" hidden="1" x14ac:dyDescent="0.25">
      <c r="A2540" s="6" t="s">
        <v>44</v>
      </c>
      <c r="B2540" s="7" t="s">
        <v>245</v>
      </c>
      <c r="C2540" s="7" t="s">
        <v>67</v>
      </c>
      <c r="D2540" s="8">
        <v>44317</v>
      </c>
      <c r="E2540" s="8" t="s">
        <v>0</v>
      </c>
      <c r="F2540" s="16" t="s">
        <v>246</v>
      </c>
      <c r="G2540" s="7" t="s">
        <v>247</v>
      </c>
      <c r="H2540" s="7" t="s">
        <v>240</v>
      </c>
      <c r="I2540" s="7" t="s">
        <v>0</v>
      </c>
      <c r="J2540" s="7" t="s">
        <v>2527</v>
      </c>
      <c r="K2540" s="7" t="s">
        <v>47</v>
      </c>
      <c r="L2540" s="7" t="s">
        <v>239</v>
      </c>
      <c r="M2540" s="7" t="s">
        <v>0</v>
      </c>
      <c r="N2540" s="7" t="s">
        <v>2525</v>
      </c>
      <c r="O2540" s="7" t="s">
        <v>0</v>
      </c>
      <c r="P2540" s="7" t="s">
        <v>2526</v>
      </c>
      <c r="Q2540" s="7" t="s">
        <v>2528</v>
      </c>
      <c r="R2540" s="7" t="s">
        <v>244</v>
      </c>
      <c r="S2540" s="7" t="s">
        <v>244</v>
      </c>
      <c r="T2540" s="7" t="s">
        <v>54</v>
      </c>
      <c r="U2540" s="7" t="s">
        <v>55</v>
      </c>
      <c r="V2540" s="7" t="s">
        <v>56</v>
      </c>
      <c r="W2540" s="7" t="s">
        <v>57</v>
      </c>
      <c r="X2540" s="7" t="s">
        <v>103</v>
      </c>
      <c r="Y2540" s="8">
        <v>44317</v>
      </c>
      <c r="Z2540" s="8">
        <v>44561</v>
      </c>
      <c r="AA2540" s="7" t="s">
        <v>1251</v>
      </c>
      <c r="AB2540" s="7" t="s">
        <v>248</v>
      </c>
      <c r="AC2540" s="7" t="s">
        <v>79</v>
      </c>
      <c r="AD2540" s="7" t="s">
        <v>144</v>
      </c>
      <c r="AE2540" s="7" t="s">
        <v>82</v>
      </c>
      <c r="AF2540" s="7" t="s">
        <v>0</v>
      </c>
      <c r="AG2540" s="7" t="s">
        <v>0</v>
      </c>
      <c r="AH2540" s="9" t="s">
        <v>11376</v>
      </c>
      <c r="AI2540" s="9" t="s">
        <v>11377</v>
      </c>
      <c r="AJ2540" s="9" t="s">
        <v>11378</v>
      </c>
      <c r="AK2540" s="7" t="s">
        <v>61</v>
      </c>
      <c r="AL2540" s="7" t="s">
        <v>61</v>
      </c>
      <c r="AM2540" s="7" t="s">
        <v>0</v>
      </c>
      <c r="AN2540" s="7" t="s">
        <v>0</v>
      </c>
      <c r="AO2540" s="7" t="s">
        <v>0</v>
      </c>
      <c r="AP2540" s="7" t="s">
        <v>0</v>
      </c>
      <c r="AQ2540" s="7" t="s">
        <v>61</v>
      </c>
      <c r="AR2540" s="7" t="s">
        <v>0</v>
      </c>
      <c r="AS2540" s="10" t="str">
        <f>HYPERLINK("https://tessa.gazprom-neft.local/edo/card/271fd20d-97c6-4eda-89ac-35f841383bf6", "https://tessa.gazprom-neft.local/edo/card/271fd20d-97c6-4eda-89ac-35f841383bf6")</f>
        <v>https://tessa.gazprom-neft.local/edo/card/271fd20d-97c6-4eda-89ac-35f841383bf6</v>
      </c>
    </row>
    <row r="2541" spans="1:45" hidden="1" x14ac:dyDescent="0.25">
      <c r="A2541" s="6" t="s">
        <v>44</v>
      </c>
      <c r="B2541" s="7" t="s">
        <v>0</v>
      </c>
      <c r="C2541" s="7" t="s">
        <v>67</v>
      </c>
      <c r="D2541" s="8">
        <v>44316</v>
      </c>
      <c r="E2541" s="8" t="s">
        <v>0</v>
      </c>
      <c r="F2541" s="16" t="s">
        <v>2139</v>
      </c>
      <c r="G2541" s="7" t="s">
        <v>0</v>
      </c>
      <c r="H2541" s="7" t="s">
        <v>0</v>
      </c>
      <c r="I2541" s="7" t="s">
        <v>146</v>
      </c>
      <c r="J2541" s="7" t="s">
        <v>146</v>
      </c>
      <c r="K2541" s="7" t="s">
        <v>47</v>
      </c>
      <c r="L2541" s="7" t="s">
        <v>86</v>
      </c>
      <c r="M2541" s="7" t="s">
        <v>0</v>
      </c>
      <c r="N2541" s="7" t="s">
        <v>2136</v>
      </c>
      <c r="O2541" s="7" t="s">
        <v>0</v>
      </c>
      <c r="P2541" s="7" t="s">
        <v>2137</v>
      </c>
      <c r="Q2541" s="7" t="s">
        <v>2138</v>
      </c>
      <c r="R2541" s="7" t="s">
        <v>149</v>
      </c>
      <c r="S2541" s="7" t="s">
        <v>149</v>
      </c>
      <c r="T2541" s="7" t="s">
        <v>54</v>
      </c>
      <c r="U2541" s="7" t="s">
        <v>1301</v>
      </c>
      <c r="V2541" s="7" t="s">
        <v>137</v>
      </c>
      <c r="W2541" s="7" t="s">
        <v>57</v>
      </c>
      <c r="X2541" s="7" t="s">
        <v>103</v>
      </c>
      <c r="Y2541" s="8">
        <v>44316</v>
      </c>
      <c r="Z2541" s="8">
        <v>44561</v>
      </c>
      <c r="AA2541" s="7" t="s">
        <v>0</v>
      </c>
      <c r="AB2541" s="7" t="s">
        <v>64</v>
      </c>
      <c r="AC2541" s="7" t="s">
        <v>79</v>
      </c>
      <c r="AD2541" s="7" t="s">
        <v>144</v>
      </c>
      <c r="AE2541" s="7" t="s">
        <v>118</v>
      </c>
      <c r="AF2541" s="7" t="s">
        <v>0</v>
      </c>
      <c r="AG2541" s="7" t="s">
        <v>0</v>
      </c>
      <c r="AH2541" s="9" t="s">
        <v>11254</v>
      </c>
      <c r="AI2541" s="9" t="s">
        <v>11254</v>
      </c>
      <c r="AJ2541" s="9">
        <v>0</v>
      </c>
      <c r="AK2541" s="7" t="s">
        <v>61</v>
      </c>
      <c r="AL2541" s="7" t="s">
        <v>61</v>
      </c>
      <c r="AM2541" s="7" t="s">
        <v>0</v>
      </c>
      <c r="AN2541" s="7" t="s">
        <v>0</v>
      </c>
      <c r="AO2541" s="7" t="s">
        <v>0</v>
      </c>
      <c r="AP2541" s="7" t="s">
        <v>0</v>
      </c>
      <c r="AQ2541" s="7" t="s">
        <v>61</v>
      </c>
      <c r="AR2541" s="7" t="s">
        <v>0</v>
      </c>
      <c r="AS2541" s="10" t="str">
        <f>HYPERLINK("https://tessa.gazprom-neft.local/edo/card/aea87ed0-8833-4023-a64f-540bfaaa6a00", "https://tessa.gazprom-neft.local/edo/card/aea87ed0-8833-4023-a64f-540bfaaa6a00")</f>
        <v>https://tessa.gazprom-neft.local/edo/card/aea87ed0-8833-4023-a64f-540bfaaa6a00</v>
      </c>
    </row>
    <row r="2542" spans="1:45" x14ac:dyDescent="0.25">
      <c r="A2542" s="6" t="s">
        <v>44</v>
      </c>
      <c r="B2542" s="7" t="s">
        <v>170</v>
      </c>
      <c r="C2542" s="7" t="s">
        <v>67</v>
      </c>
      <c r="D2542" s="8">
        <v>44316</v>
      </c>
      <c r="E2542" s="8" t="s">
        <v>0</v>
      </c>
      <c r="F2542" s="16" t="s">
        <v>171</v>
      </c>
      <c r="G2542" s="7" t="s">
        <v>172</v>
      </c>
      <c r="H2542" s="7" t="s">
        <v>2420</v>
      </c>
      <c r="I2542" s="7" t="s">
        <v>0</v>
      </c>
      <c r="J2542" s="7" t="s">
        <v>2422</v>
      </c>
      <c r="K2542" s="7" t="s">
        <v>47</v>
      </c>
      <c r="L2542" s="7" t="s">
        <v>48</v>
      </c>
      <c r="M2542" s="7" t="s">
        <v>0</v>
      </c>
      <c r="N2542" s="7" t="s">
        <v>2419</v>
      </c>
      <c r="O2542" s="7" t="s">
        <v>0</v>
      </c>
      <c r="P2542" s="7" t="s">
        <v>2421</v>
      </c>
      <c r="Q2542" s="7" t="s">
        <v>2423</v>
      </c>
      <c r="R2542" s="7" t="s">
        <v>2424</v>
      </c>
      <c r="S2542" s="7" t="s">
        <v>0</v>
      </c>
      <c r="T2542" s="7" t="s">
        <v>54</v>
      </c>
      <c r="U2542" s="7" t="s">
        <v>167</v>
      </c>
      <c r="V2542" s="7" t="s">
        <v>137</v>
      </c>
      <c r="W2542" s="7" t="s">
        <v>57</v>
      </c>
      <c r="X2542" s="7" t="s">
        <v>103</v>
      </c>
      <c r="Y2542" s="8">
        <v>44314</v>
      </c>
      <c r="Z2542" s="8">
        <v>44926</v>
      </c>
      <c r="AA2542" s="7" t="s">
        <v>0</v>
      </c>
      <c r="AB2542" s="7" t="s">
        <v>2425</v>
      </c>
      <c r="AC2542" s="7" t="s">
        <v>79</v>
      </c>
      <c r="AD2542" s="7" t="s">
        <v>144</v>
      </c>
      <c r="AE2542" s="7" t="s">
        <v>82</v>
      </c>
      <c r="AF2542" s="7" t="s">
        <v>0</v>
      </c>
      <c r="AG2542" s="7" t="s">
        <v>0</v>
      </c>
      <c r="AH2542" s="9">
        <v>0.01</v>
      </c>
      <c r="AI2542" s="9">
        <v>0.01</v>
      </c>
      <c r="AJ2542" s="9">
        <v>0</v>
      </c>
      <c r="AK2542" s="7" t="s">
        <v>61</v>
      </c>
      <c r="AL2542" s="7" t="s">
        <v>61</v>
      </c>
      <c r="AM2542" s="7" t="s">
        <v>0</v>
      </c>
      <c r="AN2542" s="7" t="s">
        <v>0</v>
      </c>
      <c r="AO2542" s="7" t="s">
        <v>0</v>
      </c>
      <c r="AP2542" s="7" t="s">
        <v>0</v>
      </c>
      <c r="AQ2542" s="7" t="s">
        <v>61</v>
      </c>
      <c r="AR2542" s="7" t="s">
        <v>0</v>
      </c>
      <c r="AS2542" s="10" t="str">
        <f>HYPERLINK("https://tessa.gazprom-neft.local/edo/card/8e8d61a4-01f5-4a43-8863-e4596ec0e0d7", "https://tessa.gazprom-neft.local/edo/card/8e8d61a4-01f5-4a43-8863-e4596ec0e0d7")</f>
        <v>https://tessa.gazprom-neft.local/edo/card/8e8d61a4-01f5-4a43-8863-e4596ec0e0d7</v>
      </c>
    </row>
    <row r="2543" spans="1:45" hidden="1" x14ac:dyDescent="0.25">
      <c r="A2543" s="6" t="s">
        <v>44</v>
      </c>
      <c r="B2543" s="7" t="s">
        <v>170</v>
      </c>
      <c r="C2543" s="7" t="s">
        <v>67</v>
      </c>
      <c r="D2543" s="8">
        <v>44316</v>
      </c>
      <c r="E2543" s="8" t="s">
        <v>0</v>
      </c>
      <c r="F2543" s="16" t="s">
        <v>171</v>
      </c>
      <c r="G2543" s="7" t="s">
        <v>172</v>
      </c>
      <c r="H2543" s="7" t="s">
        <v>0</v>
      </c>
      <c r="I2543" s="7" t="s">
        <v>0</v>
      </c>
      <c r="J2543" s="7" t="s">
        <v>2512</v>
      </c>
      <c r="K2543" s="7" t="s">
        <v>47</v>
      </c>
      <c r="L2543" s="7" t="s">
        <v>239</v>
      </c>
      <c r="M2543" s="7" t="s">
        <v>0</v>
      </c>
      <c r="N2543" s="7" t="s">
        <v>2510</v>
      </c>
      <c r="O2543" s="7" t="s">
        <v>0</v>
      </c>
      <c r="P2543" s="7" t="s">
        <v>2511</v>
      </c>
      <c r="Q2543" s="7" t="s">
        <v>2513</v>
      </c>
      <c r="R2543" s="7" t="s">
        <v>2424</v>
      </c>
      <c r="S2543" s="7" t="s">
        <v>0</v>
      </c>
      <c r="T2543" s="7" t="s">
        <v>54</v>
      </c>
      <c r="U2543" s="7" t="s">
        <v>167</v>
      </c>
      <c r="V2543" s="7" t="s">
        <v>137</v>
      </c>
      <c r="W2543" s="7" t="s">
        <v>57</v>
      </c>
      <c r="X2543" s="7" t="s">
        <v>103</v>
      </c>
      <c r="Y2543" s="8">
        <v>44317</v>
      </c>
      <c r="Z2543" s="8">
        <v>44469</v>
      </c>
      <c r="AA2543" s="7" t="s">
        <v>0</v>
      </c>
      <c r="AB2543" s="7" t="s">
        <v>2425</v>
      </c>
      <c r="AC2543" s="7" t="s">
        <v>79</v>
      </c>
      <c r="AD2543" s="7" t="s">
        <v>144</v>
      </c>
      <c r="AE2543" s="7" t="s">
        <v>82</v>
      </c>
      <c r="AF2543" s="7" t="s">
        <v>0</v>
      </c>
      <c r="AG2543" s="7" t="s">
        <v>0</v>
      </c>
      <c r="AH2543" s="9" t="s">
        <v>11367</v>
      </c>
      <c r="AI2543" s="9" t="s">
        <v>11368</v>
      </c>
      <c r="AJ2543" s="9" t="s">
        <v>11369</v>
      </c>
      <c r="AK2543" s="7" t="s">
        <v>61</v>
      </c>
      <c r="AL2543" s="7" t="s">
        <v>61</v>
      </c>
      <c r="AM2543" s="7" t="s">
        <v>0</v>
      </c>
      <c r="AN2543" s="7" t="s">
        <v>0</v>
      </c>
      <c r="AO2543" s="7" t="s">
        <v>0</v>
      </c>
      <c r="AP2543" s="7" t="s">
        <v>0</v>
      </c>
      <c r="AQ2543" s="7" t="s">
        <v>61</v>
      </c>
      <c r="AR2543" s="7" t="s">
        <v>0</v>
      </c>
      <c r="AS2543" s="10" t="str">
        <f>HYPERLINK("https://tessa.gazprom-neft.local/edo/card/6808511b-010e-487e-98c9-a8d20a7f32ee", "https://tessa.gazprom-neft.local/edo/card/6808511b-010e-487e-98c9-a8d20a7f32ee")</f>
        <v>https://tessa.gazprom-neft.local/edo/card/6808511b-010e-487e-98c9-a8d20a7f32ee</v>
      </c>
    </row>
    <row r="2544" spans="1:45" hidden="1" x14ac:dyDescent="0.25">
      <c r="A2544" s="6" t="s">
        <v>44</v>
      </c>
      <c r="B2544" s="7" t="s">
        <v>737</v>
      </c>
      <c r="C2544" s="7" t="s">
        <v>67</v>
      </c>
      <c r="D2544" s="8">
        <v>44315</v>
      </c>
      <c r="E2544" s="8" t="s">
        <v>0</v>
      </c>
      <c r="F2544" s="16" t="s">
        <v>738</v>
      </c>
      <c r="G2544" s="7" t="s">
        <v>739</v>
      </c>
      <c r="H2544" s="7" t="s">
        <v>0</v>
      </c>
      <c r="I2544" s="7" t="s">
        <v>734</v>
      </c>
      <c r="J2544" s="7" t="s">
        <v>734</v>
      </c>
      <c r="K2544" s="7" t="s">
        <v>47</v>
      </c>
      <c r="L2544" s="7" t="s">
        <v>86</v>
      </c>
      <c r="M2544" s="7" t="s">
        <v>0</v>
      </c>
      <c r="N2544" s="7" t="s">
        <v>733</v>
      </c>
      <c r="O2544" s="7" t="s">
        <v>0</v>
      </c>
      <c r="P2544" s="7" t="s">
        <v>735</v>
      </c>
      <c r="Q2544" s="7" t="s">
        <v>736</v>
      </c>
      <c r="R2544" s="7" t="s">
        <v>244</v>
      </c>
      <c r="S2544" s="7" t="s">
        <v>0</v>
      </c>
      <c r="T2544" s="7" t="s">
        <v>54</v>
      </c>
      <c r="U2544" s="7" t="s">
        <v>55</v>
      </c>
      <c r="V2544" s="7" t="s">
        <v>56</v>
      </c>
      <c r="W2544" s="7" t="s">
        <v>57</v>
      </c>
      <c r="X2544" s="7" t="s">
        <v>223</v>
      </c>
      <c r="Y2544" s="8">
        <v>44315</v>
      </c>
      <c r="Z2544" s="8" t="s">
        <v>0</v>
      </c>
      <c r="AA2544" s="7" t="s">
        <v>0</v>
      </c>
      <c r="AB2544" s="7" t="s">
        <v>328</v>
      </c>
      <c r="AC2544" s="7" t="s">
        <v>65</v>
      </c>
      <c r="AD2544" s="7" t="s">
        <v>367</v>
      </c>
      <c r="AE2544" s="7" t="s">
        <v>0</v>
      </c>
      <c r="AF2544" s="7" t="s">
        <v>0</v>
      </c>
      <c r="AG2544" s="7" t="s">
        <v>0</v>
      </c>
      <c r="AH2544" s="9" t="s">
        <v>0</v>
      </c>
      <c r="AI2544" s="9" t="s">
        <v>0</v>
      </c>
      <c r="AJ2544" s="9" t="s">
        <v>0</v>
      </c>
      <c r="AK2544" s="7" t="s">
        <v>61</v>
      </c>
      <c r="AL2544" s="7" t="s">
        <v>61</v>
      </c>
      <c r="AM2544" s="7" t="s">
        <v>0</v>
      </c>
      <c r="AN2544" s="7" t="s">
        <v>0</v>
      </c>
      <c r="AO2544" s="7" t="s">
        <v>0</v>
      </c>
      <c r="AP2544" s="7" t="s">
        <v>0</v>
      </c>
      <c r="AQ2544" s="7" t="s">
        <v>61</v>
      </c>
      <c r="AR2544" s="7" t="s">
        <v>0</v>
      </c>
      <c r="AS2544" s="10" t="str">
        <f>HYPERLINK("https://tessa.gazprom-neft.local/edo/card/e9eb7c18-b479-4fbb-85d3-38bbe7b9b5a4", "https://tessa.gazprom-neft.local/edo/card/e9eb7c18-b479-4fbb-85d3-38bbe7b9b5a4")</f>
        <v>https://tessa.gazprom-neft.local/edo/card/e9eb7c18-b479-4fbb-85d3-38bbe7b9b5a4</v>
      </c>
    </row>
    <row r="2545" spans="1:45" hidden="1" x14ac:dyDescent="0.25">
      <c r="A2545" s="6" t="s">
        <v>44</v>
      </c>
      <c r="B2545" s="7" t="s">
        <v>793</v>
      </c>
      <c r="C2545" s="7" t="s">
        <v>46</v>
      </c>
      <c r="D2545" s="8">
        <v>44315</v>
      </c>
      <c r="E2545" s="8" t="s">
        <v>0</v>
      </c>
      <c r="F2545" s="16" t="s">
        <v>794</v>
      </c>
      <c r="G2545" s="7" t="s">
        <v>795</v>
      </c>
      <c r="H2545" s="7" t="s">
        <v>0</v>
      </c>
      <c r="I2545" s="7" t="s">
        <v>2183</v>
      </c>
      <c r="J2545" s="7" t="s">
        <v>2183</v>
      </c>
      <c r="K2545" s="7" t="s">
        <v>47</v>
      </c>
      <c r="L2545" s="7" t="s">
        <v>96</v>
      </c>
      <c r="M2545" s="7" t="s">
        <v>0</v>
      </c>
      <c r="N2545" s="7" t="s">
        <v>2182</v>
      </c>
      <c r="O2545" s="7" t="s">
        <v>0</v>
      </c>
      <c r="P2545" s="7" t="s">
        <v>2184</v>
      </c>
      <c r="Q2545" s="7" t="s">
        <v>2185</v>
      </c>
      <c r="R2545" s="7" t="s">
        <v>506</v>
      </c>
      <c r="S2545" s="7" t="s">
        <v>0</v>
      </c>
      <c r="T2545" s="7" t="s">
        <v>54</v>
      </c>
      <c r="U2545" s="7" t="s">
        <v>541</v>
      </c>
      <c r="V2545" s="7" t="s">
        <v>56</v>
      </c>
      <c r="W2545" s="7" t="s">
        <v>57</v>
      </c>
      <c r="X2545" s="7" t="s">
        <v>103</v>
      </c>
      <c r="Y2545" s="8">
        <v>44315</v>
      </c>
      <c r="Z2545" s="8">
        <v>44926</v>
      </c>
      <c r="AA2545" s="7" t="s">
        <v>1251</v>
      </c>
      <c r="AB2545" s="7" t="s">
        <v>2186</v>
      </c>
      <c r="AC2545" s="7" t="s">
        <v>79</v>
      </c>
      <c r="AD2545" s="7" t="s">
        <v>80</v>
      </c>
      <c r="AE2545" s="7" t="s">
        <v>82</v>
      </c>
      <c r="AF2545" s="7" t="s">
        <v>0</v>
      </c>
      <c r="AG2545" s="7" t="s">
        <v>0</v>
      </c>
      <c r="AH2545" s="9" t="s">
        <v>11270</v>
      </c>
      <c r="AI2545" s="9" t="s">
        <v>11271</v>
      </c>
      <c r="AJ2545" s="9" t="s">
        <v>11272</v>
      </c>
      <c r="AK2545" s="7" t="s">
        <v>61</v>
      </c>
      <c r="AL2545" s="7" t="s">
        <v>61</v>
      </c>
      <c r="AM2545" s="7" t="s">
        <v>0</v>
      </c>
      <c r="AN2545" s="7" t="s">
        <v>0</v>
      </c>
      <c r="AO2545" s="7" t="s">
        <v>0</v>
      </c>
      <c r="AP2545" s="7" t="s">
        <v>0</v>
      </c>
      <c r="AQ2545" s="7" t="s">
        <v>61</v>
      </c>
      <c r="AR2545" s="7" t="s">
        <v>0</v>
      </c>
      <c r="AS2545" s="10" t="str">
        <f>HYPERLINK("https://tessa.gazprom-neft.local/edo/card/5d0245e9-e2cc-4941-849a-721f4ed9e9cd", "https://tessa.gazprom-neft.local/edo/card/5d0245e9-e2cc-4941-849a-721f4ed9e9cd")</f>
        <v>https://tessa.gazprom-neft.local/edo/card/5d0245e9-e2cc-4941-849a-721f4ed9e9cd</v>
      </c>
    </row>
    <row r="2546" spans="1:45" hidden="1" x14ac:dyDescent="0.25">
      <c r="A2546" s="6" t="s">
        <v>44</v>
      </c>
      <c r="B2546" s="7" t="s">
        <v>0</v>
      </c>
      <c r="C2546" s="7" t="s">
        <v>46</v>
      </c>
      <c r="D2546" s="8">
        <v>44314</v>
      </c>
      <c r="E2546" s="8" t="s">
        <v>0</v>
      </c>
      <c r="F2546" s="16" t="s">
        <v>2105</v>
      </c>
      <c r="G2546" s="7" t="s">
        <v>0</v>
      </c>
      <c r="H2546" s="7" t="s">
        <v>0</v>
      </c>
      <c r="I2546" s="7" t="s">
        <v>2102</v>
      </c>
      <c r="J2546" s="7" t="s">
        <v>2102</v>
      </c>
      <c r="K2546" s="7" t="s">
        <v>47</v>
      </c>
      <c r="L2546" s="7" t="s">
        <v>96</v>
      </c>
      <c r="M2546" s="7" t="s">
        <v>0</v>
      </c>
      <c r="N2546" s="7" t="s">
        <v>2101</v>
      </c>
      <c r="O2546" s="7" t="s">
        <v>0</v>
      </c>
      <c r="P2546" s="7" t="s">
        <v>2103</v>
      </c>
      <c r="Q2546" s="7" t="s">
        <v>2104</v>
      </c>
      <c r="R2546" s="7" t="s">
        <v>293</v>
      </c>
      <c r="S2546" s="7" t="s">
        <v>293</v>
      </c>
      <c r="T2546" s="7" t="s">
        <v>54</v>
      </c>
      <c r="U2546" s="7" t="s">
        <v>1683</v>
      </c>
      <c r="V2546" s="7" t="s">
        <v>295</v>
      </c>
      <c r="W2546" s="7" t="s">
        <v>57</v>
      </c>
      <c r="X2546" s="7" t="s">
        <v>58</v>
      </c>
      <c r="Y2546" s="8">
        <v>44314</v>
      </c>
      <c r="Z2546" s="8" t="s">
        <v>0</v>
      </c>
      <c r="AA2546" s="7" t="s">
        <v>1269</v>
      </c>
      <c r="AB2546" s="7" t="s">
        <v>555</v>
      </c>
      <c r="AC2546" s="7" t="s">
        <v>278</v>
      </c>
      <c r="AD2546" s="7" t="s">
        <v>80</v>
      </c>
      <c r="AE2546" s="7" t="s">
        <v>82</v>
      </c>
      <c r="AF2546" s="7" t="s">
        <v>0</v>
      </c>
      <c r="AG2546" s="7" t="s">
        <v>0</v>
      </c>
      <c r="AH2546" s="9" t="s">
        <v>11241</v>
      </c>
      <c r="AI2546" s="9" t="s">
        <v>11242</v>
      </c>
      <c r="AJ2546" s="9" t="s">
        <v>11243</v>
      </c>
      <c r="AK2546" s="7" t="s">
        <v>61</v>
      </c>
      <c r="AL2546" s="7" t="s">
        <v>61</v>
      </c>
      <c r="AM2546" s="7" t="s">
        <v>0</v>
      </c>
      <c r="AN2546" s="7" t="s">
        <v>0</v>
      </c>
      <c r="AO2546" s="7" t="s">
        <v>0</v>
      </c>
      <c r="AP2546" s="7" t="s">
        <v>0</v>
      </c>
      <c r="AQ2546" s="7" t="s">
        <v>61</v>
      </c>
      <c r="AR2546" s="7" t="s">
        <v>0</v>
      </c>
      <c r="AS2546" s="10" t="str">
        <f>HYPERLINK("https://tessa.gazprom-neft.local/edo/card/4c8bc9b3-8466-4515-a8ab-c75076d0198c", "https://tessa.gazprom-neft.local/edo/card/4c8bc9b3-8466-4515-a8ab-c75076d0198c")</f>
        <v>https://tessa.gazprom-neft.local/edo/card/4c8bc9b3-8466-4515-a8ab-c75076d0198c</v>
      </c>
    </row>
    <row r="2547" spans="1:45" x14ac:dyDescent="0.25">
      <c r="A2547" s="6" t="s">
        <v>44</v>
      </c>
      <c r="B2547" s="7" t="s">
        <v>813</v>
      </c>
      <c r="C2547" s="7" t="s">
        <v>67</v>
      </c>
      <c r="D2547" s="8">
        <v>44314</v>
      </c>
      <c r="E2547" s="8" t="s">
        <v>0</v>
      </c>
      <c r="F2547" s="16" t="s">
        <v>814</v>
      </c>
      <c r="G2547" s="7" t="s">
        <v>815</v>
      </c>
      <c r="H2547" s="7" t="s">
        <v>4086</v>
      </c>
      <c r="I2547" s="7" t="s">
        <v>0</v>
      </c>
      <c r="J2547" s="7" t="s">
        <v>4087</v>
      </c>
      <c r="K2547" s="7" t="s">
        <v>47</v>
      </c>
      <c r="L2547" s="7" t="s">
        <v>48</v>
      </c>
      <c r="M2547" s="7" t="s">
        <v>0</v>
      </c>
      <c r="N2547" s="7" t="s">
        <v>4085</v>
      </c>
      <c r="O2547" s="7" t="s">
        <v>0</v>
      </c>
      <c r="P2547" s="7" t="s">
        <v>4087</v>
      </c>
      <c r="Q2547" s="7" t="s">
        <v>4088</v>
      </c>
      <c r="R2547" s="7" t="s">
        <v>540</v>
      </c>
      <c r="S2547" s="7" t="s">
        <v>0</v>
      </c>
      <c r="T2547" s="7" t="s">
        <v>54</v>
      </c>
      <c r="U2547" s="7" t="s">
        <v>541</v>
      </c>
      <c r="V2547" s="7" t="s">
        <v>56</v>
      </c>
      <c r="W2547" s="7" t="s">
        <v>57</v>
      </c>
      <c r="X2547" s="7" t="s">
        <v>103</v>
      </c>
      <c r="Y2547" s="8">
        <v>44344</v>
      </c>
      <c r="Z2547" s="8">
        <v>44561</v>
      </c>
      <c r="AA2547" s="7" t="s">
        <v>1251</v>
      </c>
      <c r="AB2547" s="7" t="s">
        <v>4089</v>
      </c>
      <c r="AC2547" s="7" t="s">
        <v>79</v>
      </c>
      <c r="AD2547" s="7" t="s">
        <v>144</v>
      </c>
      <c r="AE2547" s="7" t="s">
        <v>82</v>
      </c>
      <c r="AF2547" s="7" t="s">
        <v>0</v>
      </c>
      <c r="AG2547" s="7" t="s">
        <v>0</v>
      </c>
      <c r="AH2547" s="9">
        <v>0.01</v>
      </c>
      <c r="AI2547" s="9">
        <v>0.01</v>
      </c>
      <c r="AJ2547" s="9">
        <v>0</v>
      </c>
      <c r="AK2547" s="7" t="s">
        <v>61</v>
      </c>
      <c r="AL2547" s="7" t="s">
        <v>61</v>
      </c>
      <c r="AM2547" s="7" t="s">
        <v>0</v>
      </c>
      <c r="AN2547" s="7" t="s">
        <v>0</v>
      </c>
      <c r="AO2547" s="7" t="s">
        <v>0</v>
      </c>
      <c r="AP2547" s="7" t="s">
        <v>0</v>
      </c>
      <c r="AQ2547" s="7" t="s">
        <v>61</v>
      </c>
      <c r="AR2547" s="7" t="s">
        <v>0</v>
      </c>
      <c r="AS2547" s="10" t="str">
        <f>HYPERLINK("https://tessa.gazprom-neft.local/edo/card/6d249ad4-cf08-4446-a348-af129ed67315", "https://tessa.gazprom-neft.local/edo/card/6d249ad4-cf08-4446-a348-af129ed67315")</f>
        <v>https://tessa.gazprom-neft.local/edo/card/6d249ad4-cf08-4446-a348-af129ed67315</v>
      </c>
    </row>
    <row r="2548" spans="1:45" hidden="1" x14ac:dyDescent="0.25">
      <c r="A2548" s="6" t="s">
        <v>44</v>
      </c>
      <c r="B2548" s="7" t="s">
        <v>245</v>
      </c>
      <c r="C2548" s="7" t="s">
        <v>67</v>
      </c>
      <c r="D2548" s="8">
        <v>44312</v>
      </c>
      <c r="E2548" s="8" t="s">
        <v>0</v>
      </c>
      <c r="F2548" s="16" t="s">
        <v>246</v>
      </c>
      <c r="G2548" s="7" t="s">
        <v>247</v>
      </c>
      <c r="H2548" s="7" t="s">
        <v>1205</v>
      </c>
      <c r="I2548" s="7" t="s">
        <v>0</v>
      </c>
      <c r="J2548" s="7" t="s">
        <v>1207</v>
      </c>
      <c r="K2548" s="7" t="s">
        <v>47</v>
      </c>
      <c r="L2548" s="7" t="s">
        <v>239</v>
      </c>
      <c r="M2548" s="7" t="s">
        <v>0</v>
      </c>
      <c r="N2548" s="7" t="s">
        <v>1204</v>
      </c>
      <c r="O2548" s="7" t="s">
        <v>0</v>
      </c>
      <c r="P2548" s="7" t="s">
        <v>1206</v>
      </c>
      <c r="Q2548" s="7" t="s">
        <v>1208</v>
      </c>
      <c r="R2548" s="7" t="s">
        <v>244</v>
      </c>
      <c r="S2548" s="7" t="s">
        <v>244</v>
      </c>
      <c r="T2548" s="7" t="s">
        <v>54</v>
      </c>
      <c r="U2548" s="7" t="s">
        <v>55</v>
      </c>
      <c r="V2548" s="7" t="s">
        <v>56</v>
      </c>
      <c r="W2548" s="7" t="s">
        <v>57</v>
      </c>
      <c r="X2548" s="7" t="s">
        <v>103</v>
      </c>
      <c r="Y2548" s="8">
        <v>44312</v>
      </c>
      <c r="Z2548" s="8">
        <v>44561</v>
      </c>
      <c r="AA2548" s="7" t="s">
        <v>0</v>
      </c>
      <c r="AB2548" s="7" t="s">
        <v>248</v>
      </c>
      <c r="AC2548" s="7" t="s">
        <v>79</v>
      </c>
      <c r="AD2548" s="7" t="s">
        <v>144</v>
      </c>
      <c r="AE2548" s="7" t="s">
        <v>82</v>
      </c>
      <c r="AF2548" s="7" t="s">
        <v>0</v>
      </c>
      <c r="AG2548" s="7" t="s">
        <v>0</v>
      </c>
      <c r="AH2548" s="9" t="s">
        <v>10952</v>
      </c>
      <c r="AI2548" s="9" t="s">
        <v>10953</v>
      </c>
      <c r="AJ2548" s="9" t="s">
        <v>10954</v>
      </c>
      <c r="AK2548" s="7" t="s">
        <v>61</v>
      </c>
      <c r="AL2548" s="7" t="s">
        <v>61</v>
      </c>
      <c r="AM2548" s="7" t="s">
        <v>0</v>
      </c>
      <c r="AN2548" s="7" t="s">
        <v>0</v>
      </c>
      <c r="AO2548" s="7" t="s">
        <v>0</v>
      </c>
      <c r="AP2548" s="7" t="s">
        <v>0</v>
      </c>
      <c r="AQ2548" s="7" t="s">
        <v>61</v>
      </c>
      <c r="AR2548" s="7" t="s">
        <v>0</v>
      </c>
      <c r="AS2548" s="10" t="str">
        <f>HYPERLINK("https://tessa.gazprom-neft.local/edo/card/ccc58383-aaff-4cf8-8305-110ba93f5d88", "https://tessa.gazprom-neft.local/edo/card/ccc58383-aaff-4cf8-8305-110ba93f5d88")</f>
        <v>https://tessa.gazprom-neft.local/edo/card/ccc58383-aaff-4cf8-8305-110ba93f5d88</v>
      </c>
    </row>
    <row r="2549" spans="1:45" hidden="1" x14ac:dyDescent="0.25">
      <c r="A2549" s="6" t="s">
        <v>44</v>
      </c>
      <c r="B2549" s="7" t="s">
        <v>1611</v>
      </c>
      <c r="C2549" s="7" t="s">
        <v>67</v>
      </c>
      <c r="D2549" s="8">
        <v>44312</v>
      </c>
      <c r="E2549" s="8" t="s">
        <v>0</v>
      </c>
      <c r="F2549" s="16" t="s">
        <v>1612</v>
      </c>
      <c r="G2549" s="7" t="s">
        <v>1613</v>
      </c>
      <c r="H2549" s="7" t="s">
        <v>1606</v>
      </c>
      <c r="I2549" s="7" t="s">
        <v>0</v>
      </c>
      <c r="J2549" s="7" t="s">
        <v>1608</v>
      </c>
      <c r="K2549" s="7" t="s">
        <v>47</v>
      </c>
      <c r="L2549" s="7" t="s">
        <v>239</v>
      </c>
      <c r="M2549" s="7" t="s">
        <v>0</v>
      </c>
      <c r="N2549" s="7" t="s">
        <v>1605</v>
      </c>
      <c r="O2549" s="7" t="s">
        <v>0</v>
      </c>
      <c r="P2549" s="7" t="s">
        <v>1607</v>
      </c>
      <c r="Q2549" s="7" t="s">
        <v>1609</v>
      </c>
      <c r="R2549" s="7" t="s">
        <v>1610</v>
      </c>
      <c r="S2549" s="7" t="s">
        <v>0</v>
      </c>
      <c r="T2549" s="7" t="s">
        <v>54</v>
      </c>
      <c r="U2549" s="7" t="s">
        <v>101</v>
      </c>
      <c r="V2549" s="7" t="s">
        <v>102</v>
      </c>
      <c r="W2549" s="7" t="s">
        <v>57</v>
      </c>
      <c r="X2549" s="7" t="s">
        <v>103</v>
      </c>
      <c r="Y2549" s="8">
        <v>44312</v>
      </c>
      <c r="Z2549" s="8">
        <v>44333</v>
      </c>
      <c r="AA2549" s="7" t="s">
        <v>0</v>
      </c>
      <c r="AB2549" s="7" t="s">
        <v>1614</v>
      </c>
      <c r="AC2549" s="7" t="s">
        <v>79</v>
      </c>
      <c r="AD2549" s="7" t="s">
        <v>80</v>
      </c>
      <c r="AE2549" s="7" t="s">
        <v>118</v>
      </c>
      <c r="AF2549" s="7" t="s">
        <v>0</v>
      </c>
      <c r="AG2549" s="7" t="s">
        <v>0</v>
      </c>
      <c r="AH2549" s="9" t="s">
        <v>11068</v>
      </c>
      <c r="AI2549" s="9" t="s">
        <v>11068</v>
      </c>
      <c r="AJ2549" s="9">
        <v>0</v>
      </c>
      <c r="AK2549" s="7" t="s">
        <v>61</v>
      </c>
      <c r="AL2549" s="7" t="s">
        <v>61</v>
      </c>
      <c r="AM2549" s="7" t="s">
        <v>0</v>
      </c>
      <c r="AN2549" s="7" t="s">
        <v>0</v>
      </c>
      <c r="AO2549" s="7" t="s">
        <v>0</v>
      </c>
      <c r="AP2549" s="7" t="s">
        <v>0</v>
      </c>
      <c r="AQ2549" s="7" t="s">
        <v>61</v>
      </c>
      <c r="AR2549" s="7" t="s">
        <v>0</v>
      </c>
      <c r="AS2549" s="10" t="str">
        <f>HYPERLINK("https://tessa.gazprom-neft.local/edo/card/4f2d6d6e-10ad-48be-96bc-778b340d9bb2", "https://tessa.gazprom-neft.local/edo/card/4f2d6d6e-10ad-48be-96bc-778b340d9bb2")</f>
        <v>https://tessa.gazprom-neft.local/edo/card/4f2d6d6e-10ad-48be-96bc-778b340d9bb2</v>
      </c>
    </row>
    <row r="2550" spans="1:45" hidden="1" x14ac:dyDescent="0.25">
      <c r="A2550" s="6" t="s">
        <v>44</v>
      </c>
      <c r="B2550" s="7" t="s">
        <v>1712</v>
      </c>
      <c r="C2550" s="7" t="s">
        <v>67</v>
      </c>
      <c r="D2550" s="8">
        <v>44312</v>
      </c>
      <c r="E2550" s="8" t="s">
        <v>0</v>
      </c>
      <c r="F2550" s="16" t="s">
        <v>1713</v>
      </c>
      <c r="G2550" s="7" t="s">
        <v>1714</v>
      </c>
      <c r="H2550" s="7" t="s">
        <v>1723</v>
      </c>
      <c r="I2550" s="7" t="s">
        <v>0</v>
      </c>
      <c r="J2550" s="7" t="s">
        <v>1769</v>
      </c>
      <c r="K2550" s="7" t="s">
        <v>47</v>
      </c>
      <c r="L2550" s="7" t="s">
        <v>239</v>
      </c>
      <c r="M2550" s="7" t="s">
        <v>0</v>
      </c>
      <c r="N2550" s="7" t="s">
        <v>1768</v>
      </c>
      <c r="O2550" s="7" t="s">
        <v>0</v>
      </c>
      <c r="P2550" s="7" t="s">
        <v>1707</v>
      </c>
      <c r="Q2550" s="7" t="s">
        <v>1710</v>
      </c>
      <c r="R2550" s="7" t="s">
        <v>1711</v>
      </c>
      <c r="S2550" s="7" t="s">
        <v>1711</v>
      </c>
      <c r="T2550" s="7" t="s">
        <v>54</v>
      </c>
      <c r="U2550" s="7" t="s">
        <v>605</v>
      </c>
      <c r="V2550" s="7" t="s">
        <v>137</v>
      </c>
      <c r="W2550" s="7" t="s">
        <v>57</v>
      </c>
      <c r="X2550" s="7" t="s">
        <v>103</v>
      </c>
      <c r="Y2550" s="8">
        <v>44164</v>
      </c>
      <c r="Z2550" s="8">
        <v>45291</v>
      </c>
      <c r="AA2550" s="7" t="s">
        <v>0</v>
      </c>
      <c r="AB2550" s="7" t="s">
        <v>1715</v>
      </c>
      <c r="AC2550" s="7" t="s">
        <v>79</v>
      </c>
      <c r="AD2550" s="7" t="s">
        <v>144</v>
      </c>
      <c r="AE2550" s="7" t="s">
        <v>889</v>
      </c>
      <c r="AF2550" s="7" t="s">
        <v>0</v>
      </c>
      <c r="AG2550" s="7" t="s">
        <v>0</v>
      </c>
      <c r="AH2550" s="9" t="s">
        <v>11118</v>
      </c>
      <c r="AI2550" s="9" t="s">
        <v>11118</v>
      </c>
      <c r="AJ2550" s="9">
        <v>0</v>
      </c>
      <c r="AK2550" s="7" t="s">
        <v>61</v>
      </c>
      <c r="AL2550" s="7" t="s">
        <v>61</v>
      </c>
      <c r="AM2550" s="7" t="s">
        <v>0</v>
      </c>
      <c r="AN2550" s="7" t="s">
        <v>0</v>
      </c>
      <c r="AO2550" s="7" t="s">
        <v>0</v>
      </c>
      <c r="AP2550" s="7" t="s">
        <v>0</v>
      </c>
      <c r="AQ2550" s="7" t="s">
        <v>61</v>
      </c>
      <c r="AR2550" s="7" t="s">
        <v>0</v>
      </c>
      <c r="AS2550" s="10" t="str">
        <f>HYPERLINK("https://tessa.gazprom-neft.local/edo/card/850463ce-de31-4114-b175-28a0c7e1edc1", "https://tessa.gazprom-neft.local/edo/card/850463ce-de31-4114-b175-28a0c7e1edc1")</f>
        <v>https://tessa.gazprom-neft.local/edo/card/850463ce-de31-4114-b175-28a0c7e1edc1</v>
      </c>
    </row>
    <row r="2551" spans="1:45" hidden="1" x14ac:dyDescent="0.25">
      <c r="A2551" s="6" t="s">
        <v>44</v>
      </c>
      <c r="B2551" s="7" t="s">
        <v>0</v>
      </c>
      <c r="C2551" s="7" t="s">
        <v>46</v>
      </c>
      <c r="D2551" s="8">
        <v>44312</v>
      </c>
      <c r="E2551" s="8" t="s">
        <v>0</v>
      </c>
      <c r="F2551" s="16" t="s">
        <v>1892</v>
      </c>
      <c r="G2551" s="7" t="s">
        <v>0</v>
      </c>
      <c r="H2551" s="7" t="s">
        <v>0</v>
      </c>
      <c r="I2551" s="7" t="s">
        <v>1890</v>
      </c>
      <c r="J2551" s="7" t="s">
        <v>1890</v>
      </c>
      <c r="K2551" s="7" t="s">
        <v>85</v>
      </c>
      <c r="L2551" s="7" t="s">
        <v>96</v>
      </c>
      <c r="M2551" s="7" t="s">
        <v>1888</v>
      </c>
      <c r="N2551" s="7" t="s">
        <v>1889</v>
      </c>
      <c r="O2551" s="7" t="s">
        <v>0</v>
      </c>
      <c r="P2551" s="7" t="s">
        <v>1888</v>
      </c>
      <c r="Q2551" s="7" t="s">
        <v>1891</v>
      </c>
      <c r="R2551" s="7" t="s">
        <v>1434</v>
      </c>
      <c r="S2551" s="7" t="s">
        <v>1711</v>
      </c>
      <c r="T2551" s="7" t="s">
        <v>54</v>
      </c>
      <c r="U2551" s="7" t="s">
        <v>1683</v>
      </c>
      <c r="V2551" s="7" t="s">
        <v>137</v>
      </c>
      <c r="W2551" s="7" t="s">
        <v>57</v>
      </c>
      <c r="X2551" s="7" t="s">
        <v>103</v>
      </c>
      <c r="Y2551" s="8">
        <v>44312</v>
      </c>
      <c r="Z2551" s="8">
        <v>45291</v>
      </c>
      <c r="AA2551" s="7" t="s">
        <v>0</v>
      </c>
      <c r="AB2551" s="7" t="s">
        <v>1893</v>
      </c>
      <c r="AC2551" s="7" t="s">
        <v>79</v>
      </c>
      <c r="AD2551" s="7" t="s">
        <v>144</v>
      </c>
      <c r="AE2551" s="7" t="s">
        <v>82</v>
      </c>
      <c r="AF2551" s="7" t="s">
        <v>0</v>
      </c>
      <c r="AG2551" s="7" t="s">
        <v>0</v>
      </c>
      <c r="AH2551" s="9" t="s">
        <v>11164</v>
      </c>
      <c r="AI2551" s="9" t="s">
        <v>11165</v>
      </c>
      <c r="AJ2551" s="9" t="s">
        <v>11166</v>
      </c>
      <c r="AK2551" s="7" t="s">
        <v>61</v>
      </c>
      <c r="AL2551" s="7" t="s">
        <v>61</v>
      </c>
      <c r="AM2551" s="7" t="s">
        <v>0</v>
      </c>
      <c r="AN2551" s="7" t="s">
        <v>0</v>
      </c>
      <c r="AO2551" s="7" t="s">
        <v>0</v>
      </c>
      <c r="AP2551" s="7" t="s">
        <v>0</v>
      </c>
      <c r="AQ2551" s="7" t="s">
        <v>61</v>
      </c>
      <c r="AR2551" s="7" t="s">
        <v>0</v>
      </c>
      <c r="AS2551" s="10" t="str">
        <f>HYPERLINK("https://tessa.gazprom-neft.local/edo/card/00fa7812-a1a0-4b22-96e9-9437faaef469", "https://tessa.gazprom-neft.local/edo/card/00fa7812-a1a0-4b22-96e9-9437faaef469")</f>
        <v>https://tessa.gazprom-neft.local/edo/card/00fa7812-a1a0-4b22-96e9-9437faaef469</v>
      </c>
    </row>
    <row r="2552" spans="1:45" hidden="1" x14ac:dyDescent="0.25">
      <c r="A2552" s="6" t="s">
        <v>44</v>
      </c>
      <c r="B2552" s="7" t="s">
        <v>542</v>
      </c>
      <c r="C2552" s="7" t="s">
        <v>67</v>
      </c>
      <c r="D2552" s="8">
        <v>44308</v>
      </c>
      <c r="E2552" s="8" t="s">
        <v>0</v>
      </c>
      <c r="F2552" s="16" t="s">
        <v>543</v>
      </c>
      <c r="G2552" s="7" t="s">
        <v>544</v>
      </c>
      <c r="H2552" s="7" t="s">
        <v>536</v>
      </c>
      <c r="I2552" s="7" t="s">
        <v>0</v>
      </c>
      <c r="J2552" s="7" t="s">
        <v>2166</v>
      </c>
      <c r="K2552" s="7" t="s">
        <v>47</v>
      </c>
      <c r="L2552" s="7" t="s">
        <v>239</v>
      </c>
      <c r="M2552" s="7" t="s">
        <v>0</v>
      </c>
      <c r="N2552" s="7" t="s">
        <v>2164</v>
      </c>
      <c r="O2552" s="7" t="s">
        <v>0</v>
      </c>
      <c r="P2552" s="7" t="s">
        <v>2165</v>
      </c>
      <c r="Q2552" s="7" t="s">
        <v>2167</v>
      </c>
      <c r="R2552" s="7" t="s">
        <v>540</v>
      </c>
      <c r="S2552" s="7" t="s">
        <v>0</v>
      </c>
      <c r="T2552" s="7" t="s">
        <v>54</v>
      </c>
      <c r="U2552" s="7" t="s">
        <v>541</v>
      </c>
      <c r="V2552" s="7" t="s">
        <v>56</v>
      </c>
      <c r="W2552" s="7" t="s">
        <v>57</v>
      </c>
      <c r="X2552" s="7" t="s">
        <v>103</v>
      </c>
      <c r="Y2552" s="8">
        <v>44308</v>
      </c>
      <c r="Z2552" s="8">
        <v>44500</v>
      </c>
      <c r="AA2552" s="7" t="s">
        <v>1251</v>
      </c>
      <c r="AB2552" s="7" t="s">
        <v>545</v>
      </c>
      <c r="AC2552" s="7" t="s">
        <v>79</v>
      </c>
      <c r="AD2552" s="7" t="s">
        <v>144</v>
      </c>
      <c r="AE2552" s="7" t="s">
        <v>82</v>
      </c>
      <c r="AF2552" s="7" t="s">
        <v>0</v>
      </c>
      <c r="AG2552" s="7" t="s">
        <v>0</v>
      </c>
      <c r="AH2552" s="9" t="s">
        <v>11264</v>
      </c>
      <c r="AI2552" s="9" t="s">
        <v>11265</v>
      </c>
      <c r="AJ2552" s="9" t="s">
        <v>11266</v>
      </c>
      <c r="AK2552" s="7" t="s">
        <v>61</v>
      </c>
      <c r="AL2552" s="7" t="s">
        <v>61</v>
      </c>
      <c r="AM2552" s="7" t="s">
        <v>0</v>
      </c>
      <c r="AN2552" s="7" t="s">
        <v>0</v>
      </c>
      <c r="AO2552" s="7" t="s">
        <v>0</v>
      </c>
      <c r="AP2552" s="7" t="s">
        <v>0</v>
      </c>
      <c r="AQ2552" s="7" t="s">
        <v>61</v>
      </c>
      <c r="AR2552" s="7" t="s">
        <v>0</v>
      </c>
      <c r="AS2552" s="10" t="str">
        <f>HYPERLINK("https://tessa.gazprom-neft.local/edo/card/8252e533-8516-4ef2-9136-fc429c50210d", "https://tessa.gazprom-neft.local/edo/card/8252e533-8516-4ef2-9136-fc429c50210d")</f>
        <v>https://tessa.gazprom-neft.local/edo/card/8252e533-8516-4ef2-9136-fc429c50210d</v>
      </c>
    </row>
    <row r="2553" spans="1:45" hidden="1" x14ac:dyDescent="0.25">
      <c r="A2553" s="6" t="s">
        <v>44</v>
      </c>
      <c r="B2553" s="7" t="s">
        <v>964</v>
      </c>
      <c r="C2553" s="7" t="s">
        <v>46</v>
      </c>
      <c r="D2553" s="8">
        <v>44308</v>
      </c>
      <c r="E2553" s="8" t="s">
        <v>0</v>
      </c>
      <c r="F2553" s="16" t="s">
        <v>965</v>
      </c>
      <c r="G2553" s="7" t="s">
        <v>966</v>
      </c>
      <c r="H2553" s="7" t="s">
        <v>0</v>
      </c>
      <c r="I2553" s="7" t="s">
        <v>2242</v>
      </c>
      <c r="J2553" s="7" t="s">
        <v>2242</v>
      </c>
      <c r="K2553" s="7" t="s">
        <v>47</v>
      </c>
      <c r="L2553" s="7" t="s">
        <v>96</v>
      </c>
      <c r="M2553" s="7" t="s">
        <v>0</v>
      </c>
      <c r="N2553" s="7" t="s">
        <v>2241</v>
      </c>
      <c r="O2553" s="7" t="s">
        <v>0</v>
      </c>
      <c r="P2553" s="7" t="s">
        <v>2243</v>
      </c>
      <c r="Q2553" s="7" t="s">
        <v>963</v>
      </c>
      <c r="R2553" s="7" t="s">
        <v>361</v>
      </c>
      <c r="S2553" s="7" t="s">
        <v>0</v>
      </c>
      <c r="T2553" s="7" t="s">
        <v>54</v>
      </c>
      <c r="U2553" s="7" t="s">
        <v>1683</v>
      </c>
      <c r="V2553" s="7" t="s">
        <v>295</v>
      </c>
      <c r="W2553" s="7" t="s">
        <v>57</v>
      </c>
      <c r="X2553" s="7" t="s">
        <v>103</v>
      </c>
      <c r="Y2553" s="8">
        <v>44317</v>
      </c>
      <c r="Z2553" s="8">
        <v>44561</v>
      </c>
      <c r="AA2553" s="7" t="s">
        <v>1269</v>
      </c>
      <c r="AB2553" s="7" t="s">
        <v>1748</v>
      </c>
      <c r="AC2553" s="7" t="s">
        <v>278</v>
      </c>
      <c r="AD2553" s="7" t="s">
        <v>367</v>
      </c>
      <c r="AE2553" s="7" t="s">
        <v>82</v>
      </c>
      <c r="AF2553" s="7" t="s">
        <v>0</v>
      </c>
      <c r="AG2553" s="7" t="s">
        <v>0</v>
      </c>
      <c r="AH2553" s="9" t="s">
        <v>11290</v>
      </c>
      <c r="AI2553" s="9" t="s">
        <v>11291</v>
      </c>
      <c r="AJ2553" s="9" t="s">
        <v>11292</v>
      </c>
      <c r="AK2553" s="7" t="s">
        <v>61</v>
      </c>
      <c r="AL2553" s="7" t="s">
        <v>61</v>
      </c>
      <c r="AM2553" s="7" t="s">
        <v>0</v>
      </c>
      <c r="AN2553" s="7" t="s">
        <v>0</v>
      </c>
      <c r="AO2553" s="7" t="s">
        <v>0</v>
      </c>
      <c r="AP2553" s="7" t="s">
        <v>0</v>
      </c>
      <c r="AQ2553" s="7" t="s">
        <v>61</v>
      </c>
      <c r="AR2553" s="7" t="s">
        <v>0</v>
      </c>
      <c r="AS2553" s="10" t="str">
        <f>HYPERLINK("https://tessa.gazprom-neft.local/edo/card/c654b93a-889f-4325-912f-c526ee35e9a2", "https://tessa.gazprom-neft.local/edo/card/c654b93a-889f-4325-912f-c526ee35e9a2")</f>
        <v>https://tessa.gazprom-neft.local/edo/card/c654b93a-889f-4325-912f-c526ee35e9a2</v>
      </c>
    </row>
    <row r="2554" spans="1:45" hidden="1" x14ac:dyDescent="0.25">
      <c r="A2554" s="6" t="s">
        <v>44</v>
      </c>
      <c r="B2554" s="7" t="s">
        <v>2050</v>
      </c>
      <c r="C2554" s="7" t="s">
        <v>67</v>
      </c>
      <c r="D2554" s="8">
        <v>44307</v>
      </c>
      <c r="E2554" s="8" t="s">
        <v>0</v>
      </c>
      <c r="F2554" s="16" t="s">
        <v>2051</v>
      </c>
      <c r="G2554" s="7" t="s">
        <v>2052</v>
      </c>
      <c r="H2554" s="7" t="s">
        <v>2047</v>
      </c>
      <c r="I2554" s="7" t="s">
        <v>0</v>
      </c>
      <c r="J2554" s="7" t="s">
        <v>2048</v>
      </c>
      <c r="K2554" s="7" t="s">
        <v>85</v>
      </c>
      <c r="L2554" s="7" t="s">
        <v>239</v>
      </c>
      <c r="M2554" s="7" t="s">
        <v>2045</v>
      </c>
      <c r="N2554" s="7" t="s">
        <v>2046</v>
      </c>
      <c r="O2554" s="7" t="s">
        <v>0</v>
      </c>
      <c r="P2554" s="7" t="s">
        <v>2045</v>
      </c>
      <c r="Q2554" s="7" t="s">
        <v>2049</v>
      </c>
      <c r="R2554" s="7" t="s">
        <v>1256</v>
      </c>
      <c r="S2554" s="7" t="s">
        <v>1256</v>
      </c>
      <c r="T2554" s="7" t="s">
        <v>54</v>
      </c>
      <c r="U2554" s="7" t="s">
        <v>591</v>
      </c>
      <c r="V2554" s="7" t="s">
        <v>382</v>
      </c>
      <c r="W2554" s="7" t="s">
        <v>57</v>
      </c>
      <c r="X2554" s="7" t="s">
        <v>103</v>
      </c>
      <c r="Y2554" s="8">
        <v>44307</v>
      </c>
      <c r="Z2554" s="8">
        <v>44712</v>
      </c>
      <c r="AA2554" s="7" t="s">
        <v>1656</v>
      </c>
      <c r="AB2554" s="7" t="s">
        <v>2053</v>
      </c>
      <c r="AC2554" s="7" t="s">
        <v>79</v>
      </c>
      <c r="AD2554" s="7" t="s">
        <v>144</v>
      </c>
      <c r="AE2554" s="7" t="s">
        <v>82</v>
      </c>
      <c r="AF2554" s="7" t="s">
        <v>0</v>
      </c>
      <c r="AG2554" s="7" t="s">
        <v>0</v>
      </c>
      <c r="AH2554" s="9" t="s">
        <v>11226</v>
      </c>
      <c r="AI2554" s="9" t="s">
        <v>11227</v>
      </c>
      <c r="AJ2554" s="9" t="s">
        <v>11228</v>
      </c>
      <c r="AK2554" s="7" t="s">
        <v>61</v>
      </c>
      <c r="AL2554" s="7" t="s">
        <v>61</v>
      </c>
      <c r="AM2554" s="7" t="s">
        <v>0</v>
      </c>
      <c r="AN2554" s="7" t="s">
        <v>0</v>
      </c>
      <c r="AO2554" s="7" t="s">
        <v>0</v>
      </c>
      <c r="AP2554" s="7" t="s">
        <v>0</v>
      </c>
      <c r="AQ2554" s="7" t="s">
        <v>61</v>
      </c>
      <c r="AR2554" s="7" t="s">
        <v>0</v>
      </c>
      <c r="AS2554" s="10" t="str">
        <f>HYPERLINK("https://tessa.gazprom-neft.local/edo/card/eaaf000b-d3cc-4bbd-8496-6c47cd54333f", "https://tessa.gazprom-neft.local/edo/card/eaaf000b-d3cc-4bbd-8496-6c47cd54333f")</f>
        <v>https://tessa.gazprom-neft.local/edo/card/eaaf000b-d3cc-4bbd-8496-6c47cd54333f</v>
      </c>
    </row>
    <row r="2555" spans="1:45" hidden="1" x14ac:dyDescent="0.25">
      <c r="A2555" s="6" t="s">
        <v>44</v>
      </c>
      <c r="B2555" s="7" t="s">
        <v>2050</v>
      </c>
      <c r="C2555" s="7" t="s">
        <v>67</v>
      </c>
      <c r="D2555" s="8">
        <v>44307</v>
      </c>
      <c r="E2555" s="8" t="s">
        <v>0</v>
      </c>
      <c r="F2555" s="16" t="s">
        <v>2051</v>
      </c>
      <c r="G2555" s="7" t="s">
        <v>2052</v>
      </c>
      <c r="H2555" s="7" t="s">
        <v>2047</v>
      </c>
      <c r="I2555" s="7" t="s">
        <v>0</v>
      </c>
      <c r="J2555" s="7" t="s">
        <v>2066</v>
      </c>
      <c r="K2555" s="7" t="s">
        <v>85</v>
      </c>
      <c r="L2555" s="7" t="s">
        <v>239</v>
      </c>
      <c r="M2555" s="7" t="s">
        <v>2045</v>
      </c>
      <c r="N2555" s="7" t="s">
        <v>2064</v>
      </c>
      <c r="O2555" s="7" t="s">
        <v>2065</v>
      </c>
      <c r="P2555" s="7" t="s">
        <v>2045</v>
      </c>
      <c r="Q2555" s="7" t="s">
        <v>2067</v>
      </c>
      <c r="R2555" s="7" t="s">
        <v>1256</v>
      </c>
      <c r="S2555" s="7" t="s">
        <v>1256</v>
      </c>
      <c r="T2555" s="7" t="s">
        <v>54</v>
      </c>
      <c r="U2555" s="7" t="s">
        <v>591</v>
      </c>
      <c r="V2555" s="7" t="s">
        <v>382</v>
      </c>
      <c r="W2555" s="7" t="s">
        <v>57</v>
      </c>
      <c r="X2555" s="7" t="s">
        <v>103</v>
      </c>
      <c r="Y2555" s="8">
        <v>44307</v>
      </c>
      <c r="Z2555" s="8">
        <v>44926</v>
      </c>
      <c r="AA2555" s="7" t="s">
        <v>1656</v>
      </c>
      <c r="AB2555" s="7" t="s">
        <v>2053</v>
      </c>
      <c r="AC2555" s="7" t="s">
        <v>65</v>
      </c>
      <c r="AD2555" s="7" t="s">
        <v>144</v>
      </c>
      <c r="AE2555" s="7" t="s">
        <v>0</v>
      </c>
      <c r="AF2555" s="7" t="s">
        <v>0</v>
      </c>
      <c r="AG2555" s="7" t="s">
        <v>0</v>
      </c>
      <c r="AH2555" s="9" t="s">
        <v>0</v>
      </c>
      <c r="AI2555" s="9" t="s">
        <v>0</v>
      </c>
      <c r="AJ2555" s="9" t="s">
        <v>0</v>
      </c>
      <c r="AK2555" s="7" t="s">
        <v>61</v>
      </c>
      <c r="AL2555" s="7" t="s">
        <v>61</v>
      </c>
      <c r="AM2555" s="7" t="s">
        <v>0</v>
      </c>
      <c r="AN2555" s="7" t="s">
        <v>0</v>
      </c>
      <c r="AO2555" s="7" t="s">
        <v>0</v>
      </c>
      <c r="AP2555" s="7" t="s">
        <v>0</v>
      </c>
      <c r="AQ2555" s="7" t="s">
        <v>61</v>
      </c>
      <c r="AR2555" s="7" t="s">
        <v>0</v>
      </c>
      <c r="AS2555" s="10" t="str">
        <f>HYPERLINK("https://tessa.gazprom-neft.local/edo/card/8486b6d7-f931-44db-b3c2-d30183e3683d", "https://tessa.gazprom-neft.local/edo/card/8486b6d7-f931-44db-b3c2-d30183e3683d")</f>
        <v>https://tessa.gazprom-neft.local/edo/card/8486b6d7-f931-44db-b3c2-d30183e3683d</v>
      </c>
    </row>
    <row r="2556" spans="1:45" x14ac:dyDescent="0.25">
      <c r="A2556" s="6" t="s">
        <v>44</v>
      </c>
      <c r="B2556" s="7" t="s">
        <v>885</v>
      </c>
      <c r="C2556" s="7" t="s">
        <v>67</v>
      </c>
      <c r="D2556" s="8">
        <v>44306</v>
      </c>
      <c r="E2556" s="8" t="s">
        <v>0</v>
      </c>
      <c r="F2556" s="16" t="s">
        <v>886</v>
      </c>
      <c r="G2556" s="7" t="s">
        <v>887</v>
      </c>
      <c r="H2556" s="7" t="s">
        <v>1421</v>
      </c>
      <c r="I2556" s="7" t="s">
        <v>0</v>
      </c>
      <c r="J2556" s="7" t="s">
        <v>1422</v>
      </c>
      <c r="K2556" s="7" t="s">
        <v>47</v>
      </c>
      <c r="L2556" s="7" t="s">
        <v>48</v>
      </c>
      <c r="M2556" s="7" t="s">
        <v>0</v>
      </c>
      <c r="N2556" s="7" t="s">
        <v>1420</v>
      </c>
      <c r="O2556" s="7" t="s">
        <v>0</v>
      </c>
      <c r="P2556" s="7" t="s">
        <v>1422</v>
      </c>
      <c r="Q2556" s="7" t="s">
        <v>1423</v>
      </c>
      <c r="R2556" s="7" t="s">
        <v>604</v>
      </c>
      <c r="S2556" s="7" t="s">
        <v>604</v>
      </c>
      <c r="T2556" s="7" t="s">
        <v>54</v>
      </c>
      <c r="U2556" s="7" t="s">
        <v>605</v>
      </c>
      <c r="V2556" s="7" t="s">
        <v>1424</v>
      </c>
      <c r="W2556" s="7" t="s">
        <v>57</v>
      </c>
      <c r="X2556" s="7" t="s">
        <v>103</v>
      </c>
      <c r="Y2556" s="8">
        <v>44306</v>
      </c>
      <c r="Z2556" s="8">
        <v>44561</v>
      </c>
      <c r="AA2556" s="7" t="s">
        <v>0</v>
      </c>
      <c r="AB2556" s="7" t="s">
        <v>888</v>
      </c>
      <c r="AC2556" s="7" t="s">
        <v>65</v>
      </c>
      <c r="AD2556" s="7" t="s">
        <v>144</v>
      </c>
      <c r="AE2556" s="7" t="s">
        <v>0</v>
      </c>
      <c r="AF2556" s="7" t="s">
        <v>0</v>
      </c>
      <c r="AG2556" s="7" t="s">
        <v>0</v>
      </c>
      <c r="AH2556" s="9" t="s">
        <v>0</v>
      </c>
      <c r="AI2556" s="9" t="s">
        <v>0</v>
      </c>
      <c r="AJ2556" s="9" t="s">
        <v>0</v>
      </c>
      <c r="AK2556" s="7" t="s">
        <v>61</v>
      </c>
      <c r="AL2556" s="7" t="s">
        <v>61</v>
      </c>
      <c r="AM2556" s="7" t="s">
        <v>0</v>
      </c>
      <c r="AN2556" s="7" t="s">
        <v>0</v>
      </c>
      <c r="AO2556" s="7" t="s">
        <v>0</v>
      </c>
      <c r="AP2556" s="7" t="s">
        <v>0</v>
      </c>
      <c r="AQ2556" s="7" t="s">
        <v>61</v>
      </c>
      <c r="AR2556" s="7" t="s">
        <v>0</v>
      </c>
      <c r="AS2556" s="10" t="str">
        <f>HYPERLINK("https://tessa.gazprom-neft.local/edo/card/f7d38905-d45d-4431-a7a3-9af9fd79df31", "https://tessa.gazprom-neft.local/edo/card/f7d38905-d45d-4431-a7a3-9af9fd79df31")</f>
        <v>https://tessa.gazprom-neft.local/edo/card/f7d38905-d45d-4431-a7a3-9af9fd79df31</v>
      </c>
    </row>
    <row r="2557" spans="1:45" x14ac:dyDescent="0.25">
      <c r="A2557" s="6" t="s">
        <v>44</v>
      </c>
      <c r="B2557" s="7" t="s">
        <v>403</v>
      </c>
      <c r="C2557" s="7" t="s">
        <v>67</v>
      </c>
      <c r="D2557" s="8">
        <v>44306</v>
      </c>
      <c r="E2557" s="8" t="s">
        <v>0</v>
      </c>
      <c r="F2557" s="16" t="s">
        <v>404</v>
      </c>
      <c r="G2557" s="7" t="s">
        <v>405</v>
      </c>
      <c r="H2557" s="7" t="s">
        <v>1459</v>
      </c>
      <c r="I2557" s="7" t="s">
        <v>0</v>
      </c>
      <c r="J2557" s="7" t="s">
        <v>1461</v>
      </c>
      <c r="K2557" s="7" t="s">
        <v>47</v>
      </c>
      <c r="L2557" s="7" t="s">
        <v>48</v>
      </c>
      <c r="M2557" s="7" t="s">
        <v>0</v>
      </c>
      <c r="N2557" s="7" t="s">
        <v>1458</v>
      </c>
      <c r="O2557" s="7" t="s">
        <v>0</v>
      </c>
      <c r="P2557" s="7" t="s">
        <v>1460</v>
      </c>
      <c r="Q2557" s="7" t="s">
        <v>1462</v>
      </c>
      <c r="R2557" s="7" t="s">
        <v>1463</v>
      </c>
      <c r="S2557" s="7" t="s">
        <v>0</v>
      </c>
      <c r="T2557" s="7" t="s">
        <v>54</v>
      </c>
      <c r="U2557" s="7" t="s">
        <v>1464</v>
      </c>
      <c r="V2557" s="7" t="s">
        <v>864</v>
      </c>
      <c r="W2557" s="7" t="s">
        <v>57</v>
      </c>
      <c r="X2557" s="7" t="s">
        <v>58</v>
      </c>
      <c r="Y2557" s="8">
        <v>43600</v>
      </c>
      <c r="Z2557" s="8" t="s">
        <v>0</v>
      </c>
      <c r="AA2557" s="7" t="s">
        <v>1465</v>
      </c>
      <c r="AB2557" s="7" t="s">
        <v>1466</v>
      </c>
      <c r="AC2557" s="7" t="s">
        <v>79</v>
      </c>
      <c r="AD2557" s="7" t="s">
        <v>80</v>
      </c>
      <c r="AE2557" s="7" t="s">
        <v>82</v>
      </c>
      <c r="AF2557" s="7" t="s">
        <v>0</v>
      </c>
      <c r="AG2557" s="7" t="s">
        <v>0</v>
      </c>
      <c r="AH2557" s="9" t="s">
        <v>11032</v>
      </c>
      <c r="AI2557" s="9" t="s">
        <v>11033</v>
      </c>
      <c r="AJ2557" s="9" t="s">
        <v>11034</v>
      </c>
      <c r="AK2557" s="7" t="s">
        <v>61</v>
      </c>
      <c r="AL2557" s="7" t="s">
        <v>61</v>
      </c>
      <c r="AM2557" s="7" t="s">
        <v>0</v>
      </c>
      <c r="AN2557" s="7" t="s">
        <v>0</v>
      </c>
      <c r="AO2557" s="7" t="s">
        <v>0</v>
      </c>
      <c r="AP2557" s="7" t="s">
        <v>0</v>
      </c>
      <c r="AQ2557" s="7" t="s">
        <v>61</v>
      </c>
      <c r="AR2557" s="7" t="s">
        <v>0</v>
      </c>
      <c r="AS2557" s="10" t="str">
        <f>HYPERLINK("https://tessa.gazprom-neft.local/edo/card/09b99049-e546-427e-b6bd-33e652b9e123", "https://tessa.gazprom-neft.local/edo/card/09b99049-e546-427e-b6bd-33e652b9e123")</f>
        <v>https://tessa.gazprom-neft.local/edo/card/09b99049-e546-427e-b6bd-33e652b9e123</v>
      </c>
    </row>
    <row r="2558" spans="1:45" x14ac:dyDescent="0.25">
      <c r="A2558" s="6" t="s">
        <v>44</v>
      </c>
      <c r="B2558" s="7" t="s">
        <v>1712</v>
      </c>
      <c r="C2558" s="7" t="s">
        <v>67</v>
      </c>
      <c r="D2558" s="8">
        <v>44306</v>
      </c>
      <c r="E2558" s="8" t="s">
        <v>0</v>
      </c>
      <c r="F2558" s="16" t="s">
        <v>1713</v>
      </c>
      <c r="G2558" s="7" t="s">
        <v>1714</v>
      </c>
      <c r="H2558" s="7" t="s">
        <v>1707</v>
      </c>
      <c r="I2558" s="7" t="s">
        <v>0</v>
      </c>
      <c r="J2558" s="7" t="s">
        <v>1709</v>
      </c>
      <c r="K2558" s="7" t="s">
        <v>47</v>
      </c>
      <c r="L2558" s="7" t="s">
        <v>48</v>
      </c>
      <c r="M2558" s="7" t="s">
        <v>0</v>
      </c>
      <c r="N2558" s="7" t="s">
        <v>1706</v>
      </c>
      <c r="O2558" s="7" t="s">
        <v>0</v>
      </c>
      <c r="P2558" s="7" t="s">
        <v>1708</v>
      </c>
      <c r="Q2558" s="7" t="s">
        <v>1710</v>
      </c>
      <c r="R2558" s="7" t="s">
        <v>1711</v>
      </c>
      <c r="S2558" s="7" t="s">
        <v>1711</v>
      </c>
      <c r="T2558" s="7" t="s">
        <v>54</v>
      </c>
      <c r="U2558" s="7" t="s">
        <v>605</v>
      </c>
      <c r="V2558" s="7" t="s">
        <v>137</v>
      </c>
      <c r="W2558" s="7" t="s">
        <v>57</v>
      </c>
      <c r="X2558" s="7" t="s">
        <v>103</v>
      </c>
      <c r="Y2558" s="8">
        <v>44306</v>
      </c>
      <c r="Z2558" s="8">
        <v>45291</v>
      </c>
      <c r="AA2558" s="7" t="s">
        <v>0</v>
      </c>
      <c r="AB2558" s="7" t="s">
        <v>1715</v>
      </c>
      <c r="AC2558" s="7" t="s">
        <v>79</v>
      </c>
      <c r="AD2558" s="7" t="s">
        <v>144</v>
      </c>
      <c r="AE2558" s="7" t="s">
        <v>889</v>
      </c>
      <c r="AF2558" s="7" t="s">
        <v>0</v>
      </c>
      <c r="AG2558" s="7" t="s">
        <v>0</v>
      </c>
      <c r="AH2558" s="9" t="s">
        <v>11097</v>
      </c>
      <c r="AI2558" s="9" t="s">
        <v>11097</v>
      </c>
      <c r="AJ2558" s="9">
        <v>0</v>
      </c>
      <c r="AK2558" s="7" t="s">
        <v>61</v>
      </c>
      <c r="AL2558" s="7" t="s">
        <v>61</v>
      </c>
      <c r="AM2558" s="7" t="s">
        <v>0</v>
      </c>
      <c r="AN2558" s="7" t="s">
        <v>0</v>
      </c>
      <c r="AO2558" s="7" t="s">
        <v>0</v>
      </c>
      <c r="AP2558" s="7" t="s">
        <v>0</v>
      </c>
      <c r="AQ2558" s="7" t="s">
        <v>61</v>
      </c>
      <c r="AR2558" s="7" t="s">
        <v>0</v>
      </c>
      <c r="AS2558" s="10" t="str">
        <f>HYPERLINK("https://tessa.gazprom-neft.local/edo/card/a7202228-fda7-4f8f-ae92-5fb3bd3e1fa7", "https://tessa.gazprom-neft.local/edo/card/a7202228-fda7-4f8f-ae92-5fb3bd3e1fa7")</f>
        <v>https://tessa.gazprom-neft.local/edo/card/a7202228-fda7-4f8f-ae92-5fb3bd3e1fa7</v>
      </c>
    </row>
    <row r="2559" spans="1:45" hidden="1" x14ac:dyDescent="0.25">
      <c r="A2559" s="6" t="s">
        <v>44</v>
      </c>
      <c r="B2559" s="7" t="s">
        <v>1712</v>
      </c>
      <c r="C2559" s="7" t="s">
        <v>67</v>
      </c>
      <c r="D2559" s="8">
        <v>44306</v>
      </c>
      <c r="E2559" s="8" t="s">
        <v>0</v>
      </c>
      <c r="F2559" s="16" t="s">
        <v>1713</v>
      </c>
      <c r="G2559" s="7" t="s">
        <v>1714</v>
      </c>
      <c r="H2559" s="7" t="s">
        <v>1723</v>
      </c>
      <c r="I2559" s="7" t="s">
        <v>0</v>
      </c>
      <c r="J2559" s="7" t="s">
        <v>1724</v>
      </c>
      <c r="K2559" s="7" t="s">
        <v>47</v>
      </c>
      <c r="L2559" s="7" t="s">
        <v>239</v>
      </c>
      <c r="M2559" s="7" t="s">
        <v>0</v>
      </c>
      <c r="N2559" s="7" t="s">
        <v>1722</v>
      </c>
      <c r="O2559" s="7" t="s">
        <v>0</v>
      </c>
      <c r="P2559" s="7" t="s">
        <v>1707</v>
      </c>
      <c r="Q2559" s="7" t="s">
        <v>1710</v>
      </c>
      <c r="R2559" s="7" t="s">
        <v>1711</v>
      </c>
      <c r="S2559" s="7" t="s">
        <v>1711</v>
      </c>
      <c r="T2559" s="7" t="s">
        <v>54</v>
      </c>
      <c r="U2559" s="7" t="s">
        <v>605</v>
      </c>
      <c r="V2559" s="7" t="s">
        <v>137</v>
      </c>
      <c r="W2559" s="7" t="s">
        <v>57</v>
      </c>
      <c r="X2559" s="7" t="s">
        <v>103</v>
      </c>
      <c r="Y2559" s="8">
        <v>44164</v>
      </c>
      <c r="Z2559" s="8">
        <v>45291</v>
      </c>
      <c r="AA2559" s="7" t="s">
        <v>0</v>
      </c>
      <c r="AB2559" s="7" t="s">
        <v>1715</v>
      </c>
      <c r="AC2559" s="7" t="s">
        <v>79</v>
      </c>
      <c r="AD2559" s="7" t="s">
        <v>144</v>
      </c>
      <c r="AE2559" s="7" t="s">
        <v>889</v>
      </c>
      <c r="AF2559" s="7" t="s">
        <v>0</v>
      </c>
      <c r="AG2559" s="7" t="s">
        <v>0</v>
      </c>
      <c r="AH2559" s="9" t="s">
        <v>11101</v>
      </c>
      <c r="AI2559" s="9" t="s">
        <v>11101</v>
      </c>
      <c r="AJ2559" s="9">
        <v>0</v>
      </c>
      <c r="AK2559" s="7" t="s">
        <v>61</v>
      </c>
      <c r="AL2559" s="7" t="s">
        <v>61</v>
      </c>
      <c r="AM2559" s="7" t="s">
        <v>0</v>
      </c>
      <c r="AN2559" s="7" t="s">
        <v>0</v>
      </c>
      <c r="AO2559" s="7" t="s">
        <v>0</v>
      </c>
      <c r="AP2559" s="7" t="s">
        <v>0</v>
      </c>
      <c r="AQ2559" s="7" t="s">
        <v>61</v>
      </c>
      <c r="AR2559" s="7" t="s">
        <v>0</v>
      </c>
      <c r="AS2559" s="10" t="str">
        <f>HYPERLINK("https://tessa.gazprom-neft.local/edo/card/d49a9024-5f3c-425c-ac38-236ff6d2f2ec", "https://tessa.gazprom-neft.local/edo/card/d49a9024-5f3c-425c-ac38-236ff6d2f2ec")</f>
        <v>https://tessa.gazprom-neft.local/edo/card/d49a9024-5f3c-425c-ac38-236ff6d2f2ec</v>
      </c>
    </row>
    <row r="2560" spans="1:45" x14ac:dyDescent="0.25">
      <c r="A2560" s="6" t="s">
        <v>44</v>
      </c>
      <c r="B2560" s="7" t="s">
        <v>245</v>
      </c>
      <c r="C2560" s="7" t="s">
        <v>67</v>
      </c>
      <c r="D2560" s="8">
        <v>44306</v>
      </c>
      <c r="E2560" s="8" t="s">
        <v>0</v>
      </c>
      <c r="F2560" s="16" t="s">
        <v>246</v>
      </c>
      <c r="G2560" s="7" t="s">
        <v>247</v>
      </c>
      <c r="H2560" s="7" t="s">
        <v>912</v>
      </c>
      <c r="I2560" s="7" t="s">
        <v>0</v>
      </c>
      <c r="J2560" s="7" t="s">
        <v>1877</v>
      </c>
      <c r="K2560" s="7" t="s">
        <v>47</v>
      </c>
      <c r="L2560" s="7" t="s">
        <v>48</v>
      </c>
      <c r="M2560" s="7" t="s">
        <v>0</v>
      </c>
      <c r="N2560" s="7" t="s">
        <v>1875</v>
      </c>
      <c r="O2560" s="7" t="s">
        <v>1876</v>
      </c>
      <c r="P2560" s="7" t="s">
        <v>1877</v>
      </c>
      <c r="Q2560" s="7" t="s">
        <v>1878</v>
      </c>
      <c r="R2560" s="7" t="s">
        <v>915</v>
      </c>
      <c r="S2560" s="7" t="s">
        <v>0</v>
      </c>
      <c r="T2560" s="7" t="s">
        <v>54</v>
      </c>
      <c r="U2560" s="7" t="s">
        <v>916</v>
      </c>
      <c r="V2560" s="7" t="s">
        <v>917</v>
      </c>
      <c r="W2560" s="7" t="s">
        <v>57</v>
      </c>
      <c r="X2560" s="7" t="s">
        <v>103</v>
      </c>
      <c r="Y2560" s="8">
        <v>44306</v>
      </c>
      <c r="Z2560" s="8">
        <v>44347</v>
      </c>
      <c r="AA2560" s="7" t="s">
        <v>309</v>
      </c>
      <c r="AB2560" s="7" t="s">
        <v>545</v>
      </c>
      <c r="AC2560" s="7" t="s">
        <v>65</v>
      </c>
      <c r="AD2560" s="7" t="s">
        <v>144</v>
      </c>
      <c r="AE2560" s="7" t="s">
        <v>0</v>
      </c>
      <c r="AF2560" s="7" t="s">
        <v>0</v>
      </c>
      <c r="AG2560" s="7" t="s">
        <v>0</v>
      </c>
      <c r="AH2560" s="9" t="s">
        <v>0</v>
      </c>
      <c r="AI2560" s="9" t="s">
        <v>0</v>
      </c>
      <c r="AJ2560" s="9" t="s">
        <v>0</v>
      </c>
      <c r="AK2560" s="7" t="s">
        <v>61</v>
      </c>
      <c r="AL2560" s="7" t="s">
        <v>61</v>
      </c>
      <c r="AM2560" s="7" t="s">
        <v>0</v>
      </c>
      <c r="AN2560" s="7" t="s">
        <v>0</v>
      </c>
      <c r="AO2560" s="7" t="s">
        <v>0</v>
      </c>
      <c r="AP2560" s="7" t="s">
        <v>0</v>
      </c>
      <c r="AQ2560" s="7" t="s">
        <v>61</v>
      </c>
      <c r="AR2560" s="7" t="s">
        <v>0</v>
      </c>
      <c r="AS2560" s="10" t="str">
        <f>HYPERLINK("https://tessa.gazprom-neft.local/edo/card/bd895731-3b7f-4690-9e44-b6f8894f67a2", "https://tessa.gazprom-neft.local/edo/card/bd895731-3b7f-4690-9e44-b6f8894f67a2")</f>
        <v>https://tessa.gazprom-neft.local/edo/card/bd895731-3b7f-4690-9e44-b6f8894f67a2</v>
      </c>
    </row>
    <row r="2561" spans="1:45" hidden="1" x14ac:dyDescent="0.25">
      <c r="A2561" s="6" t="s">
        <v>44</v>
      </c>
      <c r="B2561" s="7" t="s">
        <v>0</v>
      </c>
      <c r="C2561" s="7" t="s">
        <v>46</v>
      </c>
      <c r="D2561" s="8">
        <v>44306</v>
      </c>
      <c r="E2561" s="8" t="s">
        <v>0</v>
      </c>
      <c r="F2561" s="16" t="s">
        <v>1919</v>
      </c>
      <c r="G2561" s="7" t="s">
        <v>0</v>
      </c>
      <c r="H2561" s="7" t="s">
        <v>0</v>
      </c>
      <c r="I2561" s="7" t="s">
        <v>1917</v>
      </c>
      <c r="J2561" s="7" t="s">
        <v>1917</v>
      </c>
      <c r="K2561" s="7" t="s">
        <v>47</v>
      </c>
      <c r="L2561" s="7" t="s">
        <v>96</v>
      </c>
      <c r="M2561" s="7" t="s">
        <v>0</v>
      </c>
      <c r="N2561" s="7" t="s">
        <v>1916</v>
      </c>
      <c r="O2561" s="7" t="s">
        <v>0</v>
      </c>
      <c r="P2561" s="7" t="s">
        <v>64</v>
      </c>
      <c r="Q2561" s="7" t="s">
        <v>1918</v>
      </c>
      <c r="R2561" s="7" t="s">
        <v>349</v>
      </c>
      <c r="S2561" s="7" t="s">
        <v>349</v>
      </c>
      <c r="T2561" s="7" t="s">
        <v>54</v>
      </c>
      <c r="U2561" s="7" t="s">
        <v>101</v>
      </c>
      <c r="V2561" s="7" t="s">
        <v>137</v>
      </c>
      <c r="W2561" s="7" t="s">
        <v>57</v>
      </c>
      <c r="X2561" s="7" t="s">
        <v>103</v>
      </c>
      <c r="Y2561" s="8">
        <v>44306</v>
      </c>
      <c r="Z2561" s="8">
        <v>44428</v>
      </c>
      <c r="AA2561" s="7" t="s">
        <v>0</v>
      </c>
      <c r="AB2561" s="7" t="s">
        <v>192</v>
      </c>
      <c r="AC2561" s="7" t="s">
        <v>79</v>
      </c>
      <c r="AD2561" s="7" t="s">
        <v>80</v>
      </c>
      <c r="AE2561" s="7" t="s">
        <v>193</v>
      </c>
      <c r="AF2561" s="7" t="s">
        <v>0</v>
      </c>
      <c r="AG2561" s="7" t="s">
        <v>0</v>
      </c>
      <c r="AH2561" s="9" t="s">
        <v>11176</v>
      </c>
      <c r="AI2561" s="9" t="s">
        <v>11177</v>
      </c>
      <c r="AJ2561" s="9" t="s">
        <v>11178</v>
      </c>
      <c r="AK2561" s="7" t="s">
        <v>61</v>
      </c>
      <c r="AL2561" s="7" t="s">
        <v>61</v>
      </c>
      <c r="AM2561" s="7" t="s">
        <v>0</v>
      </c>
      <c r="AN2561" s="7" t="s">
        <v>0</v>
      </c>
      <c r="AO2561" s="7" t="s">
        <v>0</v>
      </c>
      <c r="AP2561" s="7" t="s">
        <v>0</v>
      </c>
      <c r="AQ2561" s="7" t="s">
        <v>61</v>
      </c>
      <c r="AR2561" s="7" t="s">
        <v>0</v>
      </c>
      <c r="AS2561" s="10" t="str">
        <f>HYPERLINK("https://tessa.gazprom-neft.local/edo/card/cea7411c-4886-4d17-b757-54617d456274", "https://tessa.gazprom-neft.local/edo/card/cea7411c-4886-4d17-b757-54617d456274")</f>
        <v>https://tessa.gazprom-neft.local/edo/card/cea7411c-4886-4d17-b757-54617d456274</v>
      </c>
    </row>
    <row r="2562" spans="1:45" hidden="1" x14ac:dyDescent="0.25">
      <c r="A2562" s="6" t="s">
        <v>44</v>
      </c>
      <c r="B2562" s="7" t="s">
        <v>885</v>
      </c>
      <c r="C2562" s="7" t="s">
        <v>67</v>
      </c>
      <c r="D2562" s="8">
        <v>44306</v>
      </c>
      <c r="E2562" s="8" t="s">
        <v>0</v>
      </c>
      <c r="F2562" s="16" t="s">
        <v>886</v>
      </c>
      <c r="G2562" s="7" t="s">
        <v>887</v>
      </c>
      <c r="H2562" s="7" t="s">
        <v>2084</v>
      </c>
      <c r="I2562" s="7" t="s">
        <v>0</v>
      </c>
      <c r="J2562" s="7" t="s">
        <v>2085</v>
      </c>
      <c r="K2562" s="7" t="s">
        <v>47</v>
      </c>
      <c r="L2562" s="7" t="s">
        <v>239</v>
      </c>
      <c r="M2562" s="7" t="s">
        <v>0</v>
      </c>
      <c r="N2562" s="7" t="s">
        <v>2083</v>
      </c>
      <c r="O2562" s="7" t="s">
        <v>0</v>
      </c>
      <c r="P2562" s="7" t="s">
        <v>2085</v>
      </c>
      <c r="Q2562" s="7" t="s">
        <v>2086</v>
      </c>
      <c r="R2562" s="7" t="s">
        <v>604</v>
      </c>
      <c r="S2562" s="7" t="s">
        <v>884</v>
      </c>
      <c r="T2562" s="7" t="s">
        <v>54</v>
      </c>
      <c r="U2562" s="7" t="s">
        <v>605</v>
      </c>
      <c r="V2562" s="7" t="s">
        <v>137</v>
      </c>
      <c r="W2562" s="7" t="s">
        <v>57</v>
      </c>
      <c r="X2562" s="7" t="s">
        <v>103</v>
      </c>
      <c r="Y2562" s="8">
        <v>44306</v>
      </c>
      <c r="Z2562" s="8">
        <v>44561</v>
      </c>
      <c r="AA2562" s="7" t="s">
        <v>0</v>
      </c>
      <c r="AB2562" s="7" t="s">
        <v>888</v>
      </c>
      <c r="AC2562" s="7" t="s">
        <v>79</v>
      </c>
      <c r="AD2562" s="7" t="s">
        <v>144</v>
      </c>
      <c r="AE2562" s="7" t="s">
        <v>889</v>
      </c>
      <c r="AF2562" s="7" t="s">
        <v>0</v>
      </c>
      <c r="AG2562" s="7" t="s">
        <v>0</v>
      </c>
      <c r="AH2562" s="9" t="s">
        <v>11236</v>
      </c>
      <c r="AI2562" s="9" t="s">
        <v>11236</v>
      </c>
      <c r="AJ2562" s="9">
        <v>0</v>
      </c>
      <c r="AK2562" s="7" t="s">
        <v>61</v>
      </c>
      <c r="AL2562" s="7" t="s">
        <v>61</v>
      </c>
      <c r="AM2562" s="7" t="s">
        <v>0</v>
      </c>
      <c r="AN2562" s="7" t="s">
        <v>0</v>
      </c>
      <c r="AO2562" s="7" t="s">
        <v>0</v>
      </c>
      <c r="AP2562" s="7" t="s">
        <v>0</v>
      </c>
      <c r="AQ2562" s="7" t="s">
        <v>61</v>
      </c>
      <c r="AR2562" s="7" t="s">
        <v>0</v>
      </c>
      <c r="AS2562" s="10" t="str">
        <f>HYPERLINK("https://tessa.gazprom-neft.local/edo/card/79175c22-1938-4c9f-bcad-c5c222f5f086", "https://tessa.gazprom-neft.local/edo/card/79175c22-1938-4c9f-bcad-c5c222f5f086")</f>
        <v>https://tessa.gazprom-neft.local/edo/card/79175c22-1938-4c9f-bcad-c5c222f5f086</v>
      </c>
    </row>
    <row r="2563" spans="1:45" hidden="1" x14ac:dyDescent="0.25">
      <c r="A2563" s="6" t="s">
        <v>44</v>
      </c>
      <c r="B2563" s="7" t="s">
        <v>1784</v>
      </c>
      <c r="C2563" s="7" t="s">
        <v>67</v>
      </c>
      <c r="D2563" s="8">
        <v>44302</v>
      </c>
      <c r="E2563" s="8" t="s">
        <v>0</v>
      </c>
      <c r="F2563" s="16" t="s">
        <v>1785</v>
      </c>
      <c r="G2563" s="7" t="s">
        <v>1786</v>
      </c>
      <c r="H2563" s="7" t="s">
        <v>0</v>
      </c>
      <c r="I2563" s="7" t="s">
        <v>1782</v>
      </c>
      <c r="J2563" s="7" t="s">
        <v>1782</v>
      </c>
      <c r="K2563" s="7" t="s">
        <v>85</v>
      </c>
      <c r="L2563" s="7" t="s">
        <v>86</v>
      </c>
      <c r="M2563" s="7" t="s">
        <v>83</v>
      </c>
      <c r="N2563" s="7" t="s">
        <v>1781</v>
      </c>
      <c r="O2563" s="7" t="s">
        <v>0</v>
      </c>
      <c r="P2563" s="7" t="s">
        <v>83</v>
      </c>
      <c r="Q2563" s="7" t="s">
        <v>1783</v>
      </c>
      <c r="R2563" s="7" t="s">
        <v>1261</v>
      </c>
      <c r="S2563" s="7" t="s">
        <v>1261</v>
      </c>
      <c r="T2563" s="7" t="s">
        <v>54</v>
      </c>
      <c r="U2563" s="7" t="s">
        <v>222</v>
      </c>
      <c r="V2563" s="7" t="s">
        <v>864</v>
      </c>
      <c r="W2563" s="7" t="s">
        <v>57</v>
      </c>
      <c r="X2563" s="7" t="s">
        <v>58</v>
      </c>
      <c r="Y2563" s="8">
        <v>44302</v>
      </c>
      <c r="Z2563" s="8" t="s">
        <v>0</v>
      </c>
      <c r="AA2563" s="7" t="s">
        <v>1465</v>
      </c>
      <c r="AB2563" s="7" t="s">
        <v>94</v>
      </c>
      <c r="AC2563" s="7" t="s">
        <v>65</v>
      </c>
      <c r="AD2563" s="7" t="s">
        <v>0</v>
      </c>
      <c r="AE2563" s="7" t="s">
        <v>0</v>
      </c>
      <c r="AF2563" s="7" t="s">
        <v>0</v>
      </c>
      <c r="AG2563" s="7" t="s">
        <v>0</v>
      </c>
      <c r="AH2563" s="9" t="s">
        <v>0</v>
      </c>
      <c r="AI2563" s="9" t="s">
        <v>0</v>
      </c>
      <c r="AJ2563" s="9" t="s">
        <v>0</v>
      </c>
      <c r="AK2563" s="7" t="s">
        <v>61</v>
      </c>
      <c r="AL2563" s="7" t="s">
        <v>61</v>
      </c>
      <c r="AM2563" s="7" t="s">
        <v>0</v>
      </c>
      <c r="AN2563" s="7" t="s">
        <v>0</v>
      </c>
      <c r="AO2563" s="7" t="s">
        <v>0</v>
      </c>
      <c r="AP2563" s="7" t="s">
        <v>0</v>
      </c>
      <c r="AQ2563" s="7" t="s">
        <v>61</v>
      </c>
      <c r="AR2563" s="7" t="s">
        <v>0</v>
      </c>
      <c r="AS2563" s="10" t="str">
        <f>HYPERLINK("https://tessa.gazprom-neft.local/edo/card/6328de06-7b18-4cc4-96c3-9add48c31913", "https://tessa.gazprom-neft.local/edo/card/6328de06-7b18-4cc4-96c3-9add48c31913")</f>
        <v>https://tessa.gazprom-neft.local/edo/card/6328de06-7b18-4cc4-96c3-9add48c31913</v>
      </c>
    </row>
    <row r="2564" spans="1:45" hidden="1" x14ac:dyDescent="0.25">
      <c r="A2564" s="6" t="s">
        <v>44</v>
      </c>
      <c r="B2564" s="7" t="s">
        <v>436</v>
      </c>
      <c r="C2564" s="7" t="s">
        <v>46</v>
      </c>
      <c r="D2564" s="8">
        <v>44302</v>
      </c>
      <c r="E2564" s="8" t="s">
        <v>0</v>
      </c>
      <c r="F2564" s="16" t="s">
        <v>437</v>
      </c>
      <c r="G2564" s="7" t="s">
        <v>438</v>
      </c>
      <c r="H2564" s="7" t="s">
        <v>0</v>
      </c>
      <c r="I2564" s="7" t="s">
        <v>483</v>
      </c>
      <c r="J2564" s="7" t="s">
        <v>483</v>
      </c>
      <c r="K2564" s="7" t="s">
        <v>47</v>
      </c>
      <c r="L2564" s="7" t="s">
        <v>96</v>
      </c>
      <c r="M2564" s="7" t="s">
        <v>0</v>
      </c>
      <c r="N2564" s="7" t="s">
        <v>5093</v>
      </c>
      <c r="O2564" s="7" t="s">
        <v>0</v>
      </c>
      <c r="P2564" s="7" t="s">
        <v>5094</v>
      </c>
      <c r="Q2564" s="7" t="s">
        <v>5095</v>
      </c>
      <c r="R2564" s="7" t="s">
        <v>1083</v>
      </c>
      <c r="S2564" s="7" t="s">
        <v>1519</v>
      </c>
      <c r="T2564" s="7" t="s">
        <v>54</v>
      </c>
      <c r="U2564" s="7" t="s">
        <v>274</v>
      </c>
      <c r="V2564" s="7" t="s">
        <v>56</v>
      </c>
      <c r="W2564" s="7" t="s">
        <v>57</v>
      </c>
      <c r="X2564" s="7" t="s">
        <v>103</v>
      </c>
      <c r="Y2564" s="8">
        <v>44302</v>
      </c>
      <c r="Z2564" s="8">
        <v>45275</v>
      </c>
      <c r="AA2564" s="7" t="s">
        <v>1251</v>
      </c>
      <c r="AB2564" s="7" t="s">
        <v>328</v>
      </c>
      <c r="AC2564" s="7" t="s">
        <v>278</v>
      </c>
      <c r="AD2564" s="7" t="s">
        <v>80</v>
      </c>
      <c r="AE2564" s="7" t="s">
        <v>82</v>
      </c>
      <c r="AF2564" s="7" t="s">
        <v>0</v>
      </c>
      <c r="AG2564" s="7" t="s">
        <v>0</v>
      </c>
      <c r="AH2564" s="9" t="s">
        <v>12334</v>
      </c>
      <c r="AI2564" s="9" t="s">
        <v>12335</v>
      </c>
      <c r="AJ2564" s="9" t="s">
        <v>12336</v>
      </c>
      <c r="AK2564" s="7" t="s">
        <v>61</v>
      </c>
      <c r="AL2564" s="7" t="s">
        <v>61</v>
      </c>
      <c r="AM2564" s="7" t="s">
        <v>0</v>
      </c>
      <c r="AN2564" s="7" t="s">
        <v>0</v>
      </c>
      <c r="AO2564" s="7" t="s">
        <v>0</v>
      </c>
      <c r="AP2564" s="7" t="s">
        <v>0</v>
      </c>
      <c r="AQ2564" s="7" t="s">
        <v>61</v>
      </c>
      <c r="AR2564" s="7" t="s">
        <v>0</v>
      </c>
      <c r="AS2564" s="10" t="str">
        <f>HYPERLINK("https://tessa.gazprom-neft.local/edo/card/9937d025-1651-4a8d-93c5-4846f6a4443d", "https://tessa.gazprom-neft.local/edo/card/9937d025-1651-4a8d-93c5-4846f6a4443d")</f>
        <v>https://tessa.gazprom-neft.local/edo/card/9937d025-1651-4a8d-93c5-4846f6a4443d</v>
      </c>
    </row>
    <row r="2565" spans="1:45" hidden="1" x14ac:dyDescent="0.25">
      <c r="A2565" s="6" t="s">
        <v>44</v>
      </c>
      <c r="B2565" s="7" t="s">
        <v>852</v>
      </c>
      <c r="C2565" s="7" t="s">
        <v>67</v>
      </c>
      <c r="D2565" s="8">
        <v>44301</v>
      </c>
      <c r="E2565" s="8" t="s">
        <v>0</v>
      </c>
      <c r="F2565" s="16" t="s">
        <v>853</v>
      </c>
      <c r="G2565" s="7" t="s">
        <v>854</v>
      </c>
      <c r="H2565" s="7" t="s">
        <v>0</v>
      </c>
      <c r="I2565" s="7" t="s">
        <v>1309</v>
      </c>
      <c r="J2565" s="7" t="s">
        <v>1309</v>
      </c>
      <c r="K2565" s="7" t="s">
        <v>47</v>
      </c>
      <c r="L2565" s="7" t="s">
        <v>86</v>
      </c>
      <c r="M2565" s="7" t="s">
        <v>0</v>
      </c>
      <c r="N2565" s="7" t="s">
        <v>1308</v>
      </c>
      <c r="O2565" s="7" t="s">
        <v>0</v>
      </c>
      <c r="P2565" s="7" t="s">
        <v>1310</v>
      </c>
      <c r="Q2565" s="7" t="s">
        <v>1311</v>
      </c>
      <c r="R2565" s="7" t="s">
        <v>1004</v>
      </c>
      <c r="S2565" s="7" t="s">
        <v>0</v>
      </c>
      <c r="T2565" s="7" t="s">
        <v>54</v>
      </c>
      <c r="U2565" s="7" t="s">
        <v>111</v>
      </c>
      <c r="V2565" s="7" t="s">
        <v>137</v>
      </c>
      <c r="W2565" s="7" t="s">
        <v>57</v>
      </c>
      <c r="X2565" s="7" t="s">
        <v>223</v>
      </c>
      <c r="Y2565" s="8">
        <v>44301</v>
      </c>
      <c r="Z2565" s="8" t="s">
        <v>0</v>
      </c>
      <c r="AA2565" s="7" t="s">
        <v>0</v>
      </c>
      <c r="AB2565" s="7" t="s">
        <v>328</v>
      </c>
      <c r="AC2565" s="7" t="s">
        <v>65</v>
      </c>
      <c r="AD2565" s="7" t="s">
        <v>0</v>
      </c>
      <c r="AE2565" s="7" t="s">
        <v>0</v>
      </c>
      <c r="AF2565" s="7" t="s">
        <v>0</v>
      </c>
      <c r="AG2565" s="7" t="s">
        <v>0</v>
      </c>
      <c r="AH2565" s="9" t="s">
        <v>0</v>
      </c>
      <c r="AI2565" s="9" t="s">
        <v>0</v>
      </c>
      <c r="AJ2565" s="9" t="s">
        <v>0</v>
      </c>
      <c r="AK2565" s="7" t="s">
        <v>61</v>
      </c>
      <c r="AL2565" s="7" t="s">
        <v>61</v>
      </c>
      <c r="AM2565" s="7" t="s">
        <v>0</v>
      </c>
      <c r="AN2565" s="7" t="s">
        <v>0</v>
      </c>
      <c r="AO2565" s="7" t="s">
        <v>0</v>
      </c>
      <c r="AP2565" s="7" t="s">
        <v>0</v>
      </c>
      <c r="AQ2565" s="7" t="s">
        <v>61</v>
      </c>
      <c r="AR2565" s="7" t="s">
        <v>0</v>
      </c>
      <c r="AS2565" s="10" t="str">
        <f>HYPERLINK("https://tessa.gazprom-neft.local/edo/card/add739b4-d896-47de-9efb-af9a9bc15d4b", "https://tessa.gazprom-neft.local/edo/card/add739b4-d896-47de-9efb-af9a9bc15d4b")</f>
        <v>https://tessa.gazprom-neft.local/edo/card/add739b4-d896-47de-9efb-af9a9bc15d4b</v>
      </c>
    </row>
    <row r="2566" spans="1:45" hidden="1" x14ac:dyDescent="0.25">
      <c r="A2566" s="6" t="s">
        <v>44</v>
      </c>
      <c r="B2566" s="7" t="s">
        <v>158</v>
      </c>
      <c r="C2566" s="7" t="s">
        <v>46</v>
      </c>
      <c r="D2566" s="8">
        <v>44301</v>
      </c>
      <c r="E2566" s="8" t="s">
        <v>0</v>
      </c>
      <c r="F2566" s="16" t="s">
        <v>159</v>
      </c>
      <c r="G2566" s="7" t="s">
        <v>160</v>
      </c>
      <c r="H2566" s="7" t="s">
        <v>0</v>
      </c>
      <c r="I2566" s="7" t="s">
        <v>1381</v>
      </c>
      <c r="J2566" s="7" t="s">
        <v>1381</v>
      </c>
      <c r="K2566" s="7" t="s">
        <v>47</v>
      </c>
      <c r="L2566" s="7" t="s">
        <v>86</v>
      </c>
      <c r="M2566" s="7" t="s">
        <v>0</v>
      </c>
      <c r="N2566" s="7" t="s">
        <v>1380</v>
      </c>
      <c r="O2566" s="7" t="s">
        <v>0</v>
      </c>
      <c r="P2566" s="7" t="s">
        <v>1310</v>
      </c>
      <c r="Q2566" s="7" t="s">
        <v>1311</v>
      </c>
      <c r="R2566" s="7" t="s">
        <v>1004</v>
      </c>
      <c r="S2566" s="7" t="s">
        <v>0</v>
      </c>
      <c r="T2566" s="7" t="s">
        <v>54</v>
      </c>
      <c r="U2566" s="7" t="s">
        <v>111</v>
      </c>
      <c r="V2566" s="7" t="s">
        <v>137</v>
      </c>
      <c r="W2566" s="7" t="s">
        <v>57</v>
      </c>
      <c r="X2566" s="7" t="s">
        <v>223</v>
      </c>
      <c r="Y2566" s="8">
        <v>44301</v>
      </c>
      <c r="Z2566" s="8" t="s">
        <v>0</v>
      </c>
      <c r="AA2566" s="7" t="s">
        <v>0</v>
      </c>
      <c r="AB2566" s="7" t="s">
        <v>328</v>
      </c>
      <c r="AC2566" s="7" t="s">
        <v>65</v>
      </c>
      <c r="AD2566" s="7" t="s">
        <v>0</v>
      </c>
      <c r="AE2566" s="7" t="s">
        <v>0</v>
      </c>
      <c r="AF2566" s="7" t="s">
        <v>0</v>
      </c>
      <c r="AG2566" s="7" t="s">
        <v>0</v>
      </c>
      <c r="AH2566" s="9" t="s">
        <v>0</v>
      </c>
      <c r="AI2566" s="9" t="s">
        <v>0</v>
      </c>
      <c r="AJ2566" s="9" t="s">
        <v>0</v>
      </c>
      <c r="AK2566" s="7" t="s">
        <v>61</v>
      </c>
      <c r="AL2566" s="7" t="s">
        <v>61</v>
      </c>
      <c r="AM2566" s="7" t="s">
        <v>0</v>
      </c>
      <c r="AN2566" s="7" t="s">
        <v>0</v>
      </c>
      <c r="AO2566" s="7" t="s">
        <v>0</v>
      </c>
      <c r="AP2566" s="7" t="s">
        <v>0</v>
      </c>
      <c r="AQ2566" s="7" t="s">
        <v>61</v>
      </c>
      <c r="AR2566" s="7" t="s">
        <v>0</v>
      </c>
      <c r="AS2566" s="10" t="str">
        <f>HYPERLINK("https://tessa.gazprom-neft.local/edo/card/7f35b197-4d52-4863-996e-37b9bf3290b6", "https://tessa.gazprom-neft.local/edo/card/7f35b197-4d52-4863-996e-37b9bf3290b6")</f>
        <v>https://tessa.gazprom-neft.local/edo/card/7f35b197-4d52-4863-996e-37b9bf3290b6</v>
      </c>
    </row>
    <row r="2567" spans="1:45" x14ac:dyDescent="0.25">
      <c r="A2567" s="6" t="s">
        <v>44</v>
      </c>
      <c r="B2567" s="7" t="s">
        <v>1657</v>
      </c>
      <c r="C2567" s="7" t="s">
        <v>67</v>
      </c>
      <c r="D2567" s="8">
        <v>44301</v>
      </c>
      <c r="E2567" s="8" t="s">
        <v>0</v>
      </c>
      <c r="F2567" s="16" t="s">
        <v>1658</v>
      </c>
      <c r="G2567" s="7" t="s">
        <v>1659</v>
      </c>
      <c r="H2567" s="7" t="s">
        <v>1651</v>
      </c>
      <c r="I2567" s="7" t="s">
        <v>0</v>
      </c>
      <c r="J2567" s="7" t="s">
        <v>1653</v>
      </c>
      <c r="K2567" s="7" t="s">
        <v>47</v>
      </c>
      <c r="L2567" s="7" t="s">
        <v>48</v>
      </c>
      <c r="M2567" s="7" t="s">
        <v>0</v>
      </c>
      <c r="N2567" s="7" t="s">
        <v>1650</v>
      </c>
      <c r="O2567" s="7" t="s">
        <v>0</v>
      </c>
      <c r="P2567" s="7" t="s">
        <v>1652</v>
      </c>
      <c r="Q2567" s="7" t="s">
        <v>1654</v>
      </c>
      <c r="R2567" s="7" t="s">
        <v>1655</v>
      </c>
      <c r="S2567" s="7" t="s">
        <v>1655</v>
      </c>
      <c r="T2567" s="7" t="s">
        <v>54</v>
      </c>
      <c r="U2567" s="7" t="s">
        <v>307</v>
      </c>
      <c r="V2567" s="7" t="s">
        <v>382</v>
      </c>
      <c r="W2567" s="7" t="s">
        <v>57</v>
      </c>
      <c r="X2567" s="7" t="s">
        <v>103</v>
      </c>
      <c r="Y2567" s="8">
        <v>44301</v>
      </c>
      <c r="Z2567" s="8">
        <v>44561</v>
      </c>
      <c r="AA2567" s="7" t="s">
        <v>1656</v>
      </c>
      <c r="AB2567" s="7" t="s">
        <v>1652</v>
      </c>
      <c r="AC2567" s="7" t="s">
        <v>79</v>
      </c>
      <c r="AD2567" s="7" t="s">
        <v>80</v>
      </c>
      <c r="AE2567" s="7" t="s">
        <v>82</v>
      </c>
      <c r="AF2567" s="7" t="s">
        <v>0</v>
      </c>
      <c r="AG2567" s="7" t="s">
        <v>0</v>
      </c>
      <c r="AH2567" s="9" t="s">
        <v>11081</v>
      </c>
      <c r="AI2567" s="9" t="s">
        <v>11082</v>
      </c>
      <c r="AJ2567" s="9" t="s">
        <v>11083</v>
      </c>
      <c r="AK2567" s="7" t="s">
        <v>61</v>
      </c>
      <c r="AL2567" s="7" t="s">
        <v>61</v>
      </c>
      <c r="AM2567" s="7" t="s">
        <v>0</v>
      </c>
      <c r="AN2567" s="7" t="s">
        <v>0</v>
      </c>
      <c r="AO2567" s="7" t="s">
        <v>0</v>
      </c>
      <c r="AP2567" s="7" t="s">
        <v>0</v>
      </c>
      <c r="AQ2567" s="7" t="s">
        <v>61</v>
      </c>
      <c r="AR2567" s="7" t="s">
        <v>0</v>
      </c>
      <c r="AS2567" s="10" t="str">
        <f>HYPERLINK("https://tessa.gazprom-neft.local/edo/card/fdf32ab8-1f1a-433c-a665-7a9301932ef9", "https://tessa.gazprom-neft.local/edo/card/fdf32ab8-1f1a-433c-a665-7a9301932ef9")</f>
        <v>https://tessa.gazprom-neft.local/edo/card/fdf32ab8-1f1a-433c-a665-7a9301932ef9</v>
      </c>
    </row>
    <row r="2568" spans="1:45" x14ac:dyDescent="0.25">
      <c r="A2568" s="6" t="s">
        <v>44</v>
      </c>
      <c r="B2568" s="7" t="s">
        <v>1570</v>
      </c>
      <c r="C2568" s="7" t="s">
        <v>67</v>
      </c>
      <c r="D2568" s="8">
        <v>44300</v>
      </c>
      <c r="E2568" s="8" t="s">
        <v>0</v>
      </c>
      <c r="F2568" s="16" t="s">
        <v>1571</v>
      </c>
      <c r="G2568" s="7" t="s">
        <v>0</v>
      </c>
      <c r="H2568" s="7" t="s">
        <v>562</v>
      </c>
      <c r="I2568" s="7" t="s">
        <v>0</v>
      </c>
      <c r="J2568" s="7" t="s">
        <v>1568</v>
      </c>
      <c r="K2568" s="7" t="s">
        <v>47</v>
      </c>
      <c r="L2568" s="7" t="s">
        <v>48</v>
      </c>
      <c r="M2568" s="7" t="s">
        <v>0</v>
      </c>
      <c r="N2568" s="7" t="s">
        <v>1566</v>
      </c>
      <c r="O2568" s="7" t="s">
        <v>0</v>
      </c>
      <c r="P2568" s="7" t="s">
        <v>1567</v>
      </c>
      <c r="Q2568" s="7" t="s">
        <v>1569</v>
      </c>
      <c r="R2568" s="7" t="s">
        <v>540</v>
      </c>
      <c r="S2568" s="7" t="s">
        <v>0</v>
      </c>
      <c r="T2568" s="7" t="s">
        <v>54</v>
      </c>
      <c r="U2568" s="7" t="s">
        <v>541</v>
      </c>
      <c r="V2568" s="7" t="s">
        <v>56</v>
      </c>
      <c r="W2568" s="7" t="s">
        <v>57</v>
      </c>
      <c r="X2568" s="7" t="s">
        <v>103</v>
      </c>
      <c r="Y2568" s="8">
        <v>44300</v>
      </c>
      <c r="Z2568" s="8">
        <v>45291</v>
      </c>
      <c r="AA2568" s="7" t="s">
        <v>1251</v>
      </c>
      <c r="AB2568" s="7" t="s">
        <v>874</v>
      </c>
      <c r="AC2568" s="7" t="s">
        <v>65</v>
      </c>
      <c r="AD2568" s="7" t="s">
        <v>80</v>
      </c>
      <c r="AE2568" s="7" t="s">
        <v>0</v>
      </c>
      <c r="AF2568" s="7" t="s">
        <v>0</v>
      </c>
      <c r="AG2568" s="7" t="s">
        <v>0</v>
      </c>
      <c r="AH2568" s="9" t="s">
        <v>0</v>
      </c>
      <c r="AI2568" s="9" t="s">
        <v>0</v>
      </c>
      <c r="AJ2568" s="9" t="s">
        <v>0</v>
      </c>
      <c r="AK2568" s="7" t="s">
        <v>61</v>
      </c>
      <c r="AL2568" s="7" t="s">
        <v>61</v>
      </c>
      <c r="AM2568" s="7" t="s">
        <v>0</v>
      </c>
      <c r="AN2568" s="7" t="s">
        <v>0</v>
      </c>
      <c r="AO2568" s="7" t="s">
        <v>0</v>
      </c>
      <c r="AP2568" s="7" t="s">
        <v>0</v>
      </c>
      <c r="AQ2568" s="7" t="s">
        <v>61</v>
      </c>
      <c r="AR2568" s="7" t="s">
        <v>0</v>
      </c>
      <c r="AS2568" s="10" t="str">
        <f>HYPERLINK("https://tessa.gazprom-neft.local/edo/card/de0da96c-0a09-4dea-bd9e-3f8fad79d34e", "https://tessa.gazprom-neft.local/edo/card/de0da96c-0a09-4dea-bd9e-3f8fad79d34e")</f>
        <v>https://tessa.gazprom-neft.local/edo/card/de0da96c-0a09-4dea-bd9e-3f8fad79d34e</v>
      </c>
    </row>
    <row r="2569" spans="1:45" x14ac:dyDescent="0.25">
      <c r="A2569" s="6" t="s">
        <v>44</v>
      </c>
      <c r="B2569" s="7" t="s">
        <v>436</v>
      </c>
      <c r="C2569" s="7" t="s">
        <v>67</v>
      </c>
      <c r="D2569" s="8">
        <v>44300</v>
      </c>
      <c r="E2569" s="8" t="s">
        <v>0</v>
      </c>
      <c r="F2569" s="16" t="s">
        <v>437</v>
      </c>
      <c r="G2569" s="7" t="s">
        <v>438</v>
      </c>
      <c r="H2569" s="7" t="s">
        <v>2152</v>
      </c>
      <c r="I2569" s="7" t="s">
        <v>0</v>
      </c>
      <c r="J2569" s="7" t="s">
        <v>2154</v>
      </c>
      <c r="K2569" s="7" t="s">
        <v>47</v>
      </c>
      <c r="L2569" s="7" t="s">
        <v>48</v>
      </c>
      <c r="M2569" s="7" t="s">
        <v>0</v>
      </c>
      <c r="N2569" s="7" t="s">
        <v>2151</v>
      </c>
      <c r="O2569" s="7" t="s">
        <v>0</v>
      </c>
      <c r="P2569" s="7" t="s">
        <v>2153</v>
      </c>
      <c r="Q2569" s="7" t="s">
        <v>2155</v>
      </c>
      <c r="R2569" s="7" t="s">
        <v>2079</v>
      </c>
      <c r="S2569" s="7" t="s">
        <v>2156</v>
      </c>
      <c r="T2569" s="7" t="s">
        <v>54</v>
      </c>
      <c r="U2569" s="7" t="s">
        <v>307</v>
      </c>
      <c r="V2569" s="7" t="s">
        <v>137</v>
      </c>
      <c r="W2569" s="7" t="s">
        <v>57</v>
      </c>
      <c r="X2569" s="7" t="s">
        <v>103</v>
      </c>
      <c r="Y2569" s="8">
        <v>44300</v>
      </c>
      <c r="Z2569" s="8">
        <v>45108</v>
      </c>
      <c r="AA2569" s="7" t="s">
        <v>0</v>
      </c>
      <c r="AB2569" s="7" t="s">
        <v>1408</v>
      </c>
      <c r="AC2569" s="7" t="s">
        <v>79</v>
      </c>
      <c r="AD2569" s="7" t="s">
        <v>367</v>
      </c>
      <c r="AE2569" s="7" t="s">
        <v>82</v>
      </c>
      <c r="AF2569" s="7" t="s">
        <v>0</v>
      </c>
      <c r="AG2569" s="7" t="s">
        <v>0</v>
      </c>
      <c r="AH2569" s="9" t="s">
        <v>11258</v>
      </c>
      <c r="AI2569" s="9" t="s">
        <v>11259</v>
      </c>
      <c r="AJ2569" s="9" t="s">
        <v>11260</v>
      </c>
      <c r="AK2569" s="7" t="s">
        <v>61</v>
      </c>
      <c r="AL2569" s="7" t="s">
        <v>61</v>
      </c>
      <c r="AM2569" s="7" t="s">
        <v>0</v>
      </c>
      <c r="AN2569" s="7" t="s">
        <v>0</v>
      </c>
      <c r="AO2569" s="7" t="s">
        <v>0</v>
      </c>
      <c r="AP2569" s="7" t="s">
        <v>0</v>
      </c>
      <c r="AQ2569" s="7" t="s">
        <v>61</v>
      </c>
      <c r="AR2569" s="7" t="s">
        <v>0</v>
      </c>
      <c r="AS2569" s="10" t="str">
        <f>HYPERLINK("https://tessa.gazprom-neft.local/edo/card/cc361551-735b-4bff-a808-c7a3c03c98ed", "https://tessa.gazprom-neft.local/edo/card/cc361551-735b-4bff-a808-c7a3c03c98ed")</f>
        <v>https://tessa.gazprom-neft.local/edo/card/cc361551-735b-4bff-a808-c7a3c03c98ed</v>
      </c>
    </row>
    <row r="2570" spans="1:45" hidden="1" x14ac:dyDescent="0.25">
      <c r="A2570" s="6" t="s">
        <v>44</v>
      </c>
      <c r="B2570" s="7" t="s">
        <v>1405</v>
      </c>
      <c r="C2570" s="7" t="s">
        <v>46</v>
      </c>
      <c r="D2570" s="8">
        <v>44298</v>
      </c>
      <c r="E2570" s="8" t="s">
        <v>0</v>
      </c>
      <c r="F2570" s="16" t="s">
        <v>1406</v>
      </c>
      <c r="G2570" s="7" t="s">
        <v>1407</v>
      </c>
      <c r="H2570" s="7" t="s">
        <v>0</v>
      </c>
      <c r="I2570" s="7" t="s">
        <v>1400</v>
      </c>
      <c r="J2570" s="7" t="s">
        <v>1400</v>
      </c>
      <c r="K2570" s="7" t="s">
        <v>47</v>
      </c>
      <c r="L2570" s="7" t="s">
        <v>96</v>
      </c>
      <c r="M2570" s="7" t="s">
        <v>0</v>
      </c>
      <c r="N2570" s="7" t="s">
        <v>1399</v>
      </c>
      <c r="O2570" s="7" t="s">
        <v>0</v>
      </c>
      <c r="P2570" s="7" t="s">
        <v>1401</v>
      </c>
      <c r="Q2570" s="7" t="s">
        <v>1402</v>
      </c>
      <c r="R2570" s="7" t="s">
        <v>1403</v>
      </c>
      <c r="S2570" s="7" t="s">
        <v>1404</v>
      </c>
      <c r="T2570" s="7" t="s">
        <v>54</v>
      </c>
      <c r="U2570" s="7" t="s">
        <v>303</v>
      </c>
      <c r="V2570" s="7" t="s">
        <v>91</v>
      </c>
      <c r="W2570" s="7" t="s">
        <v>57</v>
      </c>
      <c r="X2570" s="7" t="s">
        <v>103</v>
      </c>
      <c r="Y2570" s="8">
        <v>44298</v>
      </c>
      <c r="Z2570" s="8">
        <v>44561</v>
      </c>
      <c r="AA2570" s="7" t="s">
        <v>0</v>
      </c>
      <c r="AB2570" s="7" t="s">
        <v>1408</v>
      </c>
      <c r="AC2570" s="7" t="s">
        <v>79</v>
      </c>
      <c r="AD2570" s="7" t="s">
        <v>80</v>
      </c>
      <c r="AE2570" s="7" t="s">
        <v>118</v>
      </c>
      <c r="AF2570" s="7" t="s">
        <v>0</v>
      </c>
      <c r="AG2570" s="7" t="s">
        <v>0</v>
      </c>
      <c r="AH2570" s="9" t="s">
        <v>11019</v>
      </c>
      <c r="AI2570" s="9" t="s">
        <v>11019</v>
      </c>
      <c r="AJ2570" s="9">
        <v>0</v>
      </c>
      <c r="AK2570" s="7" t="s">
        <v>61</v>
      </c>
      <c r="AL2570" s="7" t="s">
        <v>81</v>
      </c>
      <c r="AM2570" s="7" t="s">
        <v>1410</v>
      </c>
      <c r="AN2570" s="7" t="s">
        <v>1409</v>
      </c>
      <c r="AO2570" s="7" t="s">
        <v>0</v>
      </c>
      <c r="AP2570" s="7" t="s">
        <v>0</v>
      </c>
      <c r="AQ2570" s="7" t="s">
        <v>61</v>
      </c>
      <c r="AR2570" s="7" t="s">
        <v>0</v>
      </c>
      <c r="AS2570" s="10" t="str">
        <f>HYPERLINK("https://tessa.gazprom-neft.local/edo/card/ad8456b8-5a91-48db-bcff-c0affbc9a19f", "https://tessa.gazprom-neft.local/edo/card/ad8456b8-5a91-48db-bcff-c0affbc9a19f")</f>
        <v>https://tessa.gazprom-neft.local/edo/card/ad8456b8-5a91-48db-bcff-c0affbc9a19f</v>
      </c>
    </row>
    <row r="2571" spans="1:45" hidden="1" x14ac:dyDescent="0.25">
      <c r="A2571" s="6" t="s">
        <v>44</v>
      </c>
      <c r="B2571" s="7" t="s">
        <v>245</v>
      </c>
      <c r="C2571" s="7" t="s">
        <v>67</v>
      </c>
      <c r="D2571" s="8">
        <v>44298</v>
      </c>
      <c r="E2571" s="8" t="s">
        <v>0</v>
      </c>
      <c r="F2571" s="16" t="s">
        <v>246</v>
      </c>
      <c r="G2571" s="7" t="s">
        <v>247</v>
      </c>
      <c r="H2571" s="7" t="s">
        <v>1542</v>
      </c>
      <c r="I2571" s="7" t="s">
        <v>0</v>
      </c>
      <c r="J2571" s="7" t="s">
        <v>1544</v>
      </c>
      <c r="K2571" s="7" t="s">
        <v>47</v>
      </c>
      <c r="L2571" s="7" t="s">
        <v>239</v>
      </c>
      <c r="M2571" s="7" t="s">
        <v>0</v>
      </c>
      <c r="N2571" s="7" t="s">
        <v>1541</v>
      </c>
      <c r="O2571" s="7" t="s">
        <v>0</v>
      </c>
      <c r="P2571" s="7" t="s">
        <v>1543</v>
      </c>
      <c r="Q2571" s="7" t="s">
        <v>1545</v>
      </c>
      <c r="R2571" s="7" t="s">
        <v>198</v>
      </c>
      <c r="S2571" s="7" t="s">
        <v>0</v>
      </c>
      <c r="T2571" s="7" t="s">
        <v>54</v>
      </c>
      <c r="U2571" s="7" t="s">
        <v>199</v>
      </c>
      <c r="V2571" s="7" t="s">
        <v>137</v>
      </c>
      <c r="W2571" s="7" t="s">
        <v>57</v>
      </c>
      <c r="X2571" s="7" t="s">
        <v>103</v>
      </c>
      <c r="Y2571" s="8">
        <v>44298</v>
      </c>
      <c r="Z2571" s="8">
        <v>44561</v>
      </c>
      <c r="AA2571" s="7" t="s">
        <v>0</v>
      </c>
      <c r="AB2571" s="7" t="s">
        <v>1546</v>
      </c>
      <c r="AC2571" s="7" t="s">
        <v>79</v>
      </c>
      <c r="AD2571" s="7" t="s">
        <v>80</v>
      </c>
      <c r="AE2571" s="7" t="s">
        <v>82</v>
      </c>
      <c r="AF2571" s="7" t="s">
        <v>0</v>
      </c>
      <c r="AG2571" s="7" t="s">
        <v>0</v>
      </c>
      <c r="AH2571" s="9" t="s">
        <v>11060</v>
      </c>
      <c r="AI2571" s="9" t="s">
        <v>11061</v>
      </c>
      <c r="AJ2571" s="9" t="s">
        <v>11062</v>
      </c>
      <c r="AK2571" s="7" t="s">
        <v>61</v>
      </c>
      <c r="AL2571" s="7" t="s">
        <v>61</v>
      </c>
      <c r="AM2571" s="7" t="s">
        <v>0</v>
      </c>
      <c r="AN2571" s="7" t="s">
        <v>0</v>
      </c>
      <c r="AO2571" s="7" t="s">
        <v>0</v>
      </c>
      <c r="AP2571" s="7" t="s">
        <v>0</v>
      </c>
      <c r="AQ2571" s="7" t="s">
        <v>61</v>
      </c>
      <c r="AR2571" s="7" t="s">
        <v>0</v>
      </c>
      <c r="AS2571" s="10" t="str">
        <f>HYPERLINK("https://tessa.gazprom-neft.local/edo/card/4397c91b-5a23-4060-bb4b-baca37327b52", "https://tessa.gazprom-neft.local/edo/card/4397c91b-5a23-4060-bb4b-baca37327b52")</f>
        <v>https://tessa.gazprom-neft.local/edo/card/4397c91b-5a23-4060-bb4b-baca37327b52</v>
      </c>
    </row>
    <row r="2572" spans="1:45" hidden="1" x14ac:dyDescent="0.25">
      <c r="A2572" s="6" t="s">
        <v>44</v>
      </c>
      <c r="B2572" s="7" t="s">
        <v>606</v>
      </c>
      <c r="C2572" s="7" t="s">
        <v>67</v>
      </c>
      <c r="D2572" s="8">
        <v>44296</v>
      </c>
      <c r="E2572" s="8" t="s">
        <v>0</v>
      </c>
      <c r="F2572" s="16" t="s">
        <v>607</v>
      </c>
      <c r="G2572" s="7" t="s">
        <v>608</v>
      </c>
      <c r="H2572" s="7" t="s">
        <v>600</v>
      </c>
      <c r="I2572" s="7" t="s">
        <v>0</v>
      </c>
      <c r="J2572" s="7" t="s">
        <v>1528</v>
      </c>
      <c r="K2572" s="7" t="s">
        <v>47</v>
      </c>
      <c r="L2572" s="7" t="s">
        <v>239</v>
      </c>
      <c r="M2572" s="7" t="s">
        <v>0</v>
      </c>
      <c r="N2572" s="7" t="s">
        <v>1527</v>
      </c>
      <c r="O2572" s="7" t="s">
        <v>0</v>
      </c>
      <c r="P2572" s="7" t="s">
        <v>1528</v>
      </c>
      <c r="Q2572" s="7" t="s">
        <v>1529</v>
      </c>
      <c r="R2572" s="7" t="s">
        <v>604</v>
      </c>
      <c r="S2572" s="7" t="s">
        <v>1530</v>
      </c>
      <c r="T2572" s="7" t="s">
        <v>54</v>
      </c>
      <c r="U2572" s="7" t="s">
        <v>605</v>
      </c>
      <c r="V2572" s="7" t="s">
        <v>137</v>
      </c>
      <c r="W2572" s="7" t="s">
        <v>57</v>
      </c>
      <c r="X2572" s="7" t="s">
        <v>103</v>
      </c>
      <c r="Y2572" s="8">
        <v>44296</v>
      </c>
      <c r="Z2572" s="8">
        <v>44561</v>
      </c>
      <c r="AA2572" s="7" t="s">
        <v>0</v>
      </c>
      <c r="AB2572" s="7" t="s">
        <v>888</v>
      </c>
      <c r="AC2572" s="7" t="s">
        <v>79</v>
      </c>
      <c r="AD2572" s="7" t="s">
        <v>144</v>
      </c>
      <c r="AE2572" s="7" t="s">
        <v>82</v>
      </c>
      <c r="AF2572" s="7" t="s">
        <v>0</v>
      </c>
      <c r="AG2572" s="7" t="s">
        <v>0</v>
      </c>
      <c r="AH2572" s="9" t="s">
        <v>11054</v>
      </c>
      <c r="AI2572" s="9" t="s">
        <v>11055</v>
      </c>
      <c r="AJ2572" s="9" t="s">
        <v>11056</v>
      </c>
      <c r="AK2572" s="7" t="s">
        <v>61</v>
      </c>
      <c r="AL2572" s="7" t="s">
        <v>61</v>
      </c>
      <c r="AM2572" s="7" t="s">
        <v>0</v>
      </c>
      <c r="AN2572" s="7" t="s">
        <v>0</v>
      </c>
      <c r="AO2572" s="7" t="s">
        <v>0</v>
      </c>
      <c r="AP2572" s="7" t="s">
        <v>0</v>
      </c>
      <c r="AQ2572" s="7" t="s">
        <v>61</v>
      </c>
      <c r="AR2572" s="7" t="s">
        <v>0</v>
      </c>
      <c r="AS2572" s="10" t="str">
        <f>HYPERLINK("https://tessa.gazprom-neft.local/edo/card/1a8eca08-ff47-45a5-bef7-2515242d871a", "https://tessa.gazprom-neft.local/edo/card/1a8eca08-ff47-45a5-bef7-2515242d871a")</f>
        <v>https://tessa.gazprom-neft.local/edo/card/1a8eca08-ff47-45a5-bef7-2515242d871a</v>
      </c>
    </row>
    <row r="2573" spans="1:45" hidden="1" x14ac:dyDescent="0.25">
      <c r="A2573" s="6" t="s">
        <v>44</v>
      </c>
      <c r="B2573" s="7" t="s">
        <v>245</v>
      </c>
      <c r="C2573" s="7" t="s">
        <v>67</v>
      </c>
      <c r="D2573" s="8">
        <v>44295</v>
      </c>
      <c r="E2573" s="8" t="s">
        <v>0</v>
      </c>
      <c r="F2573" s="16" t="s">
        <v>246</v>
      </c>
      <c r="G2573" s="7" t="s">
        <v>247</v>
      </c>
      <c r="H2573" s="7" t="s">
        <v>240</v>
      </c>
      <c r="I2573" s="7" t="s">
        <v>0</v>
      </c>
      <c r="J2573" s="7" t="s">
        <v>1863</v>
      </c>
      <c r="K2573" s="7" t="s">
        <v>47</v>
      </c>
      <c r="L2573" s="7" t="s">
        <v>239</v>
      </c>
      <c r="M2573" s="7" t="s">
        <v>0</v>
      </c>
      <c r="N2573" s="7" t="s">
        <v>1861</v>
      </c>
      <c r="O2573" s="7" t="s">
        <v>0</v>
      </c>
      <c r="P2573" s="7" t="s">
        <v>1862</v>
      </c>
      <c r="Q2573" s="7" t="s">
        <v>1864</v>
      </c>
      <c r="R2573" s="7" t="s">
        <v>244</v>
      </c>
      <c r="S2573" s="7" t="s">
        <v>1865</v>
      </c>
      <c r="T2573" s="7" t="s">
        <v>54</v>
      </c>
      <c r="U2573" s="7" t="s">
        <v>55</v>
      </c>
      <c r="V2573" s="7" t="s">
        <v>56</v>
      </c>
      <c r="W2573" s="7" t="s">
        <v>57</v>
      </c>
      <c r="X2573" s="7" t="s">
        <v>103</v>
      </c>
      <c r="Y2573" s="8">
        <v>44295</v>
      </c>
      <c r="Z2573" s="8">
        <v>44561</v>
      </c>
      <c r="AA2573" s="7" t="s">
        <v>0</v>
      </c>
      <c r="AB2573" s="7" t="s">
        <v>248</v>
      </c>
      <c r="AC2573" s="7" t="s">
        <v>79</v>
      </c>
      <c r="AD2573" s="7" t="s">
        <v>144</v>
      </c>
      <c r="AE2573" s="7" t="s">
        <v>82</v>
      </c>
      <c r="AF2573" s="7" t="s">
        <v>0</v>
      </c>
      <c r="AG2573" s="7" t="s">
        <v>0</v>
      </c>
      <c r="AH2573" s="9" t="s">
        <v>11152</v>
      </c>
      <c r="AI2573" s="9" t="s">
        <v>11153</v>
      </c>
      <c r="AJ2573" s="9" t="s">
        <v>11154</v>
      </c>
      <c r="AK2573" s="7" t="s">
        <v>61</v>
      </c>
      <c r="AL2573" s="7" t="s">
        <v>61</v>
      </c>
      <c r="AM2573" s="7" t="s">
        <v>0</v>
      </c>
      <c r="AN2573" s="7" t="s">
        <v>0</v>
      </c>
      <c r="AO2573" s="7" t="s">
        <v>0</v>
      </c>
      <c r="AP2573" s="7" t="s">
        <v>0</v>
      </c>
      <c r="AQ2573" s="7" t="s">
        <v>61</v>
      </c>
      <c r="AR2573" s="7" t="s">
        <v>0</v>
      </c>
      <c r="AS2573" s="10" t="str">
        <f>HYPERLINK("https://tessa.gazprom-neft.local/edo/card/e5892170-7040-46fc-aed6-00effcde8a74", "https://tessa.gazprom-neft.local/edo/card/e5892170-7040-46fc-aed6-00effcde8a74")</f>
        <v>https://tessa.gazprom-neft.local/edo/card/e5892170-7040-46fc-aed6-00effcde8a74</v>
      </c>
    </row>
    <row r="2574" spans="1:45" hidden="1" x14ac:dyDescent="0.25">
      <c r="A2574" s="6" t="s">
        <v>44</v>
      </c>
      <c r="B2574" s="7" t="s">
        <v>1640</v>
      </c>
      <c r="C2574" s="7" t="s">
        <v>67</v>
      </c>
      <c r="D2574" s="8">
        <v>44295</v>
      </c>
      <c r="E2574" s="8" t="s">
        <v>0</v>
      </c>
      <c r="F2574" s="16" t="s">
        <v>1641</v>
      </c>
      <c r="G2574" s="7" t="s">
        <v>1642</v>
      </c>
      <c r="H2574" s="7" t="s">
        <v>0</v>
      </c>
      <c r="I2574" s="7" t="s">
        <v>6436</v>
      </c>
      <c r="J2574" s="7" t="s">
        <v>6436</v>
      </c>
      <c r="K2574" s="7" t="s">
        <v>85</v>
      </c>
      <c r="L2574" s="7" t="s">
        <v>86</v>
      </c>
      <c r="M2574" s="7" t="s">
        <v>2316</v>
      </c>
      <c r="N2574" s="7" t="s">
        <v>6435</v>
      </c>
      <c r="O2574" s="7" t="s">
        <v>0</v>
      </c>
      <c r="P2574" s="7" t="s">
        <v>6437</v>
      </c>
      <c r="Q2574" s="7" t="s">
        <v>426</v>
      </c>
      <c r="R2574" s="7" t="s">
        <v>427</v>
      </c>
      <c r="S2574" s="7" t="s">
        <v>427</v>
      </c>
      <c r="T2574" s="7" t="s">
        <v>54</v>
      </c>
      <c r="U2574" s="7" t="s">
        <v>428</v>
      </c>
      <c r="V2574" s="7" t="s">
        <v>137</v>
      </c>
      <c r="W2574" s="7" t="s">
        <v>57</v>
      </c>
      <c r="X2574" s="7" t="s">
        <v>103</v>
      </c>
      <c r="Y2574" s="8">
        <v>44431</v>
      </c>
      <c r="Z2574" s="8">
        <v>45145</v>
      </c>
      <c r="AA2574" s="7" t="s">
        <v>0</v>
      </c>
      <c r="AB2574" s="7" t="s">
        <v>328</v>
      </c>
      <c r="AC2574" s="7" t="s">
        <v>65</v>
      </c>
      <c r="AD2574" s="7" t="s">
        <v>0</v>
      </c>
      <c r="AE2574" s="7" t="s">
        <v>0</v>
      </c>
      <c r="AF2574" s="7" t="s">
        <v>0</v>
      </c>
      <c r="AG2574" s="7" t="s">
        <v>0</v>
      </c>
      <c r="AH2574" s="9" t="s">
        <v>0</v>
      </c>
      <c r="AI2574" s="9" t="s">
        <v>0</v>
      </c>
      <c r="AJ2574" s="9" t="s">
        <v>0</v>
      </c>
      <c r="AK2574" s="7" t="s">
        <v>61</v>
      </c>
      <c r="AL2574" s="7" t="s">
        <v>61</v>
      </c>
      <c r="AM2574" s="7" t="s">
        <v>0</v>
      </c>
      <c r="AN2574" s="7" t="s">
        <v>0</v>
      </c>
      <c r="AO2574" s="7" t="s">
        <v>0</v>
      </c>
      <c r="AP2574" s="7" t="s">
        <v>0</v>
      </c>
      <c r="AQ2574" s="7" t="s">
        <v>61</v>
      </c>
      <c r="AR2574" s="7" t="s">
        <v>0</v>
      </c>
      <c r="AS2574" s="10" t="str">
        <f>HYPERLINK("https://tessa.gazprom-neft.local/edo/card/0307ac6e-f756-4fd4-b9f8-8215e7e71df0", "https://tessa.gazprom-neft.local/edo/card/0307ac6e-f756-4fd4-b9f8-8215e7e71df0")</f>
        <v>https://tessa.gazprom-neft.local/edo/card/0307ac6e-f756-4fd4-b9f8-8215e7e71df0</v>
      </c>
    </row>
    <row r="2575" spans="1:45" hidden="1" x14ac:dyDescent="0.25">
      <c r="A2575" s="6" t="s">
        <v>44</v>
      </c>
      <c r="B2575" s="7" t="s">
        <v>1684</v>
      </c>
      <c r="C2575" s="7" t="s">
        <v>67</v>
      </c>
      <c r="D2575" s="8">
        <v>44294</v>
      </c>
      <c r="E2575" s="8" t="s">
        <v>0</v>
      </c>
      <c r="F2575" s="16" t="s">
        <v>1685</v>
      </c>
      <c r="G2575" s="7" t="s">
        <v>1686</v>
      </c>
      <c r="H2575" s="7" t="s">
        <v>1680</v>
      </c>
      <c r="I2575" s="7" t="s">
        <v>0</v>
      </c>
      <c r="J2575" s="7" t="s">
        <v>1681</v>
      </c>
      <c r="K2575" s="7" t="s">
        <v>47</v>
      </c>
      <c r="L2575" s="7" t="s">
        <v>493</v>
      </c>
      <c r="M2575" s="7" t="s">
        <v>0</v>
      </c>
      <c r="N2575" s="7" t="s">
        <v>1678</v>
      </c>
      <c r="O2575" s="7" t="s">
        <v>1679</v>
      </c>
      <c r="P2575" s="7" t="s">
        <v>1681</v>
      </c>
      <c r="Q2575" s="7" t="s">
        <v>1682</v>
      </c>
      <c r="R2575" s="7" t="s">
        <v>293</v>
      </c>
      <c r="S2575" s="7" t="s">
        <v>293</v>
      </c>
      <c r="T2575" s="7" t="s">
        <v>54</v>
      </c>
      <c r="U2575" s="7" t="s">
        <v>1683</v>
      </c>
      <c r="V2575" s="7" t="s">
        <v>295</v>
      </c>
      <c r="W2575" s="7" t="s">
        <v>57</v>
      </c>
      <c r="X2575" s="7" t="s">
        <v>103</v>
      </c>
      <c r="Y2575" s="8">
        <v>44020</v>
      </c>
      <c r="Z2575" s="8">
        <v>44196</v>
      </c>
      <c r="AA2575" s="7" t="s">
        <v>1269</v>
      </c>
      <c r="AB2575" s="7" t="s">
        <v>500</v>
      </c>
      <c r="AC2575" s="7" t="s">
        <v>278</v>
      </c>
      <c r="AD2575" s="7" t="s">
        <v>144</v>
      </c>
      <c r="AE2575" s="7" t="s">
        <v>82</v>
      </c>
      <c r="AF2575" s="7" t="s">
        <v>0</v>
      </c>
      <c r="AG2575" s="7" t="s">
        <v>0</v>
      </c>
      <c r="AH2575" s="9" t="s">
        <v>11090</v>
      </c>
      <c r="AI2575" s="9" t="s">
        <v>11091</v>
      </c>
      <c r="AJ2575" s="9" t="s">
        <v>11092</v>
      </c>
      <c r="AK2575" s="7" t="s">
        <v>61</v>
      </c>
      <c r="AL2575" s="7" t="s">
        <v>61</v>
      </c>
      <c r="AM2575" s="7" t="s">
        <v>0</v>
      </c>
      <c r="AN2575" s="7" t="s">
        <v>0</v>
      </c>
      <c r="AO2575" s="7" t="s">
        <v>0</v>
      </c>
      <c r="AP2575" s="7" t="s">
        <v>0</v>
      </c>
      <c r="AQ2575" s="7" t="s">
        <v>61</v>
      </c>
      <c r="AR2575" s="7" t="s">
        <v>0</v>
      </c>
      <c r="AS2575" s="10" t="str">
        <f>HYPERLINK("https://tessa.gazprom-neft.local/edo/card/6f871288-164e-44bb-8684-6c20d48e727c", "https://tessa.gazprom-neft.local/edo/card/6f871288-164e-44bb-8684-6c20d48e727c")</f>
        <v>https://tessa.gazprom-neft.local/edo/card/6f871288-164e-44bb-8684-6c20d48e727c</v>
      </c>
    </row>
    <row r="2576" spans="1:45" hidden="1" x14ac:dyDescent="0.25">
      <c r="A2576" s="6" t="s">
        <v>44</v>
      </c>
      <c r="B2576" s="7" t="s">
        <v>245</v>
      </c>
      <c r="C2576" s="7" t="s">
        <v>67</v>
      </c>
      <c r="D2576" s="8">
        <v>44294</v>
      </c>
      <c r="E2576" s="8" t="s">
        <v>0</v>
      </c>
      <c r="F2576" s="16" t="s">
        <v>246</v>
      </c>
      <c r="G2576" s="7" t="s">
        <v>247</v>
      </c>
      <c r="H2576" s="7" t="s">
        <v>2214</v>
      </c>
      <c r="I2576" s="7" t="s">
        <v>0</v>
      </c>
      <c r="J2576" s="7" t="s">
        <v>51</v>
      </c>
      <c r="K2576" s="7" t="s">
        <v>47</v>
      </c>
      <c r="L2576" s="7" t="s">
        <v>709</v>
      </c>
      <c r="M2576" s="7" t="s">
        <v>0</v>
      </c>
      <c r="N2576" s="7" t="s">
        <v>2212</v>
      </c>
      <c r="O2576" s="7" t="s">
        <v>2213</v>
      </c>
      <c r="P2576" s="7" t="s">
        <v>2215</v>
      </c>
      <c r="Q2576" s="7" t="s">
        <v>2215</v>
      </c>
      <c r="R2576" s="7" t="s">
        <v>1774</v>
      </c>
      <c r="S2576" s="7" t="s">
        <v>0</v>
      </c>
      <c r="T2576" s="7" t="s">
        <v>54</v>
      </c>
      <c r="U2576" s="7" t="s">
        <v>307</v>
      </c>
      <c r="V2576" s="7" t="s">
        <v>382</v>
      </c>
      <c r="W2576" s="7" t="s">
        <v>57</v>
      </c>
      <c r="X2576" s="7" t="s">
        <v>103</v>
      </c>
      <c r="Y2576" s="8">
        <v>44294</v>
      </c>
      <c r="Z2576" s="8">
        <v>44377</v>
      </c>
      <c r="AA2576" s="7" t="s">
        <v>1656</v>
      </c>
      <c r="AB2576" s="7" t="s">
        <v>2216</v>
      </c>
      <c r="AC2576" s="7" t="s">
        <v>79</v>
      </c>
      <c r="AD2576" s="7" t="s">
        <v>144</v>
      </c>
      <c r="AE2576" s="7" t="s">
        <v>82</v>
      </c>
      <c r="AF2576" s="7" t="s">
        <v>0</v>
      </c>
      <c r="AG2576" s="7" t="s">
        <v>0</v>
      </c>
      <c r="AH2576" s="9" t="s">
        <v>11281</v>
      </c>
      <c r="AI2576" s="9" t="s">
        <v>11282</v>
      </c>
      <c r="AJ2576" s="9" t="s">
        <v>11283</v>
      </c>
      <c r="AK2576" s="7" t="s">
        <v>61</v>
      </c>
      <c r="AL2576" s="7" t="s">
        <v>61</v>
      </c>
      <c r="AM2576" s="7" t="s">
        <v>0</v>
      </c>
      <c r="AN2576" s="7" t="s">
        <v>0</v>
      </c>
      <c r="AO2576" s="7" t="s">
        <v>0</v>
      </c>
      <c r="AP2576" s="7" t="s">
        <v>0</v>
      </c>
      <c r="AQ2576" s="7" t="s">
        <v>61</v>
      </c>
      <c r="AR2576" s="7" t="s">
        <v>0</v>
      </c>
      <c r="AS2576" s="10" t="str">
        <f>HYPERLINK("https://tessa.gazprom-neft.local/edo/card/b4d04257-d4f6-49f9-b901-b32ecc944743", "https://tessa.gazprom-neft.local/edo/card/b4d04257-d4f6-49f9-b901-b32ecc944743")</f>
        <v>https://tessa.gazprom-neft.local/edo/card/b4d04257-d4f6-49f9-b901-b32ecc944743</v>
      </c>
    </row>
    <row r="2577" spans="1:45" hidden="1" x14ac:dyDescent="0.25">
      <c r="A2577" s="6" t="s">
        <v>44</v>
      </c>
      <c r="B2577" s="7" t="s">
        <v>245</v>
      </c>
      <c r="C2577" s="7" t="s">
        <v>67</v>
      </c>
      <c r="D2577" s="8">
        <v>44293</v>
      </c>
      <c r="E2577" s="8" t="s">
        <v>0</v>
      </c>
      <c r="F2577" s="16" t="s">
        <v>246</v>
      </c>
      <c r="G2577" s="7" t="s">
        <v>247</v>
      </c>
      <c r="H2577" s="7" t="s">
        <v>240</v>
      </c>
      <c r="I2577" s="7" t="s">
        <v>0</v>
      </c>
      <c r="J2577" s="7" t="s">
        <v>958</v>
      </c>
      <c r="K2577" s="7" t="s">
        <v>47</v>
      </c>
      <c r="L2577" s="7" t="s">
        <v>239</v>
      </c>
      <c r="M2577" s="7" t="s">
        <v>0</v>
      </c>
      <c r="N2577" s="7" t="s">
        <v>956</v>
      </c>
      <c r="O2577" s="7" t="s">
        <v>0</v>
      </c>
      <c r="P2577" s="7" t="s">
        <v>957</v>
      </c>
      <c r="Q2577" s="7" t="s">
        <v>959</v>
      </c>
      <c r="R2577" s="7" t="s">
        <v>244</v>
      </c>
      <c r="S2577" s="7" t="s">
        <v>244</v>
      </c>
      <c r="T2577" s="7" t="s">
        <v>54</v>
      </c>
      <c r="U2577" s="7" t="s">
        <v>44</v>
      </c>
      <c r="V2577" s="7" t="s">
        <v>137</v>
      </c>
      <c r="W2577" s="7" t="s">
        <v>57</v>
      </c>
      <c r="X2577" s="7" t="s">
        <v>103</v>
      </c>
      <c r="Y2577" s="8">
        <v>44287</v>
      </c>
      <c r="Z2577" s="8">
        <v>44561</v>
      </c>
      <c r="AA2577" s="7" t="s">
        <v>0</v>
      </c>
      <c r="AB2577" s="7" t="s">
        <v>248</v>
      </c>
      <c r="AC2577" s="7" t="s">
        <v>79</v>
      </c>
      <c r="AD2577" s="7" t="s">
        <v>144</v>
      </c>
      <c r="AE2577" s="7" t="s">
        <v>82</v>
      </c>
      <c r="AF2577" s="7" t="s">
        <v>0</v>
      </c>
      <c r="AG2577" s="7" t="s">
        <v>0</v>
      </c>
      <c r="AH2577" s="9" t="s">
        <v>10871</v>
      </c>
      <c r="AI2577" s="9" t="s">
        <v>10872</v>
      </c>
      <c r="AJ2577" s="9" t="s">
        <v>10873</v>
      </c>
      <c r="AK2577" s="7" t="s">
        <v>61</v>
      </c>
      <c r="AL2577" s="7" t="s">
        <v>61</v>
      </c>
      <c r="AM2577" s="7" t="s">
        <v>0</v>
      </c>
      <c r="AN2577" s="7" t="s">
        <v>0</v>
      </c>
      <c r="AO2577" s="7" t="s">
        <v>0</v>
      </c>
      <c r="AP2577" s="7" t="s">
        <v>0</v>
      </c>
      <c r="AQ2577" s="7" t="s">
        <v>61</v>
      </c>
      <c r="AR2577" s="7" t="s">
        <v>0</v>
      </c>
      <c r="AS2577" s="10" t="str">
        <f>HYPERLINK("https://tessa.gazprom-neft.local/edo/card/16ad9f84-a1d6-4140-bce3-ceea634cab87", "https://tessa.gazprom-neft.local/edo/card/16ad9f84-a1d6-4140-bce3-ceea634cab87")</f>
        <v>https://tessa.gazprom-neft.local/edo/card/16ad9f84-a1d6-4140-bce3-ceea634cab87</v>
      </c>
    </row>
    <row r="2578" spans="1:45" hidden="1" x14ac:dyDescent="0.25">
      <c r="A2578" s="6" t="s">
        <v>44</v>
      </c>
      <c r="B2578" s="7" t="s">
        <v>542</v>
      </c>
      <c r="C2578" s="7" t="s">
        <v>67</v>
      </c>
      <c r="D2578" s="8">
        <v>44293</v>
      </c>
      <c r="E2578" s="8" t="s">
        <v>0</v>
      </c>
      <c r="F2578" s="16" t="s">
        <v>543</v>
      </c>
      <c r="G2578" s="7" t="s">
        <v>544</v>
      </c>
      <c r="H2578" s="7" t="s">
        <v>536</v>
      </c>
      <c r="I2578" s="7" t="s">
        <v>0</v>
      </c>
      <c r="J2578" s="7" t="s">
        <v>1249</v>
      </c>
      <c r="K2578" s="7" t="s">
        <v>47</v>
      </c>
      <c r="L2578" s="7" t="s">
        <v>239</v>
      </c>
      <c r="M2578" s="7" t="s">
        <v>0</v>
      </c>
      <c r="N2578" s="7" t="s">
        <v>1247</v>
      </c>
      <c r="O2578" s="7" t="s">
        <v>0</v>
      </c>
      <c r="P2578" s="7" t="s">
        <v>1248</v>
      </c>
      <c r="Q2578" s="7" t="s">
        <v>1250</v>
      </c>
      <c r="R2578" s="7" t="s">
        <v>540</v>
      </c>
      <c r="S2578" s="7" t="s">
        <v>0</v>
      </c>
      <c r="T2578" s="7" t="s">
        <v>54</v>
      </c>
      <c r="U2578" s="7" t="s">
        <v>541</v>
      </c>
      <c r="V2578" s="7" t="s">
        <v>56</v>
      </c>
      <c r="W2578" s="7" t="s">
        <v>57</v>
      </c>
      <c r="X2578" s="7" t="s">
        <v>103</v>
      </c>
      <c r="Y2578" s="8">
        <v>44293</v>
      </c>
      <c r="Z2578" s="8">
        <v>44317</v>
      </c>
      <c r="AA2578" s="7" t="s">
        <v>1251</v>
      </c>
      <c r="AB2578" s="7" t="s">
        <v>545</v>
      </c>
      <c r="AC2578" s="7" t="s">
        <v>79</v>
      </c>
      <c r="AD2578" s="7" t="s">
        <v>144</v>
      </c>
      <c r="AE2578" s="7" t="s">
        <v>82</v>
      </c>
      <c r="AF2578" s="7" t="s">
        <v>0</v>
      </c>
      <c r="AG2578" s="7" t="s">
        <v>0</v>
      </c>
      <c r="AH2578" s="9" t="s">
        <v>10967</v>
      </c>
      <c r="AI2578" s="9" t="s">
        <v>10968</v>
      </c>
      <c r="AJ2578" s="9" t="s">
        <v>10969</v>
      </c>
      <c r="AK2578" s="7" t="s">
        <v>61</v>
      </c>
      <c r="AL2578" s="7" t="s">
        <v>61</v>
      </c>
      <c r="AM2578" s="7" t="s">
        <v>0</v>
      </c>
      <c r="AN2578" s="7" t="s">
        <v>0</v>
      </c>
      <c r="AO2578" s="7" t="s">
        <v>0</v>
      </c>
      <c r="AP2578" s="7" t="s">
        <v>0</v>
      </c>
      <c r="AQ2578" s="7" t="s">
        <v>61</v>
      </c>
      <c r="AR2578" s="7" t="s">
        <v>0</v>
      </c>
      <c r="AS2578" s="10" t="str">
        <f>HYPERLINK("https://tessa.gazprom-neft.local/edo/card/b0dc5edf-b65e-448c-b0ef-3055d8cdcd10", "https://tessa.gazprom-neft.local/edo/card/b0dc5edf-b65e-448c-b0ef-3055d8cdcd10")</f>
        <v>https://tessa.gazprom-neft.local/edo/card/b0dc5edf-b65e-448c-b0ef-3055d8cdcd10</v>
      </c>
    </row>
    <row r="2579" spans="1:45" x14ac:dyDescent="0.25">
      <c r="A2579" s="6" t="s">
        <v>44</v>
      </c>
      <c r="B2579" s="7" t="s">
        <v>964</v>
      </c>
      <c r="C2579" s="7" t="s">
        <v>67</v>
      </c>
      <c r="D2579" s="8">
        <v>44288</v>
      </c>
      <c r="E2579" s="8" t="s">
        <v>0</v>
      </c>
      <c r="F2579" s="16" t="s">
        <v>965</v>
      </c>
      <c r="G2579" s="7" t="s">
        <v>966</v>
      </c>
      <c r="H2579" s="7" t="s">
        <v>0</v>
      </c>
      <c r="I2579" s="7" t="s">
        <v>0</v>
      </c>
      <c r="J2579" s="7" t="s">
        <v>1267</v>
      </c>
      <c r="K2579" s="7" t="s">
        <v>47</v>
      </c>
      <c r="L2579" s="7" t="s">
        <v>48</v>
      </c>
      <c r="M2579" s="7" t="s">
        <v>0</v>
      </c>
      <c r="N2579" s="7" t="s">
        <v>1265</v>
      </c>
      <c r="O2579" s="7" t="s">
        <v>0</v>
      </c>
      <c r="P2579" s="7" t="s">
        <v>1266</v>
      </c>
      <c r="Q2579" s="7" t="s">
        <v>1268</v>
      </c>
      <c r="R2579" s="7" t="s">
        <v>519</v>
      </c>
      <c r="S2579" s="7" t="s">
        <v>519</v>
      </c>
      <c r="T2579" s="7" t="s">
        <v>54</v>
      </c>
      <c r="U2579" s="7" t="s">
        <v>294</v>
      </c>
      <c r="V2579" s="7" t="s">
        <v>295</v>
      </c>
      <c r="W2579" s="7" t="s">
        <v>57</v>
      </c>
      <c r="X2579" s="7" t="s">
        <v>103</v>
      </c>
      <c r="Y2579" s="8">
        <v>44288</v>
      </c>
      <c r="Z2579" s="8">
        <v>44561</v>
      </c>
      <c r="AA2579" s="7" t="s">
        <v>1269</v>
      </c>
      <c r="AB2579" s="7" t="s">
        <v>1270</v>
      </c>
      <c r="AC2579" s="7" t="s">
        <v>79</v>
      </c>
      <c r="AD2579" s="7" t="s">
        <v>514</v>
      </c>
      <c r="AE2579" s="7" t="s">
        <v>82</v>
      </c>
      <c r="AF2579" s="7" t="s">
        <v>0</v>
      </c>
      <c r="AG2579" s="7" t="s">
        <v>0</v>
      </c>
      <c r="AH2579" s="9" t="s">
        <v>10976</v>
      </c>
      <c r="AI2579" s="9" t="s">
        <v>10977</v>
      </c>
      <c r="AJ2579" s="9" t="s">
        <v>10978</v>
      </c>
      <c r="AK2579" s="7" t="s">
        <v>61</v>
      </c>
      <c r="AL2579" s="7" t="s">
        <v>61</v>
      </c>
      <c r="AM2579" s="7" t="s">
        <v>0</v>
      </c>
      <c r="AN2579" s="7" t="s">
        <v>0</v>
      </c>
      <c r="AO2579" s="7" t="s">
        <v>0</v>
      </c>
      <c r="AP2579" s="7" t="s">
        <v>0</v>
      </c>
      <c r="AQ2579" s="7" t="s">
        <v>61</v>
      </c>
      <c r="AR2579" s="7" t="s">
        <v>0</v>
      </c>
      <c r="AS2579" s="10" t="str">
        <f>HYPERLINK("https://tessa.gazprom-neft.local/edo/card/4145b9c1-d946-4631-8a14-ac4f665c799a", "https://tessa.gazprom-neft.local/edo/card/4145b9c1-d946-4631-8a14-ac4f665c799a")</f>
        <v>https://tessa.gazprom-neft.local/edo/card/4145b9c1-d946-4631-8a14-ac4f665c799a</v>
      </c>
    </row>
    <row r="2580" spans="1:45" hidden="1" x14ac:dyDescent="0.25">
      <c r="A2580" s="6" t="s">
        <v>44</v>
      </c>
      <c r="B2580" s="7" t="s">
        <v>245</v>
      </c>
      <c r="C2580" s="7" t="s">
        <v>67</v>
      </c>
      <c r="D2580" s="8">
        <v>44288</v>
      </c>
      <c r="E2580" s="8" t="s">
        <v>0</v>
      </c>
      <c r="F2580" s="16" t="s">
        <v>246</v>
      </c>
      <c r="G2580" s="7" t="s">
        <v>247</v>
      </c>
      <c r="H2580" s="7" t="s">
        <v>1483</v>
      </c>
      <c r="I2580" s="7" t="s">
        <v>0</v>
      </c>
      <c r="J2580" s="7" t="s">
        <v>1508</v>
      </c>
      <c r="K2580" s="7" t="s">
        <v>47</v>
      </c>
      <c r="L2580" s="7" t="s">
        <v>239</v>
      </c>
      <c r="M2580" s="7" t="s">
        <v>0</v>
      </c>
      <c r="N2580" s="7" t="s">
        <v>1507</v>
      </c>
      <c r="O2580" s="7" t="s">
        <v>0</v>
      </c>
      <c r="P2580" s="7" t="s">
        <v>1484</v>
      </c>
      <c r="Q2580" s="7" t="s">
        <v>1509</v>
      </c>
      <c r="R2580" s="7" t="s">
        <v>110</v>
      </c>
      <c r="S2580" s="7" t="s">
        <v>110</v>
      </c>
      <c r="T2580" s="7" t="s">
        <v>54</v>
      </c>
      <c r="U2580" s="7" t="s">
        <v>111</v>
      </c>
      <c r="V2580" s="7" t="s">
        <v>137</v>
      </c>
      <c r="W2580" s="7" t="s">
        <v>57</v>
      </c>
      <c r="X2580" s="7" t="s">
        <v>103</v>
      </c>
      <c r="Y2580" s="8">
        <v>44305</v>
      </c>
      <c r="Z2580" s="8">
        <v>44307</v>
      </c>
      <c r="AA2580" s="7" t="s">
        <v>0</v>
      </c>
      <c r="AB2580" s="7" t="s">
        <v>64</v>
      </c>
      <c r="AC2580" s="7" t="s">
        <v>79</v>
      </c>
      <c r="AD2580" s="7" t="s">
        <v>144</v>
      </c>
      <c r="AE2580" s="7" t="s">
        <v>82</v>
      </c>
      <c r="AF2580" s="7" t="s">
        <v>0</v>
      </c>
      <c r="AG2580" s="7" t="s">
        <v>0</v>
      </c>
      <c r="AH2580" s="9" t="s">
        <v>11041</v>
      </c>
      <c r="AI2580" s="9" t="s">
        <v>11042</v>
      </c>
      <c r="AJ2580" s="9" t="s">
        <v>11043</v>
      </c>
      <c r="AK2580" s="7" t="s">
        <v>61</v>
      </c>
      <c r="AL2580" s="7" t="s">
        <v>61</v>
      </c>
      <c r="AM2580" s="7" t="s">
        <v>0</v>
      </c>
      <c r="AN2580" s="7" t="s">
        <v>0</v>
      </c>
      <c r="AO2580" s="7" t="s">
        <v>0</v>
      </c>
      <c r="AP2580" s="7" t="s">
        <v>0</v>
      </c>
      <c r="AQ2580" s="7" t="s">
        <v>61</v>
      </c>
      <c r="AR2580" s="7" t="s">
        <v>0</v>
      </c>
      <c r="AS2580" s="10" t="str">
        <f>HYPERLINK("https://tessa.gazprom-neft.local/edo/card/9079a9d8-dbd3-4f3e-a988-4a4e6b481dfd", "https://tessa.gazprom-neft.local/edo/card/9079a9d8-dbd3-4f3e-a988-4a4e6b481dfd")</f>
        <v>https://tessa.gazprom-neft.local/edo/card/9079a9d8-dbd3-4f3e-a988-4a4e6b481dfd</v>
      </c>
    </row>
    <row r="2581" spans="1:45" hidden="1" x14ac:dyDescent="0.25">
      <c r="A2581" s="6" t="s">
        <v>44</v>
      </c>
      <c r="B2581" s="7" t="s">
        <v>325</v>
      </c>
      <c r="C2581" s="7" t="s">
        <v>67</v>
      </c>
      <c r="D2581" s="8">
        <v>44287</v>
      </c>
      <c r="E2581" s="8" t="s">
        <v>0</v>
      </c>
      <c r="F2581" s="16" t="s">
        <v>326</v>
      </c>
      <c r="G2581" s="7" t="s">
        <v>327</v>
      </c>
      <c r="H2581" s="7" t="s">
        <v>0</v>
      </c>
      <c r="I2581" s="7" t="s">
        <v>322</v>
      </c>
      <c r="J2581" s="7" t="s">
        <v>322</v>
      </c>
      <c r="K2581" s="7" t="s">
        <v>47</v>
      </c>
      <c r="L2581" s="7" t="s">
        <v>86</v>
      </c>
      <c r="M2581" s="7" t="s">
        <v>0</v>
      </c>
      <c r="N2581" s="7" t="s">
        <v>321</v>
      </c>
      <c r="O2581" s="7" t="s">
        <v>0</v>
      </c>
      <c r="P2581" s="7" t="s">
        <v>300</v>
      </c>
      <c r="Q2581" s="7" t="s">
        <v>323</v>
      </c>
      <c r="R2581" s="7" t="s">
        <v>324</v>
      </c>
      <c r="S2581" s="7" t="s">
        <v>0</v>
      </c>
      <c r="T2581" s="7" t="s">
        <v>54</v>
      </c>
      <c r="U2581" s="7" t="s">
        <v>188</v>
      </c>
      <c r="V2581" s="7" t="s">
        <v>137</v>
      </c>
      <c r="W2581" s="7" t="s">
        <v>57</v>
      </c>
      <c r="X2581" s="7" t="s">
        <v>223</v>
      </c>
      <c r="Y2581" s="8">
        <v>44287</v>
      </c>
      <c r="Z2581" s="8" t="s">
        <v>0</v>
      </c>
      <c r="AA2581" s="7" t="s">
        <v>0</v>
      </c>
      <c r="AB2581" s="7" t="s">
        <v>328</v>
      </c>
      <c r="AC2581" s="7" t="s">
        <v>65</v>
      </c>
      <c r="AD2581" s="7" t="s">
        <v>0</v>
      </c>
      <c r="AE2581" s="7" t="s">
        <v>0</v>
      </c>
      <c r="AF2581" s="7" t="s">
        <v>0</v>
      </c>
      <c r="AG2581" s="7" t="s">
        <v>0</v>
      </c>
      <c r="AH2581" s="9" t="s">
        <v>0</v>
      </c>
      <c r="AI2581" s="9" t="s">
        <v>0</v>
      </c>
      <c r="AJ2581" s="9" t="s">
        <v>0</v>
      </c>
      <c r="AK2581" s="7" t="s">
        <v>61</v>
      </c>
      <c r="AL2581" s="7" t="s">
        <v>61</v>
      </c>
      <c r="AM2581" s="7" t="s">
        <v>0</v>
      </c>
      <c r="AN2581" s="7" t="s">
        <v>0</v>
      </c>
      <c r="AO2581" s="7" t="s">
        <v>0</v>
      </c>
      <c r="AP2581" s="7" t="s">
        <v>0</v>
      </c>
      <c r="AQ2581" s="7" t="s">
        <v>61</v>
      </c>
      <c r="AR2581" s="7" t="s">
        <v>0</v>
      </c>
      <c r="AS2581" s="10" t="str">
        <f>HYPERLINK("https://tessa.gazprom-neft.local/edo/card/266e7563-1f57-418e-a12a-1a1b3910c392", "https://tessa.gazprom-neft.local/edo/card/266e7563-1f57-418e-a12a-1a1b3910c392")</f>
        <v>https://tessa.gazprom-neft.local/edo/card/266e7563-1f57-418e-a12a-1a1b3910c392</v>
      </c>
    </row>
    <row r="2582" spans="1:45" x14ac:dyDescent="0.25">
      <c r="A2582" s="6" t="s">
        <v>44</v>
      </c>
      <c r="B2582" s="7" t="s">
        <v>374</v>
      </c>
      <c r="C2582" s="7" t="s">
        <v>67</v>
      </c>
      <c r="D2582" s="8">
        <v>44287</v>
      </c>
      <c r="E2582" s="8" t="s">
        <v>0</v>
      </c>
      <c r="F2582" s="16" t="s">
        <v>375</v>
      </c>
      <c r="G2582" s="7" t="s">
        <v>376</v>
      </c>
      <c r="H2582" s="7" t="s">
        <v>369</v>
      </c>
      <c r="I2582" s="7" t="s">
        <v>0</v>
      </c>
      <c r="J2582" s="7" t="s">
        <v>371</v>
      </c>
      <c r="K2582" s="7" t="s">
        <v>47</v>
      </c>
      <c r="L2582" s="7" t="s">
        <v>48</v>
      </c>
      <c r="M2582" s="7" t="s">
        <v>0</v>
      </c>
      <c r="N2582" s="7" t="s">
        <v>368</v>
      </c>
      <c r="O2582" s="7" t="s">
        <v>0</v>
      </c>
      <c r="P2582" s="7" t="s">
        <v>370</v>
      </c>
      <c r="Q2582" s="7" t="s">
        <v>372</v>
      </c>
      <c r="R2582" s="7" t="s">
        <v>187</v>
      </c>
      <c r="S2582" s="7" t="s">
        <v>187</v>
      </c>
      <c r="T2582" s="7" t="s">
        <v>54</v>
      </c>
      <c r="U2582" s="7" t="s">
        <v>188</v>
      </c>
      <c r="V2582" s="7" t="s">
        <v>187</v>
      </c>
      <c r="W2582" s="7" t="s">
        <v>57</v>
      </c>
      <c r="X2582" s="7" t="s">
        <v>58</v>
      </c>
      <c r="Y2582" s="8">
        <v>44287</v>
      </c>
      <c r="Z2582" s="8" t="s">
        <v>0</v>
      </c>
      <c r="AA2582" s="7" t="s">
        <v>373</v>
      </c>
      <c r="AB2582" s="7" t="s">
        <v>64</v>
      </c>
      <c r="AC2582" s="7" t="s">
        <v>65</v>
      </c>
      <c r="AD2582" s="7" t="s">
        <v>0</v>
      </c>
      <c r="AE2582" s="7" t="s">
        <v>0</v>
      </c>
      <c r="AF2582" s="7" t="s">
        <v>0</v>
      </c>
      <c r="AG2582" s="7" t="s">
        <v>0</v>
      </c>
      <c r="AH2582" s="9" t="s">
        <v>0</v>
      </c>
      <c r="AI2582" s="9" t="s">
        <v>0</v>
      </c>
      <c r="AJ2582" s="9" t="s">
        <v>0</v>
      </c>
      <c r="AK2582" s="7" t="s">
        <v>61</v>
      </c>
      <c r="AL2582" s="7" t="s">
        <v>61</v>
      </c>
      <c r="AM2582" s="7" t="s">
        <v>0</v>
      </c>
      <c r="AN2582" s="7" t="s">
        <v>0</v>
      </c>
      <c r="AO2582" s="7" t="s">
        <v>0</v>
      </c>
      <c r="AP2582" s="7" t="s">
        <v>0</v>
      </c>
      <c r="AQ2582" s="7" t="s">
        <v>61</v>
      </c>
      <c r="AR2582" s="7" t="s">
        <v>0</v>
      </c>
      <c r="AS2582" s="10" t="str">
        <f>HYPERLINK("https://tessa.gazprom-neft.local/edo/card/3d228dde-5b72-4791-8c20-e31b8b2c3e02", "https://tessa.gazprom-neft.local/edo/card/3d228dde-5b72-4791-8c20-e31b8b2c3e02")</f>
        <v>https://tessa.gazprom-neft.local/edo/card/3d228dde-5b72-4791-8c20-e31b8b2c3e02</v>
      </c>
    </row>
    <row r="2583" spans="1:45" hidden="1" x14ac:dyDescent="0.25">
      <c r="A2583" s="6" t="s">
        <v>44</v>
      </c>
      <c r="B2583" s="7" t="s">
        <v>532</v>
      </c>
      <c r="C2583" s="7" t="s">
        <v>67</v>
      </c>
      <c r="D2583" s="8">
        <v>44287</v>
      </c>
      <c r="E2583" s="8" t="s">
        <v>0</v>
      </c>
      <c r="F2583" s="16" t="s">
        <v>533</v>
      </c>
      <c r="G2583" s="7" t="s">
        <v>534</v>
      </c>
      <c r="H2583" s="7" t="s">
        <v>0</v>
      </c>
      <c r="I2583" s="7" t="s">
        <v>531</v>
      </c>
      <c r="J2583" s="7" t="s">
        <v>531</v>
      </c>
      <c r="K2583" s="7" t="s">
        <v>47</v>
      </c>
      <c r="L2583" s="7" t="s">
        <v>86</v>
      </c>
      <c r="M2583" s="7" t="s">
        <v>0</v>
      </c>
      <c r="N2583" s="7" t="s">
        <v>530</v>
      </c>
      <c r="O2583" s="7" t="s">
        <v>0</v>
      </c>
      <c r="P2583" s="7" t="s">
        <v>300</v>
      </c>
      <c r="Q2583" s="7" t="s">
        <v>323</v>
      </c>
      <c r="R2583" s="7" t="s">
        <v>324</v>
      </c>
      <c r="S2583" s="7" t="s">
        <v>0</v>
      </c>
      <c r="T2583" s="7" t="s">
        <v>54</v>
      </c>
      <c r="U2583" s="7" t="s">
        <v>188</v>
      </c>
      <c r="V2583" s="7" t="s">
        <v>137</v>
      </c>
      <c r="W2583" s="7" t="s">
        <v>57</v>
      </c>
      <c r="X2583" s="7" t="s">
        <v>223</v>
      </c>
      <c r="Y2583" s="8">
        <v>44287</v>
      </c>
      <c r="Z2583" s="8" t="s">
        <v>0</v>
      </c>
      <c r="AA2583" s="7" t="s">
        <v>0</v>
      </c>
      <c r="AB2583" s="7" t="s">
        <v>328</v>
      </c>
      <c r="AC2583" s="7" t="s">
        <v>65</v>
      </c>
      <c r="AD2583" s="7" t="s">
        <v>0</v>
      </c>
      <c r="AE2583" s="7" t="s">
        <v>0</v>
      </c>
      <c r="AF2583" s="7" t="s">
        <v>0</v>
      </c>
      <c r="AG2583" s="7" t="s">
        <v>0</v>
      </c>
      <c r="AH2583" s="9" t="s">
        <v>0</v>
      </c>
      <c r="AI2583" s="9" t="s">
        <v>0</v>
      </c>
      <c r="AJ2583" s="9" t="s">
        <v>0</v>
      </c>
      <c r="AK2583" s="7" t="s">
        <v>61</v>
      </c>
      <c r="AL2583" s="7" t="s">
        <v>61</v>
      </c>
      <c r="AM2583" s="7" t="s">
        <v>0</v>
      </c>
      <c r="AN2583" s="7" t="s">
        <v>0</v>
      </c>
      <c r="AO2583" s="7" t="s">
        <v>0</v>
      </c>
      <c r="AP2583" s="7" t="s">
        <v>0</v>
      </c>
      <c r="AQ2583" s="7" t="s">
        <v>61</v>
      </c>
      <c r="AR2583" s="7" t="s">
        <v>0</v>
      </c>
      <c r="AS2583" s="10" t="str">
        <f>HYPERLINK("https://tessa.gazprom-neft.local/edo/card/8c1105cf-1a2f-442a-9125-999e3991a74d", "https://tessa.gazprom-neft.local/edo/card/8c1105cf-1a2f-442a-9125-999e3991a74d")</f>
        <v>https://tessa.gazprom-neft.local/edo/card/8c1105cf-1a2f-442a-9125-999e3991a74d</v>
      </c>
    </row>
    <row r="2584" spans="1:45" hidden="1" x14ac:dyDescent="0.25">
      <c r="A2584" s="6" t="s">
        <v>44</v>
      </c>
      <c r="B2584" s="7" t="s">
        <v>570</v>
      </c>
      <c r="C2584" s="7" t="s">
        <v>67</v>
      </c>
      <c r="D2584" s="8">
        <v>44287</v>
      </c>
      <c r="E2584" s="8" t="s">
        <v>0</v>
      </c>
      <c r="F2584" s="16" t="s">
        <v>571</v>
      </c>
      <c r="G2584" s="7" t="s">
        <v>572</v>
      </c>
      <c r="H2584" s="7" t="s">
        <v>0</v>
      </c>
      <c r="I2584" s="7" t="s">
        <v>569</v>
      </c>
      <c r="J2584" s="7" t="s">
        <v>569</v>
      </c>
      <c r="K2584" s="7" t="s">
        <v>47</v>
      </c>
      <c r="L2584" s="7" t="s">
        <v>86</v>
      </c>
      <c r="M2584" s="7" t="s">
        <v>0</v>
      </c>
      <c r="N2584" s="7" t="s">
        <v>568</v>
      </c>
      <c r="O2584" s="7" t="s">
        <v>0</v>
      </c>
      <c r="P2584" s="7" t="s">
        <v>300</v>
      </c>
      <c r="Q2584" s="7" t="s">
        <v>323</v>
      </c>
      <c r="R2584" s="7" t="s">
        <v>324</v>
      </c>
      <c r="S2584" s="7" t="s">
        <v>0</v>
      </c>
      <c r="T2584" s="7" t="s">
        <v>54</v>
      </c>
      <c r="U2584" s="7" t="s">
        <v>188</v>
      </c>
      <c r="V2584" s="7" t="s">
        <v>137</v>
      </c>
      <c r="W2584" s="7" t="s">
        <v>57</v>
      </c>
      <c r="X2584" s="7" t="s">
        <v>223</v>
      </c>
      <c r="Y2584" s="8">
        <v>44287</v>
      </c>
      <c r="Z2584" s="8" t="s">
        <v>0</v>
      </c>
      <c r="AA2584" s="7" t="s">
        <v>0</v>
      </c>
      <c r="AB2584" s="7" t="s">
        <v>328</v>
      </c>
      <c r="AC2584" s="7" t="s">
        <v>65</v>
      </c>
      <c r="AD2584" s="7" t="s">
        <v>0</v>
      </c>
      <c r="AE2584" s="7" t="s">
        <v>0</v>
      </c>
      <c r="AF2584" s="7" t="s">
        <v>0</v>
      </c>
      <c r="AG2584" s="7" t="s">
        <v>0</v>
      </c>
      <c r="AH2584" s="9" t="s">
        <v>0</v>
      </c>
      <c r="AI2584" s="9" t="s">
        <v>0</v>
      </c>
      <c r="AJ2584" s="9" t="s">
        <v>0</v>
      </c>
      <c r="AK2584" s="7" t="s">
        <v>61</v>
      </c>
      <c r="AL2584" s="7" t="s">
        <v>61</v>
      </c>
      <c r="AM2584" s="7" t="s">
        <v>0</v>
      </c>
      <c r="AN2584" s="7" t="s">
        <v>0</v>
      </c>
      <c r="AO2584" s="7" t="s">
        <v>0</v>
      </c>
      <c r="AP2584" s="7" t="s">
        <v>0</v>
      </c>
      <c r="AQ2584" s="7" t="s">
        <v>61</v>
      </c>
      <c r="AR2584" s="7" t="s">
        <v>0</v>
      </c>
      <c r="AS2584" s="10" t="str">
        <f>HYPERLINK("https://tessa.gazprom-neft.local/edo/card/ffc47bf4-7145-44b5-a6ba-446a43187f13", "https://tessa.gazprom-neft.local/edo/card/ffc47bf4-7145-44b5-a6ba-446a43187f13")</f>
        <v>https://tessa.gazprom-neft.local/edo/card/ffc47bf4-7145-44b5-a6ba-446a43187f13</v>
      </c>
    </row>
    <row r="2585" spans="1:45" x14ac:dyDescent="0.25">
      <c r="A2585" s="6" t="s">
        <v>44</v>
      </c>
      <c r="B2585" s="7" t="s">
        <v>436</v>
      </c>
      <c r="C2585" s="7" t="s">
        <v>67</v>
      </c>
      <c r="D2585" s="8">
        <v>44287</v>
      </c>
      <c r="E2585" s="8" t="s">
        <v>0</v>
      </c>
      <c r="F2585" s="16" t="s">
        <v>437</v>
      </c>
      <c r="G2585" s="7" t="s">
        <v>438</v>
      </c>
      <c r="H2585" s="7" t="s">
        <v>719</v>
      </c>
      <c r="I2585" s="7" t="s">
        <v>0</v>
      </c>
      <c r="J2585" s="7" t="s">
        <v>721</v>
      </c>
      <c r="K2585" s="7" t="s">
        <v>47</v>
      </c>
      <c r="L2585" s="7" t="s">
        <v>48</v>
      </c>
      <c r="M2585" s="7" t="s">
        <v>0</v>
      </c>
      <c r="N2585" s="7" t="s">
        <v>718</v>
      </c>
      <c r="O2585" s="7" t="s">
        <v>0</v>
      </c>
      <c r="P2585" s="7" t="s">
        <v>720</v>
      </c>
      <c r="Q2585" s="7" t="s">
        <v>722</v>
      </c>
      <c r="R2585" s="7" t="s">
        <v>273</v>
      </c>
      <c r="S2585" s="7" t="s">
        <v>0</v>
      </c>
      <c r="T2585" s="7" t="s">
        <v>54</v>
      </c>
      <c r="U2585" s="7" t="s">
        <v>274</v>
      </c>
      <c r="V2585" s="7" t="s">
        <v>723</v>
      </c>
      <c r="W2585" s="7" t="s">
        <v>57</v>
      </c>
      <c r="X2585" s="7" t="s">
        <v>58</v>
      </c>
      <c r="Y2585" s="8">
        <v>44287</v>
      </c>
      <c r="Z2585" s="8" t="s">
        <v>0</v>
      </c>
      <c r="AA2585" s="7" t="s">
        <v>0</v>
      </c>
      <c r="AB2585" s="7" t="s">
        <v>328</v>
      </c>
      <c r="AC2585" s="7" t="s">
        <v>65</v>
      </c>
      <c r="AD2585" s="7" t="s">
        <v>0</v>
      </c>
      <c r="AE2585" s="7" t="s">
        <v>0</v>
      </c>
      <c r="AF2585" s="7" t="s">
        <v>0</v>
      </c>
      <c r="AG2585" s="7" t="s">
        <v>0</v>
      </c>
      <c r="AH2585" s="9" t="s">
        <v>0</v>
      </c>
      <c r="AI2585" s="9" t="s">
        <v>0</v>
      </c>
      <c r="AJ2585" s="9" t="s">
        <v>0</v>
      </c>
      <c r="AK2585" s="7" t="s">
        <v>61</v>
      </c>
      <c r="AL2585" s="7" t="s">
        <v>61</v>
      </c>
      <c r="AM2585" s="7" t="s">
        <v>0</v>
      </c>
      <c r="AN2585" s="7" t="s">
        <v>0</v>
      </c>
      <c r="AO2585" s="7" t="s">
        <v>0</v>
      </c>
      <c r="AP2585" s="7" t="s">
        <v>0</v>
      </c>
      <c r="AQ2585" s="7" t="s">
        <v>61</v>
      </c>
      <c r="AR2585" s="7" t="s">
        <v>0</v>
      </c>
      <c r="AS2585" s="10" t="str">
        <f>HYPERLINK("https://tessa.gazprom-neft.local/edo/card/66442783-dd40-461e-9a6e-50e9c2eaa112", "https://tessa.gazprom-neft.local/edo/card/66442783-dd40-461e-9a6e-50e9c2eaa112")</f>
        <v>https://tessa.gazprom-neft.local/edo/card/66442783-dd40-461e-9a6e-50e9c2eaa112</v>
      </c>
    </row>
    <row r="2586" spans="1:45" hidden="1" x14ac:dyDescent="0.25">
      <c r="A2586" s="6" t="s">
        <v>44</v>
      </c>
      <c r="B2586" s="7" t="s">
        <v>661</v>
      </c>
      <c r="C2586" s="7" t="s">
        <v>67</v>
      </c>
      <c r="D2586" s="8">
        <v>44287</v>
      </c>
      <c r="E2586" s="8" t="s">
        <v>0</v>
      </c>
      <c r="F2586" s="16" t="s">
        <v>662</v>
      </c>
      <c r="G2586" s="7" t="s">
        <v>663</v>
      </c>
      <c r="H2586" s="7" t="s">
        <v>0</v>
      </c>
      <c r="I2586" s="7" t="s">
        <v>774</v>
      </c>
      <c r="J2586" s="7" t="s">
        <v>774</v>
      </c>
      <c r="K2586" s="7" t="s">
        <v>47</v>
      </c>
      <c r="L2586" s="7" t="s">
        <v>86</v>
      </c>
      <c r="M2586" s="7" t="s">
        <v>0</v>
      </c>
      <c r="N2586" s="7" t="s">
        <v>773</v>
      </c>
      <c r="O2586" s="7" t="s">
        <v>0</v>
      </c>
      <c r="P2586" s="7" t="s">
        <v>775</v>
      </c>
      <c r="Q2586" s="7" t="s">
        <v>426</v>
      </c>
      <c r="R2586" s="7" t="s">
        <v>776</v>
      </c>
      <c r="S2586" s="7" t="s">
        <v>776</v>
      </c>
      <c r="T2586" s="7" t="s">
        <v>54</v>
      </c>
      <c r="U2586" s="7" t="s">
        <v>777</v>
      </c>
      <c r="V2586" s="7" t="s">
        <v>102</v>
      </c>
      <c r="W2586" s="7" t="s">
        <v>57</v>
      </c>
      <c r="X2586" s="7" t="s">
        <v>58</v>
      </c>
      <c r="Y2586" s="8">
        <v>44287</v>
      </c>
      <c r="Z2586" s="8" t="s">
        <v>0</v>
      </c>
      <c r="AA2586" s="7" t="s">
        <v>0</v>
      </c>
      <c r="AB2586" s="7" t="s">
        <v>328</v>
      </c>
      <c r="AC2586" s="7" t="s">
        <v>65</v>
      </c>
      <c r="AD2586" s="7" t="s">
        <v>0</v>
      </c>
      <c r="AE2586" s="7" t="s">
        <v>0</v>
      </c>
      <c r="AF2586" s="7" t="s">
        <v>0</v>
      </c>
      <c r="AG2586" s="7" t="s">
        <v>0</v>
      </c>
      <c r="AH2586" s="9" t="s">
        <v>0</v>
      </c>
      <c r="AI2586" s="9" t="s">
        <v>0</v>
      </c>
      <c r="AJ2586" s="9" t="s">
        <v>0</v>
      </c>
      <c r="AK2586" s="7" t="s">
        <v>61</v>
      </c>
      <c r="AL2586" s="7" t="s">
        <v>61</v>
      </c>
      <c r="AM2586" s="7" t="s">
        <v>0</v>
      </c>
      <c r="AN2586" s="7" t="s">
        <v>0</v>
      </c>
      <c r="AO2586" s="7" t="s">
        <v>0</v>
      </c>
      <c r="AP2586" s="7" t="s">
        <v>0</v>
      </c>
      <c r="AQ2586" s="7" t="s">
        <v>61</v>
      </c>
      <c r="AR2586" s="7" t="s">
        <v>0</v>
      </c>
      <c r="AS2586" s="10" t="str">
        <f>HYPERLINK("https://tessa.gazprom-neft.local/edo/card/ae885e48-1fb4-408d-95a5-d1b9caa8c71e", "https://tessa.gazprom-neft.local/edo/card/ae885e48-1fb4-408d-95a5-d1b9caa8c71e")</f>
        <v>https://tessa.gazprom-neft.local/edo/card/ae885e48-1fb4-408d-95a5-d1b9caa8c71e</v>
      </c>
    </row>
    <row r="2587" spans="1:45" hidden="1" x14ac:dyDescent="0.25">
      <c r="A2587" s="6" t="s">
        <v>44</v>
      </c>
      <c r="B2587" s="7" t="s">
        <v>818</v>
      </c>
      <c r="C2587" s="7" t="s">
        <v>46</v>
      </c>
      <c r="D2587" s="8">
        <v>44287</v>
      </c>
      <c r="E2587" s="8" t="s">
        <v>0</v>
      </c>
      <c r="F2587" s="16" t="s">
        <v>819</v>
      </c>
      <c r="G2587" s="7" t="s">
        <v>820</v>
      </c>
      <c r="H2587" s="7" t="s">
        <v>0</v>
      </c>
      <c r="I2587" s="7" t="s">
        <v>817</v>
      </c>
      <c r="J2587" s="7" t="s">
        <v>817</v>
      </c>
      <c r="K2587" s="7" t="s">
        <v>47</v>
      </c>
      <c r="L2587" s="7" t="s">
        <v>86</v>
      </c>
      <c r="M2587" s="7" t="s">
        <v>0</v>
      </c>
      <c r="N2587" s="7" t="s">
        <v>816</v>
      </c>
      <c r="O2587" s="7" t="s">
        <v>0</v>
      </c>
      <c r="P2587" s="7" t="s">
        <v>300</v>
      </c>
      <c r="Q2587" s="7" t="s">
        <v>323</v>
      </c>
      <c r="R2587" s="7" t="s">
        <v>324</v>
      </c>
      <c r="S2587" s="7" t="s">
        <v>0</v>
      </c>
      <c r="T2587" s="7" t="s">
        <v>54</v>
      </c>
      <c r="U2587" s="7" t="s">
        <v>188</v>
      </c>
      <c r="V2587" s="7" t="s">
        <v>137</v>
      </c>
      <c r="W2587" s="7" t="s">
        <v>57</v>
      </c>
      <c r="X2587" s="7" t="s">
        <v>223</v>
      </c>
      <c r="Y2587" s="8">
        <v>44287</v>
      </c>
      <c r="Z2587" s="8" t="s">
        <v>0</v>
      </c>
      <c r="AA2587" s="7" t="s">
        <v>0</v>
      </c>
      <c r="AB2587" s="7" t="s">
        <v>328</v>
      </c>
      <c r="AC2587" s="7" t="s">
        <v>65</v>
      </c>
      <c r="AD2587" s="7" t="s">
        <v>0</v>
      </c>
      <c r="AE2587" s="7" t="s">
        <v>0</v>
      </c>
      <c r="AF2587" s="7" t="s">
        <v>0</v>
      </c>
      <c r="AG2587" s="7" t="s">
        <v>0</v>
      </c>
      <c r="AH2587" s="9" t="s">
        <v>0</v>
      </c>
      <c r="AI2587" s="9" t="s">
        <v>0</v>
      </c>
      <c r="AJ2587" s="9" t="s">
        <v>0</v>
      </c>
      <c r="AK2587" s="7" t="s">
        <v>61</v>
      </c>
      <c r="AL2587" s="7" t="s">
        <v>61</v>
      </c>
      <c r="AM2587" s="7" t="s">
        <v>0</v>
      </c>
      <c r="AN2587" s="7" t="s">
        <v>0</v>
      </c>
      <c r="AO2587" s="7" t="s">
        <v>0</v>
      </c>
      <c r="AP2587" s="7" t="s">
        <v>0</v>
      </c>
      <c r="AQ2587" s="7" t="s">
        <v>61</v>
      </c>
      <c r="AR2587" s="7" t="s">
        <v>0</v>
      </c>
      <c r="AS2587" s="10" t="str">
        <f>HYPERLINK("https://tessa.gazprom-neft.local/edo/card/a54a5a42-305c-4dd3-bcb2-b57e6ec90fcf", "https://tessa.gazprom-neft.local/edo/card/a54a5a42-305c-4dd3-bcb2-b57e6ec90fcf")</f>
        <v>https://tessa.gazprom-neft.local/edo/card/a54a5a42-305c-4dd3-bcb2-b57e6ec90fcf</v>
      </c>
    </row>
    <row r="2588" spans="1:45" hidden="1" x14ac:dyDescent="0.25">
      <c r="A2588" s="6" t="s">
        <v>44</v>
      </c>
      <c r="B2588" s="7" t="s">
        <v>885</v>
      </c>
      <c r="C2588" s="7" t="s">
        <v>67</v>
      </c>
      <c r="D2588" s="8">
        <v>44287</v>
      </c>
      <c r="E2588" s="8" t="s">
        <v>0</v>
      </c>
      <c r="F2588" s="16" t="s">
        <v>886</v>
      </c>
      <c r="G2588" s="7" t="s">
        <v>887</v>
      </c>
      <c r="H2588" s="7" t="s">
        <v>881</v>
      </c>
      <c r="I2588" s="7" t="s">
        <v>0</v>
      </c>
      <c r="J2588" s="7" t="s">
        <v>882</v>
      </c>
      <c r="K2588" s="7" t="s">
        <v>47</v>
      </c>
      <c r="L2588" s="7" t="s">
        <v>239</v>
      </c>
      <c r="M2588" s="7" t="s">
        <v>0</v>
      </c>
      <c r="N2588" s="7" t="s">
        <v>880</v>
      </c>
      <c r="O2588" s="7" t="s">
        <v>0</v>
      </c>
      <c r="P2588" s="7" t="s">
        <v>882</v>
      </c>
      <c r="Q2588" s="7" t="s">
        <v>883</v>
      </c>
      <c r="R2588" s="7" t="s">
        <v>604</v>
      </c>
      <c r="S2588" s="7" t="s">
        <v>884</v>
      </c>
      <c r="T2588" s="7" t="s">
        <v>54</v>
      </c>
      <c r="U2588" s="7" t="s">
        <v>605</v>
      </c>
      <c r="V2588" s="7" t="s">
        <v>137</v>
      </c>
      <c r="W2588" s="7" t="s">
        <v>57</v>
      </c>
      <c r="X2588" s="7" t="s">
        <v>103</v>
      </c>
      <c r="Y2588" s="8">
        <v>44287</v>
      </c>
      <c r="Z2588" s="8">
        <v>44561</v>
      </c>
      <c r="AA2588" s="7" t="s">
        <v>0</v>
      </c>
      <c r="AB2588" s="7" t="s">
        <v>888</v>
      </c>
      <c r="AC2588" s="7" t="s">
        <v>79</v>
      </c>
      <c r="AD2588" s="7" t="s">
        <v>144</v>
      </c>
      <c r="AE2588" s="7" t="s">
        <v>889</v>
      </c>
      <c r="AF2588" s="7" t="s">
        <v>0</v>
      </c>
      <c r="AG2588" s="7" t="s">
        <v>0</v>
      </c>
      <c r="AH2588" s="9" t="s">
        <v>10854</v>
      </c>
      <c r="AI2588" s="9" t="s">
        <v>10854</v>
      </c>
      <c r="AJ2588" s="9">
        <v>0</v>
      </c>
      <c r="AK2588" s="7" t="s">
        <v>61</v>
      </c>
      <c r="AL2588" s="7" t="s">
        <v>61</v>
      </c>
      <c r="AM2588" s="7" t="s">
        <v>0</v>
      </c>
      <c r="AN2588" s="7" t="s">
        <v>0</v>
      </c>
      <c r="AO2588" s="7" t="s">
        <v>0</v>
      </c>
      <c r="AP2588" s="7" t="s">
        <v>0</v>
      </c>
      <c r="AQ2588" s="7" t="s">
        <v>61</v>
      </c>
      <c r="AR2588" s="7" t="s">
        <v>0</v>
      </c>
      <c r="AS2588" s="10" t="str">
        <f>HYPERLINK("https://tessa.gazprom-neft.local/edo/card/3ad44494-a795-4bb5-aff1-be2af4febd84", "https://tessa.gazprom-neft.local/edo/card/3ad44494-a795-4bb5-aff1-be2af4febd84")</f>
        <v>https://tessa.gazprom-neft.local/edo/card/3ad44494-a795-4bb5-aff1-be2af4febd84</v>
      </c>
    </row>
    <row r="2589" spans="1:45" hidden="1" x14ac:dyDescent="0.25">
      <c r="A2589" s="6" t="s">
        <v>44</v>
      </c>
      <c r="B2589" s="7" t="s">
        <v>245</v>
      </c>
      <c r="C2589" s="7" t="s">
        <v>67</v>
      </c>
      <c r="D2589" s="8">
        <v>44287</v>
      </c>
      <c r="E2589" s="8" t="s">
        <v>0</v>
      </c>
      <c r="F2589" s="16" t="s">
        <v>246</v>
      </c>
      <c r="G2589" s="7" t="s">
        <v>247</v>
      </c>
      <c r="H2589" s="7" t="s">
        <v>912</v>
      </c>
      <c r="I2589" s="7" t="s">
        <v>0</v>
      </c>
      <c r="J2589" s="7" t="s">
        <v>913</v>
      </c>
      <c r="K2589" s="7" t="s">
        <v>47</v>
      </c>
      <c r="L2589" s="7" t="s">
        <v>239</v>
      </c>
      <c r="M2589" s="7" t="s">
        <v>0</v>
      </c>
      <c r="N2589" s="7" t="s">
        <v>911</v>
      </c>
      <c r="O2589" s="7" t="s">
        <v>0</v>
      </c>
      <c r="P2589" s="7" t="s">
        <v>913</v>
      </c>
      <c r="Q2589" s="7" t="s">
        <v>914</v>
      </c>
      <c r="R2589" s="7" t="s">
        <v>915</v>
      </c>
      <c r="S2589" s="7" t="s">
        <v>0</v>
      </c>
      <c r="T2589" s="7" t="s">
        <v>54</v>
      </c>
      <c r="U2589" s="7" t="s">
        <v>916</v>
      </c>
      <c r="V2589" s="7" t="s">
        <v>917</v>
      </c>
      <c r="W2589" s="7" t="s">
        <v>57</v>
      </c>
      <c r="X2589" s="7" t="s">
        <v>103</v>
      </c>
      <c r="Y2589" s="8">
        <v>44287</v>
      </c>
      <c r="Z2589" s="8">
        <v>44926</v>
      </c>
      <c r="AA2589" s="7" t="s">
        <v>309</v>
      </c>
      <c r="AB2589" s="7" t="s">
        <v>545</v>
      </c>
      <c r="AC2589" s="7" t="s">
        <v>79</v>
      </c>
      <c r="AD2589" s="7" t="s">
        <v>144</v>
      </c>
      <c r="AE2589" s="7" t="s">
        <v>82</v>
      </c>
      <c r="AF2589" s="7" t="s">
        <v>0</v>
      </c>
      <c r="AG2589" s="7" t="s">
        <v>0</v>
      </c>
      <c r="AH2589" s="9" t="s">
        <v>10858</v>
      </c>
      <c r="AI2589" s="9" t="s">
        <v>10859</v>
      </c>
      <c r="AJ2589" s="9" t="s">
        <v>10860</v>
      </c>
      <c r="AK2589" s="7" t="s">
        <v>61</v>
      </c>
      <c r="AL2589" s="7" t="s">
        <v>61</v>
      </c>
      <c r="AM2589" s="7" t="s">
        <v>0</v>
      </c>
      <c r="AN2589" s="7" t="s">
        <v>0</v>
      </c>
      <c r="AO2589" s="7" t="s">
        <v>0</v>
      </c>
      <c r="AP2589" s="7" t="s">
        <v>0</v>
      </c>
      <c r="AQ2589" s="7" t="s">
        <v>61</v>
      </c>
      <c r="AR2589" s="7" t="s">
        <v>0</v>
      </c>
      <c r="AS2589" s="10" t="str">
        <f>HYPERLINK("https://tessa.gazprom-neft.local/edo/card/1e12213d-36b4-40ef-a9ba-19cc8fe6aa3e", "https://tessa.gazprom-neft.local/edo/card/1e12213d-36b4-40ef-a9ba-19cc8fe6aa3e")</f>
        <v>https://tessa.gazprom-neft.local/edo/card/1e12213d-36b4-40ef-a9ba-19cc8fe6aa3e</v>
      </c>
    </row>
    <row r="2590" spans="1:45" hidden="1" x14ac:dyDescent="0.25">
      <c r="A2590" s="6" t="s">
        <v>44</v>
      </c>
      <c r="B2590" s="7" t="s">
        <v>971</v>
      </c>
      <c r="C2590" s="7" t="s">
        <v>67</v>
      </c>
      <c r="D2590" s="8">
        <v>44287</v>
      </c>
      <c r="E2590" s="8" t="s">
        <v>0</v>
      </c>
      <c r="F2590" s="16" t="s">
        <v>972</v>
      </c>
      <c r="G2590" s="7" t="s">
        <v>973</v>
      </c>
      <c r="H2590" s="7" t="s">
        <v>0</v>
      </c>
      <c r="I2590" s="7" t="s">
        <v>1113</v>
      </c>
      <c r="J2590" s="7" t="s">
        <v>1113</v>
      </c>
      <c r="K2590" s="7" t="s">
        <v>47</v>
      </c>
      <c r="L2590" s="7" t="s">
        <v>86</v>
      </c>
      <c r="M2590" s="7" t="s">
        <v>0</v>
      </c>
      <c r="N2590" s="7" t="s">
        <v>1112</v>
      </c>
      <c r="O2590" s="7" t="s">
        <v>0</v>
      </c>
      <c r="P2590" s="7" t="s">
        <v>941</v>
      </c>
      <c r="Q2590" s="7" t="s">
        <v>1114</v>
      </c>
      <c r="R2590" s="7" t="s">
        <v>513</v>
      </c>
      <c r="S2590" s="7" t="s">
        <v>513</v>
      </c>
      <c r="T2590" s="7" t="s">
        <v>54</v>
      </c>
      <c r="U2590" s="7" t="s">
        <v>303</v>
      </c>
      <c r="V2590" s="7" t="s">
        <v>340</v>
      </c>
      <c r="W2590" s="7" t="s">
        <v>57</v>
      </c>
      <c r="X2590" s="7" t="s">
        <v>223</v>
      </c>
      <c r="Y2590" s="8">
        <v>44287</v>
      </c>
      <c r="Z2590" s="8" t="s">
        <v>0</v>
      </c>
      <c r="AA2590" s="7" t="s">
        <v>1115</v>
      </c>
      <c r="AB2590" s="7" t="s">
        <v>328</v>
      </c>
      <c r="AC2590" s="7" t="s">
        <v>65</v>
      </c>
      <c r="AD2590" s="7" t="s">
        <v>0</v>
      </c>
      <c r="AE2590" s="7" t="s">
        <v>0</v>
      </c>
      <c r="AF2590" s="7" t="s">
        <v>0</v>
      </c>
      <c r="AG2590" s="7" t="s">
        <v>0</v>
      </c>
      <c r="AH2590" s="9" t="s">
        <v>0</v>
      </c>
      <c r="AI2590" s="9" t="s">
        <v>0</v>
      </c>
      <c r="AJ2590" s="9" t="s">
        <v>0</v>
      </c>
      <c r="AK2590" s="7" t="s">
        <v>61</v>
      </c>
      <c r="AL2590" s="7" t="s">
        <v>61</v>
      </c>
      <c r="AM2590" s="7" t="s">
        <v>0</v>
      </c>
      <c r="AN2590" s="7" t="s">
        <v>0</v>
      </c>
      <c r="AO2590" s="7" t="s">
        <v>0</v>
      </c>
      <c r="AP2590" s="7" t="s">
        <v>0</v>
      </c>
      <c r="AQ2590" s="7" t="s">
        <v>61</v>
      </c>
      <c r="AR2590" s="7" t="s">
        <v>0</v>
      </c>
      <c r="AS2590" s="10" t="str">
        <f>HYPERLINK("https://tessa.gazprom-neft.local/edo/card/1f423305-de20-4339-ba0a-e91eefa253cf", "https://tessa.gazprom-neft.local/edo/card/1f423305-de20-4339-ba0a-e91eefa253cf")</f>
        <v>https://tessa.gazprom-neft.local/edo/card/1f423305-de20-4339-ba0a-e91eefa253cf</v>
      </c>
    </row>
    <row r="2591" spans="1:45" x14ac:dyDescent="0.25">
      <c r="A2591" s="6" t="s">
        <v>44</v>
      </c>
      <c r="B2591" s="7" t="s">
        <v>436</v>
      </c>
      <c r="C2591" s="7" t="s">
        <v>67</v>
      </c>
      <c r="D2591" s="8">
        <v>44287</v>
      </c>
      <c r="E2591" s="8" t="s">
        <v>0</v>
      </c>
      <c r="F2591" s="16" t="s">
        <v>437</v>
      </c>
      <c r="G2591" s="7" t="s">
        <v>438</v>
      </c>
      <c r="H2591" s="7" t="s">
        <v>1029</v>
      </c>
      <c r="I2591" s="7" t="s">
        <v>0</v>
      </c>
      <c r="J2591" s="7" t="s">
        <v>1336</v>
      </c>
      <c r="K2591" s="7" t="s">
        <v>47</v>
      </c>
      <c r="L2591" s="7" t="s">
        <v>48</v>
      </c>
      <c r="M2591" s="7" t="s">
        <v>0</v>
      </c>
      <c r="N2591" s="7" t="s">
        <v>1335</v>
      </c>
      <c r="O2591" s="7" t="s">
        <v>0</v>
      </c>
      <c r="P2591" s="7" t="s">
        <v>720</v>
      </c>
      <c r="Q2591" s="7" t="s">
        <v>1337</v>
      </c>
      <c r="R2591" s="7" t="s">
        <v>273</v>
      </c>
      <c r="S2591" s="7" t="s">
        <v>273</v>
      </c>
      <c r="T2591" s="7" t="s">
        <v>54</v>
      </c>
      <c r="U2591" s="7" t="s">
        <v>274</v>
      </c>
      <c r="V2591" s="7" t="s">
        <v>864</v>
      </c>
      <c r="W2591" s="7" t="s">
        <v>57</v>
      </c>
      <c r="X2591" s="7" t="s">
        <v>103</v>
      </c>
      <c r="Y2591" s="8">
        <v>44287</v>
      </c>
      <c r="Z2591" s="8">
        <v>44561</v>
      </c>
      <c r="AA2591" s="7" t="s">
        <v>0</v>
      </c>
      <c r="AB2591" s="7" t="s">
        <v>328</v>
      </c>
      <c r="AC2591" s="7" t="s">
        <v>278</v>
      </c>
      <c r="AD2591" s="7" t="s">
        <v>80</v>
      </c>
      <c r="AE2591" s="7" t="s">
        <v>82</v>
      </c>
      <c r="AF2591" s="7" t="s">
        <v>0</v>
      </c>
      <c r="AG2591" s="7" t="s">
        <v>0</v>
      </c>
      <c r="AH2591" s="9" t="s">
        <v>10994</v>
      </c>
      <c r="AI2591" s="9" t="s">
        <v>10995</v>
      </c>
      <c r="AJ2591" s="9" t="s">
        <v>10996</v>
      </c>
      <c r="AK2591" s="7" t="s">
        <v>61</v>
      </c>
      <c r="AL2591" s="7" t="s">
        <v>61</v>
      </c>
      <c r="AM2591" s="7" t="s">
        <v>0</v>
      </c>
      <c r="AN2591" s="7" t="s">
        <v>0</v>
      </c>
      <c r="AO2591" s="7" t="s">
        <v>0</v>
      </c>
      <c r="AP2591" s="7" t="s">
        <v>0</v>
      </c>
      <c r="AQ2591" s="7" t="s">
        <v>61</v>
      </c>
      <c r="AR2591" s="7" t="s">
        <v>0</v>
      </c>
      <c r="AS2591" s="10" t="str">
        <f>HYPERLINK("https://tessa.gazprom-neft.local/edo/card/e22892ba-bcb1-40dd-8222-33585c216c11", "https://tessa.gazprom-neft.local/edo/card/e22892ba-bcb1-40dd-8222-33585c216c11")</f>
        <v>https://tessa.gazprom-neft.local/edo/card/e22892ba-bcb1-40dd-8222-33585c216c11</v>
      </c>
    </row>
    <row r="2592" spans="1:45" hidden="1" x14ac:dyDescent="0.25">
      <c r="A2592" s="6" t="s">
        <v>44</v>
      </c>
      <c r="B2592" s="7" t="s">
        <v>342</v>
      </c>
      <c r="C2592" s="7" t="s">
        <v>46</v>
      </c>
      <c r="D2592" s="8">
        <v>44287</v>
      </c>
      <c r="E2592" s="8" t="s">
        <v>0</v>
      </c>
      <c r="F2592" s="16" t="s">
        <v>343</v>
      </c>
      <c r="G2592" s="7" t="s">
        <v>344</v>
      </c>
      <c r="H2592" s="7" t="s">
        <v>0</v>
      </c>
      <c r="I2592" s="7" t="s">
        <v>1356</v>
      </c>
      <c r="J2592" s="7" t="s">
        <v>1356</v>
      </c>
      <c r="K2592" s="7" t="s">
        <v>47</v>
      </c>
      <c r="L2592" s="7" t="s">
        <v>86</v>
      </c>
      <c r="M2592" s="7" t="s">
        <v>0</v>
      </c>
      <c r="N2592" s="7" t="s">
        <v>1355</v>
      </c>
      <c r="O2592" s="7" t="s">
        <v>0</v>
      </c>
      <c r="P2592" s="7" t="s">
        <v>941</v>
      </c>
      <c r="Q2592" s="7" t="s">
        <v>1114</v>
      </c>
      <c r="R2592" s="7" t="s">
        <v>513</v>
      </c>
      <c r="S2592" s="7" t="s">
        <v>1357</v>
      </c>
      <c r="T2592" s="7" t="s">
        <v>54</v>
      </c>
      <c r="U2592" s="7" t="s">
        <v>303</v>
      </c>
      <c r="V2592" s="7" t="s">
        <v>340</v>
      </c>
      <c r="W2592" s="7" t="s">
        <v>57</v>
      </c>
      <c r="X2592" s="7" t="s">
        <v>223</v>
      </c>
      <c r="Y2592" s="8">
        <v>44287</v>
      </c>
      <c r="Z2592" s="8" t="s">
        <v>0</v>
      </c>
      <c r="AA2592" s="7" t="s">
        <v>1115</v>
      </c>
      <c r="AB2592" s="7" t="s">
        <v>328</v>
      </c>
      <c r="AC2592" s="7" t="s">
        <v>65</v>
      </c>
      <c r="AD2592" s="7" t="s">
        <v>0</v>
      </c>
      <c r="AE2592" s="7" t="s">
        <v>0</v>
      </c>
      <c r="AF2592" s="7" t="s">
        <v>0</v>
      </c>
      <c r="AG2592" s="7" t="s">
        <v>0</v>
      </c>
      <c r="AH2592" s="9" t="s">
        <v>0</v>
      </c>
      <c r="AI2592" s="9" t="s">
        <v>0</v>
      </c>
      <c r="AJ2592" s="9" t="s">
        <v>0</v>
      </c>
      <c r="AK2592" s="7" t="s">
        <v>61</v>
      </c>
      <c r="AL2592" s="7" t="s">
        <v>61</v>
      </c>
      <c r="AM2592" s="7" t="s">
        <v>0</v>
      </c>
      <c r="AN2592" s="7" t="s">
        <v>0</v>
      </c>
      <c r="AO2592" s="7" t="s">
        <v>0</v>
      </c>
      <c r="AP2592" s="7" t="s">
        <v>0</v>
      </c>
      <c r="AQ2592" s="7" t="s">
        <v>61</v>
      </c>
      <c r="AR2592" s="7" t="s">
        <v>0</v>
      </c>
      <c r="AS2592" s="10" t="str">
        <f>HYPERLINK("https://tessa.gazprom-neft.local/edo/card/82a7b829-6b73-48f7-a962-6e2aecc097bc", "https://tessa.gazprom-neft.local/edo/card/82a7b829-6b73-48f7-a962-6e2aecc097bc")</f>
        <v>https://tessa.gazprom-neft.local/edo/card/82a7b829-6b73-48f7-a962-6e2aecc097bc</v>
      </c>
    </row>
    <row r="2593" spans="1:45" x14ac:dyDescent="0.25">
      <c r="A2593" s="6" t="s">
        <v>44</v>
      </c>
      <c r="B2593" s="7" t="s">
        <v>1745</v>
      </c>
      <c r="C2593" s="7" t="s">
        <v>67</v>
      </c>
      <c r="D2593" s="8">
        <v>44287</v>
      </c>
      <c r="E2593" s="8" t="s">
        <v>0</v>
      </c>
      <c r="F2593" s="16" t="s">
        <v>1746</v>
      </c>
      <c r="G2593" s="7" t="s">
        <v>1747</v>
      </c>
      <c r="H2593" s="7" t="s">
        <v>1741</v>
      </c>
      <c r="I2593" s="7" t="s">
        <v>0</v>
      </c>
      <c r="J2593" s="7" t="s">
        <v>1743</v>
      </c>
      <c r="K2593" s="7" t="s">
        <v>47</v>
      </c>
      <c r="L2593" s="7" t="s">
        <v>48</v>
      </c>
      <c r="M2593" s="7" t="s">
        <v>0</v>
      </c>
      <c r="N2593" s="7" t="s">
        <v>1739</v>
      </c>
      <c r="O2593" s="7" t="s">
        <v>1740</v>
      </c>
      <c r="P2593" s="7" t="s">
        <v>1742</v>
      </c>
      <c r="Q2593" s="7" t="s">
        <v>1744</v>
      </c>
      <c r="R2593" s="7" t="s">
        <v>361</v>
      </c>
      <c r="S2593" s="7" t="s">
        <v>361</v>
      </c>
      <c r="T2593" s="7" t="s">
        <v>54</v>
      </c>
      <c r="U2593" s="7" t="s">
        <v>1683</v>
      </c>
      <c r="V2593" s="7" t="s">
        <v>295</v>
      </c>
      <c r="W2593" s="7" t="s">
        <v>57</v>
      </c>
      <c r="X2593" s="7" t="s">
        <v>103</v>
      </c>
      <c r="Y2593" s="8">
        <v>44287</v>
      </c>
      <c r="Z2593" s="8">
        <v>44561</v>
      </c>
      <c r="AA2593" s="7" t="s">
        <v>1269</v>
      </c>
      <c r="AB2593" s="7" t="s">
        <v>1748</v>
      </c>
      <c r="AC2593" s="7" t="s">
        <v>65</v>
      </c>
      <c r="AD2593" s="7" t="s">
        <v>367</v>
      </c>
      <c r="AE2593" s="7" t="s">
        <v>0</v>
      </c>
      <c r="AF2593" s="7" t="s">
        <v>0</v>
      </c>
      <c r="AG2593" s="7" t="s">
        <v>0</v>
      </c>
      <c r="AH2593" s="9" t="s">
        <v>0</v>
      </c>
      <c r="AI2593" s="9" t="s">
        <v>0</v>
      </c>
      <c r="AJ2593" s="9" t="s">
        <v>0</v>
      </c>
      <c r="AK2593" s="7" t="s">
        <v>61</v>
      </c>
      <c r="AL2593" s="7" t="s">
        <v>61</v>
      </c>
      <c r="AM2593" s="7" t="s">
        <v>0</v>
      </c>
      <c r="AN2593" s="7" t="s">
        <v>0</v>
      </c>
      <c r="AO2593" s="7" t="s">
        <v>0</v>
      </c>
      <c r="AP2593" s="7" t="s">
        <v>0</v>
      </c>
      <c r="AQ2593" s="7" t="s">
        <v>61</v>
      </c>
      <c r="AR2593" s="7" t="s">
        <v>0</v>
      </c>
      <c r="AS2593" s="10" t="str">
        <f>HYPERLINK("https://tessa.gazprom-neft.local/edo/card/327cb18b-fad0-4ab3-a29a-fd9f7616a104", "https://tessa.gazprom-neft.local/edo/card/327cb18b-fad0-4ab3-a29a-fd9f7616a104")</f>
        <v>https://tessa.gazprom-neft.local/edo/card/327cb18b-fad0-4ab3-a29a-fd9f7616a104</v>
      </c>
    </row>
    <row r="2594" spans="1:45" x14ac:dyDescent="0.25">
      <c r="A2594" s="6" t="s">
        <v>44</v>
      </c>
      <c r="B2594" s="7" t="s">
        <v>374</v>
      </c>
      <c r="C2594" s="7" t="s">
        <v>67</v>
      </c>
      <c r="D2594" s="8">
        <v>44287</v>
      </c>
      <c r="E2594" s="8" t="s">
        <v>0</v>
      </c>
      <c r="F2594" s="16" t="s">
        <v>375</v>
      </c>
      <c r="G2594" s="7" t="s">
        <v>376</v>
      </c>
      <c r="H2594" s="7" t="s">
        <v>2833</v>
      </c>
      <c r="I2594" s="7" t="s">
        <v>0</v>
      </c>
      <c r="J2594" s="7" t="s">
        <v>2835</v>
      </c>
      <c r="K2594" s="7" t="s">
        <v>47</v>
      </c>
      <c r="L2594" s="7" t="s">
        <v>48</v>
      </c>
      <c r="M2594" s="7" t="s">
        <v>0</v>
      </c>
      <c r="N2594" s="7" t="s">
        <v>2832</v>
      </c>
      <c r="O2594" s="7" t="s">
        <v>0</v>
      </c>
      <c r="P2594" s="7" t="s">
        <v>2834</v>
      </c>
      <c r="Q2594" s="7" t="s">
        <v>2834</v>
      </c>
      <c r="R2594" s="7" t="s">
        <v>2079</v>
      </c>
      <c r="S2594" s="7" t="s">
        <v>2836</v>
      </c>
      <c r="T2594" s="7" t="s">
        <v>54</v>
      </c>
      <c r="U2594" s="7" t="s">
        <v>307</v>
      </c>
      <c r="V2594" s="7" t="s">
        <v>56</v>
      </c>
      <c r="W2594" s="7" t="s">
        <v>57</v>
      </c>
      <c r="X2594" s="7" t="s">
        <v>103</v>
      </c>
      <c r="Y2594" s="8">
        <v>44287</v>
      </c>
      <c r="Z2594" s="8">
        <v>44561</v>
      </c>
      <c r="AA2594" s="7" t="s">
        <v>1251</v>
      </c>
      <c r="AB2594" s="7" t="s">
        <v>64</v>
      </c>
      <c r="AC2594" s="7" t="s">
        <v>79</v>
      </c>
      <c r="AD2594" s="7" t="s">
        <v>80</v>
      </c>
      <c r="AE2594" s="7" t="s">
        <v>82</v>
      </c>
      <c r="AF2594" s="7" t="s">
        <v>0</v>
      </c>
      <c r="AG2594" s="7" t="s">
        <v>0</v>
      </c>
      <c r="AH2594" s="9">
        <v>0.01</v>
      </c>
      <c r="AI2594" s="9">
        <v>0.01</v>
      </c>
      <c r="AJ2594" s="9">
        <v>0</v>
      </c>
      <c r="AK2594" s="7" t="s">
        <v>61</v>
      </c>
      <c r="AL2594" s="7" t="s">
        <v>61</v>
      </c>
      <c r="AM2594" s="7" t="s">
        <v>0</v>
      </c>
      <c r="AN2594" s="7" t="s">
        <v>0</v>
      </c>
      <c r="AO2594" s="7" t="s">
        <v>0</v>
      </c>
      <c r="AP2594" s="7" t="s">
        <v>0</v>
      </c>
      <c r="AQ2594" s="7" t="s">
        <v>61</v>
      </c>
      <c r="AR2594" s="7" t="s">
        <v>0</v>
      </c>
      <c r="AS2594" s="10" t="str">
        <f>HYPERLINK("https://tessa.gazprom-neft.local/edo/card/5698686d-11a2-4ca0-b47b-ee186cb6ecb2", "https://tessa.gazprom-neft.local/edo/card/5698686d-11a2-4ca0-b47b-ee186cb6ecb2")</f>
        <v>https://tessa.gazprom-neft.local/edo/card/5698686d-11a2-4ca0-b47b-ee186cb6ecb2</v>
      </c>
    </row>
    <row r="2595" spans="1:45" x14ac:dyDescent="0.25">
      <c r="A2595" s="6" t="s">
        <v>44</v>
      </c>
      <c r="B2595" s="7" t="s">
        <v>0</v>
      </c>
      <c r="C2595" s="7" t="s">
        <v>46</v>
      </c>
      <c r="D2595" s="8">
        <v>44287</v>
      </c>
      <c r="E2595" s="8" t="s">
        <v>0</v>
      </c>
      <c r="F2595" s="16" t="s">
        <v>3693</v>
      </c>
      <c r="G2595" s="7" t="s">
        <v>0</v>
      </c>
      <c r="H2595" s="7" t="s">
        <v>1359</v>
      </c>
      <c r="I2595" s="7" t="s">
        <v>0</v>
      </c>
      <c r="J2595" s="7" t="s">
        <v>51</v>
      </c>
      <c r="K2595" s="7" t="s">
        <v>47</v>
      </c>
      <c r="L2595" s="7" t="s">
        <v>48</v>
      </c>
      <c r="M2595" s="7" t="s">
        <v>0</v>
      </c>
      <c r="N2595" s="7" t="s">
        <v>3690</v>
      </c>
      <c r="O2595" s="7" t="s">
        <v>0</v>
      </c>
      <c r="P2595" s="7" t="s">
        <v>3691</v>
      </c>
      <c r="Q2595" s="7" t="s">
        <v>3692</v>
      </c>
      <c r="R2595" s="7" t="s">
        <v>1083</v>
      </c>
      <c r="S2595" s="7" t="s">
        <v>444</v>
      </c>
      <c r="T2595" s="7" t="s">
        <v>54</v>
      </c>
      <c r="U2595" s="7" t="s">
        <v>274</v>
      </c>
      <c r="V2595" s="7" t="s">
        <v>340</v>
      </c>
      <c r="W2595" s="7" t="s">
        <v>57</v>
      </c>
      <c r="X2595" s="7" t="s">
        <v>103</v>
      </c>
      <c r="Y2595" s="8">
        <v>44287</v>
      </c>
      <c r="Z2595" s="8">
        <v>45291</v>
      </c>
      <c r="AA2595" s="7" t="s">
        <v>1115</v>
      </c>
      <c r="AB2595" s="7" t="s">
        <v>64</v>
      </c>
      <c r="AC2595" s="7" t="s">
        <v>278</v>
      </c>
      <c r="AD2595" s="7" t="s">
        <v>80</v>
      </c>
      <c r="AE2595" s="7" t="s">
        <v>82</v>
      </c>
      <c r="AF2595" s="7" t="s">
        <v>0</v>
      </c>
      <c r="AG2595" s="7" t="s">
        <v>0</v>
      </c>
      <c r="AH2595" s="9" t="s">
        <v>11784</v>
      </c>
      <c r="AI2595" s="9" t="s">
        <v>11785</v>
      </c>
      <c r="AJ2595" s="9" t="s">
        <v>11786</v>
      </c>
      <c r="AK2595" s="7" t="s">
        <v>61</v>
      </c>
      <c r="AL2595" s="7" t="s">
        <v>61</v>
      </c>
      <c r="AM2595" s="7" t="s">
        <v>0</v>
      </c>
      <c r="AN2595" s="7" t="s">
        <v>0</v>
      </c>
      <c r="AO2595" s="7" t="s">
        <v>0</v>
      </c>
      <c r="AP2595" s="7" t="s">
        <v>0</v>
      </c>
      <c r="AQ2595" s="7" t="s">
        <v>61</v>
      </c>
      <c r="AR2595" s="7" t="s">
        <v>0</v>
      </c>
      <c r="AS2595" s="10" t="str">
        <f>HYPERLINK("https://tessa.gazprom-neft.local/edo/card/57202c81-5969-405e-880f-964e8aaa97f4", "https://tessa.gazprom-neft.local/edo/card/57202c81-5969-405e-880f-964e8aaa97f4")</f>
        <v>https://tessa.gazprom-neft.local/edo/card/57202c81-5969-405e-880f-964e8aaa97f4</v>
      </c>
    </row>
    <row r="2596" spans="1:45" hidden="1" x14ac:dyDescent="0.25">
      <c r="A2596" s="6" t="s">
        <v>44</v>
      </c>
      <c r="B2596" s="7" t="s">
        <v>429</v>
      </c>
      <c r="C2596" s="7" t="s">
        <v>67</v>
      </c>
      <c r="D2596" s="8">
        <v>44284</v>
      </c>
      <c r="E2596" s="8" t="s">
        <v>0</v>
      </c>
      <c r="F2596" s="16" t="s">
        <v>430</v>
      </c>
      <c r="G2596" s="7" t="s">
        <v>431</v>
      </c>
      <c r="H2596" s="7" t="s">
        <v>0</v>
      </c>
      <c r="I2596" s="7" t="s">
        <v>425</v>
      </c>
      <c r="J2596" s="7" t="s">
        <v>425</v>
      </c>
      <c r="K2596" s="7" t="s">
        <v>47</v>
      </c>
      <c r="L2596" s="7" t="s">
        <v>86</v>
      </c>
      <c r="M2596" s="7" t="s">
        <v>0</v>
      </c>
      <c r="N2596" s="7" t="s">
        <v>424</v>
      </c>
      <c r="O2596" s="7" t="s">
        <v>0</v>
      </c>
      <c r="P2596" s="7" t="s">
        <v>300</v>
      </c>
      <c r="Q2596" s="7" t="s">
        <v>426</v>
      </c>
      <c r="R2596" s="7" t="s">
        <v>427</v>
      </c>
      <c r="S2596" s="7" t="s">
        <v>427</v>
      </c>
      <c r="T2596" s="7" t="s">
        <v>54</v>
      </c>
      <c r="U2596" s="7" t="s">
        <v>428</v>
      </c>
      <c r="V2596" s="7" t="s">
        <v>340</v>
      </c>
      <c r="W2596" s="7" t="s">
        <v>57</v>
      </c>
      <c r="X2596" s="7" t="s">
        <v>103</v>
      </c>
      <c r="Y2596" s="8">
        <v>44294</v>
      </c>
      <c r="Z2596" s="8">
        <v>46113</v>
      </c>
      <c r="AA2596" s="7" t="s">
        <v>0</v>
      </c>
      <c r="AB2596" s="7" t="s">
        <v>328</v>
      </c>
      <c r="AC2596" s="7" t="s">
        <v>65</v>
      </c>
      <c r="AD2596" s="7" t="s">
        <v>0</v>
      </c>
      <c r="AE2596" s="7" t="s">
        <v>0</v>
      </c>
      <c r="AF2596" s="7" t="s">
        <v>0</v>
      </c>
      <c r="AG2596" s="7" t="s">
        <v>0</v>
      </c>
      <c r="AH2596" s="9" t="s">
        <v>0</v>
      </c>
      <c r="AI2596" s="9" t="s">
        <v>0</v>
      </c>
      <c r="AJ2596" s="9" t="s">
        <v>0</v>
      </c>
      <c r="AK2596" s="7" t="s">
        <v>61</v>
      </c>
      <c r="AL2596" s="7" t="s">
        <v>61</v>
      </c>
      <c r="AM2596" s="7" t="s">
        <v>0</v>
      </c>
      <c r="AN2596" s="7" t="s">
        <v>0</v>
      </c>
      <c r="AO2596" s="7" t="s">
        <v>0</v>
      </c>
      <c r="AP2596" s="7" t="s">
        <v>0</v>
      </c>
      <c r="AQ2596" s="7" t="s">
        <v>61</v>
      </c>
      <c r="AR2596" s="7" t="s">
        <v>0</v>
      </c>
      <c r="AS2596" s="10" t="str">
        <f>HYPERLINK("https://tessa.gazprom-neft.local/edo/card/916cf46c-f0cb-4ae0-bcb2-c85126e23164", "https://tessa.gazprom-neft.local/edo/card/916cf46c-f0cb-4ae0-bcb2-c85126e23164")</f>
        <v>https://tessa.gazprom-neft.local/edo/card/916cf46c-f0cb-4ae0-bcb2-c85126e23164</v>
      </c>
    </row>
    <row r="2597" spans="1:45" hidden="1" x14ac:dyDescent="0.25">
      <c r="A2597" s="6" t="s">
        <v>44</v>
      </c>
      <c r="B2597" s="7" t="s">
        <v>793</v>
      </c>
      <c r="C2597" s="7" t="s">
        <v>46</v>
      </c>
      <c r="D2597" s="8">
        <v>44284</v>
      </c>
      <c r="E2597" s="8" t="s">
        <v>0</v>
      </c>
      <c r="F2597" s="16" t="s">
        <v>794</v>
      </c>
      <c r="G2597" s="7" t="s">
        <v>795</v>
      </c>
      <c r="H2597" s="7" t="s">
        <v>0</v>
      </c>
      <c r="I2597" s="7" t="s">
        <v>790</v>
      </c>
      <c r="J2597" s="7" t="s">
        <v>790</v>
      </c>
      <c r="K2597" s="7" t="s">
        <v>47</v>
      </c>
      <c r="L2597" s="7" t="s">
        <v>96</v>
      </c>
      <c r="M2597" s="7" t="s">
        <v>0</v>
      </c>
      <c r="N2597" s="7" t="s">
        <v>789</v>
      </c>
      <c r="O2597" s="7" t="s">
        <v>0</v>
      </c>
      <c r="P2597" s="7" t="s">
        <v>791</v>
      </c>
      <c r="Q2597" s="7" t="s">
        <v>792</v>
      </c>
      <c r="R2597" s="7" t="s">
        <v>168</v>
      </c>
      <c r="S2597" s="7" t="s">
        <v>168</v>
      </c>
      <c r="T2597" s="7" t="s">
        <v>54</v>
      </c>
      <c r="U2597" s="7" t="s">
        <v>101</v>
      </c>
      <c r="V2597" s="7" t="s">
        <v>102</v>
      </c>
      <c r="W2597" s="7" t="s">
        <v>57</v>
      </c>
      <c r="X2597" s="7" t="s">
        <v>103</v>
      </c>
      <c r="Y2597" s="8">
        <v>44166</v>
      </c>
      <c r="Z2597" s="8">
        <v>44347</v>
      </c>
      <c r="AA2597" s="7" t="s">
        <v>0</v>
      </c>
      <c r="AB2597" s="7" t="s">
        <v>64</v>
      </c>
      <c r="AC2597" s="7" t="s">
        <v>278</v>
      </c>
      <c r="AD2597" s="7" t="s">
        <v>367</v>
      </c>
      <c r="AE2597" s="7" t="s">
        <v>82</v>
      </c>
      <c r="AF2597" s="7" t="s">
        <v>0</v>
      </c>
      <c r="AG2597" s="7" t="s">
        <v>0</v>
      </c>
      <c r="AH2597" s="9" t="s">
        <v>10832</v>
      </c>
      <c r="AI2597" s="9" t="s">
        <v>10833</v>
      </c>
      <c r="AJ2597" s="9" t="s">
        <v>10834</v>
      </c>
      <c r="AK2597" s="7" t="s">
        <v>61</v>
      </c>
      <c r="AL2597" s="7" t="s">
        <v>61</v>
      </c>
      <c r="AM2597" s="7" t="s">
        <v>0</v>
      </c>
      <c r="AN2597" s="7" t="s">
        <v>0</v>
      </c>
      <c r="AO2597" s="7" t="s">
        <v>0</v>
      </c>
      <c r="AP2597" s="7" t="s">
        <v>0</v>
      </c>
      <c r="AQ2597" s="7" t="s">
        <v>61</v>
      </c>
      <c r="AR2597" s="7" t="s">
        <v>0</v>
      </c>
      <c r="AS2597" s="10" t="str">
        <f>HYPERLINK("https://tessa.gazprom-neft.local/edo/card/cef2abcd-c142-401d-968e-3b0bff4cebaa", "https://tessa.gazprom-neft.local/edo/card/cef2abcd-c142-401d-968e-3b0bff4cebaa")</f>
        <v>https://tessa.gazprom-neft.local/edo/card/cef2abcd-c142-401d-968e-3b0bff4cebaa</v>
      </c>
    </row>
    <row r="2598" spans="1:45" x14ac:dyDescent="0.25">
      <c r="A2598" s="6" t="s">
        <v>44</v>
      </c>
      <c r="B2598" s="7" t="s">
        <v>1084</v>
      </c>
      <c r="C2598" s="7" t="s">
        <v>67</v>
      </c>
      <c r="D2598" s="8">
        <v>44284</v>
      </c>
      <c r="E2598" s="8" t="s">
        <v>0</v>
      </c>
      <c r="F2598" s="16" t="s">
        <v>1085</v>
      </c>
      <c r="G2598" s="7" t="s">
        <v>1086</v>
      </c>
      <c r="H2598" s="7" t="s">
        <v>1079</v>
      </c>
      <c r="I2598" s="7" t="s">
        <v>0</v>
      </c>
      <c r="J2598" s="7" t="s">
        <v>1081</v>
      </c>
      <c r="K2598" s="7" t="s">
        <v>47</v>
      </c>
      <c r="L2598" s="7" t="s">
        <v>48</v>
      </c>
      <c r="M2598" s="7" t="s">
        <v>0</v>
      </c>
      <c r="N2598" s="7" t="s">
        <v>1078</v>
      </c>
      <c r="O2598" s="7" t="s">
        <v>0</v>
      </c>
      <c r="P2598" s="7" t="s">
        <v>1080</v>
      </c>
      <c r="Q2598" s="7" t="s">
        <v>1082</v>
      </c>
      <c r="R2598" s="7" t="s">
        <v>1083</v>
      </c>
      <c r="S2598" s="7" t="s">
        <v>0</v>
      </c>
      <c r="T2598" s="7" t="s">
        <v>54</v>
      </c>
      <c r="U2598" s="7" t="s">
        <v>274</v>
      </c>
      <c r="V2598" s="7" t="s">
        <v>846</v>
      </c>
      <c r="W2598" s="7" t="s">
        <v>57</v>
      </c>
      <c r="X2598" s="7" t="s">
        <v>103</v>
      </c>
      <c r="Y2598" s="8">
        <v>44284</v>
      </c>
      <c r="Z2598" s="8">
        <v>44561</v>
      </c>
      <c r="AA2598" s="7" t="s">
        <v>0</v>
      </c>
      <c r="AB2598" s="7" t="s">
        <v>64</v>
      </c>
      <c r="AC2598" s="7" t="s">
        <v>278</v>
      </c>
      <c r="AD2598" s="7" t="s">
        <v>80</v>
      </c>
      <c r="AE2598" s="7" t="s">
        <v>82</v>
      </c>
      <c r="AF2598" s="7" t="s">
        <v>0</v>
      </c>
      <c r="AG2598" s="7" t="s">
        <v>0</v>
      </c>
      <c r="AH2598" s="9" t="s">
        <v>10916</v>
      </c>
      <c r="AI2598" s="9" t="s">
        <v>10917</v>
      </c>
      <c r="AJ2598" s="9" t="s">
        <v>10918</v>
      </c>
      <c r="AK2598" s="7" t="s">
        <v>61</v>
      </c>
      <c r="AL2598" s="7" t="s">
        <v>61</v>
      </c>
      <c r="AM2598" s="7" t="s">
        <v>0</v>
      </c>
      <c r="AN2598" s="7" t="s">
        <v>0</v>
      </c>
      <c r="AO2598" s="7" t="s">
        <v>0</v>
      </c>
      <c r="AP2598" s="7" t="s">
        <v>0</v>
      </c>
      <c r="AQ2598" s="7" t="s">
        <v>61</v>
      </c>
      <c r="AR2598" s="7" t="s">
        <v>0</v>
      </c>
      <c r="AS2598" s="10" t="str">
        <f>HYPERLINK("https://tessa.gazprom-neft.local/edo/card/551f60d4-6f65-4eb1-99f1-7b91c57f0db8", "https://tessa.gazprom-neft.local/edo/card/551f60d4-6f65-4eb1-99f1-7b91c57f0db8")</f>
        <v>https://tessa.gazprom-neft.local/edo/card/551f60d4-6f65-4eb1-99f1-7b91c57f0db8</v>
      </c>
    </row>
    <row r="2599" spans="1:45" hidden="1" x14ac:dyDescent="0.25">
      <c r="A2599" s="6" t="s">
        <v>44</v>
      </c>
      <c r="B2599" s="7" t="s">
        <v>245</v>
      </c>
      <c r="C2599" s="7" t="s">
        <v>67</v>
      </c>
      <c r="D2599" s="8">
        <v>44284</v>
      </c>
      <c r="E2599" s="8" t="s">
        <v>0</v>
      </c>
      <c r="F2599" s="16" t="s">
        <v>246</v>
      </c>
      <c r="G2599" s="7" t="s">
        <v>247</v>
      </c>
      <c r="H2599" s="7" t="s">
        <v>1483</v>
      </c>
      <c r="I2599" s="7" t="s">
        <v>0</v>
      </c>
      <c r="J2599" s="7" t="s">
        <v>1485</v>
      </c>
      <c r="K2599" s="7" t="s">
        <v>47</v>
      </c>
      <c r="L2599" s="7" t="s">
        <v>239</v>
      </c>
      <c r="M2599" s="7" t="s">
        <v>0</v>
      </c>
      <c r="N2599" s="7" t="s">
        <v>1482</v>
      </c>
      <c r="O2599" s="7" t="s">
        <v>0</v>
      </c>
      <c r="P2599" s="7" t="s">
        <v>1484</v>
      </c>
      <c r="Q2599" s="7" t="s">
        <v>1486</v>
      </c>
      <c r="R2599" s="7" t="s">
        <v>110</v>
      </c>
      <c r="S2599" s="7" t="s">
        <v>110</v>
      </c>
      <c r="T2599" s="7" t="s">
        <v>54</v>
      </c>
      <c r="U2599" s="7" t="s">
        <v>111</v>
      </c>
      <c r="V2599" s="7" t="s">
        <v>137</v>
      </c>
      <c r="W2599" s="7" t="s">
        <v>57</v>
      </c>
      <c r="X2599" s="7" t="s">
        <v>103</v>
      </c>
      <c r="Y2599" s="8">
        <v>44305</v>
      </c>
      <c r="Z2599" s="8">
        <v>44307</v>
      </c>
      <c r="AA2599" s="7" t="s">
        <v>0</v>
      </c>
      <c r="AB2599" s="7" t="s">
        <v>64</v>
      </c>
      <c r="AC2599" s="7" t="s">
        <v>79</v>
      </c>
      <c r="AD2599" s="7" t="s">
        <v>144</v>
      </c>
      <c r="AE2599" s="7" t="s">
        <v>82</v>
      </c>
      <c r="AF2599" s="7" t="s">
        <v>0</v>
      </c>
      <c r="AG2599" s="7" t="s">
        <v>0</v>
      </c>
      <c r="AH2599" s="9" t="s">
        <v>11041</v>
      </c>
      <c r="AI2599" s="9" t="s">
        <v>11042</v>
      </c>
      <c r="AJ2599" s="9" t="s">
        <v>11043</v>
      </c>
      <c r="AK2599" s="7" t="s">
        <v>61</v>
      </c>
      <c r="AL2599" s="7" t="s">
        <v>61</v>
      </c>
      <c r="AM2599" s="7" t="s">
        <v>0</v>
      </c>
      <c r="AN2599" s="7" t="s">
        <v>0</v>
      </c>
      <c r="AO2599" s="7" t="s">
        <v>0</v>
      </c>
      <c r="AP2599" s="7" t="s">
        <v>0</v>
      </c>
      <c r="AQ2599" s="7" t="s">
        <v>61</v>
      </c>
      <c r="AR2599" s="7" t="s">
        <v>0</v>
      </c>
      <c r="AS2599" s="10" t="str">
        <f>HYPERLINK("https://tessa.gazprom-neft.local/edo/card/bd679a08-f07c-4bb5-a7d1-613d0dddb6f1", "https://tessa.gazprom-neft.local/edo/card/bd679a08-f07c-4bb5-a7d1-613d0dddb6f1")</f>
        <v>https://tessa.gazprom-neft.local/edo/card/bd679a08-f07c-4bb5-a7d1-613d0dddb6f1</v>
      </c>
    </row>
    <row r="2600" spans="1:45" hidden="1" x14ac:dyDescent="0.25">
      <c r="A2600" s="6" t="s">
        <v>44</v>
      </c>
      <c r="B2600" s="7" t="s">
        <v>753</v>
      </c>
      <c r="C2600" s="7" t="s">
        <v>67</v>
      </c>
      <c r="D2600" s="8">
        <v>44280</v>
      </c>
      <c r="E2600" s="8" t="s">
        <v>0</v>
      </c>
      <c r="F2600" s="16" t="s">
        <v>754</v>
      </c>
      <c r="G2600" s="7" t="s">
        <v>755</v>
      </c>
      <c r="H2600" s="7" t="s">
        <v>0</v>
      </c>
      <c r="I2600" s="7" t="s">
        <v>748</v>
      </c>
      <c r="J2600" s="7" t="s">
        <v>748</v>
      </c>
      <c r="K2600" s="7" t="s">
        <v>47</v>
      </c>
      <c r="L2600" s="7" t="s">
        <v>96</v>
      </c>
      <c r="M2600" s="7" t="s">
        <v>0</v>
      </c>
      <c r="N2600" s="7" t="s">
        <v>747</v>
      </c>
      <c r="O2600" s="7" t="s">
        <v>0</v>
      </c>
      <c r="P2600" s="7" t="s">
        <v>749</v>
      </c>
      <c r="Q2600" s="7" t="s">
        <v>750</v>
      </c>
      <c r="R2600" s="7" t="s">
        <v>751</v>
      </c>
      <c r="S2600" s="7" t="s">
        <v>752</v>
      </c>
      <c r="T2600" s="7" t="s">
        <v>54</v>
      </c>
      <c r="U2600" s="7" t="s">
        <v>222</v>
      </c>
      <c r="V2600" s="7" t="s">
        <v>137</v>
      </c>
      <c r="W2600" s="7" t="s">
        <v>57</v>
      </c>
      <c r="X2600" s="7" t="s">
        <v>103</v>
      </c>
      <c r="Y2600" s="8">
        <v>44280</v>
      </c>
      <c r="Z2600" s="8">
        <v>44926</v>
      </c>
      <c r="AA2600" s="7" t="s">
        <v>0</v>
      </c>
      <c r="AB2600" s="7" t="s">
        <v>756</v>
      </c>
      <c r="AC2600" s="7" t="s">
        <v>79</v>
      </c>
      <c r="AD2600" s="7" t="s">
        <v>514</v>
      </c>
      <c r="AE2600" s="7" t="s">
        <v>82</v>
      </c>
      <c r="AF2600" s="7" t="s">
        <v>0</v>
      </c>
      <c r="AG2600" s="7" t="s">
        <v>0</v>
      </c>
      <c r="AH2600" s="9" t="s">
        <v>10823</v>
      </c>
      <c r="AI2600" s="9" t="s">
        <v>10824</v>
      </c>
      <c r="AJ2600" s="9" t="s">
        <v>10825</v>
      </c>
      <c r="AK2600" s="7" t="s">
        <v>61</v>
      </c>
      <c r="AL2600" s="7" t="s">
        <v>61</v>
      </c>
      <c r="AM2600" s="7" t="s">
        <v>0</v>
      </c>
      <c r="AN2600" s="7" t="s">
        <v>0</v>
      </c>
      <c r="AO2600" s="7" t="s">
        <v>0</v>
      </c>
      <c r="AP2600" s="7" t="s">
        <v>0</v>
      </c>
      <c r="AQ2600" s="7" t="s">
        <v>61</v>
      </c>
      <c r="AR2600" s="7" t="s">
        <v>0</v>
      </c>
      <c r="AS2600" s="10" t="str">
        <f>HYPERLINK("https://tessa.gazprom-neft.local/edo/card/93838379-6dc5-4cdc-9381-4c1acd6cbe5d", "https://tessa.gazprom-neft.local/edo/card/93838379-6dc5-4cdc-9381-4c1acd6cbe5d")</f>
        <v>https://tessa.gazprom-neft.local/edo/card/93838379-6dc5-4cdc-9381-4c1acd6cbe5d</v>
      </c>
    </row>
    <row r="2601" spans="1:45" hidden="1" x14ac:dyDescent="0.25">
      <c r="A2601" s="6" t="s">
        <v>44</v>
      </c>
      <c r="B2601" s="7" t="s">
        <v>753</v>
      </c>
      <c r="C2601" s="7" t="s">
        <v>67</v>
      </c>
      <c r="D2601" s="8">
        <v>44280</v>
      </c>
      <c r="E2601" s="8" t="s">
        <v>0</v>
      </c>
      <c r="F2601" s="16" t="s">
        <v>754</v>
      </c>
      <c r="G2601" s="7" t="s">
        <v>755</v>
      </c>
      <c r="H2601" s="7" t="s">
        <v>0</v>
      </c>
      <c r="I2601" s="7" t="s">
        <v>1616</v>
      </c>
      <c r="J2601" s="7" t="s">
        <v>1616</v>
      </c>
      <c r="K2601" s="7" t="s">
        <v>85</v>
      </c>
      <c r="L2601" s="7" t="s">
        <v>86</v>
      </c>
      <c r="M2601" s="7" t="s">
        <v>83</v>
      </c>
      <c r="N2601" s="7" t="s">
        <v>1615</v>
      </c>
      <c r="O2601" s="7" t="s">
        <v>0</v>
      </c>
      <c r="P2601" s="7" t="s">
        <v>83</v>
      </c>
      <c r="Q2601" s="7" t="s">
        <v>1574</v>
      </c>
      <c r="R2601" s="7" t="s">
        <v>1575</v>
      </c>
      <c r="S2601" s="7" t="s">
        <v>1575</v>
      </c>
      <c r="T2601" s="7" t="s">
        <v>54</v>
      </c>
      <c r="U2601" s="7" t="s">
        <v>222</v>
      </c>
      <c r="V2601" s="7" t="s">
        <v>382</v>
      </c>
      <c r="W2601" s="7" t="s">
        <v>57</v>
      </c>
      <c r="X2601" s="7" t="s">
        <v>223</v>
      </c>
      <c r="Y2601" s="8">
        <v>44280</v>
      </c>
      <c r="Z2601" s="8" t="s">
        <v>0</v>
      </c>
      <c r="AA2601" s="7" t="s">
        <v>383</v>
      </c>
      <c r="AB2601" s="7" t="s">
        <v>94</v>
      </c>
      <c r="AC2601" s="7" t="s">
        <v>65</v>
      </c>
      <c r="AD2601" s="7" t="s">
        <v>144</v>
      </c>
      <c r="AE2601" s="7" t="s">
        <v>0</v>
      </c>
      <c r="AF2601" s="7" t="s">
        <v>0</v>
      </c>
      <c r="AG2601" s="7" t="s">
        <v>0</v>
      </c>
      <c r="AH2601" s="9" t="s">
        <v>0</v>
      </c>
      <c r="AI2601" s="9" t="s">
        <v>0</v>
      </c>
      <c r="AJ2601" s="9" t="s">
        <v>0</v>
      </c>
      <c r="AK2601" s="7" t="s">
        <v>61</v>
      </c>
      <c r="AL2601" s="7" t="s">
        <v>61</v>
      </c>
      <c r="AM2601" s="7" t="s">
        <v>0</v>
      </c>
      <c r="AN2601" s="7" t="s">
        <v>0</v>
      </c>
      <c r="AO2601" s="7" t="s">
        <v>0</v>
      </c>
      <c r="AP2601" s="7" t="s">
        <v>0</v>
      </c>
      <c r="AQ2601" s="7" t="s">
        <v>61</v>
      </c>
      <c r="AR2601" s="7" t="s">
        <v>0</v>
      </c>
      <c r="AS2601" s="10" t="str">
        <f>HYPERLINK("https://tessa.gazprom-neft.local/edo/card/234b6303-cdb0-4252-ae3f-30f21a5d8a8b", "https://tessa.gazprom-neft.local/edo/card/234b6303-cdb0-4252-ae3f-30f21a5d8a8b")</f>
        <v>https://tessa.gazprom-neft.local/edo/card/234b6303-cdb0-4252-ae3f-30f21a5d8a8b</v>
      </c>
    </row>
    <row r="2602" spans="1:45" hidden="1" x14ac:dyDescent="0.25">
      <c r="A2602" s="6" t="s">
        <v>44</v>
      </c>
      <c r="B2602" s="7" t="s">
        <v>245</v>
      </c>
      <c r="C2602" s="7" t="s">
        <v>67</v>
      </c>
      <c r="D2602" s="8">
        <v>44278</v>
      </c>
      <c r="E2602" s="8" t="s">
        <v>0</v>
      </c>
      <c r="F2602" s="16" t="s">
        <v>246</v>
      </c>
      <c r="G2602" s="7" t="s">
        <v>247</v>
      </c>
      <c r="H2602" s="7" t="s">
        <v>240</v>
      </c>
      <c r="I2602" s="7" t="s">
        <v>0</v>
      </c>
      <c r="J2602" s="7" t="s">
        <v>242</v>
      </c>
      <c r="K2602" s="7" t="s">
        <v>47</v>
      </c>
      <c r="L2602" s="7" t="s">
        <v>239</v>
      </c>
      <c r="M2602" s="7" t="s">
        <v>0</v>
      </c>
      <c r="N2602" s="7" t="s">
        <v>238</v>
      </c>
      <c r="O2602" s="7" t="s">
        <v>0</v>
      </c>
      <c r="P2602" s="7" t="s">
        <v>241</v>
      </c>
      <c r="Q2602" s="7" t="s">
        <v>243</v>
      </c>
      <c r="R2602" s="7" t="s">
        <v>244</v>
      </c>
      <c r="S2602" s="7" t="s">
        <v>244</v>
      </c>
      <c r="T2602" s="7" t="s">
        <v>54</v>
      </c>
      <c r="U2602" s="7" t="s">
        <v>55</v>
      </c>
      <c r="V2602" s="7" t="s">
        <v>56</v>
      </c>
      <c r="W2602" s="7" t="s">
        <v>57</v>
      </c>
      <c r="X2602" s="7" t="s">
        <v>103</v>
      </c>
      <c r="Y2602" s="8">
        <v>44278</v>
      </c>
      <c r="Z2602" s="8">
        <v>44561</v>
      </c>
      <c r="AA2602" s="7" t="s">
        <v>0</v>
      </c>
      <c r="AB2602" s="7" t="s">
        <v>248</v>
      </c>
      <c r="AC2602" s="7" t="s">
        <v>79</v>
      </c>
      <c r="AD2602" s="7" t="s">
        <v>144</v>
      </c>
      <c r="AE2602" s="7" t="s">
        <v>82</v>
      </c>
      <c r="AF2602" s="7" t="s">
        <v>0</v>
      </c>
      <c r="AG2602" s="7" t="s">
        <v>0</v>
      </c>
      <c r="AH2602" s="9" t="s">
        <v>10714</v>
      </c>
      <c r="AI2602" s="9" t="s">
        <v>10715</v>
      </c>
      <c r="AJ2602" s="9" t="s">
        <v>10716</v>
      </c>
      <c r="AK2602" s="7" t="s">
        <v>61</v>
      </c>
      <c r="AL2602" s="7" t="s">
        <v>61</v>
      </c>
      <c r="AM2602" s="7" t="s">
        <v>0</v>
      </c>
      <c r="AN2602" s="7" t="s">
        <v>0</v>
      </c>
      <c r="AO2602" s="7" t="s">
        <v>0</v>
      </c>
      <c r="AP2602" s="7" t="s">
        <v>0</v>
      </c>
      <c r="AQ2602" s="7" t="s">
        <v>61</v>
      </c>
      <c r="AR2602" s="7" t="s">
        <v>0</v>
      </c>
      <c r="AS2602" s="10" t="str">
        <f>HYPERLINK("https://tessa.gazprom-neft.local/edo/card/268a0f05-5218-4598-bbde-5523001a271e", "https://tessa.gazprom-neft.local/edo/card/268a0f05-5218-4598-bbde-5523001a271e")</f>
        <v>https://tessa.gazprom-neft.local/edo/card/268a0f05-5218-4598-bbde-5523001a271e</v>
      </c>
    </row>
    <row r="2603" spans="1:45" x14ac:dyDescent="0.25">
      <c r="A2603" s="6" t="s">
        <v>44</v>
      </c>
      <c r="B2603" s="7" t="s">
        <v>342</v>
      </c>
      <c r="C2603" s="7" t="s">
        <v>67</v>
      </c>
      <c r="D2603" s="8">
        <v>44278</v>
      </c>
      <c r="E2603" s="8" t="s">
        <v>0</v>
      </c>
      <c r="F2603" s="16" t="s">
        <v>343</v>
      </c>
      <c r="G2603" s="7" t="s">
        <v>344</v>
      </c>
      <c r="H2603" s="7" t="s">
        <v>509</v>
      </c>
      <c r="I2603" s="7" t="s">
        <v>0</v>
      </c>
      <c r="J2603" s="7" t="s">
        <v>511</v>
      </c>
      <c r="K2603" s="7" t="s">
        <v>47</v>
      </c>
      <c r="L2603" s="7" t="s">
        <v>48</v>
      </c>
      <c r="M2603" s="7" t="s">
        <v>0</v>
      </c>
      <c r="N2603" s="7" t="s">
        <v>508</v>
      </c>
      <c r="O2603" s="7" t="s">
        <v>0</v>
      </c>
      <c r="P2603" s="7" t="s">
        <v>510</v>
      </c>
      <c r="Q2603" s="7" t="s">
        <v>512</v>
      </c>
      <c r="R2603" s="7" t="s">
        <v>513</v>
      </c>
      <c r="S2603" s="7" t="s">
        <v>513</v>
      </c>
      <c r="T2603" s="7" t="s">
        <v>54</v>
      </c>
      <c r="U2603" s="7" t="s">
        <v>303</v>
      </c>
      <c r="V2603" s="7" t="s">
        <v>91</v>
      </c>
      <c r="W2603" s="7" t="s">
        <v>57</v>
      </c>
      <c r="X2603" s="7" t="s">
        <v>103</v>
      </c>
      <c r="Y2603" s="8">
        <v>44278</v>
      </c>
      <c r="Z2603" s="8">
        <v>44561</v>
      </c>
      <c r="AA2603" s="7" t="s">
        <v>0</v>
      </c>
      <c r="AB2603" s="7" t="s">
        <v>328</v>
      </c>
      <c r="AC2603" s="7" t="s">
        <v>79</v>
      </c>
      <c r="AD2603" s="7" t="s">
        <v>514</v>
      </c>
      <c r="AE2603" s="7" t="s">
        <v>82</v>
      </c>
      <c r="AF2603" s="7" t="s">
        <v>0</v>
      </c>
      <c r="AG2603" s="7" t="s">
        <v>0</v>
      </c>
      <c r="AH2603" s="9" t="s">
        <v>10758</v>
      </c>
      <c r="AI2603" s="9" t="s">
        <v>10759</v>
      </c>
      <c r="AJ2603" s="9" t="s">
        <v>10760</v>
      </c>
      <c r="AK2603" s="7" t="s">
        <v>61</v>
      </c>
      <c r="AL2603" s="7" t="s">
        <v>61</v>
      </c>
      <c r="AM2603" s="7" t="s">
        <v>0</v>
      </c>
      <c r="AN2603" s="7" t="s">
        <v>0</v>
      </c>
      <c r="AO2603" s="7" t="s">
        <v>0</v>
      </c>
      <c r="AP2603" s="7" t="s">
        <v>0</v>
      </c>
      <c r="AQ2603" s="7" t="s">
        <v>61</v>
      </c>
      <c r="AR2603" s="7" t="s">
        <v>0</v>
      </c>
      <c r="AS2603" s="10" t="str">
        <f>HYPERLINK("https://tessa.gazprom-neft.local/edo/card/a84090d1-dc60-4288-9737-bff51af6d1fb", "https://tessa.gazprom-neft.local/edo/card/a84090d1-dc60-4288-9737-bff51af6d1fb")</f>
        <v>https://tessa.gazprom-neft.local/edo/card/a84090d1-dc60-4288-9737-bff51af6d1fb</v>
      </c>
    </row>
    <row r="2604" spans="1:45" hidden="1" x14ac:dyDescent="0.25">
      <c r="A2604" s="6" t="s">
        <v>44</v>
      </c>
      <c r="B2604" s="7" t="s">
        <v>245</v>
      </c>
      <c r="C2604" s="7" t="s">
        <v>67</v>
      </c>
      <c r="D2604" s="8">
        <v>44277</v>
      </c>
      <c r="E2604" s="8" t="s">
        <v>0</v>
      </c>
      <c r="F2604" s="16" t="s">
        <v>246</v>
      </c>
      <c r="G2604" s="7" t="s">
        <v>247</v>
      </c>
      <c r="H2604" s="7" t="s">
        <v>0</v>
      </c>
      <c r="I2604" s="7" t="s">
        <v>4756</v>
      </c>
      <c r="J2604" s="7" t="s">
        <v>4756</v>
      </c>
      <c r="K2604" s="7" t="s">
        <v>47</v>
      </c>
      <c r="L2604" s="7" t="s">
        <v>86</v>
      </c>
      <c r="M2604" s="7" t="s">
        <v>0</v>
      </c>
      <c r="N2604" s="7" t="s">
        <v>4755</v>
      </c>
      <c r="O2604" s="7" t="s">
        <v>0</v>
      </c>
      <c r="P2604" s="7" t="s">
        <v>4757</v>
      </c>
      <c r="Q2604" s="7" t="s">
        <v>4758</v>
      </c>
      <c r="R2604" s="7" t="s">
        <v>244</v>
      </c>
      <c r="S2604" s="7" t="s">
        <v>244</v>
      </c>
      <c r="T2604" s="7" t="s">
        <v>54</v>
      </c>
      <c r="U2604" s="7" t="s">
        <v>44</v>
      </c>
      <c r="V2604" s="7" t="s">
        <v>56</v>
      </c>
      <c r="W2604" s="7" t="s">
        <v>57</v>
      </c>
      <c r="X2604" s="7" t="s">
        <v>103</v>
      </c>
      <c r="Y2604" s="8">
        <v>44277</v>
      </c>
      <c r="Z2604" s="8">
        <v>46387</v>
      </c>
      <c r="AA2604" s="7" t="s">
        <v>1251</v>
      </c>
      <c r="AB2604" s="7" t="s">
        <v>328</v>
      </c>
      <c r="AC2604" s="7" t="s">
        <v>65</v>
      </c>
      <c r="AD2604" s="7" t="s">
        <v>0</v>
      </c>
      <c r="AE2604" s="7" t="s">
        <v>0</v>
      </c>
      <c r="AF2604" s="7" t="s">
        <v>0</v>
      </c>
      <c r="AG2604" s="7" t="s">
        <v>0</v>
      </c>
      <c r="AH2604" s="9" t="s">
        <v>0</v>
      </c>
      <c r="AI2604" s="9" t="s">
        <v>0</v>
      </c>
      <c r="AJ2604" s="9" t="s">
        <v>0</v>
      </c>
      <c r="AK2604" s="7" t="s">
        <v>61</v>
      </c>
      <c r="AL2604" s="7" t="s">
        <v>61</v>
      </c>
      <c r="AM2604" s="7" t="s">
        <v>0</v>
      </c>
      <c r="AN2604" s="7" t="s">
        <v>0</v>
      </c>
      <c r="AO2604" s="7" t="s">
        <v>0</v>
      </c>
      <c r="AP2604" s="7" t="s">
        <v>0</v>
      </c>
      <c r="AQ2604" s="7" t="s">
        <v>61</v>
      </c>
      <c r="AR2604" s="7" t="s">
        <v>0</v>
      </c>
      <c r="AS2604" s="10" t="str">
        <f>HYPERLINK("https://tessa.gazprom-neft.local/edo/card/6417c95e-80c0-4f97-b5c3-26fbee4c0002", "https://tessa.gazprom-neft.local/edo/card/6417c95e-80c0-4f97-b5c3-26fbee4c0002")</f>
        <v>https://tessa.gazprom-neft.local/edo/card/6417c95e-80c0-4f97-b5c3-26fbee4c0002</v>
      </c>
    </row>
    <row r="2605" spans="1:45" hidden="1" x14ac:dyDescent="0.25">
      <c r="A2605" s="6" t="s">
        <v>44</v>
      </c>
      <c r="B2605" s="7" t="s">
        <v>1593</v>
      </c>
      <c r="C2605" s="7" t="s">
        <v>67</v>
      </c>
      <c r="D2605" s="8">
        <v>44256</v>
      </c>
      <c r="E2605" s="8" t="s">
        <v>0</v>
      </c>
      <c r="F2605" s="16" t="s">
        <v>1594</v>
      </c>
      <c r="G2605" s="7" t="s">
        <v>1595</v>
      </c>
      <c r="H2605" s="7" t="s">
        <v>0</v>
      </c>
      <c r="I2605" s="7" t="s">
        <v>1592</v>
      </c>
      <c r="J2605" s="7" t="s">
        <v>1592</v>
      </c>
      <c r="K2605" s="7" t="s">
        <v>85</v>
      </c>
      <c r="L2605" s="7" t="s">
        <v>86</v>
      </c>
      <c r="M2605" s="7" t="s">
        <v>83</v>
      </c>
      <c r="N2605" s="7" t="s">
        <v>1591</v>
      </c>
      <c r="O2605" s="7" t="s">
        <v>0</v>
      </c>
      <c r="P2605" s="7" t="s">
        <v>83</v>
      </c>
      <c r="Q2605" s="7" t="s">
        <v>1574</v>
      </c>
      <c r="R2605" s="7" t="s">
        <v>1575</v>
      </c>
      <c r="S2605" s="7" t="s">
        <v>1575</v>
      </c>
      <c r="T2605" s="7" t="s">
        <v>54</v>
      </c>
      <c r="U2605" s="7" t="s">
        <v>222</v>
      </c>
      <c r="V2605" s="7" t="s">
        <v>382</v>
      </c>
      <c r="W2605" s="7" t="s">
        <v>57</v>
      </c>
      <c r="X2605" s="7" t="s">
        <v>223</v>
      </c>
      <c r="Y2605" s="8">
        <v>44256</v>
      </c>
      <c r="Z2605" s="8" t="s">
        <v>0</v>
      </c>
      <c r="AA2605" s="7" t="s">
        <v>383</v>
      </c>
      <c r="AB2605" s="7" t="s">
        <v>94</v>
      </c>
      <c r="AC2605" s="7" t="s">
        <v>65</v>
      </c>
      <c r="AD2605" s="7" t="s">
        <v>0</v>
      </c>
      <c r="AE2605" s="7" t="s">
        <v>0</v>
      </c>
      <c r="AF2605" s="7" t="s">
        <v>0</v>
      </c>
      <c r="AG2605" s="7" t="s">
        <v>0</v>
      </c>
      <c r="AH2605" s="9" t="s">
        <v>0</v>
      </c>
      <c r="AI2605" s="9" t="s">
        <v>0</v>
      </c>
      <c r="AJ2605" s="9" t="s">
        <v>0</v>
      </c>
      <c r="AK2605" s="7" t="s">
        <v>61</v>
      </c>
      <c r="AL2605" s="7" t="s">
        <v>61</v>
      </c>
      <c r="AM2605" s="7" t="s">
        <v>0</v>
      </c>
      <c r="AN2605" s="7" t="s">
        <v>0</v>
      </c>
      <c r="AO2605" s="7" t="s">
        <v>0</v>
      </c>
      <c r="AP2605" s="7" t="s">
        <v>0</v>
      </c>
      <c r="AQ2605" s="7" t="s">
        <v>61</v>
      </c>
      <c r="AR2605" s="7" t="s">
        <v>0</v>
      </c>
      <c r="AS2605" s="10" t="str">
        <f>HYPERLINK("https://tessa.gazprom-neft.local/edo/card/a1d99fd7-ccb1-4f4c-824d-aa2afe6af52c", "https://tessa.gazprom-neft.local/edo/card/a1d99fd7-ccb1-4f4c-824d-aa2afe6af52c")</f>
        <v>https://tessa.gazprom-neft.local/edo/card/a1d99fd7-ccb1-4f4c-824d-aa2afe6af52c</v>
      </c>
    </row>
    <row r="2606" spans="1:45" x14ac:dyDescent="0.25">
      <c r="A2606" s="6" t="s">
        <v>44</v>
      </c>
      <c r="B2606" s="7" t="s">
        <v>3031</v>
      </c>
      <c r="C2606" s="7" t="s">
        <v>67</v>
      </c>
      <c r="D2606" s="8">
        <v>44228</v>
      </c>
      <c r="E2606" s="8" t="s">
        <v>0</v>
      </c>
      <c r="F2606" s="16" t="s">
        <v>3032</v>
      </c>
      <c r="G2606" s="7" t="s">
        <v>3033</v>
      </c>
      <c r="H2606" s="7" t="s">
        <v>5107</v>
      </c>
      <c r="I2606" s="7" t="s">
        <v>0</v>
      </c>
      <c r="J2606" s="7" t="s">
        <v>51</v>
      </c>
      <c r="K2606" s="7" t="s">
        <v>85</v>
      </c>
      <c r="L2606" s="7" t="s">
        <v>48</v>
      </c>
      <c r="M2606" s="7" t="s">
        <v>2128</v>
      </c>
      <c r="N2606" s="7" t="s">
        <v>5106</v>
      </c>
      <c r="O2606" s="7" t="s">
        <v>0</v>
      </c>
      <c r="P2606" s="7" t="s">
        <v>2128</v>
      </c>
      <c r="Q2606" s="7" t="s">
        <v>5108</v>
      </c>
      <c r="R2606" s="7" t="s">
        <v>1829</v>
      </c>
      <c r="S2606" s="7" t="s">
        <v>0</v>
      </c>
      <c r="T2606" s="7" t="s">
        <v>54</v>
      </c>
      <c r="U2606" s="7" t="s">
        <v>307</v>
      </c>
      <c r="V2606" s="7" t="s">
        <v>382</v>
      </c>
      <c r="W2606" s="7" t="s">
        <v>57</v>
      </c>
      <c r="X2606" s="7" t="s">
        <v>103</v>
      </c>
      <c r="Y2606" s="8">
        <v>44228</v>
      </c>
      <c r="Z2606" s="8">
        <v>45291</v>
      </c>
      <c r="AA2606" s="7" t="s">
        <v>1656</v>
      </c>
      <c r="AB2606" s="7" t="s">
        <v>328</v>
      </c>
      <c r="AC2606" s="7" t="s">
        <v>65</v>
      </c>
      <c r="AD2606" s="7" t="s">
        <v>144</v>
      </c>
      <c r="AE2606" s="7" t="s">
        <v>0</v>
      </c>
      <c r="AF2606" s="7" t="s">
        <v>0</v>
      </c>
      <c r="AG2606" s="7" t="s">
        <v>0</v>
      </c>
      <c r="AH2606" s="9" t="s">
        <v>0</v>
      </c>
      <c r="AI2606" s="9" t="s">
        <v>0</v>
      </c>
      <c r="AJ2606" s="9" t="s">
        <v>0</v>
      </c>
      <c r="AK2606" s="7" t="s">
        <v>61</v>
      </c>
      <c r="AL2606" s="7" t="s">
        <v>61</v>
      </c>
      <c r="AM2606" s="7" t="s">
        <v>0</v>
      </c>
      <c r="AN2606" s="7" t="s">
        <v>0</v>
      </c>
      <c r="AO2606" s="7" t="s">
        <v>0</v>
      </c>
      <c r="AP2606" s="7" t="s">
        <v>0</v>
      </c>
      <c r="AQ2606" s="7" t="s">
        <v>61</v>
      </c>
      <c r="AR2606" s="7" t="s">
        <v>0</v>
      </c>
      <c r="AS2606" s="10" t="str">
        <f>HYPERLINK("https://tessa.gazprom-neft.local/edo/card/50529357-94cb-4b85-bc7c-e3c6ff222641", "https://tessa.gazprom-neft.local/edo/card/50529357-94cb-4b85-bc7c-e3c6ff222641")</f>
        <v>https://tessa.gazprom-neft.local/edo/card/50529357-94cb-4b85-bc7c-e3c6ff222641</v>
      </c>
    </row>
    <row r="2607" spans="1:45" x14ac:dyDescent="0.25">
      <c r="A2607" s="6" t="s">
        <v>44</v>
      </c>
      <c r="B2607" s="7" t="s">
        <v>1302</v>
      </c>
      <c r="C2607" s="7" t="s">
        <v>67</v>
      </c>
      <c r="D2607" s="8">
        <v>44195</v>
      </c>
      <c r="E2607" s="8" t="s">
        <v>0</v>
      </c>
      <c r="F2607" s="16" t="s">
        <v>1303</v>
      </c>
      <c r="G2607" s="7" t="s">
        <v>1304</v>
      </c>
      <c r="H2607" s="7" t="s">
        <v>1297</v>
      </c>
      <c r="I2607" s="7" t="s">
        <v>0</v>
      </c>
      <c r="J2607" s="7" t="s">
        <v>1299</v>
      </c>
      <c r="K2607" s="7" t="s">
        <v>47</v>
      </c>
      <c r="L2607" s="7" t="s">
        <v>48</v>
      </c>
      <c r="M2607" s="7" t="s">
        <v>0</v>
      </c>
      <c r="N2607" s="7" t="s">
        <v>1296</v>
      </c>
      <c r="O2607" s="7" t="s">
        <v>0</v>
      </c>
      <c r="P2607" s="7" t="s">
        <v>1298</v>
      </c>
      <c r="Q2607" s="7" t="s">
        <v>1300</v>
      </c>
      <c r="R2607" s="7" t="s">
        <v>149</v>
      </c>
      <c r="S2607" s="7" t="s">
        <v>149</v>
      </c>
      <c r="T2607" s="7" t="s">
        <v>54</v>
      </c>
      <c r="U2607" s="7" t="s">
        <v>1301</v>
      </c>
      <c r="V2607" s="7" t="s">
        <v>137</v>
      </c>
      <c r="W2607" s="7" t="s">
        <v>57</v>
      </c>
      <c r="X2607" s="7" t="s">
        <v>58</v>
      </c>
      <c r="Y2607" s="8">
        <v>44292</v>
      </c>
      <c r="Z2607" s="8" t="s">
        <v>0</v>
      </c>
      <c r="AA2607" s="7" t="s">
        <v>0</v>
      </c>
      <c r="AB2607" s="7" t="s">
        <v>64</v>
      </c>
      <c r="AC2607" s="7" t="s">
        <v>65</v>
      </c>
      <c r="AD2607" s="7" t="s">
        <v>0</v>
      </c>
      <c r="AE2607" s="7" t="s">
        <v>0</v>
      </c>
      <c r="AF2607" s="7" t="s">
        <v>0</v>
      </c>
      <c r="AG2607" s="7" t="s">
        <v>0</v>
      </c>
      <c r="AH2607" s="9" t="s">
        <v>0</v>
      </c>
      <c r="AI2607" s="9" t="s">
        <v>0</v>
      </c>
      <c r="AJ2607" s="9" t="s">
        <v>0</v>
      </c>
      <c r="AK2607" s="7" t="s">
        <v>61</v>
      </c>
      <c r="AL2607" s="7" t="s">
        <v>61</v>
      </c>
      <c r="AM2607" s="7" t="s">
        <v>0</v>
      </c>
      <c r="AN2607" s="7" t="s">
        <v>0</v>
      </c>
      <c r="AO2607" s="7" t="s">
        <v>0</v>
      </c>
      <c r="AP2607" s="7" t="s">
        <v>0</v>
      </c>
      <c r="AQ2607" s="7" t="s">
        <v>61</v>
      </c>
      <c r="AR2607" s="7" t="s">
        <v>0</v>
      </c>
      <c r="AS2607" s="10" t="str">
        <f>HYPERLINK("https://tessa.gazprom-neft.local/edo/card/d4c8f2a4-a4fe-43b6-b101-cbd7f5812d82", "https://tessa.gazprom-neft.local/edo/card/d4c8f2a4-a4fe-43b6-b101-cbd7f5812d82")</f>
        <v>https://tessa.gazprom-neft.local/edo/card/d4c8f2a4-a4fe-43b6-b101-cbd7f5812d82</v>
      </c>
    </row>
    <row r="2608" spans="1:45" x14ac:dyDescent="0.25">
      <c r="A2608" s="6" t="s">
        <v>44</v>
      </c>
      <c r="B2608" s="7" t="s">
        <v>908</v>
      </c>
      <c r="C2608" s="7" t="s">
        <v>67</v>
      </c>
      <c r="D2608" s="8">
        <v>44163</v>
      </c>
      <c r="E2608" s="8" t="s">
        <v>0</v>
      </c>
      <c r="F2608" s="16" t="s">
        <v>909</v>
      </c>
      <c r="G2608" s="7" t="s">
        <v>910</v>
      </c>
      <c r="H2608" s="7" t="s">
        <v>5751</v>
      </c>
      <c r="I2608" s="7" t="s">
        <v>0</v>
      </c>
      <c r="J2608" s="7" t="s">
        <v>5753</v>
      </c>
      <c r="K2608" s="7" t="s">
        <v>47</v>
      </c>
      <c r="L2608" s="7" t="s">
        <v>48</v>
      </c>
      <c r="M2608" s="7" t="s">
        <v>0</v>
      </c>
      <c r="N2608" s="7" t="s">
        <v>5750</v>
      </c>
      <c r="O2608" s="7" t="s">
        <v>0</v>
      </c>
      <c r="P2608" s="7" t="s">
        <v>5752</v>
      </c>
      <c r="Q2608" s="7" t="s">
        <v>1291</v>
      </c>
      <c r="R2608" s="7" t="s">
        <v>110</v>
      </c>
      <c r="S2608" s="7" t="s">
        <v>110</v>
      </c>
      <c r="T2608" s="7" t="s">
        <v>54</v>
      </c>
      <c r="U2608" s="7" t="s">
        <v>111</v>
      </c>
      <c r="V2608" s="7" t="s">
        <v>112</v>
      </c>
      <c r="W2608" s="7" t="s">
        <v>57</v>
      </c>
      <c r="X2608" s="7" t="s">
        <v>58</v>
      </c>
      <c r="Y2608" s="8">
        <v>44163</v>
      </c>
      <c r="Z2608" s="8" t="s">
        <v>0</v>
      </c>
      <c r="AA2608" s="7" t="s">
        <v>0</v>
      </c>
      <c r="AB2608" s="7" t="s">
        <v>64</v>
      </c>
      <c r="AC2608" s="7" t="s">
        <v>65</v>
      </c>
      <c r="AD2608" s="7" t="s">
        <v>0</v>
      </c>
      <c r="AE2608" s="7" t="s">
        <v>0</v>
      </c>
      <c r="AF2608" s="7" t="s">
        <v>0</v>
      </c>
      <c r="AG2608" s="7" t="s">
        <v>0</v>
      </c>
      <c r="AH2608" s="9" t="s">
        <v>0</v>
      </c>
      <c r="AI2608" s="9" t="s">
        <v>0</v>
      </c>
      <c r="AJ2608" s="9" t="s">
        <v>0</v>
      </c>
      <c r="AK2608" s="7" t="s">
        <v>61</v>
      </c>
      <c r="AL2608" s="7" t="s">
        <v>61</v>
      </c>
      <c r="AM2608" s="7" t="s">
        <v>0</v>
      </c>
      <c r="AN2608" s="7" t="s">
        <v>0</v>
      </c>
      <c r="AO2608" s="7" t="s">
        <v>0</v>
      </c>
      <c r="AP2608" s="7" t="s">
        <v>0</v>
      </c>
      <c r="AQ2608" s="7" t="s">
        <v>61</v>
      </c>
      <c r="AR2608" s="7" t="s">
        <v>0</v>
      </c>
      <c r="AS2608" s="10" t="str">
        <f>HYPERLINK("https://tessa.gazprom-neft.local/edo/card/14f37f15-6434-4bdd-8841-1551f7a373f2", "https://tessa.gazprom-neft.local/edo/card/14f37f15-6434-4bdd-8841-1551f7a373f2")</f>
        <v>https://tessa.gazprom-neft.local/edo/card/14f37f15-6434-4bdd-8841-1551f7a373f2</v>
      </c>
    </row>
    <row r="2609" spans="1:45" hidden="1" x14ac:dyDescent="0.25">
      <c r="A2609" s="6" t="s">
        <v>44</v>
      </c>
      <c r="B2609" s="7" t="s">
        <v>0</v>
      </c>
      <c r="C2609" s="7" t="s">
        <v>218</v>
      </c>
      <c r="D2609" s="8">
        <v>44145</v>
      </c>
      <c r="E2609" s="8" t="s">
        <v>0</v>
      </c>
      <c r="F2609" s="16" t="s">
        <v>0</v>
      </c>
      <c r="G2609" s="7" t="s">
        <v>0</v>
      </c>
      <c r="H2609" s="7" t="s">
        <v>0</v>
      </c>
      <c r="I2609" s="7" t="s">
        <v>0</v>
      </c>
      <c r="J2609" s="7" t="s">
        <v>250</v>
      </c>
      <c r="K2609" s="7" t="s">
        <v>0</v>
      </c>
      <c r="L2609" s="7" t="s">
        <v>239</v>
      </c>
      <c r="M2609" s="7" t="s">
        <v>0</v>
      </c>
      <c r="N2609" s="7" t="s">
        <v>890</v>
      </c>
      <c r="O2609" s="7" t="s">
        <v>0</v>
      </c>
      <c r="P2609" s="7" t="s">
        <v>0</v>
      </c>
      <c r="Q2609" s="7" t="s">
        <v>0</v>
      </c>
      <c r="R2609" s="7" t="s">
        <v>891</v>
      </c>
      <c r="S2609" s="7" t="s">
        <v>0</v>
      </c>
      <c r="T2609" s="7" t="s">
        <v>54</v>
      </c>
      <c r="U2609" s="7" t="s">
        <v>892</v>
      </c>
      <c r="V2609" s="7" t="s">
        <v>0</v>
      </c>
      <c r="W2609" s="7" t="s">
        <v>0</v>
      </c>
      <c r="X2609" s="7" t="s">
        <v>0</v>
      </c>
      <c r="Y2609" s="8" t="s">
        <v>0</v>
      </c>
      <c r="Z2609" s="8" t="s">
        <v>0</v>
      </c>
      <c r="AA2609" s="7" t="s">
        <v>0</v>
      </c>
      <c r="AB2609" s="7" t="s">
        <v>0</v>
      </c>
      <c r="AC2609" s="7" t="s">
        <v>0</v>
      </c>
      <c r="AD2609" s="7" t="s">
        <v>0</v>
      </c>
      <c r="AE2609" s="7" t="s">
        <v>0</v>
      </c>
      <c r="AF2609" s="7" t="s">
        <v>0</v>
      </c>
      <c r="AG2609" s="7" t="s">
        <v>0</v>
      </c>
      <c r="AH2609" s="9" t="s">
        <v>0</v>
      </c>
      <c r="AI2609" s="9" t="s">
        <v>0</v>
      </c>
      <c r="AJ2609" s="9" t="s">
        <v>0</v>
      </c>
      <c r="AK2609" s="7" t="s">
        <v>61</v>
      </c>
      <c r="AL2609" s="7" t="s">
        <v>61</v>
      </c>
      <c r="AM2609" s="7" t="s">
        <v>0</v>
      </c>
      <c r="AN2609" s="7" t="s">
        <v>0</v>
      </c>
      <c r="AO2609" s="7" t="s">
        <v>0</v>
      </c>
      <c r="AP2609" s="7" t="s">
        <v>0</v>
      </c>
      <c r="AQ2609" s="7" t="s">
        <v>61</v>
      </c>
      <c r="AR2609" s="7" t="s">
        <v>0</v>
      </c>
      <c r="AS2609" s="10" t="str">
        <f>HYPERLINK("https://tessa.gazprom-neft.local/edo/card/a55dbe88-6ea8-4521-81cc-db9adc328485", "https://tessa.gazprom-neft.local/edo/card/a55dbe88-6ea8-4521-81cc-db9adc328485")</f>
        <v>https://tessa.gazprom-neft.local/edo/card/a55dbe88-6ea8-4521-81cc-db9adc328485</v>
      </c>
    </row>
    <row r="2610" spans="1:45" x14ac:dyDescent="0.25">
      <c r="A2610" s="6" t="s">
        <v>44</v>
      </c>
      <c r="B2610" s="7" t="s">
        <v>1084</v>
      </c>
      <c r="C2610" s="7" t="s">
        <v>67</v>
      </c>
      <c r="D2610" s="8">
        <v>44132</v>
      </c>
      <c r="E2610" s="8" t="s">
        <v>0</v>
      </c>
      <c r="F2610" s="16" t="s">
        <v>1085</v>
      </c>
      <c r="G2610" s="7" t="s">
        <v>1086</v>
      </c>
      <c r="H2610" s="7" t="s">
        <v>8883</v>
      </c>
      <c r="I2610" s="7" t="s">
        <v>0</v>
      </c>
      <c r="J2610" s="7" t="s">
        <v>51</v>
      </c>
      <c r="K2610" s="7" t="s">
        <v>47</v>
      </c>
      <c r="L2610" s="7" t="s">
        <v>48</v>
      </c>
      <c r="M2610" s="7" t="s">
        <v>0</v>
      </c>
      <c r="N2610" s="7" t="s">
        <v>8882</v>
      </c>
      <c r="O2610" s="7" t="s">
        <v>0</v>
      </c>
      <c r="P2610" s="7" t="s">
        <v>8884</v>
      </c>
      <c r="Q2610" s="7" t="s">
        <v>8885</v>
      </c>
      <c r="R2610" s="7" t="s">
        <v>273</v>
      </c>
      <c r="S2610" s="7" t="s">
        <v>273</v>
      </c>
      <c r="T2610" s="7" t="s">
        <v>54</v>
      </c>
      <c r="U2610" s="7" t="s">
        <v>274</v>
      </c>
      <c r="V2610" s="7" t="s">
        <v>137</v>
      </c>
      <c r="W2610" s="7" t="s">
        <v>57</v>
      </c>
      <c r="X2610" s="7" t="s">
        <v>103</v>
      </c>
      <c r="Y2610" s="8">
        <v>44497</v>
      </c>
      <c r="Z2610" s="8">
        <v>47118</v>
      </c>
      <c r="AA2610" s="7" t="s">
        <v>0</v>
      </c>
      <c r="AB2610" s="7" t="s">
        <v>328</v>
      </c>
      <c r="AC2610" s="7" t="s">
        <v>278</v>
      </c>
      <c r="AD2610" s="7" t="s">
        <v>80</v>
      </c>
      <c r="AE2610" s="7" t="s">
        <v>82</v>
      </c>
      <c r="AF2610" s="7" t="s">
        <v>0</v>
      </c>
      <c r="AG2610" s="7" t="s">
        <v>0</v>
      </c>
      <c r="AH2610" s="9" t="s">
        <v>13728</v>
      </c>
      <c r="AI2610" s="9" t="s">
        <v>13729</v>
      </c>
      <c r="AJ2610" s="9" t="s">
        <v>13730</v>
      </c>
      <c r="AK2610" s="7" t="s">
        <v>61</v>
      </c>
      <c r="AL2610" s="7" t="s">
        <v>61</v>
      </c>
      <c r="AM2610" s="7" t="s">
        <v>0</v>
      </c>
      <c r="AN2610" s="7" t="s">
        <v>0</v>
      </c>
      <c r="AO2610" s="7" t="s">
        <v>0</v>
      </c>
      <c r="AP2610" s="7" t="s">
        <v>0</v>
      </c>
      <c r="AQ2610" s="7" t="s">
        <v>61</v>
      </c>
      <c r="AR2610" s="7" t="s">
        <v>0</v>
      </c>
      <c r="AS2610" s="10" t="str">
        <f>HYPERLINK("https://tessa.gazprom-neft.local/edo/card/f2e149ce-5a47-4ec8-83fc-722488584245", "https://tessa.gazprom-neft.local/edo/card/f2e149ce-5a47-4ec8-83fc-722488584245")</f>
        <v>https://tessa.gazprom-neft.local/edo/card/f2e149ce-5a47-4ec8-83fc-722488584245</v>
      </c>
    </row>
    <row r="2611" spans="1:45" hidden="1" x14ac:dyDescent="0.25">
      <c r="A2611" s="6" t="s">
        <v>44</v>
      </c>
      <c r="B2611" s="7" t="s">
        <v>297</v>
      </c>
      <c r="C2611" s="7" t="s">
        <v>46</v>
      </c>
      <c r="D2611" s="8">
        <v>44124</v>
      </c>
      <c r="E2611" s="8" t="s">
        <v>0</v>
      </c>
      <c r="F2611" s="16" t="s">
        <v>298</v>
      </c>
      <c r="G2611" s="7" t="s">
        <v>299</v>
      </c>
      <c r="H2611" s="7" t="s">
        <v>5764</v>
      </c>
      <c r="I2611" s="7" t="s">
        <v>0</v>
      </c>
      <c r="J2611" s="7" t="s">
        <v>51</v>
      </c>
      <c r="K2611" s="7" t="s">
        <v>47</v>
      </c>
      <c r="L2611" s="7" t="s">
        <v>239</v>
      </c>
      <c r="M2611" s="7" t="s">
        <v>0</v>
      </c>
      <c r="N2611" s="7" t="s">
        <v>5763</v>
      </c>
      <c r="O2611" s="7" t="s">
        <v>0</v>
      </c>
      <c r="P2611" s="7" t="s">
        <v>5765</v>
      </c>
      <c r="Q2611" s="7" t="s">
        <v>5766</v>
      </c>
      <c r="R2611" s="7" t="s">
        <v>1924</v>
      </c>
      <c r="S2611" s="7" t="s">
        <v>1924</v>
      </c>
      <c r="T2611" s="7" t="s">
        <v>54</v>
      </c>
      <c r="U2611" s="7" t="s">
        <v>73</v>
      </c>
      <c r="V2611" s="7" t="s">
        <v>137</v>
      </c>
      <c r="W2611" s="7" t="s">
        <v>57</v>
      </c>
      <c r="X2611" s="7" t="s">
        <v>103</v>
      </c>
      <c r="Y2611" s="8">
        <v>44207</v>
      </c>
      <c r="Z2611" s="8">
        <v>44592</v>
      </c>
      <c r="AA2611" s="7" t="s">
        <v>0</v>
      </c>
      <c r="AB2611" s="7" t="s">
        <v>1466</v>
      </c>
      <c r="AC2611" s="7" t="s">
        <v>278</v>
      </c>
      <c r="AD2611" s="7" t="s">
        <v>367</v>
      </c>
      <c r="AE2611" s="7" t="s">
        <v>82</v>
      </c>
      <c r="AF2611" s="7" t="s">
        <v>0</v>
      </c>
      <c r="AG2611" s="7" t="s">
        <v>0</v>
      </c>
      <c r="AH2611" s="9" t="s">
        <v>12614</v>
      </c>
      <c r="AI2611" s="9" t="s">
        <v>12615</v>
      </c>
      <c r="AJ2611" s="9" t="s">
        <v>12616</v>
      </c>
      <c r="AK2611" s="7" t="s">
        <v>61</v>
      </c>
      <c r="AL2611" s="7" t="s">
        <v>61</v>
      </c>
      <c r="AM2611" s="7" t="s">
        <v>0</v>
      </c>
      <c r="AN2611" s="7" t="s">
        <v>0</v>
      </c>
      <c r="AO2611" s="7" t="s">
        <v>0</v>
      </c>
      <c r="AP2611" s="7" t="s">
        <v>0</v>
      </c>
      <c r="AQ2611" s="7" t="s">
        <v>61</v>
      </c>
      <c r="AR2611" s="7" t="s">
        <v>0</v>
      </c>
      <c r="AS2611" s="10" t="str">
        <f>HYPERLINK("https://tessa.gazprom-neft.local/edo/card/390bcd66-1bd5-44c3-9ce6-3999174f9e09", "https://tessa.gazprom-neft.local/edo/card/390bcd66-1bd5-44c3-9ce6-3999174f9e09")</f>
        <v>https://tessa.gazprom-neft.local/edo/card/390bcd66-1bd5-44c3-9ce6-3999174f9e09</v>
      </c>
    </row>
    <row r="2612" spans="1:45" x14ac:dyDescent="0.25">
      <c r="A2612" s="6" t="s">
        <v>44</v>
      </c>
      <c r="B2612" s="7" t="s">
        <v>158</v>
      </c>
      <c r="C2612" s="7" t="s">
        <v>67</v>
      </c>
      <c r="D2612" s="8">
        <v>44118</v>
      </c>
      <c r="E2612" s="8" t="s">
        <v>0</v>
      </c>
      <c r="F2612" s="16" t="s">
        <v>159</v>
      </c>
      <c r="G2612" s="7" t="s">
        <v>160</v>
      </c>
      <c r="H2612" s="7" t="s">
        <v>6249</v>
      </c>
      <c r="I2612" s="7" t="s">
        <v>0</v>
      </c>
      <c r="J2612" s="7" t="s">
        <v>51</v>
      </c>
      <c r="K2612" s="7" t="s">
        <v>47</v>
      </c>
      <c r="L2612" s="7" t="s">
        <v>48</v>
      </c>
      <c r="M2612" s="7" t="s">
        <v>0</v>
      </c>
      <c r="N2612" s="7" t="s">
        <v>6248</v>
      </c>
      <c r="O2612" s="7" t="s">
        <v>0</v>
      </c>
      <c r="P2612" s="7" t="s">
        <v>50</v>
      </c>
      <c r="Q2612" s="7" t="s">
        <v>6250</v>
      </c>
      <c r="R2612" s="7" t="s">
        <v>110</v>
      </c>
      <c r="S2612" s="7" t="s">
        <v>0</v>
      </c>
      <c r="T2612" s="7" t="s">
        <v>54</v>
      </c>
      <c r="U2612" s="7" t="s">
        <v>111</v>
      </c>
      <c r="V2612" s="7" t="s">
        <v>137</v>
      </c>
      <c r="W2612" s="7" t="s">
        <v>57</v>
      </c>
      <c r="X2612" s="7" t="s">
        <v>58</v>
      </c>
      <c r="Y2612" s="8">
        <v>44116</v>
      </c>
      <c r="Z2612" s="8" t="s">
        <v>0</v>
      </c>
      <c r="AA2612" s="7" t="s">
        <v>0</v>
      </c>
      <c r="AB2612" s="7" t="s">
        <v>161</v>
      </c>
      <c r="AC2612" s="7" t="s">
        <v>79</v>
      </c>
      <c r="AD2612" s="7" t="s">
        <v>144</v>
      </c>
      <c r="AE2612" s="7" t="s">
        <v>82</v>
      </c>
      <c r="AF2612" s="7" t="s">
        <v>0</v>
      </c>
      <c r="AG2612" s="7" t="s">
        <v>0</v>
      </c>
      <c r="AH2612" s="9" t="s">
        <v>12765</v>
      </c>
      <c r="AI2612" s="9" t="s">
        <v>12766</v>
      </c>
      <c r="AJ2612" s="9" t="s">
        <v>12767</v>
      </c>
      <c r="AK2612" s="7" t="s">
        <v>61</v>
      </c>
      <c r="AL2612" s="7" t="s">
        <v>61</v>
      </c>
      <c r="AM2612" s="7" t="s">
        <v>0</v>
      </c>
      <c r="AN2612" s="7" t="s">
        <v>0</v>
      </c>
      <c r="AO2612" s="7" t="s">
        <v>0</v>
      </c>
      <c r="AP2612" s="7" t="s">
        <v>0</v>
      </c>
      <c r="AQ2612" s="7" t="s">
        <v>61</v>
      </c>
      <c r="AR2612" s="7" t="s">
        <v>0</v>
      </c>
      <c r="AS2612" s="10" t="str">
        <f>HYPERLINK("https://tessa.gazprom-neft.local/edo/card/9d0117ee-c4af-4974-a7fd-cb03f466f4ab", "https://tessa.gazprom-neft.local/edo/card/9d0117ee-c4af-4974-a7fd-cb03f466f4ab")</f>
        <v>https://tessa.gazprom-neft.local/edo/card/9d0117ee-c4af-4974-a7fd-cb03f466f4ab</v>
      </c>
    </row>
    <row r="2613" spans="1:45" hidden="1" x14ac:dyDescent="0.25">
      <c r="A2613" s="6" t="s">
        <v>44</v>
      </c>
      <c r="B2613" s="7" t="s">
        <v>661</v>
      </c>
      <c r="C2613" s="7" t="s">
        <v>218</v>
      </c>
      <c r="D2613" s="8">
        <v>44053</v>
      </c>
      <c r="E2613" s="8" t="s">
        <v>0</v>
      </c>
      <c r="F2613" s="16" t="s">
        <v>662</v>
      </c>
      <c r="G2613" s="7" t="s">
        <v>663</v>
      </c>
      <c r="H2613" s="7" t="s">
        <v>774</v>
      </c>
      <c r="I2613" s="7" t="s">
        <v>0</v>
      </c>
      <c r="J2613" s="7" t="s">
        <v>6286</v>
      </c>
      <c r="K2613" s="7" t="s">
        <v>47</v>
      </c>
      <c r="L2613" s="7" t="s">
        <v>239</v>
      </c>
      <c r="M2613" s="7" t="s">
        <v>0</v>
      </c>
      <c r="N2613" s="7" t="s">
        <v>6285</v>
      </c>
      <c r="O2613" s="7" t="s">
        <v>0</v>
      </c>
      <c r="P2613" s="7" t="s">
        <v>0</v>
      </c>
      <c r="Q2613" s="7" t="s">
        <v>0</v>
      </c>
      <c r="R2613" s="7" t="s">
        <v>714</v>
      </c>
      <c r="S2613" s="7" t="s">
        <v>714</v>
      </c>
      <c r="T2613" s="7" t="s">
        <v>54</v>
      </c>
      <c r="U2613" s="7" t="s">
        <v>101</v>
      </c>
      <c r="V2613" s="7" t="s">
        <v>102</v>
      </c>
      <c r="W2613" s="7" t="s">
        <v>57</v>
      </c>
      <c r="X2613" s="7" t="s">
        <v>58</v>
      </c>
      <c r="Y2613" s="8">
        <v>44713</v>
      </c>
      <c r="Z2613" s="8" t="s">
        <v>0</v>
      </c>
      <c r="AA2613" s="7" t="s">
        <v>104</v>
      </c>
      <c r="AB2613" s="7" t="s">
        <v>328</v>
      </c>
      <c r="AC2613" s="7" t="s">
        <v>79</v>
      </c>
      <c r="AD2613" s="7" t="s">
        <v>0</v>
      </c>
      <c r="AE2613" s="7" t="s">
        <v>82</v>
      </c>
      <c r="AF2613" s="7" t="s">
        <v>0</v>
      </c>
      <c r="AG2613" s="7" t="s">
        <v>0</v>
      </c>
      <c r="AH2613" s="9" t="s">
        <v>12788</v>
      </c>
      <c r="AI2613" s="9" t="s">
        <v>12789</v>
      </c>
      <c r="AJ2613" s="9" t="s">
        <v>12790</v>
      </c>
      <c r="AK2613" s="7" t="s">
        <v>61</v>
      </c>
      <c r="AL2613" s="7" t="s">
        <v>61</v>
      </c>
      <c r="AM2613" s="7" t="s">
        <v>0</v>
      </c>
      <c r="AN2613" s="7" t="s">
        <v>0</v>
      </c>
      <c r="AO2613" s="7" t="s">
        <v>0</v>
      </c>
      <c r="AP2613" s="7" t="s">
        <v>0</v>
      </c>
      <c r="AQ2613" s="7" t="s">
        <v>61</v>
      </c>
      <c r="AR2613" s="7" t="s">
        <v>0</v>
      </c>
      <c r="AS2613" s="10" t="str">
        <f>HYPERLINK("https://tessa.gazprom-neft.local/edo/card/e32cebb3-9d4a-4d37-b50d-8decea15454a", "https://tessa.gazprom-neft.local/edo/card/e32cebb3-9d4a-4d37-b50d-8decea15454a")</f>
        <v>https://tessa.gazprom-neft.local/edo/card/e32cebb3-9d4a-4d37-b50d-8decea15454a</v>
      </c>
    </row>
    <row r="2614" spans="1:45" x14ac:dyDescent="0.25">
      <c r="A2614" s="6" t="s">
        <v>44</v>
      </c>
      <c r="B2614" s="7" t="s">
        <v>325</v>
      </c>
      <c r="C2614" s="7" t="s">
        <v>67</v>
      </c>
      <c r="D2614" s="8">
        <v>44039</v>
      </c>
      <c r="E2614" s="8" t="s">
        <v>0</v>
      </c>
      <c r="F2614" s="16" t="s">
        <v>326</v>
      </c>
      <c r="G2614" s="7" t="s">
        <v>327</v>
      </c>
      <c r="H2614" s="7" t="s">
        <v>3337</v>
      </c>
      <c r="I2614" s="7" t="s">
        <v>0</v>
      </c>
      <c r="J2614" s="7" t="s">
        <v>3339</v>
      </c>
      <c r="K2614" s="7" t="s">
        <v>47</v>
      </c>
      <c r="L2614" s="7" t="s">
        <v>48</v>
      </c>
      <c r="M2614" s="7" t="s">
        <v>0</v>
      </c>
      <c r="N2614" s="7" t="s">
        <v>3336</v>
      </c>
      <c r="O2614" s="7" t="s">
        <v>0</v>
      </c>
      <c r="P2614" s="7" t="s">
        <v>3338</v>
      </c>
      <c r="Q2614" s="7" t="s">
        <v>3340</v>
      </c>
      <c r="R2614" s="7" t="s">
        <v>324</v>
      </c>
      <c r="S2614" s="7" t="s">
        <v>324</v>
      </c>
      <c r="T2614" s="7" t="s">
        <v>54</v>
      </c>
      <c r="U2614" s="7" t="s">
        <v>188</v>
      </c>
      <c r="V2614" s="7" t="s">
        <v>187</v>
      </c>
      <c r="W2614" s="7" t="s">
        <v>74</v>
      </c>
      <c r="X2614" s="7" t="s">
        <v>103</v>
      </c>
      <c r="Y2614" s="8">
        <v>45040</v>
      </c>
      <c r="Z2614" s="8">
        <v>45791</v>
      </c>
      <c r="AA2614" s="7" t="s">
        <v>922</v>
      </c>
      <c r="AB2614" s="7" t="s">
        <v>64</v>
      </c>
      <c r="AC2614" s="7" t="s">
        <v>65</v>
      </c>
      <c r="AD2614" s="7" t="s">
        <v>0</v>
      </c>
      <c r="AE2614" s="7" t="s">
        <v>0</v>
      </c>
      <c r="AF2614" s="7" t="s">
        <v>0</v>
      </c>
      <c r="AG2614" s="7" t="s">
        <v>0</v>
      </c>
      <c r="AH2614" s="9" t="s">
        <v>0</v>
      </c>
      <c r="AI2614" s="9" t="s">
        <v>0</v>
      </c>
      <c r="AJ2614" s="9" t="s">
        <v>0</v>
      </c>
      <c r="AK2614" s="7" t="s">
        <v>61</v>
      </c>
      <c r="AL2614" s="7" t="s">
        <v>61</v>
      </c>
      <c r="AM2614" s="7" t="s">
        <v>0</v>
      </c>
      <c r="AN2614" s="7" t="s">
        <v>0</v>
      </c>
      <c r="AO2614" s="7" t="s">
        <v>0</v>
      </c>
      <c r="AP2614" s="7" t="s">
        <v>0</v>
      </c>
      <c r="AQ2614" s="7" t="s">
        <v>61</v>
      </c>
      <c r="AR2614" s="7" t="s">
        <v>0</v>
      </c>
      <c r="AS2614" s="10" t="str">
        <f>HYPERLINK("https://tessa.gazprom-neft.local/edo/card/e18ac111-141e-4f66-b81e-b903f4dad47e", "https://tessa.gazprom-neft.local/edo/card/e18ac111-141e-4f66-b81e-b903f4dad47e")</f>
        <v>https://tessa.gazprom-neft.local/edo/card/e18ac111-141e-4f66-b81e-b903f4dad47e</v>
      </c>
    </row>
    <row r="2615" spans="1:45" x14ac:dyDescent="0.25">
      <c r="A2615" s="6" t="s">
        <v>44</v>
      </c>
      <c r="B2615" s="7" t="s">
        <v>949</v>
      </c>
      <c r="C2615" s="7" t="s">
        <v>67</v>
      </c>
      <c r="D2615" s="8">
        <v>43999</v>
      </c>
      <c r="E2615" s="8" t="s">
        <v>0</v>
      </c>
      <c r="F2615" s="16" t="s">
        <v>950</v>
      </c>
      <c r="G2615" s="7" t="s">
        <v>951</v>
      </c>
      <c r="H2615" s="7" t="s">
        <v>4054</v>
      </c>
      <c r="I2615" s="7" t="s">
        <v>0</v>
      </c>
      <c r="J2615" s="7" t="s">
        <v>51</v>
      </c>
      <c r="K2615" s="7" t="s">
        <v>47</v>
      </c>
      <c r="L2615" s="7" t="s">
        <v>48</v>
      </c>
      <c r="M2615" s="7" t="s">
        <v>0</v>
      </c>
      <c r="N2615" s="7" t="s">
        <v>4053</v>
      </c>
      <c r="O2615" s="7" t="s">
        <v>0</v>
      </c>
      <c r="P2615" s="7" t="s">
        <v>4055</v>
      </c>
      <c r="Q2615" s="7" t="s">
        <v>4056</v>
      </c>
      <c r="R2615" s="7" t="s">
        <v>4057</v>
      </c>
      <c r="S2615" s="7" t="s">
        <v>0</v>
      </c>
      <c r="T2615" s="7" t="s">
        <v>54</v>
      </c>
      <c r="U2615" s="7" t="s">
        <v>468</v>
      </c>
      <c r="V2615" s="7" t="s">
        <v>137</v>
      </c>
      <c r="W2615" s="7" t="s">
        <v>57</v>
      </c>
      <c r="X2615" s="7" t="s">
        <v>58</v>
      </c>
      <c r="Y2615" s="8">
        <v>44130</v>
      </c>
      <c r="Z2615" s="8" t="s">
        <v>0</v>
      </c>
      <c r="AA2615" s="7" t="s">
        <v>0</v>
      </c>
      <c r="AB2615" s="7" t="s">
        <v>64</v>
      </c>
      <c r="AC2615" s="7" t="s">
        <v>278</v>
      </c>
      <c r="AD2615" s="7" t="s">
        <v>80</v>
      </c>
      <c r="AE2615" s="7" t="s">
        <v>82</v>
      </c>
      <c r="AF2615" s="7" t="s">
        <v>0</v>
      </c>
      <c r="AG2615" s="7" t="s">
        <v>0</v>
      </c>
      <c r="AH2615" s="9" t="s">
        <v>11905</v>
      </c>
      <c r="AI2615" s="9" t="s">
        <v>11906</v>
      </c>
      <c r="AJ2615" s="9" t="s">
        <v>11907</v>
      </c>
      <c r="AK2615" s="7" t="s">
        <v>61</v>
      </c>
      <c r="AL2615" s="7" t="s">
        <v>61</v>
      </c>
      <c r="AM2615" s="7" t="s">
        <v>0</v>
      </c>
      <c r="AN2615" s="7" t="s">
        <v>0</v>
      </c>
      <c r="AO2615" s="7" t="s">
        <v>0</v>
      </c>
      <c r="AP2615" s="7" t="s">
        <v>0</v>
      </c>
      <c r="AQ2615" s="7" t="s">
        <v>61</v>
      </c>
      <c r="AR2615" s="7" t="s">
        <v>0</v>
      </c>
      <c r="AS2615" s="10" t="str">
        <f>HYPERLINK("https://tessa.gazprom-neft.local/edo/card/636c4539-ce4f-44b3-b0da-ca62eebb1570", "https://tessa.gazprom-neft.local/edo/card/636c4539-ce4f-44b3-b0da-ca62eebb1570")</f>
        <v>https://tessa.gazprom-neft.local/edo/card/636c4539-ce4f-44b3-b0da-ca62eebb1570</v>
      </c>
    </row>
    <row r="2616" spans="1:45" x14ac:dyDescent="0.25">
      <c r="A2616" s="6" t="s">
        <v>44</v>
      </c>
      <c r="B2616" s="7" t="s">
        <v>2823</v>
      </c>
      <c r="C2616" s="7" t="s">
        <v>218</v>
      </c>
      <c r="D2616" s="8">
        <v>43710</v>
      </c>
      <c r="E2616" s="8" t="s">
        <v>0</v>
      </c>
      <c r="F2616" s="16" t="s">
        <v>2824</v>
      </c>
      <c r="G2616" s="7" t="s">
        <v>944</v>
      </c>
      <c r="H2616" s="7" t="s">
        <v>0</v>
      </c>
      <c r="I2616" s="7" t="s">
        <v>0</v>
      </c>
      <c r="J2616" s="7" t="s">
        <v>8137</v>
      </c>
      <c r="K2616" s="7" t="s">
        <v>47</v>
      </c>
      <c r="L2616" s="7" t="s">
        <v>48</v>
      </c>
      <c r="M2616" s="7" t="s">
        <v>0</v>
      </c>
      <c r="N2616" s="7" t="s">
        <v>8136</v>
      </c>
      <c r="O2616" s="7" t="s">
        <v>0</v>
      </c>
      <c r="P2616" s="7" t="s">
        <v>3833</v>
      </c>
      <c r="Q2616" s="7" t="s">
        <v>8138</v>
      </c>
      <c r="R2616" s="7" t="s">
        <v>828</v>
      </c>
      <c r="S2616" s="7" t="s">
        <v>828</v>
      </c>
      <c r="T2616" s="7" t="s">
        <v>54</v>
      </c>
      <c r="U2616" s="7" t="s">
        <v>188</v>
      </c>
      <c r="V2616" s="7" t="s">
        <v>187</v>
      </c>
      <c r="W2616" s="7" t="s">
        <v>57</v>
      </c>
      <c r="X2616" s="7" t="s">
        <v>103</v>
      </c>
      <c r="Y2616" s="8">
        <v>45292</v>
      </c>
      <c r="Z2616" s="8">
        <v>45657</v>
      </c>
      <c r="AA2616" s="7" t="s">
        <v>224</v>
      </c>
      <c r="AB2616" s="7" t="s">
        <v>0</v>
      </c>
      <c r="AC2616" s="7" t="s">
        <v>65</v>
      </c>
      <c r="AD2616" s="7" t="s">
        <v>0</v>
      </c>
      <c r="AE2616" s="7" t="s">
        <v>0</v>
      </c>
      <c r="AF2616" s="7" t="s">
        <v>0</v>
      </c>
      <c r="AG2616" s="7" t="s">
        <v>0</v>
      </c>
      <c r="AH2616" s="9" t="s">
        <v>0</v>
      </c>
      <c r="AI2616" s="9" t="s">
        <v>0</v>
      </c>
      <c r="AJ2616" s="9" t="s">
        <v>0</v>
      </c>
      <c r="AK2616" s="7" t="s">
        <v>61</v>
      </c>
      <c r="AL2616" s="7" t="s">
        <v>61</v>
      </c>
      <c r="AM2616" s="7" t="s">
        <v>0</v>
      </c>
      <c r="AN2616" s="7" t="s">
        <v>0</v>
      </c>
      <c r="AO2616" s="7" t="s">
        <v>0</v>
      </c>
      <c r="AP2616" s="7" t="s">
        <v>0</v>
      </c>
      <c r="AQ2616" s="7" t="s">
        <v>61</v>
      </c>
      <c r="AR2616" s="7" t="s">
        <v>0</v>
      </c>
      <c r="AS2616" s="10" t="str">
        <f>HYPERLINK("https://tessa.gazprom-neft.local/edo/card/b2d35d1d-8ed7-44e6-89d2-da0bb9bfb7f9", "https://tessa.gazprom-neft.local/edo/card/b2d35d1d-8ed7-44e6-89d2-da0bb9bfb7f9")</f>
        <v>https://tessa.gazprom-neft.local/edo/card/b2d35d1d-8ed7-44e6-89d2-da0bb9bfb7f9</v>
      </c>
    </row>
    <row r="2617" spans="1:45" x14ac:dyDescent="0.25">
      <c r="A2617" s="6" t="s">
        <v>44</v>
      </c>
      <c r="B2617" s="7" t="s">
        <v>1165</v>
      </c>
      <c r="C2617" s="7" t="s">
        <v>67</v>
      </c>
      <c r="D2617" s="8">
        <v>43552</v>
      </c>
      <c r="E2617" s="8" t="s">
        <v>0</v>
      </c>
      <c r="F2617" s="16" t="s">
        <v>1166</v>
      </c>
      <c r="G2617" s="7" t="s">
        <v>1167</v>
      </c>
      <c r="H2617" s="7" t="s">
        <v>3465</v>
      </c>
      <c r="I2617" s="7" t="s">
        <v>0</v>
      </c>
      <c r="J2617" s="7" t="s">
        <v>355</v>
      </c>
      <c r="K2617" s="7" t="s">
        <v>47</v>
      </c>
      <c r="L2617" s="7" t="s">
        <v>48</v>
      </c>
      <c r="M2617" s="7" t="s">
        <v>0</v>
      </c>
      <c r="N2617" s="7" t="s">
        <v>3464</v>
      </c>
      <c r="O2617" s="7" t="s">
        <v>0</v>
      </c>
      <c r="P2617" s="7" t="s">
        <v>3466</v>
      </c>
      <c r="Q2617" s="7" t="s">
        <v>3467</v>
      </c>
      <c r="R2617" s="7" t="s">
        <v>244</v>
      </c>
      <c r="S2617" s="7" t="s">
        <v>0</v>
      </c>
      <c r="T2617" s="7" t="s">
        <v>54</v>
      </c>
      <c r="U2617" s="7" t="s">
        <v>55</v>
      </c>
      <c r="V2617" s="7" t="s">
        <v>56</v>
      </c>
      <c r="W2617" s="7" t="s">
        <v>57</v>
      </c>
      <c r="X2617" s="7" t="s">
        <v>103</v>
      </c>
      <c r="Y2617" s="8">
        <v>44648</v>
      </c>
      <c r="Z2617" s="8">
        <v>45657</v>
      </c>
      <c r="AA2617" s="7" t="s">
        <v>59</v>
      </c>
      <c r="AB2617" s="7" t="s">
        <v>256</v>
      </c>
      <c r="AC2617" s="7" t="s">
        <v>65</v>
      </c>
      <c r="AD2617" s="7" t="s">
        <v>144</v>
      </c>
      <c r="AE2617" s="7" t="s">
        <v>0</v>
      </c>
      <c r="AF2617" s="7" t="s">
        <v>0</v>
      </c>
      <c r="AG2617" s="7" t="s">
        <v>0</v>
      </c>
      <c r="AH2617" s="9" t="s">
        <v>0</v>
      </c>
      <c r="AI2617" s="9" t="s">
        <v>0</v>
      </c>
      <c r="AJ2617" s="9" t="s">
        <v>0</v>
      </c>
      <c r="AK2617" s="7" t="s">
        <v>61</v>
      </c>
      <c r="AL2617" s="7" t="s">
        <v>61</v>
      </c>
      <c r="AM2617" s="7" t="s">
        <v>0</v>
      </c>
      <c r="AN2617" s="7" t="s">
        <v>0</v>
      </c>
      <c r="AO2617" s="7" t="s">
        <v>0</v>
      </c>
      <c r="AP2617" s="7" t="s">
        <v>0</v>
      </c>
      <c r="AQ2617" s="7" t="s">
        <v>61</v>
      </c>
      <c r="AR2617" s="7" t="s">
        <v>0</v>
      </c>
      <c r="AS2617" s="10" t="str">
        <f>HYPERLINK("https://tessa.gazprom-neft.local/edo/card/a0c7b0dc-1dd1-4afd-9af0-658c2ca18d80", "https://tessa.gazprom-neft.local/edo/card/a0c7b0dc-1dd1-4afd-9af0-658c2ca18d80")</f>
        <v>https://tessa.gazprom-neft.local/edo/card/a0c7b0dc-1dd1-4afd-9af0-658c2ca18d80</v>
      </c>
    </row>
    <row r="2618" spans="1:45" hidden="1" x14ac:dyDescent="0.25">
      <c r="A2618" s="6" t="s">
        <v>44</v>
      </c>
      <c r="B2618" s="7" t="s">
        <v>964</v>
      </c>
      <c r="C2618" s="7" t="s">
        <v>67</v>
      </c>
      <c r="D2618" s="7"/>
      <c r="E2618" s="7"/>
      <c r="F2618" s="16" t="s">
        <v>965</v>
      </c>
      <c r="G2618" s="7" t="s">
        <v>966</v>
      </c>
      <c r="H2618" s="7" t="s">
        <v>0</v>
      </c>
      <c r="I2618" s="7" t="s">
        <v>5837</v>
      </c>
      <c r="J2618" s="7" t="s">
        <v>5837</v>
      </c>
      <c r="K2618" s="7" t="s">
        <v>47</v>
      </c>
      <c r="L2618" s="7" t="s">
        <v>96</v>
      </c>
      <c r="M2618" s="7" t="s">
        <v>0</v>
      </c>
      <c r="N2618" s="7" t="s">
        <v>9699</v>
      </c>
      <c r="O2618" s="7" t="s">
        <v>0</v>
      </c>
      <c r="P2618" s="7" t="s">
        <v>9700</v>
      </c>
      <c r="Q2618" s="7" t="s">
        <v>9701</v>
      </c>
      <c r="R2618" s="7" t="s">
        <v>293</v>
      </c>
      <c r="S2618" s="7" t="s">
        <v>293</v>
      </c>
      <c r="T2618" s="7" t="s">
        <v>54</v>
      </c>
      <c r="U2618" s="7" t="s">
        <v>294</v>
      </c>
      <c r="V2618" s="7" t="s">
        <v>295</v>
      </c>
      <c r="W2618" s="7" t="s">
        <v>57</v>
      </c>
      <c r="X2618" s="7" t="s">
        <v>103</v>
      </c>
      <c r="Y2618" s="7"/>
      <c r="Z2618" s="7"/>
      <c r="AA2618" s="7" t="s">
        <v>296</v>
      </c>
      <c r="AB2618" s="7" t="s">
        <v>130</v>
      </c>
      <c r="AC2618" s="7" t="s">
        <v>79</v>
      </c>
      <c r="AD2618" s="7" t="s">
        <v>80</v>
      </c>
      <c r="AE2618" s="7" t="s">
        <v>82</v>
      </c>
      <c r="AF2618" s="7" t="s">
        <v>0</v>
      </c>
      <c r="AG2618" s="7" t="s">
        <v>0</v>
      </c>
      <c r="AH2618" s="9" t="s">
        <v>14036</v>
      </c>
      <c r="AI2618" s="9" t="s">
        <v>14037</v>
      </c>
      <c r="AJ2618" s="9" t="s">
        <v>14038</v>
      </c>
      <c r="AK2618" s="7" t="s">
        <v>61</v>
      </c>
      <c r="AL2618" s="7" t="s">
        <v>61</v>
      </c>
      <c r="AM2618" s="7" t="s">
        <v>0</v>
      </c>
      <c r="AN2618" s="7" t="s">
        <v>0</v>
      </c>
      <c r="AO2618" s="7" t="s">
        <v>0</v>
      </c>
      <c r="AP2618" s="7" t="s">
        <v>0</v>
      </c>
      <c r="AQ2618" s="7" t="s">
        <v>61</v>
      </c>
      <c r="AR2618" s="7" t="s">
        <v>0</v>
      </c>
      <c r="AS2618" s="10" t="str">
        <f>HYPERLINK("https://tessa.gazprom-neft.local/edo/card/f46f198d-ea5d-4d45-98ec-0d6e409ae1ec", "https://tessa.gazprom-neft.local/edo/card/f46f198d-ea5d-4d45-98ec-0d6e409ae1ec")</f>
        <v>https://tessa.gazprom-neft.local/edo/card/f46f198d-ea5d-4d45-98ec-0d6e409ae1ec</v>
      </c>
    </row>
    <row r="2619" spans="1:45" hidden="1" x14ac:dyDescent="0.25">
      <c r="A2619" s="6" t="s">
        <v>44</v>
      </c>
      <c r="B2619" s="7" t="s">
        <v>1279</v>
      </c>
      <c r="C2619" s="7" t="s">
        <v>67</v>
      </c>
      <c r="D2619" s="7"/>
      <c r="E2619" s="7"/>
      <c r="F2619" s="16" t="s">
        <v>1280</v>
      </c>
      <c r="G2619" s="7" t="s">
        <v>1281</v>
      </c>
      <c r="H2619" s="7" t="s">
        <v>9703</v>
      </c>
      <c r="I2619" s="7" t="s">
        <v>0</v>
      </c>
      <c r="J2619" s="7" t="s">
        <v>271</v>
      </c>
      <c r="K2619" s="7" t="s">
        <v>47</v>
      </c>
      <c r="L2619" s="7" t="s">
        <v>239</v>
      </c>
      <c r="M2619" s="7" t="s">
        <v>0</v>
      </c>
      <c r="N2619" s="7" t="s">
        <v>9702</v>
      </c>
      <c r="O2619" s="7" t="s">
        <v>0</v>
      </c>
      <c r="P2619" s="7" t="s">
        <v>9016</v>
      </c>
      <c r="Q2619" s="7" t="s">
        <v>7828</v>
      </c>
      <c r="R2619" s="7" t="s">
        <v>891</v>
      </c>
      <c r="S2619" s="7" t="s">
        <v>891</v>
      </c>
      <c r="T2619" s="7" t="s">
        <v>54</v>
      </c>
      <c r="U2619" s="7" t="s">
        <v>892</v>
      </c>
      <c r="V2619" s="7" t="s">
        <v>56</v>
      </c>
      <c r="W2619" s="7" t="s">
        <v>57</v>
      </c>
      <c r="X2619" s="7" t="s">
        <v>103</v>
      </c>
      <c r="Y2619" s="7"/>
      <c r="Z2619" s="7"/>
      <c r="AA2619" s="7" t="s">
        <v>59</v>
      </c>
      <c r="AB2619" s="7" t="s">
        <v>130</v>
      </c>
      <c r="AC2619" s="7" t="s">
        <v>79</v>
      </c>
      <c r="AD2619" s="7" t="s">
        <v>144</v>
      </c>
      <c r="AE2619" s="7" t="s">
        <v>82</v>
      </c>
      <c r="AF2619" s="7" t="s">
        <v>0</v>
      </c>
      <c r="AG2619" s="7" t="s">
        <v>0</v>
      </c>
      <c r="AH2619" s="9" t="s">
        <v>14039</v>
      </c>
      <c r="AI2619" s="9" t="s">
        <v>14040</v>
      </c>
      <c r="AJ2619" s="9" t="s">
        <v>14041</v>
      </c>
      <c r="AK2619" s="7" t="s">
        <v>61</v>
      </c>
      <c r="AL2619" s="7" t="s">
        <v>61</v>
      </c>
      <c r="AM2619" s="7" t="s">
        <v>0</v>
      </c>
      <c r="AN2619" s="7" t="s">
        <v>0</v>
      </c>
      <c r="AO2619" s="7" t="s">
        <v>0</v>
      </c>
      <c r="AP2619" s="7" t="s">
        <v>0</v>
      </c>
      <c r="AQ2619" s="7" t="s">
        <v>61</v>
      </c>
      <c r="AR2619" s="7" t="s">
        <v>0</v>
      </c>
      <c r="AS2619" s="10" t="str">
        <f>HYPERLINK("https://tessa.gazprom-neft.local/edo/card/9f51e0ee-8b4c-41af-b215-fbdd700b0eaa", "https://tessa.gazprom-neft.local/edo/card/9f51e0ee-8b4c-41af-b215-fbdd700b0eaa")</f>
        <v>https://tessa.gazprom-neft.local/edo/card/9f51e0ee-8b4c-41af-b215-fbdd700b0eaa</v>
      </c>
    </row>
    <row r="2620" spans="1:45" hidden="1" x14ac:dyDescent="0.25">
      <c r="A2620" s="6" t="s">
        <v>44</v>
      </c>
      <c r="B2620" s="7" t="s">
        <v>0</v>
      </c>
      <c r="C2620" s="7" t="s">
        <v>67</v>
      </c>
      <c r="D2620" s="7"/>
      <c r="E2620" s="7"/>
      <c r="F2620" s="16" t="s">
        <v>9706</v>
      </c>
      <c r="G2620" s="7" t="s">
        <v>0</v>
      </c>
      <c r="H2620" s="7" t="s">
        <v>0</v>
      </c>
      <c r="I2620" s="7" t="s">
        <v>4317</v>
      </c>
      <c r="J2620" s="7" t="s">
        <v>4317</v>
      </c>
      <c r="K2620" s="7" t="s">
        <v>85</v>
      </c>
      <c r="L2620" s="7" t="s">
        <v>96</v>
      </c>
      <c r="M2620" s="7" t="s">
        <v>8315</v>
      </c>
      <c r="N2620" s="7" t="s">
        <v>9704</v>
      </c>
      <c r="O2620" s="7" t="s">
        <v>0</v>
      </c>
      <c r="P2620" s="7" t="s">
        <v>8315</v>
      </c>
      <c r="Q2620" s="7" t="s">
        <v>9705</v>
      </c>
      <c r="R2620" s="7" t="s">
        <v>659</v>
      </c>
      <c r="S2620" s="7" t="s">
        <v>1261</v>
      </c>
      <c r="T2620" s="7" t="s">
        <v>54</v>
      </c>
      <c r="U2620" s="7" t="s">
        <v>125</v>
      </c>
      <c r="V2620" s="7" t="s">
        <v>382</v>
      </c>
      <c r="W2620" s="7" t="s">
        <v>57</v>
      </c>
      <c r="X2620" s="7" t="s">
        <v>103</v>
      </c>
      <c r="Y2620" s="7"/>
      <c r="Z2620" s="7"/>
      <c r="AA2620" s="7" t="s">
        <v>0</v>
      </c>
      <c r="AB2620" s="7" t="s">
        <v>1143</v>
      </c>
      <c r="AC2620" s="7" t="s">
        <v>79</v>
      </c>
      <c r="AD2620" s="7" t="s">
        <v>514</v>
      </c>
      <c r="AE2620" s="7" t="s">
        <v>82</v>
      </c>
      <c r="AF2620" s="7" t="s">
        <v>0</v>
      </c>
      <c r="AG2620" s="7" t="s">
        <v>9707</v>
      </c>
      <c r="AH2620" s="9" t="s">
        <v>14042</v>
      </c>
      <c r="AI2620" s="9" t="s">
        <v>14043</v>
      </c>
      <c r="AJ2620" s="9" t="s">
        <v>14044</v>
      </c>
      <c r="AK2620" s="7" t="s">
        <v>81</v>
      </c>
      <c r="AL2620" s="7" t="s">
        <v>61</v>
      </c>
      <c r="AM2620" s="7" t="s">
        <v>0</v>
      </c>
      <c r="AN2620" s="7" t="s">
        <v>0</v>
      </c>
      <c r="AO2620" s="7" t="s">
        <v>0</v>
      </c>
      <c r="AP2620" s="7" t="s">
        <v>0</v>
      </c>
      <c r="AQ2620" s="7" t="s">
        <v>61</v>
      </c>
      <c r="AR2620" s="7" t="s">
        <v>0</v>
      </c>
      <c r="AS2620" s="10" t="str">
        <f>HYPERLINK("https://tessa.gazprom-neft.local/edo/card/e873e2d2-e6e9-4941-b4b8-354aba0875a7", "https://tessa.gazprom-neft.local/edo/card/e873e2d2-e6e9-4941-b4b8-354aba0875a7")</f>
        <v>https://tessa.gazprom-neft.local/edo/card/e873e2d2-e6e9-4941-b4b8-354aba0875a7</v>
      </c>
    </row>
    <row r="2621" spans="1:45" x14ac:dyDescent="0.25">
      <c r="A2621" s="6" t="s">
        <v>44</v>
      </c>
      <c r="B2621" s="7" t="s">
        <v>225</v>
      </c>
      <c r="C2621" s="7" t="s">
        <v>67</v>
      </c>
      <c r="D2621" s="7"/>
      <c r="E2621" s="7"/>
      <c r="F2621" s="16" t="s">
        <v>226</v>
      </c>
      <c r="G2621" s="7" t="s">
        <v>227</v>
      </c>
      <c r="H2621" s="7" t="s">
        <v>3289</v>
      </c>
      <c r="I2621" s="7" t="s">
        <v>0</v>
      </c>
      <c r="J2621" s="7" t="s">
        <v>70</v>
      </c>
      <c r="K2621" s="7" t="s">
        <v>85</v>
      </c>
      <c r="L2621" s="7" t="s">
        <v>48</v>
      </c>
      <c r="M2621" s="7" t="s">
        <v>9463</v>
      </c>
      <c r="N2621" s="7" t="s">
        <v>9708</v>
      </c>
      <c r="O2621" s="7" t="s">
        <v>0</v>
      </c>
      <c r="P2621" s="7" t="s">
        <v>9463</v>
      </c>
      <c r="Q2621" s="7" t="s">
        <v>9709</v>
      </c>
      <c r="R2621" s="7" t="s">
        <v>220</v>
      </c>
      <c r="S2621" s="7" t="s">
        <v>221</v>
      </c>
      <c r="T2621" s="7" t="s">
        <v>54</v>
      </c>
      <c r="U2621" s="7" t="s">
        <v>222</v>
      </c>
      <c r="V2621" s="7" t="s">
        <v>126</v>
      </c>
      <c r="W2621" s="7" t="s">
        <v>74</v>
      </c>
      <c r="X2621" s="7" t="s">
        <v>223</v>
      </c>
      <c r="Y2621" s="7"/>
      <c r="Z2621" s="7"/>
      <c r="AA2621" s="7" t="s">
        <v>224</v>
      </c>
      <c r="AB2621" s="7" t="s">
        <v>387</v>
      </c>
      <c r="AC2621" s="7" t="s">
        <v>65</v>
      </c>
      <c r="AD2621" s="7" t="s">
        <v>80</v>
      </c>
      <c r="AE2621" s="7" t="s">
        <v>0</v>
      </c>
      <c r="AF2621" s="7" t="s">
        <v>0</v>
      </c>
      <c r="AG2621" s="7" t="s">
        <v>0</v>
      </c>
      <c r="AH2621" s="9" t="s">
        <v>0</v>
      </c>
      <c r="AI2621" s="9" t="s">
        <v>0</v>
      </c>
      <c r="AJ2621" s="9" t="s">
        <v>0</v>
      </c>
      <c r="AK2621" s="7" t="s">
        <v>61</v>
      </c>
      <c r="AL2621" s="7" t="s">
        <v>61</v>
      </c>
      <c r="AM2621" s="7" t="s">
        <v>0</v>
      </c>
      <c r="AN2621" s="7" t="s">
        <v>0</v>
      </c>
      <c r="AO2621" s="7" t="s">
        <v>0</v>
      </c>
      <c r="AP2621" s="7" t="s">
        <v>0</v>
      </c>
      <c r="AQ2621" s="7" t="s">
        <v>61</v>
      </c>
      <c r="AR2621" s="7" t="s">
        <v>0</v>
      </c>
      <c r="AS2621" s="10" t="str">
        <f>HYPERLINK("https://tessa.gazprom-neft.local/edo/card/0cca8a2a-f56f-48f8-92cd-627883428e93", "https://tessa.gazprom-neft.local/edo/card/0cca8a2a-f56f-48f8-92cd-627883428e93")</f>
        <v>https://tessa.gazprom-neft.local/edo/card/0cca8a2a-f56f-48f8-92cd-627883428e93</v>
      </c>
    </row>
    <row r="2622" spans="1:45" hidden="1" x14ac:dyDescent="0.25">
      <c r="A2622" s="6" t="s">
        <v>44</v>
      </c>
      <c r="B2622" s="7" t="s">
        <v>0</v>
      </c>
      <c r="C2622" s="7" t="s">
        <v>67</v>
      </c>
      <c r="D2622" s="7"/>
      <c r="E2622" s="7"/>
      <c r="F2622" s="16" t="s">
        <v>1490</v>
      </c>
      <c r="G2622" s="7" t="s">
        <v>0</v>
      </c>
      <c r="H2622" s="7" t="s">
        <v>0</v>
      </c>
      <c r="I2622" s="7" t="s">
        <v>9711</v>
      </c>
      <c r="J2622" s="7" t="s">
        <v>9711</v>
      </c>
      <c r="K2622" s="7" t="s">
        <v>85</v>
      </c>
      <c r="L2622" s="7" t="s">
        <v>86</v>
      </c>
      <c r="M2622" s="7" t="s">
        <v>216</v>
      </c>
      <c r="N2622" s="7" t="s">
        <v>9710</v>
      </c>
      <c r="O2622" s="7" t="s">
        <v>0</v>
      </c>
      <c r="P2622" s="7" t="s">
        <v>216</v>
      </c>
      <c r="Q2622" s="7" t="s">
        <v>9712</v>
      </c>
      <c r="R2622" s="7" t="s">
        <v>659</v>
      </c>
      <c r="S2622" s="7" t="s">
        <v>9713</v>
      </c>
      <c r="T2622" s="7" t="s">
        <v>54</v>
      </c>
      <c r="U2622" s="7" t="s">
        <v>283</v>
      </c>
      <c r="V2622" s="7" t="s">
        <v>102</v>
      </c>
      <c r="W2622" s="7" t="s">
        <v>57</v>
      </c>
      <c r="X2622" s="7" t="s">
        <v>223</v>
      </c>
      <c r="Y2622" s="7"/>
      <c r="Z2622" s="7"/>
      <c r="AA2622" s="7" t="s">
        <v>104</v>
      </c>
      <c r="AB2622" s="7" t="s">
        <v>228</v>
      </c>
      <c r="AC2622" s="7" t="s">
        <v>65</v>
      </c>
      <c r="AD2622" s="7" t="s">
        <v>0</v>
      </c>
      <c r="AE2622" s="7" t="s">
        <v>0</v>
      </c>
      <c r="AF2622" s="7" t="s">
        <v>0</v>
      </c>
      <c r="AG2622" s="7" t="s">
        <v>0</v>
      </c>
      <c r="AH2622" s="9" t="s">
        <v>0</v>
      </c>
      <c r="AI2622" s="9" t="s">
        <v>0</v>
      </c>
      <c r="AJ2622" s="9" t="s">
        <v>0</v>
      </c>
      <c r="AK2622" s="7" t="s">
        <v>61</v>
      </c>
      <c r="AL2622" s="7" t="s">
        <v>61</v>
      </c>
      <c r="AM2622" s="7" t="s">
        <v>0</v>
      </c>
      <c r="AN2622" s="7" t="s">
        <v>0</v>
      </c>
      <c r="AO2622" s="7" t="s">
        <v>0</v>
      </c>
      <c r="AP2622" s="7" t="s">
        <v>0</v>
      </c>
      <c r="AQ2622" s="7" t="s">
        <v>61</v>
      </c>
      <c r="AR2622" s="7" t="s">
        <v>0</v>
      </c>
      <c r="AS2622" s="10" t="str">
        <f>HYPERLINK("https://tessa.gazprom-neft.local/edo/card/8726bc8c-7242-45e0-b19c-23d15eb9d761", "https://tessa.gazprom-neft.local/edo/card/8726bc8c-7242-45e0-b19c-23d15eb9d761")</f>
        <v>https://tessa.gazprom-neft.local/edo/card/8726bc8c-7242-45e0-b19c-23d15eb9d761</v>
      </c>
    </row>
    <row r="2623" spans="1:45" x14ac:dyDescent="0.25">
      <c r="A2623" s="6" t="s">
        <v>44</v>
      </c>
      <c r="B2623" s="7" t="s">
        <v>213</v>
      </c>
      <c r="C2623" s="7" t="s">
        <v>67</v>
      </c>
      <c r="D2623" s="7"/>
      <c r="E2623" s="7"/>
      <c r="F2623" s="16" t="s">
        <v>214</v>
      </c>
      <c r="G2623" s="7" t="s">
        <v>215</v>
      </c>
      <c r="H2623" s="7" t="s">
        <v>207</v>
      </c>
      <c r="I2623" s="7" t="s">
        <v>0</v>
      </c>
      <c r="J2623" s="7" t="s">
        <v>271</v>
      </c>
      <c r="K2623" s="7" t="s">
        <v>85</v>
      </c>
      <c r="L2623" s="7" t="s">
        <v>48</v>
      </c>
      <c r="M2623" s="7" t="s">
        <v>2128</v>
      </c>
      <c r="N2623" s="7" t="s">
        <v>9714</v>
      </c>
      <c r="O2623" s="7" t="s">
        <v>0</v>
      </c>
      <c r="P2623" s="7" t="s">
        <v>2128</v>
      </c>
      <c r="Q2623" s="7" t="s">
        <v>2177</v>
      </c>
      <c r="R2623" s="7" t="s">
        <v>198</v>
      </c>
      <c r="S2623" s="7" t="s">
        <v>198</v>
      </c>
      <c r="T2623" s="7" t="s">
        <v>54</v>
      </c>
      <c r="U2623" s="7" t="s">
        <v>199</v>
      </c>
      <c r="V2623" s="7" t="s">
        <v>126</v>
      </c>
      <c r="W2623" s="7" t="s">
        <v>57</v>
      </c>
      <c r="X2623" s="7" t="s">
        <v>103</v>
      </c>
      <c r="Y2623" s="7"/>
      <c r="Z2623" s="7"/>
      <c r="AA2623" s="7" t="s">
        <v>224</v>
      </c>
      <c r="AB2623" s="7" t="s">
        <v>64</v>
      </c>
      <c r="AC2623" s="7" t="s">
        <v>65</v>
      </c>
      <c r="AD2623" s="7" t="s">
        <v>80</v>
      </c>
      <c r="AE2623" s="7" t="s">
        <v>0</v>
      </c>
      <c r="AF2623" s="7" t="s">
        <v>0</v>
      </c>
      <c r="AG2623" s="7" t="s">
        <v>0</v>
      </c>
      <c r="AH2623" s="9" t="s">
        <v>0</v>
      </c>
      <c r="AI2623" s="9" t="s">
        <v>0</v>
      </c>
      <c r="AJ2623" s="9" t="s">
        <v>0</v>
      </c>
      <c r="AK2623" s="7" t="s">
        <v>61</v>
      </c>
      <c r="AL2623" s="7" t="s">
        <v>61</v>
      </c>
      <c r="AM2623" s="7" t="s">
        <v>0</v>
      </c>
      <c r="AN2623" s="7" t="s">
        <v>0</v>
      </c>
      <c r="AO2623" s="7" t="s">
        <v>0</v>
      </c>
      <c r="AP2623" s="7" t="s">
        <v>0</v>
      </c>
      <c r="AQ2623" s="7" t="s">
        <v>61</v>
      </c>
      <c r="AR2623" s="7" t="s">
        <v>0</v>
      </c>
      <c r="AS2623" s="10" t="str">
        <f>HYPERLINK("https://tessa.gazprom-neft.local/edo/card/bd2078d2-5b12-4ec0-9bfa-7656124c4e3d", "https://tessa.gazprom-neft.local/edo/card/bd2078d2-5b12-4ec0-9bfa-7656124c4e3d")</f>
        <v>https://tessa.gazprom-neft.local/edo/card/bd2078d2-5b12-4ec0-9bfa-7656124c4e3d</v>
      </c>
    </row>
    <row r="2624" spans="1:45" hidden="1" x14ac:dyDescent="0.25">
      <c r="A2624" s="6" t="s">
        <v>44</v>
      </c>
      <c r="B2624" s="7" t="s">
        <v>0</v>
      </c>
      <c r="C2624" s="7" t="s">
        <v>67</v>
      </c>
      <c r="D2624" s="7"/>
      <c r="E2624" s="7"/>
      <c r="F2624" s="16" t="s">
        <v>9717</v>
      </c>
      <c r="G2624" s="7" t="s">
        <v>0</v>
      </c>
      <c r="H2624" s="7" t="s">
        <v>0</v>
      </c>
      <c r="I2624" s="7" t="s">
        <v>3582</v>
      </c>
      <c r="J2624" s="7" t="s">
        <v>3582</v>
      </c>
      <c r="K2624" s="7" t="s">
        <v>85</v>
      </c>
      <c r="L2624" s="7" t="s">
        <v>96</v>
      </c>
      <c r="M2624" s="7" t="s">
        <v>7799</v>
      </c>
      <c r="N2624" s="7" t="s">
        <v>9715</v>
      </c>
      <c r="O2624" s="7" t="s">
        <v>0</v>
      </c>
      <c r="P2624" s="7" t="s">
        <v>7799</v>
      </c>
      <c r="Q2624" s="7" t="s">
        <v>9716</v>
      </c>
      <c r="R2624" s="7" t="s">
        <v>751</v>
      </c>
      <c r="S2624" s="7" t="s">
        <v>221</v>
      </c>
      <c r="T2624" s="7" t="s">
        <v>54</v>
      </c>
      <c r="U2624" s="7" t="s">
        <v>125</v>
      </c>
      <c r="V2624" s="7" t="s">
        <v>382</v>
      </c>
      <c r="W2624" s="7" t="s">
        <v>57</v>
      </c>
      <c r="X2624" s="7" t="s">
        <v>58</v>
      </c>
      <c r="Y2624" s="7"/>
      <c r="Z2624" s="7"/>
      <c r="AA2624" s="7" t="s">
        <v>383</v>
      </c>
      <c r="AB2624" s="7" t="s">
        <v>1243</v>
      </c>
      <c r="AC2624" s="7" t="s">
        <v>79</v>
      </c>
      <c r="AD2624" s="7" t="s">
        <v>80</v>
      </c>
      <c r="AE2624" s="7" t="s">
        <v>82</v>
      </c>
      <c r="AF2624" s="7" t="s">
        <v>0</v>
      </c>
      <c r="AG2624" s="7" t="s">
        <v>0</v>
      </c>
      <c r="AH2624" s="9" t="s">
        <v>14045</v>
      </c>
      <c r="AI2624" s="9" t="s">
        <v>14046</v>
      </c>
      <c r="AJ2624" s="9" t="s">
        <v>14047</v>
      </c>
      <c r="AK2624" s="7" t="s">
        <v>61</v>
      </c>
      <c r="AL2624" s="7" t="s">
        <v>61</v>
      </c>
      <c r="AM2624" s="7" t="s">
        <v>0</v>
      </c>
      <c r="AN2624" s="7" t="s">
        <v>0</v>
      </c>
      <c r="AO2624" s="7" t="s">
        <v>0</v>
      </c>
      <c r="AP2624" s="7" t="s">
        <v>0</v>
      </c>
      <c r="AQ2624" s="7" t="s">
        <v>61</v>
      </c>
      <c r="AR2624" s="7" t="s">
        <v>0</v>
      </c>
      <c r="AS2624" s="10" t="str">
        <f>HYPERLINK("https://tessa.gazprom-neft.local/edo/card/ed75bfad-06a6-459d-8ac7-bb5be8f2ca42", "https://tessa.gazprom-neft.local/edo/card/ed75bfad-06a6-459d-8ac7-bb5be8f2ca42")</f>
        <v>https://tessa.gazprom-neft.local/edo/card/ed75bfad-06a6-459d-8ac7-bb5be8f2ca42</v>
      </c>
    </row>
    <row r="2625" spans="1:45" x14ac:dyDescent="0.25">
      <c r="A2625" s="6" t="s">
        <v>44</v>
      </c>
      <c r="B2625" s="7" t="s">
        <v>1593</v>
      </c>
      <c r="C2625" s="7" t="s">
        <v>67</v>
      </c>
      <c r="D2625" s="7"/>
      <c r="E2625" s="7"/>
      <c r="F2625" s="16" t="s">
        <v>1594</v>
      </c>
      <c r="G2625" s="7" t="s">
        <v>1595</v>
      </c>
      <c r="H2625" s="7" t="s">
        <v>9719</v>
      </c>
      <c r="I2625" s="7" t="s">
        <v>0</v>
      </c>
      <c r="J2625" s="7" t="s">
        <v>955</v>
      </c>
      <c r="K2625" s="7" t="s">
        <v>85</v>
      </c>
      <c r="L2625" s="7" t="s">
        <v>48</v>
      </c>
      <c r="M2625" s="7" t="s">
        <v>9463</v>
      </c>
      <c r="N2625" s="7" t="s">
        <v>9718</v>
      </c>
      <c r="O2625" s="7" t="s">
        <v>0</v>
      </c>
      <c r="P2625" s="7" t="s">
        <v>9720</v>
      </c>
      <c r="Q2625" s="7" t="s">
        <v>9721</v>
      </c>
      <c r="R2625" s="7" t="s">
        <v>1575</v>
      </c>
      <c r="S2625" s="7" t="s">
        <v>381</v>
      </c>
      <c r="T2625" s="7" t="s">
        <v>54</v>
      </c>
      <c r="U2625" s="7" t="s">
        <v>222</v>
      </c>
      <c r="V2625" s="7" t="s">
        <v>126</v>
      </c>
      <c r="W2625" s="7" t="s">
        <v>57</v>
      </c>
      <c r="X2625" s="7" t="s">
        <v>223</v>
      </c>
      <c r="Y2625" s="7"/>
      <c r="Z2625" s="7"/>
      <c r="AA2625" s="7" t="s">
        <v>224</v>
      </c>
      <c r="AB2625" s="7" t="s">
        <v>387</v>
      </c>
      <c r="AC2625" s="7" t="s">
        <v>65</v>
      </c>
      <c r="AD2625" s="7" t="s">
        <v>0</v>
      </c>
      <c r="AE2625" s="7" t="s">
        <v>0</v>
      </c>
      <c r="AF2625" s="7" t="s">
        <v>0</v>
      </c>
      <c r="AG2625" s="7" t="s">
        <v>0</v>
      </c>
      <c r="AH2625" s="9" t="s">
        <v>0</v>
      </c>
      <c r="AI2625" s="9" t="s">
        <v>0</v>
      </c>
      <c r="AJ2625" s="9" t="s">
        <v>0</v>
      </c>
      <c r="AK2625" s="7" t="s">
        <v>61</v>
      </c>
      <c r="AL2625" s="7" t="s">
        <v>61</v>
      </c>
      <c r="AM2625" s="7" t="s">
        <v>0</v>
      </c>
      <c r="AN2625" s="7" t="s">
        <v>0</v>
      </c>
      <c r="AO2625" s="7" t="s">
        <v>0</v>
      </c>
      <c r="AP2625" s="7" t="s">
        <v>0</v>
      </c>
      <c r="AQ2625" s="7" t="s">
        <v>61</v>
      </c>
      <c r="AR2625" s="7" t="s">
        <v>0</v>
      </c>
      <c r="AS2625" s="10" t="str">
        <f>HYPERLINK("https://tessa.gazprom-neft.local/edo/card/90153f25-56ee-4eab-971b-a09ad71dd17b", "https://tessa.gazprom-neft.local/edo/card/90153f25-56ee-4eab-971b-a09ad71dd17b")</f>
        <v>https://tessa.gazprom-neft.local/edo/card/90153f25-56ee-4eab-971b-a09ad71dd17b</v>
      </c>
    </row>
    <row r="2626" spans="1:45" hidden="1" x14ac:dyDescent="0.25">
      <c r="A2626" s="6" t="s">
        <v>44</v>
      </c>
      <c r="B2626" s="7" t="s">
        <v>3326</v>
      </c>
      <c r="C2626" s="7" t="s">
        <v>67</v>
      </c>
      <c r="D2626" s="7"/>
      <c r="E2626" s="7"/>
      <c r="F2626" s="16" t="s">
        <v>3327</v>
      </c>
      <c r="G2626" s="7" t="s">
        <v>3328</v>
      </c>
      <c r="H2626" s="7" t="s">
        <v>0</v>
      </c>
      <c r="I2626" s="7" t="s">
        <v>9723</v>
      </c>
      <c r="J2626" s="7" t="s">
        <v>9723</v>
      </c>
      <c r="K2626" s="7" t="s">
        <v>47</v>
      </c>
      <c r="L2626" s="7" t="s">
        <v>96</v>
      </c>
      <c r="M2626" s="7" t="s">
        <v>0</v>
      </c>
      <c r="N2626" s="7" t="s">
        <v>9722</v>
      </c>
      <c r="O2626" s="7" t="s">
        <v>0</v>
      </c>
      <c r="P2626" s="7" t="s">
        <v>9724</v>
      </c>
      <c r="Q2626" s="7" t="s">
        <v>9725</v>
      </c>
      <c r="R2626" s="7" t="s">
        <v>361</v>
      </c>
      <c r="S2626" s="7" t="s">
        <v>2349</v>
      </c>
      <c r="T2626" s="7" t="s">
        <v>54</v>
      </c>
      <c r="U2626" s="7" t="s">
        <v>362</v>
      </c>
      <c r="V2626" s="7" t="s">
        <v>295</v>
      </c>
      <c r="W2626" s="7" t="s">
        <v>57</v>
      </c>
      <c r="X2626" s="7" t="s">
        <v>103</v>
      </c>
      <c r="Y2626" s="7"/>
      <c r="Z2626" s="7"/>
      <c r="AA2626" s="7" t="s">
        <v>296</v>
      </c>
      <c r="AB2626" s="7" t="s">
        <v>64</v>
      </c>
      <c r="AC2626" s="7" t="s">
        <v>79</v>
      </c>
      <c r="AD2626" s="7" t="s">
        <v>80</v>
      </c>
      <c r="AE2626" s="7" t="s">
        <v>82</v>
      </c>
      <c r="AF2626" s="7" t="s">
        <v>0</v>
      </c>
      <c r="AG2626" s="7" t="s">
        <v>0</v>
      </c>
      <c r="AH2626" s="9" t="s">
        <v>14048</v>
      </c>
      <c r="AI2626" s="9" t="s">
        <v>14049</v>
      </c>
      <c r="AJ2626" s="9" t="s">
        <v>14050</v>
      </c>
      <c r="AK2626" s="7" t="s">
        <v>61</v>
      </c>
      <c r="AL2626" s="7" t="s">
        <v>61</v>
      </c>
      <c r="AM2626" s="7" t="s">
        <v>0</v>
      </c>
      <c r="AN2626" s="7" t="s">
        <v>0</v>
      </c>
      <c r="AO2626" s="7" t="s">
        <v>0</v>
      </c>
      <c r="AP2626" s="7" t="s">
        <v>0</v>
      </c>
      <c r="AQ2626" s="7" t="s">
        <v>61</v>
      </c>
      <c r="AR2626" s="7" t="s">
        <v>0</v>
      </c>
      <c r="AS2626" s="10" t="str">
        <f>HYPERLINK("https://tessa.gazprom-neft.local/edo/card/bd0f23d6-f696-4bf9-a092-a45109885bff", "https://tessa.gazprom-neft.local/edo/card/bd0f23d6-f696-4bf9-a092-a45109885bff")</f>
        <v>https://tessa.gazprom-neft.local/edo/card/bd0f23d6-f696-4bf9-a092-a45109885bff</v>
      </c>
    </row>
    <row r="2627" spans="1:45" x14ac:dyDescent="0.25">
      <c r="A2627" s="6" t="s">
        <v>44</v>
      </c>
      <c r="B2627" s="7" t="s">
        <v>1593</v>
      </c>
      <c r="C2627" s="7" t="s">
        <v>67</v>
      </c>
      <c r="D2627" s="7"/>
      <c r="E2627" s="7"/>
      <c r="F2627" s="16" t="s">
        <v>1594</v>
      </c>
      <c r="G2627" s="7" t="s">
        <v>1595</v>
      </c>
      <c r="H2627" s="7" t="s">
        <v>9719</v>
      </c>
      <c r="I2627" s="7" t="s">
        <v>0</v>
      </c>
      <c r="J2627" s="7" t="s">
        <v>1098</v>
      </c>
      <c r="K2627" s="7" t="s">
        <v>85</v>
      </c>
      <c r="L2627" s="7" t="s">
        <v>48</v>
      </c>
      <c r="M2627" s="7" t="s">
        <v>2128</v>
      </c>
      <c r="N2627" s="7" t="s">
        <v>9726</v>
      </c>
      <c r="O2627" s="7" t="s">
        <v>0</v>
      </c>
      <c r="P2627" s="7" t="s">
        <v>9727</v>
      </c>
      <c r="Q2627" s="7" t="s">
        <v>7394</v>
      </c>
      <c r="R2627" s="7" t="s">
        <v>1575</v>
      </c>
      <c r="S2627" s="7" t="s">
        <v>381</v>
      </c>
      <c r="T2627" s="7" t="s">
        <v>54</v>
      </c>
      <c r="U2627" s="7" t="s">
        <v>222</v>
      </c>
      <c r="V2627" s="7" t="s">
        <v>126</v>
      </c>
      <c r="W2627" s="7" t="s">
        <v>57</v>
      </c>
      <c r="X2627" s="7" t="s">
        <v>58</v>
      </c>
      <c r="Y2627" s="7"/>
      <c r="Z2627" s="7"/>
      <c r="AA2627" s="7" t="s">
        <v>224</v>
      </c>
      <c r="AB2627" s="7" t="s">
        <v>387</v>
      </c>
      <c r="AC2627" s="7" t="s">
        <v>65</v>
      </c>
      <c r="AD2627" s="7" t="s">
        <v>0</v>
      </c>
      <c r="AE2627" s="7" t="s">
        <v>0</v>
      </c>
      <c r="AF2627" s="7" t="s">
        <v>0</v>
      </c>
      <c r="AG2627" s="7" t="s">
        <v>0</v>
      </c>
      <c r="AH2627" s="9" t="s">
        <v>0</v>
      </c>
      <c r="AI2627" s="9" t="s">
        <v>0</v>
      </c>
      <c r="AJ2627" s="9" t="s">
        <v>0</v>
      </c>
      <c r="AK2627" s="7" t="s">
        <v>61</v>
      </c>
      <c r="AL2627" s="7" t="s">
        <v>61</v>
      </c>
      <c r="AM2627" s="7" t="s">
        <v>0</v>
      </c>
      <c r="AN2627" s="7" t="s">
        <v>0</v>
      </c>
      <c r="AO2627" s="7" t="s">
        <v>0</v>
      </c>
      <c r="AP2627" s="7" t="s">
        <v>0</v>
      </c>
      <c r="AQ2627" s="7" t="s">
        <v>61</v>
      </c>
      <c r="AR2627" s="7" t="s">
        <v>0</v>
      </c>
      <c r="AS2627" s="10" t="str">
        <f>HYPERLINK("https://tessa.gazprom-neft.local/edo/card/d30842a0-bf07-404c-87d7-17c8b29d2f59", "https://tessa.gazprom-neft.local/edo/card/d30842a0-bf07-404c-87d7-17c8b29d2f59")</f>
        <v>https://tessa.gazprom-neft.local/edo/card/d30842a0-bf07-404c-87d7-17c8b29d2f59</v>
      </c>
    </row>
    <row r="2628" spans="1:45" x14ac:dyDescent="0.25">
      <c r="A2628" s="6" t="s">
        <v>44</v>
      </c>
      <c r="B2628" s="7" t="s">
        <v>1909</v>
      </c>
      <c r="C2628" s="7" t="s">
        <v>67</v>
      </c>
      <c r="D2628" s="7"/>
      <c r="E2628" s="7"/>
      <c r="F2628" s="16" t="s">
        <v>1910</v>
      </c>
      <c r="G2628" s="7" t="s">
        <v>1911</v>
      </c>
      <c r="H2628" s="7" t="s">
        <v>9729</v>
      </c>
      <c r="I2628" s="7" t="s">
        <v>0</v>
      </c>
      <c r="J2628" s="7" t="s">
        <v>51</v>
      </c>
      <c r="K2628" s="7" t="s">
        <v>47</v>
      </c>
      <c r="L2628" s="7" t="s">
        <v>48</v>
      </c>
      <c r="M2628" s="7" t="s">
        <v>0</v>
      </c>
      <c r="N2628" s="7" t="s">
        <v>9728</v>
      </c>
      <c r="O2628" s="7" t="s">
        <v>0</v>
      </c>
      <c r="P2628" s="7" t="s">
        <v>9730</v>
      </c>
      <c r="Q2628" s="7" t="s">
        <v>9731</v>
      </c>
      <c r="R2628" s="7" t="s">
        <v>220</v>
      </c>
      <c r="S2628" s="7" t="s">
        <v>1261</v>
      </c>
      <c r="T2628" s="7" t="s">
        <v>54</v>
      </c>
      <c r="U2628" s="7" t="s">
        <v>222</v>
      </c>
      <c r="V2628" s="7" t="s">
        <v>382</v>
      </c>
      <c r="W2628" s="7" t="s">
        <v>57</v>
      </c>
      <c r="X2628" s="7" t="s">
        <v>103</v>
      </c>
      <c r="Y2628" s="7"/>
      <c r="Z2628" s="7"/>
      <c r="AA2628" s="7" t="s">
        <v>1656</v>
      </c>
      <c r="AB2628" s="7" t="s">
        <v>387</v>
      </c>
      <c r="AC2628" s="7" t="s">
        <v>79</v>
      </c>
      <c r="AD2628" s="7" t="s">
        <v>80</v>
      </c>
      <c r="AE2628" s="7" t="s">
        <v>82</v>
      </c>
      <c r="AF2628" s="7" t="s">
        <v>0</v>
      </c>
      <c r="AG2628" s="7" t="s">
        <v>0</v>
      </c>
      <c r="AH2628" s="9" t="s">
        <v>14051</v>
      </c>
      <c r="AI2628" s="9" t="s">
        <v>14052</v>
      </c>
      <c r="AJ2628" s="9" t="s">
        <v>14053</v>
      </c>
      <c r="AK2628" s="7" t="s">
        <v>61</v>
      </c>
      <c r="AL2628" s="7" t="s">
        <v>61</v>
      </c>
      <c r="AM2628" s="7" t="s">
        <v>0</v>
      </c>
      <c r="AN2628" s="7" t="s">
        <v>0</v>
      </c>
      <c r="AO2628" s="7" t="s">
        <v>0</v>
      </c>
      <c r="AP2628" s="7" t="s">
        <v>0</v>
      </c>
      <c r="AQ2628" s="7" t="s">
        <v>61</v>
      </c>
      <c r="AR2628" s="7" t="s">
        <v>0</v>
      </c>
      <c r="AS2628" s="10" t="str">
        <f>HYPERLINK("https://tessa.gazprom-neft.local/edo/card/81d60a9e-1022-4a91-8812-ffb39953004c", "https://tessa.gazprom-neft.local/edo/card/81d60a9e-1022-4a91-8812-ffb39953004c")</f>
        <v>https://tessa.gazprom-neft.local/edo/card/81d60a9e-1022-4a91-8812-ffb39953004c</v>
      </c>
    </row>
    <row r="2629" spans="1:45" x14ac:dyDescent="0.25">
      <c r="A2629" s="6" t="s">
        <v>44</v>
      </c>
      <c r="B2629" s="7" t="s">
        <v>753</v>
      </c>
      <c r="C2629" s="7" t="s">
        <v>67</v>
      </c>
      <c r="D2629" s="7"/>
      <c r="E2629" s="7"/>
      <c r="F2629" s="16" t="s">
        <v>754</v>
      </c>
      <c r="G2629" s="7" t="s">
        <v>755</v>
      </c>
      <c r="H2629" s="7" t="s">
        <v>9733</v>
      </c>
      <c r="I2629" s="7" t="s">
        <v>0</v>
      </c>
      <c r="J2629" s="7" t="s">
        <v>872</v>
      </c>
      <c r="K2629" s="7" t="s">
        <v>85</v>
      </c>
      <c r="L2629" s="7" t="s">
        <v>48</v>
      </c>
      <c r="M2629" s="7" t="s">
        <v>9463</v>
      </c>
      <c r="N2629" s="7" t="s">
        <v>9732</v>
      </c>
      <c r="O2629" s="7" t="s">
        <v>0</v>
      </c>
      <c r="P2629" s="7" t="s">
        <v>9734</v>
      </c>
      <c r="Q2629" s="7" t="s">
        <v>9721</v>
      </c>
      <c r="R2629" s="7" t="s">
        <v>1575</v>
      </c>
      <c r="S2629" s="7" t="s">
        <v>381</v>
      </c>
      <c r="T2629" s="7" t="s">
        <v>54</v>
      </c>
      <c r="U2629" s="7" t="s">
        <v>222</v>
      </c>
      <c r="V2629" s="7" t="s">
        <v>382</v>
      </c>
      <c r="W2629" s="7" t="s">
        <v>74</v>
      </c>
      <c r="X2629" s="7" t="s">
        <v>223</v>
      </c>
      <c r="Y2629" s="7"/>
      <c r="Z2629" s="7"/>
      <c r="AA2629" s="7" t="s">
        <v>383</v>
      </c>
      <c r="AB2629" s="7" t="s">
        <v>387</v>
      </c>
      <c r="AC2629" s="7" t="s">
        <v>65</v>
      </c>
      <c r="AD2629" s="7" t="s">
        <v>0</v>
      </c>
      <c r="AE2629" s="7" t="s">
        <v>0</v>
      </c>
      <c r="AF2629" s="7" t="s">
        <v>0</v>
      </c>
      <c r="AG2629" s="7" t="s">
        <v>0</v>
      </c>
      <c r="AH2629" s="9" t="s">
        <v>0</v>
      </c>
      <c r="AI2629" s="9" t="s">
        <v>0</v>
      </c>
      <c r="AJ2629" s="9" t="s">
        <v>0</v>
      </c>
      <c r="AK2629" s="7" t="s">
        <v>61</v>
      </c>
      <c r="AL2629" s="7" t="s">
        <v>61</v>
      </c>
      <c r="AM2629" s="7" t="s">
        <v>0</v>
      </c>
      <c r="AN2629" s="7" t="s">
        <v>0</v>
      </c>
      <c r="AO2629" s="7" t="s">
        <v>0</v>
      </c>
      <c r="AP2629" s="7" t="s">
        <v>0</v>
      </c>
      <c r="AQ2629" s="7" t="s">
        <v>61</v>
      </c>
      <c r="AR2629" s="7" t="s">
        <v>0</v>
      </c>
      <c r="AS2629" s="10" t="str">
        <f>HYPERLINK("https://tessa.gazprom-neft.local/edo/card/e47ced99-c448-413e-ad70-b1726e4bb0a2", "https://tessa.gazprom-neft.local/edo/card/e47ced99-c448-413e-ad70-b1726e4bb0a2")</f>
        <v>https://tessa.gazprom-neft.local/edo/card/e47ced99-c448-413e-ad70-b1726e4bb0a2</v>
      </c>
    </row>
    <row r="2630" spans="1:45" x14ac:dyDescent="0.25">
      <c r="A2630" s="6" t="s">
        <v>44</v>
      </c>
      <c r="B2630" s="7" t="s">
        <v>1396</v>
      </c>
      <c r="C2630" s="7" t="s">
        <v>67</v>
      </c>
      <c r="D2630" s="7"/>
      <c r="E2630" s="7"/>
      <c r="F2630" s="16" t="s">
        <v>1397</v>
      </c>
      <c r="G2630" s="7" t="s">
        <v>1398</v>
      </c>
      <c r="H2630" s="7" t="s">
        <v>1735</v>
      </c>
      <c r="I2630" s="7" t="s">
        <v>0</v>
      </c>
      <c r="J2630" s="7" t="s">
        <v>355</v>
      </c>
      <c r="K2630" s="7" t="s">
        <v>47</v>
      </c>
      <c r="L2630" s="7" t="s">
        <v>48</v>
      </c>
      <c r="M2630" s="7" t="s">
        <v>0</v>
      </c>
      <c r="N2630" s="7" t="s">
        <v>9735</v>
      </c>
      <c r="O2630" s="7" t="s">
        <v>0</v>
      </c>
      <c r="P2630" s="7" t="s">
        <v>9736</v>
      </c>
      <c r="Q2630" s="7" t="s">
        <v>9737</v>
      </c>
      <c r="R2630" s="7" t="s">
        <v>135</v>
      </c>
      <c r="S2630" s="7" t="s">
        <v>135</v>
      </c>
      <c r="T2630" s="7" t="s">
        <v>54</v>
      </c>
      <c r="U2630" s="7" t="s">
        <v>136</v>
      </c>
      <c r="V2630" s="7" t="s">
        <v>102</v>
      </c>
      <c r="W2630" s="7" t="s">
        <v>57</v>
      </c>
      <c r="X2630" s="7" t="s">
        <v>103</v>
      </c>
      <c r="Y2630" s="7"/>
      <c r="Z2630" s="7"/>
      <c r="AA2630" s="7" t="s">
        <v>104</v>
      </c>
      <c r="AB2630" s="7" t="s">
        <v>64</v>
      </c>
      <c r="AC2630" s="7" t="s">
        <v>79</v>
      </c>
      <c r="AD2630" s="7" t="s">
        <v>80</v>
      </c>
      <c r="AE2630" s="7" t="s">
        <v>118</v>
      </c>
      <c r="AF2630" s="7" t="s">
        <v>0</v>
      </c>
      <c r="AG2630" s="7" t="s">
        <v>0</v>
      </c>
      <c r="AH2630" s="9" t="s">
        <v>14054</v>
      </c>
      <c r="AI2630" s="9" t="s">
        <v>14054</v>
      </c>
      <c r="AJ2630" s="9">
        <v>0</v>
      </c>
      <c r="AK2630" s="7" t="s">
        <v>61</v>
      </c>
      <c r="AL2630" s="7" t="s">
        <v>61</v>
      </c>
      <c r="AM2630" s="7" t="s">
        <v>0</v>
      </c>
      <c r="AN2630" s="7" t="s">
        <v>0</v>
      </c>
      <c r="AO2630" s="7" t="s">
        <v>0</v>
      </c>
      <c r="AP2630" s="7" t="s">
        <v>0</v>
      </c>
      <c r="AQ2630" s="7" t="s">
        <v>61</v>
      </c>
      <c r="AR2630" s="7" t="s">
        <v>0</v>
      </c>
      <c r="AS2630" s="10" t="str">
        <f>HYPERLINK("https://tessa.gazprom-neft.local/edo/card/9c142688-e93c-4584-b1c7-9afcfa72d186", "https://tessa.gazprom-neft.local/edo/card/9c142688-e93c-4584-b1c7-9afcfa72d186")</f>
        <v>https://tessa.gazprom-neft.local/edo/card/9c142688-e93c-4584-b1c7-9afcfa72d186</v>
      </c>
    </row>
    <row r="2631" spans="1:45" hidden="1" x14ac:dyDescent="0.25">
      <c r="A2631" s="6" t="s">
        <v>44</v>
      </c>
      <c r="B2631" s="7" t="s">
        <v>1396</v>
      </c>
      <c r="C2631" s="7" t="s">
        <v>67</v>
      </c>
      <c r="D2631" s="7"/>
      <c r="E2631" s="7"/>
      <c r="F2631" s="16" t="s">
        <v>1397</v>
      </c>
      <c r="G2631" s="7" t="s">
        <v>1398</v>
      </c>
      <c r="H2631" s="7" t="s">
        <v>3724</v>
      </c>
      <c r="I2631" s="7" t="s">
        <v>0</v>
      </c>
      <c r="J2631" s="7" t="s">
        <v>9740</v>
      </c>
      <c r="K2631" s="7" t="s">
        <v>47</v>
      </c>
      <c r="L2631" s="7" t="s">
        <v>239</v>
      </c>
      <c r="M2631" s="7" t="s">
        <v>0</v>
      </c>
      <c r="N2631" s="7" t="s">
        <v>9738</v>
      </c>
      <c r="O2631" s="7" t="s">
        <v>0</v>
      </c>
      <c r="P2631" s="7" t="s">
        <v>9739</v>
      </c>
      <c r="Q2631" s="7" t="s">
        <v>9741</v>
      </c>
      <c r="R2631" s="7" t="s">
        <v>135</v>
      </c>
      <c r="S2631" s="7" t="s">
        <v>0</v>
      </c>
      <c r="T2631" s="7" t="s">
        <v>54</v>
      </c>
      <c r="U2631" s="7" t="s">
        <v>136</v>
      </c>
      <c r="V2631" s="7" t="s">
        <v>168</v>
      </c>
      <c r="W2631" s="7" t="s">
        <v>74</v>
      </c>
      <c r="X2631" s="7" t="s">
        <v>103</v>
      </c>
      <c r="Y2631" s="7"/>
      <c r="Z2631" s="7"/>
      <c r="AA2631" s="7" t="s">
        <v>0</v>
      </c>
      <c r="AB2631" s="7" t="s">
        <v>64</v>
      </c>
      <c r="AC2631" s="7" t="s">
        <v>79</v>
      </c>
      <c r="AD2631" s="7" t="s">
        <v>80</v>
      </c>
      <c r="AE2631" s="7" t="s">
        <v>118</v>
      </c>
      <c r="AF2631" s="7" t="s">
        <v>0</v>
      </c>
      <c r="AG2631" s="7" t="s">
        <v>0</v>
      </c>
      <c r="AH2631" s="9" t="s">
        <v>14054</v>
      </c>
      <c r="AI2631" s="9" t="s">
        <v>14054</v>
      </c>
      <c r="AJ2631" s="9">
        <v>0</v>
      </c>
      <c r="AK2631" s="7" t="s">
        <v>61</v>
      </c>
      <c r="AL2631" s="7" t="s">
        <v>61</v>
      </c>
      <c r="AM2631" s="7" t="s">
        <v>0</v>
      </c>
      <c r="AN2631" s="7" t="s">
        <v>0</v>
      </c>
      <c r="AO2631" s="7" t="s">
        <v>0</v>
      </c>
      <c r="AP2631" s="7" t="s">
        <v>0</v>
      </c>
      <c r="AQ2631" s="7" t="s">
        <v>61</v>
      </c>
      <c r="AR2631" s="7" t="s">
        <v>0</v>
      </c>
      <c r="AS2631" s="10" t="str">
        <f>HYPERLINK("https://tessa.gazprom-neft.local/edo/card/bc734413-e914-47e7-b201-bd3551bd26cf", "https://tessa.gazprom-neft.local/edo/card/bc734413-e914-47e7-b201-bd3551bd26cf")</f>
        <v>https://tessa.gazprom-neft.local/edo/card/bc734413-e914-47e7-b201-bd3551bd26cf</v>
      </c>
    </row>
    <row r="2632" spans="1:45" x14ac:dyDescent="0.25">
      <c r="A2632" s="6" t="s">
        <v>44</v>
      </c>
      <c r="B2632" s="7" t="s">
        <v>1351</v>
      </c>
      <c r="C2632" s="7" t="s">
        <v>67</v>
      </c>
      <c r="D2632" s="7"/>
      <c r="E2632" s="7"/>
      <c r="F2632" s="16" t="s">
        <v>1352</v>
      </c>
      <c r="G2632" s="7" t="s">
        <v>1353</v>
      </c>
      <c r="H2632" s="7" t="s">
        <v>1818</v>
      </c>
      <c r="I2632" s="7" t="s">
        <v>0</v>
      </c>
      <c r="J2632" s="7" t="s">
        <v>156</v>
      </c>
      <c r="K2632" s="7" t="s">
        <v>85</v>
      </c>
      <c r="L2632" s="7" t="s">
        <v>48</v>
      </c>
      <c r="M2632" s="7" t="s">
        <v>9463</v>
      </c>
      <c r="N2632" s="7" t="s">
        <v>9742</v>
      </c>
      <c r="O2632" s="7" t="s">
        <v>0</v>
      </c>
      <c r="P2632" s="7" t="s">
        <v>9463</v>
      </c>
      <c r="Q2632" s="7" t="s">
        <v>9743</v>
      </c>
      <c r="R2632" s="7" t="s">
        <v>768</v>
      </c>
      <c r="S2632" s="7" t="s">
        <v>768</v>
      </c>
      <c r="T2632" s="7" t="s">
        <v>54</v>
      </c>
      <c r="U2632" s="7" t="s">
        <v>362</v>
      </c>
      <c r="V2632" s="7" t="s">
        <v>126</v>
      </c>
      <c r="W2632" s="7" t="s">
        <v>74</v>
      </c>
      <c r="X2632" s="7" t="s">
        <v>223</v>
      </c>
      <c r="Y2632" s="7"/>
      <c r="Z2632" s="7"/>
      <c r="AA2632" s="7" t="s">
        <v>224</v>
      </c>
      <c r="AB2632" s="7" t="s">
        <v>804</v>
      </c>
      <c r="AC2632" s="7" t="s">
        <v>65</v>
      </c>
      <c r="AD2632" s="7" t="s">
        <v>144</v>
      </c>
      <c r="AE2632" s="7" t="s">
        <v>0</v>
      </c>
      <c r="AF2632" s="7" t="s">
        <v>0</v>
      </c>
      <c r="AG2632" s="7" t="s">
        <v>0</v>
      </c>
      <c r="AH2632" s="9" t="s">
        <v>0</v>
      </c>
      <c r="AI2632" s="9" t="s">
        <v>0</v>
      </c>
      <c r="AJ2632" s="9" t="s">
        <v>0</v>
      </c>
      <c r="AK2632" s="7" t="s">
        <v>61</v>
      </c>
      <c r="AL2632" s="7" t="s">
        <v>61</v>
      </c>
      <c r="AM2632" s="7" t="s">
        <v>0</v>
      </c>
      <c r="AN2632" s="7" t="s">
        <v>0</v>
      </c>
      <c r="AO2632" s="7" t="s">
        <v>0</v>
      </c>
      <c r="AP2632" s="7" t="s">
        <v>0</v>
      </c>
      <c r="AQ2632" s="7" t="s">
        <v>61</v>
      </c>
      <c r="AR2632" s="7" t="s">
        <v>0</v>
      </c>
      <c r="AS2632" s="10" t="str">
        <f>HYPERLINK("https://tessa.gazprom-neft.local/edo/card/da62f21b-d791-4e9b-a444-ea8c4ef3521f", "https://tessa.gazprom-neft.local/edo/card/da62f21b-d791-4e9b-a444-ea8c4ef3521f")</f>
        <v>https://tessa.gazprom-neft.local/edo/card/da62f21b-d791-4e9b-a444-ea8c4ef3521f</v>
      </c>
    </row>
    <row r="2633" spans="1:45" hidden="1" x14ac:dyDescent="0.25">
      <c r="A2633" s="6" t="s">
        <v>44</v>
      </c>
      <c r="B2633" s="7" t="s">
        <v>1909</v>
      </c>
      <c r="C2633" s="7" t="s">
        <v>67</v>
      </c>
      <c r="D2633" s="7"/>
      <c r="E2633" s="7"/>
      <c r="F2633" s="16" t="s">
        <v>1910</v>
      </c>
      <c r="G2633" s="7" t="s">
        <v>1911</v>
      </c>
      <c r="H2633" s="7" t="s">
        <v>8688</v>
      </c>
      <c r="I2633" s="7" t="s">
        <v>0</v>
      </c>
      <c r="J2633" s="7" t="s">
        <v>70</v>
      </c>
      <c r="K2633" s="7" t="s">
        <v>47</v>
      </c>
      <c r="L2633" s="7" t="s">
        <v>239</v>
      </c>
      <c r="M2633" s="7" t="s">
        <v>0</v>
      </c>
      <c r="N2633" s="7" t="s">
        <v>9744</v>
      </c>
      <c r="O2633" s="7" t="s">
        <v>0</v>
      </c>
      <c r="P2633" s="7" t="s">
        <v>9745</v>
      </c>
      <c r="Q2633" s="7" t="s">
        <v>9746</v>
      </c>
      <c r="R2633" s="7" t="s">
        <v>220</v>
      </c>
      <c r="S2633" s="7" t="s">
        <v>1261</v>
      </c>
      <c r="T2633" s="7" t="s">
        <v>54</v>
      </c>
      <c r="U2633" s="7" t="s">
        <v>222</v>
      </c>
      <c r="V2633" s="7" t="s">
        <v>382</v>
      </c>
      <c r="W2633" s="7" t="s">
        <v>74</v>
      </c>
      <c r="X2633" s="7" t="s">
        <v>58</v>
      </c>
      <c r="Y2633" s="7"/>
      <c r="Z2633" s="7"/>
      <c r="AA2633" s="7" t="s">
        <v>383</v>
      </c>
      <c r="AB2633" s="7" t="s">
        <v>387</v>
      </c>
      <c r="AC2633" s="7" t="s">
        <v>79</v>
      </c>
      <c r="AD2633" s="7" t="s">
        <v>80</v>
      </c>
      <c r="AE2633" s="7" t="s">
        <v>82</v>
      </c>
      <c r="AF2633" s="7" t="s">
        <v>0</v>
      </c>
      <c r="AG2633" s="7" t="s">
        <v>0</v>
      </c>
      <c r="AH2633" s="9" t="s">
        <v>14055</v>
      </c>
      <c r="AI2633" s="9" t="s">
        <v>14056</v>
      </c>
      <c r="AJ2633" s="9" t="s">
        <v>14057</v>
      </c>
      <c r="AK2633" s="7" t="s">
        <v>61</v>
      </c>
      <c r="AL2633" s="7" t="s">
        <v>61</v>
      </c>
      <c r="AM2633" s="7" t="s">
        <v>0</v>
      </c>
      <c r="AN2633" s="7" t="s">
        <v>0</v>
      </c>
      <c r="AO2633" s="7" t="s">
        <v>0</v>
      </c>
      <c r="AP2633" s="7" t="s">
        <v>0</v>
      </c>
      <c r="AQ2633" s="7" t="s">
        <v>61</v>
      </c>
      <c r="AR2633" s="7" t="s">
        <v>0</v>
      </c>
      <c r="AS2633" s="10" t="str">
        <f>HYPERLINK("https://tessa.gazprom-neft.local/edo/card/755d8f5a-f9ff-458f-ab42-b1557c6ba01b", "https://tessa.gazprom-neft.local/edo/card/755d8f5a-f9ff-458f-ab42-b1557c6ba01b")</f>
        <v>https://tessa.gazprom-neft.local/edo/card/755d8f5a-f9ff-458f-ab42-b1557c6ba01b</v>
      </c>
    </row>
    <row r="2634" spans="1:45" hidden="1" x14ac:dyDescent="0.25">
      <c r="A2634" s="6" t="s">
        <v>44</v>
      </c>
      <c r="B2634" s="7" t="s">
        <v>1909</v>
      </c>
      <c r="C2634" s="7" t="s">
        <v>67</v>
      </c>
      <c r="D2634" s="7"/>
      <c r="E2634" s="7"/>
      <c r="F2634" s="16" t="s">
        <v>1910</v>
      </c>
      <c r="G2634" s="7" t="s">
        <v>1911</v>
      </c>
      <c r="H2634" s="7" t="s">
        <v>8688</v>
      </c>
      <c r="I2634" s="7" t="s">
        <v>0</v>
      </c>
      <c r="J2634" s="7" t="s">
        <v>955</v>
      </c>
      <c r="K2634" s="7" t="s">
        <v>47</v>
      </c>
      <c r="L2634" s="7" t="s">
        <v>239</v>
      </c>
      <c r="M2634" s="7" t="s">
        <v>0</v>
      </c>
      <c r="N2634" s="7" t="s">
        <v>9747</v>
      </c>
      <c r="O2634" s="7" t="s">
        <v>0</v>
      </c>
      <c r="P2634" s="7" t="s">
        <v>9748</v>
      </c>
      <c r="Q2634" s="7" t="s">
        <v>9749</v>
      </c>
      <c r="R2634" s="7" t="s">
        <v>220</v>
      </c>
      <c r="S2634" s="7" t="s">
        <v>1261</v>
      </c>
      <c r="T2634" s="7" t="s">
        <v>54</v>
      </c>
      <c r="U2634" s="7" t="s">
        <v>222</v>
      </c>
      <c r="V2634" s="7" t="s">
        <v>382</v>
      </c>
      <c r="W2634" s="7" t="s">
        <v>74</v>
      </c>
      <c r="X2634" s="7" t="s">
        <v>103</v>
      </c>
      <c r="Y2634" s="7"/>
      <c r="Z2634" s="7"/>
      <c r="AA2634" s="7" t="s">
        <v>383</v>
      </c>
      <c r="AB2634" s="7" t="s">
        <v>387</v>
      </c>
      <c r="AC2634" s="7" t="s">
        <v>79</v>
      </c>
      <c r="AD2634" s="7" t="s">
        <v>80</v>
      </c>
      <c r="AE2634" s="7" t="s">
        <v>82</v>
      </c>
      <c r="AF2634" s="7" t="s">
        <v>0</v>
      </c>
      <c r="AG2634" s="7" t="s">
        <v>0</v>
      </c>
      <c r="AH2634" s="9" t="s">
        <v>14058</v>
      </c>
      <c r="AI2634" s="9" t="s">
        <v>14059</v>
      </c>
      <c r="AJ2634" s="9" t="s">
        <v>14060</v>
      </c>
      <c r="AK2634" s="7" t="s">
        <v>61</v>
      </c>
      <c r="AL2634" s="7" t="s">
        <v>61</v>
      </c>
      <c r="AM2634" s="7" t="s">
        <v>0</v>
      </c>
      <c r="AN2634" s="7" t="s">
        <v>0</v>
      </c>
      <c r="AO2634" s="7" t="s">
        <v>0</v>
      </c>
      <c r="AP2634" s="7" t="s">
        <v>0</v>
      </c>
      <c r="AQ2634" s="7" t="s">
        <v>61</v>
      </c>
      <c r="AR2634" s="7" t="s">
        <v>0</v>
      </c>
      <c r="AS2634" s="10" t="str">
        <f>HYPERLINK("https://tessa.gazprom-neft.local/edo/card/44d7d513-7bbb-4a22-b23b-6c00ee5bd045", "https://tessa.gazprom-neft.local/edo/card/44d7d513-7bbb-4a22-b23b-6c00ee5bd045")</f>
        <v>https://tessa.gazprom-neft.local/edo/card/44d7d513-7bbb-4a22-b23b-6c00ee5bd045</v>
      </c>
    </row>
    <row r="2635" spans="1:45" x14ac:dyDescent="0.25">
      <c r="A2635" s="6" t="s">
        <v>44</v>
      </c>
      <c r="B2635" s="7" t="s">
        <v>363</v>
      </c>
      <c r="C2635" s="7" t="s">
        <v>67</v>
      </c>
      <c r="D2635" s="7"/>
      <c r="E2635" s="7"/>
      <c r="F2635" s="16" t="s">
        <v>364</v>
      </c>
      <c r="G2635" s="7" t="s">
        <v>365</v>
      </c>
      <c r="H2635" s="7" t="s">
        <v>502</v>
      </c>
      <c r="I2635" s="7" t="s">
        <v>0</v>
      </c>
      <c r="J2635" s="7" t="s">
        <v>51</v>
      </c>
      <c r="K2635" s="7" t="s">
        <v>47</v>
      </c>
      <c r="L2635" s="7" t="s">
        <v>48</v>
      </c>
      <c r="M2635" s="7" t="s">
        <v>0</v>
      </c>
      <c r="N2635" s="7" t="s">
        <v>9750</v>
      </c>
      <c r="O2635" s="7" t="s">
        <v>0</v>
      </c>
      <c r="P2635" s="7" t="s">
        <v>9751</v>
      </c>
      <c r="Q2635" s="7" t="s">
        <v>9752</v>
      </c>
      <c r="R2635" s="7" t="s">
        <v>282</v>
      </c>
      <c r="S2635" s="7" t="s">
        <v>0</v>
      </c>
      <c r="T2635" s="7" t="s">
        <v>54</v>
      </c>
      <c r="U2635" s="7" t="s">
        <v>55</v>
      </c>
      <c r="V2635" s="7" t="s">
        <v>917</v>
      </c>
      <c r="W2635" s="7" t="s">
        <v>74</v>
      </c>
      <c r="X2635" s="7" t="s">
        <v>103</v>
      </c>
      <c r="Y2635" s="7"/>
      <c r="Z2635" s="7"/>
      <c r="AA2635" s="7" t="s">
        <v>1278</v>
      </c>
      <c r="AB2635" s="7" t="s">
        <v>507</v>
      </c>
      <c r="AC2635" s="7" t="s">
        <v>65</v>
      </c>
      <c r="AD2635" s="7" t="s">
        <v>80</v>
      </c>
      <c r="AE2635" s="7" t="s">
        <v>0</v>
      </c>
      <c r="AF2635" s="7" t="s">
        <v>0</v>
      </c>
      <c r="AG2635" s="7" t="s">
        <v>0</v>
      </c>
      <c r="AH2635" s="9" t="s">
        <v>0</v>
      </c>
      <c r="AI2635" s="9" t="s">
        <v>0</v>
      </c>
      <c r="AJ2635" s="9" t="s">
        <v>0</v>
      </c>
      <c r="AK2635" s="7" t="s">
        <v>61</v>
      </c>
      <c r="AL2635" s="7" t="s">
        <v>61</v>
      </c>
      <c r="AM2635" s="7" t="s">
        <v>0</v>
      </c>
      <c r="AN2635" s="7" t="s">
        <v>0</v>
      </c>
      <c r="AO2635" s="7" t="s">
        <v>0</v>
      </c>
      <c r="AP2635" s="7" t="s">
        <v>0</v>
      </c>
      <c r="AQ2635" s="7" t="s">
        <v>61</v>
      </c>
      <c r="AR2635" s="7" t="s">
        <v>0</v>
      </c>
      <c r="AS2635" s="10" t="str">
        <f>HYPERLINK("https://tessa.gazprom-neft.local/edo/card/1bd6c81e-ae39-48d6-bf30-4adb5b53493e", "https://tessa.gazprom-neft.local/edo/card/1bd6c81e-ae39-48d6-bf30-4adb5b53493e")</f>
        <v>https://tessa.gazprom-neft.local/edo/card/1bd6c81e-ae39-48d6-bf30-4adb5b53493e</v>
      </c>
    </row>
    <row r="2636" spans="1:45" hidden="1" x14ac:dyDescent="0.25">
      <c r="A2636" s="6" t="s">
        <v>44</v>
      </c>
      <c r="B2636" s="7" t="s">
        <v>1909</v>
      </c>
      <c r="C2636" s="7" t="s">
        <v>67</v>
      </c>
      <c r="D2636" s="7"/>
      <c r="E2636" s="7"/>
      <c r="F2636" s="16" t="s">
        <v>1910</v>
      </c>
      <c r="G2636" s="7" t="s">
        <v>1911</v>
      </c>
      <c r="H2636" s="7" t="s">
        <v>0</v>
      </c>
      <c r="I2636" s="7" t="s">
        <v>9754</v>
      </c>
      <c r="J2636" s="7" t="s">
        <v>9754</v>
      </c>
      <c r="K2636" s="7" t="s">
        <v>85</v>
      </c>
      <c r="L2636" s="7" t="s">
        <v>86</v>
      </c>
      <c r="M2636" s="7" t="s">
        <v>216</v>
      </c>
      <c r="N2636" s="7" t="s">
        <v>9753</v>
      </c>
      <c r="O2636" s="7" t="s">
        <v>0</v>
      </c>
      <c r="P2636" s="7" t="s">
        <v>216</v>
      </c>
      <c r="Q2636" s="7" t="s">
        <v>219</v>
      </c>
      <c r="R2636" s="7" t="s">
        <v>220</v>
      </c>
      <c r="S2636" s="7" t="s">
        <v>1261</v>
      </c>
      <c r="T2636" s="7" t="s">
        <v>54</v>
      </c>
      <c r="U2636" s="7" t="s">
        <v>222</v>
      </c>
      <c r="V2636" s="7" t="s">
        <v>126</v>
      </c>
      <c r="W2636" s="7" t="s">
        <v>74</v>
      </c>
      <c r="X2636" s="7" t="s">
        <v>223</v>
      </c>
      <c r="Y2636" s="7"/>
      <c r="Z2636" s="7"/>
      <c r="AA2636" s="7" t="s">
        <v>224</v>
      </c>
      <c r="AB2636" s="7" t="s">
        <v>228</v>
      </c>
      <c r="AC2636" s="7" t="s">
        <v>65</v>
      </c>
      <c r="AD2636" s="7" t="s">
        <v>0</v>
      </c>
      <c r="AE2636" s="7" t="s">
        <v>0</v>
      </c>
      <c r="AF2636" s="7" t="s">
        <v>0</v>
      </c>
      <c r="AG2636" s="7" t="s">
        <v>0</v>
      </c>
      <c r="AH2636" s="9" t="s">
        <v>0</v>
      </c>
      <c r="AI2636" s="9" t="s">
        <v>0</v>
      </c>
      <c r="AJ2636" s="9" t="s">
        <v>0</v>
      </c>
      <c r="AK2636" s="7" t="s">
        <v>61</v>
      </c>
      <c r="AL2636" s="7" t="s">
        <v>61</v>
      </c>
      <c r="AM2636" s="7" t="s">
        <v>0</v>
      </c>
      <c r="AN2636" s="7" t="s">
        <v>0</v>
      </c>
      <c r="AO2636" s="7" t="s">
        <v>0</v>
      </c>
      <c r="AP2636" s="7" t="s">
        <v>0</v>
      </c>
      <c r="AQ2636" s="7" t="s">
        <v>61</v>
      </c>
      <c r="AR2636" s="7" t="s">
        <v>0</v>
      </c>
      <c r="AS2636" s="10" t="str">
        <f>HYPERLINK("https://tessa.gazprom-neft.local/edo/card/43536dd5-dc08-4563-b15a-7ae2bd5cd163", "https://tessa.gazprom-neft.local/edo/card/43536dd5-dc08-4563-b15a-7ae2bd5cd163")</f>
        <v>https://tessa.gazprom-neft.local/edo/card/43536dd5-dc08-4563-b15a-7ae2bd5cd163</v>
      </c>
    </row>
    <row r="2637" spans="1:45" hidden="1" x14ac:dyDescent="0.25">
      <c r="A2637" s="6" t="s">
        <v>44</v>
      </c>
      <c r="B2637" s="7" t="s">
        <v>0</v>
      </c>
      <c r="C2637" s="7" t="s">
        <v>46</v>
      </c>
      <c r="D2637" s="7"/>
      <c r="E2637" s="7"/>
      <c r="F2637" s="16" t="s">
        <v>9576</v>
      </c>
      <c r="G2637" s="7" t="s">
        <v>0</v>
      </c>
      <c r="H2637" s="7" t="s">
        <v>0</v>
      </c>
      <c r="I2637" s="7" t="s">
        <v>9756</v>
      </c>
      <c r="J2637" s="7" t="s">
        <v>9756</v>
      </c>
      <c r="K2637" s="7" t="s">
        <v>85</v>
      </c>
      <c r="L2637" s="7" t="s">
        <v>86</v>
      </c>
      <c r="M2637" s="7" t="s">
        <v>523</v>
      </c>
      <c r="N2637" s="7" t="s">
        <v>9755</v>
      </c>
      <c r="O2637" s="7" t="s">
        <v>0</v>
      </c>
      <c r="P2637" s="7" t="s">
        <v>523</v>
      </c>
      <c r="Q2637" s="7" t="s">
        <v>9757</v>
      </c>
      <c r="R2637" s="7" t="s">
        <v>477</v>
      </c>
      <c r="S2637" s="7" t="s">
        <v>477</v>
      </c>
      <c r="T2637" s="7" t="s">
        <v>54</v>
      </c>
      <c r="U2637" s="7" t="s">
        <v>478</v>
      </c>
      <c r="V2637" s="7" t="s">
        <v>91</v>
      </c>
      <c r="W2637" s="7" t="s">
        <v>57</v>
      </c>
      <c r="X2637" s="7" t="s">
        <v>103</v>
      </c>
      <c r="Y2637" s="7"/>
      <c r="Z2637" s="7"/>
      <c r="AA2637" s="7" t="s">
        <v>92</v>
      </c>
      <c r="AB2637" s="7" t="s">
        <v>94</v>
      </c>
      <c r="AC2637" s="7" t="s">
        <v>65</v>
      </c>
      <c r="AD2637" s="7" t="s">
        <v>0</v>
      </c>
      <c r="AE2637" s="7" t="s">
        <v>0</v>
      </c>
      <c r="AF2637" s="7" t="s">
        <v>0</v>
      </c>
      <c r="AG2637" s="7" t="s">
        <v>0</v>
      </c>
      <c r="AH2637" s="9" t="s">
        <v>0</v>
      </c>
      <c r="AI2637" s="9" t="s">
        <v>0</v>
      </c>
      <c r="AJ2637" s="9" t="s">
        <v>0</v>
      </c>
      <c r="AK2637" s="7" t="s">
        <v>61</v>
      </c>
      <c r="AL2637" s="7" t="s">
        <v>61</v>
      </c>
      <c r="AM2637" s="7" t="s">
        <v>0</v>
      </c>
      <c r="AN2637" s="7" t="s">
        <v>0</v>
      </c>
      <c r="AO2637" s="7" t="s">
        <v>0</v>
      </c>
      <c r="AP2637" s="7" t="s">
        <v>0</v>
      </c>
      <c r="AQ2637" s="7" t="s">
        <v>61</v>
      </c>
      <c r="AR2637" s="7" t="s">
        <v>0</v>
      </c>
      <c r="AS2637" s="10" t="str">
        <f>HYPERLINK("https://tessa.gazprom-neft.local/edo/card/044c9f6f-5c0a-4050-a01f-897af4339a89", "https://tessa.gazprom-neft.local/edo/card/044c9f6f-5c0a-4050-a01f-897af4339a89")</f>
        <v>https://tessa.gazprom-neft.local/edo/card/044c9f6f-5c0a-4050-a01f-897af4339a89</v>
      </c>
    </row>
    <row r="2638" spans="1:45" hidden="1" x14ac:dyDescent="0.25">
      <c r="A2638" s="6" t="s">
        <v>44</v>
      </c>
      <c r="B2638" s="7" t="s">
        <v>9761</v>
      </c>
      <c r="C2638" s="7" t="s">
        <v>67</v>
      </c>
      <c r="D2638" s="7"/>
      <c r="E2638" s="7"/>
      <c r="F2638" s="16" t="s">
        <v>7424</v>
      </c>
      <c r="G2638" s="7" t="s">
        <v>9762</v>
      </c>
      <c r="H2638" s="7" t="s">
        <v>0</v>
      </c>
      <c r="I2638" s="7" t="s">
        <v>9759</v>
      </c>
      <c r="J2638" s="7" t="s">
        <v>9759</v>
      </c>
      <c r="K2638" s="7" t="s">
        <v>47</v>
      </c>
      <c r="L2638" s="7" t="s">
        <v>86</v>
      </c>
      <c r="M2638" s="7" t="s">
        <v>0</v>
      </c>
      <c r="N2638" s="7" t="s">
        <v>9758</v>
      </c>
      <c r="O2638" s="7" t="s">
        <v>0</v>
      </c>
      <c r="P2638" s="7" t="s">
        <v>7949</v>
      </c>
      <c r="Q2638" s="7" t="s">
        <v>9760</v>
      </c>
      <c r="R2638" s="7" t="s">
        <v>938</v>
      </c>
      <c r="S2638" s="7" t="s">
        <v>938</v>
      </c>
      <c r="T2638" s="7" t="s">
        <v>54</v>
      </c>
      <c r="U2638" s="7" t="s">
        <v>605</v>
      </c>
      <c r="V2638" s="7" t="s">
        <v>126</v>
      </c>
      <c r="W2638" s="7" t="s">
        <v>74</v>
      </c>
      <c r="X2638" s="7" t="s">
        <v>103</v>
      </c>
      <c r="Y2638" s="7"/>
      <c r="Z2638" s="7"/>
      <c r="AA2638" s="7" t="s">
        <v>224</v>
      </c>
      <c r="AB2638" s="7" t="s">
        <v>3666</v>
      </c>
      <c r="AC2638" s="7" t="s">
        <v>79</v>
      </c>
      <c r="AD2638" s="7" t="s">
        <v>80</v>
      </c>
      <c r="AE2638" s="7" t="s">
        <v>889</v>
      </c>
      <c r="AF2638" s="7" t="s">
        <v>0</v>
      </c>
      <c r="AG2638" s="7" t="s">
        <v>0</v>
      </c>
      <c r="AH2638" s="9" t="s">
        <v>14061</v>
      </c>
      <c r="AI2638" s="9" t="s">
        <v>14061</v>
      </c>
      <c r="AJ2638" s="9">
        <v>0</v>
      </c>
      <c r="AK2638" s="7" t="s">
        <v>61</v>
      </c>
      <c r="AL2638" s="7" t="s">
        <v>61</v>
      </c>
      <c r="AM2638" s="7" t="s">
        <v>0</v>
      </c>
      <c r="AN2638" s="7" t="s">
        <v>0</v>
      </c>
      <c r="AO2638" s="7" t="s">
        <v>0</v>
      </c>
      <c r="AP2638" s="7" t="s">
        <v>0</v>
      </c>
      <c r="AQ2638" s="7" t="s">
        <v>61</v>
      </c>
      <c r="AR2638" s="7" t="s">
        <v>0</v>
      </c>
      <c r="AS2638" s="10" t="str">
        <f>HYPERLINK("https://tessa.gazprom-neft.local/edo/card/7a9d0d2a-2450-442a-9096-de1c4f9333f1", "https://tessa.gazprom-neft.local/edo/card/7a9d0d2a-2450-442a-9096-de1c4f9333f1")</f>
        <v>https://tessa.gazprom-neft.local/edo/card/7a9d0d2a-2450-442a-9096-de1c4f9333f1</v>
      </c>
    </row>
    <row r="2639" spans="1:45" hidden="1" x14ac:dyDescent="0.25">
      <c r="A2639" s="6" t="s">
        <v>44</v>
      </c>
      <c r="B2639" s="7" t="s">
        <v>9767</v>
      </c>
      <c r="C2639" s="7" t="s">
        <v>46</v>
      </c>
      <c r="D2639" s="7"/>
      <c r="E2639" s="7"/>
      <c r="F2639" s="16" t="s">
        <v>9768</v>
      </c>
      <c r="G2639" s="7" t="s">
        <v>9769</v>
      </c>
      <c r="H2639" s="7" t="s">
        <v>0</v>
      </c>
      <c r="I2639" s="7" t="s">
        <v>9764</v>
      </c>
      <c r="J2639" s="7" t="s">
        <v>9764</v>
      </c>
      <c r="K2639" s="7" t="s">
        <v>47</v>
      </c>
      <c r="L2639" s="7" t="s">
        <v>86</v>
      </c>
      <c r="M2639" s="7" t="s">
        <v>0</v>
      </c>
      <c r="N2639" s="7" t="s">
        <v>9763</v>
      </c>
      <c r="O2639" s="7" t="s">
        <v>0</v>
      </c>
      <c r="P2639" s="7" t="s">
        <v>9765</v>
      </c>
      <c r="Q2639" s="7" t="s">
        <v>9766</v>
      </c>
      <c r="R2639" s="7" t="s">
        <v>2178</v>
      </c>
      <c r="S2639" s="7" t="s">
        <v>2178</v>
      </c>
      <c r="T2639" s="7" t="s">
        <v>54</v>
      </c>
      <c r="U2639" s="7" t="s">
        <v>605</v>
      </c>
      <c r="V2639" s="7" t="s">
        <v>126</v>
      </c>
      <c r="W2639" s="7" t="s">
        <v>57</v>
      </c>
      <c r="X2639" s="7" t="s">
        <v>58</v>
      </c>
      <c r="Y2639" s="7"/>
      <c r="Z2639" s="7"/>
      <c r="AA2639" s="7" t="s">
        <v>224</v>
      </c>
      <c r="AB2639" s="7" t="s">
        <v>1419</v>
      </c>
      <c r="AC2639" s="7" t="s">
        <v>79</v>
      </c>
      <c r="AD2639" s="7" t="s">
        <v>80</v>
      </c>
      <c r="AE2639" s="7" t="s">
        <v>118</v>
      </c>
      <c r="AF2639" s="7" t="s">
        <v>0</v>
      </c>
      <c r="AG2639" s="7" t="s">
        <v>0</v>
      </c>
      <c r="AH2639" s="9" t="s">
        <v>14062</v>
      </c>
      <c r="AI2639" s="9" t="s">
        <v>14062</v>
      </c>
      <c r="AJ2639" s="9">
        <v>0</v>
      </c>
      <c r="AK2639" s="7" t="s">
        <v>61</v>
      </c>
      <c r="AL2639" s="7" t="s">
        <v>61</v>
      </c>
      <c r="AM2639" s="7" t="s">
        <v>0</v>
      </c>
      <c r="AN2639" s="7" t="s">
        <v>0</v>
      </c>
      <c r="AO2639" s="7" t="s">
        <v>0</v>
      </c>
      <c r="AP2639" s="7" t="s">
        <v>0</v>
      </c>
      <c r="AQ2639" s="7" t="s">
        <v>61</v>
      </c>
      <c r="AR2639" s="7" t="s">
        <v>0</v>
      </c>
      <c r="AS2639" s="10" t="str">
        <f>HYPERLINK("https://tessa.gazprom-neft.local/edo/card/a3e785da-7050-457b-99ce-8ae4bba41d60", "https://tessa.gazprom-neft.local/edo/card/a3e785da-7050-457b-99ce-8ae4bba41d60")</f>
        <v>https://tessa.gazprom-neft.local/edo/card/a3e785da-7050-457b-99ce-8ae4bba41d60</v>
      </c>
    </row>
    <row r="2640" spans="1:45" x14ac:dyDescent="0.25">
      <c r="A2640" s="6" t="s">
        <v>44</v>
      </c>
      <c r="B2640" s="7" t="s">
        <v>1240</v>
      </c>
      <c r="C2640" s="7" t="s">
        <v>67</v>
      </c>
      <c r="D2640" s="7"/>
      <c r="E2640" s="7"/>
      <c r="F2640" s="16" t="s">
        <v>1241</v>
      </c>
      <c r="G2640" s="7" t="s">
        <v>1242</v>
      </c>
      <c r="H2640" s="7" t="s">
        <v>3083</v>
      </c>
      <c r="I2640" s="7" t="s">
        <v>0</v>
      </c>
      <c r="J2640" s="7" t="s">
        <v>156</v>
      </c>
      <c r="K2640" s="7" t="s">
        <v>47</v>
      </c>
      <c r="L2640" s="7" t="s">
        <v>48</v>
      </c>
      <c r="M2640" s="7" t="s">
        <v>0</v>
      </c>
      <c r="N2640" s="7" t="s">
        <v>9770</v>
      </c>
      <c r="O2640" s="7" t="s">
        <v>0</v>
      </c>
      <c r="P2640" s="7" t="s">
        <v>9771</v>
      </c>
      <c r="Q2640" s="7" t="s">
        <v>9772</v>
      </c>
      <c r="R2640" s="7" t="s">
        <v>393</v>
      </c>
      <c r="S2640" s="7" t="s">
        <v>1261</v>
      </c>
      <c r="T2640" s="7" t="s">
        <v>54</v>
      </c>
      <c r="U2640" s="7" t="s">
        <v>222</v>
      </c>
      <c r="V2640" s="7" t="s">
        <v>126</v>
      </c>
      <c r="W2640" s="7" t="s">
        <v>74</v>
      </c>
      <c r="X2640" s="7" t="s">
        <v>58</v>
      </c>
      <c r="Y2640" s="7"/>
      <c r="Z2640" s="7"/>
      <c r="AA2640" s="7" t="s">
        <v>224</v>
      </c>
      <c r="AB2640" s="7" t="s">
        <v>1243</v>
      </c>
      <c r="AC2640" s="7" t="s">
        <v>65</v>
      </c>
      <c r="AD2640" s="7" t="s">
        <v>144</v>
      </c>
      <c r="AE2640" s="7" t="s">
        <v>0</v>
      </c>
      <c r="AF2640" s="7" t="s">
        <v>0</v>
      </c>
      <c r="AG2640" s="7" t="s">
        <v>0</v>
      </c>
      <c r="AH2640" s="9" t="s">
        <v>0</v>
      </c>
      <c r="AI2640" s="9" t="s">
        <v>0</v>
      </c>
      <c r="AJ2640" s="9" t="s">
        <v>0</v>
      </c>
      <c r="AK2640" s="7" t="s">
        <v>61</v>
      </c>
      <c r="AL2640" s="7" t="s">
        <v>61</v>
      </c>
      <c r="AM2640" s="7" t="s">
        <v>0</v>
      </c>
      <c r="AN2640" s="7" t="s">
        <v>0</v>
      </c>
      <c r="AO2640" s="7" t="s">
        <v>0</v>
      </c>
      <c r="AP2640" s="7" t="s">
        <v>0</v>
      </c>
      <c r="AQ2640" s="7" t="s">
        <v>61</v>
      </c>
      <c r="AR2640" s="7" t="s">
        <v>0</v>
      </c>
      <c r="AS2640" s="10" t="str">
        <f>HYPERLINK("https://tessa.gazprom-neft.local/edo/card/2bf97c28-6c86-410d-b8b6-a320f7c7d877", "https://tessa.gazprom-neft.local/edo/card/2bf97c28-6c86-410d-b8b6-a320f7c7d877")</f>
        <v>https://tessa.gazprom-neft.local/edo/card/2bf97c28-6c86-410d-b8b6-a320f7c7d877</v>
      </c>
    </row>
    <row r="2641" spans="1:45" hidden="1" x14ac:dyDescent="0.25">
      <c r="A2641" s="6" t="s">
        <v>44</v>
      </c>
      <c r="B2641" s="7" t="s">
        <v>550</v>
      </c>
      <c r="C2641" s="7" t="s">
        <v>67</v>
      </c>
      <c r="D2641" s="7"/>
      <c r="E2641" s="7"/>
      <c r="F2641" s="16" t="s">
        <v>551</v>
      </c>
      <c r="G2641" s="7" t="s">
        <v>552</v>
      </c>
      <c r="H2641" s="7" t="s">
        <v>0</v>
      </c>
      <c r="I2641" s="7" t="s">
        <v>2390</v>
      </c>
      <c r="J2641" s="7" t="s">
        <v>2390</v>
      </c>
      <c r="K2641" s="7" t="s">
        <v>47</v>
      </c>
      <c r="L2641" s="7" t="s">
        <v>96</v>
      </c>
      <c r="M2641" s="7" t="s">
        <v>0</v>
      </c>
      <c r="N2641" s="7" t="s">
        <v>9773</v>
      </c>
      <c r="O2641" s="7" t="s">
        <v>0</v>
      </c>
      <c r="P2641" s="7" t="s">
        <v>9774</v>
      </c>
      <c r="Q2641" s="7" t="s">
        <v>9775</v>
      </c>
      <c r="R2641" s="7" t="s">
        <v>513</v>
      </c>
      <c r="S2641" s="7" t="s">
        <v>513</v>
      </c>
      <c r="T2641" s="7" t="s">
        <v>54</v>
      </c>
      <c r="U2641" s="7" t="s">
        <v>303</v>
      </c>
      <c r="V2641" s="7" t="s">
        <v>91</v>
      </c>
      <c r="W2641" s="7" t="s">
        <v>74</v>
      </c>
      <c r="X2641" s="7" t="s">
        <v>103</v>
      </c>
      <c r="Y2641" s="7"/>
      <c r="Z2641" s="7"/>
      <c r="AA2641" s="7" t="s">
        <v>92</v>
      </c>
      <c r="AB2641" s="7" t="s">
        <v>130</v>
      </c>
      <c r="AC2641" s="7" t="s">
        <v>79</v>
      </c>
      <c r="AD2641" s="7" t="s">
        <v>80</v>
      </c>
      <c r="AE2641" s="7" t="s">
        <v>82</v>
      </c>
      <c r="AF2641" s="7" t="s">
        <v>0</v>
      </c>
      <c r="AG2641" s="7" t="s">
        <v>0</v>
      </c>
      <c r="AH2641" s="9" t="s">
        <v>11332</v>
      </c>
      <c r="AI2641" s="9" t="s">
        <v>11333</v>
      </c>
      <c r="AJ2641" s="9" t="s">
        <v>11334</v>
      </c>
      <c r="AK2641" s="7" t="s">
        <v>61</v>
      </c>
      <c r="AL2641" s="7" t="s">
        <v>61</v>
      </c>
      <c r="AM2641" s="7" t="s">
        <v>0</v>
      </c>
      <c r="AN2641" s="7" t="s">
        <v>0</v>
      </c>
      <c r="AO2641" s="7" t="s">
        <v>0</v>
      </c>
      <c r="AP2641" s="7" t="s">
        <v>0</v>
      </c>
      <c r="AQ2641" s="7" t="s">
        <v>61</v>
      </c>
      <c r="AR2641" s="7" t="s">
        <v>0</v>
      </c>
      <c r="AS2641" s="10" t="str">
        <f>HYPERLINK("https://tessa.gazprom-neft.local/edo/card/77d54ddd-9ef5-4604-afae-6a4582879ed6", "https://tessa.gazprom-neft.local/edo/card/77d54ddd-9ef5-4604-afae-6a4582879ed6")</f>
        <v>https://tessa.gazprom-neft.local/edo/card/77d54ddd-9ef5-4604-afae-6a4582879ed6</v>
      </c>
    </row>
    <row r="2642" spans="1:45" x14ac:dyDescent="0.25">
      <c r="A2642" s="6" t="s">
        <v>44</v>
      </c>
      <c r="B2642" s="7" t="s">
        <v>75</v>
      </c>
      <c r="C2642" s="7" t="s">
        <v>67</v>
      </c>
      <c r="D2642" s="7"/>
      <c r="E2642" s="7"/>
      <c r="F2642" s="16" t="s">
        <v>76</v>
      </c>
      <c r="G2642" s="7" t="s">
        <v>77</v>
      </c>
      <c r="H2642" s="7" t="s">
        <v>68</v>
      </c>
      <c r="I2642" s="7" t="s">
        <v>0</v>
      </c>
      <c r="J2642" s="7" t="s">
        <v>355</v>
      </c>
      <c r="K2642" s="7" t="s">
        <v>47</v>
      </c>
      <c r="L2642" s="7" t="s">
        <v>48</v>
      </c>
      <c r="M2642" s="7" t="s">
        <v>0</v>
      </c>
      <c r="N2642" s="7" t="s">
        <v>9776</v>
      </c>
      <c r="O2642" s="7" t="s">
        <v>0</v>
      </c>
      <c r="P2642" s="7" t="s">
        <v>69</v>
      </c>
      <c r="Q2642" s="7" t="s">
        <v>71</v>
      </c>
      <c r="R2642" s="7" t="s">
        <v>72</v>
      </c>
      <c r="S2642" s="7" t="s">
        <v>0</v>
      </c>
      <c r="T2642" s="7" t="s">
        <v>54</v>
      </c>
      <c r="U2642" s="7" t="s">
        <v>73</v>
      </c>
      <c r="V2642" s="7" t="s">
        <v>56</v>
      </c>
      <c r="W2642" s="7" t="s">
        <v>74</v>
      </c>
      <c r="X2642" s="7" t="s">
        <v>58</v>
      </c>
      <c r="Y2642" s="7"/>
      <c r="Z2642" s="7"/>
      <c r="AA2642" s="7" t="s">
        <v>59</v>
      </c>
      <c r="AB2642" s="7" t="s">
        <v>78</v>
      </c>
      <c r="AC2642" s="7" t="s">
        <v>79</v>
      </c>
      <c r="AD2642" s="7" t="s">
        <v>80</v>
      </c>
      <c r="AE2642" s="7" t="s">
        <v>82</v>
      </c>
      <c r="AF2642" s="7" t="s">
        <v>0</v>
      </c>
      <c r="AG2642" s="7" t="s">
        <v>9777</v>
      </c>
      <c r="AH2642" s="9" t="s">
        <v>13612</v>
      </c>
      <c r="AI2642" s="9" t="s">
        <v>10692</v>
      </c>
      <c r="AJ2642" s="9" t="s">
        <v>10693</v>
      </c>
      <c r="AK2642" s="7" t="s">
        <v>81</v>
      </c>
      <c r="AL2642" s="7" t="s">
        <v>61</v>
      </c>
      <c r="AM2642" s="7" t="s">
        <v>0</v>
      </c>
      <c r="AN2642" s="7" t="s">
        <v>0</v>
      </c>
      <c r="AO2642" s="7" t="s">
        <v>0</v>
      </c>
      <c r="AP2642" s="7" t="s">
        <v>0</v>
      </c>
      <c r="AQ2642" s="7" t="s">
        <v>61</v>
      </c>
      <c r="AR2642" s="7" t="s">
        <v>0</v>
      </c>
      <c r="AS2642" s="10" t="str">
        <f>HYPERLINK("https://tessa.gazprom-neft.local/edo/card/4a163990-1928-4b52-8f42-50225ec3f78d", "https://tessa.gazprom-neft.local/edo/card/4a163990-1928-4b52-8f42-50225ec3f78d")</f>
        <v>https://tessa.gazprom-neft.local/edo/card/4a163990-1928-4b52-8f42-50225ec3f78d</v>
      </c>
    </row>
    <row r="2643" spans="1:45" x14ac:dyDescent="0.25">
      <c r="A2643" s="6" t="s">
        <v>44</v>
      </c>
      <c r="B2643" s="7" t="s">
        <v>2595</v>
      </c>
      <c r="C2643" s="7" t="s">
        <v>67</v>
      </c>
      <c r="D2643" s="7"/>
      <c r="E2643" s="7"/>
      <c r="F2643" s="16" t="s">
        <v>2596</v>
      </c>
      <c r="G2643" s="7" t="s">
        <v>2597</v>
      </c>
      <c r="H2643" s="7" t="s">
        <v>2548</v>
      </c>
      <c r="I2643" s="7" t="s">
        <v>0</v>
      </c>
      <c r="J2643" s="7" t="s">
        <v>156</v>
      </c>
      <c r="K2643" s="7" t="s">
        <v>47</v>
      </c>
      <c r="L2643" s="7" t="s">
        <v>48</v>
      </c>
      <c r="M2643" s="7" t="s">
        <v>0</v>
      </c>
      <c r="N2643" s="7" t="s">
        <v>9778</v>
      </c>
      <c r="O2643" s="7" t="s">
        <v>0</v>
      </c>
      <c r="P2643" s="7" t="s">
        <v>9779</v>
      </c>
      <c r="Q2643" s="7" t="s">
        <v>9780</v>
      </c>
      <c r="R2643" s="7" t="s">
        <v>2594</v>
      </c>
      <c r="S2643" s="7" t="s">
        <v>2594</v>
      </c>
      <c r="T2643" s="7" t="s">
        <v>54</v>
      </c>
      <c r="U2643" s="7" t="s">
        <v>199</v>
      </c>
      <c r="V2643" s="7" t="s">
        <v>126</v>
      </c>
      <c r="W2643" s="7" t="s">
        <v>74</v>
      </c>
      <c r="X2643" s="7" t="s">
        <v>223</v>
      </c>
      <c r="Y2643" s="7"/>
      <c r="Z2643" s="7"/>
      <c r="AA2643" s="7" t="s">
        <v>224</v>
      </c>
      <c r="AB2643" s="7" t="s">
        <v>130</v>
      </c>
      <c r="AC2643" s="7" t="s">
        <v>65</v>
      </c>
      <c r="AD2643" s="7" t="s">
        <v>80</v>
      </c>
      <c r="AE2643" s="7" t="s">
        <v>0</v>
      </c>
      <c r="AF2643" s="7" t="s">
        <v>0</v>
      </c>
      <c r="AG2643" s="7" t="s">
        <v>0</v>
      </c>
      <c r="AH2643" s="9" t="s">
        <v>0</v>
      </c>
      <c r="AI2643" s="9" t="s">
        <v>0</v>
      </c>
      <c r="AJ2643" s="9" t="s">
        <v>0</v>
      </c>
      <c r="AK2643" s="7" t="s">
        <v>61</v>
      </c>
      <c r="AL2643" s="7" t="s">
        <v>61</v>
      </c>
      <c r="AM2643" s="7" t="s">
        <v>0</v>
      </c>
      <c r="AN2643" s="7" t="s">
        <v>0</v>
      </c>
      <c r="AO2643" s="7" t="s">
        <v>0</v>
      </c>
      <c r="AP2643" s="7" t="s">
        <v>0</v>
      </c>
      <c r="AQ2643" s="7" t="s">
        <v>61</v>
      </c>
      <c r="AR2643" s="7" t="s">
        <v>0</v>
      </c>
      <c r="AS2643" s="10" t="str">
        <f>HYPERLINK("https://tessa.gazprom-neft.local/edo/card/57d63aa1-9dea-4241-ad49-d962f816fa24", "https://tessa.gazprom-neft.local/edo/card/57d63aa1-9dea-4241-ad49-d962f816fa24")</f>
        <v>https://tessa.gazprom-neft.local/edo/card/57d63aa1-9dea-4241-ad49-d962f816fa24</v>
      </c>
    </row>
    <row r="2644" spans="1:45" x14ac:dyDescent="0.25">
      <c r="A2644" s="6" t="s">
        <v>44</v>
      </c>
      <c r="B2644" s="7" t="s">
        <v>837</v>
      </c>
      <c r="C2644" s="7" t="s">
        <v>67</v>
      </c>
      <c r="D2644" s="7"/>
      <c r="E2644" s="7"/>
      <c r="F2644" s="16" t="s">
        <v>838</v>
      </c>
      <c r="G2644" s="7" t="s">
        <v>839</v>
      </c>
      <c r="H2644" s="7" t="s">
        <v>834</v>
      </c>
      <c r="I2644" s="7" t="s">
        <v>0</v>
      </c>
      <c r="J2644" s="7" t="s">
        <v>51</v>
      </c>
      <c r="K2644" s="7" t="s">
        <v>47</v>
      </c>
      <c r="L2644" s="7" t="s">
        <v>48</v>
      </c>
      <c r="M2644" s="7" t="s">
        <v>0</v>
      </c>
      <c r="N2644" s="7" t="s">
        <v>9781</v>
      </c>
      <c r="O2644" s="7" t="s">
        <v>0</v>
      </c>
      <c r="P2644" s="7" t="s">
        <v>300</v>
      </c>
      <c r="Q2644" s="7" t="s">
        <v>9782</v>
      </c>
      <c r="R2644" s="7" t="s">
        <v>836</v>
      </c>
      <c r="S2644" s="7" t="s">
        <v>836</v>
      </c>
      <c r="T2644" s="7" t="s">
        <v>54</v>
      </c>
      <c r="U2644" s="7" t="s">
        <v>294</v>
      </c>
      <c r="V2644" s="7" t="s">
        <v>295</v>
      </c>
      <c r="W2644" s="7" t="s">
        <v>57</v>
      </c>
      <c r="X2644" s="7" t="s">
        <v>223</v>
      </c>
      <c r="Y2644" s="7"/>
      <c r="Z2644" s="7"/>
      <c r="AA2644" s="7" t="s">
        <v>296</v>
      </c>
      <c r="AB2644" s="7" t="s">
        <v>300</v>
      </c>
      <c r="AC2644" s="7" t="s">
        <v>65</v>
      </c>
      <c r="AD2644" s="7" t="s">
        <v>0</v>
      </c>
      <c r="AE2644" s="7" t="s">
        <v>0</v>
      </c>
      <c r="AF2644" s="7" t="s">
        <v>0</v>
      </c>
      <c r="AG2644" s="7" t="s">
        <v>0</v>
      </c>
      <c r="AH2644" s="9" t="s">
        <v>0</v>
      </c>
      <c r="AI2644" s="9" t="s">
        <v>0</v>
      </c>
      <c r="AJ2644" s="9" t="s">
        <v>0</v>
      </c>
      <c r="AK2644" s="7" t="s">
        <v>61</v>
      </c>
      <c r="AL2644" s="7" t="s">
        <v>61</v>
      </c>
      <c r="AM2644" s="7" t="s">
        <v>0</v>
      </c>
      <c r="AN2644" s="7" t="s">
        <v>0</v>
      </c>
      <c r="AO2644" s="7" t="s">
        <v>0</v>
      </c>
      <c r="AP2644" s="7" t="s">
        <v>0</v>
      </c>
      <c r="AQ2644" s="7" t="s">
        <v>61</v>
      </c>
      <c r="AR2644" s="7" t="s">
        <v>0</v>
      </c>
      <c r="AS2644" s="10" t="str">
        <f>HYPERLINK("https://tessa.gazprom-neft.local/edo/card/de9ab770-940f-4675-9493-d984df323674", "https://tessa.gazprom-neft.local/edo/card/de9ab770-940f-4675-9493-d984df323674")</f>
        <v>https://tessa.gazprom-neft.local/edo/card/de9ab770-940f-4675-9493-d984df323674</v>
      </c>
    </row>
    <row r="2645" spans="1:45" hidden="1" x14ac:dyDescent="0.25">
      <c r="A2645" s="6" t="s">
        <v>44</v>
      </c>
      <c r="B2645" s="7" t="s">
        <v>1147</v>
      </c>
      <c r="C2645" s="7" t="s">
        <v>67</v>
      </c>
      <c r="D2645" s="7"/>
      <c r="E2645" s="7"/>
      <c r="F2645" s="16" t="s">
        <v>1148</v>
      </c>
      <c r="G2645" s="7" t="s">
        <v>1149</v>
      </c>
      <c r="H2645" s="7" t="s">
        <v>0</v>
      </c>
      <c r="I2645" s="7" t="s">
        <v>1145</v>
      </c>
      <c r="J2645" s="7" t="s">
        <v>1145</v>
      </c>
      <c r="K2645" s="7" t="s">
        <v>47</v>
      </c>
      <c r="L2645" s="7" t="s">
        <v>96</v>
      </c>
      <c r="M2645" s="7" t="s">
        <v>0</v>
      </c>
      <c r="N2645" s="7" t="s">
        <v>9783</v>
      </c>
      <c r="O2645" s="7" t="s">
        <v>0</v>
      </c>
      <c r="P2645" s="7" t="s">
        <v>9784</v>
      </c>
      <c r="Q2645" s="7" t="s">
        <v>9785</v>
      </c>
      <c r="R2645" s="7" t="s">
        <v>338</v>
      </c>
      <c r="S2645" s="7" t="s">
        <v>3144</v>
      </c>
      <c r="T2645" s="7" t="s">
        <v>54</v>
      </c>
      <c r="U2645" s="7" t="s">
        <v>210</v>
      </c>
      <c r="V2645" s="7" t="s">
        <v>126</v>
      </c>
      <c r="W2645" s="7" t="s">
        <v>74</v>
      </c>
      <c r="X2645" s="7" t="s">
        <v>103</v>
      </c>
      <c r="Y2645" s="7"/>
      <c r="Z2645" s="7"/>
      <c r="AA2645" s="7" t="s">
        <v>0</v>
      </c>
      <c r="AB2645" s="7" t="s">
        <v>130</v>
      </c>
      <c r="AC2645" s="7" t="s">
        <v>79</v>
      </c>
      <c r="AD2645" s="7" t="s">
        <v>80</v>
      </c>
      <c r="AE2645" s="7" t="s">
        <v>82</v>
      </c>
      <c r="AF2645" s="7" t="s">
        <v>0</v>
      </c>
      <c r="AG2645" s="7" t="s">
        <v>0</v>
      </c>
      <c r="AH2645" s="9" t="s">
        <v>14063</v>
      </c>
      <c r="AI2645" s="9" t="s">
        <v>14064</v>
      </c>
      <c r="AJ2645" s="9" t="s">
        <v>14065</v>
      </c>
      <c r="AK2645" s="7" t="s">
        <v>61</v>
      </c>
      <c r="AL2645" s="7" t="s">
        <v>61</v>
      </c>
      <c r="AM2645" s="7" t="s">
        <v>0</v>
      </c>
      <c r="AN2645" s="7" t="s">
        <v>0</v>
      </c>
      <c r="AO2645" s="7" t="s">
        <v>0</v>
      </c>
      <c r="AP2645" s="7" t="s">
        <v>0</v>
      </c>
      <c r="AQ2645" s="7" t="s">
        <v>61</v>
      </c>
      <c r="AR2645" s="7" t="s">
        <v>0</v>
      </c>
      <c r="AS2645" s="10" t="str">
        <f>HYPERLINK("https://tessa.gazprom-neft.local/edo/card/08b7c65a-a3dc-4f38-9edf-ffb3eb7e16e7", "https://tessa.gazprom-neft.local/edo/card/08b7c65a-a3dc-4f38-9edf-ffb3eb7e16e7")</f>
        <v>https://tessa.gazprom-neft.local/edo/card/08b7c65a-a3dc-4f38-9edf-ffb3eb7e16e7</v>
      </c>
    </row>
    <row r="2646" spans="1:45" x14ac:dyDescent="0.25">
      <c r="A2646" s="6" t="s">
        <v>44</v>
      </c>
      <c r="B2646" s="7" t="s">
        <v>1754</v>
      </c>
      <c r="C2646" s="7" t="s">
        <v>67</v>
      </c>
      <c r="D2646" s="7"/>
      <c r="E2646" s="7"/>
      <c r="F2646" s="16" t="s">
        <v>1755</v>
      </c>
      <c r="G2646" s="7" t="s">
        <v>1756</v>
      </c>
      <c r="H2646" s="7" t="s">
        <v>0</v>
      </c>
      <c r="I2646" s="7" t="s">
        <v>0</v>
      </c>
      <c r="J2646" s="7" t="s">
        <v>271</v>
      </c>
      <c r="K2646" s="7" t="s">
        <v>85</v>
      </c>
      <c r="L2646" s="7" t="s">
        <v>48</v>
      </c>
      <c r="M2646" s="7" t="s">
        <v>9463</v>
      </c>
      <c r="N2646" s="7" t="s">
        <v>9786</v>
      </c>
      <c r="O2646" s="7" t="s">
        <v>0</v>
      </c>
      <c r="P2646" s="7" t="s">
        <v>9463</v>
      </c>
      <c r="Q2646" s="7" t="s">
        <v>9787</v>
      </c>
      <c r="R2646" s="7" t="s">
        <v>2594</v>
      </c>
      <c r="S2646" s="7" t="s">
        <v>2594</v>
      </c>
      <c r="T2646" s="7" t="s">
        <v>54</v>
      </c>
      <c r="U2646" s="7" t="s">
        <v>199</v>
      </c>
      <c r="V2646" s="7" t="s">
        <v>126</v>
      </c>
      <c r="W2646" s="7" t="s">
        <v>74</v>
      </c>
      <c r="X2646" s="7" t="s">
        <v>223</v>
      </c>
      <c r="Y2646" s="7"/>
      <c r="Z2646" s="7"/>
      <c r="AA2646" s="7" t="s">
        <v>224</v>
      </c>
      <c r="AB2646" s="7" t="s">
        <v>64</v>
      </c>
      <c r="AC2646" s="7" t="s">
        <v>65</v>
      </c>
      <c r="AD2646" s="7" t="s">
        <v>0</v>
      </c>
      <c r="AE2646" s="7" t="s">
        <v>0</v>
      </c>
      <c r="AF2646" s="7" t="s">
        <v>0</v>
      </c>
      <c r="AG2646" s="7" t="s">
        <v>0</v>
      </c>
      <c r="AH2646" s="9" t="s">
        <v>0</v>
      </c>
      <c r="AI2646" s="9" t="s">
        <v>0</v>
      </c>
      <c r="AJ2646" s="9" t="s">
        <v>0</v>
      </c>
      <c r="AK2646" s="7" t="s">
        <v>61</v>
      </c>
      <c r="AL2646" s="7" t="s">
        <v>61</v>
      </c>
      <c r="AM2646" s="7" t="s">
        <v>0</v>
      </c>
      <c r="AN2646" s="7" t="s">
        <v>0</v>
      </c>
      <c r="AO2646" s="7" t="s">
        <v>0</v>
      </c>
      <c r="AP2646" s="7" t="s">
        <v>0</v>
      </c>
      <c r="AQ2646" s="7" t="s">
        <v>61</v>
      </c>
      <c r="AR2646" s="7" t="s">
        <v>0</v>
      </c>
      <c r="AS2646" s="10" t="str">
        <f>HYPERLINK("https://tessa.gazprom-neft.local/edo/card/dcb51fcc-0770-44d6-a83e-70d2c654eba4", "https://tessa.gazprom-neft.local/edo/card/dcb51fcc-0770-44d6-a83e-70d2c654eba4")</f>
        <v>https://tessa.gazprom-neft.local/edo/card/dcb51fcc-0770-44d6-a83e-70d2c654eba4</v>
      </c>
    </row>
    <row r="2647" spans="1:45" hidden="1" x14ac:dyDescent="0.25">
      <c r="A2647" s="6" t="s">
        <v>44</v>
      </c>
      <c r="B2647" s="7" t="s">
        <v>0</v>
      </c>
      <c r="C2647" s="7" t="s">
        <v>67</v>
      </c>
      <c r="D2647" s="7"/>
      <c r="E2647" s="7"/>
      <c r="F2647" s="16" t="s">
        <v>9790</v>
      </c>
      <c r="G2647" s="7" t="s">
        <v>0</v>
      </c>
      <c r="H2647" s="7" t="s">
        <v>0</v>
      </c>
      <c r="I2647" s="7" t="s">
        <v>4040</v>
      </c>
      <c r="J2647" s="7" t="s">
        <v>4040</v>
      </c>
      <c r="K2647" s="7" t="s">
        <v>85</v>
      </c>
      <c r="L2647" s="7" t="s">
        <v>96</v>
      </c>
      <c r="M2647" s="7" t="s">
        <v>183</v>
      </c>
      <c r="N2647" s="7" t="s">
        <v>9788</v>
      </c>
      <c r="O2647" s="7" t="s">
        <v>0</v>
      </c>
      <c r="P2647" s="7" t="s">
        <v>183</v>
      </c>
      <c r="Q2647" s="7" t="s">
        <v>9789</v>
      </c>
      <c r="R2647" s="7" t="s">
        <v>3298</v>
      </c>
      <c r="S2647" s="7" t="s">
        <v>3298</v>
      </c>
      <c r="T2647" s="7" t="s">
        <v>54</v>
      </c>
      <c r="U2647" s="7" t="s">
        <v>303</v>
      </c>
      <c r="V2647" s="7" t="s">
        <v>137</v>
      </c>
      <c r="W2647" s="7" t="s">
        <v>57</v>
      </c>
      <c r="X2647" s="7" t="s">
        <v>103</v>
      </c>
      <c r="Y2647" s="7"/>
      <c r="Z2647" s="7"/>
      <c r="AA2647" s="7" t="s">
        <v>0</v>
      </c>
      <c r="AB2647" s="7" t="s">
        <v>192</v>
      </c>
      <c r="AC2647" s="7" t="s">
        <v>79</v>
      </c>
      <c r="AD2647" s="7" t="s">
        <v>80</v>
      </c>
      <c r="AE2647" s="7" t="s">
        <v>193</v>
      </c>
      <c r="AF2647" s="7" t="s">
        <v>0</v>
      </c>
      <c r="AG2647" s="7" t="s">
        <v>0</v>
      </c>
      <c r="AH2647" s="9" t="s">
        <v>14066</v>
      </c>
      <c r="AI2647" s="9" t="s">
        <v>14067</v>
      </c>
      <c r="AJ2647" s="9" t="s">
        <v>14068</v>
      </c>
      <c r="AK2647" s="7" t="s">
        <v>61</v>
      </c>
      <c r="AL2647" s="7" t="s">
        <v>61</v>
      </c>
      <c r="AM2647" s="7" t="s">
        <v>0</v>
      </c>
      <c r="AN2647" s="7" t="s">
        <v>0</v>
      </c>
      <c r="AO2647" s="7" t="s">
        <v>0</v>
      </c>
      <c r="AP2647" s="7" t="s">
        <v>0</v>
      </c>
      <c r="AQ2647" s="7" t="s">
        <v>61</v>
      </c>
      <c r="AR2647" s="7" t="s">
        <v>0</v>
      </c>
      <c r="AS2647" s="10" t="str">
        <f>HYPERLINK("https://tessa.gazprom-neft.local/edo/card/a10753fc-d657-4280-8db0-1c5e4612dd00", "https://tessa.gazprom-neft.local/edo/card/a10753fc-d657-4280-8db0-1c5e4612dd00")</f>
        <v>https://tessa.gazprom-neft.local/edo/card/a10753fc-d657-4280-8db0-1c5e4612dd00</v>
      </c>
    </row>
    <row r="2648" spans="1:45" hidden="1" x14ac:dyDescent="0.25">
      <c r="A2648" s="6" t="s">
        <v>44</v>
      </c>
      <c r="B2648" s="7" t="s">
        <v>1216</v>
      </c>
      <c r="C2648" s="7" t="s">
        <v>67</v>
      </c>
      <c r="D2648" s="7"/>
      <c r="E2648" s="7"/>
      <c r="F2648" s="16" t="s">
        <v>1217</v>
      </c>
      <c r="G2648" s="7" t="s">
        <v>1218</v>
      </c>
      <c r="H2648" s="7" t="s">
        <v>0</v>
      </c>
      <c r="I2648" s="7" t="s">
        <v>3734</v>
      </c>
      <c r="J2648" s="7" t="s">
        <v>3734</v>
      </c>
      <c r="K2648" s="7" t="s">
        <v>85</v>
      </c>
      <c r="L2648" s="7" t="s">
        <v>96</v>
      </c>
      <c r="M2648" s="7" t="s">
        <v>205</v>
      </c>
      <c r="N2648" s="7" t="s">
        <v>9791</v>
      </c>
      <c r="O2648" s="7" t="s">
        <v>0</v>
      </c>
      <c r="P2648" s="7" t="s">
        <v>205</v>
      </c>
      <c r="Q2648" s="7" t="s">
        <v>9792</v>
      </c>
      <c r="R2648" s="7" t="s">
        <v>393</v>
      </c>
      <c r="S2648" s="7" t="s">
        <v>898</v>
      </c>
      <c r="T2648" s="7" t="s">
        <v>54</v>
      </c>
      <c r="U2648" s="7" t="s">
        <v>210</v>
      </c>
      <c r="V2648" s="7" t="s">
        <v>126</v>
      </c>
      <c r="W2648" s="7" t="s">
        <v>74</v>
      </c>
      <c r="X2648" s="7" t="s">
        <v>103</v>
      </c>
      <c r="Y2648" s="7"/>
      <c r="Z2648" s="7"/>
      <c r="AA2648" s="7" t="s">
        <v>224</v>
      </c>
      <c r="AB2648" s="7" t="s">
        <v>130</v>
      </c>
      <c r="AC2648" s="7" t="s">
        <v>79</v>
      </c>
      <c r="AD2648" s="7" t="s">
        <v>80</v>
      </c>
      <c r="AE2648" s="7" t="s">
        <v>82</v>
      </c>
      <c r="AF2648" s="7" t="s">
        <v>0</v>
      </c>
      <c r="AG2648" s="7" t="s">
        <v>9793</v>
      </c>
      <c r="AH2648" s="9" t="s">
        <v>12108</v>
      </c>
      <c r="AI2648" s="9" t="s">
        <v>12109</v>
      </c>
      <c r="AJ2648" s="9" t="s">
        <v>12110</v>
      </c>
      <c r="AK2648" s="7" t="s">
        <v>81</v>
      </c>
      <c r="AL2648" s="7" t="s">
        <v>61</v>
      </c>
      <c r="AM2648" s="7" t="s">
        <v>0</v>
      </c>
      <c r="AN2648" s="7" t="s">
        <v>0</v>
      </c>
      <c r="AO2648" s="7" t="s">
        <v>0</v>
      </c>
      <c r="AP2648" s="7" t="s">
        <v>0</v>
      </c>
      <c r="AQ2648" s="7" t="s">
        <v>61</v>
      </c>
      <c r="AR2648" s="7" t="s">
        <v>0</v>
      </c>
      <c r="AS2648" s="10" t="str">
        <f>HYPERLINK("https://tessa.gazprom-neft.local/edo/card/bb6ef4fa-0b97-4f89-a4f5-cf9ac8bbe5fd", "https://tessa.gazprom-neft.local/edo/card/bb6ef4fa-0b97-4f89-a4f5-cf9ac8bbe5fd")</f>
        <v>https://tessa.gazprom-neft.local/edo/card/bb6ef4fa-0b97-4f89-a4f5-cf9ac8bbe5fd</v>
      </c>
    </row>
    <row r="2649" spans="1:45" x14ac:dyDescent="0.25">
      <c r="A2649" s="6" t="s">
        <v>44</v>
      </c>
      <c r="B2649" s="7" t="s">
        <v>363</v>
      </c>
      <c r="C2649" s="7" t="s">
        <v>67</v>
      </c>
      <c r="D2649" s="7"/>
      <c r="E2649" s="7"/>
      <c r="F2649" s="16" t="s">
        <v>364</v>
      </c>
      <c r="G2649" s="7" t="s">
        <v>365</v>
      </c>
      <c r="H2649" s="7" t="s">
        <v>502</v>
      </c>
      <c r="I2649" s="7" t="s">
        <v>0</v>
      </c>
      <c r="J2649" s="7" t="s">
        <v>271</v>
      </c>
      <c r="K2649" s="7" t="s">
        <v>47</v>
      </c>
      <c r="L2649" s="7" t="s">
        <v>48</v>
      </c>
      <c r="M2649" s="7" t="s">
        <v>0</v>
      </c>
      <c r="N2649" s="7" t="s">
        <v>9794</v>
      </c>
      <c r="O2649" s="7" t="s">
        <v>0</v>
      </c>
      <c r="P2649" s="7" t="s">
        <v>9795</v>
      </c>
      <c r="Q2649" s="7" t="s">
        <v>9752</v>
      </c>
      <c r="R2649" s="7" t="s">
        <v>282</v>
      </c>
      <c r="S2649" s="7" t="s">
        <v>0</v>
      </c>
      <c r="T2649" s="7" t="s">
        <v>54</v>
      </c>
      <c r="U2649" s="7" t="s">
        <v>55</v>
      </c>
      <c r="V2649" s="7" t="s">
        <v>340</v>
      </c>
      <c r="W2649" s="7" t="s">
        <v>74</v>
      </c>
      <c r="X2649" s="7" t="s">
        <v>103</v>
      </c>
      <c r="Y2649" s="7"/>
      <c r="Z2649" s="7"/>
      <c r="AA2649" s="7" t="s">
        <v>341</v>
      </c>
      <c r="AB2649" s="7" t="s">
        <v>507</v>
      </c>
      <c r="AC2649" s="7" t="s">
        <v>65</v>
      </c>
      <c r="AD2649" s="7" t="s">
        <v>80</v>
      </c>
      <c r="AE2649" s="7" t="s">
        <v>0</v>
      </c>
      <c r="AF2649" s="7" t="s">
        <v>0</v>
      </c>
      <c r="AG2649" s="7" t="s">
        <v>0</v>
      </c>
      <c r="AH2649" s="9" t="s">
        <v>0</v>
      </c>
      <c r="AI2649" s="9" t="s">
        <v>0</v>
      </c>
      <c r="AJ2649" s="9" t="s">
        <v>0</v>
      </c>
      <c r="AK2649" s="7" t="s">
        <v>61</v>
      </c>
      <c r="AL2649" s="7" t="s">
        <v>61</v>
      </c>
      <c r="AM2649" s="7" t="s">
        <v>0</v>
      </c>
      <c r="AN2649" s="7" t="s">
        <v>0</v>
      </c>
      <c r="AO2649" s="7" t="s">
        <v>0</v>
      </c>
      <c r="AP2649" s="7" t="s">
        <v>0</v>
      </c>
      <c r="AQ2649" s="7" t="s">
        <v>61</v>
      </c>
      <c r="AR2649" s="7" t="s">
        <v>0</v>
      </c>
      <c r="AS2649" s="10" t="str">
        <f>HYPERLINK("https://tessa.gazprom-neft.local/edo/card/bc01f8ff-162c-40f4-83d6-96e041c19b2e", "https://tessa.gazprom-neft.local/edo/card/bc01f8ff-162c-40f4-83d6-96e041c19b2e")</f>
        <v>https://tessa.gazprom-neft.local/edo/card/bc01f8ff-162c-40f4-83d6-96e041c19b2e</v>
      </c>
    </row>
    <row r="2650" spans="1:45" x14ac:dyDescent="0.25">
      <c r="A2650" s="6" t="s">
        <v>44</v>
      </c>
      <c r="B2650" s="7" t="s">
        <v>2706</v>
      </c>
      <c r="C2650" s="7" t="s">
        <v>67</v>
      </c>
      <c r="D2650" s="7"/>
      <c r="E2650" s="7"/>
      <c r="F2650" s="16" t="s">
        <v>2707</v>
      </c>
      <c r="G2650" s="7" t="s">
        <v>2708</v>
      </c>
      <c r="H2650" s="7" t="s">
        <v>2704</v>
      </c>
      <c r="I2650" s="7" t="s">
        <v>0</v>
      </c>
      <c r="J2650" s="7" t="s">
        <v>355</v>
      </c>
      <c r="K2650" s="7" t="s">
        <v>85</v>
      </c>
      <c r="L2650" s="7" t="s">
        <v>48</v>
      </c>
      <c r="M2650" s="7" t="s">
        <v>9463</v>
      </c>
      <c r="N2650" s="7" t="s">
        <v>9796</v>
      </c>
      <c r="O2650" s="7" t="s">
        <v>0</v>
      </c>
      <c r="P2650" s="7" t="s">
        <v>9463</v>
      </c>
      <c r="Q2650" s="7" t="s">
        <v>9797</v>
      </c>
      <c r="R2650" s="7" t="s">
        <v>2594</v>
      </c>
      <c r="S2650" s="7" t="s">
        <v>2594</v>
      </c>
      <c r="T2650" s="7" t="s">
        <v>54</v>
      </c>
      <c r="U2650" s="7" t="s">
        <v>199</v>
      </c>
      <c r="V2650" s="7" t="s">
        <v>126</v>
      </c>
      <c r="W2650" s="7" t="s">
        <v>74</v>
      </c>
      <c r="X2650" s="7" t="s">
        <v>223</v>
      </c>
      <c r="Y2650" s="7"/>
      <c r="Z2650" s="7"/>
      <c r="AA2650" s="7" t="s">
        <v>224</v>
      </c>
      <c r="AB2650" s="7" t="s">
        <v>64</v>
      </c>
      <c r="AC2650" s="7" t="s">
        <v>65</v>
      </c>
      <c r="AD2650" s="7" t="s">
        <v>80</v>
      </c>
      <c r="AE2650" s="7" t="s">
        <v>0</v>
      </c>
      <c r="AF2650" s="7" t="s">
        <v>0</v>
      </c>
      <c r="AG2650" s="7" t="s">
        <v>0</v>
      </c>
      <c r="AH2650" s="9" t="s">
        <v>0</v>
      </c>
      <c r="AI2650" s="9" t="s">
        <v>0</v>
      </c>
      <c r="AJ2650" s="9" t="s">
        <v>0</v>
      </c>
      <c r="AK2650" s="7" t="s">
        <v>61</v>
      </c>
      <c r="AL2650" s="7" t="s">
        <v>61</v>
      </c>
      <c r="AM2650" s="7" t="s">
        <v>0</v>
      </c>
      <c r="AN2650" s="7" t="s">
        <v>0</v>
      </c>
      <c r="AO2650" s="7" t="s">
        <v>0</v>
      </c>
      <c r="AP2650" s="7" t="s">
        <v>0</v>
      </c>
      <c r="AQ2650" s="7" t="s">
        <v>61</v>
      </c>
      <c r="AR2650" s="7" t="s">
        <v>0</v>
      </c>
      <c r="AS2650" s="10" t="str">
        <f>HYPERLINK("https://tessa.gazprom-neft.local/edo/card/5548924b-b31f-4cdd-b771-c905f5393920", "https://tessa.gazprom-neft.local/edo/card/5548924b-b31f-4cdd-b771-c905f5393920")</f>
        <v>https://tessa.gazprom-neft.local/edo/card/5548924b-b31f-4cdd-b771-c905f5393920</v>
      </c>
    </row>
    <row r="2651" spans="1:45" hidden="1" x14ac:dyDescent="0.25">
      <c r="A2651" s="6" t="s">
        <v>44</v>
      </c>
      <c r="B2651" s="7" t="s">
        <v>0</v>
      </c>
      <c r="C2651" s="7" t="s">
        <v>67</v>
      </c>
      <c r="D2651" s="7"/>
      <c r="E2651" s="7"/>
      <c r="F2651" s="16" t="s">
        <v>646</v>
      </c>
      <c r="G2651" s="7" t="s">
        <v>0</v>
      </c>
      <c r="H2651" s="7" t="s">
        <v>0</v>
      </c>
      <c r="I2651" s="7" t="s">
        <v>8539</v>
      </c>
      <c r="J2651" s="7" t="s">
        <v>8539</v>
      </c>
      <c r="K2651" s="7" t="s">
        <v>85</v>
      </c>
      <c r="L2651" s="7" t="s">
        <v>96</v>
      </c>
      <c r="M2651" s="7" t="s">
        <v>183</v>
      </c>
      <c r="N2651" s="7" t="s">
        <v>9798</v>
      </c>
      <c r="O2651" s="7" t="s">
        <v>0</v>
      </c>
      <c r="P2651" s="7" t="s">
        <v>9799</v>
      </c>
      <c r="Q2651" s="7" t="s">
        <v>9800</v>
      </c>
      <c r="R2651" s="7" t="s">
        <v>799</v>
      </c>
      <c r="S2651" s="7" t="s">
        <v>0</v>
      </c>
      <c r="T2651" s="7" t="s">
        <v>54</v>
      </c>
      <c r="U2651" s="7" t="s">
        <v>362</v>
      </c>
      <c r="V2651" s="7" t="s">
        <v>295</v>
      </c>
      <c r="W2651" s="7" t="s">
        <v>57</v>
      </c>
      <c r="X2651" s="7" t="s">
        <v>103</v>
      </c>
      <c r="Y2651" s="7"/>
      <c r="Z2651" s="7"/>
      <c r="AA2651" s="7" t="s">
        <v>296</v>
      </c>
      <c r="AB2651" s="7" t="s">
        <v>192</v>
      </c>
      <c r="AC2651" s="7" t="s">
        <v>79</v>
      </c>
      <c r="AD2651" s="7" t="s">
        <v>80</v>
      </c>
      <c r="AE2651" s="7" t="s">
        <v>193</v>
      </c>
      <c r="AF2651" s="7" t="s">
        <v>0</v>
      </c>
      <c r="AG2651" s="7" t="s">
        <v>0</v>
      </c>
      <c r="AH2651" s="9" t="s">
        <v>14069</v>
      </c>
      <c r="AI2651" s="9" t="s">
        <v>14070</v>
      </c>
      <c r="AJ2651" s="9" t="s">
        <v>14071</v>
      </c>
      <c r="AK2651" s="7" t="s">
        <v>61</v>
      </c>
      <c r="AL2651" s="7" t="s">
        <v>61</v>
      </c>
      <c r="AM2651" s="7" t="s">
        <v>0</v>
      </c>
      <c r="AN2651" s="7" t="s">
        <v>0</v>
      </c>
      <c r="AO2651" s="7" t="s">
        <v>0</v>
      </c>
      <c r="AP2651" s="7" t="s">
        <v>0</v>
      </c>
      <c r="AQ2651" s="7" t="s">
        <v>61</v>
      </c>
      <c r="AR2651" s="7" t="s">
        <v>0</v>
      </c>
      <c r="AS2651" s="10" t="str">
        <f>HYPERLINK("https://tessa.gazprom-neft.local/edo/card/f882b18d-bbc1-49be-bd23-d2062b93d2c7", "https://tessa.gazprom-neft.local/edo/card/f882b18d-bbc1-49be-bd23-d2062b93d2c7")</f>
        <v>https://tessa.gazprom-neft.local/edo/card/f882b18d-bbc1-49be-bd23-d2062b93d2c7</v>
      </c>
    </row>
    <row r="2652" spans="1:45" hidden="1" x14ac:dyDescent="0.25">
      <c r="A2652" s="6" t="s">
        <v>44</v>
      </c>
      <c r="B2652" s="7" t="s">
        <v>0</v>
      </c>
      <c r="C2652" s="7" t="s">
        <v>67</v>
      </c>
      <c r="D2652" s="7"/>
      <c r="E2652" s="7"/>
      <c r="F2652" s="16" t="s">
        <v>646</v>
      </c>
      <c r="G2652" s="7" t="s">
        <v>0</v>
      </c>
      <c r="H2652" s="7" t="s">
        <v>0</v>
      </c>
      <c r="I2652" s="7" t="s">
        <v>9802</v>
      </c>
      <c r="J2652" s="7" t="s">
        <v>9802</v>
      </c>
      <c r="K2652" s="7" t="s">
        <v>47</v>
      </c>
      <c r="L2652" s="7" t="s">
        <v>96</v>
      </c>
      <c r="M2652" s="7" t="s">
        <v>0</v>
      </c>
      <c r="N2652" s="7" t="s">
        <v>9801</v>
      </c>
      <c r="O2652" s="7" t="s">
        <v>0</v>
      </c>
      <c r="P2652" s="7" t="s">
        <v>9803</v>
      </c>
      <c r="Q2652" s="7" t="s">
        <v>9803</v>
      </c>
      <c r="R2652" s="7" t="s">
        <v>799</v>
      </c>
      <c r="S2652" s="7" t="s">
        <v>0</v>
      </c>
      <c r="T2652" s="7" t="s">
        <v>54</v>
      </c>
      <c r="U2652" s="7" t="s">
        <v>303</v>
      </c>
      <c r="V2652" s="7" t="s">
        <v>91</v>
      </c>
      <c r="W2652" s="7" t="s">
        <v>57</v>
      </c>
      <c r="X2652" s="7" t="s">
        <v>223</v>
      </c>
      <c r="Y2652" s="7"/>
      <c r="Z2652" s="7"/>
      <c r="AA2652" s="7" t="s">
        <v>92</v>
      </c>
      <c r="AB2652" s="7" t="s">
        <v>94</v>
      </c>
      <c r="AC2652" s="7" t="s">
        <v>65</v>
      </c>
      <c r="AD2652" s="7" t="s">
        <v>0</v>
      </c>
      <c r="AE2652" s="7" t="s">
        <v>0</v>
      </c>
      <c r="AF2652" s="7" t="s">
        <v>0</v>
      </c>
      <c r="AG2652" s="7" t="s">
        <v>0</v>
      </c>
      <c r="AH2652" s="9" t="s">
        <v>0</v>
      </c>
      <c r="AI2652" s="9" t="s">
        <v>0</v>
      </c>
      <c r="AJ2652" s="9" t="s">
        <v>0</v>
      </c>
      <c r="AK2652" s="7" t="s">
        <v>61</v>
      </c>
      <c r="AL2652" s="7" t="s">
        <v>61</v>
      </c>
      <c r="AM2652" s="7" t="s">
        <v>0</v>
      </c>
      <c r="AN2652" s="7" t="s">
        <v>0</v>
      </c>
      <c r="AO2652" s="7" t="s">
        <v>0</v>
      </c>
      <c r="AP2652" s="7" t="s">
        <v>0</v>
      </c>
      <c r="AQ2652" s="7" t="s">
        <v>61</v>
      </c>
      <c r="AR2652" s="7" t="s">
        <v>0</v>
      </c>
      <c r="AS2652" s="10" t="str">
        <f>HYPERLINK("https://tessa.gazprom-neft.local/edo/card/d238ce8b-58b7-4297-9dee-a66e886a9410", "https://tessa.gazprom-neft.local/edo/card/d238ce8b-58b7-4297-9dee-a66e886a9410")</f>
        <v>https://tessa.gazprom-neft.local/edo/card/d238ce8b-58b7-4297-9dee-a66e886a9410</v>
      </c>
    </row>
    <row r="2653" spans="1:45" hidden="1" x14ac:dyDescent="0.25">
      <c r="A2653" s="6" t="s">
        <v>44</v>
      </c>
      <c r="B2653" s="7" t="s">
        <v>0</v>
      </c>
      <c r="C2653" s="7" t="s">
        <v>67</v>
      </c>
      <c r="D2653" s="7"/>
      <c r="E2653" s="7"/>
      <c r="F2653" s="16" t="s">
        <v>646</v>
      </c>
      <c r="G2653" s="7" t="s">
        <v>0</v>
      </c>
      <c r="H2653" s="7" t="s">
        <v>0</v>
      </c>
      <c r="I2653" s="7" t="s">
        <v>9805</v>
      </c>
      <c r="J2653" s="7" t="s">
        <v>9805</v>
      </c>
      <c r="K2653" s="7" t="s">
        <v>47</v>
      </c>
      <c r="L2653" s="7" t="s">
        <v>86</v>
      </c>
      <c r="M2653" s="7" t="s">
        <v>0</v>
      </c>
      <c r="N2653" s="7" t="s">
        <v>9804</v>
      </c>
      <c r="O2653" s="7" t="s">
        <v>0</v>
      </c>
      <c r="P2653" s="7" t="s">
        <v>9806</v>
      </c>
      <c r="Q2653" s="7" t="s">
        <v>9806</v>
      </c>
      <c r="R2653" s="7" t="s">
        <v>799</v>
      </c>
      <c r="S2653" s="7" t="s">
        <v>0</v>
      </c>
      <c r="T2653" s="7" t="s">
        <v>54</v>
      </c>
      <c r="U2653" s="7" t="s">
        <v>303</v>
      </c>
      <c r="V2653" s="7" t="s">
        <v>91</v>
      </c>
      <c r="W2653" s="7" t="s">
        <v>57</v>
      </c>
      <c r="X2653" s="7" t="s">
        <v>103</v>
      </c>
      <c r="Y2653" s="7"/>
      <c r="Z2653" s="7"/>
      <c r="AA2653" s="7" t="s">
        <v>92</v>
      </c>
      <c r="AB2653" s="7" t="s">
        <v>139</v>
      </c>
      <c r="AC2653" s="7" t="s">
        <v>65</v>
      </c>
      <c r="AD2653" s="7" t="s">
        <v>0</v>
      </c>
      <c r="AE2653" s="7" t="s">
        <v>0</v>
      </c>
      <c r="AF2653" s="7" t="s">
        <v>0</v>
      </c>
      <c r="AG2653" s="7" t="s">
        <v>0</v>
      </c>
      <c r="AH2653" s="9" t="s">
        <v>0</v>
      </c>
      <c r="AI2653" s="9" t="s">
        <v>0</v>
      </c>
      <c r="AJ2653" s="9" t="s">
        <v>0</v>
      </c>
      <c r="AK2653" s="7" t="s">
        <v>61</v>
      </c>
      <c r="AL2653" s="7" t="s">
        <v>61</v>
      </c>
      <c r="AM2653" s="7" t="s">
        <v>0</v>
      </c>
      <c r="AN2653" s="7" t="s">
        <v>0</v>
      </c>
      <c r="AO2653" s="7" t="s">
        <v>0</v>
      </c>
      <c r="AP2653" s="7" t="s">
        <v>0</v>
      </c>
      <c r="AQ2653" s="7" t="s">
        <v>61</v>
      </c>
      <c r="AR2653" s="7" t="s">
        <v>0</v>
      </c>
      <c r="AS2653" s="10" t="str">
        <f>HYPERLINK("https://tessa.gazprom-neft.local/edo/card/fe4d1663-c6dc-4e9a-8fd2-fa199c133286", "https://tessa.gazprom-neft.local/edo/card/fe4d1663-c6dc-4e9a-8fd2-fa199c133286")</f>
        <v>https://tessa.gazprom-neft.local/edo/card/fe4d1663-c6dc-4e9a-8fd2-fa199c133286</v>
      </c>
    </row>
    <row r="2654" spans="1:45" hidden="1" x14ac:dyDescent="0.25">
      <c r="A2654" s="6" t="s">
        <v>44</v>
      </c>
      <c r="B2654" s="7" t="s">
        <v>1240</v>
      </c>
      <c r="C2654" s="7" t="s">
        <v>67</v>
      </c>
      <c r="D2654" s="7"/>
      <c r="E2654" s="7"/>
      <c r="F2654" s="16" t="s">
        <v>1241</v>
      </c>
      <c r="G2654" s="7" t="s">
        <v>1242</v>
      </c>
      <c r="H2654" s="7" t="s">
        <v>3083</v>
      </c>
      <c r="I2654" s="7" t="s">
        <v>0</v>
      </c>
      <c r="J2654" s="7" t="s">
        <v>156</v>
      </c>
      <c r="K2654" s="7" t="s">
        <v>47</v>
      </c>
      <c r="L2654" s="7" t="s">
        <v>239</v>
      </c>
      <c r="M2654" s="7" t="s">
        <v>0</v>
      </c>
      <c r="N2654" s="7" t="s">
        <v>9807</v>
      </c>
      <c r="O2654" s="7" t="s">
        <v>0</v>
      </c>
      <c r="P2654" s="7" t="s">
        <v>9808</v>
      </c>
      <c r="Q2654" s="7" t="s">
        <v>9809</v>
      </c>
      <c r="R2654" s="7" t="s">
        <v>393</v>
      </c>
      <c r="S2654" s="7" t="s">
        <v>1261</v>
      </c>
      <c r="T2654" s="7" t="s">
        <v>54</v>
      </c>
      <c r="U2654" s="7" t="s">
        <v>222</v>
      </c>
      <c r="V2654" s="7" t="s">
        <v>126</v>
      </c>
      <c r="W2654" s="7" t="s">
        <v>74</v>
      </c>
      <c r="X2654" s="7" t="s">
        <v>103</v>
      </c>
      <c r="Y2654" s="7"/>
      <c r="Z2654" s="7"/>
      <c r="AA2654" s="7" t="s">
        <v>224</v>
      </c>
      <c r="AB2654" s="7" t="s">
        <v>1243</v>
      </c>
      <c r="AC2654" s="7" t="s">
        <v>79</v>
      </c>
      <c r="AD2654" s="7" t="s">
        <v>144</v>
      </c>
      <c r="AE2654" s="7" t="s">
        <v>82</v>
      </c>
      <c r="AF2654" s="7" t="s">
        <v>0</v>
      </c>
      <c r="AG2654" s="7" t="s">
        <v>0</v>
      </c>
      <c r="AH2654" s="9" t="s">
        <v>14072</v>
      </c>
      <c r="AI2654" s="9" t="s">
        <v>14073</v>
      </c>
      <c r="AJ2654" s="9" t="s">
        <v>14074</v>
      </c>
      <c r="AK2654" s="7" t="s">
        <v>61</v>
      </c>
      <c r="AL2654" s="7" t="s">
        <v>61</v>
      </c>
      <c r="AM2654" s="7" t="s">
        <v>0</v>
      </c>
      <c r="AN2654" s="7" t="s">
        <v>0</v>
      </c>
      <c r="AO2654" s="7" t="s">
        <v>0</v>
      </c>
      <c r="AP2654" s="7" t="s">
        <v>0</v>
      </c>
      <c r="AQ2654" s="7" t="s">
        <v>61</v>
      </c>
      <c r="AR2654" s="7" t="s">
        <v>0</v>
      </c>
      <c r="AS2654" s="10" t="str">
        <f>HYPERLINK("https://tessa.gazprom-neft.local/edo/card/eaf905a1-850c-4ef7-b347-7403eb781554", "https://tessa.gazprom-neft.local/edo/card/eaf905a1-850c-4ef7-b347-7403eb781554")</f>
        <v>https://tessa.gazprom-neft.local/edo/card/eaf905a1-850c-4ef7-b347-7403eb781554</v>
      </c>
    </row>
    <row r="2655" spans="1:45" x14ac:dyDescent="0.25">
      <c r="A2655" s="6" t="s">
        <v>44</v>
      </c>
      <c r="B2655" s="7" t="s">
        <v>1712</v>
      </c>
      <c r="C2655" s="7" t="s">
        <v>67</v>
      </c>
      <c r="D2655" s="7"/>
      <c r="E2655" s="7"/>
      <c r="F2655" s="16" t="s">
        <v>1713</v>
      </c>
      <c r="G2655" s="7" t="s">
        <v>1714</v>
      </c>
      <c r="H2655" s="7" t="s">
        <v>9811</v>
      </c>
      <c r="I2655" s="7" t="s">
        <v>0</v>
      </c>
      <c r="J2655" s="7" t="s">
        <v>70</v>
      </c>
      <c r="K2655" s="7" t="s">
        <v>85</v>
      </c>
      <c r="L2655" s="7" t="s">
        <v>48</v>
      </c>
      <c r="M2655" s="7" t="s">
        <v>5649</v>
      </c>
      <c r="N2655" s="7" t="s">
        <v>9810</v>
      </c>
      <c r="O2655" s="7" t="s">
        <v>0</v>
      </c>
      <c r="P2655" s="7" t="s">
        <v>5649</v>
      </c>
      <c r="Q2655" s="7" t="s">
        <v>9812</v>
      </c>
      <c r="R2655" s="7" t="s">
        <v>1711</v>
      </c>
      <c r="S2655" s="7" t="s">
        <v>1711</v>
      </c>
      <c r="T2655" s="7" t="s">
        <v>54</v>
      </c>
      <c r="U2655" s="7" t="s">
        <v>605</v>
      </c>
      <c r="V2655" s="7" t="s">
        <v>126</v>
      </c>
      <c r="W2655" s="7" t="s">
        <v>57</v>
      </c>
      <c r="X2655" s="7" t="s">
        <v>103</v>
      </c>
      <c r="Y2655" s="7"/>
      <c r="Z2655" s="7"/>
      <c r="AA2655" s="7" t="s">
        <v>224</v>
      </c>
      <c r="AB2655" s="7" t="s">
        <v>64</v>
      </c>
      <c r="AC2655" s="7" t="s">
        <v>65</v>
      </c>
      <c r="AD2655" s="7" t="s">
        <v>0</v>
      </c>
      <c r="AE2655" s="7" t="s">
        <v>0</v>
      </c>
      <c r="AF2655" s="7" t="s">
        <v>0</v>
      </c>
      <c r="AG2655" s="7" t="s">
        <v>0</v>
      </c>
      <c r="AH2655" s="9" t="s">
        <v>0</v>
      </c>
      <c r="AI2655" s="9" t="s">
        <v>0</v>
      </c>
      <c r="AJ2655" s="9" t="s">
        <v>0</v>
      </c>
      <c r="AK2655" s="7" t="s">
        <v>61</v>
      </c>
      <c r="AL2655" s="7" t="s">
        <v>61</v>
      </c>
      <c r="AM2655" s="7" t="s">
        <v>0</v>
      </c>
      <c r="AN2655" s="7" t="s">
        <v>0</v>
      </c>
      <c r="AO2655" s="7" t="s">
        <v>0</v>
      </c>
      <c r="AP2655" s="7" t="s">
        <v>0</v>
      </c>
      <c r="AQ2655" s="7" t="s">
        <v>61</v>
      </c>
      <c r="AR2655" s="7" t="s">
        <v>0</v>
      </c>
      <c r="AS2655" s="10" t="str">
        <f>HYPERLINK("https://tessa.gazprom-neft.local/edo/card/61507ac0-369c-458e-9934-8ae181ffc51f", "https://tessa.gazprom-neft.local/edo/card/61507ac0-369c-458e-9934-8ae181ffc51f")</f>
        <v>https://tessa.gazprom-neft.local/edo/card/61507ac0-369c-458e-9934-8ae181ffc51f</v>
      </c>
    </row>
    <row r="2656" spans="1:45" x14ac:dyDescent="0.25">
      <c r="A2656" s="6" t="s">
        <v>44</v>
      </c>
      <c r="B2656" s="7" t="s">
        <v>460</v>
      </c>
      <c r="C2656" s="7" t="s">
        <v>46</v>
      </c>
      <c r="D2656" s="7"/>
      <c r="E2656" s="7"/>
      <c r="F2656" s="16" t="s">
        <v>461</v>
      </c>
      <c r="G2656" s="7" t="s">
        <v>462</v>
      </c>
      <c r="H2656" s="7" t="s">
        <v>9239</v>
      </c>
      <c r="I2656" s="7" t="s">
        <v>0</v>
      </c>
      <c r="J2656" s="7" t="s">
        <v>51</v>
      </c>
      <c r="K2656" s="7" t="s">
        <v>47</v>
      </c>
      <c r="L2656" s="7" t="s">
        <v>48</v>
      </c>
      <c r="M2656" s="7" t="s">
        <v>0</v>
      </c>
      <c r="N2656" s="7" t="s">
        <v>9813</v>
      </c>
      <c r="O2656" s="7" t="s">
        <v>0</v>
      </c>
      <c r="P2656" s="7" t="s">
        <v>1859</v>
      </c>
      <c r="Q2656" s="7" t="s">
        <v>9814</v>
      </c>
      <c r="R2656" s="7" t="s">
        <v>1004</v>
      </c>
      <c r="S2656" s="7" t="s">
        <v>1004</v>
      </c>
      <c r="T2656" s="7" t="s">
        <v>54</v>
      </c>
      <c r="U2656" s="7" t="s">
        <v>111</v>
      </c>
      <c r="V2656" s="7" t="s">
        <v>137</v>
      </c>
      <c r="W2656" s="7" t="s">
        <v>57</v>
      </c>
      <c r="X2656" s="7" t="s">
        <v>58</v>
      </c>
      <c r="Y2656" s="7"/>
      <c r="Z2656" s="7"/>
      <c r="AA2656" s="7" t="s">
        <v>0</v>
      </c>
      <c r="AB2656" s="7" t="s">
        <v>192</v>
      </c>
      <c r="AC2656" s="7" t="s">
        <v>79</v>
      </c>
      <c r="AD2656" s="7" t="s">
        <v>80</v>
      </c>
      <c r="AE2656" s="7" t="s">
        <v>193</v>
      </c>
      <c r="AF2656" s="7" t="s">
        <v>0</v>
      </c>
      <c r="AG2656" s="7" t="s">
        <v>0</v>
      </c>
      <c r="AH2656" s="9" t="s">
        <v>14075</v>
      </c>
      <c r="AI2656" s="9" t="s">
        <v>14076</v>
      </c>
      <c r="AJ2656" s="9" t="s">
        <v>14077</v>
      </c>
      <c r="AK2656" s="7" t="s">
        <v>61</v>
      </c>
      <c r="AL2656" s="7" t="s">
        <v>61</v>
      </c>
      <c r="AM2656" s="7" t="s">
        <v>0</v>
      </c>
      <c r="AN2656" s="7" t="s">
        <v>0</v>
      </c>
      <c r="AO2656" s="7" t="s">
        <v>0</v>
      </c>
      <c r="AP2656" s="7" t="s">
        <v>0</v>
      </c>
      <c r="AQ2656" s="7" t="s">
        <v>61</v>
      </c>
      <c r="AR2656" s="7" t="s">
        <v>0</v>
      </c>
      <c r="AS2656" s="10" t="str">
        <f>HYPERLINK("https://tessa.gazprom-neft.local/edo/card/9505e1b1-4c86-45f3-b9d5-527760a2e13c", "https://tessa.gazprom-neft.local/edo/card/9505e1b1-4c86-45f3-b9d5-527760a2e13c")</f>
        <v>https://tessa.gazprom-neft.local/edo/card/9505e1b1-4c86-45f3-b9d5-527760a2e13c</v>
      </c>
    </row>
    <row r="2657" spans="1:45" hidden="1" x14ac:dyDescent="0.25">
      <c r="A2657" s="6" t="s">
        <v>44</v>
      </c>
      <c r="B2657" s="7" t="s">
        <v>3326</v>
      </c>
      <c r="C2657" s="7" t="s">
        <v>67</v>
      </c>
      <c r="D2657" s="7"/>
      <c r="E2657" s="7"/>
      <c r="F2657" s="16" t="s">
        <v>3327</v>
      </c>
      <c r="G2657" s="7" t="s">
        <v>3328</v>
      </c>
      <c r="H2657" s="7" t="s">
        <v>0</v>
      </c>
      <c r="I2657" s="7" t="s">
        <v>9816</v>
      </c>
      <c r="J2657" s="7" t="s">
        <v>9816</v>
      </c>
      <c r="K2657" s="7" t="s">
        <v>47</v>
      </c>
      <c r="L2657" s="7" t="s">
        <v>96</v>
      </c>
      <c r="M2657" s="7" t="s">
        <v>0</v>
      </c>
      <c r="N2657" s="7" t="s">
        <v>9815</v>
      </c>
      <c r="O2657" s="7" t="s">
        <v>0</v>
      </c>
      <c r="P2657" s="7" t="s">
        <v>9817</v>
      </c>
      <c r="Q2657" s="7" t="s">
        <v>9818</v>
      </c>
      <c r="R2657" s="7" t="s">
        <v>100</v>
      </c>
      <c r="S2657" s="7" t="s">
        <v>100</v>
      </c>
      <c r="T2657" s="7" t="s">
        <v>54</v>
      </c>
      <c r="U2657" s="7" t="s">
        <v>101</v>
      </c>
      <c r="V2657" s="7" t="s">
        <v>102</v>
      </c>
      <c r="W2657" s="7" t="s">
        <v>57</v>
      </c>
      <c r="X2657" s="7" t="s">
        <v>103</v>
      </c>
      <c r="Y2657" s="7"/>
      <c r="Z2657" s="7"/>
      <c r="AA2657" s="7" t="s">
        <v>104</v>
      </c>
      <c r="AB2657" s="7" t="s">
        <v>64</v>
      </c>
      <c r="AC2657" s="7" t="s">
        <v>79</v>
      </c>
      <c r="AD2657" s="7" t="s">
        <v>367</v>
      </c>
      <c r="AE2657" s="7" t="s">
        <v>82</v>
      </c>
      <c r="AF2657" s="7" t="s">
        <v>0</v>
      </c>
      <c r="AG2657" s="7" t="s">
        <v>0</v>
      </c>
      <c r="AH2657" s="9" t="s">
        <v>14078</v>
      </c>
      <c r="AI2657" s="9" t="s">
        <v>14079</v>
      </c>
      <c r="AJ2657" s="9" t="s">
        <v>14080</v>
      </c>
      <c r="AK2657" s="7" t="s">
        <v>61</v>
      </c>
      <c r="AL2657" s="7" t="s">
        <v>61</v>
      </c>
      <c r="AM2657" s="7" t="s">
        <v>0</v>
      </c>
      <c r="AN2657" s="7" t="s">
        <v>0</v>
      </c>
      <c r="AO2657" s="7" t="s">
        <v>0</v>
      </c>
      <c r="AP2657" s="7" t="s">
        <v>0</v>
      </c>
      <c r="AQ2657" s="7" t="s">
        <v>61</v>
      </c>
      <c r="AR2657" s="7" t="s">
        <v>0</v>
      </c>
      <c r="AS2657" s="10" t="str">
        <f>HYPERLINK("https://tessa.gazprom-neft.local/edo/card/19646c6b-599d-4130-8aeb-4ac6a02fb2ba", "https://tessa.gazprom-neft.local/edo/card/19646c6b-599d-4130-8aeb-4ac6a02fb2ba")</f>
        <v>https://tessa.gazprom-neft.local/edo/card/19646c6b-599d-4130-8aeb-4ac6a02fb2ba</v>
      </c>
    </row>
    <row r="2658" spans="1:45" x14ac:dyDescent="0.25">
      <c r="A2658" s="6" t="s">
        <v>44</v>
      </c>
      <c r="B2658" s="7" t="s">
        <v>5815</v>
      </c>
      <c r="C2658" s="7" t="s">
        <v>67</v>
      </c>
      <c r="D2658" s="7"/>
      <c r="E2658" s="7"/>
      <c r="F2658" s="16" t="s">
        <v>5816</v>
      </c>
      <c r="G2658" s="7" t="s">
        <v>5817</v>
      </c>
      <c r="H2658" s="7" t="s">
        <v>5874</v>
      </c>
      <c r="I2658" s="7" t="s">
        <v>0</v>
      </c>
      <c r="J2658" s="7" t="s">
        <v>156</v>
      </c>
      <c r="K2658" s="7" t="s">
        <v>47</v>
      </c>
      <c r="L2658" s="7" t="s">
        <v>48</v>
      </c>
      <c r="M2658" s="7" t="s">
        <v>0</v>
      </c>
      <c r="N2658" s="7" t="s">
        <v>9819</v>
      </c>
      <c r="O2658" s="7" t="s">
        <v>0</v>
      </c>
      <c r="P2658" s="7" t="s">
        <v>9820</v>
      </c>
      <c r="Q2658" s="7" t="s">
        <v>9821</v>
      </c>
      <c r="R2658" s="7" t="s">
        <v>1481</v>
      </c>
      <c r="S2658" s="7" t="s">
        <v>1481</v>
      </c>
      <c r="T2658" s="7" t="s">
        <v>54</v>
      </c>
      <c r="U2658" s="7" t="s">
        <v>777</v>
      </c>
      <c r="V2658" s="7" t="s">
        <v>168</v>
      </c>
      <c r="W2658" s="7" t="s">
        <v>74</v>
      </c>
      <c r="X2658" s="7" t="s">
        <v>103</v>
      </c>
      <c r="Y2658" s="7"/>
      <c r="Z2658" s="7"/>
      <c r="AA2658" s="7" t="s">
        <v>0</v>
      </c>
      <c r="AB2658" s="7" t="s">
        <v>64</v>
      </c>
      <c r="AC2658" s="7" t="s">
        <v>65</v>
      </c>
      <c r="AD2658" s="7" t="s">
        <v>514</v>
      </c>
      <c r="AE2658" s="7" t="s">
        <v>0</v>
      </c>
      <c r="AF2658" s="7" t="s">
        <v>0</v>
      </c>
      <c r="AG2658" s="7" t="s">
        <v>0</v>
      </c>
      <c r="AH2658" s="9" t="s">
        <v>0</v>
      </c>
      <c r="AI2658" s="9" t="s">
        <v>0</v>
      </c>
      <c r="AJ2658" s="9" t="s">
        <v>0</v>
      </c>
      <c r="AK2658" s="7" t="s">
        <v>61</v>
      </c>
      <c r="AL2658" s="7" t="s">
        <v>61</v>
      </c>
      <c r="AM2658" s="7" t="s">
        <v>0</v>
      </c>
      <c r="AN2658" s="7" t="s">
        <v>0</v>
      </c>
      <c r="AO2658" s="7" t="s">
        <v>0</v>
      </c>
      <c r="AP2658" s="7" t="s">
        <v>0</v>
      </c>
      <c r="AQ2658" s="7" t="s">
        <v>61</v>
      </c>
      <c r="AR2658" s="7" t="s">
        <v>0</v>
      </c>
      <c r="AS2658" s="10" t="str">
        <f>HYPERLINK("https://tessa.gazprom-neft.local/edo/card/e824d1b5-7e9d-45f6-9361-eb8fd35d3701", "https://tessa.gazprom-neft.local/edo/card/e824d1b5-7e9d-45f6-9361-eb8fd35d3701")</f>
        <v>https://tessa.gazprom-neft.local/edo/card/e824d1b5-7e9d-45f6-9361-eb8fd35d3701</v>
      </c>
    </row>
    <row r="2659" spans="1:45" x14ac:dyDescent="0.25">
      <c r="A2659" s="6" t="s">
        <v>44</v>
      </c>
      <c r="B2659" s="7" t="s">
        <v>1981</v>
      </c>
      <c r="C2659" s="7" t="s">
        <v>67</v>
      </c>
      <c r="D2659" s="7"/>
      <c r="E2659" s="7"/>
      <c r="F2659" s="16" t="s">
        <v>1982</v>
      </c>
      <c r="G2659" s="7" t="s">
        <v>1983</v>
      </c>
      <c r="H2659" s="7" t="s">
        <v>1979</v>
      </c>
      <c r="I2659" s="7" t="s">
        <v>0</v>
      </c>
      <c r="J2659" s="7" t="s">
        <v>156</v>
      </c>
      <c r="K2659" s="7" t="s">
        <v>85</v>
      </c>
      <c r="L2659" s="7" t="s">
        <v>48</v>
      </c>
      <c r="M2659" s="7" t="s">
        <v>9463</v>
      </c>
      <c r="N2659" s="7" t="s">
        <v>9822</v>
      </c>
      <c r="O2659" s="7" t="s">
        <v>0</v>
      </c>
      <c r="P2659" s="7" t="s">
        <v>9463</v>
      </c>
      <c r="Q2659" s="7" t="s">
        <v>9823</v>
      </c>
      <c r="R2659" s="7" t="s">
        <v>2594</v>
      </c>
      <c r="S2659" s="7" t="s">
        <v>2594</v>
      </c>
      <c r="T2659" s="7" t="s">
        <v>54</v>
      </c>
      <c r="U2659" s="7" t="s">
        <v>199</v>
      </c>
      <c r="V2659" s="7" t="s">
        <v>126</v>
      </c>
      <c r="W2659" s="7" t="s">
        <v>74</v>
      </c>
      <c r="X2659" s="7" t="s">
        <v>103</v>
      </c>
      <c r="Y2659" s="7"/>
      <c r="Z2659" s="7"/>
      <c r="AA2659" s="7" t="s">
        <v>224</v>
      </c>
      <c r="AB2659" s="7" t="s">
        <v>1984</v>
      </c>
      <c r="AC2659" s="7" t="s">
        <v>65</v>
      </c>
      <c r="AD2659" s="7" t="s">
        <v>80</v>
      </c>
      <c r="AE2659" s="7" t="s">
        <v>0</v>
      </c>
      <c r="AF2659" s="7" t="s">
        <v>0</v>
      </c>
      <c r="AG2659" s="7" t="s">
        <v>0</v>
      </c>
      <c r="AH2659" s="9" t="s">
        <v>0</v>
      </c>
      <c r="AI2659" s="9" t="s">
        <v>0</v>
      </c>
      <c r="AJ2659" s="9" t="s">
        <v>0</v>
      </c>
      <c r="AK2659" s="7" t="s">
        <v>61</v>
      </c>
      <c r="AL2659" s="7" t="s">
        <v>61</v>
      </c>
      <c r="AM2659" s="7" t="s">
        <v>0</v>
      </c>
      <c r="AN2659" s="7" t="s">
        <v>0</v>
      </c>
      <c r="AO2659" s="7" t="s">
        <v>0</v>
      </c>
      <c r="AP2659" s="7" t="s">
        <v>0</v>
      </c>
      <c r="AQ2659" s="7" t="s">
        <v>61</v>
      </c>
      <c r="AR2659" s="7" t="s">
        <v>0</v>
      </c>
      <c r="AS2659" s="10" t="str">
        <f>HYPERLINK("https://tessa.gazprom-neft.local/edo/card/86602896-f592-4644-98f3-e20595a83a32", "https://tessa.gazprom-neft.local/edo/card/86602896-f592-4644-98f3-e20595a83a32")</f>
        <v>https://tessa.gazprom-neft.local/edo/card/86602896-f592-4644-98f3-e20595a83a32</v>
      </c>
    </row>
    <row r="2660" spans="1:45" x14ac:dyDescent="0.25">
      <c r="A2660" s="6" t="s">
        <v>44</v>
      </c>
      <c r="B2660" s="7" t="s">
        <v>9827</v>
      </c>
      <c r="C2660" s="7" t="s">
        <v>67</v>
      </c>
      <c r="D2660" s="7"/>
      <c r="E2660" s="7"/>
      <c r="F2660" s="16" t="s">
        <v>9828</v>
      </c>
      <c r="G2660" s="7" t="s">
        <v>9829</v>
      </c>
      <c r="H2660" s="7" t="s">
        <v>9825</v>
      </c>
      <c r="I2660" s="7" t="s">
        <v>0</v>
      </c>
      <c r="J2660" s="7" t="s">
        <v>51</v>
      </c>
      <c r="K2660" s="7" t="s">
        <v>47</v>
      </c>
      <c r="L2660" s="7" t="s">
        <v>48</v>
      </c>
      <c r="M2660" s="7" t="s">
        <v>0</v>
      </c>
      <c r="N2660" s="7" t="s">
        <v>9824</v>
      </c>
      <c r="O2660" s="7" t="s">
        <v>0</v>
      </c>
      <c r="P2660" s="7" t="s">
        <v>50</v>
      </c>
      <c r="Q2660" s="7" t="s">
        <v>9826</v>
      </c>
      <c r="R2660" s="7" t="s">
        <v>338</v>
      </c>
      <c r="S2660" s="7" t="s">
        <v>1774</v>
      </c>
      <c r="T2660" s="7" t="s">
        <v>54</v>
      </c>
      <c r="U2660" s="7" t="s">
        <v>307</v>
      </c>
      <c r="V2660" s="7" t="s">
        <v>126</v>
      </c>
      <c r="W2660" s="7" t="s">
        <v>74</v>
      </c>
      <c r="X2660" s="7" t="s">
        <v>103</v>
      </c>
      <c r="Y2660" s="7"/>
      <c r="Z2660" s="7"/>
      <c r="AA2660" s="7" t="s">
        <v>224</v>
      </c>
      <c r="AB2660" s="7" t="s">
        <v>130</v>
      </c>
      <c r="AC2660" s="7" t="s">
        <v>65</v>
      </c>
      <c r="AD2660" s="7" t="s">
        <v>0</v>
      </c>
      <c r="AE2660" s="7" t="s">
        <v>0</v>
      </c>
      <c r="AF2660" s="7" t="s">
        <v>0</v>
      </c>
      <c r="AG2660" s="7" t="s">
        <v>0</v>
      </c>
      <c r="AH2660" s="9" t="s">
        <v>0</v>
      </c>
      <c r="AI2660" s="9" t="s">
        <v>0</v>
      </c>
      <c r="AJ2660" s="9" t="s">
        <v>0</v>
      </c>
      <c r="AK2660" s="7" t="s">
        <v>61</v>
      </c>
      <c r="AL2660" s="7" t="s">
        <v>61</v>
      </c>
      <c r="AM2660" s="7" t="s">
        <v>0</v>
      </c>
      <c r="AN2660" s="7" t="s">
        <v>0</v>
      </c>
      <c r="AO2660" s="7" t="s">
        <v>0</v>
      </c>
      <c r="AP2660" s="7" t="s">
        <v>0</v>
      </c>
      <c r="AQ2660" s="7" t="s">
        <v>61</v>
      </c>
      <c r="AR2660" s="7" t="s">
        <v>0</v>
      </c>
      <c r="AS2660" s="10" t="str">
        <f>HYPERLINK("https://tessa.gazprom-neft.local/edo/card/a4cbe820-a9a9-401e-bb0a-c9d542d1018a", "https://tessa.gazprom-neft.local/edo/card/a4cbe820-a9a9-401e-bb0a-c9d542d1018a")</f>
        <v>https://tessa.gazprom-neft.local/edo/card/a4cbe820-a9a9-401e-bb0a-c9d542d1018a</v>
      </c>
    </row>
    <row r="2661" spans="1:45" hidden="1" x14ac:dyDescent="0.25">
      <c r="A2661" s="6" t="s">
        <v>44</v>
      </c>
      <c r="B2661" s="7" t="s">
        <v>0</v>
      </c>
      <c r="C2661" s="7" t="s">
        <v>67</v>
      </c>
      <c r="D2661" s="7"/>
      <c r="E2661" s="7"/>
      <c r="F2661" s="16" t="s">
        <v>9790</v>
      </c>
      <c r="G2661" s="7" t="s">
        <v>0</v>
      </c>
      <c r="H2661" s="7" t="s">
        <v>0</v>
      </c>
      <c r="I2661" s="7" t="s">
        <v>9831</v>
      </c>
      <c r="J2661" s="7" t="s">
        <v>9831</v>
      </c>
      <c r="K2661" s="7" t="s">
        <v>85</v>
      </c>
      <c r="L2661" s="7" t="s">
        <v>86</v>
      </c>
      <c r="M2661" s="7" t="s">
        <v>523</v>
      </c>
      <c r="N2661" s="7" t="s">
        <v>9830</v>
      </c>
      <c r="O2661" s="7" t="s">
        <v>0</v>
      </c>
      <c r="P2661" s="7" t="s">
        <v>523</v>
      </c>
      <c r="Q2661" s="7" t="s">
        <v>9265</v>
      </c>
      <c r="R2661" s="7" t="s">
        <v>1403</v>
      </c>
      <c r="S2661" s="7" t="s">
        <v>1403</v>
      </c>
      <c r="T2661" s="7" t="s">
        <v>54</v>
      </c>
      <c r="U2661" s="7" t="s">
        <v>303</v>
      </c>
      <c r="V2661" s="7" t="s">
        <v>91</v>
      </c>
      <c r="W2661" s="7" t="s">
        <v>57</v>
      </c>
      <c r="X2661" s="7" t="s">
        <v>58</v>
      </c>
      <c r="Y2661" s="7"/>
      <c r="Z2661" s="7"/>
      <c r="AA2661" s="7" t="s">
        <v>92</v>
      </c>
      <c r="AB2661" s="7" t="s">
        <v>94</v>
      </c>
      <c r="AC2661" s="7" t="s">
        <v>65</v>
      </c>
      <c r="AD2661" s="7" t="s">
        <v>0</v>
      </c>
      <c r="AE2661" s="7" t="s">
        <v>0</v>
      </c>
      <c r="AF2661" s="7" t="s">
        <v>0</v>
      </c>
      <c r="AG2661" s="7" t="s">
        <v>0</v>
      </c>
      <c r="AH2661" s="9" t="s">
        <v>0</v>
      </c>
      <c r="AI2661" s="9" t="s">
        <v>0</v>
      </c>
      <c r="AJ2661" s="9" t="s">
        <v>0</v>
      </c>
      <c r="AK2661" s="7" t="s">
        <v>61</v>
      </c>
      <c r="AL2661" s="7" t="s">
        <v>61</v>
      </c>
      <c r="AM2661" s="7" t="s">
        <v>0</v>
      </c>
      <c r="AN2661" s="7" t="s">
        <v>0</v>
      </c>
      <c r="AO2661" s="7" t="s">
        <v>0</v>
      </c>
      <c r="AP2661" s="7" t="s">
        <v>0</v>
      </c>
      <c r="AQ2661" s="7" t="s">
        <v>61</v>
      </c>
      <c r="AR2661" s="7" t="s">
        <v>0</v>
      </c>
      <c r="AS2661" s="10" t="str">
        <f>HYPERLINK("https://tessa.gazprom-neft.local/edo/card/40d1d4b3-fccb-4b1a-bcbd-88b221c4da62", "https://tessa.gazprom-neft.local/edo/card/40d1d4b3-fccb-4b1a-bcbd-88b221c4da62")</f>
        <v>https://tessa.gazprom-neft.local/edo/card/40d1d4b3-fccb-4b1a-bcbd-88b221c4da62</v>
      </c>
    </row>
    <row r="2662" spans="1:45" x14ac:dyDescent="0.25">
      <c r="A2662" s="6" t="s">
        <v>44</v>
      </c>
      <c r="B2662" s="7" t="s">
        <v>927</v>
      </c>
      <c r="C2662" s="7" t="s">
        <v>67</v>
      </c>
      <c r="D2662" s="7"/>
      <c r="E2662" s="7"/>
      <c r="F2662" s="16" t="s">
        <v>928</v>
      </c>
      <c r="G2662" s="7" t="s">
        <v>929</v>
      </c>
      <c r="H2662" s="7" t="s">
        <v>3224</v>
      </c>
      <c r="I2662" s="7" t="s">
        <v>0</v>
      </c>
      <c r="J2662" s="7" t="s">
        <v>156</v>
      </c>
      <c r="K2662" s="7" t="s">
        <v>85</v>
      </c>
      <c r="L2662" s="7" t="s">
        <v>48</v>
      </c>
      <c r="M2662" s="7" t="s">
        <v>2128</v>
      </c>
      <c r="N2662" s="7" t="s">
        <v>9832</v>
      </c>
      <c r="O2662" s="7" t="s">
        <v>0</v>
      </c>
      <c r="P2662" s="7" t="s">
        <v>2128</v>
      </c>
      <c r="Q2662" s="7" t="s">
        <v>9833</v>
      </c>
      <c r="R2662" s="7" t="s">
        <v>198</v>
      </c>
      <c r="S2662" s="7" t="s">
        <v>198</v>
      </c>
      <c r="T2662" s="7" t="s">
        <v>54</v>
      </c>
      <c r="U2662" s="7" t="s">
        <v>199</v>
      </c>
      <c r="V2662" s="7" t="s">
        <v>126</v>
      </c>
      <c r="W2662" s="7" t="s">
        <v>74</v>
      </c>
      <c r="X2662" s="7" t="s">
        <v>103</v>
      </c>
      <c r="Y2662" s="7"/>
      <c r="Z2662" s="7"/>
      <c r="AA2662" s="7" t="s">
        <v>224</v>
      </c>
      <c r="AB2662" s="7" t="s">
        <v>3227</v>
      </c>
      <c r="AC2662" s="7" t="s">
        <v>65</v>
      </c>
      <c r="AD2662" s="7" t="s">
        <v>80</v>
      </c>
      <c r="AE2662" s="7" t="s">
        <v>0</v>
      </c>
      <c r="AF2662" s="7" t="s">
        <v>0</v>
      </c>
      <c r="AG2662" s="7" t="s">
        <v>0</v>
      </c>
      <c r="AH2662" s="9" t="s">
        <v>0</v>
      </c>
      <c r="AI2662" s="9" t="s">
        <v>0</v>
      </c>
      <c r="AJ2662" s="9" t="s">
        <v>0</v>
      </c>
      <c r="AK2662" s="7" t="s">
        <v>61</v>
      </c>
      <c r="AL2662" s="7" t="s">
        <v>61</v>
      </c>
      <c r="AM2662" s="7" t="s">
        <v>0</v>
      </c>
      <c r="AN2662" s="7" t="s">
        <v>0</v>
      </c>
      <c r="AO2662" s="7" t="s">
        <v>0</v>
      </c>
      <c r="AP2662" s="7" t="s">
        <v>0</v>
      </c>
      <c r="AQ2662" s="7" t="s">
        <v>61</v>
      </c>
      <c r="AR2662" s="7" t="s">
        <v>0</v>
      </c>
      <c r="AS2662" s="10" t="str">
        <f>HYPERLINK("https://tessa.gazprom-neft.local/edo/card/1f2e1135-fb94-4ee3-8986-2630f2766cc3", "https://tessa.gazprom-neft.local/edo/card/1f2e1135-fb94-4ee3-8986-2630f2766cc3")</f>
        <v>https://tessa.gazprom-neft.local/edo/card/1f2e1135-fb94-4ee3-8986-2630f2766cc3</v>
      </c>
    </row>
    <row r="2663" spans="1:45" x14ac:dyDescent="0.25">
      <c r="A2663" s="6" t="s">
        <v>44</v>
      </c>
      <c r="B2663" s="7" t="s">
        <v>4071</v>
      </c>
      <c r="C2663" s="7" t="s">
        <v>67</v>
      </c>
      <c r="D2663" s="7"/>
      <c r="E2663" s="7"/>
      <c r="F2663" s="16" t="s">
        <v>4072</v>
      </c>
      <c r="G2663" s="7" t="s">
        <v>4073</v>
      </c>
      <c r="H2663" s="7" t="s">
        <v>4580</v>
      </c>
      <c r="I2663" s="7" t="s">
        <v>0</v>
      </c>
      <c r="J2663" s="7" t="s">
        <v>1098</v>
      </c>
      <c r="K2663" s="7" t="s">
        <v>47</v>
      </c>
      <c r="L2663" s="7" t="s">
        <v>48</v>
      </c>
      <c r="M2663" s="7" t="s">
        <v>0</v>
      </c>
      <c r="N2663" s="7" t="s">
        <v>9834</v>
      </c>
      <c r="O2663" s="7" t="s">
        <v>0</v>
      </c>
      <c r="P2663" s="7" t="s">
        <v>9835</v>
      </c>
      <c r="Q2663" s="7" t="s">
        <v>9836</v>
      </c>
      <c r="R2663" s="7" t="s">
        <v>519</v>
      </c>
      <c r="S2663" s="7" t="s">
        <v>519</v>
      </c>
      <c r="T2663" s="7" t="s">
        <v>54</v>
      </c>
      <c r="U2663" s="7" t="s">
        <v>362</v>
      </c>
      <c r="V2663" s="7" t="s">
        <v>295</v>
      </c>
      <c r="W2663" s="7" t="s">
        <v>74</v>
      </c>
      <c r="X2663" s="7" t="s">
        <v>103</v>
      </c>
      <c r="Y2663" s="7"/>
      <c r="Z2663" s="7"/>
      <c r="AA2663" s="7" t="s">
        <v>296</v>
      </c>
      <c r="AB2663" s="7" t="s">
        <v>130</v>
      </c>
      <c r="AC2663" s="7" t="s">
        <v>79</v>
      </c>
      <c r="AD2663" s="7" t="s">
        <v>514</v>
      </c>
      <c r="AE2663" s="7" t="s">
        <v>82</v>
      </c>
      <c r="AF2663" s="7" t="s">
        <v>0</v>
      </c>
      <c r="AG2663" s="7" t="s">
        <v>0</v>
      </c>
      <c r="AH2663" s="9" t="s">
        <v>14081</v>
      </c>
      <c r="AI2663" s="9" t="s">
        <v>14082</v>
      </c>
      <c r="AJ2663" s="9" t="s">
        <v>14083</v>
      </c>
      <c r="AK2663" s="7" t="s">
        <v>61</v>
      </c>
      <c r="AL2663" s="7" t="s">
        <v>61</v>
      </c>
      <c r="AM2663" s="7" t="s">
        <v>0</v>
      </c>
      <c r="AN2663" s="7" t="s">
        <v>0</v>
      </c>
      <c r="AO2663" s="7" t="s">
        <v>0</v>
      </c>
      <c r="AP2663" s="7" t="s">
        <v>0</v>
      </c>
      <c r="AQ2663" s="7" t="s">
        <v>61</v>
      </c>
      <c r="AR2663" s="7" t="s">
        <v>0</v>
      </c>
      <c r="AS2663" s="10" t="str">
        <f>HYPERLINK("https://tessa.gazprom-neft.local/edo/card/396cbf9b-8f77-43eb-9519-3a8b757b33ad", "https://tessa.gazprom-neft.local/edo/card/396cbf9b-8f77-43eb-9519-3a8b757b33ad")</f>
        <v>https://tessa.gazprom-neft.local/edo/card/396cbf9b-8f77-43eb-9519-3a8b757b33ad</v>
      </c>
    </row>
    <row r="2664" spans="1:45" x14ac:dyDescent="0.25">
      <c r="A2664" s="6" t="s">
        <v>44</v>
      </c>
      <c r="B2664" s="7" t="s">
        <v>2108</v>
      </c>
      <c r="C2664" s="7" t="s">
        <v>67</v>
      </c>
      <c r="D2664" s="7"/>
      <c r="E2664" s="7"/>
      <c r="F2664" s="16" t="s">
        <v>2109</v>
      </c>
      <c r="G2664" s="7" t="s">
        <v>2110</v>
      </c>
      <c r="H2664" s="7" t="s">
        <v>2107</v>
      </c>
      <c r="I2664" s="7" t="s">
        <v>0</v>
      </c>
      <c r="J2664" s="7" t="s">
        <v>156</v>
      </c>
      <c r="K2664" s="7" t="s">
        <v>85</v>
      </c>
      <c r="L2664" s="7" t="s">
        <v>48</v>
      </c>
      <c r="M2664" s="7" t="s">
        <v>9463</v>
      </c>
      <c r="N2664" s="7" t="s">
        <v>9837</v>
      </c>
      <c r="O2664" s="7" t="s">
        <v>0</v>
      </c>
      <c r="P2664" s="7" t="s">
        <v>9463</v>
      </c>
      <c r="Q2664" s="7" t="s">
        <v>9838</v>
      </c>
      <c r="R2664" s="7" t="s">
        <v>2594</v>
      </c>
      <c r="S2664" s="7" t="s">
        <v>2594</v>
      </c>
      <c r="T2664" s="7" t="s">
        <v>54</v>
      </c>
      <c r="U2664" s="7" t="s">
        <v>199</v>
      </c>
      <c r="V2664" s="7" t="s">
        <v>126</v>
      </c>
      <c r="W2664" s="7" t="s">
        <v>74</v>
      </c>
      <c r="X2664" s="7" t="s">
        <v>58</v>
      </c>
      <c r="Y2664" s="7"/>
      <c r="Z2664" s="7"/>
      <c r="AA2664" s="7" t="s">
        <v>224</v>
      </c>
      <c r="AB2664" s="7" t="s">
        <v>130</v>
      </c>
      <c r="AC2664" s="7" t="s">
        <v>65</v>
      </c>
      <c r="AD2664" s="7" t="s">
        <v>80</v>
      </c>
      <c r="AE2664" s="7" t="s">
        <v>0</v>
      </c>
      <c r="AF2664" s="7" t="s">
        <v>0</v>
      </c>
      <c r="AG2664" s="7" t="s">
        <v>0</v>
      </c>
      <c r="AH2664" s="9" t="s">
        <v>0</v>
      </c>
      <c r="AI2664" s="9" t="s">
        <v>0</v>
      </c>
      <c r="AJ2664" s="9" t="s">
        <v>0</v>
      </c>
      <c r="AK2664" s="7" t="s">
        <v>61</v>
      </c>
      <c r="AL2664" s="7" t="s">
        <v>61</v>
      </c>
      <c r="AM2664" s="7" t="s">
        <v>0</v>
      </c>
      <c r="AN2664" s="7" t="s">
        <v>0</v>
      </c>
      <c r="AO2664" s="7" t="s">
        <v>0</v>
      </c>
      <c r="AP2664" s="7" t="s">
        <v>0</v>
      </c>
      <c r="AQ2664" s="7" t="s">
        <v>61</v>
      </c>
      <c r="AR2664" s="7" t="s">
        <v>0</v>
      </c>
      <c r="AS2664" s="10" t="str">
        <f>HYPERLINK("https://tessa.gazprom-neft.local/edo/card/b7a6d14c-7180-408f-b691-03e61a14f008", "https://tessa.gazprom-neft.local/edo/card/b7a6d14c-7180-408f-b691-03e61a14f008")</f>
        <v>https://tessa.gazprom-neft.local/edo/card/b7a6d14c-7180-408f-b691-03e61a14f008</v>
      </c>
    </row>
    <row r="2665" spans="1:45" x14ac:dyDescent="0.25">
      <c r="A2665" s="6" t="s">
        <v>44</v>
      </c>
      <c r="B2665" s="7" t="s">
        <v>2434</v>
      </c>
      <c r="C2665" s="7" t="s">
        <v>46</v>
      </c>
      <c r="D2665" s="7"/>
      <c r="E2665" s="7"/>
      <c r="F2665" s="16" t="s">
        <v>2435</v>
      </c>
      <c r="G2665" s="7" t="s">
        <v>2436</v>
      </c>
      <c r="H2665" s="7" t="s">
        <v>5135</v>
      </c>
      <c r="I2665" s="7" t="s">
        <v>0</v>
      </c>
      <c r="J2665" s="7" t="s">
        <v>51</v>
      </c>
      <c r="K2665" s="7" t="s">
        <v>47</v>
      </c>
      <c r="L2665" s="7" t="s">
        <v>48</v>
      </c>
      <c r="M2665" s="7" t="s">
        <v>0</v>
      </c>
      <c r="N2665" s="7" t="s">
        <v>9839</v>
      </c>
      <c r="O2665" s="7" t="s">
        <v>0</v>
      </c>
      <c r="P2665" s="7" t="s">
        <v>9840</v>
      </c>
      <c r="Q2665" s="7" t="s">
        <v>2433</v>
      </c>
      <c r="R2665" s="7" t="s">
        <v>604</v>
      </c>
      <c r="S2665" s="7" t="s">
        <v>604</v>
      </c>
      <c r="T2665" s="7" t="s">
        <v>54</v>
      </c>
      <c r="U2665" s="7" t="s">
        <v>605</v>
      </c>
      <c r="V2665" s="7" t="s">
        <v>126</v>
      </c>
      <c r="W2665" s="7" t="s">
        <v>57</v>
      </c>
      <c r="X2665" s="7" t="s">
        <v>58</v>
      </c>
      <c r="Y2665" s="7"/>
      <c r="Z2665" s="7"/>
      <c r="AA2665" s="7" t="s">
        <v>224</v>
      </c>
      <c r="AB2665" s="7" t="s">
        <v>2437</v>
      </c>
      <c r="AC2665" s="7" t="s">
        <v>65</v>
      </c>
      <c r="AD2665" s="7" t="s">
        <v>80</v>
      </c>
      <c r="AE2665" s="7" t="s">
        <v>0</v>
      </c>
      <c r="AF2665" s="7" t="s">
        <v>0</v>
      </c>
      <c r="AG2665" s="7" t="s">
        <v>0</v>
      </c>
      <c r="AH2665" s="9" t="s">
        <v>0</v>
      </c>
      <c r="AI2665" s="9" t="s">
        <v>0</v>
      </c>
      <c r="AJ2665" s="9" t="s">
        <v>0</v>
      </c>
      <c r="AK2665" s="7" t="s">
        <v>61</v>
      </c>
      <c r="AL2665" s="7" t="s">
        <v>61</v>
      </c>
      <c r="AM2665" s="7" t="s">
        <v>0</v>
      </c>
      <c r="AN2665" s="7" t="s">
        <v>0</v>
      </c>
      <c r="AO2665" s="7" t="s">
        <v>0</v>
      </c>
      <c r="AP2665" s="7" t="s">
        <v>0</v>
      </c>
      <c r="AQ2665" s="7" t="s">
        <v>61</v>
      </c>
      <c r="AR2665" s="7" t="s">
        <v>0</v>
      </c>
      <c r="AS2665" s="10" t="str">
        <f>HYPERLINK("https://tessa.gazprom-neft.local/edo/card/bb9fd458-626a-4418-aa87-2c3b58f397f6", "https://tessa.gazprom-neft.local/edo/card/bb9fd458-626a-4418-aa87-2c3b58f397f6")</f>
        <v>https://tessa.gazprom-neft.local/edo/card/bb9fd458-626a-4418-aa87-2c3b58f397f6</v>
      </c>
    </row>
    <row r="2666" spans="1:45" x14ac:dyDescent="0.25">
      <c r="A2666" s="6" t="s">
        <v>44</v>
      </c>
      <c r="B2666" s="7" t="s">
        <v>1775</v>
      </c>
      <c r="C2666" s="7" t="s">
        <v>67</v>
      </c>
      <c r="D2666" s="7"/>
      <c r="E2666" s="7"/>
      <c r="F2666" s="16" t="s">
        <v>1776</v>
      </c>
      <c r="G2666" s="7" t="s">
        <v>1777</v>
      </c>
      <c r="H2666" s="7" t="s">
        <v>2800</v>
      </c>
      <c r="I2666" s="7" t="s">
        <v>0</v>
      </c>
      <c r="J2666" s="7" t="s">
        <v>355</v>
      </c>
      <c r="K2666" s="7" t="s">
        <v>47</v>
      </c>
      <c r="L2666" s="7" t="s">
        <v>48</v>
      </c>
      <c r="M2666" s="7" t="s">
        <v>0</v>
      </c>
      <c r="N2666" s="7" t="s">
        <v>9841</v>
      </c>
      <c r="O2666" s="7" t="s">
        <v>0</v>
      </c>
      <c r="P2666" s="7" t="s">
        <v>1092</v>
      </c>
      <c r="Q2666" s="7" t="s">
        <v>1093</v>
      </c>
      <c r="R2666" s="7" t="s">
        <v>338</v>
      </c>
      <c r="S2666" s="7" t="s">
        <v>1774</v>
      </c>
      <c r="T2666" s="7" t="s">
        <v>54</v>
      </c>
      <c r="U2666" s="7" t="s">
        <v>307</v>
      </c>
      <c r="V2666" s="7" t="s">
        <v>126</v>
      </c>
      <c r="W2666" s="7" t="s">
        <v>74</v>
      </c>
      <c r="X2666" s="7" t="s">
        <v>58</v>
      </c>
      <c r="Y2666" s="7"/>
      <c r="Z2666" s="7"/>
      <c r="AA2666" s="7" t="s">
        <v>224</v>
      </c>
      <c r="AB2666" s="7" t="s">
        <v>130</v>
      </c>
      <c r="AC2666" s="7" t="s">
        <v>65</v>
      </c>
      <c r="AD2666" s="7" t="s">
        <v>514</v>
      </c>
      <c r="AE2666" s="7" t="s">
        <v>0</v>
      </c>
      <c r="AF2666" s="7" t="s">
        <v>0</v>
      </c>
      <c r="AG2666" s="7" t="s">
        <v>0</v>
      </c>
      <c r="AH2666" s="9" t="s">
        <v>0</v>
      </c>
      <c r="AI2666" s="9" t="s">
        <v>0</v>
      </c>
      <c r="AJ2666" s="9" t="s">
        <v>0</v>
      </c>
      <c r="AK2666" s="7" t="s">
        <v>61</v>
      </c>
      <c r="AL2666" s="7" t="s">
        <v>61</v>
      </c>
      <c r="AM2666" s="7" t="s">
        <v>0</v>
      </c>
      <c r="AN2666" s="7" t="s">
        <v>0</v>
      </c>
      <c r="AO2666" s="7" t="s">
        <v>0</v>
      </c>
      <c r="AP2666" s="7" t="s">
        <v>0</v>
      </c>
      <c r="AQ2666" s="7" t="s">
        <v>61</v>
      </c>
      <c r="AR2666" s="7" t="s">
        <v>0</v>
      </c>
      <c r="AS2666" s="10" t="str">
        <f>HYPERLINK("https://tessa.gazprom-neft.local/edo/card/675d949d-1be2-4516-a625-3ff0aff9830d", "https://tessa.gazprom-neft.local/edo/card/675d949d-1be2-4516-a625-3ff0aff9830d")</f>
        <v>https://tessa.gazprom-neft.local/edo/card/675d949d-1be2-4516-a625-3ff0aff9830d</v>
      </c>
    </row>
    <row r="2667" spans="1:45" hidden="1" x14ac:dyDescent="0.25">
      <c r="A2667" s="6" t="s">
        <v>44</v>
      </c>
      <c r="B2667" s="7" t="s">
        <v>661</v>
      </c>
      <c r="C2667" s="7" t="s">
        <v>67</v>
      </c>
      <c r="D2667" s="7"/>
      <c r="E2667" s="7"/>
      <c r="F2667" s="16" t="s">
        <v>662</v>
      </c>
      <c r="G2667" s="7" t="s">
        <v>663</v>
      </c>
      <c r="H2667" s="7" t="s">
        <v>764</v>
      </c>
      <c r="I2667" s="7" t="s">
        <v>0</v>
      </c>
      <c r="J2667" s="7" t="s">
        <v>657</v>
      </c>
      <c r="K2667" s="7" t="s">
        <v>47</v>
      </c>
      <c r="L2667" s="7" t="s">
        <v>763</v>
      </c>
      <c r="M2667" s="7" t="s">
        <v>0</v>
      </c>
      <c r="N2667" s="7" t="s">
        <v>9842</v>
      </c>
      <c r="O2667" s="7" t="s">
        <v>0</v>
      </c>
      <c r="P2667" s="7" t="s">
        <v>9843</v>
      </c>
      <c r="Q2667" s="7" t="s">
        <v>9844</v>
      </c>
      <c r="R2667" s="7" t="s">
        <v>768</v>
      </c>
      <c r="S2667" s="7" t="s">
        <v>768</v>
      </c>
      <c r="T2667" s="7" t="s">
        <v>54</v>
      </c>
      <c r="U2667" s="7" t="s">
        <v>362</v>
      </c>
      <c r="V2667" s="7" t="s">
        <v>917</v>
      </c>
      <c r="W2667" s="7" t="s">
        <v>74</v>
      </c>
      <c r="X2667" s="7" t="s">
        <v>103</v>
      </c>
      <c r="Y2667" s="7"/>
      <c r="Z2667" s="7"/>
      <c r="AA2667" s="7" t="s">
        <v>1278</v>
      </c>
      <c r="AB2667" s="7" t="s">
        <v>130</v>
      </c>
      <c r="AC2667" s="7" t="s">
        <v>79</v>
      </c>
      <c r="AD2667" s="7" t="s">
        <v>80</v>
      </c>
      <c r="AE2667" s="7" t="s">
        <v>82</v>
      </c>
      <c r="AF2667" s="7" t="s">
        <v>0</v>
      </c>
      <c r="AG2667" s="7" t="s">
        <v>0</v>
      </c>
      <c r="AH2667" s="9" t="s">
        <v>10801</v>
      </c>
      <c r="AI2667" s="9" t="s">
        <v>10802</v>
      </c>
      <c r="AJ2667" s="9" t="s">
        <v>10803</v>
      </c>
      <c r="AK2667" s="7" t="s">
        <v>61</v>
      </c>
      <c r="AL2667" s="7" t="s">
        <v>61</v>
      </c>
      <c r="AM2667" s="7" t="s">
        <v>0</v>
      </c>
      <c r="AN2667" s="7" t="s">
        <v>0</v>
      </c>
      <c r="AO2667" s="7" t="s">
        <v>0</v>
      </c>
      <c r="AP2667" s="7" t="s">
        <v>0</v>
      </c>
      <c r="AQ2667" s="7" t="s">
        <v>61</v>
      </c>
      <c r="AR2667" s="7" t="s">
        <v>0</v>
      </c>
      <c r="AS2667" s="10" t="str">
        <f>HYPERLINK("https://tessa.gazprom-neft.local/edo/card/5a4266e1-817f-4890-9887-75ded2d9b724", "https://tessa.gazprom-neft.local/edo/card/5a4266e1-817f-4890-9887-75ded2d9b724")</f>
        <v>https://tessa.gazprom-neft.local/edo/card/5a4266e1-817f-4890-9887-75ded2d9b724</v>
      </c>
    </row>
    <row r="2668" spans="1:45" hidden="1" x14ac:dyDescent="0.25">
      <c r="A2668" s="6" t="s">
        <v>44</v>
      </c>
      <c r="B2668" s="7" t="s">
        <v>1147</v>
      </c>
      <c r="C2668" s="7" t="s">
        <v>67</v>
      </c>
      <c r="D2668" s="7"/>
      <c r="E2668" s="7"/>
      <c r="F2668" s="16" t="s">
        <v>1148</v>
      </c>
      <c r="G2668" s="7" t="s">
        <v>1149</v>
      </c>
      <c r="H2668" s="7" t="s">
        <v>0</v>
      </c>
      <c r="I2668" s="7" t="s">
        <v>9846</v>
      </c>
      <c r="J2668" s="7" t="s">
        <v>9846</v>
      </c>
      <c r="K2668" s="7" t="s">
        <v>85</v>
      </c>
      <c r="L2668" s="7" t="s">
        <v>86</v>
      </c>
      <c r="M2668" s="7" t="s">
        <v>289</v>
      </c>
      <c r="N2668" s="7" t="s">
        <v>9845</v>
      </c>
      <c r="O2668" s="7" t="s">
        <v>0</v>
      </c>
      <c r="P2668" s="7" t="s">
        <v>289</v>
      </c>
      <c r="Q2668" s="7" t="s">
        <v>9847</v>
      </c>
      <c r="R2668" s="7" t="s">
        <v>338</v>
      </c>
      <c r="S2668" s="7" t="s">
        <v>3144</v>
      </c>
      <c r="T2668" s="7" t="s">
        <v>54</v>
      </c>
      <c r="U2668" s="7" t="s">
        <v>210</v>
      </c>
      <c r="V2668" s="7" t="s">
        <v>340</v>
      </c>
      <c r="W2668" s="7" t="s">
        <v>74</v>
      </c>
      <c r="X2668" s="7" t="s">
        <v>223</v>
      </c>
      <c r="Y2668" s="7"/>
      <c r="Z2668" s="7"/>
      <c r="AA2668" s="7" t="s">
        <v>341</v>
      </c>
      <c r="AB2668" s="7" t="s">
        <v>300</v>
      </c>
      <c r="AC2668" s="7" t="s">
        <v>65</v>
      </c>
      <c r="AD2668" s="7" t="s">
        <v>0</v>
      </c>
      <c r="AE2668" s="7" t="s">
        <v>0</v>
      </c>
      <c r="AF2668" s="7" t="s">
        <v>0</v>
      </c>
      <c r="AG2668" s="7" t="s">
        <v>0</v>
      </c>
      <c r="AH2668" s="9" t="s">
        <v>0</v>
      </c>
      <c r="AI2668" s="9" t="s">
        <v>0</v>
      </c>
      <c r="AJ2668" s="9" t="s">
        <v>0</v>
      </c>
      <c r="AK2668" s="7" t="s">
        <v>61</v>
      </c>
      <c r="AL2668" s="7" t="s">
        <v>61</v>
      </c>
      <c r="AM2668" s="7" t="s">
        <v>0</v>
      </c>
      <c r="AN2668" s="7" t="s">
        <v>0</v>
      </c>
      <c r="AO2668" s="7" t="s">
        <v>0</v>
      </c>
      <c r="AP2668" s="7" t="s">
        <v>0</v>
      </c>
      <c r="AQ2668" s="7" t="s">
        <v>61</v>
      </c>
      <c r="AR2668" s="7" t="s">
        <v>0</v>
      </c>
      <c r="AS2668" s="10" t="str">
        <f>HYPERLINK("https://tessa.gazprom-neft.local/edo/card/9592f484-0b28-494f-b61e-0faa8c174c9b", "https://tessa.gazprom-neft.local/edo/card/9592f484-0b28-494f-b61e-0faa8c174c9b")</f>
        <v>https://tessa.gazprom-neft.local/edo/card/9592f484-0b28-494f-b61e-0faa8c174c9b</v>
      </c>
    </row>
    <row r="2669" spans="1:45" hidden="1" x14ac:dyDescent="0.25">
      <c r="A2669" s="6" t="s">
        <v>44</v>
      </c>
      <c r="B2669" s="7" t="s">
        <v>1147</v>
      </c>
      <c r="C2669" s="7" t="s">
        <v>67</v>
      </c>
      <c r="D2669" s="7"/>
      <c r="E2669" s="7"/>
      <c r="F2669" s="16" t="s">
        <v>1148</v>
      </c>
      <c r="G2669" s="7" t="s">
        <v>1149</v>
      </c>
      <c r="H2669" s="7" t="s">
        <v>0</v>
      </c>
      <c r="I2669" s="7" t="s">
        <v>9849</v>
      </c>
      <c r="J2669" s="7" t="s">
        <v>9849</v>
      </c>
      <c r="K2669" s="7" t="s">
        <v>85</v>
      </c>
      <c r="L2669" s="7" t="s">
        <v>86</v>
      </c>
      <c r="M2669" s="7" t="s">
        <v>216</v>
      </c>
      <c r="N2669" s="7" t="s">
        <v>9848</v>
      </c>
      <c r="O2669" s="7" t="s">
        <v>0</v>
      </c>
      <c r="P2669" s="7" t="s">
        <v>216</v>
      </c>
      <c r="Q2669" s="7" t="s">
        <v>9850</v>
      </c>
      <c r="R2669" s="7" t="s">
        <v>338</v>
      </c>
      <c r="S2669" s="7" t="s">
        <v>3144</v>
      </c>
      <c r="T2669" s="7" t="s">
        <v>54</v>
      </c>
      <c r="U2669" s="7" t="s">
        <v>210</v>
      </c>
      <c r="V2669" s="7" t="s">
        <v>168</v>
      </c>
      <c r="W2669" s="7" t="s">
        <v>74</v>
      </c>
      <c r="X2669" s="7" t="s">
        <v>223</v>
      </c>
      <c r="Y2669" s="7"/>
      <c r="Z2669" s="7"/>
      <c r="AA2669" s="7" t="s">
        <v>0</v>
      </c>
      <c r="AB2669" s="7" t="s">
        <v>228</v>
      </c>
      <c r="AC2669" s="7" t="s">
        <v>65</v>
      </c>
      <c r="AD2669" s="7" t="s">
        <v>0</v>
      </c>
      <c r="AE2669" s="7" t="s">
        <v>0</v>
      </c>
      <c r="AF2669" s="7" t="s">
        <v>0</v>
      </c>
      <c r="AG2669" s="7" t="s">
        <v>0</v>
      </c>
      <c r="AH2669" s="9" t="s">
        <v>0</v>
      </c>
      <c r="AI2669" s="9" t="s">
        <v>0</v>
      </c>
      <c r="AJ2669" s="9" t="s">
        <v>0</v>
      </c>
      <c r="AK2669" s="7" t="s">
        <v>61</v>
      </c>
      <c r="AL2669" s="7" t="s">
        <v>61</v>
      </c>
      <c r="AM2669" s="7" t="s">
        <v>0</v>
      </c>
      <c r="AN2669" s="7" t="s">
        <v>0</v>
      </c>
      <c r="AO2669" s="7" t="s">
        <v>0</v>
      </c>
      <c r="AP2669" s="7" t="s">
        <v>0</v>
      </c>
      <c r="AQ2669" s="7" t="s">
        <v>61</v>
      </c>
      <c r="AR2669" s="7" t="s">
        <v>0</v>
      </c>
      <c r="AS2669" s="10" t="str">
        <f>HYPERLINK("https://tessa.gazprom-neft.local/edo/card/eebd5594-cd89-4e9d-8def-b33e8b8f85c0", "https://tessa.gazprom-neft.local/edo/card/eebd5594-cd89-4e9d-8def-b33e8b8f85c0")</f>
        <v>https://tessa.gazprom-neft.local/edo/card/eebd5594-cd89-4e9d-8def-b33e8b8f85c0</v>
      </c>
    </row>
    <row r="2670" spans="1:45" hidden="1" x14ac:dyDescent="0.25">
      <c r="A2670" s="6" t="s">
        <v>44</v>
      </c>
      <c r="B2670" s="7" t="s">
        <v>9853</v>
      </c>
      <c r="C2670" s="7" t="s">
        <v>67</v>
      </c>
      <c r="D2670" s="7"/>
      <c r="E2670" s="7"/>
      <c r="F2670" s="16" t="s">
        <v>9854</v>
      </c>
      <c r="G2670" s="7" t="s">
        <v>9855</v>
      </c>
      <c r="H2670" s="7" t="s">
        <v>0</v>
      </c>
      <c r="I2670" s="7" t="s">
        <v>9852</v>
      </c>
      <c r="J2670" s="7" t="s">
        <v>9852</v>
      </c>
      <c r="K2670" s="7" t="s">
        <v>85</v>
      </c>
      <c r="L2670" s="7" t="s">
        <v>86</v>
      </c>
      <c r="M2670" s="7" t="s">
        <v>216</v>
      </c>
      <c r="N2670" s="7" t="s">
        <v>9851</v>
      </c>
      <c r="O2670" s="7" t="s">
        <v>0</v>
      </c>
      <c r="P2670" s="7" t="s">
        <v>216</v>
      </c>
      <c r="Q2670" s="7" t="s">
        <v>9158</v>
      </c>
      <c r="R2670" s="7" t="s">
        <v>751</v>
      </c>
      <c r="S2670" s="7" t="s">
        <v>0</v>
      </c>
      <c r="T2670" s="7" t="s">
        <v>54</v>
      </c>
      <c r="U2670" s="7" t="s">
        <v>283</v>
      </c>
      <c r="V2670" s="7" t="s">
        <v>102</v>
      </c>
      <c r="W2670" s="7" t="s">
        <v>74</v>
      </c>
      <c r="X2670" s="7" t="s">
        <v>223</v>
      </c>
      <c r="Y2670" s="7"/>
      <c r="Z2670" s="7"/>
      <c r="AA2670" s="7" t="s">
        <v>104</v>
      </c>
      <c r="AB2670" s="7" t="s">
        <v>228</v>
      </c>
      <c r="AC2670" s="7" t="s">
        <v>65</v>
      </c>
      <c r="AD2670" s="7" t="s">
        <v>0</v>
      </c>
      <c r="AE2670" s="7" t="s">
        <v>0</v>
      </c>
      <c r="AF2670" s="7" t="s">
        <v>0</v>
      </c>
      <c r="AG2670" s="7" t="s">
        <v>0</v>
      </c>
      <c r="AH2670" s="9" t="s">
        <v>0</v>
      </c>
      <c r="AI2670" s="9" t="s">
        <v>0</v>
      </c>
      <c r="AJ2670" s="9" t="s">
        <v>0</v>
      </c>
      <c r="AK2670" s="7" t="s">
        <v>61</v>
      </c>
      <c r="AL2670" s="7" t="s">
        <v>61</v>
      </c>
      <c r="AM2670" s="7" t="s">
        <v>0</v>
      </c>
      <c r="AN2670" s="7" t="s">
        <v>0</v>
      </c>
      <c r="AO2670" s="7" t="s">
        <v>0</v>
      </c>
      <c r="AP2670" s="7" t="s">
        <v>0</v>
      </c>
      <c r="AQ2670" s="7" t="s">
        <v>61</v>
      </c>
      <c r="AR2670" s="7" t="s">
        <v>0</v>
      </c>
      <c r="AS2670" s="10" t="str">
        <f>HYPERLINK("https://tessa.gazprom-neft.local/edo/card/4c77b559-f9ee-45e2-8666-6f2472ba8d98", "https://tessa.gazprom-neft.local/edo/card/4c77b559-f9ee-45e2-8666-6f2472ba8d98")</f>
        <v>https://tessa.gazprom-neft.local/edo/card/4c77b559-f9ee-45e2-8666-6f2472ba8d98</v>
      </c>
    </row>
    <row r="2671" spans="1:45" hidden="1" x14ac:dyDescent="0.25">
      <c r="A2671" s="6" t="s">
        <v>44</v>
      </c>
      <c r="B2671" s="7" t="s">
        <v>9853</v>
      </c>
      <c r="C2671" s="7" t="s">
        <v>46</v>
      </c>
      <c r="D2671" s="7"/>
      <c r="E2671" s="7"/>
      <c r="F2671" s="16" t="s">
        <v>9854</v>
      </c>
      <c r="G2671" s="7" t="s">
        <v>9855</v>
      </c>
      <c r="H2671" s="7" t="s">
        <v>0</v>
      </c>
      <c r="I2671" s="7" t="s">
        <v>9858</v>
      </c>
      <c r="J2671" s="7" t="s">
        <v>9858</v>
      </c>
      <c r="K2671" s="7" t="s">
        <v>85</v>
      </c>
      <c r="L2671" s="7" t="s">
        <v>96</v>
      </c>
      <c r="M2671" s="7" t="s">
        <v>9856</v>
      </c>
      <c r="N2671" s="7" t="s">
        <v>9857</v>
      </c>
      <c r="O2671" s="7" t="s">
        <v>0</v>
      </c>
      <c r="P2671" s="7" t="s">
        <v>9856</v>
      </c>
      <c r="Q2671" s="7" t="s">
        <v>9859</v>
      </c>
      <c r="R2671" s="7" t="s">
        <v>751</v>
      </c>
      <c r="S2671" s="7" t="s">
        <v>519</v>
      </c>
      <c r="T2671" s="7" t="s">
        <v>54</v>
      </c>
      <c r="U2671" s="7" t="s">
        <v>362</v>
      </c>
      <c r="V2671" s="7" t="s">
        <v>295</v>
      </c>
      <c r="W2671" s="7" t="s">
        <v>74</v>
      </c>
      <c r="X2671" s="7" t="s">
        <v>103</v>
      </c>
      <c r="Y2671" s="7"/>
      <c r="Z2671" s="7"/>
      <c r="AA2671" s="7" t="s">
        <v>296</v>
      </c>
      <c r="AB2671" s="7" t="s">
        <v>130</v>
      </c>
      <c r="AC2671" s="7" t="s">
        <v>79</v>
      </c>
      <c r="AD2671" s="7" t="s">
        <v>80</v>
      </c>
      <c r="AE2671" s="7" t="s">
        <v>82</v>
      </c>
      <c r="AF2671" s="7" t="s">
        <v>0</v>
      </c>
      <c r="AG2671" s="7" t="s">
        <v>0</v>
      </c>
      <c r="AH2671" s="9" t="s">
        <v>14084</v>
      </c>
      <c r="AI2671" s="9" t="s">
        <v>14085</v>
      </c>
      <c r="AJ2671" s="9" t="s">
        <v>14086</v>
      </c>
      <c r="AK2671" s="7" t="s">
        <v>61</v>
      </c>
      <c r="AL2671" s="7" t="s">
        <v>61</v>
      </c>
      <c r="AM2671" s="7" t="s">
        <v>0</v>
      </c>
      <c r="AN2671" s="7" t="s">
        <v>0</v>
      </c>
      <c r="AO2671" s="7" t="s">
        <v>0</v>
      </c>
      <c r="AP2671" s="7" t="s">
        <v>0</v>
      </c>
      <c r="AQ2671" s="7" t="s">
        <v>61</v>
      </c>
      <c r="AR2671" s="7" t="s">
        <v>0</v>
      </c>
      <c r="AS2671" s="10" t="str">
        <f>HYPERLINK("https://tessa.gazprom-neft.local/edo/card/1af37332-d475-4e98-a846-80a75693e6a2", "https://tessa.gazprom-neft.local/edo/card/1af37332-d475-4e98-a846-80a75693e6a2")</f>
        <v>https://tessa.gazprom-neft.local/edo/card/1af37332-d475-4e98-a846-80a75693e6a2</v>
      </c>
    </row>
    <row r="2672" spans="1:45" x14ac:dyDescent="0.25">
      <c r="A2672" s="6" t="s">
        <v>44</v>
      </c>
      <c r="B2672" s="7" t="s">
        <v>127</v>
      </c>
      <c r="C2672" s="7" t="s">
        <v>67</v>
      </c>
      <c r="D2672" s="7"/>
      <c r="E2672" s="7"/>
      <c r="F2672" s="16" t="s">
        <v>128</v>
      </c>
      <c r="G2672" s="7" t="s">
        <v>129</v>
      </c>
      <c r="H2672" s="7" t="s">
        <v>1661</v>
      </c>
      <c r="I2672" s="7" t="s">
        <v>0</v>
      </c>
      <c r="J2672" s="7" t="s">
        <v>936</v>
      </c>
      <c r="K2672" s="7" t="s">
        <v>47</v>
      </c>
      <c r="L2672" s="7" t="s">
        <v>48</v>
      </c>
      <c r="M2672" s="7" t="s">
        <v>0</v>
      </c>
      <c r="N2672" s="7" t="s">
        <v>9860</v>
      </c>
      <c r="O2672" s="7" t="s">
        <v>0</v>
      </c>
      <c r="P2672" s="7" t="s">
        <v>9861</v>
      </c>
      <c r="Q2672" s="7" t="s">
        <v>9862</v>
      </c>
      <c r="R2672" s="7" t="s">
        <v>393</v>
      </c>
      <c r="S2672" s="7" t="s">
        <v>1094</v>
      </c>
      <c r="T2672" s="7" t="s">
        <v>54</v>
      </c>
      <c r="U2672" s="7" t="s">
        <v>210</v>
      </c>
      <c r="V2672" s="7" t="s">
        <v>126</v>
      </c>
      <c r="W2672" s="7" t="s">
        <v>74</v>
      </c>
      <c r="X2672" s="7" t="s">
        <v>103</v>
      </c>
      <c r="Y2672" s="7"/>
      <c r="Z2672" s="7"/>
      <c r="AA2672" s="7" t="s">
        <v>224</v>
      </c>
      <c r="AB2672" s="7" t="s">
        <v>1698</v>
      </c>
      <c r="AC2672" s="7" t="s">
        <v>79</v>
      </c>
      <c r="AD2672" s="7" t="s">
        <v>514</v>
      </c>
      <c r="AE2672" s="7" t="s">
        <v>82</v>
      </c>
      <c r="AF2672" s="7" t="s">
        <v>0</v>
      </c>
      <c r="AG2672" s="7" t="s">
        <v>0</v>
      </c>
      <c r="AH2672" s="9" t="s">
        <v>11094</v>
      </c>
      <c r="AI2672" s="9" t="s">
        <v>11095</v>
      </c>
      <c r="AJ2672" s="9" t="s">
        <v>11096</v>
      </c>
      <c r="AK2672" s="7" t="s">
        <v>61</v>
      </c>
      <c r="AL2672" s="7" t="s">
        <v>61</v>
      </c>
      <c r="AM2672" s="7" t="s">
        <v>0</v>
      </c>
      <c r="AN2672" s="7" t="s">
        <v>0</v>
      </c>
      <c r="AO2672" s="7" t="s">
        <v>0</v>
      </c>
      <c r="AP2672" s="7" t="s">
        <v>0</v>
      </c>
      <c r="AQ2672" s="7" t="s">
        <v>61</v>
      </c>
      <c r="AR2672" s="7" t="s">
        <v>0</v>
      </c>
      <c r="AS2672" s="10" t="str">
        <f>HYPERLINK("https://tessa.gazprom-neft.local/edo/card/9474fcd9-c5d5-4220-b03b-4f3df57b3340", "https://tessa.gazprom-neft.local/edo/card/9474fcd9-c5d5-4220-b03b-4f3df57b3340")</f>
        <v>https://tessa.gazprom-neft.local/edo/card/9474fcd9-c5d5-4220-b03b-4f3df57b3340</v>
      </c>
    </row>
    <row r="2673" spans="1:45" hidden="1" x14ac:dyDescent="0.25">
      <c r="A2673" s="6" t="s">
        <v>44</v>
      </c>
      <c r="B2673" s="7" t="s">
        <v>542</v>
      </c>
      <c r="C2673" s="7" t="s">
        <v>67</v>
      </c>
      <c r="D2673" s="7"/>
      <c r="E2673" s="7"/>
      <c r="F2673" s="16" t="s">
        <v>543</v>
      </c>
      <c r="G2673" s="7" t="s">
        <v>544</v>
      </c>
      <c r="H2673" s="7" t="s">
        <v>2668</v>
      </c>
      <c r="I2673" s="7" t="s">
        <v>0</v>
      </c>
      <c r="J2673" s="7" t="s">
        <v>6114</v>
      </c>
      <c r="K2673" s="7" t="s">
        <v>47</v>
      </c>
      <c r="L2673" s="7" t="s">
        <v>239</v>
      </c>
      <c r="M2673" s="7" t="s">
        <v>0</v>
      </c>
      <c r="N2673" s="7" t="s">
        <v>9863</v>
      </c>
      <c r="O2673" s="7" t="s">
        <v>0</v>
      </c>
      <c r="P2673" s="7" t="s">
        <v>9864</v>
      </c>
      <c r="Q2673" s="7" t="s">
        <v>9865</v>
      </c>
      <c r="R2673" s="7" t="s">
        <v>244</v>
      </c>
      <c r="S2673" s="7" t="s">
        <v>244</v>
      </c>
      <c r="T2673" s="7" t="s">
        <v>54</v>
      </c>
      <c r="U2673" s="7" t="s">
        <v>55</v>
      </c>
      <c r="V2673" s="7" t="s">
        <v>56</v>
      </c>
      <c r="W2673" s="7" t="s">
        <v>57</v>
      </c>
      <c r="X2673" s="7" t="s">
        <v>103</v>
      </c>
      <c r="Y2673" s="7"/>
      <c r="Z2673" s="7"/>
      <c r="AA2673" s="7" t="s">
        <v>59</v>
      </c>
      <c r="AB2673" s="7" t="s">
        <v>256</v>
      </c>
      <c r="AC2673" s="7" t="s">
        <v>79</v>
      </c>
      <c r="AD2673" s="7" t="s">
        <v>144</v>
      </c>
      <c r="AE2673" s="7" t="s">
        <v>82</v>
      </c>
      <c r="AF2673" s="7" t="s">
        <v>0</v>
      </c>
      <c r="AG2673" s="7" t="s">
        <v>0</v>
      </c>
      <c r="AH2673" s="9" t="s">
        <v>14087</v>
      </c>
      <c r="AI2673" s="9" t="s">
        <v>14088</v>
      </c>
      <c r="AJ2673" s="9" t="s">
        <v>14089</v>
      </c>
      <c r="AK2673" s="7" t="s">
        <v>61</v>
      </c>
      <c r="AL2673" s="7" t="s">
        <v>61</v>
      </c>
      <c r="AM2673" s="7" t="s">
        <v>0</v>
      </c>
      <c r="AN2673" s="7" t="s">
        <v>0</v>
      </c>
      <c r="AO2673" s="7" t="s">
        <v>0</v>
      </c>
      <c r="AP2673" s="7" t="s">
        <v>0</v>
      </c>
      <c r="AQ2673" s="7" t="s">
        <v>61</v>
      </c>
      <c r="AR2673" s="7" t="s">
        <v>0</v>
      </c>
      <c r="AS2673" s="10" t="str">
        <f>HYPERLINK("https://tessa.gazprom-neft.local/edo/card/31b61b93-6b13-4c81-a26a-04a6da936438", "https://tessa.gazprom-neft.local/edo/card/31b61b93-6b13-4c81-a26a-04a6da936438")</f>
        <v>https://tessa.gazprom-neft.local/edo/card/31b61b93-6b13-4c81-a26a-04a6da936438</v>
      </c>
    </row>
    <row r="2674" spans="1:45" hidden="1" x14ac:dyDescent="0.25">
      <c r="A2674" s="6" t="s">
        <v>44</v>
      </c>
      <c r="B2674" s="7" t="s">
        <v>75</v>
      </c>
      <c r="C2674" s="7" t="s">
        <v>67</v>
      </c>
      <c r="D2674" s="7"/>
      <c r="E2674" s="7"/>
      <c r="F2674" s="16" t="s">
        <v>76</v>
      </c>
      <c r="G2674" s="7" t="s">
        <v>77</v>
      </c>
      <c r="H2674" s="7" t="s">
        <v>68</v>
      </c>
      <c r="I2674" s="7" t="s">
        <v>0</v>
      </c>
      <c r="J2674" s="7" t="s">
        <v>355</v>
      </c>
      <c r="K2674" s="7" t="s">
        <v>47</v>
      </c>
      <c r="L2674" s="7" t="s">
        <v>239</v>
      </c>
      <c r="M2674" s="7" t="s">
        <v>0</v>
      </c>
      <c r="N2674" s="7" t="s">
        <v>9866</v>
      </c>
      <c r="O2674" s="7" t="s">
        <v>0</v>
      </c>
      <c r="P2674" s="7" t="s">
        <v>9867</v>
      </c>
      <c r="Q2674" s="7" t="s">
        <v>9868</v>
      </c>
      <c r="R2674" s="7" t="s">
        <v>72</v>
      </c>
      <c r="S2674" s="7" t="s">
        <v>0</v>
      </c>
      <c r="T2674" s="7" t="s">
        <v>54</v>
      </c>
      <c r="U2674" s="7" t="s">
        <v>73</v>
      </c>
      <c r="V2674" s="7" t="s">
        <v>56</v>
      </c>
      <c r="W2674" s="7" t="s">
        <v>74</v>
      </c>
      <c r="X2674" s="7" t="s">
        <v>103</v>
      </c>
      <c r="Y2674" s="7"/>
      <c r="Z2674" s="7"/>
      <c r="AA2674" s="7" t="s">
        <v>59</v>
      </c>
      <c r="AB2674" s="7" t="s">
        <v>78</v>
      </c>
      <c r="AC2674" s="7" t="s">
        <v>79</v>
      </c>
      <c r="AD2674" s="7" t="s">
        <v>80</v>
      </c>
      <c r="AE2674" s="7" t="s">
        <v>82</v>
      </c>
      <c r="AF2674" s="7" t="s">
        <v>0</v>
      </c>
      <c r="AG2674" s="7" t="s">
        <v>0</v>
      </c>
      <c r="AH2674" s="9" t="s">
        <v>14090</v>
      </c>
      <c r="AI2674" s="9" t="s">
        <v>14091</v>
      </c>
      <c r="AJ2674" s="9" t="s">
        <v>14092</v>
      </c>
      <c r="AK2674" s="7" t="s">
        <v>61</v>
      </c>
      <c r="AL2674" s="7" t="s">
        <v>61</v>
      </c>
      <c r="AM2674" s="7" t="s">
        <v>0</v>
      </c>
      <c r="AN2674" s="7" t="s">
        <v>0</v>
      </c>
      <c r="AO2674" s="7" t="s">
        <v>0</v>
      </c>
      <c r="AP2674" s="7" t="s">
        <v>0</v>
      </c>
      <c r="AQ2674" s="7" t="s">
        <v>61</v>
      </c>
      <c r="AR2674" s="7" t="s">
        <v>0</v>
      </c>
      <c r="AS2674" s="10" t="str">
        <f>HYPERLINK("https://tessa.gazprom-neft.local/edo/card/19b9e24a-d71d-4e6c-a601-7b9c7d5c82f8", "https://tessa.gazprom-neft.local/edo/card/19b9e24a-d71d-4e6c-a601-7b9c7d5c82f8")</f>
        <v>https://tessa.gazprom-neft.local/edo/card/19b9e24a-d71d-4e6c-a601-7b9c7d5c82f8</v>
      </c>
    </row>
    <row r="2675" spans="1:45" hidden="1" x14ac:dyDescent="0.25">
      <c r="A2675" s="6" t="s">
        <v>44</v>
      </c>
      <c r="B2675" s="7" t="s">
        <v>661</v>
      </c>
      <c r="C2675" s="7" t="s">
        <v>67</v>
      </c>
      <c r="D2675" s="7"/>
      <c r="E2675" s="7"/>
      <c r="F2675" s="16" t="s">
        <v>662</v>
      </c>
      <c r="G2675" s="7" t="s">
        <v>663</v>
      </c>
      <c r="H2675" s="7" t="s">
        <v>6286</v>
      </c>
      <c r="I2675" s="7" t="s">
        <v>0</v>
      </c>
      <c r="J2675" s="7" t="s">
        <v>1132</v>
      </c>
      <c r="K2675" s="7" t="s">
        <v>47</v>
      </c>
      <c r="L2675" s="7" t="s">
        <v>763</v>
      </c>
      <c r="M2675" s="7" t="s">
        <v>0</v>
      </c>
      <c r="N2675" s="7" t="s">
        <v>9869</v>
      </c>
      <c r="O2675" s="7" t="s">
        <v>0</v>
      </c>
      <c r="P2675" s="7" t="s">
        <v>9870</v>
      </c>
      <c r="Q2675" s="7" t="s">
        <v>9844</v>
      </c>
      <c r="R2675" s="7" t="s">
        <v>768</v>
      </c>
      <c r="S2675" s="7" t="s">
        <v>714</v>
      </c>
      <c r="T2675" s="7" t="s">
        <v>54</v>
      </c>
      <c r="U2675" s="7" t="s">
        <v>283</v>
      </c>
      <c r="V2675" s="7" t="s">
        <v>917</v>
      </c>
      <c r="W2675" s="7" t="s">
        <v>74</v>
      </c>
      <c r="X2675" s="7" t="s">
        <v>103</v>
      </c>
      <c r="Y2675" s="7"/>
      <c r="Z2675" s="7"/>
      <c r="AA2675" s="7" t="s">
        <v>1278</v>
      </c>
      <c r="AB2675" s="7" t="s">
        <v>130</v>
      </c>
      <c r="AC2675" s="7" t="s">
        <v>79</v>
      </c>
      <c r="AD2675" s="7" t="s">
        <v>80</v>
      </c>
      <c r="AE2675" s="7" t="s">
        <v>82</v>
      </c>
      <c r="AF2675" s="7" t="s">
        <v>0</v>
      </c>
      <c r="AG2675" s="7" t="s">
        <v>0</v>
      </c>
      <c r="AH2675" s="9" t="s">
        <v>14093</v>
      </c>
      <c r="AI2675" s="9" t="s">
        <v>14094</v>
      </c>
      <c r="AJ2675" s="9" t="s">
        <v>14095</v>
      </c>
      <c r="AK2675" s="7" t="s">
        <v>61</v>
      </c>
      <c r="AL2675" s="7" t="s">
        <v>61</v>
      </c>
      <c r="AM2675" s="7" t="s">
        <v>0</v>
      </c>
      <c r="AN2675" s="7" t="s">
        <v>0</v>
      </c>
      <c r="AO2675" s="7" t="s">
        <v>0</v>
      </c>
      <c r="AP2675" s="7" t="s">
        <v>0</v>
      </c>
      <c r="AQ2675" s="7" t="s">
        <v>61</v>
      </c>
      <c r="AR2675" s="7" t="s">
        <v>0</v>
      </c>
      <c r="AS2675" s="10" t="str">
        <f>HYPERLINK("https://tessa.gazprom-neft.local/edo/card/abc354c0-3161-4fe9-907e-7d9ea98d0b7c", "https://tessa.gazprom-neft.local/edo/card/abc354c0-3161-4fe9-907e-7d9ea98d0b7c")</f>
        <v>https://tessa.gazprom-neft.local/edo/card/abc354c0-3161-4fe9-907e-7d9ea98d0b7c</v>
      </c>
    </row>
    <row r="2676" spans="1:45" x14ac:dyDescent="0.25">
      <c r="A2676" s="6" t="s">
        <v>44</v>
      </c>
      <c r="B2676" s="7" t="s">
        <v>497</v>
      </c>
      <c r="C2676" s="7" t="s">
        <v>67</v>
      </c>
      <c r="D2676" s="7"/>
      <c r="E2676" s="7"/>
      <c r="F2676" s="16" t="s">
        <v>498</v>
      </c>
      <c r="G2676" s="7" t="s">
        <v>499</v>
      </c>
      <c r="H2676" s="7" t="s">
        <v>9872</v>
      </c>
      <c r="I2676" s="7" t="s">
        <v>0</v>
      </c>
      <c r="J2676" s="7" t="s">
        <v>712</v>
      </c>
      <c r="K2676" s="7" t="s">
        <v>47</v>
      </c>
      <c r="L2676" s="7" t="s">
        <v>48</v>
      </c>
      <c r="M2676" s="7" t="s">
        <v>0</v>
      </c>
      <c r="N2676" s="7" t="s">
        <v>9871</v>
      </c>
      <c r="O2676" s="7" t="s">
        <v>0</v>
      </c>
      <c r="P2676" s="7" t="s">
        <v>9873</v>
      </c>
      <c r="Q2676" s="7" t="s">
        <v>9874</v>
      </c>
      <c r="R2676" s="7" t="s">
        <v>1342</v>
      </c>
      <c r="S2676" s="7" t="s">
        <v>0</v>
      </c>
      <c r="T2676" s="7" t="s">
        <v>54</v>
      </c>
      <c r="U2676" s="7" t="s">
        <v>274</v>
      </c>
      <c r="V2676" s="7" t="s">
        <v>864</v>
      </c>
      <c r="W2676" s="7" t="s">
        <v>57</v>
      </c>
      <c r="X2676" s="7" t="s">
        <v>103</v>
      </c>
      <c r="Y2676" s="7"/>
      <c r="Z2676" s="7"/>
      <c r="AA2676" s="7" t="s">
        <v>1343</v>
      </c>
      <c r="AB2676" s="7" t="s">
        <v>64</v>
      </c>
      <c r="AC2676" s="7" t="s">
        <v>278</v>
      </c>
      <c r="AD2676" s="7" t="s">
        <v>80</v>
      </c>
      <c r="AE2676" s="7" t="s">
        <v>82</v>
      </c>
      <c r="AF2676" s="7" t="s">
        <v>0</v>
      </c>
      <c r="AG2676" s="7" t="s">
        <v>0</v>
      </c>
      <c r="AH2676" s="9" t="s">
        <v>10997</v>
      </c>
      <c r="AI2676" s="9" t="s">
        <v>10998</v>
      </c>
      <c r="AJ2676" s="9" t="s">
        <v>10999</v>
      </c>
      <c r="AK2676" s="7" t="s">
        <v>61</v>
      </c>
      <c r="AL2676" s="7" t="s">
        <v>61</v>
      </c>
      <c r="AM2676" s="7" t="s">
        <v>0</v>
      </c>
      <c r="AN2676" s="7" t="s">
        <v>0</v>
      </c>
      <c r="AO2676" s="7" t="s">
        <v>0</v>
      </c>
      <c r="AP2676" s="7" t="s">
        <v>0</v>
      </c>
      <c r="AQ2676" s="7" t="s">
        <v>61</v>
      </c>
      <c r="AR2676" s="7" t="s">
        <v>0</v>
      </c>
      <c r="AS2676" s="10" t="str">
        <f>HYPERLINK("https://tessa.gazprom-neft.local/edo/card/5a5fbecc-d946-427d-8309-e21854c64aae", "https://tessa.gazprom-neft.local/edo/card/5a5fbecc-d946-427d-8309-e21854c64aae")</f>
        <v>https://tessa.gazprom-neft.local/edo/card/5a5fbecc-d946-427d-8309-e21854c64aae</v>
      </c>
    </row>
    <row r="2677" spans="1:45" ht="16.5" hidden="1" thickBot="1" x14ac:dyDescent="0.3">
      <c r="A2677" s="11" t="s">
        <v>44</v>
      </c>
      <c r="B2677" s="12" t="s">
        <v>0</v>
      </c>
      <c r="C2677" s="12" t="s">
        <v>218</v>
      </c>
      <c r="D2677" s="12"/>
      <c r="E2677" s="12"/>
      <c r="F2677" s="17" t="s">
        <v>0</v>
      </c>
      <c r="G2677" s="12" t="s">
        <v>0</v>
      </c>
      <c r="H2677" s="12" t="s">
        <v>0</v>
      </c>
      <c r="I2677" s="12" t="s">
        <v>0</v>
      </c>
      <c r="J2677" s="12" t="s">
        <v>0</v>
      </c>
      <c r="K2677" s="12" t="s">
        <v>0</v>
      </c>
      <c r="L2677" s="12" t="s">
        <v>86</v>
      </c>
      <c r="M2677" s="12" t="s">
        <v>0</v>
      </c>
      <c r="N2677" s="12" t="s">
        <v>9875</v>
      </c>
      <c r="O2677" s="12" t="s">
        <v>0</v>
      </c>
      <c r="P2677" s="12" t="s">
        <v>0</v>
      </c>
      <c r="Q2677" s="12" t="s">
        <v>0</v>
      </c>
      <c r="R2677" s="12" t="s">
        <v>3298</v>
      </c>
      <c r="S2677" s="12" t="s">
        <v>0</v>
      </c>
      <c r="T2677" s="12" t="s">
        <v>54</v>
      </c>
      <c r="U2677" s="12" t="s">
        <v>303</v>
      </c>
      <c r="V2677" s="12" t="s">
        <v>0</v>
      </c>
      <c r="W2677" s="12" t="s">
        <v>0</v>
      </c>
      <c r="X2677" s="12" t="s">
        <v>0</v>
      </c>
      <c r="Y2677" s="12"/>
      <c r="Z2677" s="12"/>
      <c r="AA2677" s="12" t="s">
        <v>0</v>
      </c>
      <c r="AB2677" s="12" t="s">
        <v>0</v>
      </c>
      <c r="AC2677" s="12" t="s">
        <v>0</v>
      </c>
      <c r="AD2677" s="12" t="s">
        <v>0</v>
      </c>
      <c r="AE2677" s="12" t="s">
        <v>0</v>
      </c>
      <c r="AF2677" s="12" t="s">
        <v>0</v>
      </c>
      <c r="AG2677" s="12" t="s">
        <v>0</v>
      </c>
      <c r="AH2677" s="13" t="s">
        <v>0</v>
      </c>
      <c r="AI2677" s="13" t="s">
        <v>0</v>
      </c>
      <c r="AJ2677" s="13" t="s">
        <v>0</v>
      </c>
      <c r="AK2677" s="12" t="s">
        <v>61</v>
      </c>
      <c r="AL2677" s="12" t="s">
        <v>61</v>
      </c>
      <c r="AM2677" s="12" t="s">
        <v>0</v>
      </c>
      <c r="AN2677" s="12" t="s">
        <v>0</v>
      </c>
      <c r="AO2677" s="12" t="s">
        <v>0</v>
      </c>
      <c r="AP2677" s="12" t="s">
        <v>0</v>
      </c>
      <c r="AQ2677" s="12" t="s">
        <v>61</v>
      </c>
      <c r="AR2677" s="12" t="s">
        <v>0</v>
      </c>
      <c r="AS2677" s="14" t="str">
        <f>HYPERLINK("https://tessa.gazprom-neft.local/edo/card/8ca17290-24c2-4b08-a464-c848262a6f15", "https://tessa.gazprom-neft.local/edo/card/8ca17290-24c2-4b08-a464-c848262a6f15")</f>
        <v>https://tessa.gazprom-neft.local/edo/card/8ca17290-24c2-4b08-a464-c848262a6f15</v>
      </c>
    </row>
    <row r="2678" spans="1:45" x14ac:dyDescent="0.25">
      <c r="A2678" t="s">
        <v>44</v>
      </c>
      <c r="B2678" t="s">
        <v>253</v>
      </c>
      <c r="C2678" t="s">
        <v>67</v>
      </c>
      <c r="F2678" s="18" t="s">
        <v>254</v>
      </c>
      <c r="G2678" t="s">
        <v>255</v>
      </c>
      <c r="H2678" t="s">
        <v>9877</v>
      </c>
      <c r="I2678" t="s">
        <v>0</v>
      </c>
      <c r="J2678" t="s">
        <v>271</v>
      </c>
      <c r="K2678" t="s">
        <v>47</v>
      </c>
      <c r="L2678" t="s">
        <v>48</v>
      </c>
      <c r="M2678" t="s">
        <v>0</v>
      </c>
      <c r="N2678" t="s">
        <v>9876</v>
      </c>
      <c r="O2678" t="s">
        <v>0</v>
      </c>
      <c r="P2678" t="s">
        <v>9878</v>
      </c>
      <c r="Q2678" t="s">
        <v>9879</v>
      </c>
      <c r="R2678" t="s">
        <v>891</v>
      </c>
      <c r="S2678" t="s">
        <v>891</v>
      </c>
      <c r="T2678" t="s">
        <v>54</v>
      </c>
      <c r="U2678" t="s">
        <v>892</v>
      </c>
      <c r="V2678" t="s">
        <v>56</v>
      </c>
      <c r="W2678" t="s">
        <v>57</v>
      </c>
      <c r="X2678" t="s">
        <v>103</v>
      </c>
      <c r="AA2678" t="s">
        <v>59</v>
      </c>
      <c r="AB2678" t="s">
        <v>256</v>
      </c>
      <c r="AC2678" t="s">
        <v>65</v>
      </c>
      <c r="AD2678" t="s">
        <v>144</v>
      </c>
      <c r="AE2678" t="s">
        <v>0</v>
      </c>
      <c r="AF2678" t="s">
        <v>0</v>
      </c>
      <c r="AG2678" t="s">
        <v>0</v>
      </c>
      <c r="AH2678" s="1" t="s">
        <v>0</v>
      </c>
      <c r="AI2678" s="1" t="s">
        <v>0</v>
      </c>
      <c r="AJ2678" s="1" t="s">
        <v>0</v>
      </c>
      <c r="AK2678" t="s">
        <v>61</v>
      </c>
      <c r="AL2678" t="s">
        <v>61</v>
      </c>
      <c r="AM2678" t="s">
        <v>0</v>
      </c>
      <c r="AN2678" t="s">
        <v>0</v>
      </c>
      <c r="AO2678" t="s">
        <v>0</v>
      </c>
      <c r="AP2678" t="s">
        <v>0</v>
      </c>
      <c r="AQ2678" t="s">
        <v>61</v>
      </c>
      <c r="AR2678" t="s">
        <v>0</v>
      </c>
      <c r="AS2678" t="str">
        <f>HYPERLINK("https://tessa.gazprom-neft.local/edo/card/d45bea80-a5b6-4db4-84a8-a34bcb45aa1e", "https://tessa.gazprom-neft.local/edo/card/d45bea80-a5b6-4db4-84a8-a34bcb45aa1e")</f>
        <v>https://tessa.gazprom-neft.local/edo/card/d45bea80-a5b6-4db4-84a8-a34bcb45aa1e</v>
      </c>
    </row>
    <row r="2679" spans="1:45" hidden="1" x14ac:dyDescent="0.25">
      <c r="A2679" t="s">
        <v>44</v>
      </c>
      <c r="B2679" t="s">
        <v>0</v>
      </c>
      <c r="C2679" t="s">
        <v>46</v>
      </c>
      <c r="F2679" s="18" t="s">
        <v>9883</v>
      </c>
      <c r="G2679" t="s">
        <v>0</v>
      </c>
      <c r="H2679" t="s">
        <v>0</v>
      </c>
      <c r="I2679" t="s">
        <v>9881</v>
      </c>
      <c r="J2679" t="s">
        <v>9881</v>
      </c>
      <c r="K2679" t="s">
        <v>85</v>
      </c>
      <c r="L2679" t="s">
        <v>96</v>
      </c>
      <c r="M2679" t="s">
        <v>183</v>
      </c>
      <c r="N2679" t="s">
        <v>9880</v>
      </c>
      <c r="O2679" t="s">
        <v>0</v>
      </c>
      <c r="P2679" t="s">
        <v>183</v>
      </c>
      <c r="Q2679" t="s">
        <v>9882</v>
      </c>
      <c r="R2679" t="s">
        <v>427</v>
      </c>
      <c r="S2679" t="s">
        <v>427</v>
      </c>
      <c r="T2679" t="s">
        <v>54</v>
      </c>
      <c r="U2679" t="s">
        <v>428</v>
      </c>
      <c r="V2679" t="s">
        <v>137</v>
      </c>
      <c r="W2679" t="s">
        <v>57</v>
      </c>
      <c r="X2679" t="s">
        <v>103</v>
      </c>
      <c r="AA2679" t="s">
        <v>0</v>
      </c>
      <c r="AB2679" t="s">
        <v>192</v>
      </c>
      <c r="AC2679" t="s">
        <v>79</v>
      </c>
      <c r="AD2679" t="s">
        <v>80</v>
      </c>
      <c r="AE2679" t="s">
        <v>193</v>
      </c>
      <c r="AF2679" t="s">
        <v>0</v>
      </c>
      <c r="AG2679" t="s">
        <v>0</v>
      </c>
      <c r="AH2679" s="1" t="s">
        <v>14096</v>
      </c>
      <c r="AI2679" s="1" t="s">
        <v>14097</v>
      </c>
      <c r="AJ2679" s="1" t="s">
        <v>14098</v>
      </c>
      <c r="AK2679" t="s">
        <v>61</v>
      </c>
      <c r="AL2679" t="s">
        <v>61</v>
      </c>
      <c r="AM2679" t="s">
        <v>0</v>
      </c>
      <c r="AN2679" t="s">
        <v>0</v>
      </c>
      <c r="AO2679" t="s">
        <v>0</v>
      </c>
      <c r="AP2679" t="s">
        <v>0</v>
      </c>
      <c r="AQ2679" t="s">
        <v>61</v>
      </c>
      <c r="AR2679" t="s">
        <v>0</v>
      </c>
      <c r="AS2679" t="str">
        <f>HYPERLINK("https://tessa.gazprom-neft.local/edo/card/8f4963cd-860b-47c8-a715-b5d24309be45", "https://tessa.gazprom-neft.local/edo/card/8f4963cd-860b-47c8-a715-b5d24309be45")</f>
        <v>https://tessa.gazprom-neft.local/edo/card/8f4963cd-860b-47c8-a715-b5d24309be45</v>
      </c>
    </row>
    <row r="2680" spans="1:45" hidden="1" x14ac:dyDescent="0.25">
      <c r="A2680" t="s">
        <v>44</v>
      </c>
      <c r="B2680" t="s">
        <v>1165</v>
      </c>
      <c r="C2680" t="s">
        <v>67</v>
      </c>
      <c r="F2680" s="18" t="s">
        <v>1166</v>
      </c>
      <c r="G2680" t="s">
        <v>1167</v>
      </c>
      <c r="H2680" t="s">
        <v>3465</v>
      </c>
      <c r="I2680" t="s">
        <v>0</v>
      </c>
      <c r="J2680" t="s">
        <v>9886</v>
      </c>
      <c r="K2680" t="s">
        <v>47</v>
      </c>
      <c r="L2680" t="s">
        <v>239</v>
      </c>
      <c r="M2680" t="s">
        <v>0</v>
      </c>
      <c r="N2680" t="s">
        <v>9884</v>
      </c>
      <c r="O2680" t="s">
        <v>0</v>
      </c>
      <c r="P2680" t="s">
        <v>9885</v>
      </c>
      <c r="Q2680" t="s">
        <v>9887</v>
      </c>
      <c r="R2680" t="s">
        <v>244</v>
      </c>
      <c r="S2680" t="s">
        <v>0</v>
      </c>
      <c r="T2680" t="s">
        <v>54</v>
      </c>
      <c r="U2680" t="s">
        <v>55</v>
      </c>
      <c r="V2680" t="s">
        <v>340</v>
      </c>
      <c r="W2680" t="s">
        <v>57</v>
      </c>
      <c r="X2680" t="s">
        <v>103</v>
      </c>
      <c r="AA2680" t="s">
        <v>341</v>
      </c>
      <c r="AB2680" t="s">
        <v>256</v>
      </c>
      <c r="AC2680" t="s">
        <v>79</v>
      </c>
      <c r="AD2680" t="s">
        <v>144</v>
      </c>
      <c r="AE2680" t="s">
        <v>82</v>
      </c>
      <c r="AF2680" t="s">
        <v>0</v>
      </c>
      <c r="AG2680" t="s">
        <v>0</v>
      </c>
      <c r="AH2680" s="1" t="s">
        <v>14099</v>
      </c>
      <c r="AI2680" s="1" t="s">
        <v>14100</v>
      </c>
      <c r="AJ2680" s="1" t="s">
        <v>14101</v>
      </c>
      <c r="AK2680" t="s">
        <v>61</v>
      </c>
      <c r="AL2680" t="s">
        <v>61</v>
      </c>
      <c r="AM2680" t="s">
        <v>0</v>
      </c>
      <c r="AN2680" t="s">
        <v>0</v>
      </c>
      <c r="AO2680" t="s">
        <v>0</v>
      </c>
      <c r="AP2680" t="s">
        <v>0</v>
      </c>
      <c r="AQ2680" t="s">
        <v>61</v>
      </c>
      <c r="AR2680" t="s">
        <v>0</v>
      </c>
      <c r="AS2680" t="str">
        <f>HYPERLINK("https://tessa.gazprom-neft.local/edo/card/28455132-9551-4a41-84e8-2179e2d9c26f", "https://tessa.gazprom-neft.local/edo/card/28455132-9551-4a41-84e8-2179e2d9c26f")</f>
        <v>https://tessa.gazprom-neft.local/edo/card/28455132-9551-4a41-84e8-2179e2d9c26f</v>
      </c>
    </row>
    <row r="2681" spans="1:45" hidden="1" x14ac:dyDescent="0.25">
      <c r="A2681" t="s">
        <v>44</v>
      </c>
      <c r="B2681" t="s">
        <v>550</v>
      </c>
      <c r="C2681" t="s">
        <v>67</v>
      </c>
      <c r="F2681" s="18" t="s">
        <v>551</v>
      </c>
      <c r="G2681" t="s">
        <v>552</v>
      </c>
      <c r="H2681" t="s">
        <v>0</v>
      </c>
      <c r="I2681" t="s">
        <v>9889</v>
      </c>
      <c r="J2681" t="s">
        <v>9889</v>
      </c>
      <c r="K2681" t="s">
        <v>85</v>
      </c>
      <c r="L2681" t="s">
        <v>86</v>
      </c>
      <c r="M2681" t="s">
        <v>216</v>
      </c>
      <c r="N2681" t="s">
        <v>9888</v>
      </c>
      <c r="O2681" t="s">
        <v>0</v>
      </c>
      <c r="P2681" t="s">
        <v>216</v>
      </c>
      <c r="Q2681" t="s">
        <v>9890</v>
      </c>
      <c r="R2681" t="s">
        <v>513</v>
      </c>
      <c r="S2681" t="s">
        <v>513</v>
      </c>
      <c r="T2681" t="s">
        <v>54</v>
      </c>
      <c r="U2681" t="s">
        <v>303</v>
      </c>
      <c r="V2681" t="s">
        <v>168</v>
      </c>
      <c r="W2681" t="s">
        <v>74</v>
      </c>
      <c r="X2681" t="s">
        <v>103</v>
      </c>
      <c r="AA2681" t="s">
        <v>0</v>
      </c>
      <c r="AB2681" t="s">
        <v>228</v>
      </c>
      <c r="AC2681" t="s">
        <v>65</v>
      </c>
      <c r="AD2681" t="s">
        <v>0</v>
      </c>
      <c r="AE2681" t="s">
        <v>0</v>
      </c>
      <c r="AF2681" t="s">
        <v>0</v>
      </c>
      <c r="AG2681" t="s">
        <v>0</v>
      </c>
      <c r="AH2681" s="1" t="s">
        <v>0</v>
      </c>
      <c r="AI2681" s="1" t="s">
        <v>0</v>
      </c>
      <c r="AJ2681" s="1" t="s">
        <v>0</v>
      </c>
      <c r="AK2681" t="s">
        <v>61</v>
      </c>
      <c r="AL2681" t="s">
        <v>61</v>
      </c>
      <c r="AM2681" t="s">
        <v>0</v>
      </c>
      <c r="AN2681" t="s">
        <v>0</v>
      </c>
      <c r="AO2681" t="s">
        <v>0</v>
      </c>
      <c r="AP2681" t="s">
        <v>0</v>
      </c>
      <c r="AQ2681" t="s">
        <v>61</v>
      </c>
      <c r="AR2681" t="s">
        <v>0</v>
      </c>
      <c r="AS2681" t="str">
        <f>HYPERLINK("https://tessa.gazprom-neft.local/edo/card/29006d74-2021-4172-9781-2d330397ebef", "https://tessa.gazprom-neft.local/edo/card/29006d74-2021-4172-9781-2d330397ebef")</f>
        <v>https://tessa.gazprom-neft.local/edo/card/29006d74-2021-4172-9781-2d330397ebef</v>
      </c>
    </row>
    <row r="2682" spans="1:45" hidden="1" x14ac:dyDescent="0.25">
      <c r="A2682" t="s">
        <v>44</v>
      </c>
      <c r="B2682" t="s">
        <v>1216</v>
      </c>
      <c r="C2682" t="s">
        <v>67</v>
      </c>
      <c r="F2682" s="18" t="s">
        <v>1217</v>
      </c>
      <c r="G2682" t="s">
        <v>1218</v>
      </c>
      <c r="H2682" t="s">
        <v>0</v>
      </c>
      <c r="I2682" t="s">
        <v>3742</v>
      </c>
      <c r="J2682" t="s">
        <v>3742</v>
      </c>
      <c r="K2682" t="s">
        <v>85</v>
      </c>
      <c r="L2682" t="s">
        <v>86</v>
      </c>
      <c r="M2682" t="s">
        <v>216</v>
      </c>
      <c r="N2682" t="s">
        <v>9891</v>
      </c>
      <c r="O2682" t="s">
        <v>0</v>
      </c>
      <c r="P2682" t="s">
        <v>9892</v>
      </c>
      <c r="Q2682" t="s">
        <v>9893</v>
      </c>
      <c r="R2682" t="s">
        <v>393</v>
      </c>
      <c r="S2682" t="s">
        <v>898</v>
      </c>
      <c r="T2682" t="s">
        <v>54</v>
      </c>
      <c r="U2682" t="s">
        <v>210</v>
      </c>
      <c r="V2682" t="s">
        <v>102</v>
      </c>
      <c r="W2682" t="s">
        <v>74</v>
      </c>
      <c r="X2682" t="s">
        <v>58</v>
      </c>
      <c r="AA2682" t="s">
        <v>104</v>
      </c>
      <c r="AB2682" t="s">
        <v>228</v>
      </c>
      <c r="AC2682" t="s">
        <v>65</v>
      </c>
      <c r="AD2682" t="s">
        <v>0</v>
      </c>
      <c r="AE2682" t="s">
        <v>0</v>
      </c>
      <c r="AF2682" t="s">
        <v>0</v>
      </c>
      <c r="AG2682" t="s">
        <v>0</v>
      </c>
      <c r="AH2682" s="1" t="s">
        <v>0</v>
      </c>
      <c r="AI2682" s="1" t="s">
        <v>0</v>
      </c>
      <c r="AJ2682" s="1" t="s">
        <v>0</v>
      </c>
      <c r="AK2682" t="s">
        <v>61</v>
      </c>
      <c r="AL2682" t="s">
        <v>61</v>
      </c>
      <c r="AM2682" t="s">
        <v>0</v>
      </c>
      <c r="AN2682" t="s">
        <v>0</v>
      </c>
      <c r="AO2682" t="s">
        <v>0</v>
      </c>
      <c r="AP2682" t="s">
        <v>0</v>
      </c>
      <c r="AQ2682" t="s">
        <v>61</v>
      </c>
      <c r="AR2682" t="s">
        <v>0</v>
      </c>
      <c r="AS2682" t="str">
        <f>HYPERLINK("https://tessa.gazprom-neft.local/edo/card/0f9a9d47-8d77-4dea-aba7-f5ff0b047d89", "https://tessa.gazprom-neft.local/edo/card/0f9a9d47-8d77-4dea-aba7-f5ff0b047d89")</f>
        <v>https://tessa.gazprom-neft.local/edo/card/0f9a9d47-8d77-4dea-aba7-f5ff0b047d89</v>
      </c>
    </row>
    <row r="2683" spans="1:45" hidden="1" x14ac:dyDescent="0.25">
      <c r="A2683" t="s">
        <v>44</v>
      </c>
      <c r="B2683" t="s">
        <v>403</v>
      </c>
      <c r="C2683" t="s">
        <v>67</v>
      </c>
      <c r="F2683" s="18" t="s">
        <v>404</v>
      </c>
      <c r="G2683" t="s">
        <v>405</v>
      </c>
      <c r="H2683" t="s">
        <v>1805</v>
      </c>
      <c r="I2683" t="s">
        <v>0</v>
      </c>
      <c r="J2683" t="s">
        <v>51</v>
      </c>
      <c r="K2683" t="s">
        <v>47</v>
      </c>
      <c r="L2683" t="s">
        <v>239</v>
      </c>
      <c r="M2683" t="s">
        <v>0</v>
      </c>
      <c r="N2683" t="s">
        <v>9894</v>
      </c>
      <c r="O2683" t="s">
        <v>0</v>
      </c>
      <c r="P2683" t="s">
        <v>9895</v>
      </c>
      <c r="Q2683" t="s">
        <v>9896</v>
      </c>
      <c r="R2683" t="s">
        <v>799</v>
      </c>
      <c r="S2683" t="s">
        <v>0</v>
      </c>
      <c r="T2683" t="s">
        <v>54</v>
      </c>
      <c r="U2683" t="s">
        <v>55</v>
      </c>
      <c r="V2683" t="s">
        <v>917</v>
      </c>
      <c r="W2683" t="s">
        <v>74</v>
      </c>
      <c r="X2683" t="s">
        <v>58</v>
      </c>
      <c r="AA2683" t="s">
        <v>1278</v>
      </c>
      <c r="AB2683" t="s">
        <v>130</v>
      </c>
      <c r="AC2683" t="s">
        <v>79</v>
      </c>
      <c r="AD2683" t="s">
        <v>144</v>
      </c>
      <c r="AE2683" t="s">
        <v>82</v>
      </c>
      <c r="AF2683" t="s">
        <v>0</v>
      </c>
      <c r="AG2683" t="s">
        <v>0</v>
      </c>
      <c r="AH2683" s="1" t="s">
        <v>14102</v>
      </c>
      <c r="AI2683" s="1" t="s">
        <v>14103</v>
      </c>
      <c r="AJ2683" s="1" t="s">
        <v>14104</v>
      </c>
      <c r="AK2683" t="s">
        <v>61</v>
      </c>
      <c r="AL2683" t="s">
        <v>61</v>
      </c>
      <c r="AM2683" t="s">
        <v>0</v>
      </c>
      <c r="AN2683" t="s">
        <v>0</v>
      </c>
      <c r="AO2683" t="s">
        <v>0</v>
      </c>
      <c r="AP2683" t="s">
        <v>0</v>
      </c>
      <c r="AQ2683" t="s">
        <v>61</v>
      </c>
      <c r="AR2683" t="s">
        <v>0</v>
      </c>
      <c r="AS2683" t="str">
        <f>HYPERLINK("https://tessa.gazprom-neft.local/edo/card/5e424b69-96fb-4032-a77a-3c26263eddae", "https://tessa.gazprom-neft.local/edo/card/5e424b69-96fb-4032-a77a-3c26263eddae")</f>
        <v>https://tessa.gazprom-neft.local/edo/card/5e424b69-96fb-4032-a77a-3c26263eddae</v>
      </c>
    </row>
    <row r="2684" spans="1:45" hidden="1" x14ac:dyDescent="0.25">
      <c r="A2684" t="s">
        <v>44</v>
      </c>
      <c r="B2684" t="s">
        <v>661</v>
      </c>
      <c r="C2684" t="s">
        <v>67</v>
      </c>
      <c r="F2684" s="18" t="s">
        <v>662</v>
      </c>
      <c r="G2684" t="s">
        <v>663</v>
      </c>
      <c r="H2684" t="s">
        <v>764</v>
      </c>
      <c r="I2684" t="s">
        <v>0</v>
      </c>
      <c r="J2684" t="s">
        <v>6114</v>
      </c>
      <c r="K2684" t="s">
        <v>47</v>
      </c>
      <c r="L2684" t="s">
        <v>763</v>
      </c>
      <c r="M2684" t="s">
        <v>0</v>
      </c>
      <c r="N2684" t="s">
        <v>9897</v>
      </c>
      <c r="O2684" t="s">
        <v>0</v>
      </c>
      <c r="P2684" t="s">
        <v>9898</v>
      </c>
      <c r="Q2684" t="s">
        <v>9593</v>
      </c>
      <c r="R2684" t="s">
        <v>768</v>
      </c>
      <c r="S2684" t="s">
        <v>0</v>
      </c>
      <c r="T2684" t="s">
        <v>54</v>
      </c>
      <c r="U2684" t="s">
        <v>283</v>
      </c>
      <c r="V2684" t="s">
        <v>168</v>
      </c>
      <c r="W2684" t="s">
        <v>74</v>
      </c>
      <c r="X2684" t="s">
        <v>103</v>
      </c>
      <c r="AA2684" t="s">
        <v>6641</v>
      </c>
      <c r="AB2684" t="s">
        <v>130</v>
      </c>
      <c r="AC2684" t="s">
        <v>79</v>
      </c>
      <c r="AD2684" t="s">
        <v>80</v>
      </c>
      <c r="AE2684" t="s">
        <v>82</v>
      </c>
      <c r="AF2684" t="s">
        <v>0</v>
      </c>
      <c r="AG2684" t="s">
        <v>0</v>
      </c>
      <c r="AH2684" s="1" t="s">
        <v>14105</v>
      </c>
      <c r="AI2684" s="1" t="s">
        <v>14106</v>
      </c>
      <c r="AJ2684" s="1" t="s">
        <v>14107</v>
      </c>
      <c r="AK2684" t="s">
        <v>61</v>
      </c>
      <c r="AL2684" t="s">
        <v>61</v>
      </c>
      <c r="AM2684" t="s">
        <v>0</v>
      </c>
      <c r="AN2684" t="s">
        <v>0</v>
      </c>
      <c r="AO2684" t="s">
        <v>0</v>
      </c>
      <c r="AP2684" t="s">
        <v>0</v>
      </c>
      <c r="AQ2684" t="s">
        <v>61</v>
      </c>
      <c r="AR2684" t="s">
        <v>0</v>
      </c>
      <c r="AS2684" t="str">
        <f>HYPERLINK("https://tessa.gazprom-neft.local/edo/card/d115aa67-82c5-4b66-a01f-701a60f4c335", "https://tessa.gazprom-neft.local/edo/card/d115aa67-82c5-4b66-a01f-701a60f4c335")</f>
        <v>https://tessa.gazprom-neft.local/edo/card/d115aa67-82c5-4b66-a01f-701a60f4c335</v>
      </c>
    </row>
    <row r="2685" spans="1:45" x14ac:dyDescent="0.25">
      <c r="A2685" t="s">
        <v>44</v>
      </c>
      <c r="B2685" t="s">
        <v>4071</v>
      </c>
      <c r="C2685" t="s">
        <v>67</v>
      </c>
      <c r="F2685" s="18" t="s">
        <v>4072</v>
      </c>
      <c r="G2685" t="s">
        <v>4073</v>
      </c>
      <c r="H2685" t="s">
        <v>4580</v>
      </c>
      <c r="I2685" t="s">
        <v>0</v>
      </c>
      <c r="J2685" t="s">
        <v>936</v>
      </c>
      <c r="K2685" t="s">
        <v>47</v>
      </c>
      <c r="L2685" t="s">
        <v>48</v>
      </c>
      <c r="M2685" t="s">
        <v>0</v>
      </c>
      <c r="N2685" t="s">
        <v>9899</v>
      </c>
      <c r="O2685" t="s">
        <v>0</v>
      </c>
      <c r="P2685" t="s">
        <v>216</v>
      </c>
      <c r="Q2685" t="s">
        <v>9900</v>
      </c>
      <c r="R2685" t="s">
        <v>519</v>
      </c>
      <c r="S2685" t="s">
        <v>519</v>
      </c>
      <c r="T2685" t="s">
        <v>54</v>
      </c>
      <c r="U2685" t="s">
        <v>362</v>
      </c>
      <c r="V2685" t="s">
        <v>295</v>
      </c>
      <c r="W2685" t="s">
        <v>74</v>
      </c>
      <c r="X2685" t="s">
        <v>103</v>
      </c>
      <c r="AA2685" t="s">
        <v>296</v>
      </c>
      <c r="AB2685" t="s">
        <v>130</v>
      </c>
      <c r="AC2685" t="s">
        <v>65</v>
      </c>
      <c r="AD2685" t="s">
        <v>514</v>
      </c>
      <c r="AE2685" t="s">
        <v>0</v>
      </c>
      <c r="AF2685" t="s">
        <v>0</v>
      </c>
      <c r="AG2685" t="s">
        <v>0</v>
      </c>
      <c r="AH2685" s="1" t="s">
        <v>0</v>
      </c>
      <c r="AI2685" s="1" t="s">
        <v>0</v>
      </c>
      <c r="AJ2685" s="1" t="s">
        <v>0</v>
      </c>
      <c r="AK2685" t="s">
        <v>61</v>
      </c>
      <c r="AL2685" t="s">
        <v>61</v>
      </c>
      <c r="AM2685" t="s">
        <v>0</v>
      </c>
      <c r="AN2685" t="s">
        <v>0</v>
      </c>
      <c r="AO2685" t="s">
        <v>0</v>
      </c>
      <c r="AP2685" t="s">
        <v>0</v>
      </c>
      <c r="AQ2685" t="s">
        <v>61</v>
      </c>
      <c r="AR2685" t="s">
        <v>0</v>
      </c>
      <c r="AS2685" t="str">
        <f>HYPERLINK("https://tessa.gazprom-neft.local/edo/card/2bba4d96-05e7-4dcc-acb6-67043c4dcfcb", "https://tessa.gazprom-neft.local/edo/card/2bba4d96-05e7-4dcc-acb6-67043c4dcfcb")</f>
        <v>https://tessa.gazprom-neft.local/edo/card/2bba4d96-05e7-4dcc-acb6-67043c4dcfcb</v>
      </c>
    </row>
    <row r="2686" spans="1:45" x14ac:dyDescent="0.25">
      <c r="A2686" t="s">
        <v>44</v>
      </c>
      <c r="B2686" t="s">
        <v>1386</v>
      </c>
      <c r="C2686" t="s">
        <v>67</v>
      </c>
      <c r="F2686" s="18" t="s">
        <v>1387</v>
      </c>
      <c r="G2686" t="s">
        <v>1388</v>
      </c>
      <c r="H2686" t="s">
        <v>8816</v>
      </c>
      <c r="I2686" t="s">
        <v>0</v>
      </c>
      <c r="J2686" t="s">
        <v>936</v>
      </c>
      <c r="K2686" t="s">
        <v>47</v>
      </c>
      <c r="L2686" t="s">
        <v>48</v>
      </c>
      <c r="M2686" t="s">
        <v>0</v>
      </c>
      <c r="N2686" t="s">
        <v>9901</v>
      </c>
      <c r="O2686" t="s">
        <v>0</v>
      </c>
      <c r="P2686" t="s">
        <v>9902</v>
      </c>
      <c r="Q2686" t="s">
        <v>9903</v>
      </c>
      <c r="R2686" t="s">
        <v>1342</v>
      </c>
      <c r="S2686" t="s">
        <v>1342</v>
      </c>
      <c r="T2686" t="s">
        <v>54</v>
      </c>
      <c r="U2686" t="s">
        <v>274</v>
      </c>
      <c r="V2686" t="s">
        <v>137</v>
      </c>
      <c r="W2686" t="s">
        <v>57</v>
      </c>
      <c r="X2686" t="s">
        <v>103</v>
      </c>
      <c r="AA2686" t="s">
        <v>0</v>
      </c>
      <c r="AB2686" t="s">
        <v>64</v>
      </c>
      <c r="AC2686" t="s">
        <v>278</v>
      </c>
      <c r="AD2686" t="s">
        <v>144</v>
      </c>
      <c r="AE2686" t="s">
        <v>82</v>
      </c>
      <c r="AF2686" t="s">
        <v>0</v>
      </c>
      <c r="AG2686" t="s">
        <v>0</v>
      </c>
      <c r="AH2686" s="1" t="s">
        <v>14108</v>
      </c>
      <c r="AI2686" s="1" t="s">
        <v>14109</v>
      </c>
      <c r="AJ2686" s="1" t="s">
        <v>14110</v>
      </c>
      <c r="AK2686" t="s">
        <v>61</v>
      </c>
      <c r="AL2686" t="s">
        <v>61</v>
      </c>
      <c r="AM2686" t="s">
        <v>0</v>
      </c>
      <c r="AN2686" t="s">
        <v>0</v>
      </c>
      <c r="AO2686" t="s">
        <v>0</v>
      </c>
      <c r="AP2686" t="s">
        <v>0</v>
      </c>
      <c r="AQ2686" t="s">
        <v>61</v>
      </c>
      <c r="AR2686" t="s">
        <v>0</v>
      </c>
      <c r="AS2686" t="str">
        <f>HYPERLINK("https://tessa.gazprom-neft.local/edo/card/7c4ed6d2-5cf0-4a61-b925-7559104eac37", "https://tessa.gazprom-neft.local/edo/card/7c4ed6d2-5cf0-4a61-b925-7559104eac37")</f>
        <v>https://tessa.gazprom-neft.local/edo/card/7c4ed6d2-5cf0-4a61-b925-7559104eac37</v>
      </c>
    </row>
    <row r="2687" spans="1:45" x14ac:dyDescent="0.25">
      <c r="A2687" t="s">
        <v>44</v>
      </c>
      <c r="B2687" t="s">
        <v>265</v>
      </c>
      <c r="C2687" t="s">
        <v>67</v>
      </c>
      <c r="F2687" s="18" t="s">
        <v>266</v>
      </c>
      <c r="G2687" t="s">
        <v>267</v>
      </c>
      <c r="H2687" t="s">
        <v>261</v>
      </c>
      <c r="I2687" t="s">
        <v>0</v>
      </c>
      <c r="J2687" t="s">
        <v>712</v>
      </c>
      <c r="K2687" t="s">
        <v>85</v>
      </c>
      <c r="L2687" t="s">
        <v>48</v>
      </c>
      <c r="M2687" t="s">
        <v>9463</v>
      </c>
      <c r="N2687" t="s">
        <v>9904</v>
      </c>
      <c r="O2687" t="s">
        <v>0</v>
      </c>
      <c r="P2687" t="s">
        <v>9463</v>
      </c>
      <c r="Q2687" t="s">
        <v>9905</v>
      </c>
      <c r="R2687" t="s">
        <v>198</v>
      </c>
      <c r="S2687" t="s">
        <v>198</v>
      </c>
      <c r="T2687" t="s">
        <v>54</v>
      </c>
      <c r="U2687" t="s">
        <v>199</v>
      </c>
      <c r="V2687" t="s">
        <v>126</v>
      </c>
      <c r="W2687" t="s">
        <v>74</v>
      </c>
      <c r="X2687" t="s">
        <v>58</v>
      </c>
      <c r="AA2687" t="s">
        <v>224</v>
      </c>
      <c r="AB2687" t="s">
        <v>2014</v>
      </c>
      <c r="AC2687" t="s">
        <v>65</v>
      </c>
      <c r="AD2687" t="s">
        <v>80</v>
      </c>
      <c r="AE2687" t="s">
        <v>0</v>
      </c>
      <c r="AF2687" t="s">
        <v>0</v>
      </c>
      <c r="AG2687" t="s">
        <v>0</v>
      </c>
      <c r="AH2687" s="1" t="s">
        <v>0</v>
      </c>
      <c r="AI2687" s="1" t="s">
        <v>0</v>
      </c>
      <c r="AJ2687" s="1" t="s">
        <v>0</v>
      </c>
      <c r="AK2687" t="s">
        <v>61</v>
      </c>
      <c r="AL2687" t="s">
        <v>61</v>
      </c>
      <c r="AM2687" t="s">
        <v>0</v>
      </c>
      <c r="AN2687" t="s">
        <v>0</v>
      </c>
      <c r="AO2687" t="s">
        <v>0</v>
      </c>
      <c r="AP2687" t="s">
        <v>0</v>
      </c>
      <c r="AQ2687" t="s">
        <v>61</v>
      </c>
      <c r="AR2687" t="s">
        <v>0</v>
      </c>
      <c r="AS2687" t="str">
        <f>HYPERLINK("https://tessa.gazprom-neft.local/edo/card/110428fb-47dd-41c0-927c-ca84c740f505", "https://tessa.gazprom-neft.local/edo/card/110428fb-47dd-41c0-927c-ca84c740f505")</f>
        <v>https://tessa.gazprom-neft.local/edo/card/110428fb-47dd-41c0-927c-ca84c740f505</v>
      </c>
    </row>
    <row r="2688" spans="1:45" x14ac:dyDescent="0.25">
      <c r="A2688" t="s">
        <v>44</v>
      </c>
      <c r="B2688" t="s">
        <v>0</v>
      </c>
      <c r="C2688" t="s">
        <v>46</v>
      </c>
      <c r="F2688" s="18" t="s">
        <v>5632</v>
      </c>
      <c r="G2688" t="s">
        <v>0</v>
      </c>
      <c r="H2688" t="s">
        <v>5629</v>
      </c>
      <c r="I2688" t="s">
        <v>0</v>
      </c>
      <c r="J2688" t="s">
        <v>9082</v>
      </c>
      <c r="K2688" t="s">
        <v>47</v>
      </c>
      <c r="L2688" t="s">
        <v>48</v>
      </c>
      <c r="M2688" t="s">
        <v>0</v>
      </c>
      <c r="N2688" t="s">
        <v>9906</v>
      </c>
      <c r="O2688" t="s">
        <v>0</v>
      </c>
      <c r="P2688" t="s">
        <v>9907</v>
      </c>
      <c r="Q2688" t="s">
        <v>9908</v>
      </c>
      <c r="R2688" t="s">
        <v>338</v>
      </c>
      <c r="S2688" t="s">
        <v>1441</v>
      </c>
      <c r="T2688" t="s">
        <v>54</v>
      </c>
      <c r="U2688" t="s">
        <v>4736</v>
      </c>
      <c r="V2688" t="s">
        <v>295</v>
      </c>
      <c r="W2688" t="s">
        <v>57</v>
      </c>
      <c r="X2688" t="s">
        <v>58</v>
      </c>
      <c r="AA2688" t="s">
        <v>296</v>
      </c>
      <c r="AB2688" t="s">
        <v>192</v>
      </c>
      <c r="AC2688" t="s">
        <v>65</v>
      </c>
      <c r="AD2688" t="s">
        <v>80</v>
      </c>
      <c r="AE2688" t="s">
        <v>0</v>
      </c>
      <c r="AF2688" t="s">
        <v>0</v>
      </c>
      <c r="AG2688" t="s">
        <v>0</v>
      </c>
      <c r="AH2688" s="1" t="s">
        <v>0</v>
      </c>
      <c r="AI2688" s="1" t="s">
        <v>0</v>
      </c>
      <c r="AJ2688" s="1" t="s">
        <v>0</v>
      </c>
      <c r="AK2688" t="s">
        <v>61</v>
      </c>
      <c r="AL2688" t="s">
        <v>61</v>
      </c>
      <c r="AM2688" t="s">
        <v>0</v>
      </c>
      <c r="AN2688" t="s">
        <v>0</v>
      </c>
      <c r="AO2688" t="s">
        <v>0</v>
      </c>
      <c r="AP2688" t="s">
        <v>0</v>
      </c>
      <c r="AQ2688" t="s">
        <v>61</v>
      </c>
      <c r="AR2688" t="s">
        <v>0</v>
      </c>
      <c r="AS2688" t="str">
        <f>HYPERLINK("https://tessa.gazprom-neft.local/edo/card/789927b6-e46f-40ff-9eb6-63e30e91f12d", "https://tessa.gazprom-neft.local/edo/card/789927b6-e46f-40ff-9eb6-63e30e91f12d")</f>
        <v>https://tessa.gazprom-neft.local/edo/card/789927b6-e46f-40ff-9eb6-63e30e91f12d</v>
      </c>
    </row>
    <row r="2689" spans="1:45" x14ac:dyDescent="0.25">
      <c r="A2689" t="s">
        <v>44</v>
      </c>
      <c r="B2689" t="s">
        <v>3031</v>
      </c>
      <c r="C2689" t="s">
        <v>67</v>
      </c>
      <c r="F2689" s="18" t="s">
        <v>3032</v>
      </c>
      <c r="G2689" t="s">
        <v>3033</v>
      </c>
      <c r="H2689" t="s">
        <v>6006</v>
      </c>
      <c r="I2689" t="s">
        <v>0</v>
      </c>
      <c r="J2689" t="s">
        <v>1098</v>
      </c>
      <c r="K2689" t="s">
        <v>47</v>
      </c>
      <c r="L2689" t="s">
        <v>48</v>
      </c>
      <c r="M2689" t="s">
        <v>0</v>
      </c>
      <c r="N2689" t="s">
        <v>9909</v>
      </c>
      <c r="O2689" t="s">
        <v>0</v>
      </c>
      <c r="P2689" t="s">
        <v>9910</v>
      </c>
      <c r="Q2689" t="s">
        <v>9911</v>
      </c>
      <c r="R2689" t="s">
        <v>1829</v>
      </c>
      <c r="S2689" t="s">
        <v>1829</v>
      </c>
      <c r="T2689" t="s">
        <v>54</v>
      </c>
      <c r="U2689" t="s">
        <v>307</v>
      </c>
      <c r="V2689" t="s">
        <v>126</v>
      </c>
      <c r="W2689" t="s">
        <v>74</v>
      </c>
      <c r="X2689" t="s">
        <v>103</v>
      </c>
      <c r="AA2689" t="s">
        <v>224</v>
      </c>
      <c r="AB2689" t="s">
        <v>130</v>
      </c>
      <c r="AC2689" t="s">
        <v>65</v>
      </c>
      <c r="AD2689" t="s">
        <v>0</v>
      </c>
      <c r="AE2689" t="s">
        <v>0</v>
      </c>
      <c r="AF2689" t="s">
        <v>0</v>
      </c>
      <c r="AG2689" t="s">
        <v>0</v>
      </c>
      <c r="AH2689" s="1" t="s">
        <v>0</v>
      </c>
      <c r="AI2689" s="1" t="s">
        <v>0</v>
      </c>
      <c r="AJ2689" s="1" t="s">
        <v>0</v>
      </c>
      <c r="AK2689" t="s">
        <v>61</v>
      </c>
      <c r="AL2689" t="s">
        <v>61</v>
      </c>
      <c r="AM2689" t="s">
        <v>0</v>
      </c>
      <c r="AN2689" t="s">
        <v>0</v>
      </c>
      <c r="AO2689" t="s">
        <v>0</v>
      </c>
      <c r="AP2689" t="s">
        <v>0</v>
      </c>
      <c r="AQ2689" t="s">
        <v>61</v>
      </c>
      <c r="AR2689" t="s">
        <v>0</v>
      </c>
      <c r="AS2689" t="str">
        <f>HYPERLINK("https://tessa.gazprom-neft.local/edo/card/94f0c496-f091-411f-bcdf-02406bff0539", "https://tessa.gazprom-neft.local/edo/card/94f0c496-f091-411f-bcdf-02406bff0539")</f>
        <v>https://tessa.gazprom-neft.local/edo/card/94f0c496-f091-411f-bcdf-02406bff0539</v>
      </c>
    </row>
    <row r="2690" spans="1:45" x14ac:dyDescent="0.25">
      <c r="A2690" t="s">
        <v>44</v>
      </c>
      <c r="B2690" t="s">
        <v>3326</v>
      </c>
      <c r="C2690" t="s">
        <v>67</v>
      </c>
      <c r="F2690" s="18" t="s">
        <v>3327</v>
      </c>
      <c r="G2690" t="s">
        <v>3328</v>
      </c>
      <c r="H2690" t="s">
        <v>9913</v>
      </c>
      <c r="I2690" t="s">
        <v>0</v>
      </c>
      <c r="J2690" t="s">
        <v>51</v>
      </c>
      <c r="K2690" t="s">
        <v>47</v>
      </c>
      <c r="L2690" t="s">
        <v>48</v>
      </c>
      <c r="M2690" t="s">
        <v>0</v>
      </c>
      <c r="N2690" t="s">
        <v>9912</v>
      </c>
      <c r="O2690" t="s">
        <v>0</v>
      </c>
      <c r="P2690" t="s">
        <v>9914</v>
      </c>
      <c r="Q2690" t="s">
        <v>9915</v>
      </c>
      <c r="R2690" t="s">
        <v>836</v>
      </c>
      <c r="S2690" t="s">
        <v>836</v>
      </c>
      <c r="T2690" t="s">
        <v>54</v>
      </c>
      <c r="U2690" t="s">
        <v>294</v>
      </c>
      <c r="V2690" t="s">
        <v>295</v>
      </c>
      <c r="W2690" t="s">
        <v>57</v>
      </c>
      <c r="X2690" t="s">
        <v>103</v>
      </c>
      <c r="AA2690" t="s">
        <v>296</v>
      </c>
      <c r="AB2690" t="s">
        <v>64</v>
      </c>
      <c r="AC2690" t="s">
        <v>79</v>
      </c>
      <c r="AD2690" t="s">
        <v>80</v>
      </c>
      <c r="AE2690" t="s">
        <v>82</v>
      </c>
      <c r="AF2690" t="s">
        <v>0</v>
      </c>
      <c r="AG2690" t="s">
        <v>0</v>
      </c>
      <c r="AH2690" s="1" t="s">
        <v>14111</v>
      </c>
      <c r="AI2690" s="1" t="s">
        <v>14112</v>
      </c>
      <c r="AJ2690" s="1" t="s">
        <v>14113</v>
      </c>
      <c r="AK2690" t="s">
        <v>61</v>
      </c>
      <c r="AL2690" t="s">
        <v>61</v>
      </c>
      <c r="AM2690" t="s">
        <v>0</v>
      </c>
      <c r="AN2690" t="s">
        <v>0</v>
      </c>
      <c r="AO2690" t="s">
        <v>0</v>
      </c>
      <c r="AP2690" t="s">
        <v>0</v>
      </c>
      <c r="AQ2690" t="s">
        <v>61</v>
      </c>
      <c r="AR2690" t="s">
        <v>0</v>
      </c>
      <c r="AS2690" t="str">
        <f>HYPERLINK("https://tessa.gazprom-neft.local/edo/card/6a05168a-7944-473e-bc9b-50dbafa7c3dc", "https://tessa.gazprom-neft.local/edo/card/6a05168a-7944-473e-bc9b-50dbafa7c3dc")</f>
        <v>https://tessa.gazprom-neft.local/edo/card/6a05168a-7944-473e-bc9b-50dbafa7c3dc</v>
      </c>
    </row>
    <row r="2691" spans="1:45" x14ac:dyDescent="0.25">
      <c r="A2691" t="s">
        <v>44</v>
      </c>
      <c r="B2691" t="s">
        <v>687</v>
      </c>
      <c r="C2691" t="s">
        <v>67</v>
      </c>
      <c r="F2691" s="18" t="s">
        <v>688</v>
      </c>
      <c r="G2691" t="s">
        <v>689</v>
      </c>
      <c r="H2691" t="s">
        <v>684</v>
      </c>
      <c r="I2691" t="s">
        <v>0</v>
      </c>
      <c r="J2691" t="s">
        <v>156</v>
      </c>
      <c r="K2691" t="s">
        <v>85</v>
      </c>
      <c r="L2691" t="s">
        <v>48</v>
      </c>
      <c r="M2691" t="s">
        <v>9463</v>
      </c>
      <c r="N2691" t="s">
        <v>9916</v>
      </c>
      <c r="O2691" t="s">
        <v>0</v>
      </c>
      <c r="P2691" t="s">
        <v>9463</v>
      </c>
      <c r="Q2691" t="s">
        <v>9917</v>
      </c>
      <c r="R2691" t="s">
        <v>198</v>
      </c>
      <c r="S2691" t="s">
        <v>198</v>
      </c>
      <c r="T2691" t="s">
        <v>54</v>
      </c>
      <c r="U2691" t="s">
        <v>199</v>
      </c>
      <c r="V2691" t="s">
        <v>126</v>
      </c>
      <c r="W2691" t="s">
        <v>74</v>
      </c>
      <c r="X2691" t="s">
        <v>58</v>
      </c>
      <c r="AA2691" t="s">
        <v>224</v>
      </c>
      <c r="AB2691" t="s">
        <v>690</v>
      </c>
      <c r="AC2691" t="s">
        <v>65</v>
      </c>
      <c r="AD2691" t="s">
        <v>80</v>
      </c>
      <c r="AE2691" t="s">
        <v>0</v>
      </c>
      <c r="AF2691" t="s">
        <v>0</v>
      </c>
      <c r="AG2691" t="s">
        <v>0</v>
      </c>
      <c r="AH2691" s="1" t="s">
        <v>0</v>
      </c>
      <c r="AI2691" s="1" t="s">
        <v>0</v>
      </c>
      <c r="AJ2691" s="1" t="s">
        <v>0</v>
      </c>
      <c r="AK2691" t="s">
        <v>61</v>
      </c>
      <c r="AL2691" t="s">
        <v>61</v>
      </c>
      <c r="AM2691" t="s">
        <v>0</v>
      </c>
      <c r="AN2691" t="s">
        <v>0</v>
      </c>
      <c r="AO2691" t="s">
        <v>0</v>
      </c>
      <c r="AP2691" t="s">
        <v>0</v>
      </c>
      <c r="AQ2691" t="s">
        <v>61</v>
      </c>
      <c r="AR2691" t="s">
        <v>0</v>
      </c>
      <c r="AS2691" t="str">
        <f>HYPERLINK("https://tessa.gazprom-neft.local/edo/card/5c8cad4c-d40a-4e76-b8fd-2bde544c05d4", "https://tessa.gazprom-neft.local/edo/card/5c8cad4c-d40a-4e76-b8fd-2bde544c05d4")</f>
        <v>https://tessa.gazprom-neft.local/edo/card/5c8cad4c-d40a-4e76-b8fd-2bde544c05d4</v>
      </c>
    </row>
    <row r="2692" spans="1:45" x14ac:dyDescent="0.25">
      <c r="A2692" t="s">
        <v>44</v>
      </c>
      <c r="B2692" t="s">
        <v>837</v>
      </c>
      <c r="C2692" t="s">
        <v>67</v>
      </c>
      <c r="F2692" s="18" t="s">
        <v>838</v>
      </c>
      <c r="G2692" t="s">
        <v>839</v>
      </c>
      <c r="H2692" t="s">
        <v>9919</v>
      </c>
      <c r="I2692" t="s">
        <v>0</v>
      </c>
      <c r="J2692" t="s">
        <v>51</v>
      </c>
      <c r="K2692" t="s">
        <v>47</v>
      </c>
      <c r="L2692" t="s">
        <v>48</v>
      </c>
      <c r="M2692" t="s">
        <v>0</v>
      </c>
      <c r="N2692" t="s">
        <v>9918</v>
      </c>
      <c r="O2692" t="s">
        <v>0</v>
      </c>
      <c r="P2692" t="s">
        <v>9920</v>
      </c>
      <c r="Q2692" t="s">
        <v>9921</v>
      </c>
      <c r="R2692" t="s">
        <v>836</v>
      </c>
      <c r="S2692" t="s">
        <v>836</v>
      </c>
      <c r="T2692" t="s">
        <v>54</v>
      </c>
      <c r="U2692" t="s">
        <v>294</v>
      </c>
      <c r="V2692" t="s">
        <v>295</v>
      </c>
      <c r="W2692" t="s">
        <v>74</v>
      </c>
      <c r="X2692" t="s">
        <v>103</v>
      </c>
      <c r="AA2692" t="s">
        <v>296</v>
      </c>
      <c r="AB2692" t="s">
        <v>64</v>
      </c>
      <c r="AC2692" t="s">
        <v>79</v>
      </c>
      <c r="AD2692" t="s">
        <v>80</v>
      </c>
      <c r="AE2692" t="s">
        <v>82</v>
      </c>
      <c r="AF2692" t="s">
        <v>0</v>
      </c>
      <c r="AG2692" t="s">
        <v>182</v>
      </c>
      <c r="AH2692" s="1" t="s">
        <v>14114</v>
      </c>
      <c r="AI2692" s="1" t="s">
        <v>14115</v>
      </c>
      <c r="AJ2692" s="1" t="s">
        <v>14116</v>
      </c>
      <c r="AK2692" t="s">
        <v>81</v>
      </c>
      <c r="AL2692" t="s">
        <v>61</v>
      </c>
      <c r="AM2692" t="s">
        <v>0</v>
      </c>
      <c r="AN2692" t="s">
        <v>0</v>
      </c>
      <c r="AO2692" t="s">
        <v>0</v>
      </c>
      <c r="AP2692" t="s">
        <v>0</v>
      </c>
      <c r="AQ2692" t="s">
        <v>61</v>
      </c>
      <c r="AR2692" t="s">
        <v>0</v>
      </c>
      <c r="AS2692" t="str">
        <f>HYPERLINK("https://tessa.gazprom-neft.local/edo/card/064ff6d9-0fb2-4af9-8795-b5814cf4b6df", "https://tessa.gazprom-neft.local/edo/card/064ff6d9-0fb2-4af9-8795-b5814cf4b6df")</f>
        <v>https://tessa.gazprom-neft.local/edo/card/064ff6d9-0fb2-4af9-8795-b5814cf4b6df</v>
      </c>
    </row>
    <row r="2693" spans="1:45" hidden="1" x14ac:dyDescent="0.25">
      <c r="A2693" t="s">
        <v>44</v>
      </c>
      <c r="B2693" t="s">
        <v>1712</v>
      </c>
      <c r="C2693" t="s">
        <v>67</v>
      </c>
      <c r="F2693" s="18" t="s">
        <v>1713</v>
      </c>
      <c r="G2693" t="s">
        <v>1714</v>
      </c>
      <c r="H2693" t="s">
        <v>1707</v>
      </c>
      <c r="I2693" t="s">
        <v>0</v>
      </c>
      <c r="J2693" t="s">
        <v>355</v>
      </c>
      <c r="K2693" t="s">
        <v>47</v>
      </c>
      <c r="L2693" t="s">
        <v>239</v>
      </c>
      <c r="M2693" t="s">
        <v>0</v>
      </c>
      <c r="N2693" t="s">
        <v>9922</v>
      </c>
      <c r="O2693" t="s">
        <v>0</v>
      </c>
      <c r="P2693" t="s">
        <v>1707</v>
      </c>
      <c r="Q2693" t="s">
        <v>1710</v>
      </c>
      <c r="R2693" t="s">
        <v>1711</v>
      </c>
      <c r="S2693" t="s">
        <v>1711</v>
      </c>
      <c r="T2693" t="s">
        <v>54</v>
      </c>
      <c r="U2693" t="s">
        <v>605</v>
      </c>
      <c r="V2693" t="s">
        <v>126</v>
      </c>
      <c r="W2693" t="s">
        <v>74</v>
      </c>
      <c r="X2693" t="s">
        <v>103</v>
      </c>
      <c r="AA2693" t="s">
        <v>224</v>
      </c>
      <c r="AB2693" t="s">
        <v>64</v>
      </c>
      <c r="AC2693" t="s">
        <v>79</v>
      </c>
      <c r="AD2693" t="s">
        <v>144</v>
      </c>
      <c r="AE2693" t="s">
        <v>118</v>
      </c>
      <c r="AF2693" t="s">
        <v>0</v>
      </c>
      <c r="AG2693" t="s">
        <v>0</v>
      </c>
      <c r="AH2693" s="1" t="s">
        <v>14117</v>
      </c>
      <c r="AI2693" s="1" t="s">
        <v>14117</v>
      </c>
      <c r="AJ2693" s="1">
        <v>0</v>
      </c>
      <c r="AK2693" t="s">
        <v>61</v>
      </c>
      <c r="AL2693" t="s">
        <v>61</v>
      </c>
      <c r="AM2693" t="s">
        <v>0</v>
      </c>
      <c r="AN2693" t="s">
        <v>0</v>
      </c>
      <c r="AO2693" t="s">
        <v>0</v>
      </c>
      <c r="AP2693" t="s">
        <v>0</v>
      </c>
      <c r="AQ2693" t="s">
        <v>61</v>
      </c>
      <c r="AR2693" t="s">
        <v>0</v>
      </c>
      <c r="AS2693" t="str">
        <f>HYPERLINK("https://tessa.gazprom-neft.local/edo/card/6c34e1c0-57a6-4e5e-bc7b-a5c1c7b88b74", "https://tessa.gazprom-neft.local/edo/card/6c34e1c0-57a6-4e5e-bc7b-a5c1c7b88b74")</f>
        <v>https://tessa.gazprom-neft.local/edo/card/6c34e1c0-57a6-4e5e-bc7b-a5c1c7b88b74</v>
      </c>
    </row>
    <row r="2694" spans="1:45" hidden="1" x14ac:dyDescent="0.25">
      <c r="A2694" t="s">
        <v>44</v>
      </c>
      <c r="B2694" t="s">
        <v>1140</v>
      </c>
      <c r="C2694" t="s">
        <v>67</v>
      </c>
      <c r="F2694" s="18" t="s">
        <v>1141</v>
      </c>
      <c r="G2694" t="s">
        <v>1142</v>
      </c>
      <c r="H2694" t="s">
        <v>1136</v>
      </c>
      <c r="I2694" t="s">
        <v>0</v>
      </c>
      <c r="J2694" t="s">
        <v>51</v>
      </c>
      <c r="K2694" t="s">
        <v>47</v>
      </c>
      <c r="L2694" t="s">
        <v>239</v>
      </c>
      <c r="M2694" t="s">
        <v>0</v>
      </c>
      <c r="N2694" t="s">
        <v>9923</v>
      </c>
      <c r="O2694" t="s">
        <v>0</v>
      </c>
      <c r="P2694" t="s">
        <v>9924</v>
      </c>
      <c r="Q2694" t="s">
        <v>9925</v>
      </c>
      <c r="R2694" t="s">
        <v>768</v>
      </c>
      <c r="S2694" t="s">
        <v>1066</v>
      </c>
      <c r="T2694" t="s">
        <v>54</v>
      </c>
      <c r="U2694" t="s">
        <v>283</v>
      </c>
      <c r="V2694" t="s">
        <v>168</v>
      </c>
      <c r="W2694" t="s">
        <v>74</v>
      </c>
      <c r="X2694" t="s">
        <v>103</v>
      </c>
      <c r="AA2694" t="s">
        <v>6641</v>
      </c>
      <c r="AB2694" t="s">
        <v>130</v>
      </c>
      <c r="AC2694" t="s">
        <v>79</v>
      </c>
      <c r="AD2694" t="s">
        <v>80</v>
      </c>
      <c r="AE2694" t="s">
        <v>82</v>
      </c>
      <c r="AF2694" t="s">
        <v>0</v>
      </c>
      <c r="AG2694" t="s">
        <v>0</v>
      </c>
      <c r="AH2694" s="1" t="s">
        <v>11204</v>
      </c>
      <c r="AI2694" s="1" t="s">
        <v>11205</v>
      </c>
      <c r="AJ2694" s="1" t="s">
        <v>11206</v>
      </c>
      <c r="AK2694" t="s">
        <v>61</v>
      </c>
      <c r="AL2694" t="s">
        <v>61</v>
      </c>
      <c r="AM2694" t="s">
        <v>0</v>
      </c>
      <c r="AN2694" t="s">
        <v>0</v>
      </c>
      <c r="AO2694" t="s">
        <v>0</v>
      </c>
      <c r="AP2694" t="s">
        <v>0</v>
      </c>
      <c r="AQ2694" t="s">
        <v>61</v>
      </c>
      <c r="AR2694" t="s">
        <v>0</v>
      </c>
      <c r="AS2694" t="str">
        <f>HYPERLINK("https://tessa.gazprom-neft.local/edo/card/41f56759-ae34-4cd8-a0fd-e48a0e2cab2f", "https://tessa.gazprom-neft.local/edo/card/41f56759-ae34-4cd8-a0fd-e48a0e2cab2f")</f>
        <v>https://tessa.gazprom-neft.local/edo/card/41f56759-ae34-4cd8-a0fd-e48a0e2cab2f</v>
      </c>
    </row>
    <row r="2695" spans="1:45" hidden="1" x14ac:dyDescent="0.25">
      <c r="A2695" t="s">
        <v>44</v>
      </c>
      <c r="B2695" t="s">
        <v>727</v>
      </c>
      <c r="C2695" t="s">
        <v>67</v>
      </c>
      <c r="F2695" s="18" t="s">
        <v>728</v>
      </c>
      <c r="G2695" t="s">
        <v>729</v>
      </c>
      <c r="H2695" t="s">
        <v>0</v>
      </c>
      <c r="I2695" t="s">
        <v>9927</v>
      </c>
      <c r="J2695" t="s">
        <v>9927</v>
      </c>
      <c r="K2695" t="s">
        <v>47</v>
      </c>
      <c r="L2695" t="s">
        <v>86</v>
      </c>
      <c r="M2695" t="s">
        <v>0</v>
      </c>
      <c r="N2695" t="s">
        <v>9926</v>
      </c>
      <c r="O2695" t="s">
        <v>0</v>
      </c>
      <c r="P2695" t="s">
        <v>237</v>
      </c>
      <c r="Q2695" t="s">
        <v>9355</v>
      </c>
      <c r="R2695" t="s">
        <v>282</v>
      </c>
      <c r="S2695" t="s">
        <v>0</v>
      </c>
      <c r="T2695" t="s">
        <v>54</v>
      </c>
      <c r="U2695" t="s">
        <v>55</v>
      </c>
      <c r="V2695" t="s">
        <v>91</v>
      </c>
      <c r="W2695" t="s">
        <v>74</v>
      </c>
      <c r="X2695" t="s">
        <v>103</v>
      </c>
      <c r="AA2695" t="s">
        <v>92</v>
      </c>
      <c r="AB2695" t="s">
        <v>237</v>
      </c>
      <c r="AC2695" t="s">
        <v>65</v>
      </c>
      <c r="AD2695" t="s">
        <v>0</v>
      </c>
      <c r="AE2695" t="s">
        <v>0</v>
      </c>
      <c r="AF2695" t="s">
        <v>0</v>
      </c>
      <c r="AG2695" t="s">
        <v>0</v>
      </c>
      <c r="AH2695" s="1" t="s">
        <v>0</v>
      </c>
      <c r="AI2695" s="1" t="s">
        <v>0</v>
      </c>
      <c r="AJ2695" s="1" t="s">
        <v>0</v>
      </c>
      <c r="AK2695" t="s">
        <v>61</v>
      </c>
      <c r="AL2695" t="s">
        <v>61</v>
      </c>
      <c r="AM2695" t="s">
        <v>0</v>
      </c>
      <c r="AN2695" t="s">
        <v>0</v>
      </c>
      <c r="AO2695" t="s">
        <v>0</v>
      </c>
      <c r="AP2695" t="s">
        <v>0</v>
      </c>
      <c r="AQ2695" t="s">
        <v>61</v>
      </c>
      <c r="AR2695" t="s">
        <v>0</v>
      </c>
      <c r="AS2695" t="str">
        <f>HYPERLINK("https://tessa.gazprom-neft.local/edo/card/b65b7411-0cae-49e9-9f9c-6907a569b35d", "https://tessa.gazprom-neft.local/edo/card/b65b7411-0cae-49e9-9f9c-6907a569b35d")</f>
        <v>https://tessa.gazprom-neft.local/edo/card/b65b7411-0cae-49e9-9f9c-6907a569b35d</v>
      </c>
    </row>
    <row r="2696" spans="1:45" x14ac:dyDescent="0.25">
      <c r="A2696" t="s">
        <v>44</v>
      </c>
      <c r="B2696" t="s">
        <v>3326</v>
      </c>
      <c r="C2696" t="s">
        <v>67</v>
      </c>
      <c r="F2696" s="18" t="s">
        <v>3327</v>
      </c>
      <c r="G2696" t="s">
        <v>3328</v>
      </c>
      <c r="H2696" t="s">
        <v>9723</v>
      </c>
      <c r="I2696" t="s">
        <v>0</v>
      </c>
      <c r="J2696" t="s">
        <v>51</v>
      </c>
      <c r="K2696" t="s">
        <v>47</v>
      </c>
      <c r="L2696" t="s">
        <v>48</v>
      </c>
      <c r="M2696" t="s">
        <v>0</v>
      </c>
      <c r="N2696" t="s">
        <v>9928</v>
      </c>
      <c r="O2696" t="s">
        <v>0</v>
      </c>
      <c r="P2696" t="s">
        <v>50</v>
      </c>
      <c r="Q2696" t="s">
        <v>9929</v>
      </c>
      <c r="R2696" t="s">
        <v>2349</v>
      </c>
      <c r="S2696" t="s">
        <v>2349</v>
      </c>
      <c r="T2696" t="s">
        <v>54</v>
      </c>
      <c r="U2696" t="s">
        <v>362</v>
      </c>
      <c r="V2696" t="s">
        <v>295</v>
      </c>
      <c r="W2696" t="s">
        <v>57</v>
      </c>
      <c r="X2696" t="s">
        <v>103</v>
      </c>
      <c r="AA2696" t="s">
        <v>296</v>
      </c>
      <c r="AB2696" t="s">
        <v>64</v>
      </c>
      <c r="AC2696" t="s">
        <v>79</v>
      </c>
      <c r="AD2696" t="s">
        <v>80</v>
      </c>
      <c r="AE2696" t="s">
        <v>82</v>
      </c>
      <c r="AF2696" t="s">
        <v>0</v>
      </c>
      <c r="AG2696" t="s">
        <v>0</v>
      </c>
      <c r="AH2696" s="1" t="s">
        <v>14118</v>
      </c>
      <c r="AI2696" s="1" t="s">
        <v>14119</v>
      </c>
      <c r="AJ2696" s="1" t="s">
        <v>14120</v>
      </c>
      <c r="AK2696" t="s">
        <v>61</v>
      </c>
      <c r="AL2696" t="s">
        <v>61</v>
      </c>
      <c r="AM2696" t="s">
        <v>0</v>
      </c>
      <c r="AN2696" t="s">
        <v>0</v>
      </c>
      <c r="AO2696" t="s">
        <v>0</v>
      </c>
      <c r="AP2696" t="s">
        <v>0</v>
      </c>
      <c r="AQ2696" t="s">
        <v>61</v>
      </c>
      <c r="AR2696" t="s">
        <v>0</v>
      </c>
      <c r="AS2696" t="str">
        <f>HYPERLINK("https://tessa.gazprom-neft.local/edo/card/3f2cf289-404a-4062-a9ed-f3cbade3cf87", "https://tessa.gazprom-neft.local/edo/card/3f2cf289-404a-4062-a9ed-f3cbade3cf87")</f>
        <v>https://tessa.gazprom-neft.local/edo/card/3f2cf289-404a-4062-a9ed-f3cbade3cf87</v>
      </c>
    </row>
    <row r="2697" spans="1:45" x14ac:dyDescent="0.25">
      <c r="A2697" t="s">
        <v>44</v>
      </c>
      <c r="B2697" t="s">
        <v>8274</v>
      </c>
      <c r="C2697" t="s">
        <v>67</v>
      </c>
      <c r="F2697" s="18" t="s">
        <v>8275</v>
      </c>
      <c r="G2697" t="s">
        <v>8276</v>
      </c>
      <c r="H2697" t="s">
        <v>8271</v>
      </c>
      <c r="I2697" t="s">
        <v>0</v>
      </c>
      <c r="J2697" t="s">
        <v>872</v>
      </c>
      <c r="K2697" t="s">
        <v>47</v>
      </c>
      <c r="L2697" t="s">
        <v>48</v>
      </c>
      <c r="M2697" t="s">
        <v>0</v>
      </c>
      <c r="N2697" t="s">
        <v>9930</v>
      </c>
      <c r="O2697" t="s">
        <v>0</v>
      </c>
      <c r="P2697" t="s">
        <v>9931</v>
      </c>
      <c r="Q2697" t="s">
        <v>9932</v>
      </c>
      <c r="R2697" t="s">
        <v>187</v>
      </c>
      <c r="S2697" t="s">
        <v>1523</v>
      </c>
      <c r="T2697" t="s">
        <v>54</v>
      </c>
      <c r="U2697" t="s">
        <v>188</v>
      </c>
      <c r="V2697" t="s">
        <v>340</v>
      </c>
      <c r="W2697" t="s">
        <v>57</v>
      </c>
      <c r="X2697" t="s">
        <v>103</v>
      </c>
      <c r="AA2697" t="s">
        <v>341</v>
      </c>
      <c r="AB2697" t="s">
        <v>1203</v>
      </c>
      <c r="AC2697" t="s">
        <v>79</v>
      </c>
      <c r="AD2697" t="s">
        <v>80</v>
      </c>
      <c r="AE2697" t="s">
        <v>82</v>
      </c>
      <c r="AF2697" t="s">
        <v>0</v>
      </c>
      <c r="AG2697" t="s">
        <v>0</v>
      </c>
      <c r="AH2697" s="1" t="s">
        <v>14121</v>
      </c>
      <c r="AI2697" s="1" t="s">
        <v>14122</v>
      </c>
      <c r="AJ2697" s="1" t="s">
        <v>14123</v>
      </c>
      <c r="AK2697" t="s">
        <v>61</v>
      </c>
      <c r="AL2697" t="s">
        <v>61</v>
      </c>
      <c r="AM2697" t="s">
        <v>0</v>
      </c>
      <c r="AN2697" t="s">
        <v>0</v>
      </c>
      <c r="AO2697" t="s">
        <v>0</v>
      </c>
      <c r="AP2697" t="s">
        <v>0</v>
      </c>
      <c r="AQ2697" t="s">
        <v>61</v>
      </c>
      <c r="AR2697" t="s">
        <v>0</v>
      </c>
      <c r="AS2697" t="str">
        <f>HYPERLINK("https://tessa.gazprom-neft.local/edo/card/560bead3-1b9f-42a6-9713-6ae740cd319f", "https://tessa.gazprom-neft.local/edo/card/560bead3-1b9f-42a6-9713-6ae740cd319f")</f>
        <v>https://tessa.gazprom-neft.local/edo/card/560bead3-1b9f-42a6-9713-6ae740cd319f</v>
      </c>
    </row>
    <row r="2698" spans="1:45" x14ac:dyDescent="0.25">
      <c r="A2698" t="s">
        <v>44</v>
      </c>
      <c r="B2698" t="s">
        <v>2461</v>
      </c>
      <c r="C2698" t="s">
        <v>67</v>
      </c>
      <c r="F2698" s="18" t="s">
        <v>2462</v>
      </c>
      <c r="G2698" t="s">
        <v>739</v>
      </c>
      <c r="H2698" t="s">
        <v>2459</v>
      </c>
      <c r="I2698" t="s">
        <v>0</v>
      </c>
      <c r="J2698" t="s">
        <v>156</v>
      </c>
      <c r="K2698" t="s">
        <v>85</v>
      </c>
      <c r="L2698" t="s">
        <v>48</v>
      </c>
      <c r="M2698" t="s">
        <v>9463</v>
      </c>
      <c r="N2698" t="s">
        <v>9933</v>
      </c>
      <c r="O2698" t="s">
        <v>0</v>
      </c>
      <c r="P2698" t="s">
        <v>9463</v>
      </c>
      <c r="Q2698" t="s">
        <v>9917</v>
      </c>
      <c r="R2698" t="s">
        <v>198</v>
      </c>
      <c r="S2698" t="s">
        <v>198</v>
      </c>
      <c r="T2698" t="s">
        <v>54</v>
      </c>
      <c r="U2698" t="s">
        <v>199</v>
      </c>
      <c r="V2698" t="s">
        <v>126</v>
      </c>
      <c r="W2698" t="s">
        <v>57</v>
      </c>
      <c r="X2698" t="s">
        <v>58</v>
      </c>
      <c r="AA2698" t="s">
        <v>224</v>
      </c>
      <c r="AB2698" t="s">
        <v>690</v>
      </c>
      <c r="AC2698" t="s">
        <v>65</v>
      </c>
      <c r="AD2698" t="s">
        <v>80</v>
      </c>
      <c r="AE2698" t="s">
        <v>0</v>
      </c>
      <c r="AF2698" t="s">
        <v>0</v>
      </c>
      <c r="AG2698" t="s">
        <v>0</v>
      </c>
      <c r="AH2698" s="1" t="s">
        <v>0</v>
      </c>
      <c r="AI2698" s="1" t="s">
        <v>0</v>
      </c>
      <c r="AJ2698" s="1" t="s">
        <v>0</v>
      </c>
      <c r="AK2698" t="s">
        <v>61</v>
      </c>
      <c r="AL2698" t="s">
        <v>61</v>
      </c>
      <c r="AM2698" t="s">
        <v>0</v>
      </c>
      <c r="AN2698" t="s">
        <v>0</v>
      </c>
      <c r="AO2698" t="s">
        <v>0</v>
      </c>
      <c r="AP2698" t="s">
        <v>0</v>
      </c>
      <c r="AQ2698" t="s">
        <v>61</v>
      </c>
      <c r="AR2698" t="s">
        <v>0</v>
      </c>
      <c r="AS2698" t="str">
        <f>HYPERLINK("https://tessa.gazprom-neft.local/edo/card/3ed79bbe-52e8-49c9-ae84-d1e811cda862", "https://tessa.gazprom-neft.local/edo/card/3ed79bbe-52e8-49c9-ae84-d1e811cda862")</f>
        <v>https://tessa.gazprom-neft.local/edo/card/3ed79bbe-52e8-49c9-ae84-d1e811cda862</v>
      </c>
    </row>
    <row r="2699" spans="1:45" x14ac:dyDescent="0.25">
      <c r="A2699" t="s">
        <v>44</v>
      </c>
      <c r="B2699" t="s">
        <v>201</v>
      </c>
      <c r="C2699" t="s">
        <v>67</v>
      </c>
      <c r="F2699" s="18" t="s">
        <v>202</v>
      </c>
      <c r="G2699" t="s">
        <v>203</v>
      </c>
      <c r="H2699" t="s">
        <v>195</v>
      </c>
      <c r="I2699" t="s">
        <v>0</v>
      </c>
      <c r="J2699" t="s">
        <v>156</v>
      </c>
      <c r="K2699" t="s">
        <v>85</v>
      </c>
      <c r="L2699" t="s">
        <v>48</v>
      </c>
      <c r="M2699" t="s">
        <v>9463</v>
      </c>
      <c r="N2699" t="s">
        <v>9934</v>
      </c>
      <c r="O2699" t="s">
        <v>0</v>
      </c>
      <c r="P2699" t="s">
        <v>9463</v>
      </c>
      <c r="Q2699" t="s">
        <v>9917</v>
      </c>
      <c r="R2699" t="s">
        <v>198</v>
      </c>
      <c r="S2699" t="s">
        <v>198</v>
      </c>
      <c r="T2699" t="s">
        <v>54</v>
      </c>
      <c r="U2699" t="s">
        <v>199</v>
      </c>
      <c r="V2699" t="s">
        <v>126</v>
      </c>
      <c r="W2699" t="s">
        <v>74</v>
      </c>
      <c r="X2699" t="s">
        <v>58</v>
      </c>
      <c r="AA2699" t="s">
        <v>224</v>
      </c>
      <c r="AB2699" t="s">
        <v>204</v>
      </c>
      <c r="AC2699" t="s">
        <v>65</v>
      </c>
      <c r="AD2699" t="s">
        <v>80</v>
      </c>
      <c r="AE2699" t="s">
        <v>0</v>
      </c>
      <c r="AF2699" t="s">
        <v>0</v>
      </c>
      <c r="AG2699" t="s">
        <v>0</v>
      </c>
      <c r="AH2699" s="1" t="s">
        <v>0</v>
      </c>
      <c r="AI2699" s="1" t="s">
        <v>0</v>
      </c>
      <c r="AJ2699" s="1" t="s">
        <v>0</v>
      </c>
      <c r="AK2699" t="s">
        <v>61</v>
      </c>
      <c r="AL2699" t="s">
        <v>61</v>
      </c>
      <c r="AM2699" t="s">
        <v>0</v>
      </c>
      <c r="AN2699" t="s">
        <v>0</v>
      </c>
      <c r="AO2699" t="s">
        <v>0</v>
      </c>
      <c r="AP2699" t="s">
        <v>0</v>
      </c>
      <c r="AQ2699" t="s">
        <v>61</v>
      </c>
      <c r="AR2699" t="s">
        <v>0</v>
      </c>
      <c r="AS2699" t="str">
        <f>HYPERLINK("https://tessa.gazprom-neft.local/edo/card/0e3fedc7-9624-4b8f-89a4-8889ace4b94b", "https://tessa.gazprom-neft.local/edo/card/0e3fedc7-9624-4b8f-89a4-8889ace4b94b")</f>
        <v>https://tessa.gazprom-neft.local/edo/card/0e3fedc7-9624-4b8f-89a4-8889ace4b94b</v>
      </c>
    </row>
    <row r="2700" spans="1:45" x14ac:dyDescent="0.25">
      <c r="A2700" t="s">
        <v>44</v>
      </c>
      <c r="B2700" t="s">
        <v>213</v>
      </c>
      <c r="C2700" t="s">
        <v>67</v>
      </c>
      <c r="F2700" s="18" t="s">
        <v>214</v>
      </c>
      <c r="G2700" t="s">
        <v>215</v>
      </c>
      <c r="H2700" t="s">
        <v>207</v>
      </c>
      <c r="I2700" t="s">
        <v>0</v>
      </c>
      <c r="J2700" t="s">
        <v>156</v>
      </c>
      <c r="K2700" t="s">
        <v>85</v>
      </c>
      <c r="L2700" t="s">
        <v>48</v>
      </c>
      <c r="M2700" t="s">
        <v>9463</v>
      </c>
      <c r="N2700" t="s">
        <v>9935</v>
      </c>
      <c r="O2700" t="s">
        <v>0</v>
      </c>
      <c r="P2700" t="s">
        <v>9463</v>
      </c>
      <c r="Q2700" t="s">
        <v>9936</v>
      </c>
      <c r="R2700" t="s">
        <v>198</v>
      </c>
      <c r="S2700" t="s">
        <v>198</v>
      </c>
      <c r="T2700" t="s">
        <v>54</v>
      </c>
      <c r="U2700" t="s">
        <v>199</v>
      </c>
      <c r="V2700" t="s">
        <v>126</v>
      </c>
      <c r="W2700" t="s">
        <v>57</v>
      </c>
      <c r="X2700" t="s">
        <v>58</v>
      </c>
      <c r="AA2700" t="s">
        <v>224</v>
      </c>
      <c r="AB2700" t="s">
        <v>64</v>
      </c>
      <c r="AC2700" t="s">
        <v>65</v>
      </c>
      <c r="AD2700" t="s">
        <v>80</v>
      </c>
      <c r="AE2700" t="s">
        <v>0</v>
      </c>
      <c r="AF2700" t="s">
        <v>0</v>
      </c>
      <c r="AG2700" t="s">
        <v>0</v>
      </c>
      <c r="AH2700" s="1" t="s">
        <v>0</v>
      </c>
      <c r="AI2700" s="1" t="s">
        <v>0</v>
      </c>
      <c r="AJ2700" s="1" t="s">
        <v>0</v>
      </c>
      <c r="AK2700" t="s">
        <v>61</v>
      </c>
      <c r="AL2700" t="s">
        <v>61</v>
      </c>
      <c r="AM2700" t="s">
        <v>0</v>
      </c>
      <c r="AN2700" t="s">
        <v>0</v>
      </c>
      <c r="AO2700" t="s">
        <v>0</v>
      </c>
      <c r="AP2700" t="s">
        <v>0</v>
      </c>
      <c r="AQ2700" t="s">
        <v>61</v>
      </c>
      <c r="AR2700" t="s">
        <v>0</v>
      </c>
      <c r="AS2700" t="str">
        <f>HYPERLINK("https://tessa.gazprom-neft.local/edo/card/74136397-e3c6-4989-9c8d-46cd7ad1fe7e", "https://tessa.gazprom-neft.local/edo/card/74136397-e3c6-4989-9c8d-46cd7ad1fe7e")</f>
        <v>https://tessa.gazprom-neft.local/edo/card/74136397-e3c6-4989-9c8d-46cd7ad1fe7e</v>
      </c>
    </row>
    <row r="2701" spans="1:45" x14ac:dyDescent="0.25">
      <c r="A2701" t="s">
        <v>44</v>
      </c>
      <c r="B2701" t="s">
        <v>284</v>
      </c>
      <c r="C2701" t="s">
        <v>67</v>
      </c>
      <c r="F2701" s="18" t="s">
        <v>2663</v>
      </c>
      <c r="G2701" t="s">
        <v>286</v>
      </c>
      <c r="H2701" t="s">
        <v>770</v>
      </c>
      <c r="I2701" t="s">
        <v>0</v>
      </c>
      <c r="J2701" t="s">
        <v>271</v>
      </c>
      <c r="K2701" t="s">
        <v>85</v>
      </c>
      <c r="L2701" t="s">
        <v>48</v>
      </c>
      <c r="M2701" t="s">
        <v>9463</v>
      </c>
      <c r="N2701" t="s">
        <v>9937</v>
      </c>
      <c r="O2701" t="s">
        <v>0</v>
      </c>
      <c r="P2701" t="s">
        <v>9463</v>
      </c>
      <c r="Q2701" t="s">
        <v>9917</v>
      </c>
      <c r="R2701" t="s">
        <v>198</v>
      </c>
      <c r="S2701" t="s">
        <v>198</v>
      </c>
      <c r="T2701" t="s">
        <v>54</v>
      </c>
      <c r="U2701" t="s">
        <v>199</v>
      </c>
      <c r="V2701" t="s">
        <v>126</v>
      </c>
      <c r="W2701" t="s">
        <v>57</v>
      </c>
      <c r="X2701" t="s">
        <v>58</v>
      </c>
      <c r="AA2701" t="s">
        <v>224</v>
      </c>
      <c r="AB2701" t="s">
        <v>423</v>
      </c>
      <c r="AC2701" t="s">
        <v>65</v>
      </c>
      <c r="AD2701" t="s">
        <v>144</v>
      </c>
      <c r="AE2701" t="s">
        <v>0</v>
      </c>
      <c r="AF2701" t="s">
        <v>0</v>
      </c>
      <c r="AG2701" t="s">
        <v>0</v>
      </c>
      <c r="AH2701" s="1" t="s">
        <v>0</v>
      </c>
      <c r="AI2701" s="1" t="s">
        <v>0</v>
      </c>
      <c r="AJ2701" s="1" t="s">
        <v>0</v>
      </c>
      <c r="AK2701" t="s">
        <v>61</v>
      </c>
      <c r="AL2701" t="s">
        <v>61</v>
      </c>
      <c r="AM2701" t="s">
        <v>0</v>
      </c>
      <c r="AN2701" t="s">
        <v>0</v>
      </c>
      <c r="AO2701" t="s">
        <v>0</v>
      </c>
      <c r="AP2701" t="s">
        <v>0</v>
      </c>
      <c r="AQ2701" t="s">
        <v>61</v>
      </c>
      <c r="AR2701" t="s">
        <v>0</v>
      </c>
      <c r="AS2701" t="str">
        <f>HYPERLINK("https://tessa.gazprom-neft.local/edo/card/748aab64-3765-49db-a7d8-4e1c84ad8841", "https://tessa.gazprom-neft.local/edo/card/748aab64-3765-49db-a7d8-4e1c84ad8841")</f>
        <v>https://tessa.gazprom-neft.local/edo/card/748aab64-3765-49db-a7d8-4e1c84ad8841</v>
      </c>
    </row>
    <row r="2702" spans="1:45" x14ac:dyDescent="0.25">
      <c r="A2702" t="s">
        <v>44</v>
      </c>
      <c r="B2702" t="s">
        <v>927</v>
      </c>
      <c r="C2702" t="s">
        <v>67</v>
      </c>
      <c r="F2702" s="18" t="s">
        <v>928</v>
      </c>
      <c r="G2702" t="s">
        <v>929</v>
      </c>
      <c r="H2702" t="s">
        <v>3224</v>
      </c>
      <c r="I2702" t="s">
        <v>0</v>
      </c>
      <c r="J2702" t="s">
        <v>355</v>
      </c>
      <c r="K2702" t="s">
        <v>85</v>
      </c>
      <c r="L2702" t="s">
        <v>48</v>
      </c>
      <c r="M2702" t="s">
        <v>9463</v>
      </c>
      <c r="N2702" t="s">
        <v>9938</v>
      </c>
      <c r="O2702" t="s">
        <v>0</v>
      </c>
      <c r="P2702" t="s">
        <v>9463</v>
      </c>
      <c r="Q2702" t="s">
        <v>9905</v>
      </c>
      <c r="R2702" t="s">
        <v>198</v>
      </c>
      <c r="S2702" t="s">
        <v>198</v>
      </c>
      <c r="T2702" t="s">
        <v>54</v>
      </c>
      <c r="U2702" t="s">
        <v>199</v>
      </c>
      <c r="V2702" t="s">
        <v>126</v>
      </c>
      <c r="W2702" t="s">
        <v>74</v>
      </c>
      <c r="X2702" t="s">
        <v>58</v>
      </c>
      <c r="AA2702" t="s">
        <v>224</v>
      </c>
      <c r="AB2702" t="s">
        <v>3227</v>
      </c>
      <c r="AC2702" t="s">
        <v>65</v>
      </c>
      <c r="AD2702" t="s">
        <v>80</v>
      </c>
      <c r="AE2702" t="s">
        <v>0</v>
      </c>
      <c r="AF2702" t="s">
        <v>0</v>
      </c>
      <c r="AG2702" t="s">
        <v>0</v>
      </c>
      <c r="AH2702" s="1" t="s">
        <v>0</v>
      </c>
      <c r="AI2702" s="1" t="s">
        <v>0</v>
      </c>
      <c r="AJ2702" s="1" t="s">
        <v>0</v>
      </c>
      <c r="AK2702" t="s">
        <v>61</v>
      </c>
      <c r="AL2702" t="s">
        <v>61</v>
      </c>
      <c r="AM2702" t="s">
        <v>0</v>
      </c>
      <c r="AN2702" t="s">
        <v>0</v>
      </c>
      <c r="AO2702" t="s">
        <v>0</v>
      </c>
      <c r="AP2702" t="s">
        <v>0</v>
      </c>
      <c r="AQ2702" t="s">
        <v>61</v>
      </c>
      <c r="AR2702" t="s">
        <v>0</v>
      </c>
      <c r="AS2702" t="str">
        <f>HYPERLINK("https://tessa.gazprom-neft.local/edo/card/585b2633-6abd-4ece-8835-96bb64624a4d", "https://tessa.gazprom-neft.local/edo/card/585b2633-6abd-4ece-8835-96bb64624a4d")</f>
        <v>https://tessa.gazprom-neft.local/edo/card/585b2633-6abd-4ece-8835-96bb64624a4d</v>
      </c>
    </row>
    <row r="2703" spans="1:45" hidden="1" x14ac:dyDescent="0.25">
      <c r="A2703" t="s">
        <v>44</v>
      </c>
      <c r="B2703" t="s">
        <v>403</v>
      </c>
      <c r="C2703" t="s">
        <v>67</v>
      </c>
      <c r="F2703" s="18" t="s">
        <v>404</v>
      </c>
      <c r="G2703" t="s">
        <v>405</v>
      </c>
      <c r="H2703" t="s">
        <v>0</v>
      </c>
      <c r="I2703" t="s">
        <v>9940</v>
      </c>
      <c r="J2703" t="s">
        <v>9940</v>
      </c>
      <c r="K2703" t="s">
        <v>47</v>
      </c>
      <c r="L2703" t="s">
        <v>86</v>
      </c>
      <c r="M2703" t="s">
        <v>0</v>
      </c>
      <c r="N2703" t="s">
        <v>9939</v>
      </c>
      <c r="O2703" t="s">
        <v>0</v>
      </c>
      <c r="P2703" t="s">
        <v>237</v>
      </c>
      <c r="Q2703" t="s">
        <v>9355</v>
      </c>
      <c r="R2703" t="s">
        <v>282</v>
      </c>
      <c r="S2703" t="s">
        <v>0</v>
      </c>
      <c r="T2703" t="s">
        <v>54</v>
      </c>
      <c r="U2703" t="s">
        <v>55</v>
      </c>
      <c r="V2703" t="s">
        <v>91</v>
      </c>
      <c r="W2703" t="s">
        <v>74</v>
      </c>
      <c r="X2703" t="s">
        <v>103</v>
      </c>
      <c r="AA2703" t="s">
        <v>92</v>
      </c>
      <c r="AB2703" t="s">
        <v>237</v>
      </c>
      <c r="AC2703" t="s">
        <v>65</v>
      </c>
      <c r="AD2703" t="s">
        <v>0</v>
      </c>
      <c r="AE2703" t="s">
        <v>0</v>
      </c>
      <c r="AF2703" t="s">
        <v>0</v>
      </c>
      <c r="AG2703" t="s">
        <v>0</v>
      </c>
      <c r="AH2703" s="1" t="s">
        <v>0</v>
      </c>
      <c r="AI2703" s="1" t="s">
        <v>0</v>
      </c>
      <c r="AJ2703" s="1" t="s">
        <v>0</v>
      </c>
      <c r="AK2703" t="s">
        <v>61</v>
      </c>
      <c r="AL2703" t="s">
        <v>61</v>
      </c>
      <c r="AM2703" t="s">
        <v>0</v>
      </c>
      <c r="AN2703" t="s">
        <v>0</v>
      </c>
      <c r="AO2703" t="s">
        <v>0</v>
      </c>
      <c r="AP2703" t="s">
        <v>0</v>
      </c>
      <c r="AQ2703" t="s">
        <v>61</v>
      </c>
      <c r="AR2703" t="s">
        <v>0</v>
      </c>
      <c r="AS2703" t="str">
        <f>HYPERLINK("https://tessa.gazprom-neft.local/edo/card/0d52f916-f876-47f8-b2e1-ab929a682342", "https://tessa.gazprom-neft.local/edo/card/0d52f916-f876-47f8-b2e1-ab929a682342")</f>
        <v>https://tessa.gazprom-neft.local/edo/card/0d52f916-f876-47f8-b2e1-ab929a682342</v>
      </c>
    </row>
    <row r="2704" spans="1:45" hidden="1" x14ac:dyDescent="0.25">
      <c r="A2704" t="s">
        <v>44</v>
      </c>
      <c r="B2704" t="s">
        <v>1200</v>
      </c>
      <c r="C2704" t="s">
        <v>67</v>
      </c>
      <c r="F2704" s="18" t="s">
        <v>1201</v>
      </c>
      <c r="G2704" t="s">
        <v>1202</v>
      </c>
      <c r="H2704" t="s">
        <v>0</v>
      </c>
      <c r="I2704" t="s">
        <v>9942</v>
      </c>
      <c r="J2704" t="s">
        <v>9942</v>
      </c>
      <c r="K2704" t="s">
        <v>85</v>
      </c>
      <c r="L2704" t="s">
        <v>96</v>
      </c>
      <c r="M2704" t="s">
        <v>1931</v>
      </c>
      <c r="N2704" t="s">
        <v>9941</v>
      </c>
      <c r="O2704" t="s">
        <v>0</v>
      </c>
      <c r="P2704" t="s">
        <v>1931</v>
      </c>
      <c r="Q2704" t="s">
        <v>4480</v>
      </c>
      <c r="R2704" t="s">
        <v>1199</v>
      </c>
      <c r="S2704" t="s">
        <v>1199</v>
      </c>
      <c r="T2704" t="s">
        <v>54</v>
      </c>
      <c r="U2704" t="s">
        <v>605</v>
      </c>
      <c r="V2704" t="s">
        <v>382</v>
      </c>
      <c r="W2704" t="s">
        <v>57</v>
      </c>
      <c r="X2704" t="s">
        <v>103</v>
      </c>
      <c r="AA2704" t="s">
        <v>383</v>
      </c>
      <c r="AB2704" t="s">
        <v>1203</v>
      </c>
      <c r="AC2704" t="s">
        <v>79</v>
      </c>
      <c r="AD2704" t="s">
        <v>80</v>
      </c>
      <c r="AE2704" t="s">
        <v>82</v>
      </c>
      <c r="AF2704" t="s">
        <v>0</v>
      </c>
      <c r="AG2704" t="s">
        <v>0</v>
      </c>
      <c r="AH2704" s="1" t="s">
        <v>14124</v>
      </c>
      <c r="AI2704" s="1" t="s">
        <v>13277</v>
      </c>
      <c r="AJ2704" s="1" t="s">
        <v>14125</v>
      </c>
      <c r="AK2704" t="s">
        <v>61</v>
      </c>
      <c r="AL2704" t="s">
        <v>61</v>
      </c>
      <c r="AM2704" t="s">
        <v>0</v>
      </c>
      <c r="AN2704" t="s">
        <v>0</v>
      </c>
      <c r="AO2704" t="s">
        <v>0</v>
      </c>
      <c r="AP2704" t="s">
        <v>0</v>
      </c>
      <c r="AQ2704" t="s">
        <v>61</v>
      </c>
      <c r="AR2704" t="s">
        <v>0</v>
      </c>
      <c r="AS2704" t="str">
        <f>HYPERLINK("https://tessa.gazprom-neft.local/edo/card/2fd552da-5d28-454a-a3ba-620f43fc45df", "https://tessa.gazprom-neft.local/edo/card/2fd552da-5d28-454a-a3ba-620f43fc45df")</f>
        <v>https://tessa.gazprom-neft.local/edo/card/2fd552da-5d28-454a-a3ba-620f43fc45df</v>
      </c>
    </row>
    <row r="2705" spans="1:45" hidden="1" x14ac:dyDescent="0.25">
      <c r="A2705" t="s">
        <v>44</v>
      </c>
      <c r="B2705" t="s">
        <v>1200</v>
      </c>
      <c r="C2705" t="s">
        <v>67</v>
      </c>
      <c r="F2705" s="18" t="s">
        <v>1201</v>
      </c>
      <c r="G2705" t="s">
        <v>1202</v>
      </c>
      <c r="H2705" t="s">
        <v>0</v>
      </c>
      <c r="I2705" t="s">
        <v>4487</v>
      </c>
      <c r="J2705" t="s">
        <v>4487</v>
      </c>
      <c r="K2705" t="s">
        <v>47</v>
      </c>
      <c r="L2705" t="s">
        <v>96</v>
      </c>
      <c r="M2705" t="s">
        <v>0</v>
      </c>
      <c r="N2705" t="s">
        <v>9943</v>
      </c>
      <c r="O2705" t="s">
        <v>0</v>
      </c>
      <c r="P2705" t="s">
        <v>7591</v>
      </c>
      <c r="Q2705" t="s">
        <v>4489</v>
      </c>
      <c r="R2705" t="s">
        <v>1199</v>
      </c>
      <c r="S2705" t="s">
        <v>1199</v>
      </c>
      <c r="T2705" t="s">
        <v>54</v>
      </c>
      <c r="U2705" t="s">
        <v>605</v>
      </c>
      <c r="V2705" t="s">
        <v>382</v>
      </c>
      <c r="W2705" t="s">
        <v>57</v>
      </c>
      <c r="X2705" t="s">
        <v>103</v>
      </c>
      <c r="AA2705" t="s">
        <v>383</v>
      </c>
      <c r="AB2705" t="s">
        <v>2985</v>
      </c>
      <c r="AC2705" t="s">
        <v>79</v>
      </c>
      <c r="AD2705" t="s">
        <v>80</v>
      </c>
      <c r="AE2705" t="s">
        <v>82</v>
      </c>
      <c r="AF2705" t="s">
        <v>0</v>
      </c>
      <c r="AG2705" t="s">
        <v>0</v>
      </c>
      <c r="AH2705" s="1" t="s">
        <v>14126</v>
      </c>
      <c r="AI2705" s="1" t="s">
        <v>14127</v>
      </c>
      <c r="AJ2705" s="1" t="s">
        <v>14128</v>
      </c>
      <c r="AK2705" t="s">
        <v>61</v>
      </c>
      <c r="AL2705" t="s">
        <v>61</v>
      </c>
      <c r="AM2705" t="s">
        <v>0</v>
      </c>
      <c r="AN2705" t="s">
        <v>0</v>
      </c>
      <c r="AO2705" t="s">
        <v>0</v>
      </c>
      <c r="AP2705" t="s">
        <v>0</v>
      </c>
      <c r="AQ2705" t="s">
        <v>61</v>
      </c>
      <c r="AR2705" t="s">
        <v>0</v>
      </c>
      <c r="AS2705" t="str">
        <f>HYPERLINK("https://tessa.gazprom-neft.local/edo/card/0ab3cbd8-87c4-4e15-8f86-e0a73469f263", "https://tessa.gazprom-neft.local/edo/card/0ab3cbd8-87c4-4e15-8f86-e0a73469f263")</f>
        <v>https://tessa.gazprom-neft.local/edo/card/0ab3cbd8-87c4-4e15-8f86-e0a73469f263</v>
      </c>
    </row>
    <row r="2706" spans="1:45" hidden="1" x14ac:dyDescent="0.25">
      <c r="A2706" t="s">
        <v>44</v>
      </c>
      <c r="B2706" t="s">
        <v>4496</v>
      </c>
      <c r="C2706" t="s">
        <v>67</v>
      </c>
      <c r="F2706" s="18" t="s">
        <v>4497</v>
      </c>
      <c r="G2706" t="s">
        <v>4498</v>
      </c>
      <c r="H2706" t="s">
        <v>0</v>
      </c>
      <c r="I2706" t="s">
        <v>4494</v>
      </c>
      <c r="J2706" t="s">
        <v>4494</v>
      </c>
      <c r="K2706" t="s">
        <v>47</v>
      </c>
      <c r="L2706" t="s">
        <v>96</v>
      </c>
      <c r="M2706" t="s">
        <v>0</v>
      </c>
      <c r="N2706" t="s">
        <v>9944</v>
      </c>
      <c r="O2706" t="s">
        <v>0</v>
      </c>
      <c r="P2706" t="s">
        <v>7591</v>
      </c>
      <c r="Q2706" t="s">
        <v>9945</v>
      </c>
      <c r="R2706" t="s">
        <v>1199</v>
      </c>
      <c r="S2706" t="s">
        <v>1199</v>
      </c>
      <c r="T2706" t="s">
        <v>54</v>
      </c>
      <c r="U2706" t="s">
        <v>605</v>
      </c>
      <c r="V2706" t="s">
        <v>382</v>
      </c>
      <c r="W2706" t="s">
        <v>57</v>
      </c>
      <c r="X2706" t="s">
        <v>103</v>
      </c>
      <c r="AA2706" t="s">
        <v>383</v>
      </c>
      <c r="AB2706" t="s">
        <v>2985</v>
      </c>
      <c r="AC2706" t="s">
        <v>79</v>
      </c>
      <c r="AD2706" t="s">
        <v>80</v>
      </c>
      <c r="AE2706" t="s">
        <v>82</v>
      </c>
      <c r="AF2706" t="s">
        <v>0</v>
      </c>
      <c r="AG2706" t="s">
        <v>0</v>
      </c>
      <c r="AH2706" s="1" t="s">
        <v>14129</v>
      </c>
      <c r="AI2706" s="1" t="s">
        <v>14130</v>
      </c>
      <c r="AJ2706" s="1" t="s">
        <v>14131</v>
      </c>
      <c r="AK2706" t="s">
        <v>61</v>
      </c>
      <c r="AL2706" t="s">
        <v>61</v>
      </c>
      <c r="AM2706" t="s">
        <v>0</v>
      </c>
      <c r="AN2706" t="s">
        <v>0</v>
      </c>
      <c r="AO2706" t="s">
        <v>0</v>
      </c>
      <c r="AP2706" t="s">
        <v>0</v>
      </c>
      <c r="AQ2706" t="s">
        <v>61</v>
      </c>
      <c r="AR2706" t="s">
        <v>0</v>
      </c>
      <c r="AS2706" t="str">
        <f>HYPERLINK("https://tessa.gazprom-neft.local/edo/card/8958a5de-7baf-4cd0-8c43-092551a143bb", "https://tessa.gazprom-neft.local/edo/card/8958a5de-7baf-4cd0-8c43-092551a143bb")</f>
        <v>https://tessa.gazprom-neft.local/edo/card/8958a5de-7baf-4cd0-8c43-092551a143bb</v>
      </c>
    </row>
    <row r="2707" spans="1:45" x14ac:dyDescent="0.25">
      <c r="A2707" t="s">
        <v>44</v>
      </c>
      <c r="B2707" t="s">
        <v>1552</v>
      </c>
      <c r="C2707" t="s">
        <v>67</v>
      </c>
      <c r="F2707" s="18" t="s">
        <v>1553</v>
      </c>
      <c r="G2707" t="s">
        <v>1554</v>
      </c>
      <c r="H2707" t="s">
        <v>5205</v>
      </c>
      <c r="I2707" t="s">
        <v>0</v>
      </c>
      <c r="J2707" t="s">
        <v>936</v>
      </c>
      <c r="K2707" t="s">
        <v>85</v>
      </c>
      <c r="L2707" t="s">
        <v>48</v>
      </c>
      <c r="M2707" t="s">
        <v>9463</v>
      </c>
      <c r="N2707" t="s">
        <v>9946</v>
      </c>
      <c r="O2707" t="s">
        <v>0</v>
      </c>
      <c r="P2707" t="s">
        <v>9463</v>
      </c>
      <c r="Q2707" t="s">
        <v>9947</v>
      </c>
      <c r="R2707" t="s">
        <v>505</v>
      </c>
      <c r="S2707" t="s">
        <v>505</v>
      </c>
      <c r="T2707" t="s">
        <v>54</v>
      </c>
      <c r="U2707" t="s">
        <v>210</v>
      </c>
      <c r="V2707" t="s">
        <v>126</v>
      </c>
      <c r="W2707" t="s">
        <v>57</v>
      </c>
      <c r="X2707" t="s">
        <v>103</v>
      </c>
      <c r="AA2707" t="s">
        <v>224</v>
      </c>
      <c r="AB2707" t="s">
        <v>130</v>
      </c>
      <c r="AC2707" t="s">
        <v>65</v>
      </c>
      <c r="AD2707" t="s">
        <v>0</v>
      </c>
      <c r="AE2707" t="s">
        <v>0</v>
      </c>
      <c r="AF2707" t="s">
        <v>0</v>
      </c>
      <c r="AG2707" t="s">
        <v>0</v>
      </c>
      <c r="AH2707" s="1" t="s">
        <v>0</v>
      </c>
      <c r="AI2707" s="1" t="s">
        <v>0</v>
      </c>
      <c r="AJ2707" s="1" t="s">
        <v>0</v>
      </c>
      <c r="AK2707" t="s">
        <v>61</v>
      </c>
      <c r="AL2707" t="s">
        <v>61</v>
      </c>
      <c r="AM2707" t="s">
        <v>0</v>
      </c>
      <c r="AN2707" t="s">
        <v>0</v>
      </c>
      <c r="AO2707" t="s">
        <v>0</v>
      </c>
      <c r="AP2707" t="s">
        <v>0</v>
      </c>
      <c r="AQ2707" t="s">
        <v>61</v>
      </c>
      <c r="AR2707" t="s">
        <v>0</v>
      </c>
      <c r="AS2707" t="str">
        <f>HYPERLINK("https://tessa.gazprom-neft.local/edo/card/bc21bb98-de2f-4aeb-bba3-a4c5e9f06391", "https://tessa.gazprom-neft.local/edo/card/bc21bb98-de2f-4aeb-bba3-a4c5e9f06391")</f>
        <v>https://tessa.gazprom-neft.local/edo/card/bc21bb98-de2f-4aeb-bba3-a4c5e9f06391</v>
      </c>
    </row>
    <row r="2708" spans="1:45" x14ac:dyDescent="0.25">
      <c r="A2708" t="s">
        <v>44</v>
      </c>
      <c r="B2708" t="s">
        <v>3326</v>
      </c>
      <c r="C2708" t="s">
        <v>67</v>
      </c>
      <c r="F2708" s="18" t="s">
        <v>3327</v>
      </c>
      <c r="G2708" t="s">
        <v>3328</v>
      </c>
      <c r="H2708" t="s">
        <v>9663</v>
      </c>
      <c r="I2708" t="s">
        <v>0</v>
      </c>
      <c r="J2708" t="s">
        <v>355</v>
      </c>
      <c r="K2708" t="s">
        <v>47</v>
      </c>
      <c r="L2708" t="s">
        <v>48</v>
      </c>
      <c r="M2708" t="s">
        <v>0</v>
      </c>
      <c r="N2708" t="s">
        <v>9948</v>
      </c>
      <c r="O2708" t="s">
        <v>0</v>
      </c>
      <c r="P2708" t="s">
        <v>9949</v>
      </c>
      <c r="Q2708" t="s">
        <v>7072</v>
      </c>
      <c r="R2708" t="s">
        <v>6771</v>
      </c>
      <c r="S2708" t="s">
        <v>6771</v>
      </c>
      <c r="T2708" t="s">
        <v>54</v>
      </c>
      <c r="U2708" t="s">
        <v>362</v>
      </c>
      <c r="V2708" t="s">
        <v>295</v>
      </c>
      <c r="W2708" t="s">
        <v>57</v>
      </c>
      <c r="X2708" t="s">
        <v>58</v>
      </c>
      <c r="AA2708" t="s">
        <v>296</v>
      </c>
      <c r="AB2708" t="s">
        <v>64</v>
      </c>
      <c r="AC2708" t="s">
        <v>65</v>
      </c>
      <c r="AD2708" t="s">
        <v>0</v>
      </c>
      <c r="AE2708" t="s">
        <v>0</v>
      </c>
      <c r="AF2708" t="s">
        <v>0</v>
      </c>
      <c r="AG2708" t="s">
        <v>0</v>
      </c>
      <c r="AH2708" s="1" t="s">
        <v>0</v>
      </c>
      <c r="AI2708" s="1" t="s">
        <v>0</v>
      </c>
      <c r="AJ2708" s="1" t="s">
        <v>0</v>
      </c>
      <c r="AK2708" t="s">
        <v>61</v>
      </c>
      <c r="AL2708" t="s">
        <v>61</v>
      </c>
      <c r="AM2708" t="s">
        <v>0</v>
      </c>
      <c r="AN2708" t="s">
        <v>0</v>
      </c>
      <c r="AO2708" t="s">
        <v>0</v>
      </c>
      <c r="AP2708" t="s">
        <v>0</v>
      </c>
      <c r="AQ2708" t="s">
        <v>61</v>
      </c>
      <c r="AR2708" t="s">
        <v>0</v>
      </c>
      <c r="AS2708" t="str">
        <f>HYPERLINK("https://tessa.gazprom-neft.local/edo/card/10b24a54-99e8-425c-917b-6b55528680f4", "https://tessa.gazprom-neft.local/edo/card/10b24a54-99e8-425c-917b-6b55528680f4")</f>
        <v>https://tessa.gazprom-neft.local/edo/card/10b24a54-99e8-425c-917b-6b55528680f4</v>
      </c>
    </row>
    <row r="2709" spans="1:45" x14ac:dyDescent="0.25">
      <c r="A2709" t="s">
        <v>44</v>
      </c>
      <c r="B2709" t="s">
        <v>4519</v>
      </c>
      <c r="C2709" t="s">
        <v>46</v>
      </c>
      <c r="F2709" s="18" t="s">
        <v>4520</v>
      </c>
      <c r="G2709" t="s">
        <v>4521</v>
      </c>
      <c r="H2709" t="s">
        <v>7545</v>
      </c>
      <c r="I2709" t="s">
        <v>0</v>
      </c>
      <c r="J2709" t="s">
        <v>51</v>
      </c>
      <c r="K2709" t="s">
        <v>47</v>
      </c>
      <c r="L2709" t="s">
        <v>48</v>
      </c>
      <c r="M2709" t="s">
        <v>0</v>
      </c>
      <c r="N2709" t="s">
        <v>9950</v>
      </c>
      <c r="O2709" t="s">
        <v>0</v>
      </c>
      <c r="P2709" t="s">
        <v>8232</v>
      </c>
      <c r="Q2709" t="s">
        <v>9951</v>
      </c>
      <c r="R2709" t="s">
        <v>1199</v>
      </c>
      <c r="S2709" t="s">
        <v>1199</v>
      </c>
      <c r="T2709" t="s">
        <v>54</v>
      </c>
      <c r="U2709" t="s">
        <v>605</v>
      </c>
      <c r="V2709" t="s">
        <v>126</v>
      </c>
      <c r="W2709" t="s">
        <v>57</v>
      </c>
      <c r="X2709" t="s">
        <v>58</v>
      </c>
      <c r="AA2709" t="s">
        <v>224</v>
      </c>
      <c r="AB2709" t="s">
        <v>2985</v>
      </c>
      <c r="AC2709" t="s">
        <v>79</v>
      </c>
      <c r="AD2709" t="s">
        <v>80</v>
      </c>
      <c r="AE2709" t="s">
        <v>889</v>
      </c>
      <c r="AF2709" t="s">
        <v>0</v>
      </c>
      <c r="AG2709" t="s">
        <v>0</v>
      </c>
      <c r="AH2709" s="1" t="s">
        <v>14132</v>
      </c>
      <c r="AI2709" s="1" t="s">
        <v>14132</v>
      </c>
      <c r="AJ2709" s="1">
        <v>0</v>
      </c>
      <c r="AK2709" t="s">
        <v>61</v>
      </c>
      <c r="AL2709" t="s">
        <v>61</v>
      </c>
      <c r="AM2709" t="s">
        <v>0</v>
      </c>
      <c r="AN2709" t="s">
        <v>0</v>
      </c>
      <c r="AO2709" t="s">
        <v>0</v>
      </c>
      <c r="AP2709" t="s">
        <v>0</v>
      </c>
      <c r="AQ2709" t="s">
        <v>61</v>
      </c>
      <c r="AR2709" t="s">
        <v>0</v>
      </c>
      <c r="AS2709" t="str">
        <f>HYPERLINK("https://tessa.gazprom-neft.local/edo/card/0f023192-1e25-4a64-a073-f8861c62b26a", "https://tessa.gazprom-neft.local/edo/card/0f023192-1e25-4a64-a073-f8861c62b26a")</f>
        <v>https://tessa.gazprom-neft.local/edo/card/0f023192-1e25-4a64-a073-f8861c62b26a</v>
      </c>
    </row>
    <row r="2710" spans="1:45" x14ac:dyDescent="0.25">
      <c r="A2710" t="s">
        <v>44</v>
      </c>
      <c r="B2710" t="s">
        <v>275</v>
      </c>
      <c r="C2710" t="s">
        <v>67</v>
      </c>
      <c r="F2710" s="18" t="s">
        <v>276</v>
      </c>
      <c r="G2710" t="s">
        <v>277</v>
      </c>
      <c r="H2710" t="s">
        <v>4939</v>
      </c>
      <c r="I2710" t="s">
        <v>0</v>
      </c>
      <c r="J2710" t="s">
        <v>872</v>
      </c>
      <c r="K2710" t="s">
        <v>47</v>
      </c>
      <c r="L2710" t="s">
        <v>48</v>
      </c>
      <c r="M2710" t="s">
        <v>0</v>
      </c>
      <c r="N2710" t="s">
        <v>9952</v>
      </c>
      <c r="O2710" t="s">
        <v>0</v>
      </c>
      <c r="P2710" t="s">
        <v>9953</v>
      </c>
      <c r="Q2710" t="s">
        <v>9954</v>
      </c>
      <c r="R2710" t="s">
        <v>1083</v>
      </c>
      <c r="S2710" t="s">
        <v>3615</v>
      </c>
      <c r="T2710" t="s">
        <v>54</v>
      </c>
      <c r="U2710" t="s">
        <v>274</v>
      </c>
      <c r="V2710" t="s">
        <v>723</v>
      </c>
      <c r="W2710" t="s">
        <v>57</v>
      </c>
      <c r="X2710" t="s">
        <v>103</v>
      </c>
      <c r="AA2710" t="s">
        <v>1031</v>
      </c>
      <c r="AB2710" t="s">
        <v>64</v>
      </c>
      <c r="AC2710" t="s">
        <v>278</v>
      </c>
      <c r="AD2710" t="s">
        <v>80</v>
      </c>
      <c r="AE2710" t="s">
        <v>82</v>
      </c>
      <c r="AF2710" t="s">
        <v>0</v>
      </c>
      <c r="AG2710" t="s">
        <v>0</v>
      </c>
      <c r="AH2710" s="1" t="s">
        <v>14133</v>
      </c>
      <c r="AI2710" s="1" t="s">
        <v>14134</v>
      </c>
      <c r="AJ2710" s="1" t="s">
        <v>14135</v>
      </c>
      <c r="AK2710" t="s">
        <v>61</v>
      </c>
      <c r="AL2710" t="s">
        <v>61</v>
      </c>
      <c r="AM2710" t="s">
        <v>0</v>
      </c>
      <c r="AN2710" t="s">
        <v>0</v>
      </c>
      <c r="AO2710" t="s">
        <v>0</v>
      </c>
      <c r="AP2710" t="s">
        <v>0</v>
      </c>
      <c r="AQ2710" t="s">
        <v>61</v>
      </c>
      <c r="AR2710" t="s">
        <v>0</v>
      </c>
      <c r="AS2710" t="str">
        <f>HYPERLINK("https://tessa.gazprom-neft.local/edo/card/ecaef5b2-1416-41eb-9023-10a7f925505a", "https://tessa.gazprom-neft.local/edo/card/ecaef5b2-1416-41eb-9023-10a7f925505a")</f>
        <v>https://tessa.gazprom-neft.local/edo/card/ecaef5b2-1416-41eb-9023-10a7f925505a</v>
      </c>
    </row>
    <row r="2711" spans="1:45" hidden="1" x14ac:dyDescent="0.25">
      <c r="A2711" t="s">
        <v>44</v>
      </c>
      <c r="B2711" t="s">
        <v>1240</v>
      </c>
      <c r="C2711" t="s">
        <v>67</v>
      </c>
      <c r="F2711" s="18" t="s">
        <v>1241</v>
      </c>
      <c r="G2711" t="s">
        <v>1242</v>
      </c>
      <c r="H2711" t="s">
        <v>3083</v>
      </c>
      <c r="I2711" t="s">
        <v>0</v>
      </c>
      <c r="J2711" t="s">
        <v>271</v>
      </c>
      <c r="K2711" t="s">
        <v>47</v>
      </c>
      <c r="L2711" t="s">
        <v>389</v>
      </c>
      <c r="M2711" t="s">
        <v>0</v>
      </c>
      <c r="N2711" t="s">
        <v>9955</v>
      </c>
      <c r="O2711" t="s">
        <v>51</v>
      </c>
      <c r="P2711" t="s">
        <v>9956</v>
      </c>
      <c r="Q2711" t="s">
        <v>9957</v>
      </c>
      <c r="R2711" t="s">
        <v>393</v>
      </c>
      <c r="S2711" t="s">
        <v>1261</v>
      </c>
      <c r="T2711" t="s">
        <v>54</v>
      </c>
      <c r="U2711" t="s">
        <v>222</v>
      </c>
      <c r="V2711" t="s">
        <v>126</v>
      </c>
      <c r="W2711" t="s">
        <v>74</v>
      </c>
      <c r="X2711" t="s">
        <v>58</v>
      </c>
      <c r="AA2711" t="s">
        <v>224</v>
      </c>
      <c r="AB2711" t="s">
        <v>1243</v>
      </c>
      <c r="AC2711" t="s">
        <v>79</v>
      </c>
      <c r="AD2711" t="s">
        <v>144</v>
      </c>
      <c r="AE2711" t="s">
        <v>82</v>
      </c>
      <c r="AF2711" t="s">
        <v>0</v>
      </c>
      <c r="AG2711" t="s">
        <v>0</v>
      </c>
      <c r="AH2711" s="1" t="s">
        <v>14136</v>
      </c>
      <c r="AI2711" s="1" t="s">
        <v>14137</v>
      </c>
      <c r="AJ2711" s="1" t="s">
        <v>14138</v>
      </c>
      <c r="AK2711" t="s">
        <v>61</v>
      </c>
      <c r="AL2711" t="s">
        <v>61</v>
      </c>
      <c r="AM2711" t="s">
        <v>0</v>
      </c>
      <c r="AN2711" t="s">
        <v>0</v>
      </c>
      <c r="AO2711" t="s">
        <v>0</v>
      </c>
      <c r="AP2711" t="s">
        <v>0</v>
      </c>
      <c r="AQ2711" t="s">
        <v>61</v>
      </c>
      <c r="AR2711" t="s">
        <v>0</v>
      </c>
      <c r="AS2711" t="str">
        <f>HYPERLINK("https://tessa.gazprom-neft.local/edo/card/2d2a40c7-f074-45de-a596-270c2cbde0e8", "https://tessa.gazprom-neft.local/edo/card/2d2a40c7-f074-45de-a596-270c2cbde0e8")</f>
        <v>https://tessa.gazprom-neft.local/edo/card/2d2a40c7-f074-45de-a596-270c2cbde0e8</v>
      </c>
    </row>
    <row r="2712" spans="1:45" x14ac:dyDescent="0.25">
      <c r="A2712" t="s">
        <v>44</v>
      </c>
      <c r="B2712" t="s">
        <v>9961</v>
      </c>
      <c r="C2712" t="s">
        <v>46</v>
      </c>
      <c r="F2712" s="18" t="s">
        <v>9962</v>
      </c>
      <c r="G2712" t="s">
        <v>9963</v>
      </c>
      <c r="H2712" t="s">
        <v>9858</v>
      </c>
      <c r="I2712" t="s">
        <v>0</v>
      </c>
      <c r="J2712" t="s">
        <v>51</v>
      </c>
      <c r="K2712" t="s">
        <v>47</v>
      </c>
      <c r="L2712" t="s">
        <v>48</v>
      </c>
      <c r="M2712" t="s">
        <v>0</v>
      </c>
      <c r="N2712" t="s">
        <v>9958</v>
      </c>
      <c r="O2712" t="s">
        <v>0</v>
      </c>
      <c r="P2712" t="s">
        <v>9959</v>
      </c>
      <c r="Q2712" t="s">
        <v>9960</v>
      </c>
      <c r="R2712" t="s">
        <v>519</v>
      </c>
      <c r="S2712" t="s">
        <v>519</v>
      </c>
      <c r="T2712" t="s">
        <v>54</v>
      </c>
      <c r="U2712" t="s">
        <v>362</v>
      </c>
      <c r="V2712" t="s">
        <v>295</v>
      </c>
      <c r="W2712" t="s">
        <v>57</v>
      </c>
      <c r="X2712" t="s">
        <v>103</v>
      </c>
      <c r="AA2712" t="s">
        <v>296</v>
      </c>
      <c r="AB2712" t="s">
        <v>130</v>
      </c>
      <c r="AC2712" t="s">
        <v>65</v>
      </c>
      <c r="AD2712" t="s">
        <v>80</v>
      </c>
      <c r="AE2712" t="s">
        <v>0</v>
      </c>
      <c r="AF2712" t="s">
        <v>0</v>
      </c>
      <c r="AG2712" t="s">
        <v>0</v>
      </c>
      <c r="AH2712" s="1" t="s">
        <v>0</v>
      </c>
      <c r="AI2712" s="1" t="s">
        <v>0</v>
      </c>
      <c r="AJ2712" s="1" t="s">
        <v>0</v>
      </c>
      <c r="AK2712" t="s">
        <v>61</v>
      </c>
      <c r="AL2712" t="s">
        <v>61</v>
      </c>
      <c r="AM2712" t="s">
        <v>0</v>
      </c>
      <c r="AN2712" t="s">
        <v>0</v>
      </c>
      <c r="AO2712" t="s">
        <v>0</v>
      </c>
      <c r="AP2712" t="s">
        <v>0</v>
      </c>
      <c r="AQ2712" t="s">
        <v>61</v>
      </c>
      <c r="AR2712" t="s">
        <v>0</v>
      </c>
      <c r="AS2712" t="str">
        <f>HYPERLINK("https://tessa.gazprom-neft.local/edo/card/f5aca80c-3d98-4889-bca0-9f4f2f6ee5ee", "https://tessa.gazprom-neft.local/edo/card/f5aca80c-3d98-4889-bca0-9f4f2f6ee5ee")</f>
        <v>https://tessa.gazprom-neft.local/edo/card/f5aca80c-3d98-4889-bca0-9f4f2f6ee5ee</v>
      </c>
    </row>
    <row r="2713" spans="1:45" x14ac:dyDescent="0.25">
      <c r="A2713" t="s">
        <v>44</v>
      </c>
      <c r="B2713" t="s">
        <v>727</v>
      </c>
      <c r="C2713" t="s">
        <v>67</v>
      </c>
      <c r="F2713" s="18" t="s">
        <v>728</v>
      </c>
      <c r="G2713" t="s">
        <v>729</v>
      </c>
      <c r="H2713" t="s">
        <v>9965</v>
      </c>
      <c r="I2713" t="s">
        <v>0</v>
      </c>
      <c r="J2713" t="s">
        <v>955</v>
      </c>
      <c r="K2713" t="s">
        <v>47</v>
      </c>
      <c r="L2713" t="s">
        <v>48</v>
      </c>
      <c r="M2713" t="s">
        <v>0</v>
      </c>
      <c r="N2713" t="s">
        <v>9964</v>
      </c>
      <c r="O2713" t="s">
        <v>0</v>
      </c>
      <c r="P2713" t="s">
        <v>9966</v>
      </c>
      <c r="Q2713" t="s">
        <v>9967</v>
      </c>
      <c r="R2713" t="s">
        <v>282</v>
      </c>
      <c r="S2713" t="s">
        <v>0</v>
      </c>
      <c r="T2713" t="s">
        <v>54</v>
      </c>
      <c r="U2713" t="s">
        <v>55</v>
      </c>
      <c r="V2713" t="s">
        <v>56</v>
      </c>
      <c r="W2713" t="s">
        <v>74</v>
      </c>
      <c r="X2713" t="s">
        <v>103</v>
      </c>
      <c r="AA2713" t="s">
        <v>0</v>
      </c>
      <c r="AB2713" t="s">
        <v>64</v>
      </c>
      <c r="AC2713" t="s">
        <v>65</v>
      </c>
      <c r="AD2713" t="s">
        <v>80</v>
      </c>
      <c r="AE2713" t="s">
        <v>0</v>
      </c>
      <c r="AF2713" t="s">
        <v>0</v>
      </c>
      <c r="AG2713" t="s">
        <v>0</v>
      </c>
      <c r="AH2713" s="1" t="s">
        <v>0</v>
      </c>
      <c r="AI2713" s="1" t="s">
        <v>0</v>
      </c>
      <c r="AJ2713" s="1" t="s">
        <v>0</v>
      </c>
      <c r="AK2713" t="s">
        <v>61</v>
      </c>
      <c r="AL2713" t="s">
        <v>61</v>
      </c>
      <c r="AM2713" t="s">
        <v>0</v>
      </c>
      <c r="AN2713" t="s">
        <v>0</v>
      </c>
      <c r="AO2713" t="s">
        <v>0</v>
      </c>
      <c r="AP2713" t="s">
        <v>0</v>
      </c>
      <c r="AQ2713" t="s">
        <v>61</v>
      </c>
      <c r="AR2713" t="s">
        <v>0</v>
      </c>
      <c r="AS2713" t="str">
        <f>HYPERLINK("https://tessa.gazprom-neft.local/edo/card/957a4ab8-06bc-4f23-83e1-34c0f47201fc", "https://tessa.gazprom-neft.local/edo/card/957a4ab8-06bc-4f23-83e1-34c0f47201fc")</f>
        <v>https://tessa.gazprom-neft.local/edo/card/957a4ab8-06bc-4f23-83e1-34c0f47201fc</v>
      </c>
    </row>
    <row r="2714" spans="1:45" x14ac:dyDescent="0.25">
      <c r="A2714" t="s">
        <v>44</v>
      </c>
      <c r="B2714" t="s">
        <v>342</v>
      </c>
      <c r="C2714" t="s">
        <v>67</v>
      </c>
      <c r="F2714" s="18" t="s">
        <v>343</v>
      </c>
      <c r="G2714" t="s">
        <v>344</v>
      </c>
      <c r="H2714" t="s">
        <v>9969</v>
      </c>
      <c r="I2714" t="s">
        <v>0</v>
      </c>
      <c r="J2714" t="s">
        <v>936</v>
      </c>
      <c r="K2714" t="s">
        <v>47</v>
      </c>
      <c r="L2714" t="s">
        <v>48</v>
      </c>
      <c r="M2714" t="s">
        <v>0</v>
      </c>
      <c r="N2714" t="s">
        <v>9968</v>
      </c>
      <c r="O2714" t="s">
        <v>0</v>
      </c>
      <c r="P2714" t="s">
        <v>9970</v>
      </c>
      <c r="Q2714" t="s">
        <v>9971</v>
      </c>
      <c r="R2714" t="s">
        <v>513</v>
      </c>
      <c r="S2714" t="s">
        <v>513</v>
      </c>
      <c r="T2714" t="s">
        <v>54</v>
      </c>
      <c r="U2714" t="s">
        <v>303</v>
      </c>
      <c r="V2714" t="s">
        <v>91</v>
      </c>
      <c r="W2714" t="s">
        <v>74</v>
      </c>
      <c r="X2714" t="s">
        <v>103</v>
      </c>
      <c r="AA2714" t="s">
        <v>92</v>
      </c>
      <c r="AB2714" t="s">
        <v>64</v>
      </c>
      <c r="AC2714" t="s">
        <v>79</v>
      </c>
      <c r="AD2714" t="s">
        <v>80</v>
      </c>
      <c r="AE2714" t="s">
        <v>82</v>
      </c>
      <c r="AF2714" t="s">
        <v>0</v>
      </c>
      <c r="AG2714" t="s">
        <v>0</v>
      </c>
      <c r="AH2714" s="1" t="s">
        <v>14139</v>
      </c>
      <c r="AI2714" s="1" t="s">
        <v>14140</v>
      </c>
      <c r="AJ2714" s="1" t="s">
        <v>14141</v>
      </c>
      <c r="AK2714" t="s">
        <v>61</v>
      </c>
      <c r="AL2714" t="s">
        <v>61</v>
      </c>
      <c r="AM2714" t="s">
        <v>0</v>
      </c>
      <c r="AN2714" t="s">
        <v>0</v>
      </c>
      <c r="AO2714" t="s">
        <v>0</v>
      </c>
      <c r="AP2714" t="s">
        <v>0</v>
      </c>
      <c r="AQ2714" t="s">
        <v>61</v>
      </c>
      <c r="AR2714" t="s">
        <v>0</v>
      </c>
      <c r="AS2714" t="str">
        <f>HYPERLINK("https://tessa.gazprom-neft.local/edo/card/2d931c41-a40d-48ba-919f-019c39374526", "https://tessa.gazprom-neft.local/edo/card/2d931c41-a40d-48ba-919f-019c39374526")</f>
        <v>https://tessa.gazprom-neft.local/edo/card/2d931c41-a40d-48ba-919f-019c39374526</v>
      </c>
    </row>
    <row r="2715" spans="1:45" x14ac:dyDescent="0.25">
      <c r="A2715" t="s">
        <v>44</v>
      </c>
      <c r="B2715" t="s">
        <v>497</v>
      </c>
      <c r="C2715" t="s">
        <v>67</v>
      </c>
      <c r="F2715" s="18" t="s">
        <v>498</v>
      </c>
      <c r="G2715" t="s">
        <v>499</v>
      </c>
      <c r="H2715" t="s">
        <v>9973</v>
      </c>
      <c r="I2715" t="s">
        <v>0</v>
      </c>
      <c r="J2715" t="s">
        <v>316</v>
      </c>
      <c r="K2715" t="s">
        <v>47</v>
      </c>
      <c r="L2715" t="s">
        <v>48</v>
      </c>
      <c r="M2715" t="s">
        <v>0</v>
      </c>
      <c r="N2715" t="s">
        <v>9972</v>
      </c>
      <c r="O2715" t="s">
        <v>0</v>
      </c>
      <c r="P2715" t="s">
        <v>9974</v>
      </c>
      <c r="Q2715" t="s">
        <v>9975</v>
      </c>
      <c r="R2715" t="s">
        <v>1342</v>
      </c>
      <c r="S2715" t="s">
        <v>1342</v>
      </c>
      <c r="T2715" t="s">
        <v>54</v>
      </c>
      <c r="U2715" t="s">
        <v>274</v>
      </c>
      <c r="V2715" t="s">
        <v>864</v>
      </c>
      <c r="W2715" t="s">
        <v>57</v>
      </c>
      <c r="X2715" t="s">
        <v>103</v>
      </c>
      <c r="AA2715" t="s">
        <v>1343</v>
      </c>
      <c r="AB2715" t="s">
        <v>64</v>
      </c>
      <c r="AC2715" t="s">
        <v>278</v>
      </c>
      <c r="AD2715" t="s">
        <v>80</v>
      </c>
      <c r="AE2715" t="s">
        <v>82</v>
      </c>
      <c r="AF2715" t="s">
        <v>0</v>
      </c>
      <c r="AG2715" t="s">
        <v>0</v>
      </c>
      <c r="AH2715" s="1" t="s">
        <v>14142</v>
      </c>
      <c r="AI2715" s="1" t="s">
        <v>14143</v>
      </c>
      <c r="AJ2715" s="1" t="s">
        <v>14144</v>
      </c>
      <c r="AK2715" t="s">
        <v>61</v>
      </c>
      <c r="AL2715" t="s">
        <v>61</v>
      </c>
      <c r="AM2715" t="s">
        <v>0</v>
      </c>
      <c r="AN2715" t="s">
        <v>0</v>
      </c>
      <c r="AO2715" t="s">
        <v>0</v>
      </c>
      <c r="AP2715" t="s">
        <v>0</v>
      </c>
      <c r="AQ2715" t="s">
        <v>61</v>
      </c>
      <c r="AR2715" t="s">
        <v>0</v>
      </c>
      <c r="AS2715" t="str">
        <f>HYPERLINK("https://tessa.gazprom-neft.local/edo/card/263174a7-bcbc-4008-8d53-c331a454c0cd", "https://tessa.gazprom-neft.local/edo/card/263174a7-bcbc-4008-8d53-c331a454c0cd")</f>
        <v>https://tessa.gazprom-neft.local/edo/card/263174a7-bcbc-4008-8d53-c331a454c0cd</v>
      </c>
    </row>
    <row r="2716" spans="1:45" x14ac:dyDescent="0.25">
      <c r="A2716" t="s">
        <v>44</v>
      </c>
      <c r="B2716" t="s">
        <v>1279</v>
      </c>
      <c r="C2716" t="s">
        <v>67</v>
      </c>
      <c r="F2716" s="18" t="s">
        <v>1280</v>
      </c>
      <c r="G2716" t="s">
        <v>1281</v>
      </c>
      <c r="H2716" t="s">
        <v>1275</v>
      </c>
      <c r="I2716" t="s">
        <v>0</v>
      </c>
      <c r="J2716" t="s">
        <v>271</v>
      </c>
      <c r="K2716" t="s">
        <v>47</v>
      </c>
      <c r="L2716" t="s">
        <v>48</v>
      </c>
      <c r="M2716" t="s">
        <v>0</v>
      </c>
      <c r="N2716" t="s">
        <v>9976</v>
      </c>
      <c r="O2716" t="s">
        <v>0</v>
      </c>
      <c r="P2716" t="s">
        <v>9977</v>
      </c>
      <c r="Q2716" t="s">
        <v>9978</v>
      </c>
      <c r="R2716" t="s">
        <v>891</v>
      </c>
      <c r="S2716" t="s">
        <v>891</v>
      </c>
      <c r="T2716" t="s">
        <v>54</v>
      </c>
      <c r="U2716" t="s">
        <v>892</v>
      </c>
      <c r="V2716" t="s">
        <v>56</v>
      </c>
      <c r="W2716" t="s">
        <v>57</v>
      </c>
      <c r="X2716" t="s">
        <v>103</v>
      </c>
      <c r="AA2716" t="s">
        <v>59</v>
      </c>
      <c r="AB2716" t="s">
        <v>256</v>
      </c>
      <c r="AC2716" t="s">
        <v>79</v>
      </c>
      <c r="AD2716" t="s">
        <v>144</v>
      </c>
      <c r="AE2716" t="s">
        <v>82</v>
      </c>
      <c r="AF2716" t="s">
        <v>0</v>
      </c>
      <c r="AG2716" t="s">
        <v>0</v>
      </c>
      <c r="AH2716" s="1" t="s">
        <v>10980</v>
      </c>
      <c r="AI2716" s="1" t="s">
        <v>10981</v>
      </c>
      <c r="AJ2716" s="1" t="s">
        <v>10982</v>
      </c>
      <c r="AK2716" t="s">
        <v>61</v>
      </c>
      <c r="AL2716" t="s">
        <v>61</v>
      </c>
      <c r="AM2716" t="s">
        <v>0</v>
      </c>
      <c r="AN2716" t="s">
        <v>0</v>
      </c>
      <c r="AO2716" t="s">
        <v>0</v>
      </c>
      <c r="AP2716" t="s">
        <v>0</v>
      </c>
      <c r="AQ2716" t="s">
        <v>61</v>
      </c>
      <c r="AR2716" t="s">
        <v>0</v>
      </c>
      <c r="AS2716" t="str">
        <f>HYPERLINK("https://tessa.gazprom-neft.local/edo/card/39dc700b-3da5-4b2e-a3d6-018be8dfac1f", "https://tessa.gazprom-neft.local/edo/card/39dc700b-3da5-4b2e-a3d6-018be8dfac1f")</f>
        <v>https://tessa.gazprom-neft.local/edo/card/39dc700b-3da5-4b2e-a3d6-018be8dfac1f</v>
      </c>
    </row>
    <row r="2717" spans="1:45" hidden="1" x14ac:dyDescent="0.25">
      <c r="A2717" t="s">
        <v>44</v>
      </c>
      <c r="B2717" t="s">
        <v>1279</v>
      </c>
      <c r="C2717" t="s">
        <v>67</v>
      </c>
      <c r="F2717" s="18" t="s">
        <v>1280</v>
      </c>
      <c r="G2717" t="s">
        <v>1281</v>
      </c>
      <c r="H2717" t="s">
        <v>1275</v>
      </c>
      <c r="I2717" t="s">
        <v>0</v>
      </c>
      <c r="J2717" t="s">
        <v>156</v>
      </c>
      <c r="K2717" t="s">
        <v>47</v>
      </c>
      <c r="L2717" t="s">
        <v>239</v>
      </c>
      <c r="M2717" t="s">
        <v>0</v>
      </c>
      <c r="N2717" t="s">
        <v>9979</v>
      </c>
      <c r="O2717" t="s">
        <v>0</v>
      </c>
      <c r="P2717" t="s">
        <v>9980</v>
      </c>
      <c r="Q2717" t="s">
        <v>2988</v>
      </c>
      <c r="R2717" t="s">
        <v>891</v>
      </c>
      <c r="S2717" t="s">
        <v>891</v>
      </c>
      <c r="T2717" t="s">
        <v>54</v>
      </c>
      <c r="U2717" t="s">
        <v>892</v>
      </c>
      <c r="V2717" t="s">
        <v>56</v>
      </c>
      <c r="W2717" t="s">
        <v>74</v>
      </c>
      <c r="X2717" t="s">
        <v>58</v>
      </c>
      <c r="AA2717" t="s">
        <v>59</v>
      </c>
      <c r="AB2717" t="s">
        <v>256</v>
      </c>
      <c r="AC2717" t="s">
        <v>79</v>
      </c>
      <c r="AD2717" t="s">
        <v>144</v>
      </c>
      <c r="AE2717" t="s">
        <v>82</v>
      </c>
      <c r="AF2717" t="s">
        <v>0</v>
      </c>
      <c r="AG2717" t="s">
        <v>0</v>
      </c>
      <c r="AH2717" s="1" t="s">
        <v>14145</v>
      </c>
      <c r="AI2717" s="1" t="s">
        <v>14146</v>
      </c>
      <c r="AJ2717" s="1" t="s">
        <v>14147</v>
      </c>
      <c r="AK2717" t="s">
        <v>61</v>
      </c>
      <c r="AL2717" t="s">
        <v>61</v>
      </c>
      <c r="AM2717" t="s">
        <v>0</v>
      </c>
      <c r="AN2717" t="s">
        <v>0</v>
      </c>
      <c r="AO2717" t="s">
        <v>0</v>
      </c>
      <c r="AP2717" t="s">
        <v>0</v>
      </c>
      <c r="AQ2717" t="s">
        <v>61</v>
      </c>
      <c r="AR2717" t="s">
        <v>0</v>
      </c>
      <c r="AS2717" t="str">
        <f>HYPERLINK("https://tessa.gazprom-neft.local/edo/card/cdab687d-855e-4376-a3aa-f1ca7c9a8954", "https://tessa.gazprom-neft.local/edo/card/cdab687d-855e-4376-a3aa-f1ca7c9a8954")</f>
        <v>https://tessa.gazprom-neft.local/edo/card/cdab687d-855e-4376-a3aa-f1ca7c9a8954</v>
      </c>
    </row>
    <row r="2718" spans="1:45" x14ac:dyDescent="0.25">
      <c r="A2718" t="s">
        <v>44</v>
      </c>
      <c r="B2718" t="s">
        <v>488</v>
      </c>
      <c r="C2718" t="s">
        <v>67</v>
      </c>
      <c r="F2718" s="18" t="s">
        <v>489</v>
      </c>
      <c r="G2718" t="s">
        <v>490</v>
      </c>
      <c r="H2718" t="s">
        <v>4243</v>
      </c>
      <c r="I2718" t="s">
        <v>0</v>
      </c>
      <c r="J2718" t="s">
        <v>51</v>
      </c>
      <c r="K2718" t="s">
        <v>47</v>
      </c>
      <c r="L2718" t="s">
        <v>48</v>
      </c>
      <c r="M2718" t="s">
        <v>0</v>
      </c>
      <c r="N2718" t="s">
        <v>9981</v>
      </c>
      <c r="O2718" t="s">
        <v>0</v>
      </c>
      <c r="P2718" t="s">
        <v>4825</v>
      </c>
      <c r="Q2718" t="s">
        <v>3272</v>
      </c>
      <c r="R2718" t="s">
        <v>361</v>
      </c>
      <c r="S2718" t="s">
        <v>361</v>
      </c>
      <c r="T2718" t="s">
        <v>54</v>
      </c>
      <c r="U2718" t="s">
        <v>362</v>
      </c>
      <c r="V2718" t="s">
        <v>295</v>
      </c>
      <c r="W2718" t="s">
        <v>74</v>
      </c>
      <c r="X2718" t="s">
        <v>103</v>
      </c>
      <c r="AA2718" t="s">
        <v>296</v>
      </c>
      <c r="AB2718" t="s">
        <v>366</v>
      </c>
      <c r="AC2718" t="s">
        <v>278</v>
      </c>
      <c r="AD2718" t="s">
        <v>367</v>
      </c>
      <c r="AE2718" t="s">
        <v>82</v>
      </c>
      <c r="AF2718" t="s">
        <v>0</v>
      </c>
      <c r="AG2718" t="s">
        <v>0</v>
      </c>
      <c r="AH2718" s="1" t="s">
        <v>14148</v>
      </c>
      <c r="AI2718" s="1" t="s">
        <v>14149</v>
      </c>
      <c r="AJ2718" s="1" t="s">
        <v>14150</v>
      </c>
      <c r="AK2718" t="s">
        <v>61</v>
      </c>
      <c r="AL2718" t="s">
        <v>61</v>
      </c>
      <c r="AM2718" t="s">
        <v>0</v>
      </c>
      <c r="AN2718" t="s">
        <v>0</v>
      </c>
      <c r="AO2718" t="s">
        <v>0</v>
      </c>
      <c r="AP2718" t="s">
        <v>0</v>
      </c>
      <c r="AQ2718" t="s">
        <v>61</v>
      </c>
      <c r="AR2718" t="s">
        <v>0</v>
      </c>
      <c r="AS2718" t="str">
        <f>HYPERLINK("https://tessa.gazprom-neft.local/edo/card/e848b75d-38a6-4a96-8159-8324c4512055", "https://tessa.gazprom-neft.local/edo/card/e848b75d-38a6-4a96-8159-8324c4512055")</f>
        <v>https://tessa.gazprom-neft.local/edo/card/e848b75d-38a6-4a96-8159-8324c4512055</v>
      </c>
    </row>
    <row r="2719" spans="1:45" x14ac:dyDescent="0.25">
      <c r="A2719" t="s">
        <v>44</v>
      </c>
      <c r="B2719" t="s">
        <v>3089</v>
      </c>
      <c r="C2719" t="s">
        <v>67</v>
      </c>
      <c r="F2719" s="18" t="s">
        <v>3090</v>
      </c>
      <c r="G2719" t="s">
        <v>3091</v>
      </c>
      <c r="H2719" t="s">
        <v>3737</v>
      </c>
      <c r="I2719" t="s">
        <v>0</v>
      </c>
      <c r="J2719" t="s">
        <v>355</v>
      </c>
      <c r="K2719" t="s">
        <v>47</v>
      </c>
      <c r="L2719" t="s">
        <v>48</v>
      </c>
      <c r="M2719" t="s">
        <v>0</v>
      </c>
      <c r="N2719" t="s">
        <v>9982</v>
      </c>
      <c r="O2719" t="s">
        <v>0</v>
      </c>
      <c r="P2719" t="s">
        <v>9983</v>
      </c>
      <c r="Q2719" t="s">
        <v>9984</v>
      </c>
      <c r="R2719" t="s">
        <v>505</v>
      </c>
      <c r="S2719" t="s">
        <v>505</v>
      </c>
      <c r="T2719" t="s">
        <v>54</v>
      </c>
      <c r="U2719" t="s">
        <v>362</v>
      </c>
      <c r="V2719" t="s">
        <v>295</v>
      </c>
      <c r="W2719" t="s">
        <v>74</v>
      </c>
      <c r="X2719" t="s">
        <v>103</v>
      </c>
      <c r="AA2719" t="s">
        <v>296</v>
      </c>
      <c r="AB2719" t="s">
        <v>130</v>
      </c>
      <c r="AC2719" t="s">
        <v>79</v>
      </c>
      <c r="AD2719" t="s">
        <v>80</v>
      </c>
      <c r="AE2719" t="s">
        <v>82</v>
      </c>
      <c r="AF2719" t="s">
        <v>0</v>
      </c>
      <c r="AG2719" t="s">
        <v>9985</v>
      </c>
      <c r="AH2719" s="1" t="s">
        <v>14151</v>
      </c>
      <c r="AI2719" s="1" t="s">
        <v>14152</v>
      </c>
      <c r="AJ2719" s="1" t="s">
        <v>14153</v>
      </c>
      <c r="AK2719" t="s">
        <v>61</v>
      </c>
      <c r="AL2719" t="s">
        <v>61</v>
      </c>
      <c r="AM2719" t="s">
        <v>0</v>
      </c>
      <c r="AN2719" t="s">
        <v>0</v>
      </c>
      <c r="AO2719" t="s">
        <v>0</v>
      </c>
      <c r="AP2719" t="s">
        <v>0</v>
      </c>
      <c r="AQ2719" t="s">
        <v>61</v>
      </c>
      <c r="AR2719" t="s">
        <v>0</v>
      </c>
      <c r="AS2719" t="str">
        <f>HYPERLINK("https://tessa.gazprom-neft.local/edo/card/636a98b0-83d0-40ba-8053-e400a6680f8b", "https://tessa.gazprom-neft.local/edo/card/636a98b0-83d0-40ba-8053-e400a6680f8b")</f>
        <v>https://tessa.gazprom-neft.local/edo/card/636a98b0-83d0-40ba-8053-e400a6680f8b</v>
      </c>
    </row>
    <row r="2720" spans="1:45" hidden="1" x14ac:dyDescent="0.25">
      <c r="A2720" t="s">
        <v>44</v>
      </c>
      <c r="B2720" t="s">
        <v>661</v>
      </c>
      <c r="C2720" t="s">
        <v>67</v>
      </c>
      <c r="F2720" s="18" t="s">
        <v>662</v>
      </c>
      <c r="G2720" t="s">
        <v>663</v>
      </c>
      <c r="H2720" t="s">
        <v>764</v>
      </c>
      <c r="I2720" t="s">
        <v>0</v>
      </c>
      <c r="J2720" t="s">
        <v>5867</v>
      </c>
      <c r="K2720" t="s">
        <v>47</v>
      </c>
      <c r="L2720" t="s">
        <v>763</v>
      </c>
      <c r="M2720" t="s">
        <v>0</v>
      </c>
      <c r="N2720" t="s">
        <v>9986</v>
      </c>
      <c r="O2720" t="s">
        <v>0</v>
      </c>
      <c r="P2720" t="s">
        <v>9987</v>
      </c>
      <c r="Q2720" t="s">
        <v>9844</v>
      </c>
      <c r="R2720" t="s">
        <v>768</v>
      </c>
      <c r="S2720" t="s">
        <v>714</v>
      </c>
      <c r="T2720" t="s">
        <v>54</v>
      </c>
      <c r="U2720" t="s">
        <v>283</v>
      </c>
      <c r="V2720" t="s">
        <v>168</v>
      </c>
      <c r="W2720" t="s">
        <v>57</v>
      </c>
      <c r="X2720" t="s">
        <v>103</v>
      </c>
      <c r="AA2720" t="s">
        <v>6641</v>
      </c>
      <c r="AB2720" t="s">
        <v>130</v>
      </c>
      <c r="AC2720" t="s">
        <v>79</v>
      </c>
      <c r="AD2720" t="s">
        <v>80</v>
      </c>
      <c r="AE2720" t="s">
        <v>82</v>
      </c>
      <c r="AF2720" t="s">
        <v>0</v>
      </c>
      <c r="AG2720" t="s">
        <v>0</v>
      </c>
      <c r="AH2720" s="1" t="s">
        <v>14154</v>
      </c>
      <c r="AI2720" s="1" t="s">
        <v>14155</v>
      </c>
      <c r="AJ2720" s="1" t="s">
        <v>14156</v>
      </c>
      <c r="AK2720" t="s">
        <v>61</v>
      </c>
      <c r="AL2720" t="s">
        <v>61</v>
      </c>
      <c r="AM2720" t="s">
        <v>0</v>
      </c>
      <c r="AN2720" t="s">
        <v>0</v>
      </c>
      <c r="AO2720" t="s">
        <v>0</v>
      </c>
      <c r="AP2720" t="s">
        <v>0</v>
      </c>
      <c r="AQ2720" t="s">
        <v>61</v>
      </c>
      <c r="AR2720" t="s">
        <v>0</v>
      </c>
      <c r="AS2720" t="str">
        <f>HYPERLINK("https://tessa.gazprom-neft.local/edo/card/0090d362-de4d-4a5b-bf97-db2b9db1600f", "https://tessa.gazprom-neft.local/edo/card/0090d362-de4d-4a5b-bf97-db2b9db1600f")</f>
        <v>https://tessa.gazprom-neft.local/edo/card/0090d362-de4d-4a5b-bf97-db2b9db1600f</v>
      </c>
    </row>
    <row r="2721" spans="1:45" hidden="1" x14ac:dyDescent="0.25">
      <c r="A2721" t="s">
        <v>44</v>
      </c>
      <c r="B2721" t="s">
        <v>1684</v>
      </c>
      <c r="C2721" t="s">
        <v>67</v>
      </c>
      <c r="F2721" s="18" t="s">
        <v>1685</v>
      </c>
      <c r="G2721" t="s">
        <v>1686</v>
      </c>
      <c r="H2721" t="s">
        <v>0</v>
      </c>
      <c r="I2721" t="s">
        <v>9989</v>
      </c>
      <c r="J2721" t="s">
        <v>9989</v>
      </c>
      <c r="K2721" t="s">
        <v>47</v>
      </c>
      <c r="L2721" t="s">
        <v>96</v>
      </c>
      <c r="M2721" t="s">
        <v>0</v>
      </c>
      <c r="N2721" t="s">
        <v>9988</v>
      </c>
      <c r="O2721" t="s">
        <v>0</v>
      </c>
      <c r="P2721" t="s">
        <v>9990</v>
      </c>
      <c r="Q2721" t="s">
        <v>9991</v>
      </c>
      <c r="R2721" t="s">
        <v>293</v>
      </c>
      <c r="S2721" t="s">
        <v>293</v>
      </c>
      <c r="T2721" t="s">
        <v>54</v>
      </c>
      <c r="U2721" t="s">
        <v>362</v>
      </c>
      <c r="V2721" t="s">
        <v>295</v>
      </c>
      <c r="W2721" t="s">
        <v>57</v>
      </c>
      <c r="X2721" t="s">
        <v>103</v>
      </c>
      <c r="AA2721" t="s">
        <v>296</v>
      </c>
      <c r="AB2721" t="s">
        <v>500</v>
      </c>
      <c r="AC2721" t="s">
        <v>278</v>
      </c>
      <c r="AD2721" t="s">
        <v>80</v>
      </c>
      <c r="AE2721" t="s">
        <v>82</v>
      </c>
      <c r="AF2721" t="s">
        <v>0</v>
      </c>
      <c r="AG2721" t="s">
        <v>0</v>
      </c>
      <c r="AH2721" s="1" t="s">
        <v>14157</v>
      </c>
      <c r="AI2721" s="1" t="s">
        <v>14158</v>
      </c>
      <c r="AJ2721" s="1" t="s">
        <v>14159</v>
      </c>
      <c r="AK2721" t="s">
        <v>61</v>
      </c>
      <c r="AL2721" t="s">
        <v>61</v>
      </c>
      <c r="AM2721" t="s">
        <v>0</v>
      </c>
      <c r="AN2721" t="s">
        <v>0</v>
      </c>
      <c r="AO2721" t="s">
        <v>0</v>
      </c>
      <c r="AP2721" t="s">
        <v>0</v>
      </c>
      <c r="AQ2721" t="s">
        <v>61</v>
      </c>
      <c r="AR2721" t="s">
        <v>0</v>
      </c>
      <c r="AS2721" t="str">
        <f>HYPERLINK("https://tessa.gazprom-neft.local/edo/card/e341afc3-b012-42ea-8900-c336fe01833b", "https://tessa.gazprom-neft.local/edo/card/e341afc3-b012-42ea-8900-c336fe01833b")</f>
        <v>https://tessa.gazprom-neft.local/edo/card/e341afc3-b012-42ea-8900-c336fe01833b</v>
      </c>
    </row>
    <row r="2722" spans="1:45" x14ac:dyDescent="0.25">
      <c r="A2722" t="s">
        <v>44</v>
      </c>
      <c r="B2722" t="s">
        <v>75</v>
      </c>
      <c r="C2722" t="s">
        <v>67</v>
      </c>
      <c r="F2722" s="18" t="s">
        <v>76</v>
      </c>
      <c r="G2722" t="s">
        <v>77</v>
      </c>
      <c r="H2722" t="s">
        <v>68</v>
      </c>
      <c r="I2722" t="s">
        <v>0</v>
      </c>
      <c r="J2722" t="s">
        <v>872</v>
      </c>
      <c r="K2722" t="s">
        <v>47</v>
      </c>
      <c r="L2722" t="s">
        <v>48</v>
      </c>
      <c r="M2722" t="s">
        <v>0</v>
      </c>
      <c r="N2722" t="s">
        <v>9992</v>
      </c>
      <c r="O2722" t="s">
        <v>0</v>
      </c>
      <c r="P2722" t="s">
        <v>69</v>
      </c>
      <c r="Q2722" t="s">
        <v>71</v>
      </c>
      <c r="R2722" t="s">
        <v>72</v>
      </c>
      <c r="S2722" t="s">
        <v>0</v>
      </c>
      <c r="T2722" t="s">
        <v>54</v>
      </c>
      <c r="U2722" t="s">
        <v>73</v>
      </c>
      <c r="V2722" t="s">
        <v>56</v>
      </c>
      <c r="W2722" t="s">
        <v>74</v>
      </c>
      <c r="X2722" t="s">
        <v>58</v>
      </c>
      <c r="AA2722" t="s">
        <v>59</v>
      </c>
      <c r="AB2722" t="s">
        <v>78</v>
      </c>
      <c r="AC2722" t="s">
        <v>79</v>
      </c>
      <c r="AD2722" t="s">
        <v>80</v>
      </c>
      <c r="AE2722" t="s">
        <v>82</v>
      </c>
      <c r="AF2722" t="s">
        <v>0</v>
      </c>
      <c r="AG2722" t="s">
        <v>9993</v>
      </c>
      <c r="AH2722" s="1" t="s">
        <v>13612</v>
      </c>
      <c r="AI2722" s="1" t="s">
        <v>10692</v>
      </c>
      <c r="AJ2722" s="1" t="s">
        <v>10693</v>
      </c>
      <c r="AK2722" t="s">
        <v>81</v>
      </c>
      <c r="AL2722" t="s">
        <v>61</v>
      </c>
      <c r="AM2722" t="s">
        <v>0</v>
      </c>
      <c r="AN2722" t="s">
        <v>0</v>
      </c>
      <c r="AO2722" t="s">
        <v>0</v>
      </c>
      <c r="AP2722" t="s">
        <v>0</v>
      </c>
      <c r="AQ2722" t="s">
        <v>61</v>
      </c>
      <c r="AR2722" t="s">
        <v>0</v>
      </c>
      <c r="AS2722" t="str">
        <f>HYPERLINK("https://tessa.gazprom-neft.local/edo/card/f2ffb77c-176d-42e9-a843-6d0261fa9f1f", "https://tessa.gazprom-neft.local/edo/card/f2ffb77c-176d-42e9-a843-6d0261fa9f1f")</f>
        <v>https://tessa.gazprom-neft.local/edo/card/f2ffb77c-176d-42e9-a843-6d0261fa9f1f</v>
      </c>
    </row>
    <row r="2723" spans="1:45" hidden="1" x14ac:dyDescent="0.25">
      <c r="A2723" t="s">
        <v>44</v>
      </c>
      <c r="B2723" t="s">
        <v>497</v>
      </c>
      <c r="C2723" t="s">
        <v>67</v>
      </c>
      <c r="F2723" s="18" t="s">
        <v>498</v>
      </c>
      <c r="G2723" t="s">
        <v>499</v>
      </c>
      <c r="H2723" t="s">
        <v>0</v>
      </c>
      <c r="I2723" t="s">
        <v>494</v>
      </c>
      <c r="J2723" t="s">
        <v>494</v>
      </c>
      <c r="K2723" t="s">
        <v>47</v>
      </c>
      <c r="L2723" t="s">
        <v>96</v>
      </c>
      <c r="M2723" t="s">
        <v>0</v>
      </c>
      <c r="N2723" t="s">
        <v>9994</v>
      </c>
      <c r="O2723" t="s">
        <v>0</v>
      </c>
      <c r="P2723" t="s">
        <v>5076</v>
      </c>
      <c r="Q2723" t="s">
        <v>496</v>
      </c>
      <c r="R2723" t="s">
        <v>293</v>
      </c>
      <c r="S2723" t="s">
        <v>293</v>
      </c>
      <c r="T2723" t="s">
        <v>54</v>
      </c>
      <c r="U2723" t="s">
        <v>362</v>
      </c>
      <c r="V2723" t="s">
        <v>295</v>
      </c>
      <c r="W2723" t="s">
        <v>57</v>
      </c>
      <c r="X2723" t="s">
        <v>58</v>
      </c>
      <c r="AA2723" t="s">
        <v>296</v>
      </c>
      <c r="AB2723" t="s">
        <v>500</v>
      </c>
      <c r="AC2723" t="s">
        <v>278</v>
      </c>
      <c r="AD2723" t="s">
        <v>80</v>
      </c>
      <c r="AE2723" t="s">
        <v>82</v>
      </c>
      <c r="AF2723" t="s">
        <v>0</v>
      </c>
      <c r="AG2723" t="s">
        <v>0</v>
      </c>
      <c r="AH2723" s="1" t="s">
        <v>14160</v>
      </c>
      <c r="AI2723" s="1" t="s">
        <v>14161</v>
      </c>
      <c r="AJ2723" s="1" t="s">
        <v>14162</v>
      </c>
      <c r="AK2723" t="s">
        <v>61</v>
      </c>
      <c r="AL2723" t="s">
        <v>61</v>
      </c>
      <c r="AM2723" t="s">
        <v>0</v>
      </c>
      <c r="AN2723" t="s">
        <v>0</v>
      </c>
      <c r="AO2723" t="s">
        <v>0</v>
      </c>
      <c r="AP2723" t="s">
        <v>0</v>
      </c>
      <c r="AQ2723" t="s">
        <v>61</v>
      </c>
      <c r="AR2723" t="s">
        <v>0</v>
      </c>
      <c r="AS2723" t="str">
        <f>HYPERLINK("https://tessa.gazprom-neft.local/edo/card/ce08328f-ba1e-4e10-9688-a0664f5dd375", "https://tessa.gazprom-neft.local/edo/card/ce08328f-ba1e-4e10-9688-a0664f5dd375")</f>
        <v>https://tessa.gazprom-neft.local/edo/card/ce08328f-ba1e-4e10-9688-a0664f5dd375</v>
      </c>
    </row>
    <row r="2724" spans="1:45" x14ac:dyDescent="0.25">
      <c r="A2724" t="s">
        <v>44</v>
      </c>
      <c r="B2724" t="s">
        <v>9999</v>
      </c>
      <c r="C2724" t="s">
        <v>67</v>
      </c>
      <c r="F2724" s="18" t="s">
        <v>10000</v>
      </c>
      <c r="G2724" t="s">
        <v>10001</v>
      </c>
      <c r="H2724" t="s">
        <v>9996</v>
      </c>
      <c r="I2724" t="s">
        <v>0</v>
      </c>
      <c r="J2724" t="s">
        <v>271</v>
      </c>
      <c r="K2724" t="s">
        <v>47</v>
      </c>
      <c r="L2724" t="s">
        <v>48</v>
      </c>
      <c r="M2724" t="s">
        <v>0</v>
      </c>
      <c r="N2724" t="s">
        <v>9995</v>
      </c>
      <c r="O2724" t="s">
        <v>0</v>
      </c>
      <c r="P2724" t="s">
        <v>9997</v>
      </c>
      <c r="Q2724" t="s">
        <v>9998</v>
      </c>
      <c r="R2724" t="s">
        <v>338</v>
      </c>
      <c r="S2724" t="s">
        <v>1774</v>
      </c>
      <c r="T2724" t="s">
        <v>54</v>
      </c>
      <c r="U2724" t="s">
        <v>307</v>
      </c>
      <c r="V2724" t="s">
        <v>126</v>
      </c>
      <c r="W2724" t="s">
        <v>57</v>
      </c>
      <c r="X2724" t="s">
        <v>223</v>
      </c>
      <c r="AA2724" t="s">
        <v>224</v>
      </c>
      <c r="AB2724" t="s">
        <v>130</v>
      </c>
      <c r="AC2724" t="s">
        <v>65</v>
      </c>
      <c r="AD2724" t="s">
        <v>0</v>
      </c>
      <c r="AE2724" t="s">
        <v>0</v>
      </c>
      <c r="AF2724" t="s">
        <v>0</v>
      </c>
      <c r="AG2724" t="s">
        <v>0</v>
      </c>
      <c r="AH2724" s="1" t="s">
        <v>0</v>
      </c>
      <c r="AI2724" s="1" t="s">
        <v>0</v>
      </c>
      <c r="AJ2724" s="1" t="s">
        <v>0</v>
      </c>
      <c r="AK2724" t="s">
        <v>61</v>
      </c>
      <c r="AL2724" t="s">
        <v>61</v>
      </c>
      <c r="AM2724" t="s">
        <v>0</v>
      </c>
      <c r="AN2724" t="s">
        <v>0</v>
      </c>
      <c r="AO2724" t="s">
        <v>0</v>
      </c>
      <c r="AP2724" t="s">
        <v>0</v>
      </c>
      <c r="AQ2724" t="s">
        <v>61</v>
      </c>
      <c r="AR2724" t="s">
        <v>0</v>
      </c>
      <c r="AS2724" t="str">
        <f>HYPERLINK("https://tessa.gazprom-neft.local/edo/card/d5381a76-e2ca-4076-9502-c53934f2f9c9", "https://tessa.gazprom-neft.local/edo/card/d5381a76-e2ca-4076-9502-c53934f2f9c9")</f>
        <v>https://tessa.gazprom-neft.local/edo/card/d5381a76-e2ca-4076-9502-c53934f2f9c9</v>
      </c>
    </row>
    <row r="2725" spans="1:45" x14ac:dyDescent="0.25">
      <c r="A2725" t="s">
        <v>44</v>
      </c>
      <c r="B2725" t="s">
        <v>9294</v>
      </c>
      <c r="C2725" t="s">
        <v>67</v>
      </c>
      <c r="F2725" s="18" t="s">
        <v>9295</v>
      </c>
      <c r="G2725" t="s">
        <v>9296</v>
      </c>
      <c r="H2725" t="s">
        <v>3027</v>
      </c>
      <c r="I2725" t="s">
        <v>0</v>
      </c>
      <c r="J2725" t="s">
        <v>936</v>
      </c>
      <c r="K2725" t="s">
        <v>47</v>
      </c>
      <c r="L2725" t="s">
        <v>48</v>
      </c>
      <c r="M2725" t="s">
        <v>0</v>
      </c>
      <c r="N2725" t="s">
        <v>10002</v>
      </c>
      <c r="O2725" t="s">
        <v>0</v>
      </c>
      <c r="P2725" t="s">
        <v>9292</v>
      </c>
      <c r="Q2725" t="s">
        <v>10003</v>
      </c>
      <c r="R2725" t="s">
        <v>1829</v>
      </c>
      <c r="S2725" t="s">
        <v>0</v>
      </c>
      <c r="T2725" t="s">
        <v>54</v>
      </c>
      <c r="U2725" t="s">
        <v>307</v>
      </c>
      <c r="V2725" t="s">
        <v>126</v>
      </c>
      <c r="W2725" t="s">
        <v>57</v>
      </c>
      <c r="X2725" t="s">
        <v>103</v>
      </c>
      <c r="AA2725" t="s">
        <v>224</v>
      </c>
      <c r="AB2725" t="s">
        <v>130</v>
      </c>
      <c r="AC2725" t="s">
        <v>65</v>
      </c>
      <c r="AD2725" t="s">
        <v>0</v>
      </c>
      <c r="AE2725" t="s">
        <v>0</v>
      </c>
      <c r="AF2725" t="s">
        <v>0</v>
      </c>
      <c r="AG2725" t="s">
        <v>0</v>
      </c>
      <c r="AH2725" s="1" t="s">
        <v>0</v>
      </c>
      <c r="AI2725" s="1" t="s">
        <v>0</v>
      </c>
      <c r="AJ2725" s="1" t="s">
        <v>0</v>
      </c>
      <c r="AK2725" t="s">
        <v>61</v>
      </c>
      <c r="AL2725" t="s">
        <v>61</v>
      </c>
      <c r="AM2725" t="s">
        <v>0</v>
      </c>
      <c r="AN2725" t="s">
        <v>0</v>
      </c>
      <c r="AO2725" t="s">
        <v>0</v>
      </c>
      <c r="AP2725" t="s">
        <v>0</v>
      </c>
      <c r="AQ2725" t="s">
        <v>61</v>
      </c>
      <c r="AR2725" t="s">
        <v>0</v>
      </c>
      <c r="AS2725" t="str">
        <f>HYPERLINK("https://tessa.gazprom-neft.local/edo/card/00264f1e-ea21-4648-b417-5f5fe7012cc6", "https://tessa.gazprom-neft.local/edo/card/00264f1e-ea21-4648-b417-5f5fe7012cc6")</f>
        <v>https://tessa.gazprom-neft.local/edo/card/00264f1e-ea21-4648-b417-5f5fe7012cc6</v>
      </c>
    </row>
    <row r="2726" spans="1:45" hidden="1" x14ac:dyDescent="0.25">
      <c r="A2726" t="s">
        <v>44</v>
      </c>
      <c r="B2726" t="s">
        <v>8792</v>
      </c>
      <c r="C2726" t="s">
        <v>67</v>
      </c>
      <c r="F2726" s="18" t="s">
        <v>8793</v>
      </c>
      <c r="G2726" t="s">
        <v>8794</v>
      </c>
      <c r="H2726" t="s">
        <v>0</v>
      </c>
      <c r="I2726" t="s">
        <v>10005</v>
      </c>
      <c r="J2726" t="s">
        <v>10005</v>
      </c>
      <c r="K2726" t="s">
        <v>47</v>
      </c>
      <c r="L2726" t="s">
        <v>96</v>
      </c>
      <c r="M2726" t="s">
        <v>0</v>
      </c>
      <c r="N2726" t="s">
        <v>10004</v>
      </c>
      <c r="O2726" t="s">
        <v>0</v>
      </c>
      <c r="P2726" t="s">
        <v>10006</v>
      </c>
      <c r="Q2726" t="s">
        <v>10007</v>
      </c>
      <c r="R2726" t="s">
        <v>2788</v>
      </c>
      <c r="S2726" t="s">
        <v>2788</v>
      </c>
      <c r="T2726" t="s">
        <v>54</v>
      </c>
      <c r="U2726" t="s">
        <v>55</v>
      </c>
      <c r="V2726" t="s">
        <v>56</v>
      </c>
      <c r="W2726" t="s">
        <v>74</v>
      </c>
      <c r="X2726" t="s">
        <v>58</v>
      </c>
      <c r="AA2726" t="s">
        <v>59</v>
      </c>
      <c r="AB2726" t="s">
        <v>1408</v>
      </c>
      <c r="AC2726" t="s">
        <v>79</v>
      </c>
      <c r="AD2726" t="s">
        <v>80</v>
      </c>
      <c r="AE2726" t="s">
        <v>118</v>
      </c>
      <c r="AF2726" t="s">
        <v>0</v>
      </c>
      <c r="AG2726" t="s">
        <v>0</v>
      </c>
      <c r="AH2726" s="1" t="s">
        <v>14163</v>
      </c>
      <c r="AI2726" s="1" t="s">
        <v>14163</v>
      </c>
      <c r="AJ2726" s="1">
        <v>0</v>
      </c>
      <c r="AK2726" t="s">
        <v>61</v>
      </c>
      <c r="AL2726" t="s">
        <v>61</v>
      </c>
      <c r="AM2726" t="s">
        <v>0</v>
      </c>
      <c r="AN2726" t="s">
        <v>0</v>
      </c>
      <c r="AO2726" t="s">
        <v>0</v>
      </c>
      <c r="AP2726" t="s">
        <v>0</v>
      </c>
      <c r="AQ2726" t="s">
        <v>61</v>
      </c>
      <c r="AR2726" t="s">
        <v>0</v>
      </c>
      <c r="AS2726" t="str">
        <f>HYPERLINK("https://tessa.gazprom-neft.local/edo/card/632f9304-8fcd-4e0e-84ff-5d84574d16de", "https://tessa.gazprom-neft.local/edo/card/632f9304-8fcd-4e0e-84ff-5d84574d16de")</f>
        <v>https://tessa.gazprom-neft.local/edo/card/632f9304-8fcd-4e0e-84ff-5d84574d16de</v>
      </c>
    </row>
    <row r="2727" spans="1:45" hidden="1" x14ac:dyDescent="0.25">
      <c r="A2727" t="s">
        <v>44</v>
      </c>
      <c r="B2727" t="s">
        <v>3172</v>
      </c>
      <c r="C2727" t="s">
        <v>67</v>
      </c>
      <c r="F2727" s="18" t="s">
        <v>3173</v>
      </c>
      <c r="G2727" t="s">
        <v>3174</v>
      </c>
      <c r="H2727" t="s">
        <v>7654</v>
      </c>
      <c r="I2727" t="s">
        <v>0</v>
      </c>
      <c r="J2727" t="s">
        <v>51</v>
      </c>
      <c r="K2727" t="s">
        <v>85</v>
      </c>
      <c r="L2727" t="s">
        <v>389</v>
      </c>
      <c r="M2727" t="s">
        <v>1252</v>
      </c>
      <c r="N2727" t="s">
        <v>10008</v>
      </c>
      <c r="O2727" t="s">
        <v>955</v>
      </c>
      <c r="P2727" t="s">
        <v>10009</v>
      </c>
      <c r="Q2727" t="s">
        <v>10010</v>
      </c>
      <c r="R2727" t="s">
        <v>590</v>
      </c>
      <c r="S2727" t="s">
        <v>394</v>
      </c>
      <c r="T2727" t="s">
        <v>54</v>
      </c>
      <c r="U2727" t="s">
        <v>591</v>
      </c>
      <c r="V2727" t="s">
        <v>126</v>
      </c>
      <c r="W2727" t="s">
        <v>57</v>
      </c>
      <c r="X2727" t="s">
        <v>58</v>
      </c>
      <c r="AA2727" t="s">
        <v>224</v>
      </c>
      <c r="AB2727" t="s">
        <v>387</v>
      </c>
      <c r="AC2727" t="s">
        <v>79</v>
      </c>
      <c r="AD2727" t="s">
        <v>80</v>
      </c>
      <c r="AE2727" t="s">
        <v>82</v>
      </c>
      <c r="AF2727" t="s">
        <v>0</v>
      </c>
      <c r="AG2727" t="s">
        <v>0</v>
      </c>
      <c r="AH2727" s="1" t="s">
        <v>14164</v>
      </c>
      <c r="AI2727" s="1" t="s">
        <v>14165</v>
      </c>
      <c r="AJ2727" s="1" t="s">
        <v>14166</v>
      </c>
      <c r="AK2727" t="s">
        <v>61</v>
      </c>
      <c r="AL2727" t="s">
        <v>61</v>
      </c>
      <c r="AM2727" t="s">
        <v>0</v>
      </c>
      <c r="AN2727" t="s">
        <v>0</v>
      </c>
      <c r="AO2727" t="s">
        <v>0</v>
      </c>
      <c r="AP2727" t="s">
        <v>0</v>
      </c>
      <c r="AQ2727" t="s">
        <v>61</v>
      </c>
      <c r="AR2727" t="s">
        <v>0</v>
      </c>
      <c r="AS2727" t="str">
        <f>HYPERLINK("https://tessa.gazprom-neft.local/edo/card/fada2da6-38b5-46d9-b103-9f9fb7c0aceb", "https://tessa.gazprom-neft.local/edo/card/fada2da6-38b5-46d9-b103-9f9fb7c0aceb")</f>
        <v>https://tessa.gazprom-neft.local/edo/card/fada2da6-38b5-46d9-b103-9f9fb7c0aceb</v>
      </c>
    </row>
    <row r="2728" spans="1:45" hidden="1" x14ac:dyDescent="0.25">
      <c r="A2728" t="s">
        <v>44</v>
      </c>
      <c r="B2728" t="s">
        <v>3172</v>
      </c>
      <c r="C2728" t="s">
        <v>67</v>
      </c>
      <c r="F2728" s="18" t="s">
        <v>3173</v>
      </c>
      <c r="G2728" t="s">
        <v>3174</v>
      </c>
      <c r="H2728" t="s">
        <v>7654</v>
      </c>
      <c r="I2728" t="s">
        <v>0</v>
      </c>
      <c r="J2728" t="s">
        <v>51</v>
      </c>
      <c r="K2728" t="s">
        <v>85</v>
      </c>
      <c r="L2728" t="s">
        <v>389</v>
      </c>
      <c r="M2728" t="s">
        <v>1252</v>
      </c>
      <c r="N2728" t="s">
        <v>10011</v>
      </c>
      <c r="O2728" t="s">
        <v>1098</v>
      </c>
      <c r="P2728" t="s">
        <v>10012</v>
      </c>
      <c r="Q2728" t="s">
        <v>10013</v>
      </c>
      <c r="R2728" t="s">
        <v>590</v>
      </c>
      <c r="S2728" t="s">
        <v>394</v>
      </c>
      <c r="T2728" t="s">
        <v>54</v>
      </c>
      <c r="U2728" t="s">
        <v>591</v>
      </c>
      <c r="V2728" t="s">
        <v>126</v>
      </c>
      <c r="W2728" t="s">
        <v>57</v>
      </c>
      <c r="X2728" t="s">
        <v>58</v>
      </c>
      <c r="AA2728" t="s">
        <v>224</v>
      </c>
      <c r="AB2728" t="s">
        <v>387</v>
      </c>
      <c r="AC2728" t="s">
        <v>79</v>
      </c>
      <c r="AD2728" t="s">
        <v>144</v>
      </c>
      <c r="AE2728" t="s">
        <v>82</v>
      </c>
      <c r="AF2728" t="s">
        <v>0</v>
      </c>
      <c r="AG2728" t="s">
        <v>0</v>
      </c>
      <c r="AH2728" s="1" t="s">
        <v>14164</v>
      </c>
      <c r="AI2728" s="1" t="s">
        <v>14165</v>
      </c>
      <c r="AJ2728" s="1" t="s">
        <v>14166</v>
      </c>
      <c r="AK2728" t="s">
        <v>61</v>
      </c>
      <c r="AL2728" t="s">
        <v>61</v>
      </c>
      <c r="AM2728" t="s">
        <v>0</v>
      </c>
      <c r="AN2728" t="s">
        <v>0</v>
      </c>
      <c r="AO2728" t="s">
        <v>0</v>
      </c>
      <c r="AP2728" t="s">
        <v>0</v>
      </c>
      <c r="AQ2728" t="s">
        <v>61</v>
      </c>
      <c r="AR2728" t="s">
        <v>0</v>
      </c>
      <c r="AS2728" t="str">
        <f>HYPERLINK("https://tessa.gazprom-neft.local/edo/card/ad845e9e-8fb7-460a-aa0b-6c40d08d5b39", "https://tessa.gazprom-neft.local/edo/card/ad845e9e-8fb7-460a-aa0b-6c40d08d5b39")</f>
        <v>https://tessa.gazprom-neft.local/edo/card/ad845e9e-8fb7-460a-aa0b-6c40d08d5b39</v>
      </c>
    </row>
    <row r="2729" spans="1:45" hidden="1" x14ac:dyDescent="0.25">
      <c r="A2729" t="s">
        <v>44</v>
      </c>
      <c r="B2729" t="s">
        <v>363</v>
      </c>
      <c r="C2729" t="s">
        <v>67</v>
      </c>
      <c r="F2729" s="18" t="s">
        <v>364</v>
      </c>
      <c r="G2729" t="s">
        <v>365</v>
      </c>
      <c r="H2729" t="s">
        <v>502</v>
      </c>
      <c r="I2729" t="s">
        <v>0</v>
      </c>
      <c r="J2729" t="s">
        <v>51</v>
      </c>
      <c r="K2729" t="s">
        <v>47</v>
      </c>
      <c r="L2729" t="s">
        <v>239</v>
      </c>
      <c r="M2729" t="s">
        <v>0</v>
      </c>
      <c r="N2729" t="s">
        <v>10014</v>
      </c>
      <c r="O2729" t="s">
        <v>0</v>
      </c>
      <c r="P2729" t="s">
        <v>10015</v>
      </c>
      <c r="Q2729" t="s">
        <v>10016</v>
      </c>
      <c r="R2729" t="s">
        <v>282</v>
      </c>
      <c r="S2729" t="s">
        <v>506</v>
      </c>
      <c r="T2729" t="s">
        <v>54</v>
      </c>
      <c r="U2729" t="s">
        <v>55</v>
      </c>
      <c r="V2729" t="s">
        <v>56</v>
      </c>
      <c r="W2729" t="s">
        <v>74</v>
      </c>
      <c r="X2729" t="s">
        <v>103</v>
      </c>
      <c r="AA2729" t="s">
        <v>0</v>
      </c>
      <c r="AB2729" t="s">
        <v>130</v>
      </c>
      <c r="AC2729" t="s">
        <v>65</v>
      </c>
      <c r="AD2729" t="s">
        <v>80</v>
      </c>
      <c r="AE2729" t="s">
        <v>0</v>
      </c>
      <c r="AF2729" t="s">
        <v>0</v>
      </c>
      <c r="AG2729" t="s">
        <v>0</v>
      </c>
      <c r="AH2729" s="1" t="s">
        <v>0</v>
      </c>
      <c r="AI2729" s="1" t="s">
        <v>0</v>
      </c>
      <c r="AJ2729" s="1" t="s">
        <v>0</v>
      </c>
      <c r="AK2729" t="s">
        <v>61</v>
      </c>
      <c r="AL2729" t="s">
        <v>61</v>
      </c>
      <c r="AM2729" t="s">
        <v>0</v>
      </c>
      <c r="AN2729" t="s">
        <v>0</v>
      </c>
      <c r="AO2729" t="s">
        <v>0</v>
      </c>
      <c r="AP2729" t="s">
        <v>0</v>
      </c>
      <c r="AQ2729" t="s">
        <v>61</v>
      </c>
      <c r="AR2729" t="s">
        <v>0</v>
      </c>
      <c r="AS2729" t="str">
        <f>HYPERLINK("https://tessa.gazprom-neft.local/edo/card/fad6e0a5-4b27-42d0-9bbe-f2a75616a360", "https://tessa.gazprom-neft.local/edo/card/fad6e0a5-4b27-42d0-9bbe-f2a75616a360")</f>
        <v>https://tessa.gazprom-neft.local/edo/card/fad6e0a5-4b27-42d0-9bbe-f2a75616a360</v>
      </c>
    </row>
    <row r="2730" spans="1:45" hidden="1" x14ac:dyDescent="0.25">
      <c r="A2730" t="s">
        <v>44</v>
      </c>
      <c r="B2730" t="s">
        <v>661</v>
      </c>
      <c r="C2730" t="s">
        <v>67</v>
      </c>
      <c r="F2730" s="18" t="s">
        <v>662</v>
      </c>
      <c r="G2730" t="s">
        <v>663</v>
      </c>
      <c r="H2730" t="s">
        <v>764</v>
      </c>
      <c r="I2730" t="s">
        <v>0</v>
      </c>
      <c r="J2730" t="s">
        <v>6486</v>
      </c>
      <c r="K2730" t="s">
        <v>47</v>
      </c>
      <c r="L2730" t="s">
        <v>763</v>
      </c>
      <c r="M2730" t="s">
        <v>0</v>
      </c>
      <c r="N2730" t="s">
        <v>10017</v>
      </c>
      <c r="O2730" t="s">
        <v>0</v>
      </c>
      <c r="P2730" t="s">
        <v>10018</v>
      </c>
      <c r="Q2730" t="s">
        <v>9844</v>
      </c>
      <c r="R2730" t="s">
        <v>768</v>
      </c>
      <c r="S2730" t="s">
        <v>714</v>
      </c>
      <c r="T2730" t="s">
        <v>54</v>
      </c>
      <c r="U2730" t="s">
        <v>283</v>
      </c>
      <c r="V2730" t="s">
        <v>168</v>
      </c>
      <c r="W2730" t="s">
        <v>74</v>
      </c>
      <c r="X2730" t="s">
        <v>103</v>
      </c>
      <c r="AA2730" t="s">
        <v>6641</v>
      </c>
      <c r="AB2730" t="s">
        <v>130</v>
      </c>
      <c r="AC2730" t="s">
        <v>79</v>
      </c>
      <c r="AD2730" t="s">
        <v>80</v>
      </c>
      <c r="AE2730" t="s">
        <v>82</v>
      </c>
      <c r="AF2730" t="s">
        <v>0</v>
      </c>
      <c r="AG2730" t="s">
        <v>0</v>
      </c>
      <c r="AH2730" s="1" t="s">
        <v>14167</v>
      </c>
      <c r="AI2730" s="1" t="s">
        <v>14168</v>
      </c>
      <c r="AJ2730" s="1" t="s">
        <v>14169</v>
      </c>
      <c r="AK2730" t="s">
        <v>61</v>
      </c>
      <c r="AL2730" t="s">
        <v>61</v>
      </c>
      <c r="AM2730" t="s">
        <v>0</v>
      </c>
      <c r="AN2730" t="s">
        <v>0</v>
      </c>
      <c r="AO2730" t="s">
        <v>0</v>
      </c>
      <c r="AP2730" t="s">
        <v>0</v>
      </c>
      <c r="AQ2730" t="s">
        <v>61</v>
      </c>
      <c r="AR2730" t="s">
        <v>0</v>
      </c>
      <c r="AS2730" t="str">
        <f>HYPERLINK("https://tessa.gazprom-neft.local/edo/card/a5ec2631-b09d-42f0-a9ab-fb2c9cc523ee", "https://tessa.gazprom-neft.local/edo/card/a5ec2631-b09d-42f0-a9ab-fb2c9cc523ee")</f>
        <v>https://tessa.gazprom-neft.local/edo/card/a5ec2631-b09d-42f0-a9ab-fb2c9cc523ee</v>
      </c>
    </row>
    <row r="2731" spans="1:45" hidden="1" x14ac:dyDescent="0.25">
      <c r="A2731" t="s">
        <v>44</v>
      </c>
      <c r="B2731" t="s">
        <v>565</v>
      </c>
      <c r="C2731" t="s">
        <v>67</v>
      </c>
      <c r="F2731" s="18" t="s">
        <v>653</v>
      </c>
      <c r="G2731" t="s">
        <v>567</v>
      </c>
      <c r="H2731" t="s">
        <v>0</v>
      </c>
      <c r="I2731" t="s">
        <v>10020</v>
      </c>
      <c r="J2731" t="s">
        <v>10020</v>
      </c>
      <c r="K2731" t="s">
        <v>85</v>
      </c>
      <c r="L2731" t="s">
        <v>86</v>
      </c>
      <c r="M2731" t="s">
        <v>289</v>
      </c>
      <c r="N2731" t="s">
        <v>10019</v>
      </c>
      <c r="O2731" t="s">
        <v>0</v>
      </c>
      <c r="P2731" t="s">
        <v>289</v>
      </c>
      <c r="Q2731" t="s">
        <v>780</v>
      </c>
      <c r="R2731" t="s">
        <v>540</v>
      </c>
      <c r="S2731" t="s">
        <v>0</v>
      </c>
      <c r="T2731" t="s">
        <v>54</v>
      </c>
      <c r="U2731" t="s">
        <v>541</v>
      </c>
      <c r="V2731" t="s">
        <v>56</v>
      </c>
      <c r="W2731" t="s">
        <v>57</v>
      </c>
      <c r="X2731" t="s">
        <v>223</v>
      </c>
      <c r="AA2731" t="s">
        <v>59</v>
      </c>
      <c r="AB2731" t="s">
        <v>300</v>
      </c>
      <c r="AC2731" t="s">
        <v>65</v>
      </c>
      <c r="AD2731" t="s">
        <v>144</v>
      </c>
      <c r="AE2731" t="s">
        <v>0</v>
      </c>
      <c r="AF2731" t="s">
        <v>0</v>
      </c>
      <c r="AG2731" t="s">
        <v>0</v>
      </c>
      <c r="AH2731" s="1" t="s">
        <v>0</v>
      </c>
      <c r="AI2731" s="1" t="s">
        <v>0</v>
      </c>
      <c r="AJ2731" s="1" t="s">
        <v>0</v>
      </c>
      <c r="AK2731" t="s">
        <v>61</v>
      </c>
      <c r="AL2731" t="s">
        <v>61</v>
      </c>
      <c r="AM2731" t="s">
        <v>0</v>
      </c>
      <c r="AN2731" t="s">
        <v>0</v>
      </c>
      <c r="AO2731" t="s">
        <v>0</v>
      </c>
      <c r="AP2731" t="s">
        <v>0</v>
      </c>
      <c r="AQ2731" t="s">
        <v>61</v>
      </c>
      <c r="AR2731" t="s">
        <v>0</v>
      </c>
      <c r="AS2731" t="str">
        <f>HYPERLINK("https://tessa.gazprom-neft.local/edo/card/91c9d41c-ac28-4556-b2c7-916928677ad5", "https://tessa.gazprom-neft.local/edo/card/91c9d41c-ac28-4556-b2c7-916928677ad5")</f>
        <v>https://tessa.gazprom-neft.local/edo/card/91c9d41c-ac28-4556-b2c7-916928677ad5</v>
      </c>
    </row>
    <row r="2732" spans="1:45" x14ac:dyDescent="0.25">
      <c r="A2732" t="s">
        <v>44</v>
      </c>
      <c r="B2732" t="s">
        <v>1386</v>
      </c>
      <c r="C2732" t="s">
        <v>67</v>
      </c>
      <c r="F2732" s="18" t="s">
        <v>1387</v>
      </c>
      <c r="G2732" t="s">
        <v>1388</v>
      </c>
      <c r="H2732" t="s">
        <v>10022</v>
      </c>
      <c r="I2732" t="s">
        <v>0</v>
      </c>
      <c r="J2732" t="s">
        <v>271</v>
      </c>
      <c r="K2732" t="s">
        <v>47</v>
      </c>
      <c r="L2732" t="s">
        <v>48</v>
      </c>
      <c r="M2732" t="s">
        <v>0</v>
      </c>
      <c r="N2732" t="s">
        <v>10021</v>
      </c>
      <c r="O2732" t="s">
        <v>0</v>
      </c>
      <c r="P2732" t="s">
        <v>10023</v>
      </c>
      <c r="Q2732" t="s">
        <v>10024</v>
      </c>
      <c r="R2732" t="s">
        <v>1083</v>
      </c>
      <c r="S2732" t="s">
        <v>1083</v>
      </c>
      <c r="T2732" t="s">
        <v>54</v>
      </c>
      <c r="U2732" t="s">
        <v>274</v>
      </c>
      <c r="V2732" t="s">
        <v>340</v>
      </c>
      <c r="W2732" t="s">
        <v>57</v>
      </c>
      <c r="X2732" t="s">
        <v>103</v>
      </c>
      <c r="AA2732" t="s">
        <v>341</v>
      </c>
      <c r="AB2732" t="s">
        <v>64</v>
      </c>
      <c r="AC2732" t="s">
        <v>65</v>
      </c>
      <c r="AD2732" t="s">
        <v>0</v>
      </c>
      <c r="AE2732" t="s">
        <v>0</v>
      </c>
      <c r="AF2732" t="s">
        <v>0</v>
      </c>
      <c r="AG2732" t="s">
        <v>0</v>
      </c>
      <c r="AH2732" s="1" t="s">
        <v>0</v>
      </c>
      <c r="AI2732" s="1" t="s">
        <v>0</v>
      </c>
      <c r="AJ2732" s="1" t="s">
        <v>0</v>
      </c>
      <c r="AK2732" t="s">
        <v>61</v>
      </c>
      <c r="AL2732" t="s">
        <v>61</v>
      </c>
      <c r="AM2732" t="s">
        <v>0</v>
      </c>
      <c r="AN2732" t="s">
        <v>0</v>
      </c>
      <c r="AO2732" t="s">
        <v>0</v>
      </c>
      <c r="AP2732" t="s">
        <v>0</v>
      </c>
      <c r="AQ2732" t="s">
        <v>61</v>
      </c>
      <c r="AR2732" t="s">
        <v>0</v>
      </c>
      <c r="AS2732" t="str">
        <f>HYPERLINK("https://tessa.gazprom-neft.local/edo/card/95f85546-b316-469c-86cb-f7a3282077fe", "https://tessa.gazprom-neft.local/edo/card/95f85546-b316-469c-86cb-f7a3282077fe")</f>
        <v>https://tessa.gazprom-neft.local/edo/card/95f85546-b316-469c-86cb-f7a3282077fe</v>
      </c>
    </row>
    <row r="2733" spans="1:45" hidden="1" x14ac:dyDescent="0.25">
      <c r="A2733" t="s">
        <v>44</v>
      </c>
      <c r="B2733" t="s">
        <v>2898</v>
      </c>
      <c r="C2733" t="s">
        <v>67</v>
      </c>
      <c r="F2733" s="18" t="s">
        <v>2899</v>
      </c>
      <c r="G2733" t="s">
        <v>2900</v>
      </c>
      <c r="H2733" t="s">
        <v>10026</v>
      </c>
      <c r="I2733" t="s">
        <v>0</v>
      </c>
      <c r="J2733" t="s">
        <v>51</v>
      </c>
      <c r="K2733" t="s">
        <v>85</v>
      </c>
      <c r="L2733" t="s">
        <v>389</v>
      </c>
      <c r="M2733" t="s">
        <v>1252</v>
      </c>
      <c r="N2733" t="s">
        <v>10025</v>
      </c>
      <c r="O2733" t="s">
        <v>1098</v>
      </c>
      <c r="P2733" t="s">
        <v>10027</v>
      </c>
      <c r="Q2733" t="s">
        <v>10028</v>
      </c>
      <c r="R2733" t="s">
        <v>590</v>
      </c>
      <c r="S2733" t="s">
        <v>394</v>
      </c>
      <c r="T2733" t="s">
        <v>54</v>
      </c>
      <c r="U2733" t="s">
        <v>591</v>
      </c>
      <c r="V2733" t="s">
        <v>126</v>
      </c>
      <c r="W2733" t="s">
        <v>57</v>
      </c>
      <c r="X2733" t="s">
        <v>58</v>
      </c>
      <c r="AA2733" t="s">
        <v>224</v>
      </c>
      <c r="AB2733" t="s">
        <v>387</v>
      </c>
      <c r="AC2733" t="s">
        <v>79</v>
      </c>
      <c r="AD2733" t="s">
        <v>144</v>
      </c>
      <c r="AE2733" t="s">
        <v>82</v>
      </c>
      <c r="AF2733" t="s">
        <v>0</v>
      </c>
      <c r="AG2733" t="s">
        <v>0</v>
      </c>
      <c r="AH2733" s="1" t="s">
        <v>14170</v>
      </c>
      <c r="AI2733" s="1" t="s">
        <v>14171</v>
      </c>
      <c r="AJ2733" s="1" t="s">
        <v>14172</v>
      </c>
      <c r="AK2733" t="s">
        <v>61</v>
      </c>
      <c r="AL2733" t="s">
        <v>61</v>
      </c>
      <c r="AM2733" t="s">
        <v>0</v>
      </c>
      <c r="AN2733" t="s">
        <v>0</v>
      </c>
      <c r="AO2733" t="s">
        <v>0</v>
      </c>
      <c r="AP2733" t="s">
        <v>0</v>
      </c>
      <c r="AQ2733" t="s">
        <v>61</v>
      </c>
      <c r="AR2733" t="s">
        <v>0</v>
      </c>
      <c r="AS2733" t="str">
        <f>HYPERLINK("https://tessa.gazprom-neft.local/edo/card/84eba73e-425c-4b2b-874e-ad89d87b58ce", "https://tessa.gazprom-neft.local/edo/card/84eba73e-425c-4b2b-874e-ad89d87b58ce")</f>
        <v>https://tessa.gazprom-neft.local/edo/card/84eba73e-425c-4b2b-874e-ad89d87b58ce</v>
      </c>
    </row>
    <row r="2734" spans="1:45" hidden="1" x14ac:dyDescent="0.25">
      <c r="A2734" t="s">
        <v>44</v>
      </c>
      <c r="B2734" t="s">
        <v>2898</v>
      </c>
      <c r="C2734" t="s">
        <v>67</v>
      </c>
      <c r="F2734" s="18" t="s">
        <v>2899</v>
      </c>
      <c r="G2734" t="s">
        <v>2900</v>
      </c>
      <c r="H2734" t="s">
        <v>10030</v>
      </c>
      <c r="I2734" t="s">
        <v>0</v>
      </c>
      <c r="J2734" t="s">
        <v>51</v>
      </c>
      <c r="K2734" t="s">
        <v>85</v>
      </c>
      <c r="L2734" t="s">
        <v>389</v>
      </c>
      <c r="M2734" t="s">
        <v>1252</v>
      </c>
      <c r="N2734" t="s">
        <v>10029</v>
      </c>
      <c r="O2734" t="s">
        <v>936</v>
      </c>
      <c r="P2734" t="s">
        <v>10031</v>
      </c>
      <c r="Q2734" t="s">
        <v>10032</v>
      </c>
      <c r="R2734" t="s">
        <v>590</v>
      </c>
      <c r="S2734" t="s">
        <v>394</v>
      </c>
      <c r="T2734" t="s">
        <v>54</v>
      </c>
      <c r="U2734" t="s">
        <v>591</v>
      </c>
      <c r="V2734" t="s">
        <v>126</v>
      </c>
      <c r="W2734" t="s">
        <v>57</v>
      </c>
      <c r="X2734" t="s">
        <v>58</v>
      </c>
      <c r="AA2734" t="s">
        <v>224</v>
      </c>
      <c r="AB2734" t="s">
        <v>387</v>
      </c>
      <c r="AC2734" t="s">
        <v>79</v>
      </c>
      <c r="AD2734" t="s">
        <v>144</v>
      </c>
      <c r="AE2734" t="s">
        <v>82</v>
      </c>
      <c r="AF2734" t="s">
        <v>0</v>
      </c>
      <c r="AG2734" t="s">
        <v>0</v>
      </c>
      <c r="AH2734" s="1" t="s">
        <v>14173</v>
      </c>
      <c r="AI2734" s="1" t="s">
        <v>14174</v>
      </c>
      <c r="AJ2734" s="1" t="s">
        <v>14175</v>
      </c>
      <c r="AK2734" t="s">
        <v>61</v>
      </c>
      <c r="AL2734" t="s">
        <v>61</v>
      </c>
      <c r="AM2734" t="s">
        <v>0</v>
      </c>
      <c r="AN2734" t="s">
        <v>0</v>
      </c>
      <c r="AO2734" t="s">
        <v>0</v>
      </c>
      <c r="AP2734" t="s">
        <v>0</v>
      </c>
      <c r="AQ2734" t="s">
        <v>61</v>
      </c>
      <c r="AR2734" t="s">
        <v>0</v>
      </c>
      <c r="AS2734" t="str">
        <f>HYPERLINK("https://tessa.gazprom-neft.local/edo/card/fc8942e1-b08f-40dd-8b9a-55a741fbe367", "https://tessa.gazprom-neft.local/edo/card/fc8942e1-b08f-40dd-8b9a-55a741fbe367")</f>
        <v>https://tessa.gazprom-neft.local/edo/card/fc8942e1-b08f-40dd-8b9a-55a741fbe367</v>
      </c>
    </row>
    <row r="2735" spans="1:45" hidden="1" x14ac:dyDescent="0.25">
      <c r="A2735" t="s">
        <v>44</v>
      </c>
      <c r="B2735" t="s">
        <v>275</v>
      </c>
      <c r="C2735" t="s">
        <v>67</v>
      </c>
      <c r="F2735" s="18" t="s">
        <v>276</v>
      </c>
      <c r="G2735" t="s">
        <v>277</v>
      </c>
      <c r="H2735" t="s">
        <v>0</v>
      </c>
      <c r="I2735" t="s">
        <v>4153</v>
      </c>
      <c r="J2735" t="s">
        <v>4153</v>
      </c>
      <c r="K2735" t="s">
        <v>47</v>
      </c>
      <c r="L2735" t="s">
        <v>96</v>
      </c>
      <c r="M2735" t="s">
        <v>0</v>
      </c>
      <c r="N2735" t="s">
        <v>10033</v>
      </c>
      <c r="O2735" t="s">
        <v>0</v>
      </c>
      <c r="P2735" t="s">
        <v>555</v>
      </c>
      <c r="Q2735" t="s">
        <v>10034</v>
      </c>
      <c r="R2735" t="s">
        <v>293</v>
      </c>
      <c r="S2735" t="s">
        <v>293</v>
      </c>
      <c r="T2735" t="s">
        <v>54</v>
      </c>
      <c r="U2735" t="s">
        <v>362</v>
      </c>
      <c r="V2735" t="s">
        <v>295</v>
      </c>
      <c r="W2735" t="s">
        <v>57</v>
      </c>
      <c r="X2735" t="s">
        <v>58</v>
      </c>
      <c r="AA2735" t="s">
        <v>296</v>
      </c>
      <c r="AB2735" t="s">
        <v>500</v>
      </c>
      <c r="AC2735" t="s">
        <v>79</v>
      </c>
      <c r="AD2735" t="s">
        <v>80</v>
      </c>
      <c r="AE2735" t="s">
        <v>82</v>
      </c>
      <c r="AF2735" t="s">
        <v>0</v>
      </c>
      <c r="AG2735" t="s">
        <v>0</v>
      </c>
      <c r="AH2735" s="1" t="s">
        <v>14176</v>
      </c>
      <c r="AI2735" s="1" t="s">
        <v>14177</v>
      </c>
      <c r="AJ2735" s="1" t="s">
        <v>14178</v>
      </c>
      <c r="AK2735" t="s">
        <v>61</v>
      </c>
      <c r="AL2735" t="s">
        <v>61</v>
      </c>
      <c r="AM2735" t="s">
        <v>0</v>
      </c>
      <c r="AN2735" t="s">
        <v>0</v>
      </c>
      <c r="AO2735" t="s">
        <v>0</v>
      </c>
      <c r="AP2735" t="s">
        <v>0</v>
      </c>
      <c r="AQ2735" t="s">
        <v>61</v>
      </c>
      <c r="AR2735" t="s">
        <v>0</v>
      </c>
      <c r="AS2735" t="str">
        <f>HYPERLINK("https://tessa.gazprom-neft.local/edo/card/e6fc8d92-3ef3-423d-a054-b5ce6a13284c", "https://tessa.gazprom-neft.local/edo/card/e6fc8d92-3ef3-423d-a054-b5ce6a13284c")</f>
        <v>https://tessa.gazprom-neft.local/edo/card/e6fc8d92-3ef3-423d-a054-b5ce6a13284c</v>
      </c>
    </row>
    <row r="2736" spans="1:45" x14ac:dyDescent="0.25">
      <c r="A2736" t="s">
        <v>44</v>
      </c>
      <c r="B2736" t="s">
        <v>1495</v>
      </c>
      <c r="C2736" t="s">
        <v>67</v>
      </c>
      <c r="F2736" s="18" t="s">
        <v>1496</v>
      </c>
      <c r="G2736" t="s">
        <v>1497</v>
      </c>
      <c r="H2736" t="s">
        <v>1492</v>
      </c>
      <c r="I2736" t="s">
        <v>0</v>
      </c>
      <c r="J2736" t="s">
        <v>271</v>
      </c>
      <c r="K2736" t="s">
        <v>47</v>
      </c>
      <c r="L2736" t="s">
        <v>48</v>
      </c>
      <c r="M2736" t="s">
        <v>0</v>
      </c>
      <c r="N2736" t="s">
        <v>10035</v>
      </c>
      <c r="O2736" t="s">
        <v>0</v>
      </c>
      <c r="P2736" t="s">
        <v>10036</v>
      </c>
      <c r="Q2736" t="s">
        <v>10037</v>
      </c>
      <c r="R2736" t="s">
        <v>505</v>
      </c>
      <c r="S2736" t="s">
        <v>505</v>
      </c>
      <c r="T2736" t="s">
        <v>54</v>
      </c>
      <c r="U2736" t="s">
        <v>210</v>
      </c>
      <c r="V2736" t="s">
        <v>126</v>
      </c>
      <c r="W2736" t="s">
        <v>74</v>
      </c>
      <c r="X2736" t="s">
        <v>103</v>
      </c>
      <c r="AA2736" t="s">
        <v>224</v>
      </c>
      <c r="AB2736" t="s">
        <v>1498</v>
      </c>
      <c r="AC2736" t="s">
        <v>65</v>
      </c>
      <c r="AD2736" t="s">
        <v>80</v>
      </c>
      <c r="AE2736" t="s">
        <v>0</v>
      </c>
      <c r="AF2736" t="s">
        <v>0</v>
      </c>
      <c r="AG2736" t="s">
        <v>0</v>
      </c>
      <c r="AH2736" s="1" t="s">
        <v>0</v>
      </c>
      <c r="AI2736" s="1" t="s">
        <v>0</v>
      </c>
      <c r="AJ2736" s="1" t="s">
        <v>0</v>
      </c>
      <c r="AK2736" t="s">
        <v>61</v>
      </c>
      <c r="AL2736" t="s">
        <v>61</v>
      </c>
      <c r="AM2736" t="s">
        <v>0</v>
      </c>
      <c r="AN2736" t="s">
        <v>0</v>
      </c>
      <c r="AO2736" t="s">
        <v>0</v>
      </c>
      <c r="AP2736" t="s">
        <v>0</v>
      </c>
      <c r="AQ2736" t="s">
        <v>61</v>
      </c>
      <c r="AR2736" t="s">
        <v>0</v>
      </c>
      <c r="AS2736" t="str">
        <f>HYPERLINK("https://tessa.gazprom-neft.local/edo/card/0471ce1a-e46a-43e9-8bf0-51d54abc456b", "https://tessa.gazprom-neft.local/edo/card/0471ce1a-e46a-43e9-8bf0-51d54abc456b")</f>
        <v>https://tessa.gazprom-neft.local/edo/card/0471ce1a-e46a-43e9-8bf0-51d54abc456b</v>
      </c>
    </row>
    <row r="2737" spans="1:45" hidden="1" x14ac:dyDescent="0.25">
      <c r="A2737" t="s">
        <v>44</v>
      </c>
      <c r="B2737" t="s">
        <v>275</v>
      </c>
      <c r="C2737" t="s">
        <v>67</v>
      </c>
      <c r="F2737" s="18" t="s">
        <v>276</v>
      </c>
      <c r="G2737" t="s">
        <v>277</v>
      </c>
      <c r="H2737" t="s">
        <v>0</v>
      </c>
      <c r="I2737" t="s">
        <v>10039</v>
      </c>
      <c r="J2737" t="s">
        <v>10039</v>
      </c>
      <c r="K2737" t="s">
        <v>47</v>
      </c>
      <c r="L2737" t="s">
        <v>96</v>
      </c>
      <c r="M2737" t="s">
        <v>0</v>
      </c>
      <c r="N2737" t="s">
        <v>10038</v>
      </c>
      <c r="O2737" t="s">
        <v>0</v>
      </c>
      <c r="P2737" t="s">
        <v>10040</v>
      </c>
      <c r="Q2737" t="s">
        <v>10041</v>
      </c>
      <c r="R2737" t="s">
        <v>1083</v>
      </c>
      <c r="S2737" t="s">
        <v>1083</v>
      </c>
      <c r="T2737" t="s">
        <v>54</v>
      </c>
      <c r="U2737" t="s">
        <v>274</v>
      </c>
      <c r="V2737" t="s">
        <v>340</v>
      </c>
      <c r="W2737" t="s">
        <v>57</v>
      </c>
      <c r="X2737" t="s">
        <v>103</v>
      </c>
      <c r="AA2737" t="s">
        <v>341</v>
      </c>
      <c r="AB2737" t="s">
        <v>64</v>
      </c>
      <c r="AC2737" t="s">
        <v>278</v>
      </c>
      <c r="AD2737" t="s">
        <v>80</v>
      </c>
      <c r="AE2737" t="s">
        <v>82</v>
      </c>
      <c r="AF2737" t="s">
        <v>0</v>
      </c>
      <c r="AG2737" t="s">
        <v>0</v>
      </c>
      <c r="AH2737" s="1" t="s">
        <v>12026</v>
      </c>
      <c r="AI2737" s="1" t="s">
        <v>12027</v>
      </c>
      <c r="AJ2737" s="1" t="s">
        <v>12028</v>
      </c>
      <c r="AK2737" t="s">
        <v>61</v>
      </c>
      <c r="AL2737" t="s">
        <v>61</v>
      </c>
      <c r="AM2737" t="s">
        <v>0</v>
      </c>
      <c r="AN2737" t="s">
        <v>0</v>
      </c>
      <c r="AO2737" t="s">
        <v>0</v>
      </c>
      <c r="AP2737" t="s">
        <v>0</v>
      </c>
      <c r="AQ2737" t="s">
        <v>61</v>
      </c>
      <c r="AR2737" t="s">
        <v>0</v>
      </c>
      <c r="AS2737" t="str">
        <f>HYPERLINK("https://tessa.gazprom-neft.local/edo/card/de0873f3-0c15-4a24-b3dd-1474c9d3b991", "https://tessa.gazprom-neft.local/edo/card/de0873f3-0c15-4a24-b3dd-1474c9d3b991")</f>
        <v>https://tessa.gazprom-neft.local/edo/card/de0873f3-0c15-4a24-b3dd-1474c9d3b991</v>
      </c>
    </row>
    <row r="2738" spans="1:45" x14ac:dyDescent="0.25">
      <c r="A2738" t="s">
        <v>44</v>
      </c>
      <c r="B2738" t="s">
        <v>705</v>
      </c>
      <c r="C2738" t="s">
        <v>67</v>
      </c>
      <c r="F2738" s="18" t="s">
        <v>706</v>
      </c>
      <c r="G2738" t="s">
        <v>707</v>
      </c>
      <c r="H2738" t="s">
        <v>10043</v>
      </c>
      <c r="I2738" t="s">
        <v>0</v>
      </c>
      <c r="J2738" t="s">
        <v>70</v>
      </c>
      <c r="K2738" t="s">
        <v>47</v>
      </c>
      <c r="L2738" t="s">
        <v>48</v>
      </c>
      <c r="M2738" t="s">
        <v>0</v>
      </c>
      <c r="N2738" t="s">
        <v>10042</v>
      </c>
      <c r="O2738" t="s">
        <v>0</v>
      </c>
      <c r="P2738" t="s">
        <v>10044</v>
      </c>
      <c r="Q2738" t="s">
        <v>10045</v>
      </c>
      <c r="R2738" t="s">
        <v>282</v>
      </c>
      <c r="S2738" t="s">
        <v>0</v>
      </c>
      <c r="T2738" t="s">
        <v>54</v>
      </c>
      <c r="U2738" t="s">
        <v>55</v>
      </c>
      <c r="V2738" t="s">
        <v>56</v>
      </c>
      <c r="W2738" t="s">
        <v>74</v>
      </c>
      <c r="X2738" t="s">
        <v>103</v>
      </c>
      <c r="AA2738" t="s">
        <v>0</v>
      </c>
      <c r="AB2738" t="s">
        <v>130</v>
      </c>
      <c r="AC2738" t="s">
        <v>65</v>
      </c>
      <c r="AD2738" t="s">
        <v>0</v>
      </c>
      <c r="AE2738" t="s">
        <v>0</v>
      </c>
      <c r="AF2738" t="s">
        <v>0</v>
      </c>
      <c r="AG2738" t="s">
        <v>0</v>
      </c>
      <c r="AH2738" s="1" t="s">
        <v>0</v>
      </c>
      <c r="AI2738" s="1" t="s">
        <v>0</v>
      </c>
      <c r="AJ2738" s="1" t="s">
        <v>0</v>
      </c>
      <c r="AK2738" t="s">
        <v>61</v>
      </c>
      <c r="AL2738" t="s">
        <v>61</v>
      </c>
      <c r="AM2738" t="s">
        <v>0</v>
      </c>
      <c r="AN2738" t="s">
        <v>0</v>
      </c>
      <c r="AO2738" t="s">
        <v>0</v>
      </c>
      <c r="AP2738" t="s">
        <v>0</v>
      </c>
      <c r="AQ2738" t="s">
        <v>61</v>
      </c>
      <c r="AR2738" t="s">
        <v>0</v>
      </c>
      <c r="AS2738" t="str">
        <f>HYPERLINK("https://tessa.gazprom-neft.local/edo/card/89773105-2a55-47e1-89ef-1704f8478093", "https://tessa.gazprom-neft.local/edo/card/89773105-2a55-47e1-89ef-1704f8478093")</f>
        <v>https://tessa.gazprom-neft.local/edo/card/89773105-2a55-47e1-89ef-1704f8478093</v>
      </c>
    </row>
    <row r="2739" spans="1:45" x14ac:dyDescent="0.25">
      <c r="A2739" t="s">
        <v>44</v>
      </c>
      <c r="B2739" t="s">
        <v>5464</v>
      </c>
      <c r="C2739" t="s">
        <v>67</v>
      </c>
      <c r="F2739" s="18" t="s">
        <v>5465</v>
      </c>
      <c r="G2739" t="s">
        <v>5466</v>
      </c>
      <c r="H2739" t="s">
        <v>5471</v>
      </c>
      <c r="I2739" t="s">
        <v>0</v>
      </c>
      <c r="J2739" t="s">
        <v>271</v>
      </c>
      <c r="K2739" t="s">
        <v>47</v>
      </c>
      <c r="L2739" t="s">
        <v>48</v>
      </c>
      <c r="M2739" t="s">
        <v>0</v>
      </c>
      <c r="N2739" t="s">
        <v>10046</v>
      </c>
      <c r="O2739" t="s">
        <v>0</v>
      </c>
      <c r="P2739" t="s">
        <v>10047</v>
      </c>
      <c r="Q2739" t="s">
        <v>10048</v>
      </c>
      <c r="R2739" t="s">
        <v>540</v>
      </c>
      <c r="S2739" t="s">
        <v>10049</v>
      </c>
      <c r="T2739" t="s">
        <v>54</v>
      </c>
      <c r="U2739" t="s">
        <v>541</v>
      </c>
      <c r="V2739" t="s">
        <v>56</v>
      </c>
      <c r="W2739" t="s">
        <v>57</v>
      </c>
      <c r="X2739" t="s">
        <v>103</v>
      </c>
      <c r="AA2739" t="s">
        <v>59</v>
      </c>
      <c r="AB2739" t="s">
        <v>64</v>
      </c>
      <c r="AC2739" t="s">
        <v>65</v>
      </c>
      <c r="AD2739" t="s">
        <v>80</v>
      </c>
      <c r="AE2739" t="s">
        <v>0</v>
      </c>
      <c r="AF2739" t="s">
        <v>0</v>
      </c>
      <c r="AG2739" t="s">
        <v>0</v>
      </c>
      <c r="AH2739" s="1" t="s">
        <v>0</v>
      </c>
      <c r="AI2739" s="1" t="s">
        <v>0</v>
      </c>
      <c r="AJ2739" s="1" t="s">
        <v>0</v>
      </c>
      <c r="AK2739" t="s">
        <v>61</v>
      </c>
      <c r="AL2739" t="s">
        <v>61</v>
      </c>
      <c r="AM2739" t="s">
        <v>0</v>
      </c>
      <c r="AN2739" t="s">
        <v>0</v>
      </c>
      <c r="AO2739" t="s">
        <v>0</v>
      </c>
      <c r="AP2739" t="s">
        <v>0</v>
      </c>
      <c r="AQ2739" t="s">
        <v>61</v>
      </c>
      <c r="AR2739" t="s">
        <v>0</v>
      </c>
      <c r="AS2739" t="str">
        <f>HYPERLINK("https://tessa.gazprom-neft.local/edo/card/acd3bb3c-f5de-4f3a-a2e3-e51b6a63894d", "https://tessa.gazprom-neft.local/edo/card/acd3bb3c-f5de-4f3a-a2e3-e51b6a63894d")</f>
        <v>https://tessa.gazprom-neft.local/edo/card/acd3bb3c-f5de-4f3a-a2e3-e51b6a63894d</v>
      </c>
    </row>
    <row r="2740" spans="1:45" x14ac:dyDescent="0.25">
      <c r="A2740" t="s">
        <v>44</v>
      </c>
      <c r="B2740" t="s">
        <v>10051</v>
      </c>
      <c r="C2740" t="s">
        <v>67</v>
      </c>
      <c r="F2740" s="18" t="s">
        <v>10052</v>
      </c>
      <c r="G2740" t="s">
        <v>10053</v>
      </c>
      <c r="H2740" t="s">
        <v>9919</v>
      </c>
      <c r="I2740" t="s">
        <v>0</v>
      </c>
      <c r="J2740" t="s">
        <v>955</v>
      </c>
      <c r="K2740" t="s">
        <v>47</v>
      </c>
      <c r="L2740" t="s">
        <v>48</v>
      </c>
      <c r="M2740" t="s">
        <v>0</v>
      </c>
      <c r="N2740" t="s">
        <v>10050</v>
      </c>
      <c r="O2740" t="s">
        <v>0</v>
      </c>
      <c r="P2740" t="s">
        <v>86</v>
      </c>
      <c r="Q2740" t="s">
        <v>7391</v>
      </c>
      <c r="R2740" t="s">
        <v>836</v>
      </c>
      <c r="S2740" t="s">
        <v>836</v>
      </c>
      <c r="T2740" t="s">
        <v>54</v>
      </c>
      <c r="U2740" t="s">
        <v>294</v>
      </c>
      <c r="V2740" t="s">
        <v>295</v>
      </c>
      <c r="W2740" t="s">
        <v>57</v>
      </c>
      <c r="X2740" t="s">
        <v>223</v>
      </c>
      <c r="AA2740" t="s">
        <v>296</v>
      </c>
      <c r="AB2740" t="s">
        <v>64</v>
      </c>
      <c r="AC2740" t="s">
        <v>65</v>
      </c>
      <c r="AD2740" t="s">
        <v>0</v>
      </c>
      <c r="AE2740" t="s">
        <v>0</v>
      </c>
      <c r="AF2740" t="s">
        <v>0</v>
      </c>
      <c r="AG2740" t="s">
        <v>0</v>
      </c>
      <c r="AH2740" s="1" t="s">
        <v>0</v>
      </c>
      <c r="AI2740" s="1" t="s">
        <v>0</v>
      </c>
      <c r="AJ2740" s="1" t="s">
        <v>0</v>
      </c>
      <c r="AK2740" t="s">
        <v>61</v>
      </c>
      <c r="AL2740" t="s">
        <v>61</v>
      </c>
      <c r="AM2740" t="s">
        <v>0</v>
      </c>
      <c r="AN2740" t="s">
        <v>0</v>
      </c>
      <c r="AO2740" t="s">
        <v>0</v>
      </c>
      <c r="AP2740" t="s">
        <v>0</v>
      </c>
      <c r="AQ2740" t="s">
        <v>61</v>
      </c>
      <c r="AR2740" t="s">
        <v>0</v>
      </c>
      <c r="AS2740" t="str">
        <f>HYPERLINK("https://tessa.gazprom-neft.local/edo/card/b3029124-71c5-40f4-8b07-d1363ce0fd13", "https://tessa.gazprom-neft.local/edo/card/b3029124-71c5-40f4-8b07-d1363ce0fd13")</f>
        <v>https://tessa.gazprom-neft.local/edo/card/b3029124-71c5-40f4-8b07-d1363ce0fd13</v>
      </c>
    </row>
    <row r="2741" spans="1:45" hidden="1" x14ac:dyDescent="0.25">
      <c r="A2741" t="s">
        <v>44</v>
      </c>
      <c r="B2741" t="s">
        <v>75</v>
      </c>
      <c r="C2741" t="s">
        <v>67</v>
      </c>
      <c r="F2741" s="18" t="s">
        <v>76</v>
      </c>
      <c r="G2741" t="s">
        <v>77</v>
      </c>
      <c r="H2741" t="s">
        <v>68</v>
      </c>
      <c r="I2741" t="s">
        <v>0</v>
      </c>
      <c r="J2741" t="s">
        <v>872</v>
      </c>
      <c r="K2741" t="s">
        <v>47</v>
      </c>
      <c r="L2741" t="s">
        <v>239</v>
      </c>
      <c r="M2741" t="s">
        <v>0</v>
      </c>
      <c r="N2741" t="s">
        <v>10054</v>
      </c>
      <c r="O2741" t="s">
        <v>0</v>
      </c>
      <c r="P2741" t="s">
        <v>9867</v>
      </c>
      <c r="Q2741" t="s">
        <v>10055</v>
      </c>
      <c r="R2741" t="s">
        <v>72</v>
      </c>
      <c r="S2741" t="s">
        <v>0</v>
      </c>
      <c r="T2741" t="s">
        <v>54</v>
      </c>
      <c r="U2741" t="s">
        <v>73</v>
      </c>
      <c r="V2741" t="s">
        <v>56</v>
      </c>
      <c r="W2741" t="s">
        <v>74</v>
      </c>
      <c r="X2741" t="s">
        <v>103</v>
      </c>
      <c r="AA2741" t="s">
        <v>59</v>
      </c>
      <c r="AB2741" t="s">
        <v>78</v>
      </c>
      <c r="AC2741" t="s">
        <v>79</v>
      </c>
      <c r="AD2741" t="s">
        <v>80</v>
      </c>
      <c r="AE2741" t="s">
        <v>82</v>
      </c>
      <c r="AF2741" t="s">
        <v>0</v>
      </c>
      <c r="AG2741" t="s">
        <v>0</v>
      </c>
      <c r="AH2741" s="1" t="s">
        <v>14179</v>
      </c>
      <c r="AI2741" s="1" t="s">
        <v>14180</v>
      </c>
      <c r="AJ2741" s="1" t="s">
        <v>14181</v>
      </c>
      <c r="AK2741" t="s">
        <v>61</v>
      </c>
      <c r="AL2741" t="s">
        <v>61</v>
      </c>
      <c r="AM2741" t="s">
        <v>0</v>
      </c>
      <c r="AN2741" t="s">
        <v>0</v>
      </c>
      <c r="AO2741" t="s">
        <v>0</v>
      </c>
      <c r="AP2741" t="s">
        <v>0</v>
      </c>
      <c r="AQ2741" t="s">
        <v>61</v>
      </c>
      <c r="AR2741" t="s">
        <v>0</v>
      </c>
      <c r="AS2741" t="str">
        <f>HYPERLINK("https://tessa.gazprom-neft.local/edo/card/eb109d9d-ce25-4f66-9a3a-9414e9986f94", "https://tessa.gazprom-neft.local/edo/card/eb109d9d-ce25-4f66-9a3a-9414e9986f94")</f>
        <v>https://tessa.gazprom-neft.local/edo/card/eb109d9d-ce25-4f66-9a3a-9414e9986f94</v>
      </c>
    </row>
    <row r="2742" spans="1:45" x14ac:dyDescent="0.25">
      <c r="A2742" t="s">
        <v>44</v>
      </c>
      <c r="B2742" t="s">
        <v>284</v>
      </c>
      <c r="C2742" t="s">
        <v>67</v>
      </c>
      <c r="F2742" s="18" t="s">
        <v>2663</v>
      </c>
      <c r="G2742" t="s">
        <v>286</v>
      </c>
      <c r="H2742" t="s">
        <v>770</v>
      </c>
      <c r="I2742" t="s">
        <v>0</v>
      </c>
      <c r="J2742" t="s">
        <v>156</v>
      </c>
      <c r="K2742" t="s">
        <v>85</v>
      </c>
      <c r="L2742" t="s">
        <v>48</v>
      </c>
      <c r="M2742" t="s">
        <v>2128</v>
      </c>
      <c r="N2742" t="s">
        <v>10056</v>
      </c>
      <c r="O2742" t="s">
        <v>0</v>
      </c>
      <c r="P2742" t="s">
        <v>2128</v>
      </c>
      <c r="Q2742" t="s">
        <v>2177</v>
      </c>
      <c r="R2742" t="s">
        <v>198</v>
      </c>
      <c r="S2742" t="s">
        <v>198</v>
      </c>
      <c r="T2742" t="s">
        <v>54</v>
      </c>
      <c r="U2742" t="s">
        <v>199</v>
      </c>
      <c r="V2742" t="s">
        <v>126</v>
      </c>
      <c r="W2742" t="s">
        <v>57</v>
      </c>
      <c r="X2742" t="s">
        <v>58</v>
      </c>
      <c r="AA2742" t="s">
        <v>224</v>
      </c>
      <c r="AB2742" t="s">
        <v>423</v>
      </c>
      <c r="AC2742" t="s">
        <v>65</v>
      </c>
      <c r="AD2742" t="s">
        <v>144</v>
      </c>
      <c r="AE2742" t="s">
        <v>0</v>
      </c>
      <c r="AF2742" t="s">
        <v>0</v>
      </c>
      <c r="AG2742" t="s">
        <v>0</v>
      </c>
      <c r="AH2742" s="1" t="s">
        <v>0</v>
      </c>
      <c r="AI2742" s="1" t="s">
        <v>0</v>
      </c>
      <c r="AJ2742" s="1" t="s">
        <v>0</v>
      </c>
      <c r="AK2742" t="s">
        <v>61</v>
      </c>
      <c r="AL2742" t="s">
        <v>61</v>
      </c>
      <c r="AM2742" t="s">
        <v>0</v>
      </c>
      <c r="AN2742" t="s">
        <v>0</v>
      </c>
      <c r="AO2742" t="s">
        <v>0</v>
      </c>
      <c r="AP2742" t="s">
        <v>0</v>
      </c>
      <c r="AQ2742" t="s">
        <v>61</v>
      </c>
      <c r="AR2742" t="s">
        <v>0</v>
      </c>
      <c r="AS2742" t="str">
        <f>HYPERLINK("https://tessa.gazprom-neft.local/edo/card/ea35fa7f-6407-4737-9c88-ca20284a4dd0", "https://tessa.gazprom-neft.local/edo/card/ea35fa7f-6407-4737-9c88-ca20284a4dd0")</f>
        <v>https://tessa.gazprom-neft.local/edo/card/ea35fa7f-6407-4737-9c88-ca20284a4dd0</v>
      </c>
    </row>
    <row r="2743" spans="1:45" x14ac:dyDescent="0.25">
      <c r="A2743" t="s">
        <v>44</v>
      </c>
      <c r="B2743" t="s">
        <v>1396</v>
      </c>
      <c r="C2743" t="s">
        <v>67</v>
      </c>
      <c r="F2743" s="18" t="s">
        <v>1397</v>
      </c>
      <c r="G2743" t="s">
        <v>1398</v>
      </c>
      <c r="H2743" t="s">
        <v>3724</v>
      </c>
      <c r="I2743" t="s">
        <v>0</v>
      </c>
      <c r="J2743" t="s">
        <v>872</v>
      </c>
      <c r="K2743" t="s">
        <v>47</v>
      </c>
      <c r="L2743" t="s">
        <v>48</v>
      </c>
      <c r="M2743" t="s">
        <v>0</v>
      </c>
      <c r="N2743" t="s">
        <v>10057</v>
      </c>
      <c r="O2743" t="s">
        <v>0</v>
      </c>
      <c r="P2743" t="s">
        <v>10058</v>
      </c>
      <c r="Q2743" t="s">
        <v>10059</v>
      </c>
      <c r="R2743" t="s">
        <v>135</v>
      </c>
      <c r="S2743" t="s">
        <v>0</v>
      </c>
      <c r="T2743" t="s">
        <v>54</v>
      </c>
      <c r="U2743" t="s">
        <v>136</v>
      </c>
      <c r="V2743" t="s">
        <v>168</v>
      </c>
      <c r="W2743" t="s">
        <v>74</v>
      </c>
      <c r="X2743" t="s">
        <v>103</v>
      </c>
      <c r="AA2743" t="s">
        <v>0</v>
      </c>
      <c r="AB2743" t="s">
        <v>64</v>
      </c>
      <c r="AC2743" t="s">
        <v>79</v>
      </c>
      <c r="AD2743" t="s">
        <v>80</v>
      </c>
      <c r="AE2743" t="s">
        <v>118</v>
      </c>
      <c r="AF2743" t="s">
        <v>0</v>
      </c>
      <c r="AG2743" t="s">
        <v>0</v>
      </c>
      <c r="AH2743" s="1" t="s">
        <v>14182</v>
      </c>
      <c r="AI2743" s="1" t="s">
        <v>14182</v>
      </c>
      <c r="AJ2743" s="1">
        <v>0</v>
      </c>
      <c r="AK2743" t="s">
        <v>61</v>
      </c>
      <c r="AL2743" t="s">
        <v>61</v>
      </c>
      <c r="AM2743" t="s">
        <v>0</v>
      </c>
      <c r="AN2743" t="s">
        <v>0</v>
      </c>
      <c r="AO2743" t="s">
        <v>0</v>
      </c>
      <c r="AP2743" t="s">
        <v>0</v>
      </c>
      <c r="AQ2743" t="s">
        <v>61</v>
      </c>
      <c r="AR2743" t="s">
        <v>0</v>
      </c>
      <c r="AS2743" t="str">
        <f>HYPERLINK("https://tessa.gazprom-neft.local/edo/card/6a06722b-ad2b-41da-a09a-59fba931dbec", "https://tessa.gazprom-neft.local/edo/card/6a06722b-ad2b-41da-a09a-59fba931dbec")</f>
        <v>https://tessa.gazprom-neft.local/edo/card/6a06722b-ad2b-41da-a09a-59fba931dbec</v>
      </c>
    </row>
    <row r="2744" spans="1:45" hidden="1" x14ac:dyDescent="0.25">
      <c r="A2744" t="s">
        <v>44</v>
      </c>
      <c r="B2744" t="s">
        <v>1396</v>
      </c>
      <c r="C2744" t="s">
        <v>67</v>
      </c>
      <c r="F2744" s="18" t="s">
        <v>1397</v>
      </c>
      <c r="G2744" t="s">
        <v>1398</v>
      </c>
      <c r="H2744" t="s">
        <v>1735</v>
      </c>
      <c r="I2744" t="s">
        <v>0</v>
      </c>
      <c r="J2744" t="s">
        <v>355</v>
      </c>
      <c r="K2744" t="s">
        <v>47</v>
      </c>
      <c r="L2744" t="s">
        <v>239</v>
      </c>
      <c r="M2744" t="s">
        <v>0</v>
      </c>
      <c r="N2744" t="s">
        <v>10060</v>
      </c>
      <c r="O2744" t="s">
        <v>0</v>
      </c>
      <c r="P2744" t="s">
        <v>10061</v>
      </c>
      <c r="Q2744" t="s">
        <v>10062</v>
      </c>
      <c r="R2744" t="s">
        <v>135</v>
      </c>
      <c r="S2744" t="s">
        <v>0</v>
      </c>
      <c r="T2744" t="s">
        <v>54</v>
      </c>
      <c r="U2744" t="s">
        <v>136</v>
      </c>
      <c r="V2744" t="s">
        <v>168</v>
      </c>
      <c r="W2744" t="s">
        <v>74</v>
      </c>
      <c r="X2744" t="s">
        <v>103</v>
      </c>
      <c r="AA2744" t="s">
        <v>0</v>
      </c>
      <c r="AB2744" t="s">
        <v>64</v>
      </c>
      <c r="AC2744" t="s">
        <v>79</v>
      </c>
      <c r="AD2744" t="s">
        <v>80</v>
      </c>
      <c r="AE2744" t="s">
        <v>118</v>
      </c>
      <c r="AF2744" t="s">
        <v>0</v>
      </c>
      <c r="AG2744" t="s">
        <v>0</v>
      </c>
      <c r="AH2744" s="1" t="s">
        <v>14182</v>
      </c>
      <c r="AI2744" s="1" t="s">
        <v>14182</v>
      </c>
      <c r="AJ2744" s="1">
        <v>0</v>
      </c>
      <c r="AK2744" t="s">
        <v>61</v>
      </c>
      <c r="AL2744" t="s">
        <v>61</v>
      </c>
      <c r="AM2744" t="s">
        <v>0</v>
      </c>
      <c r="AN2744" t="s">
        <v>0</v>
      </c>
      <c r="AO2744" t="s">
        <v>0</v>
      </c>
      <c r="AP2744" t="s">
        <v>0</v>
      </c>
      <c r="AQ2744" t="s">
        <v>61</v>
      </c>
      <c r="AR2744" t="s">
        <v>0</v>
      </c>
      <c r="AS2744" t="str">
        <f>HYPERLINK("https://tessa.gazprom-neft.local/edo/card/515732c1-cf2e-4952-9c66-a9566bcf0b7e", "https://tessa.gazprom-neft.local/edo/card/515732c1-cf2e-4952-9c66-a9566bcf0b7e")</f>
        <v>https://tessa.gazprom-neft.local/edo/card/515732c1-cf2e-4952-9c66-a9566bcf0b7e</v>
      </c>
    </row>
    <row r="2745" spans="1:45" hidden="1" x14ac:dyDescent="0.25">
      <c r="A2745" t="s">
        <v>44</v>
      </c>
      <c r="B2745" t="s">
        <v>1067</v>
      </c>
      <c r="C2745" t="s">
        <v>67</v>
      </c>
      <c r="F2745" s="18" t="s">
        <v>1068</v>
      </c>
      <c r="G2745" t="s">
        <v>1069</v>
      </c>
      <c r="H2745" t="s">
        <v>0</v>
      </c>
      <c r="I2745" t="s">
        <v>10064</v>
      </c>
      <c r="J2745" t="s">
        <v>10064</v>
      </c>
      <c r="K2745" t="s">
        <v>47</v>
      </c>
      <c r="L2745" t="s">
        <v>86</v>
      </c>
      <c r="M2745" t="s">
        <v>0</v>
      </c>
      <c r="N2745" t="s">
        <v>10063</v>
      </c>
      <c r="O2745" t="s">
        <v>0</v>
      </c>
      <c r="P2745" t="s">
        <v>237</v>
      </c>
      <c r="Q2745" t="s">
        <v>9148</v>
      </c>
      <c r="R2745" t="s">
        <v>1066</v>
      </c>
      <c r="S2745" t="s">
        <v>0</v>
      </c>
      <c r="T2745" t="s">
        <v>54</v>
      </c>
      <c r="U2745" t="s">
        <v>136</v>
      </c>
      <c r="V2745" t="s">
        <v>308</v>
      </c>
      <c r="W2745" t="s">
        <v>74</v>
      </c>
      <c r="X2745" t="s">
        <v>103</v>
      </c>
      <c r="AA2745" t="s">
        <v>309</v>
      </c>
      <c r="AB2745" t="s">
        <v>237</v>
      </c>
      <c r="AC2745" t="s">
        <v>65</v>
      </c>
      <c r="AD2745" t="s">
        <v>0</v>
      </c>
      <c r="AE2745" t="s">
        <v>0</v>
      </c>
      <c r="AF2745" t="s">
        <v>0</v>
      </c>
      <c r="AG2745" t="s">
        <v>0</v>
      </c>
      <c r="AH2745" s="1" t="s">
        <v>0</v>
      </c>
      <c r="AI2745" s="1" t="s">
        <v>0</v>
      </c>
      <c r="AJ2745" s="1" t="s">
        <v>0</v>
      </c>
      <c r="AK2745" t="s">
        <v>61</v>
      </c>
      <c r="AL2745" t="s">
        <v>61</v>
      </c>
      <c r="AM2745" t="s">
        <v>0</v>
      </c>
      <c r="AN2745" t="s">
        <v>0</v>
      </c>
      <c r="AO2745" t="s">
        <v>0</v>
      </c>
      <c r="AP2745" t="s">
        <v>0</v>
      </c>
      <c r="AQ2745" t="s">
        <v>61</v>
      </c>
      <c r="AR2745" t="s">
        <v>0</v>
      </c>
      <c r="AS2745" t="str">
        <f>HYPERLINK("https://tessa.gazprom-neft.local/edo/card/914002ba-87c9-4243-b96c-d9cca2fcf71e", "https://tessa.gazprom-neft.local/edo/card/914002ba-87c9-4243-b96c-d9cca2fcf71e")</f>
        <v>https://tessa.gazprom-neft.local/edo/card/914002ba-87c9-4243-b96c-d9cca2fcf71e</v>
      </c>
    </row>
    <row r="2746" spans="1:45" hidden="1" x14ac:dyDescent="0.25">
      <c r="A2746" t="s">
        <v>44</v>
      </c>
      <c r="B2746" t="s">
        <v>1216</v>
      </c>
      <c r="C2746" t="s">
        <v>67</v>
      </c>
      <c r="F2746" s="18" t="s">
        <v>1217</v>
      </c>
      <c r="G2746" t="s">
        <v>1218</v>
      </c>
      <c r="H2746" t="s">
        <v>0</v>
      </c>
      <c r="I2746" t="s">
        <v>10066</v>
      </c>
      <c r="J2746" t="s">
        <v>10066</v>
      </c>
      <c r="K2746" t="s">
        <v>85</v>
      </c>
      <c r="L2746" t="s">
        <v>86</v>
      </c>
      <c r="M2746" t="s">
        <v>83</v>
      </c>
      <c r="N2746" t="s">
        <v>10065</v>
      </c>
      <c r="O2746" t="s">
        <v>0</v>
      </c>
      <c r="P2746" t="s">
        <v>10067</v>
      </c>
      <c r="Q2746" t="s">
        <v>10068</v>
      </c>
      <c r="R2746" t="s">
        <v>393</v>
      </c>
      <c r="S2746" t="s">
        <v>209</v>
      </c>
      <c r="T2746" t="s">
        <v>54</v>
      </c>
      <c r="U2746" t="s">
        <v>210</v>
      </c>
      <c r="V2746" t="s">
        <v>91</v>
      </c>
      <c r="W2746" t="s">
        <v>74</v>
      </c>
      <c r="X2746" t="s">
        <v>58</v>
      </c>
      <c r="AA2746" t="s">
        <v>92</v>
      </c>
      <c r="AB2746" t="s">
        <v>94</v>
      </c>
      <c r="AC2746" t="s">
        <v>65</v>
      </c>
      <c r="AD2746" t="s">
        <v>0</v>
      </c>
      <c r="AE2746" t="s">
        <v>0</v>
      </c>
      <c r="AF2746" t="s">
        <v>0</v>
      </c>
      <c r="AG2746" t="s">
        <v>0</v>
      </c>
      <c r="AH2746" s="1" t="s">
        <v>0</v>
      </c>
      <c r="AI2746" s="1" t="s">
        <v>0</v>
      </c>
      <c r="AJ2746" s="1" t="s">
        <v>0</v>
      </c>
      <c r="AK2746" t="s">
        <v>61</v>
      </c>
      <c r="AL2746" t="s">
        <v>61</v>
      </c>
      <c r="AM2746" t="s">
        <v>0</v>
      </c>
      <c r="AN2746" t="s">
        <v>0</v>
      </c>
      <c r="AO2746" t="s">
        <v>0</v>
      </c>
      <c r="AP2746" t="s">
        <v>0</v>
      </c>
      <c r="AQ2746" t="s">
        <v>61</v>
      </c>
      <c r="AR2746" t="s">
        <v>0</v>
      </c>
      <c r="AS2746" t="str">
        <f>HYPERLINK("https://tessa.gazprom-neft.local/edo/card/60cc64c2-a026-4bcc-87c9-6cd5279d20fa", "https://tessa.gazprom-neft.local/edo/card/60cc64c2-a026-4bcc-87c9-6cd5279d20fa")</f>
        <v>https://tessa.gazprom-neft.local/edo/card/60cc64c2-a026-4bcc-87c9-6cd5279d20fa</v>
      </c>
    </row>
    <row r="2747" spans="1:45" hidden="1" x14ac:dyDescent="0.25">
      <c r="A2747" t="s">
        <v>44</v>
      </c>
      <c r="B2747" t="s">
        <v>1067</v>
      </c>
      <c r="C2747" t="s">
        <v>67</v>
      </c>
      <c r="F2747" s="18" t="s">
        <v>1068</v>
      </c>
      <c r="G2747" t="s">
        <v>1069</v>
      </c>
      <c r="H2747" t="s">
        <v>0</v>
      </c>
      <c r="I2747" t="s">
        <v>4323</v>
      </c>
      <c r="J2747" t="s">
        <v>4323</v>
      </c>
      <c r="K2747" t="s">
        <v>85</v>
      </c>
      <c r="L2747" t="s">
        <v>96</v>
      </c>
      <c r="M2747" t="s">
        <v>7760</v>
      </c>
      <c r="N2747" t="s">
        <v>10069</v>
      </c>
      <c r="O2747" t="s">
        <v>0</v>
      </c>
      <c r="P2747" t="s">
        <v>7760</v>
      </c>
      <c r="Q2747" t="s">
        <v>10070</v>
      </c>
      <c r="R2747" t="s">
        <v>1434</v>
      </c>
      <c r="S2747" t="s">
        <v>1066</v>
      </c>
      <c r="T2747" t="s">
        <v>54</v>
      </c>
      <c r="U2747" t="s">
        <v>283</v>
      </c>
      <c r="V2747" t="s">
        <v>168</v>
      </c>
      <c r="W2747" t="s">
        <v>74</v>
      </c>
      <c r="X2747" t="s">
        <v>103</v>
      </c>
      <c r="AA2747" t="s">
        <v>169</v>
      </c>
      <c r="AB2747" t="s">
        <v>2425</v>
      </c>
      <c r="AC2747" t="s">
        <v>79</v>
      </c>
      <c r="AD2747" t="s">
        <v>144</v>
      </c>
      <c r="AE2747" t="s">
        <v>82</v>
      </c>
      <c r="AF2747" t="s">
        <v>0</v>
      </c>
      <c r="AG2747" t="s">
        <v>10071</v>
      </c>
      <c r="AH2747" s="1" t="s">
        <v>12017</v>
      </c>
      <c r="AI2747" s="1" t="s">
        <v>12018</v>
      </c>
      <c r="AJ2747" s="1" t="s">
        <v>12019</v>
      </c>
      <c r="AK2747" t="s">
        <v>81</v>
      </c>
      <c r="AL2747" t="s">
        <v>61</v>
      </c>
      <c r="AM2747" t="s">
        <v>0</v>
      </c>
      <c r="AN2747" t="s">
        <v>0</v>
      </c>
      <c r="AO2747" t="s">
        <v>0</v>
      </c>
      <c r="AP2747" t="s">
        <v>0</v>
      </c>
      <c r="AQ2747" t="s">
        <v>61</v>
      </c>
      <c r="AR2747" t="s">
        <v>0</v>
      </c>
      <c r="AS2747" t="str">
        <f>HYPERLINK("https://tessa.gazprom-neft.local/edo/card/8c2be43f-51f2-4c6e-acd5-7bfd57189ec6", "https://tessa.gazprom-neft.local/edo/card/8c2be43f-51f2-4c6e-acd5-7bfd57189ec6")</f>
        <v>https://tessa.gazprom-neft.local/edo/card/8c2be43f-51f2-4c6e-acd5-7bfd57189ec6</v>
      </c>
    </row>
    <row r="2748" spans="1:45" hidden="1" x14ac:dyDescent="0.25">
      <c r="A2748" t="s">
        <v>44</v>
      </c>
      <c r="B2748" t="s">
        <v>1240</v>
      </c>
      <c r="C2748" t="s">
        <v>67</v>
      </c>
      <c r="F2748" s="18" t="s">
        <v>1241</v>
      </c>
      <c r="G2748" t="s">
        <v>1242</v>
      </c>
      <c r="H2748" t="s">
        <v>3083</v>
      </c>
      <c r="I2748" t="s">
        <v>0</v>
      </c>
      <c r="J2748" t="s">
        <v>51</v>
      </c>
      <c r="K2748" t="s">
        <v>47</v>
      </c>
      <c r="L2748" t="s">
        <v>389</v>
      </c>
      <c r="M2748" t="s">
        <v>0</v>
      </c>
      <c r="N2748" t="s">
        <v>10072</v>
      </c>
      <c r="O2748" t="s">
        <v>156</v>
      </c>
      <c r="P2748" t="s">
        <v>10073</v>
      </c>
      <c r="Q2748" t="s">
        <v>10074</v>
      </c>
      <c r="R2748" t="s">
        <v>393</v>
      </c>
      <c r="S2748" t="s">
        <v>0</v>
      </c>
      <c r="T2748" t="s">
        <v>54</v>
      </c>
      <c r="U2748" t="s">
        <v>222</v>
      </c>
      <c r="V2748" t="s">
        <v>126</v>
      </c>
      <c r="W2748" t="s">
        <v>74</v>
      </c>
      <c r="X2748" t="s">
        <v>58</v>
      </c>
      <c r="AA2748" t="s">
        <v>224</v>
      </c>
      <c r="AB2748" t="s">
        <v>1243</v>
      </c>
      <c r="AC2748" t="s">
        <v>79</v>
      </c>
      <c r="AD2748" t="s">
        <v>144</v>
      </c>
      <c r="AE2748" t="s">
        <v>82</v>
      </c>
      <c r="AF2748" t="s">
        <v>0</v>
      </c>
      <c r="AG2748" t="s">
        <v>0</v>
      </c>
      <c r="AH2748" s="1" t="s">
        <v>14183</v>
      </c>
      <c r="AI2748" s="1" t="s">
        <v>14184</v>
      </c>
      <c r="AJ2748" s="1" t="s">
        <v>14185</v>
      </c>
      <c r="AK2748" t="s">
        <v>61</v>
      </c>
      <c r="AL2748" t="s">
        <v>61</v>
      </c>
      <c r="AM2748" t="s">
        <v>0</v>
      </c>
      <c r="AN2748" t="s">
        <v>0</v>
      </c>
      <c r="AO2748" t="s">
        <v>0</v>
      </c>
      <c r="AP2748" t="s">
        <v>0</v>
      </c>
      <c r="AQ2748" t="s">
        <v>61</v>
      </c>
      <c r="AR2748" t="s">
        <v>0</v>
      </c>
      <c r="AS2748" t="str">
        <f>HYPERLINK("https://tessa.gazprom-neft.local/edo/card/b90a1c46-597f-460f-b54a-1f67b1782e0a", "https://tessa.gazprom-neft.local/edo/card/b90a1c46-597f-460f-b54a-1f67b1782e0a")</f>
        <v>https://tessa.gazprom-neft.local/edo/card/b90a1c46-597f-460f-b54a-1f67b1782e0a</v>
      </c>
    </row>
    <row r="2749" spans="1:45" hidden="1" x14ac:dyDescent="0.25">
      <c r="A2749" t="s">
        <v>44</v>
      </c>
      <c r="B2749" t="s">
        <v>1240</v>
      </c>
      <c r="C2749" t="s">
        <v>67</v>
      </c>
      <c r="F2749" s="18" t="s">
        <v>1241</v>
      </c>
      <c r="G2749" t="s">
        <v>1242</v>
      </c>
      <c r="H2749" t="s">
        <v>1237</v>
      </c>
      <c r="I2749" t="s">
        <v>0</v>
      </c>
      <c r="J2749" t="s">
        <v>271</v>
      </c>
      <c r="K2749" t="s">
        <v>47</v>
      </c>
      <c r="L2749" t="s">
        <v>239</v>
      </c>
      <c r="M2749" t="s">
        <v>0</v>
      </c>
      <c r="N2749" t="s">
        <v>10075</v>
      </c>
      <c r="O2749" t="s">
        <v>0</v>
      </c>
      <c r="P2749" t="s">
        <v>10076</v>
      </c>
      <c r="Q2749" t="s">
        <v>10077</v>
      </c>
      <c r="R2749" t="s">
        <v>393</v>
      </c>
      <c r="S2749" t="s">
        <v>1261</v>
      </c>
      <c r="T2749" t="s">
        <v>54</v>
      </c>
      <c r="U2749" t="s">
        <v>222</v>
      </c>
      <c r="V2749" t="s">
        <v>126</v>
      </c>
      <c r="W2749" t="s">
        <v>74</v>
      </c>
      <c r="X2749" t="s">
        <v>58</v>
      </c>
      <c r="AA2749" t="s">
        <v>224</v>
      </c>
      <c r="AB2749" t="s">
        <v>1243</v>
      </c>
      <c r="AC2749" t="s">
        <v>79</v>
      </c>
      <c r="AD2749" t="s">
        <v>144</v>
      </c>
      <c r="AE2749" t="s">
        <v>82</v>
      </c>
      <c r="AF2749" t="s">
        <v>0</v>
      </c>
      <c r="AG2749" t="s">
        <v>0</v>
      </c>
      <c r="AH2749" s="1" t="s">
        <v>14186</v>
      </c>
      <c r="AI2749" s="1" t="s">
        <v>14187</v>
      </c>
      <c r="AJ2749" s="1" t="s">
        <v>14188</v>
      </c>
      <c r="AK2749" t="s">
        <v>61</v>
      </c>
      <c r="AL2749" t="s">
        <v>61</v>
      </c>
      <c r="AM2749" t="s">
        <v>0</v>
      </c>
      <c r="AN2749" t="s">
        <v>0</v>
      </c>
      <c r="AO2749" t="s">
        <v>0</v>
      </c>
      <c r="AP2749" t="s">
        <v>0</v>
      </c>
      <c r="AQ2749" t="s">
        <v>61</v>
      </c>
      <c r="AR2749" t="s">
        <v>0</v>
      </c>
      <c r="AS2749" t="str">
        <f>HYPERLINK("https://tessa.gazprom-neft.local/edo/card/afa3f52d-02a6-425c-923a-6453b4d40172", "https://tessa.gazprom-neft.local/edo/card/afa3f52d-02a6-425c-923a-6453b4d40172")</f>
        <v>https://tessa.gazprom-neft.local/edo/card/afa3f52d-02a6-425c-923a-6453b4d40172</v>
      </c>
    </row>
    <row r="2750" spans="1:45" x14ac:dyDescent="0.25">
      <c r="A2750" t="s">
        <v>44</v>
      </c>
      <c r="B2750" t="s">
        <v>1101</v>
      </c>
      <c r="C2750" t="s">
        <v>67</v>
      </c>
      <c r="F2750" s="18" t="s">
        <v>1102</v>
      </c>
      <c r="G2750" t="s">
        <v>1103</v>
      </c>
      <c r="H2750" t="s">
        <v>2522</v>
      </c>
      <c r="I2750" t="s">
        <v>0</v>
      </c>
      <c r="J2750" t="s">
        <v>70</v>
      </c>
      <c r="K2750" t="s">
        <v>47</v>
      </c>
      <c r="L2750" t="s">
        <v>48</v>
      </c>
      <c r="M2750" t="s">
        <v>0</v>
      </c>
      <c r="N2750" t="s">
        <v>10078</v>
      </c>
      <c r="O2750" t="s">
        <v>0</v>
      </c>
      <c r="P2750" t="s">
        <v>10079</v>
      </c>
      <c r="Q2750" t="s">
        <v>10080</v>
      </c>
      <c r="R2750" t="s">
        <v>549</v>
      </c>
      <c r="S2750" t="s">
        <v>549</v>
      </c>
      <c r="T2750" t="s">
        <v>54</v>
      </c>
      <c r="U2750" t="s">
        <v>303</v>
      </c>
      <c r="V2750" t="s">
        <v>91</v>
      </c>
      <c r="W2750" t="s">
        <v>74</v>
      </c>
      <c r="X2750" t="s">
        <v>103</v>
      </c>
      <c r="AA2750" t="s">
        <v>92</v>
      </c>
      <c r="AB2750" t="s">
        <v>64</v>
      </c>
      <c r="AC2750" t="s">
        <v>79</v>
      </c>
      <c r="AD2750" t="s">
        <v>80</v>
      </c>
      <c r="AE2750" t="s">
        <v>118</v>
      </c>
      <c r="AF2750" t="s">
        <v>0</v>
      </c>
      <c r="AG2750" t="s">
        <v>0</v>
      </c>
      <c r="AH2750" s="1" t="s">
        <v>14189</v>
      </c>
      <c r="AI2750" s="1" t="s">
        <v>14189</v>
      </c>
      <c r="AJ2750" s="1">
        <v>0</v>
      </c>
      <c r="AK2750" t="s">
        <v>61</v>
      </c>
      <c r="AL2750" t="s">
        <v>61</v>
      </c>
      <c r="AM2750" t="s">
        <v>0</v>
      </c>
      <c r="AN2750" t="s">
        <v>0</v>
      </c>
      <c r="AO2750" t="s">
        <v>0</v>
      </c>
      <c r="AP2750" t="s">
        <v>0</v>
      </c>
      <c r="AQ2750" t="s">
        <v>61</v>
      </c>
      <c r="AR2750" t="s">
        <v>0</v>
      </c>
      <c r="AS2750" t="str">
        <f>HYPERLINK("https://tessa.gazprom-neft.local/edo/card/3be4e9d9-4b58-4af5-aaf9-136b9ba63561", "https://tessa.gazprom-neft.local/edo/card/3be4e9d9-4b58-4af5-aaf9-136b9ba63561")</f>
        <v>https://tessa.gazprom-neft.local/edo/card/3be4e9d9-4b58-4af5-aaf9-136b9ba63561</v>
      </c>
    </row>
    <row r="2751" spans="1:45" x14ac:dyDescent="0.25">
      <c r="A2751" t="s">
        <v>44</v>
      </c>
      <c r="B2751" t="s">
        <v>971</v>
      </c>
      <c r="C2751" t="s">
        <v>67</v>
      </c>
      <c r="F2751" s="18" t="s">
        <v>972</v>
      </c>
      <c r="G2751" t="s">
        <v>973</v>
      </c>
      <c r="H2751" t="s">
        <v>998</v>
      </c>
      <c r="I2751" t="s">
        <v>0</v>
      </c>
      <c r="J2751" t="s">
        <v>355</v>
      </c>
      <c r="K2751" t="s">
        <v>47</v>
      </c>
      <c r="L2751" t="s">
        <v>48</v>
      </c>
      <c r="M2751" t="s">
        <v>0</v>
      </c>
      <c r="N2751" t="s">
        <v>10081</v>
      </c>
      <c r="O2751" t="s">
        <v>0</v>
      </c>
      <c r="P2751" t="s">
        <v>10082</v>
      </c>
      <c r="Q2751" t="s">
        <v>10083</v>
      </c>
      <c r="R2751" t="s">
        <v>549</v>
      </c>
      <c r="S2751" t="s">
        <v>549</v>
      </c>
      <c r="T2751" t="s">
        <v>54</v>
      </c>
      <c r="U2751" t="s">
        <v>303</v>
      </c>
      <c r="V2751" t="s">
        <v>91</v>
      </c>
      <c r="W2751" t="s">
        <v>74</v>
      </c>
      <c r="X2751" t="s">
        <v>103</v>
      </c>
      <c r="AA2751" t="s">
        <v>92</v>
      </c>
      <c r="AB2751" t="s">
        <v>64</v>
      </c>
      <c r="AC2751" t="s">
        <v>79</v>
      </c>
      <c r="AD2751" t="s">
        <v>80</v>
      </c>
      <c r="AE2751" t="s">
        <v>82</v>
      </c>
      <c r="AF2751" t="s">
        <v>0</v>
      </c>
      <c r="AG2751" t="s">
        <v>0</v>
      </c>
      <c r="AH2751" s="1" t="s">
        <v>14190</v>
      </c>
      <c r="AI2751" s="1" t="s">
        <v>14191</v>
      </c>
      <c r="AJ2751" s="1" t="s">
        <v>14192</v>
      </c>
      <c r="AK2751" t="s">
        <v>61</v>
      </c>
      <c r="AL2751" t="s">
        <v>61</v>
      </c>
      <c r="AM2751" t="s">
        <v>0</v>
      </c>
      <c r="AN2751" t="s">
        <v>0</v>
      </c>
      <c r="AO2751" t="s">
        <v>0</v>
      </c>
      <c r="AP2751" t="s">
        <v>0</v>
      </c>
      <c r="AQ2751" t="s">
        <v>61</v>
      </c>
      <c r="AR2751" t="s">
        <v>0</v>
      </c>
      <c r="AS2751" t="str">
        <f>HYPERLINK("https://tessa.gazprom-neft.local/edo/card/3ee14367-c6c1-4693-b833-94bc5b00e6e0", "https://tessa.gazprom-neft.local/edo/card/3ee14367-c6c1-4693-b833-94bc5b00e6e0")</f>
        <v>https://tessa.gazprom-neft.local/edo/card/3ee14367-c6c1-4693-b833-94bc5b00e6e0</v>
      </c>
    </row>
    <row r="2752" spans="1:45" x14ac:dyDescent="0.25">
      <c r="A2752" t="s">
        <v>44</v>
      </c>
      <c r="B2752" t="s">
        <v>971</v>
      </c>
      <c r="C2752" t="s">
        <v>67</v>
      </c>
      <c r="F2752" s="18" t="s">
        <v>972</v>
      </c>
      <c r="G2752" t="s">
        <v>973</v>
      </c>
      <c r="H2752" t="s">
        <v>10085</v>
      </c>
      <c r="I2752" t="s">
        <v>0</v>
      </c>
      <c r="J2752" t="s">
        <v>51</v>
      </c>
      <c r="K2752" t="s">
        <v>47</v>
      </c>
      <c r="L2752" t="s">
        <v>48</v>
      </c>
      <c r="M2752" t="s">
        <v>0</v>
      </c>
      <c r="N2752" t="s">
        <v>10084</v>
      </c>
      <c r="O2752" t="s">
        <v>0</v>
      </c>
      <c r="P2752" t="s">
        <v>10086</v>
      </c>
      <c r="Q2752" t="s">
        <v>10087</v>
      </c>
      <c r="R2752" t="s">
        <v>549</v>
      </c>
      <c r="S2752" t="s">
        <v>549</v>
      </c>
      <c r="T2752" t="s">
        <v>54</v>
      </c>
      <c r="U2752" t="s">
        <v>303</v>
      </c>
      <c r="V2752" t="s">
        <v>91</v>
      </c>
      <c r="W2752" t="s">
        <v>74</v>
      </c>
      <c r="X2752" t="s">
        <v>103</v>
      </c>
      <c r="AA2752" t="s">
        <v>92</v>
      </c>
      <c r="AB2752" t="s">
        <v>64</v>
      </c>
      <c r="AC2752" t="s">
        <v>79</v>
      </c>
      <c r="AD2752" t="s">
        <v>80</v>
      </c>
      <c r="AE2752" t="s">
        <v>82</v>
      </c>
      <c r="AF2752" t="s">
        <v>0</v>
      </c>
      <c r="AG2752" t="s">
        <v>0</v>
      </c>
      <c r="AH2752" s="1" t="s">
        <v>13983</v>
      </c>
      <c r="AI2752" s="1" t="s">
        <v>13984</v>
      </c>
      <c r="AJ2752" s="1" t="s">
        <v>13985</v>
      </c>
      <c r="AK2752" t="s">
        <v>61</v>
      </c>
      <c r="AL2752" t="s">
        <v>61</v>
      </c>
      <c r="AM2752" t="s">
        <v>0</v>
      </c>
      <c r="AN2752" t="s">
        <v>0</v>
      </c>
      <c r="AO2752" t="s">
        <v>0</v>
      </c>
      <c r="AP2752" t="s">
        <v>0</v>
      </c>
      <c r="AQ2752" t="s">
        <v>61</v>
      </c>
      <c r="AR2752" t="s">
        <v>0</v>
      </c>
      <c r="AS2752" t="str">
        <f>HYPERLINK("https://tessa.gazprom-neft.local/edo/card/6eb5b5da-4d1b-46b5-8144-4748b707efb7", "https://tessa.gazprom-neft.local/edo/card/6eb5b5da-4d1b-46b5-8144-4748b707efb7")</f>
        <v>https://tessa.gazprom-neft.local/edo/card/6eb5b5da-4d1b-46b5-8144-4748b707efb7</v>
      </c>
    </row>
    <row r="2753" spans="1:45" hidden="1" x14ac:dyDescent="0.25">
      <c r="A2753" t="s">
        <v>44</v>
      </c>
      <c r="B2753" t="s">
        <v>3009</v>
      </c>
      <c r="C2753" t="s">
        <v>67</v>
      </c>
      <c r="F2753" s="18" t="s">
        <v>3010</v>
      </c>
      <c r="G2753" t="s">
        <v>3011</v>
      </c>
      <c r="H2753" t="s">
        <v>3006</v>
      </c>
      <c r="I2753" t="s">
        <v>0</v>
      </c>
      <c r="J2753" t="s">
        <v>9082</v>
      </c>
      <c r="K2753" t="s">
        <v>47</v>
      </c>
      <c r="L2753" t="s">
        <v>1858</v>
      </c>
      <c r="M2753" t="s">
        <v>0</v>
      </c>
      <c r="N2753" t="s">
        <v>10088</v>
      </c>
      <c r="O2753" t="s">
        <v>0</v>
      </c>
      <c r="P2753" t="s">
        <v>10089</v>
      </c>
      <c r="Q2753" t="s">
        <v>10090</v>
      </c>
      <c r="R2753" t="s">
        <v>898</v>
      </c>
      <c r="S2753" t="s">
        <v>898</v>
      </c>
      <c r="T2753" t="s">
        <v>54</v>
      </c>
      <c r="U2753" t="s">
        <v>899</v>
      </c>
      <c r="V2753" t="s">
        <v>126</v>
      </c>
      <c r="W2753" t="s">
        <v>74</v>
      </c>
      <c r="X2753" t="s">
        <v>223</v>
      </c>
      <c r="AA2753" t="s">
        <v>224</v>
      </c>
      <c r="AB2753" t="s">
        <v>130</v>
      </c>
      <c r="AC2753" t="s">
        <v>65</v>
      </c>
      <c r="AD2753" t="s">
        <v>80</v>
      </c>
      <c r="AE2753" t="s">
        <v>0</v>
      </c>
      <c r="AF2753" t="s">
        <v>0</v>
      </c>
      <c r="AG2753" t="s">
        <v>0</v>
      </c>
      <c r="AH2753" s="1" t="s">
        <v>0</v>
      </c>
      <c r="AI2753" s="1" t="s">
        <v>0</v>
      </c>
      <c r="AJ2753" s="1" t="s">
        <v>0</v>
      </c>
      <c r="AK2753" t="s">
        <v>61</v>
      </c>
      <c r="AL2753" t="s">
        <v>61</v>
      </c>
      <c r="AM2753" t="s">
        <v>0</v>
      </c>
      <c r="AN2753" t="s">
        <v>0</v>
      </c>
      <c r="AO2753" t="s">
        <v>0</v>
      </c>
      <c r="AP2753" t="s">
        <v>0</v>
      </c>
      <c r="AQ2753" t="s">
        <v>61</v>
      </c>
      <c r="AR2753" t="s">
        <v>0</v>
      </c>
      <c r="AS2753" t="str">
        <f>HYPERLINK("https://tessa.gazprom-neft.local/edo/card/c9b1c4e3-ea2d-40bf-8e05-67682e2282dc", "https://tessa.gazprom-neft.local/edo/card/c9b1c4e3-ea2d-40bf-8e05-67682e2282dc")</f>
        <v>https://tessa.gazprom-neft.local/edo/card/c9b1c4e3-ea2d-40bf-8e05-67682e2282dc</v>
      </c>
    </row>
    <row r="2754" spans="1:45" x14ac:dyDescent="0.25">
      <c r="A2754" t="s">
        <v>44</v>
      </c>
      <c r="B2754" t="s">
        <v>150</v>
      </c>
      <c r="C2754" t="s">
        <v>67</v>
      </c>
      <c r="F2754" s="18" t="s">
        <v>151</v>
      </c>
      <c r="G2754" t="s">
        <v>152</v>
      </c>
      <c r="H2754" t="s">
        <v>146</v>
      </c>
      <c r="I2754" t="s">
        <v>0</v>
      </c>
      <c r="J2754" t="s">
        <v>271</v>
      </c>
      <c r="K2754" t="s">
        <v>47</v>
      </c>
      <c r="L2754" t="s">
        <v>48</v>
      </c>
      <c r="M2754" t="s">
        <v>0</v>
      </c>
      <c r="N2754" t="s">
        <v>10091</v>
      </c>
      <c r="O2754" t="s">
        <v>0</v>
      </c>
      <c r="P2754" t="s">
        <v>10092</v>
      </c>
      <c r="Q2754" t="s">
        <v>148</v>
      </c>
      <c r="R2754" t="s">
        <v>149</v>
      </c>
      <c r="S2754" t="s">
        <v>0</v>
      </c>
      <c r="T2754" t="s">
        <v>54</v>
      </c>
      <c r="U2754" t="s">
        <v>44</v>
      </c>
      <c r="V2754" t="s">
        <v>137</v>
      </c>
      <c r="W2754" t="s">
        <v>57</v>
      </c>
      <c r="X2754" t="s">
        <v>103</v>
      </c>
      <c r="AA2754" t="s">
        <v>0</v>
      </c>
      <c r="AB2754" t="s">
        <v>64</v>
      </c>
      <c r="AC2754" t="s">
        <v>65</v>
      </c>
      <c r="AD2754" t="s">
        <v>0</v>
      </c>
      <c r="AE2754" t="s">
        <v>0</v>
      </c>
      <c r="AF2754" t="s">
        <v>0</v>
      </c>
      <c r="AG2754" t="s">
        <v>0</v>
      </c>
      <c r="AH2754" s="1" t="s">
        <v>0</v>
      </c>
      <c r="AI2754" s="1" t="s">
        <v>0</v>
      </c>
      <c r="AJ2754" s="1" t="s">
        <v>0</v>
      </c>
      <c r="AK2754" t="s">
        <v>61</v>
      </c>
      <c r="AL2754" t="s">
        <v>61</v>
      </c>
      <c r="AM2754" t="s">
        <v>0</v>
      </c>
      <c r="AN2754" t="s">
        <v>0</v>
      </c>
      <c r="AO2754" t="s">
        <v>0</v>
      </c>
      <c r="AP2754" t="s">
        <v>0</v>
      </c>
      <c r="AQ2754" t="s">
        <v>61</v>
      </c>
      <c r="AR2754" t="s">
        <v>0</v>
      </c>
      <c r="AS2754" t="str">
        <f>HYPERLINK("https://tessa.gazprom-neft.local/edo/card/53925d3d-fd69-478c-8d6b-de51891cc0be", "https://tessa.gazprom-neft.local/edo/card/53925d3d-fd69-478c-8d6b-de51891cc0be")</f>
        <v>https://tessa.gazprom-neft.local/edo/card/53925d3d-fd69-478c-8d6b-de51891cc0be</v>
      </c>
    </row>
    <row r="2755" spans="1:45" hidden="1" x14ac:dyDescent="0.25">
      <c r="A2755" t="s">
        <v>44</v>
      </c>
      <c r="B2755" t="s">
        <v>170</v>
      </c>
      <c r="C2755" t="s">
        <v>67</v>
      </c>
      <c r="F2755" s="18" t="s">
        <v>171</v>
      </c>
      <c r="G2755" t="s">
        <v>172</v>
      </c>
      <c r="H2755" t="s">
        <v>0</v>
      </c>
      <c r="I2755" t="s">
        <v>8419</v>
      </c>
      <c r="J2755" t="s">
        <v>8419</v>
      </c>
      <c r="K2755" t="s">
        <v>85</v>
      </c>
      <c r="L2755" t="s">
        <v>96</v>
      </c>
      <c r="M2755" t="s">
        <v>398</v>
      </c>
      <c r="N2755" t="s">
        <v>10093</v>
      </c>
      <c r="O2755" t="s">
        <v>0</v>
      </c>
      <c r="P2755" t="s">
        <v>10094</v>
      </c>
      <c r="Q2755" t="s">
        <v>402</v>
      </c>
      <c r="R2755" t="s">
        <v>361</v>
      </c>
      <c r="S2755" t="s">
        <v>361</v>
      </c>
      <c r="T2755" t="s">
        <v>54</v>
      </c>
      <c r="U2755" t="s">
        <v>362</v>
      </c>
      <c r="V2755" t="s">
        <v>295</v>
      </c>
      <c r="W2755" t="s">
        <v>74</v>
      </c>
      <c r="X2755" t="s">
        <v>103</v>
      </c>
      <c r="AA2755" t="s">
        <v>296</v>
      </c>
      <c r="AB2755" t="s">
        <v>366</v>
      </c>
      <c r="AC2755" t="s">
        <v>278</v>
      </c>
      <c r="AD2755" t="s">
        <v>367</v>
      </c>
      <c r="AE2755" t="s">
        <v>82</v>
      </c>
      <c r="AF2755" t="s">
        <v>0</v>
      </c>
      <c r="AG2755" t="s">
        <v>0</v>
      </c>
      <c r="AH2755" s="1" t="s">
        <v>14193</v>
      </c>
      <c r="AI2755" s="1" t="s">
        <v>14194</v>
      </c>
      <c r="AJ2755" s="1" t="s">
        <v>14195</v>
      </c>
      <c r="AK2755" t="s">
        <v>61</v>
      </c>
      <c r="AL2755" t="s">
        <v>61</v>
      </c>
      <c r="AM2755" t="s">
        <v>0</v>
      </c>
      <c r="AN2755" t="s">
        <v>0</v>
      </c>
      <c r="AO2755" t="s">
        <v>0</v>
      </c>
      <c r="AP2755" t="s">
        <v>0</v>
      </c>
      <c r="AQ2755" t="s">
        <v>61</v>
      </c>
      <c r="AR2755" t="s">
        <v>0</v>
      </c>
      <c r="AS2755" t="str">
        <f>HYPERLINK("https://tessa.gazprom-neft.local/edo/card/a0242538-40f3-4c1e-9fa3-aaddde0c52fc", "https://tessa.gazprom-neft.local/edo/card/a0242538-40f3-4c1e-9fa3-aaddde0c52fc")</f>
        <v>https://tessa.gazprom-neft.local/edo/card/a0242538-40f3-4c1e-9fa3-aaddde0c52fc</v>
      </c>
    </row>
    <row r="2756" spans="1:45" x14ac:dyDescent="0.25">
      <c r="A2756" t="s">
        <v>44</v>
      </c>
      <c r="B2756" t="s">
        <v>2350</v>
      </c>
      <c r="C2756" t="s">
        <v>67</v>
      </c>
      <c r="F2756" s="18" t="s">
        <v>2351</v>
      </c>
      <c r="G2756" t="s">
        <v>2352</v>
      </c>
      <c r="H2756" t="s">
        <v>10096</v>
      </c>
      <c r="I2756" t="s">
        <v>0</v>
      </c>
      <c r="J2756" t="s">
        <v>355</v>
      </c>
      <c r="K2756" t="s">
        <v>47</v>
      </c>
      <c r="L2756" t="s">
        <v>48</v>
      </c>
      <c r="M2756" t="s">
        <v>0</v>
      </c>
      <c r="N2756" t="s">
        <v>10095</v>
      </c>
      <c r="O2756" t="s">
        <v>0</v>
      </c>
      <c r="P2756" t="s">
        <v>10097</v>
      </c>
      <c r="Q2756" t="s">
        <v>10098</v>
      </c>
      <c r="R2756" t="s">
        <v>505</v>
      </c>
      <c r="S2756" t="s">
        <v>505</v>
      </c>
      <c r="T2756" t="s">
        <v>54</v>
      </c>
      <c r="U2756" t="s">
        <v>362</v>
      </c>
      <c r="V2756" t="s">
        <v>295</v>
      </c>
      <c r="W2756" t="s">
        <v>74</v>
      </c>
      <c r="X2756" t="s">
        <v>103</v>
      </c>
      <c r="AA2756" t="s">
        <v>296</v>
      </c>
      <c r="AB2756" t="s">
        <v>130</v>
      </c>
      <c r="AC2756" t="s">
        <v>79</v>
      </c>
      <c r="AD2756" t="s">
        <v>80</v>
      </c>
      <c r="AE2756" t="s">
        <v>82</v>
      </c>
      <c r="AF2756" t="s">
        <v>0</v>
      </c>
      <c r="AG2756" t="s">
        <v>0</v>
      </c>
      <c r="AH2756" s="1" t="s">
        <v>14196</v>
      </c>
      <c r="AI2756" s="1" t="s">
        <v>14197</v>
      </c>
      <c r="AJ2756" s="1" t="s">
        <v>14198</v>
      </c>
      <c r="AK2756" t="s">
        <v>61</v>
      </c>
      <c r="AL2756" t="s">
        <v>61</v>
      </c>
      <c r="AM2756" t="s">
        <v>0</v>
      </c>
      <c r="AN2756" t="s">
        <v>0</v>
      </c>
      <c r="AO2756" t="s">
        <v>0</v>
      </c>
      <c r="AP2756" t="s">
        <v>0</v>
      </c>
      <c r="AQ2756" t="s">
        <v>61</v>
      </c>
      <c r="AR2756" t="s">
        <v>0</v>
      </c>
      <c r="AS2756" t="str">
        <f>HYPERLINK("https://tessa.gazprom-neft.local/edo/card/7da2a978-9b87-49c3-b07a-a136876ce49b", "https://tessa.gazprom-neft.local/edo/card/7da2a978-9b87-49c3-b07a-a136876ce49b")</f>
        <v>https://tessa.gazprom-neft.local/edo/card/7da2a978-9b87-49c3-b07a-a136876ce49b</v>
      </c>
    </row>
    <row r="2757" spans="1:45" hidden="1" x14ac:dyDescent="0.25">
      <c r="A2757" t="s">
        <v>44</v>
      </c>
      <c r="B2757" t="s">
        <v>1754</v>
      </c>
      <c r="C2757" t="s">
        <v>67</v>
      </c>
      <c r="F2757" s="18" t="s">
        <v>1755</v>
      </c>
      <c r="G2757" t="s">
        <v>1756</v>
      </c>
      <c r="H2757" t="s">
        <v>0</v>
      </c>
      <c r="I2757" t="s">
        <v>3115</v>
      </c>
      <c r="J2757" t="s">
        <v>3115</v>
      </c>
      <c r="K2757" t="s">
        <v>85</v>
      </c>
      <c r="L2757" t="s">
        <v>96</v>
      </c>
      <c r="M2757" t="s">
        <v>1749</v>
      </c>
      <c r="N2757" t="s">
        <v>10099</v>
      </c>
      <c r="O2757" t="s">
        <v>0</v>
      </c>
      <c r="P2757" t="s">
        <v>1749</v>
      </c>
      <c r="Q2757" t="s">
        <v>10100</v>
      </c>
      <c r="R2757" t="s">
        <v>338</v>
      </c>
      <c r="S2757" t="s">
        <v>0</v>
      </c>
      <c r="T2757" t="s">
        <v>54</v>
      </c>
      <c r="U2757" t="s">
        <v>210</v>
      </c>
      <c r="V2757" t="s">
        <v>126</v>
      </c>
      <c r="W2757" t="s">
        <v>57</v>
      </c>
      <c r="X2757" t="s">
        <v>223</v>
      </c>
      <c r="AA2757" t="s">
        <v>224</v>
      </c>
      <c r="AB2757" t="s">
        <v>423</v>
      </c>
      <c r="AC2757" t="s">
        <v>79</v>
      </c>
      <c r="AD2757" t="s">
        <v>80</v>
      </c>
      <c r="AE2757" t="s">
        <v>82</v>
      </c>
      <c r="AF2757" t="s">
        <v>0</v>
      </c>
      <c r="AG2757" t="s">
        <v>3118</v>
      </c>
      <c r="AH2757" s="1" t="s">
        <v>11546</v>
      </c>
      <c r="AI2757" s="1" t="s">
        <v>11547</v>
      </c>
      <c r="AJ2757" s="1" t="s">
        <v>11548</v>
      </c>
      <c r="AK2757" t="s">
        <v>81</v>
      </c>
      <c r="AL2757" t="s">
        <v>61</v>
      </c>
      <c r="AM2757" t="s">
        <v>0</v>
      </c>
      <c r="AN2757" t="s">
        <v>0</v>
      </c>
      <c r="AO2757" t="s">
        <v>0</v>
      </c>
      <c r="AP2757" t="s">
        <v>0</v>
      </c>
      <c r="AQ2757" t="s">
        <v>61</v>
      </c>
      <c r="AR2757" t="s">
        <v>0</v>
      </c>
      <c r="AS2757" t="str">
        <f>HYPERLINK("https://tessa.gazprom-neft.local/edo/card/d8bcb214-d218-4174-8bd5-a017dc062567", "https://tessa.gazprom-neft.local/edo/card/d8bcb214-d218-4174-8bd5-a017dc062567")</f>
        <v>https://tessa.gazprom-neft.local/edo/card/d8bcb214-d218-4174-8bd5-a017dc062567</v>
      </c>
    </row>
    <row r="2758" spans="1:45" hidden="1" x14ac:dyDescent="0.25">
      <c r="A2758" t="s">
        <v>44</v>
      </c>
      <c r="B2758" t="s">
        <v>1101</v>
      </c>
      <c r="C2758" t="s">
        <v>67</v>
      </c>
      <c r="F2758" s="18" t="s">
        <v>1102</v>
      </c>
      <c r="G2758" t="s">
        <v>1103</v>
      </c>
      <c r="H2758" t="s">
        <v>2522</v>
      </c>
      <c r="I2758" t="s">
        <v>0</v>
      </c>
      <c r="J2758" t="s">
        <v>355</v>
      </c>
      <c r="K2758" t="s">
        <v>47</v>
      </c>
      <c r="L2758" t="s">
        <v>239</v>
      </c>
      <c r="M2758" t="s">
        <v>0</v>
      </c>
      <c r="N2758" t="s">
        <v>10101</v>
      </c>
      <c r="O2758" t="s">
        <v>0</v>
      </c>
      <c r="P2758" t="s">
        <v>10102</v>
      </c>
      <c r="Q2758" t="s">
        <v>10103</v>
      </c>
      <c r="R2758" t="s">
        <v>549</v>
      </c>
      <c r="S2758" t="s">
        <v>549</v>
      </c>
      <c r="T2758" t="s">
        <v>54</v>
      </c>
      <c r="U2758" t="s">
        <v>303</v>
      </c>
      <c r="V2758" t="s">
        <v>91</v>
      </c>
      <c r="W2758" t="s">
        <v>74</v>
      </c>
      <c r="X2758" t="s">
        <v>103</v>
      </c>
      <c r="AA2758" t="s">
        <v>92</v>
      </c>
      <c r="AB2758" t="s">
        <v>64</v>
      </c>
      <c r="AC2758" t="s">
        <v>79</v>
      </c>
      <c r="AD2758" t="s">
        <v>144</v>
      </c>
      <c r="AE2758" t="s">
        <v>118</v>
      </c>
      <c r="AF2758" t="s">
        <v>0</v>
      </c>
      <c r="AG2758" t="s">
        <v>0</v>
      </c>
      <c r="AH2758" s="1" t="s">
        <v>14199</v>
      </c>
      <c r="AI2758" s="1" t="s">
        <v>14199</v>
      </c>
      <c r="AJ2758" s="1">
        <v>0</v>
      </c>
      <c r="AK2758" t="s">
        <v>61</v>
      </c>
      <c r="AL2758" t="s">
        <v>61</v>
      </c>
      <c r="AM2758" t="s">
        <v>0</v>
      </c>
      <c r="AN2758" t="s">
        <v>0</v>
      </c>
      <c r="AO2758" t="s">
        <v>0</v>
      </c>
      <c r="AP2758" t="s">
        <v>0</v>
      </c>
      <c r="AQ2758" t="s">
        <v>61</v>
      </c>
      <c r="AR2758" t="s">
        <v>0</v>
      </c>
      <c r="AS2758" t="str">
        <f>HYPERLINK("https://tessa.gazprom-neft.local/edo/card/bb960179-afaf-4a9d-837b-6f60c074d144", "https://tessa.gazprom-neft.local/edo/card/bb960179-afaf-4a9d-837b-6f60c074d144")</f>
        <v>https://tessa.gazprom-neft.local/edo/card/bb960179-afaf-4a9d-837b-6f60c074d144</v>
      </c>
    </row>
    <row r="2759" spans="1:45" hidden="1" x14ac:dyDescent="0.25">
      <c r="A2759" t="s">
        <v>44</v>
      </c>
      <c r="B2759" t="s">
        <v>971</v>
      </c>
      <c r="C2759" t="s">
        <v>67</v>
      </c>
      <c r="F2759" s="18" t="s">
        <v>972</v>
      </c>
      <c r="G2759" t="s">
        <v>973</v>
      </c>
      <c r="H2759" t="s">
        <v>998</v>
      </c>
      <c r="I2759" t="s">
        <v>0</v>
      </c>
      <c r="J2759" t="s">
        <v>156</v>
      </c>
      <c r="K2759" t="s">
        <v>47</v>
      </c>
      <c r="L2759" t="s">
        <v>239</v>
      </c>
      <c r="M2759" t="s">
        <v>0</v>
      </c>
      <c r="N2759" t="s">
        <v>10104</v>
      </c>
      <c r="O2759" t="s">
        <v>0</v>
      </c>
      <c r="P2759" t="s">
        <v>10105</v>
      </c>
      <c r="Q2759" t="s">
        <v>10106</v>
      </c>
      <c r="R2759" t="s">
        <v>549</v>
      </c>
      <c r="S2759" t="s">
        <v>549</v>
      </c>
      <c r="T2759" t="s">
        <v>54</v>
      </c>
      <c r="U2759" t="s">
        <v>303</v>
      </c>
      <c r="V2759" t="s">
        <v>91</v>
      </c>
      <c r="W2759" t="s">
        <v>74</v>
      </c>
      <c r="X2759" t="s">
        <v>103</v>
      </c>
      <c r="AA2759" t="s">
        <v>92</v>
      </c>
      <c r="AB2759" t="s">
        <v>64</v>
      </c>
      <c r="AC2759" t="s">
        <v>79</v>
      </c>
      <c r="AD2759" t="s">
        <v>144</v>
      </c>
      <c r="AE2759" t="s">
        <v>82</v>
      </c>
      <c r="AF2759" t="s">
        <v>0</v>
      </c>
      <c r="AG2759" t="s">
        <v>0</v>
      </c>
      <c r="AH2759" s="1" t="s">
        <v>14200</v>
      </c>
      <c r="AI2759" s="1" t="s">
        <v>14201</v>
      </c>
      <c r="AJ2759" s="1" t="s">
        <v>14202</v>
      </c>
      <c r="AK2759" t="s">
        <v>61</v>
      </c>
      <c r="AL2759" t="s">
        <v>61</v>
      </c>
      <c r="AM2759" t="s">
        <v>0</v>
      </c>
      <c r="AN2759" t="s">
        <v>0</v>
      </c>
      <c r="AO2759" t="s">
        <v>0</v>
      </c>
      <c r="AP2759" t="s">
        <v>0</v>
      </c>
      <c r="AQ2759" t="s">
        <v>61</v>
      </c>
      <c r="AR2759" t="s">
        <v>0</v>
      </c>
      <c r="AS2759" t="str">
        <f>HYPERLINK("https://tessa.gazprom-neft.local/edo/card/11b4055a-0868-4bef-a62e-aa2a08d21094", "https://tessa.gazprom-neft.local/edo/card/11b4055a-0868-4bef-a62e-aa2a08d21094")</f>
        <v>https://tessa.gazprom-neft.local/edo/card/11b4055a-0868-4bef-a62e-aa2a08d21094</v>
      </c>
    </row>
    <row r="2760" spans="1:45" hidden="1" x14ac:dyDescent="0.25">
      <c r="A2760" t="s">
        <v>44</v>
      </c>
      <c r="B2760" t="s">
        <v>363</v>
      </c>
      <c r="C2760" t="s">
        <v>67</v>
      </c>
      <c r="F2760" s="18" t="s">
        <v>364</v>
      </c>
      <c r="G2760" t="s">
        <v>365</v>
      </c>
      <c r="H2760" t="s">
        <v>0</v>
      </c>
      <c r="I2760" t="s">
        <v>358</v>
      </c>
      <c r="J2760" t="s">
        <v>358</v>
      </c>
      <c r="K2760" t="s">
        <v>85</v>
      </c>
      <c r="L2760" t="s">
        <v>96</v>
      </c>
      <c r="M2760" t="s">
        <v>398</v>
      </c>
      <c r="N2760" t="s">
        <v>10107</v>
      </c>
      <c r="O2760" t="s">
        <v>0</v>
      </c>
      <c r="P2760" t="s">
        <v>10108</v>
      </c>
      <c r="Q2760" t="s">
        <v>402</v>
      </c>
      <c r="R2760" t="s">
        <v>361</v>
      </c>
      <c r="S2760" t="s">
        <v>361</v>
      </c>
      <c r="T2760" t="s">
        <v>54</v>
      </c>
      <c r="U2760" t="s">
        <v>362</v>
      </c>
      <c r="V2760" t="s">
        <v>295</v>
      </c>
      <c r="W2760" t="s">
        <v>74</v>
      </c>
      <c r="X2760" t="s">
        <v>103</v>
      </c>
      <c r="AA2760" t="s">
        <v>296</v>
      </c>
      <c r="AB2760" t="s">
        <v>366</v>
      </c>
      <c r="AC2760" t="s">
        <v>278</v>
      </c>
      <c r="AD2760" t="s">
        <v>367</v>
      </c>
      <c r="AE2760" t="s">
        <v>82</v>
      </c>
      <c r="AF2760" t="s">
        <v>0</v>
      </c>
      <c r="AG2760" t="s">
        <v>0</v>
      </c>
      <c r="AH2760" s="1" t="s">
        <v>14203</v>
      </c>
      <c r="AI2760" s="1" t="s">
        <v>14204</v>
      </c>
      <c r="AJ2760" s="1" t="s">
        <v>14205</v>
      </c>
      <c r="AK2760" t="s">
        <v>61</v>
      </c>
      <c r="AL2760" t="s">
        <v>61</v>
      </c>
      <c r="AM2760" t="s">
        <v>0</v>
      </c>
      <c r="AN2760" t="s">
        <v>0</v>
      </c>
      <c r="AO2760" t="s">
        <v>0</v>
      </c>
      <c r="AP2760" t="s">
        <v>0</v>
      </c>
      <c r="AQ2760" t="s">
        <v>61</v>
      </c>
      <c r="AR2760" t="s">
        <v>0</v>
      </c>
      <c r="AS2760" t="str">
        <f>HYPERLINK("https://tessa.gazprom-neft.local/edo/card/42e78739-99e1-4183-b27c-0a72152ed636", "https://tessa.gazprom-neft.local/edo/card/42e78739-99e1-4183-b27c-0a72152ed636")</f>
        <v>https://tessa.gazprom-neft.local/edo/card/42e78739-99e1-4183-b27c-0a72152ed636</v>
      </c>
    </row>
    <row r="2761" spans="1:45" x14ac:dyDescent="0.25">
      <c r="A2761" t="s">
        <v>44</v>
      </c>
      <c r="B2761" t="s">
        <v>384</v>
      </c>
      <c r="C2761" t="s">
        <v>67</v>
      </c>
      <c r="F2761" s="18" t="s">
        <v>385</v>
      </c>
      <c r="G2761" t="s">
        <v>386</v>
      </c>
      <c r="H2761" t="s">
        <v>378</v>
      </c>
      <c r="I2761" t="s">
        <v>0</v>
      </c>
      <c r="J2761" t="s">
        <v>872</v>
      </c>
      <c r="K2761" t="s">
        <v>47</v>
      </c>
      <c r="L2761" t="s">
        <v>48</v>
      </c>
      <c r="M2761" t="s">
        <v>0</v>
      </c>
      <c r="N2761" t="s">
        <v>10109</v>
      </c>
      <c r="O2761" t="s">
        <v>0</v>
      </c>
      <c r="P2761" t="s">
        <v>2371</v>
      </c>
      <c r="Q2761" t="s">
        <v>10110</v>
      </c>
      <c r="R2761" t="s">
        <v>1066</v>
      </c>
      <c r="S2761" t="s">
        <v>1066</v>
      </c>
      <c r="T2761" t="s">
        <v>54</v>
      </c>
      <c r="U2761" t="s">
        <v>136</v>
      </c>
      <c r="V2761" t="s">
        <v>168</v>
      </c>
      <c r="W2761" t="s">
        <v>74</v>
      </c>
      <c r="X2761" t="s">
        <v>58</v>
      </c>
      <c r="AA2761" t="s">
        <v>169</v>
      </c>
      <c r="AB2761" t="s">
        <v>2403</v>
      </c>
      <c r="AC2761" t="s">
        <v>79</v>
      </c>
      <c r="AD2761" t="s">
        <v>80</v>
      </c>
      <c r="AE2761" t="s">
        <v>82</v>
      </c>
      <c r="AF2761" t="s">
        <v>0</v>
      </c>
      <c r="AG2761" t="s">
        <v>0</v>
      </c>
      <c r="AH2761" s="1" t="s">
        <v>12579</v>
      </c>
      <c r="AI2761" s="1" t="s">
        <v>12580</v>
      </c>
      <c r="AJ2761" s="1" t="s">
        <v>12581</v>
      </c>
      <c r="AK2761" t="s">
        <v>61</v>
      </c>
      <c r="AL2761" t="s">
        <v>61</v>
      </c>
      <c r="AM2761" t="s">
        <v>0</v>
      </c>
      <c r="AN2761" t="s">
        <v>0</v>
      </c>
      <c r="AO2761" t="s">
        <v>0</v>
      </c>
      <c r="AP2761" t="s">
        <v>0</v>
      </c>
      <c r="AQ2761" t="s">
        <v>61</v>
      </c>
      <c r="AR2761" t="s">
        <v>0</v>
      </c>
      <c r="AS2761" t="str">
        <f>HYPERLINK("https://tessa.gazprom-neft.local/edo/card/21c2587e-b2af-4830-a6d9-a606c274c04a", "https://tessa.gazprom-neft.local/edo/card/21c2587e-b2af-4830-a6d9-a606c274c04a")</f>
        <v>https://tessa.gazprom-neft.local/edo/card/21c2587e-b2af-4830-a6d9-a606c274c04a</v>
      </c>
    </row>
    <row r="2762" spans="1:45" x14ac:dyDescent="0.25">
      <c r="A2762" t="s">
        <v>44</v>
      </c>
      <c r="B2762" t="s">
        <v>727</v>
      </c>
      <c r="C2762" t="s">
        <v>67</v>
      </c>
      <c r="F2762" s="18" t="s">
        <v>728</v>
      </c>
      <c r="G2762" t="s">
        <v>729</v>
      </c>
      <c r="H2762" t="s">
        <v>3968</v>
      </c>
      <c r="I2762" t="s">
        <v>0</v>
      </c>
      <c r="J2762" t="s">
        <v>1098</v>
      </c>
      <c r="K2762" t="s">
        <v>47</v>
      </c>
      <c r="L2762" t="s">
        <v>48</v>
      </c>
      <c r="M2762" t="s">
        <v>0</v>
      </c>
      <c r="N2762" t="s">
        <v>10111</v>
      </c>
      <c r="O2762" t="s">
        <v>0</v>
      </c>
      <c r="P2762" t="s">
        <v>10112</v>
      </c>
      <c r="Q2762" t="s">
        <v>10113</v>
      </c>
      <c r="R2762" t="s">
        <v>282</v>
      </c>
      <c r="S2762" t="s">
        <v>0</v>
      </c>
      <c r="T2762" t="s">
        <v>54</v>
      </c>
      <c r="U2762" t="s">
        <v>55</v>
      </c>
      <c r="V2762" t="s">
        <v>56</v>
      </c>
      <c r="W2762" t="s">
        <v>74</v>
      </c>
      <c r="X2762" t="s">
        <v>103</v>
      </c>
      <c r="AA2762" t="s">
        <v>0</v>
      </c>
      <c r="AB2762" t="s">
        <v>130</v>
      </c>
      <c r="AC2762" t="s">
        <v>65</v>
      </c>
      <c r="AD2762" t="s">
        <v>0</v>
      </c>
      <c r="AE2762" t="s">
        <v>0</v>
      </c>
      <c r="AF2762" t="s">
        <v>0</v>
      </c>
      <c r="AG2762" t="s">
        <v>0</v>
      </c>
      <c r="AH2762" s="1" t="s">
        <v>0</v>
      </c>
      <c r="AI2762" s="1" t="s">
        <v>0</v>
      </c>
      <c r="AJ2762" s="1" t="s">
        <v>0</v>
      </c>
      <c r="AK2762" t="s">
        <v>61</v>
      </c>
      <c r="AL2762" t="s">
        <v>61</v>
      </c>
      <c r="AM2762" t="s">
        <v>0</v>
      </c>
      <c r="AN2762" t="s">
        <v>0</v>
      </c>
      <c r="AO2762" t="s">
        <v>0</v>
      </c>
      <c r="AP2762" t="s">
        <v>0</v>
      </c>
      <c r="AQ2762" t="s">
        <v>61</v>
      </c>
      <c r="AR2762" t="s">
        <v>0</v>
      </c>
      <c r="AS2762" t="str">
        <f>HYPERLINK("https://tessa.gazprom-neft.local/edo/card/7c0a2a60-2fe5-4293-ad50-d1d8d61ea7bb", "https://tessa.gazprom-neft.local/edo/card/7c0a2a60-2fe5-4293-ad50-d1d8d61ea7bb")</f>
        <v>https://tessa.gazprom-neft.local/edo/card/7c0a2a60-2fe5-4293-ad50-d1d8d61ea7bb</v>
      </c>
    </row>
    <row r="2763" spans="1:45" x14ac:dyDescent="0.25">
      <c r="A2763" t="s">
        <v>44</v>
      </c>
      <c r="B2763" t="s">
        <v>1981</v>
      </c>
      <c r="C2763" t="s">
        <v>67</v>
      </c>
      <c r="F2763" s="18" t="s">
        <v>1982</v>
      </c>
      <c r="G2763" t="s">
        <v>1983</v>
      </c>
      <c r="H2763" t="s">
        <v>5001</v>
      </c>
      <c r="I2763" t="s">
        <v>0</v>
      </c>
      <c r="J2763" t="s">
        <v>51</v>
      </c>
      <c r="K2763" t="s">
        <v>47</v>
      </c>
      <c r="L2763" t="s">
        <v>48</v>
      </c>
      <c r="M2763" t="s">
        <v>0</v>
      </c>
      <c r="N2763" t="s">
        <v>10114</v>
      </c>
      <c r="O2763" t="s">
        <v>0</v>
      </c>
      <c r="P2763" t="s">
        <v>10115</v>
      </c>
      <c r="Q2763" t="s">
        <v>10116</v>
      </c>
      <c r="R2763" t="s">
        <v>361</v>
      </c>
      <c r="S2763" t="s">
        <v>361</v>
      </c>
      <c r="T2763" t="s">
        <v>54</v>
      </c>
      <c r="U2763" t="s">
        <v>362</v>
      </c>
      <c r="V2763" t="s">
        <v>295</v>
      </c>
      <c r="W2763" t="s">
        <v>74</v>
      </c>
      <c r="X2763" t="s">
        <v>103</v>
      </c>
      <c r="AA2763" t="s">
        <v>296</v>
      </c>
      <c r="AB2763" t="s">
        <v>366</v>
      </c>
      <c r="AC2763" t="s">
        <v>278</v>
      </c>
      <c r="AD2763" t="s">
        <v>367</v>
      </c>
      <c r="AE2763" t="s">
        <v>82</v>
      </c>
      <c r="AF2763" t="s">
        <v>0</v>
      </c>
      <c r="AG2763" t="s">
        <v>0</v>
      </c>
      <c r="AH2763" s="1" t="s">
        <v>12297</v>
      </c>
      <c r="AI2763" s="1" t="s">
        <v>12298</v>
      </c>
      <c r="AJ2763" s="1" t="s">
        <v>12299</v>
      </c>
      <c r="AK2763" t="s">
        <v>61</v>
      </c>
      <c r="AL2763" t="s">
        <v>61</v>
      </c>
      <c r="AM2763" t="s">
        <v>0</v>
      </c>
      <c r="AN2763" t="s">
        <v>0</v>
      </c>
      <c r="AO2763" t="s">
        <v>0</v>
      </c>
      <c r="AP2763" t="s">
        <v>0</v>
      </c>
      <c r="AQ2763" t="s">
        <v>61</v>
      </c>
      <c r="AR2763" t="s">
        <v>0</v>
      </c>
      <c r="AS2763" t="str">
        <f>HYPERLINK("https://tessa.gazprom-neft.local/edo/card/d088f7f5-7d3d-4b6f-b2a5-63c3e5f04da0", "https://tessa.gazprom-neft.local/edo/card/d088f7f5-7d3d-4b6f-b2a5-63c3e5f04da0")</f>
        <v>https://tessa.gazprom-neft.local/edo/card/d088f7f5-7d3d-4b6f-b2a5-63c3e5f04da0</v>
      </c>
    </row>
    <row r="2764" spans="1:45" x14ac:dyDescent="0.25">
      <c r="A2764" t="s">
        <v>44</v>
      </c>
      <c r="B2764" t="s">
        <v>565</v>
      </c>
      <c r="C2764" t="s">
        <v>67</v>
      </c>
      <c r="F2764" s="18" t="s">
        <v>566</v>
      </c>
      <c r="G2764" t="s">
        <v>567</v>
      </c>
      <c r="H2764" t="s">
        <v>9548</v>
      </c>
      <c r="I2764" t="s">
        <v>0</v>
      </c>
      <c r="J2764" t="s">
        <v>156</v>
      </c>
      <c r="K2764" t="s">
        <v>47</v>
      </c>
      <c r="L2764" t="s">
        <v>48</v>
      </c>
      <c r="M2764" t="s">
        <v>0</v>
      </c>
      <c r="N2764" t="s">
        <v>10117</v>
      </c>
      <c r="O2764" t="s">
        <v>0</v>
      </c>
      <c r="P2764" t="s">
        <v>10118</v>
      </c>
      <c r="Q2764" t="s">
        <v>10119</v>
      </c>
      <c r="R2764" t="s">
        <v>505</v>
      </c>
      <c r="S2764" t="s">
        <v>10120</v>
      </c>
      <c r="T2764" t="s">
        <v>54</v>
      </c>
      <c r="U2764" t="s">
        <v>55</v>
      </c>
      <c r="V2764" t="s">
        <v>56</v>
      </c>
      <c r="W2764" t="s">
        <v>57</v>
      </c>
      <c r="X2764" t="s">
        <v>103</v>
      </c>
      <c r="AA2764" t="s">
        <v>0</v>
      </c>
      <c r="AB2764" t="s">
        <v>130</v>
      </c>
      <c r="AC2764" t="s">
        <v>79</v>
      </c>
      <c r="AD2764" t="s">
        <v>80</v>
      </c>
      <c r="AE2764" t="s">
        <v>82</v>
      </c>
      <c r="AF2764" t="s">
        <v>0</v>
      </c>
      <c r="AG2764" t="s">
        <v>0</v>
      </c>
      <c r="AH2764" s="1" t="s">
        <v>14206</v>
      </c>
      <c r="AI2764" s="1" t="s">
        <v>14207</v>
      </c>
      <c r="AJ2764" s="1" t="s">
        <v>14208</v>
      </c>
      <c r="AK2764" t="s">
        <v>61</v>
      </c>
      <c r="AL2764" t="s">
        <v>61</v>
      </c>
      <c r="AM2764" t="s">
        <v>0</v>
      </c>
      <c r="AN2764" t="s">
        <v>0</v>
      </c>
      <c r="AO2764" t="s">
        <v>0</v>
      </c>
      <c r="AP2764" t="s">
        <v>0</v>
      </c>
      <c r="AQ2764" t="s">
        <v>61</v>
      </c>
      <c r="AR2764" t="s">
        <v>0</v>
      </c>
      <c r="AS2764" t="str">
        <f>HYPERLINK("https://tessa.gazprom-neft.local/edo/card/34049595-6b0f-4d29-9293-f09d78a0460f", "https://tessa.gazprom-neft.local/edo/card/34049595-6b0f-4d29-9293-f09d78a0460f")</f>
        <v>https://tessa.gazprom-neft.local/edo/card/34049595-6b0f-4d29-9293-f09d78a0460f</v>
      </c>
    </row>
    <row r="2765" spans="1:45" hidden="1" x14ac:dyDescent="0.25">
      <c r="A2765" t="s">
        <v>44</v>
      </c>
      <c r="B2765" t="s">
        <v>3326</v>
      </c>
      <c r="C2765" t="s">
        <v>67</v>
      </c>
      <c r="F2765" s="18" t="s">
        <v>3327</v>
      </c>
      <c r="G2765" t="s">
        <v>3328</v>
      </c>
      <c r="H2765" t="s">
        <v>0</v>
      </c>
      <c r="I2765" t="s">
        <v>10122</v>
      </c>
      <c r="J2765" t="s">
        <v>10122</v>
      </c>
      <c r="K2765" t="s">
        <v>47</v>
      </c>
      <c r="L2765" t="s">
        <v>96</v>
      </c>
      <c r="M2765" t="s">
        <v>0</v>
      </c>
      <c r="N2765" t="s">
        <v>10121</v>
      </c>
      <c r="O2765" t="s">
        <v>0</v>
      </c>
      <c r="P2765" t="s">
        <v>10123</v>
      </c>
      <c r="Q2765" t="s">
        <v>10124</v>
      </c>
      <c r="R2765" t="s">
        <v>6771</v>
      </c>
      <c r="S2765" t="s">
        <v>6771</v>
      </c>
      <c r="T2765" t="s">
        <v>54</v>
      </c>
      <c r="U2765" t="s">
        <v>362</v>
      </c>
      <c r="V2765" t="s">
        <v>295</v>
      </c>
      <c r="W2765" t="s">
        <v>57</v>
      </c>
      <c r="X2765" t="s">
        <v>103</v>
      </c>
      <c r="AA2765" t="s">
        <v>296</v>
      </c>
      <c r="AB2765" t="s">
        <v>64</v>
      </c>
      <c r="AC2765" t="s">
        <v>79</v>
      </c>
      <c r="AD2765" t="s">
        <v>80</v>
      </c>
      <c r="AE2765" t="s">
        <v>82</v>
      </c>
      <c r="AF2765" t="s">
        <v>0</v>
      </c>
      <c r="AG2765" t="s">
        <v>0</v>
      </c>
      <c r="AH2765" s="1" t="s">
        <v>14209</v>
      </c>
      <c r="AI2765" s="1" t="s">
        <v>14210</v>
      </c>
      <c r="AJ2765" s="1" t="s">
        <v>14211</v>
      </c>
      <c r="AK2765" t="s">
        <v>61</v>
      </c>
      <c r="AL2765" t="s">
        <v>61</v>
      </c>
      <c r="AM2765" t="s">
        <v>0</v>
      </c>
      <c r="AN2765" t="s">
        <v>0</v>
      </c>
      <c r="AO2765" t="s">
        <v>0</v>
      </c>
      <c r="AP2765" t="s">
        <v>0</v>
      </c>
      <c r="AQ2765" t="s">
        <v>61</v>
      </c>
      <c r="AR2765" t="s">
        <v>0</v>
      </c>
      <c r="AS2765" t="str">
        <f>HYPERLINK("https://tessa.gazprom-neft.local/edo/card/39488e73-14cf-4386-a242-3ba3164c2051", "https://tessa.gazprom-neft.local/edo/card/39488e73-14cf-4386-a242-3ba3164c2051")</f>
        <v>https://tessa.gazprom-neft.local/edo/card/39488e73-14cf-4386-a242-3ba3164c2051</v>
      </c>
    </row>
    <row r="2766" spans="1:45" hidden="1" x14ac:dyDescent="0.25">
      <c r="A2766" t="s">
        <v>44</v>
      </c>
      <c r="B2766" t="s">
        <v>170</v>
      </c>
      <c r="C2766" t="s">
        <v>67</v>
      </c>
      <c r="F2766" s="18" t="s">
        <v>171</v>
      </c>
      <c r="G2766" t="s">
        <v>172</v>
      </c>
      <c r="H2766" t="s">
        <v>163</v>
      </c>
      <c r="I2766" t="s">
        <v>0</v>
      </c>
      <c r="J2766" t="s">
        <v>712</v>
      </c>
      <c r="K2766" t="s">
        <v>47</v>
      </c>
      <c r="L2766" t="s">
        <v>239</v>
      </c>
      <c r="M2766" t="s">
        <v>0</v>
      </c>
      <c r="N2766" t="s">
        <v>10125</v>
      </c>
      <c r="O2766" t="s">
        <v>0</v>
      </c>
      <c r="P2766" t="s">
        <v>10126</v>
      </c>
      <c r="Q2766" t="s">
        <v>10127</v>
      </c>
      <c r="R2766" t="s">
        <v>166</v>
      </c>
      <c r="S2766" t="s">
        <v>166</v>
      </c>
      <c r="T2766" t="s">
        <v>54</v>
      </c>
      <c r="U2766" t="s">
        <v>167</v>
      </c>
      <c r="V2766" t="s">
        <v>168</v>
      </c>
      <c r="W2766" t="s">
        <v>74</v>
      </c>
      <c r="X2766" t="s">
        <v>103</v>
      </c>
      <c r="AA2766" t="s">
        <v>169</v>
      </c>
      <c r="AB2766" t="s">
        <v>130</v>
      </c>
      <c r="AC2766" t="s">
        <v>79</v>
      </c>
      <c r="AD2766" t="s">
        <v>80</v>
      </c>
      <c r="AE2766" t="s">
        <v>82</v>
      </c>
      <c r="AF2766" t="s">
        <v>0</v>
      </c>
      <c r="AG2766" t="s">
        <v>0</v>
      </c>
      <c r="AH2766" s="1" t="s">
        <v>14212</v>
      </c>
      <c r="AI2766" s="1" t="s">
        <v>14213</v>
      </c>
      <c r="AJ2766" s="1" t="s">
        <v>14214</v>
      </c>
      <c r="AK2766" t="s">
        <v>61</v>
      </c>
      <c r="AL2766" t="s">
        <v>61</v>
      </c>
      <c r="AM2766" t="s">
        <v>0</v>
      </c>
      <c r="AN2766" t="s">
        <v>0</v>
      </c>
      <c r="AO2766" t="s">
        <v>0</v>
      </c>
      <c r="AP2766" t="s">
        <v>0</v>
      </c>
      <c r="AQ2766" t="s">
        <v>61</v>
      </c>
      <c r="AR2766" t="s">
        <v>0</v>
      </c>
      <c r="AS2766" t="str">
        <f>HYPERLINK("https://tessa.gazprom-neft.local/edo/card/92db00b1-e78f-46c7-9b84-0032918276e5", "https://tessa.gazprom-neft.local/edo/card/92db00b1-e78f-46c7-9b84-0032918276e5")</f>
        <v>https://tessa.gazprom-neft.local/edo/card/92db00b1-e78f-46c7-9b84-0032918276e5</v>
      </c>
    </row>
    <row r="2767" spans="1:45" x14ac:dyDescent="0.25">
      <c r="A2767" t="s">
        <v>44</v>
      </c>
      <c r="B2767" t="s">
        <v>565</v>
      </c>
      <c r="C2767" t="s">
        <v>67</v>
      </c>
      <c r="F2767" s="18" t="s">
        <v>653</v>
      </c>
      <c r="G2767" t="s">
        <v>567</v>
      </c>
      <c r="H2767" t="s">
        <v>4873</v>
      </c>
      <c r="I2767" t="s">
        <v>0</v>
      </c>
      <c r="J2767" t="s">
        <v>1098</v>
      </c>
      <c r="K2767" t="s">
        <v>47</v>
      </c>
      <c r="L2767" t="s">
        <v>48</v>
      </c>
      <c r="M2767" t="s">
        <v>0</v>
      </c>
      <c r="N2767" t="s">
        <v>10128</v>
      </c>
      <c r="O2767" t="s">
        <v>0</v>
      </c>
      <c r="P2767" t="s">
        <v>10129</v>
      </c>
      <c r="Q2767" t="s">
        <v>10130</v>
      </c>
      <c r="R2767" t="s">
        <v>361</v>
      </c>
      <c r="S2767" t="s">
        <v>361</v>
      </c>
      <c r="T2767" t="s">
        <v>54</v>
      </c>
      <c r="U2767" t="s">
        <v>362</v>
      </c>
      <c r="V2767" t="s">
        <v>295</v>
      </c>
      <c r="W2767" t="s">
        <v>74</v>
      </c>
      <c r="X2767" t="s">
        <v>103</v>
      </c>
      <c r="AA2767" t="s">
        <v>296</v>
      </c>
      <c r="AB2767" t="s">
        <v>366</v>
      </c>
      <c r="AC2767" t="s">
        <v>278</v>
      </c>
      <c r="AD2767" t="s">
        <v>367</v>
      </c>
      <c r="AE2767" t="s">
        <v>82</v>
      </c>
      <c r="AF2767" t="s">
        <v>0</v>
      </c>
      <c r="AG2767" t="s">
        <v>0</v>
      </c>
      <c r="AH2767" s="1" t="s">
        <v>14215</v>
      </c>
      <c r="AI2767" s="1" t="s">
        <v>14216</v>
      </c>
      <c r="AJ2767" s="1" t="s">
        <v>14217</v>
      </c>
      <c r="AK2767" t="s">
        <v>61</v>
      </c>
      <c r="AL2767" t="s">
        <v>61</v>
      </c>
      <c r="AM2767" t="s">
        <v>0</v>
      </c>
      <c r="AN2767" t="s">
        <v>0</v>
      </c>
      <c r="AO2767" t="s">
        <v>0</v>
      </c>
      <c r="AP2767" t="s">
        <v>0</v>
      </c>
      <c r="AQ2767" t="s">
        <v>61</v>
      </c>
      <c r="AR2767" t="s">
        <v>0</v>
      </c>
      <c r="AS2767" t="str">
        <f>HYPERLINK("https://tessa.gazprom-neft.local/edo/card/18c2d2c1-ba55-4a55-b4dc-88dbc2b6bc85", "https://tessa.gazprom-neft.local/edo/card/18c2d2c1-ba55-4a55-b4dc-88dbc2b6bc85")</f>
        <v>https://tessa.gazprom-neft.local/edo/card/18c2d2c1-ba55-4a55-b4dc-88dbc2b6bc85</v>
      </c>
    </row>
    <row r="2768" spans="1:45" hidden="1" x14ac:dyDescent="0.25">
      <c r="A2768" t="s">
        <v>44</v>
      </c>
      <c r="B2768" t="s">
        <v>2744</v>
      </c>
      <c r="C2768" t="s">
        <v>67</v>
      </c>
      <c r="F2768" s="18" t="s">
        <v>2745</v>
      </c>
      <c r="G2768" t="s">
        <v>2746</v>
      </c>
      <c r="H2768" t="s">
        <v>0</v>
      </c>
      <c r="I2768" t="s">
        <v>10132</v>
      </c>
      <c r="J2768" t="s">
        <v>10132</v>
      </c>
      <c r="K2768" t="s">
        <v>85</v>
      </c>
      <c r="L2768" t="s">
        <v>96</v>
      </c>
      <c r="M2768" t="s">
        <v>183</v>
      </c>
      <c r="N2768" t="s">
        <v>10131</v>
      </c>
      <c r="O2768" t="s">
        <v>0</v>
      </c>
      <c r="P2768" t="s">
        <v>183</v>
      </c>
      <c r="Q2768" t="s">
        <v>10133</v>
      </c>
      <c r="R2768" t="s">
        <v>1711</v>
      </c>
      <c r="S2768" t="s">
        <v>1711</v>
      </c>
      <c r="T2768" t="s">
        <v>54</v>
      </c>
      <c r="U2768" t="s">
        <v>605</v>
      </c>
      <c r="V2768" t="s">
        <v>137</v>
      </c>
      <c r="W2768" t="s">
        <v>57</v>
      </c>
      <c r="X2768" t="s">
        <v>103</v>
      </c>
      <c r="AA2768" t="s">
        <v>0</v>
      </c>
      <c r="AB2768" t="s">
        <v>192</v>
      </c>
      <c r="AC2768" t="s">
        <v>79</v>
      </c>
      <c r="AD2768" t="s">
        <v>80</v>
      </c>
      <c r="AE2768" t="s">
        <v>193</v>
      </c>
      <c r="AF2768" t="s">
        <v>0</v>
      </c>
      <c r="AG2768" t="s">
        <v>0</v>
      </c>
      <c r="AH2768" s="1" t="s">
        <v>14218</v>
      </c>
      <c r="AI2768" s="1" t="s">
        <v>14219</v>
      </c>
      <c r="AJ2768" s="1" t="s">
        <v>14220</v>
      </c>
      <c r="AK2768" t="s">
        <v>61</v>
      </c>
      <c r="AL2768" t="s">
        <v>61</v>
      </c>
      <c r="AM2768" t="s">
        <v>0</v>
      </c>
      <c r="AN2768" t="s">
        <v>0</v>
      </c>
      <c r="AO2768" t="s">
        <v>0</v>
      </c>
      <c r="AP2768" t="s">
        <v>0</v>
      </c>
      <c r="AQ2768" t="s">
        <v>61</v>
      </c>
      <c r="AR2768" t="s">
        <v>0</v>
      </c>
      <c r="AS2768" t="str">
        <f>HYPERLINK("https://tessa.gazprom-neft.local/edo/card/5081a95e-3b75-4e69-a502-570d63971177", "https://tessa.gazprom-neft.local/edo/card/5081a95e-3b75-4e69-a502-570d63971177")</f>
        <v>https://tessa.gazprom-neft.local/edo/card/5081a95e-3b75-4e69-a502-570d63971177</v>
      </c>
    </row>
    <row r="2769" spans="1:45" hidden="1" x14ac:dyDescent="0.25">
      <c r="A2769" t="s">
        <v>44</v>
      </c>
      <c r="B2769" t="s">
        <v>0</v>
      </c>
      <c r="C2769" t="s">
        <v>67</v>
      </c>
      <c r="F2769" s="18" t="s">
        <v>4001</v>
      </c>
      <c r="G2769" t="s">
        <v>0</v>
      </c>
      <c r="H2769" t="s">
        <v>0</v>
      </c>
      <c r="I2769" t="s">
        <v>10135</v>
      </c>
      <c r="J2769" t="s">
        <v>10135</v>
      </c>
      <c r="K2769" t="s">
        <v>85</v>
      </c>
      <c r="L2769" t="s">
        <v>86</v>
      </c>
      <c r="M2769" t="s">
        <v>440</v>
      </c>
      <c r="N2769" t="s">
        <v>10134</v>
      </c>
      <c r="O2769" t="s">
        <v>0</v>
      </c>
      <c r="P2769" t="s">
        <v>440</v>
      </c>
      <c r="Q2769" t="s">
        <v>10136</v>
      </c>
      <c r="R2769" t="s">
        <v>2079</v>
      </c>
      <c r="S2769" t="s">
        <v>2079</v>
      </c>
      <c r="T2769" t="s">
        <v>54</v>
      </c>
      <c r="U2769" t="s">
        <v>55</v>
      </c>
      <c r="V2769" t="s">
        <v>91</v>
      </c>
      <c r="W2769" t="s">
        <v>57</v>
      </c>
      <c r="X2769" t="s">
        <v>103</v>
      </c>
      <c r="AA2769" t="s">
        <v>92</v>
      </c>
      <c r="AB2769" t="s">
        <v>94</v>
      </c>
      <c r="AC2769" t="s">
        <v>65</v>
      </c>
      <c r="AD2769" t="s">
        <v>0</v>
      </c>
      <c r="AE2769" t="s">
        <v>0</v>
      </c>
      <c r="AF2769" t="s">
        <v>0</v>
      </c>
      <c r="AG2769" t="s">
        <v>0</v>
      </c>
      <c r="AH2769" s="1" t="s">
        <v>0</v>
      </c>
      <c r="AI2769" s="1" t="s">
        <v>0</v>
      </c>
      <c r="AJ2769" s="1" t="s">
        <v>0</v>
      </c>
      <c r="AK2769" t="s">
        <v>61</v>
      </c>
      <c r="AL2769" t="s">
        <v>61</v>
      </c>
      <c r="AM2769" t="s">
        <v>0</v>
      </c>
      <c r="AN2769" t="s">
        <v>0</v>
      </c>
      <c r="AO2769" t="s">
        <v>0</v>
      </c>
      <c r="AP2769" t="s">
        <v>0</v>
      </c>
      <c r="AQ2769" t="s">
        <v>61</v>
      </c>
      <c r="AR2769" t="s">
        <v>0</v>
      </c>
      <c r="AS2769" t="str">
        <f>HYPERLINK("https://tessa.gazprom-neft.local/edo/card/15ef582a-f9df-4847-af93-bdcea29bb1e8", "https://tessa.gazprom-neft.local/edo/card/15ef582a-f9df-4847-af93-bdcea29bb1e8")</f>
        <v>https://tessa.gazprom-neft.local/edo/card/15ef582a-f9df-4847-af93-bdcea29bb1e8</v>
      </c>
    </row>
    <row r="2770" spans="1:45" hidden="1" x14ac:dyDescent="0.25">
      <c r="A2770" t="s">
        <v>44</v>
      </c>
      <c r="B2770" t="s">
        <v>2744</v>
      </c>
      <c r="C2770" t="s">
        <v>67</v>
      </c>
      <c r="F2770" s="18" t="s">
        <v>2745</v>
      </c>
      <c r="G2770" t="s">
        <v>2746</v>
      </c>
      <c r="H2770" t="s">
        <v>0</v>
      </c>
      <c r="I2770" t="s">
        <v>10138</v>
      </c>
      <c r="J2770" t="s">
        <v>10138</v>
      </c>
      <c r="K2770" t="s">
        <v>85</v>
      </c>
      <c r="L2770" t="s">
        <v>86</v>
      </c>
      <c r="M2770" t="s">
        <v>523</v>
      </c>
      <c r="N2770" t="s">
        <v>10137</v>
      </c>
      <c r="O2770" t="s">
        <v>0</v>
      </c>
      <c r="P2770" t="s">
        <v>523</v>
      </c>
      <c r="Q2770" t="s">
        <v>10139</v>
      </c>
      <c r="R2770" t="s">
        <v>1711</v>
      </c>
      <c r="S2770" t="s">
        <v>1711</v>
      </c>
      <c r="T2770" t="s">
        <v>54</v>
      </c>
      <c r="U2770" t="s">
        <v>605</v>
      </c>
      <c r="V2770" t="s">
        <v>137</v>
      </c>
      <c r="W2770" t="s">
        <v>57</v>
      </c>
      <c r="X2770" t="s">
        <v>103</v>
      </c>
      <c r="AA2770" t="s">
        <v>0</v>
      </c>
      <c r="AB2770" t="s">
        <v>94</v>
      </c>
      <c r="AC2770" t="s">
        <v>65</v>
      </c>
      <c r="AD2770" t="s">
        <v>80</v>
      </c>
      <c r="AE2770" t="s">
        <v>0</v>
      </c>
      <c r="AF2770" t="s">
        <v>0</v>
      </c>
      <c r="AG2770" t="s">
        <v>0</v>
      </c>
      <c r="AH2770" s="1" t="s">
        <v>0</v>
      </c>
      <c r="AI2770" s="1" t="s">
        <v>0</v>
      </c>
      <c r="AJ2770" s="1" t="s">
        <v>0</v>
      </c>
      <c r="AK2770" t="s">
        <v>61</v>
      </c>
      <c r="AL2770" t="s">
        <v>61</v>
      </c>
      <c r="AM2770" t="s">
        <v>0</v>
      </c>
      <c r="AN2770" t="s">
        <v>0</v>
      </c>
      <c r="AO2770" t="s">
        <v>0</v>
      </c>
      <c r="AP2770" t="s">
        <v>0</v>
      </c>
      <c r="AQ2770" t="s">
        <v>61</v>
      </c>
      <c r="AR2770" t="s">
        <v>0</v>
      </c>
      <c r="AS2770" t="str">
        <f>HYPERLINK("https://tessa.gazprom-neft.local/edo/card/0ad44ee2-df55-4451-91d8-4d82c74c69b7", "https://tessa.gazprom-neft.local/edo/card/0ad44ee2-df55-4451-91d8-4d82c74c69b7")</f>
        <v>https://tessa.gazprom-neft.local/edo/card/0ad44ee2-df55-4451-91d8-4d82c74c69b7</v>
      </c>
    </row>
    <row r="2771" spans="1:45" x14ac:dyDescent="0.25">
      <c r="A2771" t="s">
        <v>44</v>
      </c>
      <c r="B2771" t="s">
        <v>7566</v>
      </c>
      <c r="C2771" t="s">
        <v>67</v>
      </c>
      <c r="F2771" s="18" t="s">
        <v>7567</v>
      </c>
      <c r="G2771" t="s">
        <v>7568</v>
      </c>
      <c r="H2771" t="s">
        <v>6426</v>
      </c>
      <c r="I2771" t="s">
        <v>0</v>
      </c>
      <c r="J2771" t="s">
        <v>51</v>
      </c>
      <c r="K2771" t="s">
        <v>47</v>
      </c>
      <c r="L2771" t="s">
        <v>48</v>
      </c>
      <c r="M2771" t="s">
        <v>0</v>
      </c>
      <c r="N2771" t="s">
        <v>10140</v>
      </c>
      <c r="O2771" t="s">
        <v>0</v>
      </c>
      <c r="P2771" t="s">
        <v>50</v>
      </c>
      <c r="Q2771" t="s">
        <v>10141</v>
      </c>
      <c r="R2771" t="s">
        <v>836</v>
      </c>
      <c r="S2771" t="s">
        <v>836</v>
      </c>
      <c r="T2771" t="s">
        <v>54</v>
      </c>
      <c r="U2771" t="s">
        <v>294</v>
      </c>
      <c r="V2771" t="s">
        <v>295</v>
      </c>
      <c r="W2771" t="s">
        <v>57</v>
      </c>
      <c r="X2771" t="s">
        <v>103</v>
      </c>
      <c r="AA2771" t="s">
        <v>296</v>
      </c>
      <c r="AB2771" t="s">
        <v>64</v>
      </c>
      <c r="AC2771" t="s">
        <v>79</v>
      </c>
      <c r="AD2771" t="s">
        <v>80</v>
      </c>
      <c r="AE2771" t="s">
        <v>82</v>
      </c>
      <c r="AF2771" t="s">
        <v>0</v>
      </c>
      <c r="AG2771" t="s">
        <v>0</v>
      </c>
      <c r="AH2771" s="1" t="s">
        <v>14221</v>
      </c>
      <c r="AI2771" s="1" t="s">
        <v>14222</v>
      </c>
      <c r="AJ2771" s="1" t="s">
        <v>14223</v>
      </c>
      <c r="AK2771" t="s">
        <v>61</v>
      </c>
      <c r="AL2771" t="s">
        <v>61</v>
      </c>
      <c r="AM2771" t="s">
        <v>0</v>
      </c>
      <c r="AN2771" t="s">
        <v>0</v>
      </c>
      <c r="AO2771" t="s">
        <v>0</v>
      </c>
      <c r="AP2771" t="s">
        <v>0</v>
      </c>
      <c r="AQ2771" t="s">
        <v>61</v>
      </c>
      <c r="AR2771" t="s">
        <v>0</v>
      </c>
      <c r="AS2771" t="str">
        <f>HYPERLINK("https://tessa.gazprom-neft.local/edo/card/c99feae3-fc75-410c-ab88-cb27df8cffc9", "https://tessa.gazprom-neft.local/edo/card/c99feae3-fc75-410c-ab88-cb27df8cffc9")</f>
        <v>https://tessa.gazprom-neft.local/edo/card/c99feae3-fc75-410c-ab88-cb27df8cffc9</v>
      </c>
    </row>
    <row r="2772" spans="1:45" x14ac:dyDescent="0.25">
      <c r="A2772" t="s">
        <v>44</v>
      </c>
      <c r="B2772" t="s">
        <v>2898</v>
      </c>
      <c r="C2772" t="s">
        <v>67</v>
      </c>
      <c r="F2772" s="18" t="s">
        <v>2899</v>
      </c>
      <c r="G2772" t="s">
        <v>2900</v>
      </c>
      <c r="H2772" t="s">
        <v>10026</v>
      </c>
      <c r="I2772" t="s">
        <v>0</v>
      </c>
      <c r="J2772" t="s">
        <v>156</v>
      </c>
      <c r="K2772" t="s">
        <v>85</v>
      </c>
      <c r="L2772" t="s">
        <v>48</v>
      </c>
      <c r="M2772" t="s">
        <v>2128</v>
      </c>
      <c r="N2772" t="s">
        <v>10142</v>
      </c>
      <c r="O2772" t="s">
        <v>0</v>
      </c>
      <c r="P2772" t="s">
        <v>2128</v>
      </c>
      <c r="Q2772" t="s">
        <v>10143</v>
      </c>
      <c r="R2772" t="s">
        <v>590</v>
      </c>
      <c r="S2772" t="s">
        <v>590</v>
      </c>
      <c r="T2772" t="s">
        <v>54</v>
      </c>
      <c r="U2772" t="s">
        <v>591</v>
      </c>
      <c r="V2772" t="s">
        <v>126</v>
      </c>
      <c r="W2772" t="s">
        <v>57</v>
      </c>
      <c r="X2772" t="s">
        <v>58</v>
      </c>
      <c r="AA2772" t="s">
        <v>224</v>
      </c>
      <c r="AB2772" t="s">
        <v>387</v>
      </c>
      <c r="AC2772" t="s">
        <v>65</v>
      </c>
      <c r="AD2772" t="s">
        <v>0</v>
      </c>
      <c r="AE2772" t="s">
        <v>0</v>
      </c>
      <c r="AF2772" t="s">
        <v>0</v>
      </c>
      <c r="AG2772" t="s">
        <v>0</v>
      </c>
      <c r="AH2772" s="1" t="s">
        <v>0</v>
      </c>
      <c r="AI2772" s="1" t="s">
        <v>0</v>
      </c>
      <c r="AJ2772" s="1" t="s">
        <v>0</v>
      </c>
      <c r="AK2772" t="s">
        <v>61</v>
      </c>
      <c r="AL2772" t="s">
        <v>61</v>
      </c>
      <c r="AM2772" t="s">
        <v>0</v>
      </c>
      <c r="AN2772" t="s">
        <v>0</v>
      </c>
      <c r="AO2772" t="s">
        <v>0</v>
      </c>
      <c r="AP2772" t="s">
        <v>0</v>
      </c>
      <c r="AQ2772" t="s">
        <v>61</v>
      </c>
      <c r="AR2772" t="s">
        <v>0</v>
      </c>
      <c r="AS2772" t="str">
        <f>HYPERLINK("https://tessa.gazprom-neft.local/edo/card/d7518edf-1dd2-4abf-bf5c-1e0b3c74e007", "https://tessa.gazprom-neft.local/edo/card/d7518edf-1dd2-4abf-bf5c-1e0b3c74e007")</f>
        <v>https://tessa.gazprom-neft.local/edo/card/d7518edf-1dd2-4abf-bf5c-1e0b3c74e007</v>
      </c>
    </row>
    <row r="2773" spans="1:45" x14ac:dyDescent="0.25">
      <c r="A2773" t="s">
        <v>44</v>
      </c>
      <c r="B2773" t="s">
        <v>3172</v>
      </c>
      <c r="C2773" t="s">
        <v>67</v>
      </c>
      <c r="F2773" s="18" t="s">
        <v>3173</v>
      </c>
      <c r="G2773" t="s">
        <v>3174</v>
      </c>
      <c r="H2773" t="s">
        <v>7654</v>
      </c>
      <c r="I2773" t="s">
        <v>0</v>
      </c>
      <c r="J2773" t="s">
        <v>355</v>
      </c>
      <c r="K2773" t="s">
        <v>85</v>
      </c>
      <c r="L2773" t="s">
        <v>48</v>
      </c>
      <c r="M2773" t="s">
        <v>2128</v>
      </c>
      <c r="N2773" t="s">
        <v>10144</v>
      </c>
      <c r="O2773" t="s">
        <v>0</v>
      </c>
      <c r="P2773" t="s">
        <v>2128</v>
      </c>
      <c r="Q2773" t="s">
        <v>8568</v>
      </c>
      <c r="R2773" t="s">
        <v>590</v>
      </c>
      <c r="S2773" t="s">
        <v>394</v>
      </c>
      <c r="T2773" t="s">
        <v>54</v>
      </c>
      <c r="U2773" t="s">
        <v>591</v>
      </c>
      <c r="V2773" t="s">
        <v>126</v>
      </c>
      <c r="W2773" t="s">
        <v>57</v>
      </c>
      <c r="X2773" t="s">
        <v>58</v>
      </c>
      <c r="AA2773" t="s">
        <v>224</v>
      </c>
      <c r="AB2773" t="s">
        <v>387</v>
      </c>
      <c r="AC2773" t="s">
        <v>65</v>
      </c>
      <c r="AD2773" t="s">
        <v>0</v>
      </c>
      <c r="AE2773" t="s">
        <v>0</v>
      </c>
      <c r="AF2773" t="s">
        <v>0</v>
      </c>
      <c r="AG2773" t="s">
        <v>0</v>
      </c>
      <c r="AH2773" s="1" t="s">
        <v>0</v>
      </c>
      <c r="AI2773" s="1" t="s">
        <v>0</v>
      </c>
      <c r="AJ2773" s="1" t="s">
        <v>0</v>
      </c>
      <c r="AK2773" t="s">
        <v>61</v>
      </c>
      <c r="AL2773" t="s">
        <v>61</v>
      </c>
      <c r="AM2773" t="s">
        <v>0</v>
      </c>
      <c r="AN2773" t="s">
        <v>0</v>
      </c>
      <c r="AO2773" t="s">
        <v>0</v>
      </c>
      <c r="AP2773" t="s">
        <v>0</v>
      </c>
      <c r="AQ2773" t="s">
        <v>61</v>
      </c>
      <c r="AR2773" t="s">
        <v>0</v>
      </c>
      <c r="AS2773" t="str">
        <f>HYPERLINK("https://tessa.gazprom-neft.local/edo/card/2c8252ed-c69c-4280-a933-d3a893c899d0", "https://tessa.gazprom-neft.local/edo/card/2c8252ed-c69c-4280-a933-d3a893c899d0")</f>
        <v>https://tessa.gazprom-neft.local/edo/card/2c8252ed-c69c-4280-a933-d3a893c899d0</v>
      </c>
    </row>
    <row r="2774" spans="1:45" hidden="1" x14ac:dyDescent="0.25">
      <c r="A2774" t="s">
        <v>44</v>
      </c>
      <c r="B2774" t="s">
        <v>2001</v>
      </c>
      <c r="C2774" t="s">
        <v>67</v>
      </c>
      <c r="F2774" s="18" t="s">
        <v>2002</v>
      </c>
      <c r="G2774" t="s">
        <v>2003</v>
      </c>
      <c r="H2774" t="s">
        <v>1998</v>
      </c>
      <c r="I2774" t="s">
        <v>0</v>
      </c>
      <c r="J2774" t="s">
        <v>156</v>
      </c>
      <c r="K2774" t="s">
        <v>47</v>
      </c>
      <c r="L2774" t="s">
        <v>239</v>
      </c>
      <c r="M2774" t="s">
        <v>0</v>
      </c>
      <c r="N2774" t="s">
        <v>10145</v>
      </c>
      <c r="O2774" t="s">
        <v>0</v>
      </c>
      <c r="P2774" t="s">
        <v>9740</v>
      </c>
      <c r="Q2774" t="s">
        <v>10146</v>
      </c>
      <c r="R2774" t="s">
        <v>768</v>
      </c>
      <c r="S2774" t="s">
        <v>1503</v>
      </c>
      <c r="T2774" t="s">
        <v>54</v>
      </c>
      <c r="U2774" t="s">
        <v>283</v>
      </c>
      <c r="V2774" t="s">
        <v>168</v>
      </c>
      <c r="W2774" t="s">
        <v>74</v>
      </c>
      <c r="X2774" t="s">
        <v>103</v>
      </c>
      <c r="AA2774" t="s">
        <v>169</v>
      </c>
      <c r="AB2774" t="s">
        <v>130</v>
      </c>
      <c r="AC2774" t="s">
        <v>79</v>
      </c>
      <c r="AD2774" t="s">
        <v>80</v>
      </c>
      <c r="AE2774" t="s">
        <v>82</v>
      </c>
      <c r="AF2774" t="s">
        <v>0</v>
      </c>
      <c r="AG2774" t="s">
        <v>0</v>
      </c>
      <c r="AH2774" s="1" t="s">
        <v>14224</v>
      </c>
      <c r="AI2774" s="1" t="s">
        <v>14225</v>
      </c>
      <c r="AJ2774" s="1" t="s">
        <v>14226</v>
      </c>
      <c r="AK2774" t="s">
        <v>61</v>
      </c>
      <c r="AL2774" t="s">
        <v>61</v>
      </c>
      <c r="AM2774" t="s">
        <v>0</v>
      </c>
      <c r="AN2774" t="s">
        <v>0</v>
      </c>
      <c r="AO2774" t="s">
        <v>0</v>
      </c>
      <c r="AP2774" t="s">
        <v>0</v>
      </c>
      <c r="AQ2774" t="s">
        <v>61</v>
      </c>
      <c r="AR2774" t="s">
        <v>0</v>
      </c>
      <c r="AS2774" t="str">
        <f>HYPERLINK("https://tessa.gazprom-neft.local/edo/card/85a0c2d0-96fe-4488-aeea-494060923bff", "https://tessa.gazprom-neft.local/edo/card/85a0c2d0-96fe-4488-aeea-494060923bff")</f>
        <v>https://tessa.gazprom-neft.local/edo/card/85a0c2d0-96fe-4488-aeea-494060923bff</v>
      </c>
    </row>
    <row r="2775" spans="1:45" hidden="1" x14ac:dyDescent="0.25">
      <c r="A2775" t="s">
        <v>44</v>
      </c>
      <c r="B2775" t="s">
        <v>284</v>
      </c>
      <c r="C2775" t="s">
        <v>67</v>
      </c>
      <c r="F2775" s="18" t="s">
        <v>285</v>
      </c>
      <c r="G2775" t="s">
        <v>286</v>
      </c>
      <c r="H2775" t="s">
        <v>0</v>
      </c>
      <c r="I2775" t="s">
        <v>419</v>
      </c>
      <c r="J2775" t="s">
        <v>419</v>
      </c>
      <c r="K2775" t="s">
        <v>85</v>
      </c>
      <c r="L2775" t="s">
        <v>96</v>
      </c>
      <c r="M2775" t="s">
        <v>1749</v>
      </c>
      <c r="N2775" t="s">
        <v>10147</v>
      </c>
      <c r="O2775" t="s">
        <v>0</v>
      </c>
      <c r="P2775" t="s">
        <v>1749</v>
      </c>
      <c r="Q2775" t="s">
        <v>10148</v>
      </c>
      <c r="R2775" t="s">
        <v>282</v>
      </c>
      <c r="S2775" t="s">
        <v>2883</v>
      </c>
      <c r="T2775" t="s">
        <v>54</v>
      </c>
      <c r="U2775" t="s">
        <v>55</v>
      </c>
      <c r="V2775" t="s">
        <v>56</v>
      </c>
      <c r="W2775" t="s">
        <v>57</v>
      </c>
      <c r="X2775" t="s">
        <v>103</v>
      </c>
      <c r="AA2775" t="s">
        <v>0</v>
      </c>
      <c r="AB2775" t="s">
        <v>423</v>
      </c>
      <c r="AC2775" t="s">
        <v>79</v>
      </c>
      <c r="AD2775" t="s">
        <v>144</v>
      </c>
      <c r="AE2775" t="s">
        <v>82</v>
      </c>
      <c r="AF2775" t="s">
        <v>0</v>
      </c>
      <c r="AG2775" t="s">
        <v>0</v>
      </c>
      <c r="AH2775" s="1" t="s">
        <v>14227</v>
      </c>
      <c r="AI2775" s="1" t="s">
        <v>14228</v>
      </c>
      <c r="AJ2775" s="1" t="s">
        <v>14229</v>
      </c>
      <c r="AK2775" t="s">
        <v>61</v>
      </c>
      <c r="AL2775" t="s">
        <v>61</v>
      </c>
      <c r="AM2775" t="s">
        <v>0</v>
      </c>
      <c r="AN2775" t="s">
        <v>0</v>
      </c>
      <c r="AO2775" t="s">
        <v>0</v>
      </c>
      <c r="AP2775" t="s">
        <v>0</v>
      </c>
      <c r="AQ2775" t="s">
        <v>61</v>
      </c>
      <c r="AR2775" t="s">
        <v>0</v>
      </c>
      <c r="AS2775" t="str">
        <f>HYPERLINK("https://tessa.gazprom-neft.local/edo/card/1014334f-6be9-4cae-a9f3-a14962219e12", "https://tessa.gazprom-neft.local/edo/card/1014334f-6be9-4cae-a9f3-a14962219e12")</f>
        <v>https://tessa.gazprom-neft.local/edo/card/1014334f-6be9-4cae-a9f3-a14962219e12</v>
      </c>
    </row>
    <row r="2776" spans="1:45" hidden="1" x14ac:dyDescent="0.25">
      <c r="A2776" t="s">
        <v>44</v>
      </c>
      <c r="B2776" t="s">
        <v>0</v>
      </c>
      <c r="C2776" t="s">
        <v>67</v>
      </c>
      <c r="F2776" s="18" t="s">
        <v>10152</v>
      </c>
      <c r="G2776" t="s">
        <v>0</v>
      </c>
      <c r="H2776" t="s">
        <v>0</v>
      </c>
      <c r="I2776" t="s">
        <v>10150</v>
      </c>
      <c r="J2776" t="s">
        <v>10150</v>
      </c>
      <c r="K2776" t="s">
        <v>85</v>
      </c>
      <c r="L2776" t="s">
        <v>96</v>
      </c>
      <c r="M2776" t="s">
        <v>183</v>
      </c>
      <c r="N2776" t="s">
        <v>10149</v>
      </c>
      <c r="O2776" t="s">
        <v>0</v>
      </c>
      <c r="P2776" t="s">
        <v>183</v>
      </c>
      <c r="Q2776" t="s">
        <v>10151</v>
      </c>
      <c r="R2776" t="s">
        <v>1011</v>
      </c>
      <c r="S2776" t="s">
        <v>1011</v>
      </c>
      <c r="T2776" t="s">
        <v>54</v>
      </c>
      <c r="U2776" t="s">
        <v>1012</v>
      </c>
      <c r="V2776" t="s">
        <v>137</v>
      </c>
      <c r="W2776" t="s">
        <v>57</v>
      </c>
      <c r="X2776" t="s">
        <v>103</v>
      </c>
      <c r="AA2776" t="s">
        <v>0</v>
      </c>
      <c r="AB2776" t="s">
        <v>192</v>
      </c>
      <c r="AC2776" t="s">
        <v>79</v>
      </c>
      <c r="AD2776" t="s">
        <v>80</v>
      </c>
      <c r="AE2776" t="s">
        <v>193</v>
      </c>
      <c r="AF2776" t="s">
        <v>0</v>
      </c>
      <c r="AG2776" t="s">
        <v>0</v>
      </c>
      <c r="AH2776" s="1" t="s">
        <v>14230</v>
      </c>
      <c r="AI2776" s="1" t="s">
        <v>14231</v>
      </c>
      <c r="AJ2776" s="1" t="s">
        <v>14232</v>
      </c>
      <c r="AK2776" t="s">
        <v>61</v>
      </c>
      <c r="AL2776" t="s">
        <v>61</v>
      </c>
      <c r="AM2776" t="s">
        <v>0</v>
      </c>
      <c r="AN2776" t="s">
        <v>0</v>
      </c>
      <c r="AO2776" t="s">
        <v>0</v>
      </c>
      <c r="AP2776" t="s">
        <v>0</v>
      </c>
      <c r="AQ2776" t="s">
        <v>61</v>
      </c>
      <c r="AR2776" t="s">
        <v>0</v>
      </c>
      <c r="AS2776" t="str">
        <f>HYPERLINK("https://tessa.gazprom-neft.local/edo/card/0781cc5e-a033-44dc-80f9-adc67aba60ba", "https://tessa.gazprom-neft.local/edo/card/0781cc5e-a033-44dc-80f9-adc67aba60ba")</f>
        <v>https://tessa.gazprom-neft.local/edo/card/0781cc5e-a033-44dc-80f9-adc67aba60ba</v>
      </c>
    </row>
    <row r="2777" spans="1:45" hidden="1" x14ac:dyDescent="0.25">
      <c r="A2777" t="s">
        <v>44</v>
      </c>
      <c r="B2777" t="s">
        <v>0</v>
      </c>
      <c r="C2777" t="s">
        <v>67</v>
      </c>
      <c r="F2777" s="18" t="s">
        <v>10157</v>
      </c>
      <c r="G2777" t="s">
        <v>0</v>
      </c>
      <c r="H2777" t="s">
        <v>0</v>
      </c>
      <c r="I2777" t="s">
        <v>10154</v>
      </c>
      <c r="J2777" t="s">
        <v>10154</v>
      </c>
      <c r="K2777" t="s">
        <v>47</v>
      </c>
      <c r="L2777" t="s">
        <v>86</v>
      </c>
      <c r="M2777" t="s">
        <v>0</v>
      </c>
      <c r="N2777" t="s">
        <v>10153</v>
      </c>
      <c r="O2777" t="s">
        <v>0</v>
      </c>
      <c r="P2777" t="s">
        <v>10155</v>
      </c>
      <c r="Q2777" t="s">
        <v>10156</v>
      </c>
      <c r="R2777" t="s">
        <v>135</v>
      </c>
      <c r="S2777" t="s">
        <v>0</v>
      </c>
      <c r="T2777" t="s">
        <v>54</v>
      </c>
      <c r="U2777" t="s">
        <v>136</v>
      </c>
      <c r="V2777" t="s">
        <v>168</v>
      </c>
      <c r="W2777" t="s">
        <v>57</v>
      </c>
      <c r="X2777" t="s">
        <v>103</v>
      </c>
      <c r="AA2777" t="s">
        <v>169</v>
      </c>
      <c r="AB2777" t="s">
        <v>130</v>
      </c>
      <c r="AC2777" t="s">
        <v>79</v>
      </c>
      <c r="AD2777" t="s">
        <v>80</v>
      </c>
      <c r="AE2777" t="s">
        <v>82</v>
      </c>
      <c r="AF2777" t="s">
        <v>0</v>
      </c>
      <c r="AG2777" t="s">
        <v>0</v>
      </c>
      <c r="AH2777" s="1" t="s">
        <v>14233</v>
      </c>
      <c r="AI2777" s="1" t="s">
        <v>14234</v>
      </c>
      <c r="AJ2777" s="1" t="s">
        <v>14235</v>
      </c>
      <c r="AK2777" t="s">
        <v>61</v>
      </c>
      <c r="AL2777" t="s">
        <v>61</v>
      </c>
      <c r="AM2777" t="s">
        <v>0</v>
      </c>
      <c r="AN2777" t="s">
        <v>0</v>
      </c>
      <c r="AO2777" t="s">
        <v>0</v>
      </c>
      <c r="AP2777" t="s">
        <v>0</v>
      </c>
      <c r="AQ2777" t="s">
        <v>61</v>
      </c>
      <c r="AR2777" t="s">
        <v>0</v>
      </c>
      <c r="AS2777" t="str">
        <f>HYPERLINK("https://tessa.gazprom-neft.local/edo/card/dc3acbd6-9261-40f8-94bd-b8e1c3fa3ab5", "https://tessa.gazprom-neft.local/edo/card/dc3acbd6-9261-40f8-94bd-b8e1c3fa3ab5")</f>
        <v>https://tessa.gazprom-neft.local/edo/card/dc3acbd6-9261-40f8-94bd-b8e1c3fa3ab5</v>
      </c>
    </row>
    <row r="2778" spans="1:45" x14ac:dyDescent="0.25">
      <c r="A2778" t="s">
        <v>44</v>
      </c>
      <c r="B2778" t="s">
        <v>225</v>
      </c>
      <c r="C2778" t="s">
        <v>67</v>
      </c>
      <c r="F2778" s="18" t="s">
        <v>226</v>
      </c>
      <c r="G2778" t="s">
        <v>227</v>
      </c>
      <c r="H2778" t="s">
        <v>3289</v>
      </c>
      <c r="I2778" t="s">
        <v>0</v>
      </c>
      <c r="J2778" t="s">
        <v>955</v>
      </c>
      <c r="K2778" t="s">
        <v>47</v>
      </c>
      <c r="L2778" t="s">
        <v>48</v>
      </c>
      <c r="M2778" t="s">
        <v>0</v>
      </c>
      <c r="N2778" t="s">
        <v>10158</v>
      </c>
      <c r="O2778" t="s">
        <v>0</v>
      </c>
      <c r="P2778" t="s">
        <v>5983</v>
      </c>
      <c r="Q2778" t="s">
        <v>10159</v>
      </c>
      <c r="R2778" t="s">
        <v>220</v>
      </c>
      <c r="S2778" t="s">
        <v>221</v>
      </c>
      <c r="T2778" t="s">
        <v>54</v>
      </c>
      <c r="U2778" t="s">
        <v>222</v>
      </c>
      <c r="V2778" t="s">
        <v>126</v>
      </c>
      <c r="W2778" t="s">
        <v>74</v>
      </c>
      <c r="X2778" t="s">
        <v>58</v>
      </c>
      <c r="AA2778" t="s">
        <v>224</v>
      </c>
      <c r="AB2778" t="s">
        <v>387</v>
      </c>
      <c r="AC2778" t="s">
        <v>65</v>
      </c>
      <c r="AD2778" t="s">
        <v>0</v>
      </c>
      <c r="AE2778" t="s">
        <v>0</v>
      </c>
      <c r="AF2778" t="s">
        <v>0</v>
      </c>
      <c r="AG2778" t="s">
        <v>0</v>
      </c>
      <c r="AH2778" s="1" t="s">
        <v>0</v>
      </c>
      <c r="AI2778" s="1" t="s">
        <v>0</v>
      </c>
      <c r="AJ2778" s="1" t="s">
        <v>0</v>
      </c>
      <c r="AK2778" t="s">
        <v>61</v>
      </c>
      <c r="AL2778" t="s">
        <v>61</v>
      </c>
      <c r="AM2778" t="s">
        <v>0</v>
      </c>
      <c r="AN2778" t="s">
        <v>0</v>
      </c>
      <c r="AO2778" t="s">
        <v>0</v>
      </c>
      <c r="AP2778" t="s">
        <v>0</v>
      </c>
      <c r="AQ2778" t="s">
        <v>61</v>
      </c>
      <c r="AR2778" t="s">
        <v>0</v>
      </c>
      <c r="AS2778" t="str">
        <f>HYPERLINK("https://tessa.gazprom-neft.local/edo/card/26a69e98-272c-446a-8e1d-426b9241312d", "https://tessa.gazprom-neft.local/edo/card/26a69e98-272c-446a-8e1d-426b9241312d")</f>
        <v>https://tessa.gazprom-neft.local/edo/card/26a69e98-272c-446a-8e1d-426b9241312d</v>
      </c>
    </row>
    <row r="2779" spans="1:45" x14ac:dyDescent="0.25">
      <c r="A2779" t="s">
        <v>44</v>
      </c>
      <c r="B2779" t="s">
        <v>852</v>
      </c>
      <c r="C2779" t="s">
        <v>67</v>
      </c>
      <c r="F2779" s="18" t="s">
        <v>853</v>
      </c>
      <c r="G2779" t="s">
        <v>854</v>
      </c>
      <c r="H2779" t="s">
        <v>10161</v>
      </c>
      <c r="I2779" t="s">
        <v>0</v>
      </c>
      <c r="J2779" t="s">
        <v>355</v>
      </c>
      <c r="K2779" t="s">
        <v>47</v>
      </c>
      <c r="L2779" t="s">
        <v>48</v>
      </c>
      <c r="M2779" t="s">
        <v>0</v>
      </c>
      <c r="N2779" t="s">
        <v>10160</v>
      </c>
      <c r="O2779" t="s">
        <v>0</v>
      </c>
      <c r="P2779" t="s">
        <v>10162</v>
      </c>
      <c r="Q2779" t="s">
        <v>10163</v>
      </c>
      <c r="R2779" t="s">
        <v>110</v>
      </c>
      <c r="S2779" t="s">
        <v>0</v>
      </c>
      <c r="T2779" t="s">
        <v>54</v>
      </c>
      <c r="U2779" t="s">
        <v>111</v>
      </c>
      <c r="V2779" t="s">
        <v>112</v>
      </c>
      <c r="W2779" t="s">
        <v>57</v>
      </c>
      <c r="X2779" t="s">
        <v>58</v>
      </c>
      <c r="AA2779" t="s">
        <v>113</v>
      </c>
      <c r="AB2779" t="s">
        <v>64</v>
      </c>
      <c r="AC2779" t="s">
        <v>79</v>
      </c>
      <c r="AD2779" t="s">
        <v>144</v>
      </c>
      <c r="AE2779" t="s">
        <v>118</v>
      </c>
      <c r="AF2779" t="s">
        <v>0</v>
      </c>
      <c r="AG2779" t="s">
        <v>0</v>
      </c>
      <c r="AH2779" s="1" t="s">
        <v>14236</v>
      </c>
      <c r="AI2779" s="1" t="s">
        <v>14236</v>
      </c>
      <c r="AJ2779" s="1">
        <v>0</v>
      </c>
      <c r="AK2779" t="s">
        <v>61</v>
      </c>
      <c r="AL2779" t="s">
        <v>61</v>
      </c>
      <c r="AM2779" t="s">
        <v>0</v>
      </c>
      <c r="AN2779" t="s">
        <v>0</v>
      </c>
      <c r="AO2779" t="s">
        <v>0</v>
      </c>
      <c r="AP2779" t="s">
        <v>0</v>
      </c>
      <c r="AQ2779" t="s">
        <v>61</v>
      </c>
      <c r="AR2779" t="s">
        <v>0</v>
      </c>
      <c r="AS2779" t="str">
        <f>HYPERLINK("https://tessa.gazprom-neft.local/edo/card/8ee2696c-52b6-4c64-9b75-6908beaf620a", "https://tessa.gazprom-neft.local/edo/card/8ee2696c-52b6-4c64-9b75-6908beaf620a")</f>
        <v>https://tessa.gazprom-neft.local/edo/card/8ee2696c-52b6-4c64-9b75-6908beaf620a</v>
      </c>
    </row>
    <row r="2780" spans="1:45" hidden="1" x14ac:dyDescent="0.25">
      <c r="A2780" t="s">
        <v>44</v>
      </c>
      <c r="B2780" t="s">
        <v>10167</v>
      </c>
      <c r="C2780" t="s">
        <v>67</v>
      </c>
      <c r="F2780" s="18" t="s">
        <v>10168</v>
      </c>
      <c r="G2780" t="s">
        <v>10169</v>
      </c>
      <c r="H2780" t="s">
        <v>0</v>
      </c>
      <c r="I2780" t="s">
        <v>10165</v>
      </c>
      <c r="J2780" t="s">
        <v>10165</v>
      </c>
      <c r="K2780" t="s">
        <v>47</v>
      </c>
      <c r="L2780" t="s">
        <v>96</v>
      </c>
      <c r="M2780" t="s">
        <v>0</v>
      </c>
      <c r="N2780" t="s">
        <v>10164</v>
      </c>
      <c r="O2780" t="s">
        <v>0</v>
      </c>
      <c r="P2780" t="s">
        <v>10166</v>
      </c>
      <c r="Q2780" t="s">
        <v>10166</v>
      </c>
      <c r="R2780" t="s">
        <v>2079</v>
      </c>
      <c r="S2780" t="s">
        <v>2079</v>
      </c>
      <c r="T2780" t="s">
        <v>54</v>
      </c>
      <c r="U2780" t="s">
        <v>55</v>
      </c>
      <c r="V2780" t="s">
        <v>56</v>
      </c>
      <c r="W2780" t="s">
        <v>57</v>
      </c>
      <c r="X2780" t="s">
        <v>103</v>
      </c>
      <c r="AA2780" t="s">
        <v>59</v>
      </c>
      <c r="AB2780" t="s">
        <v>64</v>
      </c>
      <c r="AC2780" t="s">
        <v>79</v>
      </c>
      <c r="AD2780" t="s">
        <v>514</v>
      </c>
      <c r="AE2780" t="s">
        <v>82</v>
      </c>
      <c r="AF2780" t="s">
        <v>0</v>
      </c>
      <c r="AG2780" t="s">
        <v>0</v>
      </c>
      <c r="AH2780" s="1" t="s">
        <v>13762</v>
      </c>
      <c r="AI2780" s="1" t="s">
        <v>14237</v>
      </c>
      <c r="AJ2780" s="1" t="s">
        <v>13332</v>
      </c>
      <c r="AK2780" t="s">
        <v>61</v>
      </c>
      <c r="AL2780" t="s">
        <v>61</v>
      </c>
      <c r="AM2780" t="s">
        <v>0</v>
      </c>
      <c r="AN2780" t="s">
        <v>0</v>
      </c>
      <c r="AO2780" t="s">
        <v>0</v>
      </c>
      <c r="AP2780" t="s">
        <v>0</v>
      </c>
      <c r="AQ2780" t="s">
        <v>61</v>
      </c>
      <c r="AR2780" t="s">
        <v>0</v>
      </c>
      <c r="AS2780" t="str">
        <f>HYPERLINK("https://tessa.gazprom-neft.local/edo/card/ffcd25e4-bf42-477c-9b3a-45aafe631f22", "https://tessa.gazprom-neft.local/edo/card/ffcd25e4-bf42-477c-9b3a-45aafe631f22")</f>
        <v>https://tessa.gazprom-neft.local/edo/card/ffcd25e4-bf42-477c-9b3a-45aafe631f22</v>
      </c>
    </row>
    <row r="2781" spans="1:45" hidden="1" x14ac:dyDescent="0.25">
      <c r="A2781" t="s">
        <v>44</v>
      </c>
      <c r="B2781" t="s">
        <v>661</v>
      </c>
      <c r="C2781" t="s">
        <v>67</v>
      </c>
      <c r="F2781" s="18" t="s">
        <v>662</v>
      </c>
      <c r="G2781" t="s">
        <v>663</v>
      </c>
      <c r="H2781" t="s">
        <v>9365</v>
      </c>
      <c r="I2781" t="s">
        <v>0</v>
      </c>
      <c r="J2781" t="s">
        <v>6358</v>
      </c>
      <c r="K2781" t="s">
        <v>47</v>
      </c>
      <c r="L2781" t="s">
        <v>763</v>
      </c>
      <c r="M2781" t="s">
        <v>0</v>
      </c>
      <c r="N2781" t="s">
        <v>10170</v>
      </c>
      <c r="O2781" t="s">
        <v>0</v>
      </c>
      <c r="P2781" t="s">
        <v>10171</v>
      </c>
      <c r="Q2781" t="s">
        <v>10172</v>
      </c>
      <c r="R2781" t="s">
        <v>768</v>
      </c>
      <c r="S2781" t="s">
        <v>714</v>
      </c>
      <c r="T2781" t="s">
        <v>54</v>
      </c>
      <c r="U2781" t="s">
        <v>283</v>
      </c>
      <c r="V2781" t="s">
        <v>168</v>
      </c>
      <c r="W2781" t="s">
        <v>74</v>
      </c>
      <c r="X2781" t="s">
        <v>103</v>
      </c>
      <c r="AA2781" t="s">
        <v>169</v>
      </c>
      <c r="AB2781" t="s">
        <v>130</v>
      </c>
      <c r="AC2781" t="s">
        <v>79</v>
      </c>
      <c r="AD2781" t="s">
        <v>80</v>
      </c>
      <c r="AE2781" t="s">
        <v>82</v>
      </c>
      <c r="AF2781" t="s">
        <v>0</v>
      </c>
      <c r="AG2781" t="s">
        <v>0</v>
      </c>
      <c r="AH2781" s="1" t="s">
        <v>14238</v>
      </c>
      <c r="AI2781" s="1" t="s">
        <v>14239</v>
      </c>
      <c r="AJ2781" s="1" t="s">
        <v>14240</v>
      </c>
      <c r="AK2781" t="s">
        <v>61</v>
      </c>
      <c r="AL2781" t="s">
        <v>61</v>
      </c>
      <c r="AM2781" t="s">
        <v>0</v>
      </c>
      <c r="AN2781" t="s">
        <v>0</v>
      </c>
      <c r="AO2781" t="s">
        <v>0</v>
      </c>
      <c r="AP2781" t="s">
        <v>0</v>
      </c>
      <c r="AQ2781" t="s">
        <v>61</v>
      </c>
      <c r="AR2781" t="s">
        <v>0</v>
      </c>
      <c r="AS2781" t="str">
        <f>HYPERLINK("https://tessa.gazprom-neft.local/edo/card/21d80d6b-524a-4838-85f4-c20943e4479e", "https://tessa.gazprom-neft.local/edo/card/21d80d6b-524a-4838-85f4-c20943e4479e")</f>
        <v>https://tessa.gazprom-neft.local/edo/card/21d80d6b-524a-4838-85f4-c20943e4479e</v>
      </c>
    </row>
    <row r="2782" spans="1:45" hidden="1" x14ac:dyDescent="0.25">
      <c r="A2782" t="s">
        <v>44</v>
      </c>
      <c r="B2782" t="s">
        <v>661</v>
      </c>
      <c r="C2782" t="s">
        <v>67</v>
      </c>
      <c r="F2782" s="18" t="s">
        <v>662</v>
      </c>
      <c r="G2782" t="s">
        <v>663</v>
      </c>
      <c r="H2782" t="s">
        <v>9365</v>
      </c>
      <c r="I2782" t="s">
        <v>0</v>
      </c>
      <c r="J2782" t="s">
        <v>2667</v>
      </c>
      <c r="K2782" t="s">
        <v>47</v>
      </c>
      <c r="L2782" t="s">
        <v>763</v>
      </c>
      <c r="M2782" t="s">
        <v>0</v>
      </c>
      <c r="N2782" t="s">
        <v>10173</v>
      </c>
      <c r="O2782" t="s">
        <v>0</v>
      </c>
      <c r="P2782" t="s">
        <v>10174</v>
      </c>
      <c r="Q2782" t="s">
        <v>10175</v>
      </c>
      <c r="R2782" t="s">
        <v>768</v>
      </c>
      <c r="S2782" t="s">
        <v>714</v>
      </c>
      <c r="T2782" t="s">
        <v>54</v>
      </c>
      <c r="U2782" t="s">
        <v>283</v>
      </c>
      <c r="V2782" t="s">
        <v>168</v>
      </c>
      <c r="W2782" t="s">
        <v>74</v>
      </c>
      <c r="X2782" t="s">
        <v>103</v>
      </c>
      <c r="AA2782" t="s">
        <v>169</v>
      </c>
      <c r="AB2782" t="s">
        <v>130</v>
      </c>
      <c r="AC2782" t="s">
        <v>79</v>
      </c>
      <c r="AD2782" t="s">
        <v>80</v>
      </c>
      <c r="AE2782" t="s">
        <v>82</v>
      </c>
      <c r="AF2782" t="s">
        <v>0</v>
      </c>
      <c r="AG2782" t="s">
        <v>0</v>
      </c>
      <c r="AH2782" s="1" t="s">
        <v>14241</v>
      </c>
      <c r="AI2782" s="1" t="s">
        <v>14242</v>
      </c>
      <c r="AJ2782" s="1" t="s">
        <v>14243</v>
      </c>
      <c r="AK2782" t="s">
        <v>61</v>
      </c>
      <c r="AL2782" t="s">
        <v>61</v>
      </c>
      <c r="AM2782" t="s">
        <v>0</v>
      </c>
      <c r="AN2782" t="s">
        <v>0</v>
      </c>
      <c r="AO2782" t="s">
        <v>0</v>
      </c>
      <c r="AP2782" t="s">
        <v>0</v>
      </c>
      <c r="AQ2782" t="s">
        <v>61</v>
      </c>
      <c r="AR2782" t="s">
        <v>0</v>
      </c>
      <c r="AS2782" t="str">
        <f>HYPERLINK("https://tessa.gazprom-neft.local/edo/card/ce984bec-475d-45dc-abcd-1fdb35bed1b2", "https://tessa.gazprom-neft.local/edo/card/ce984bec-475d-45dc-abcd-1fdb35bed1b2")</f>
        <v>https://tessa.gazprom-neft.local/edo/card/ce984bec-475d-45dc-abcd-1fdb35bed1b2</v>
      </c>
    </row>
    <row r="2783" spans="1:45" hidden="1" x14ac:dyDescent="0.25">
      <c r="A2783" t="s">
        <v>44</v>
      </c>
      <c r="B2783" t="s">
        <v>661</v>
      </c>
      <c r="C2783" t="s">
        <v>67</v>
      </c>
      <c r="F2783" s="18" t="s">
        <v>662</v>
      </c>
      <c r="G2783" t="s">
        <v>663</v>
      </c>
      <c r="H2783" t="s">
        <v>9365</v>
      </c>
      <c r="I2783" t="s">
        <v>0</v>
      </c>
      <c r="J2783" t="s">
        <v>8112</v>
      </c>
      <c r="K2783" t="s">
        <v>47</v>
      </c>
      <c r="L2783" t="s">
        <v>763</v>
      </c>
      <c r="M2783" t="s">
        <v>0</v>
      </c>
      <c r="N2783" t="s">
        <v>10176</v>
      </c>
      <c r="O2783" t="s">
        <v>0</v>
      </c>
      <c r="P2783" t="s">
        <v>10177</v>
      </c>
      <c r="Q2783" t="s">
        <v>10178</v>
      </c>
      <c r="R2783" t="s">
        <v>768</v>
      </c>
      <c r="S2783" t="s">
        <v>714</v>
      </c>
      <c r="T2783" t="s">
        <v>54</v>
      </c>
      <c r="U2783" t="s">
        <v>283</v>
      </c>
      <c r="V2783" t="s">
        <v>168</v>
      </c>
      <c r="W2783" t="s">
        <v>74</v>
      </c>
      <c r="X2783" t="s">
        <v>103</v>
      </c>
      <c r="AA2783" t="s">
        <v>169</v>
      </c>
      <c r="AB2783" t="s">
        <v>130</v>
      </c>
      <c r="AC2783" t="s">
        <v>79</v>
      </c>
      <c r="AD2783" t="s">
        <v>80</v>
      </c>
      <c r="AE2783" t="s">
        <v>82</v>
      </c>
      <c r="AF2783" t="s">
        <v>0</v>
      </c>
      <c r="AG2783" t="s">
        <v>0</v>
      </c>
      <c r="AH2783" s="1" t="s">
        <v>14244</v>
      </c>
      <c r="AI2783" s="1" t="s">
        <v>14245</v>
      </c>
      <c r="AJ2783" s="1" t="s">
        <v>14246</v>
      </c>
      <c r="AK2783" t="s">
        <v>61</v>
      </c>
      <c r="AL2783" t="s">
        <v>61</v>
      </c>
      <c r="AM2783" t="s">
        <v>0</v>
      </c>
      <c r="AN2783" t="s">
        <v>0</v>
      </c>
      <c r="AO2783" t="s">
        <v>0</v>
      </c>
      <c r="AP2783" t="s">
        <v>0</v>
      </c>
      <c r="AQ2783" t="s">
        <v>61</v>
      </c>
      <c r="AR2783" t="s">
        <v>0</v>
      </c>
      <c r="AS2783" t="str">
        <f>HYPERLINK("https://tessa.gazprom-neft.local/edo/card/55f291bb-e3e7-4f5f-8c5c-7d5e9551cf7d", "https://tessa.gazprom-neft.local/edo/card/55f291bb-e3e7-4f5f-8c5c-7d5e9551cf7d")</f>
        <v>https://tessa.gazprom-neft.local/edo/card/55f291bb-e3e7-4f5f-8c5c-7d5e9551cf7d</v>
      </c>
    </row>
    <row r="2784" spans="1:45" hidden="1" x14ac:dyDescent="0.25">
      <c r="A2784" t="s">
        <v>44</v>
      </c>
      <c r="B2784" t="s">
        <v>661</v>
      </c>
      <c r="C2784" t="s">
        <v>218</v>
      </c>
      <c r="F2784" s="18" t="s">
        <v>662</v>
      </c>
      <c r="G2784" t="s">
        <v>663</v>
      </c>
      <c r="H2784" t="s">
        <v>0</v>
      </c>
      <c r="I2784" t="s">
        <v>0</v>
      </c>
      <c r="J2784" t="s">
        <v>0</v>
      </c>
      <c r="K2784" t="s">
        <v>0</v>
      </c>
      <c r="L2784" t="s">
        <v>0</v>
      </c>
      <c r="M2784" t="s">
        <v>0</v>
      </c>
      <c r="N2784" t="s">
        <v>10179</v>
      </c>
      <c r="O2784" t="s">
        <v>0</v>
      </c>
      <c r="P2784" t="s">
        <v>10180</v>
      </c>
      <c r="Q2784" t="s">
        <v>10181</v>
      </c>
      <c r="R2784" t="s">
        <v>768</v>
      </c>
      <c r="S2784" t="s">
        <v>714</v>
      </c>
      <c r="T2784" t="s">
        <v>54</v>
      </c>
      <c r="U2784" t="s">
        <v>283</v>
      </c>
      <c r="V2784" t="s">
        <v>168</v>
      </c>
      <c r="W2784" t="s">
        <v>74</v>
      </c>
      <c r="X2784" t="s">
        <v>103</v>
      </c>
      <c r="AA2784" t="s">
        <v>169</v>
      </c>
      <c r="AB2784" t="s">
        <v>0</v>
      </c>
      <c r="AC2784" t="s">
        <v>0</v>
      </c>
      <c r="AD2784" t="s">
        <v>0</v>
      </c>
      <c r="AE2784" t="s">
        <v>0</v>
      </c>
      <c r="AF2784" t="s">
        <v>0</v>
      </c>
      <c r="AG2784" t="s">
        <v>0</v>
      </c>
      <c r="AH2784" s="1" t="s">
        <v>0</v>
      </c>
      <c r="AI2784" s="1" t="s">
        <v>0</v>
      </c>
      <c r="AJ2784" s="1" t="s">
        <v>0</v>
      </c>
      <c r="AK2784" t="s">
        <v>61</v>
      </c>
      <c r="AL2784" t="s">
        <v>61</v>
      </c>
      <c r="AM2784" t="s">
        <v>0</v>
      </c>
      <c r="AN2784" t="s">
        <v>0</v>
      </c>
      <c r="AO2784" t="s">
        <v>0</v>
      </c>
      <c r="AP2784" t="s">
        <v>0</v>
      </c>
      <c r="AQ2784" t="s">
        <v>61</v>
      </c>
      <c r="AR2784" t="s">
        <v>0</v>
      </c>
      <c r="AS2784" t="str">
        <f>HYPERLINK("https://tessa.gazprom-neft.local/edo/card/d0c36020-e541-414a-ac14-4abeb3c2c581", "https://tessa.gazprom-neft.local/edo/card/d0c36020-e541-414a-ac14-4abeb3c2c581")</f>
        <v>https://tessa.gazprom-neft.local/edo/card/d0c36020-e541-414a-ac14-4abeb3c2c581</v>
      </c>
    </row>
    <row r="2785" spans="1:45" hidden="1" x14ac:dyDescent="0.25">
      <c r="A2785" t="s">
        <v>44</v>
      </c>
      <c r="B2785" t="s">
        <v>661</v>
      </c>
      <c r="C2785" t="s">
        <v>67</v>
      </c>
      <c r="F2785" s="18" t="s">
        <v>662</v>
      </c>
      <c r="G2785" t="s">
        <v>663</v>
      </c>
      <c r="H2785" t="s">
        <v>9365</v>
      </c>
      <c r="I2785" t="s">
        <v>0</v>
      </c>
      <c r="J2785" t="s">
        <v>1955</v>
      </c>
      <c r="K2785" t="s">
        <v>47</v>
      </c>
      <c r="L2785" t="s">
        <v>763</v>
      </c>
      <c r="M2785" t="s">
        <v>0</v>
      </c>
      <c r="N2785" t="s">
        <v>10182</v>
      </c>
      <c r="O2785" t="s">
        <v>0</v>
      </c>
      <c r="P2785" t="s">
        <v>10180</v>
      </c>
      <c r="Q2785" t="s">
        <v>10181</v>
      </c>
      <c r="R2785" t="s">
        <v>768</v>
      </c>
      <c r="S2785" t="s">
        <v>714</v>
      </c>
      <c r="T2785" t="s">
        <v>54</v>
      </c>
      <c r="U2785" t="s">
        <v>283</v>
      </c>
      <c r="V2785" t="s">
        <v>168</v>
      </c>
      <c r="W2785" t="s">
        <v>74</v>
      </c>
      <c r="X2785" t="s">
        <v>103</v>
      </c>
      <c r="AA2785" t="s">
        <v>169</v>
      </c>
      <c r="AB2785" t="s">
        <v>130</v>
      </c>
      <c r="AC2785" t="s">
        <v>79</v>
      </c>
      <c r="AD2785" t="s">
        <v>80</v>
      </c>
      <c r="AE2785" t="s">
        <v>82</v>
      </c>
      <c r="AF2785" t="s">
        <v>0</v>
      </c>
      <c r="AG2785" t="s">
        <v>0</v>
      </c>
      <c r="AH2785" s="1" t="s">
        <v>14247</v>
      </c>
      <c r="AI2785" s="1" t="s">
        <v>14248</v>
      </c>
      <c r="AJ2785" s="1" t="s">
        <v>14249</v>
      </c>
      <c r="AK2785" t="s">
        <v>61</v>
      </c>
      <c r="AL2785" t="s">
        <v>61</v>
      </c>
      <c r="AM2785" t="s">
        <v>0</v>
      </c>
      <c r="AN2785" t="s">
        <v>0</v>
      </c>
      <c r="AO2785" t="s">
        <v>0</v>
      </c>
      <c r="AP2785" t="s">
        <v>0</v>
      </c>
      <c r="AQ2785" t="s">
        <v>61</v>
      </c>
      <c r="AR2785" t="s">
        <v>0</v>
      </c>
      <c r="AS2785" t="str">
        <f>HYPERLINK("https://tessa.gazprom-neft.local/edo/card/a750a67e-a5fd-445e-871c-7d6e344771b5", "https://tessa.gazprom-neft.local/edo/card/a750a67e-a5fd-445e-871c-7d6e344771b5")</f>
        <v>https://tessa.gazprom-neft.local/edo/card/a750a67e-a5fd-445e-871c-7d6e344771b5</v>
      </c>
    </row>
    <row r="2786" spans="1:45" x14ac:dyDescent="0.25">
      <c r="A2786" t="s">
        <v>44</v>
      </c>
      <c r="B2786" t="s">
        <v>1328</v>
      </c>
      <c r="C2786" t="s">
        <v>67</v>
      </c>
      <c r="F2786" s="18" t="s">
        <v>1329</v>
      </c>
      <c r="G2786" t="s">
        <v>1330</v>
      </c>
      <c r="H2786" t="s">
        <v>1899</v>
      </c>
      <c r="I2786" t="s">
        <v>0</v>
      </c>
      <c r="J2786" t="s">
        <v>156</v>
      </c>
      <c r="K2786" t="s">
        <v>47</v>
      </c>
      <c r="L2786" t="s">
        <v>48</v>
      </c>
      <c r="M2786" t="s">
        <v>0</v>
      </c>
      <c r="N2786" t="s">
        <v>10183</v>
      </c>
      <c r="O2786" t="s">
        <v>0</v>
      </c>
      <c r="P2786" t="s">
        <v>10184</v>
      </c>
      <c r="Q2786" t="s">
        <v>10185</v>
      </c>
      <c r="R2786" t="s">
        <v>166</v>
      </c>
      <c r="S2786" t="s">
        <v>166</v>
      </c>
      <c r="T2786" t="s">
        <v>54</v>
      </c>
      <c r="U2786" t="s">
        <v>167</v>
      </c>
      <c r="V2786" t="s">
        <v>168</v>
      </c>
      <c r="W2786" t="s">
        <v>57</v>
      </c>
      <c r="X2786" t="s">
        <v>103</v>
      </c>
      <c r="AA2786" t="s">
        <v>169</v>
      </c>
      <c r="AB2786" t="s">
        <v>130</v>
      </c>
      <c r="AC2786" t="s">
        <v>79</v>
      </c>
      <c r="AD2786" t="s">
        <v>144</v>
      </c>
      <c r="AE2786" t="s">
        <v>82</v>
      </c>
      <c r="AF2786" t="s">
        <v>0</v>
      </c>
      <c r="AG2786" t="s">
        <v>10186</v>
      </c>
      <c r="AH2786" s="1" t="s">
        <v>12634</v>
      </c>
      <c r="AI2786" s="1" t="s">
        <v>12635</v>
      </c>
      <c r="AJ2786" s="1" t="s">
        <v>12636</v>
      </c>
      <c r="AK2786" t="s">
        <v>81</v>
      </c>
      <c r="AL2786" t="s">
        <v>61</v>
      </c>
      <c r="AM2786" t="s">
        <v>0</v>
      </c>
      <c r="AN2786" t="s">
        <v>0</v>
      </c>
      <c r="AO2786" t="s">
        <v>0</v>
      </c>
      <c r="AP2786" t="s">
        <v>0</v>
      </c>
      <c r="AQ2786" t="s">
        <v>61</v>
      </c>
      <c r="AR2786" t="s">
        <v>0</v>
      </c>
      <c r="AS2786" t="str">
        <f>HYPERLINK("https://tessa.gazprom-neft.local/edo/card/a418fe0d-b64c-4799-afeb-021dd4ff3c34", "https://tessa.gazprom-neft.local/edo/card/a418fe0d-b64c-4799-afeb-021dd4ff3c34")</f>
        <v>https://tessa.gazprom-neft.local/edo/card/a418fe0d-b64c-4799-afeb-021dd4ff3c34</v>
      </c>
    </row>
    <row r="2787" spans="1:45" hidden="1" x14ac:dyDescent="0.25">
      <c r="A2787" t="s">
        <v>44</v>
      </c>
      <c r="B2787" t="s">
        <v>661</v>
      </c>
      <c r="C2787" t="s">
        <v>67</v>
      </c>
      <c r="F2787" s="18" t="s">
        <v>662</v>
      </c>
      <c r="G2787" t="s">
        <v>663</v>
      </c>
      <c r="H2787" t="s">
        <v>9365</v>
      </c>
      <c r="I2787" t="s">
        <v>0</v>
      </c>
      <c r="J2787" t="s">
        <v>6392</v>
      </c>
      <c r="K2787" t="s">
        <v>47</v>
      </c>
      <c r="L2787" t="s">
        <v>763</v>
      </c>
      <c r="M2787" t="s">
        <v>0</v>
      </c>
      <c r="N2787" t="s">
        <v>10187</v>
      </c>
      <c r="O2787" t="s">
        <v>0</v>
      </c>
      <c r="P2787" t="s">
        <v>10188</v>
      </c>
      <c r="Q2787" t="s">
        <v>10189</v>
      </c>
      <c r="R2787" t="s">
        <v>768</v>
      </c>
      <c r="S2787" t="s">
        <v>714</v>
      </c>
      <c r="T2787" t="s">
        <v>54</v>
      </c>
      <c r="U2787" t="s">
        <v>283</v>
      </c>
      <c r="V2787" t="s">
        <v>168</v>
      </c>
      <c r="W2787" t="s">
        <v>74</v>
      </c>
      <c r="X2787" t="s">
        <v>103</v>
      </c>
      <c r="AA2787" t="s">
        <v>169</v>
      </c>
      <c r="AB2787" t="s">
        <v>130</v>
      </c>
      <c r="AC2787" t="s">
        <v>79</v>
      </c>
      <c r="AD2787" t="s">
        <v>80</v>
      </c>
      <c r="AE2787" t="s">
        <v>82</v>
      </c>
      <c r="AF2787" t="s">
        <v>0</v>
      </c>
      <c r="AG2787" t="s">
        <v>0</v>
      </c>
      <c r="AH2787" s="1" t="s">
        <v>14250</v>
      </c>
      <c r="AI2787" s="1" t="s">
        <v>14251</v>
      </c>
      <c r="AJ2787" s="1" t="s">
        <v>14252</v>
      </c>
      <c r="AK2787" t="s">
        <v>61</v>
      </c>
      <c r="AL2787" t="s">
        <v>61</v>
      </c>
      <c r="AM2787" t="s">
        <v>0</v>
      </c>
      <c r="AN2787" t="s">
        <v>0</v>
      </c>
      <c r="AO2787" t="s">
        <v>0</v>
      </c>
      <c r="AP2787" t="s">
        <v>0</v>
      </c>
      <c r="AQ2787" t="s">
        <v>61</v>
      </c>
      <c r="AR2787" t="s">
        <v>0</v>
      </c>
      <c r="AS2787" t="str">
        <f>HYPERLINK("https://tessa.gazprom-neft.local/edo/card/3bfae88d-36b6-4b8f-bd48-3caeb5600864", "https://tessa.gazprom-neft.local/edo/card/3bfae88d-36b6-4b8f-bd48-3caeb5600864")</f>
        <v>https://tessa.gazprom-neft.local/edo/card/3bfae88d-36b6-4b8f-bd48-3caeb5600864</v>
      </c>
    </row>
    <row r="2788" spans="1:45" hidden="1" x14ac:dyDescent="0.25">
      <c r="A2788" t="s">
        <v>44</v>
      </c>
      <c r="B2788" t="s">
        <v>661</v>
      </c>
      <c r="C2788" t="s">
        <v>67</v>
      </c>
      <c r="F2788" s="18" t="s">
        <v>662</v>
      </c>
      <c r="G2788" t="s">
        <v>663</v>
      </c>
      <c r="H2788" t="s">
        <v>764</v>
      </c>
      <c r="I2788" t="s">
        <v>0</v>
      </c>
      <c r="J2788" t="s">
        <v>5202</v>
      </c>
      <c r="K2788" t="s">
        <v>47</v>
      </c>
      <c r="L2788" t="s">
        <v>763</v>
      </c>
      <c r="M2788" t="s">
        <v>0</v>
      </c>
      <c r="N2788" t="s">
        <v>10190</v>
      </c>
      <c r="O2788" t="s">
        <v>0</v>
      </c>
      <c r="P2788" t="s">
        <v>10191</v>
      </c>
      <c r="Q2788" t="s">
        <v>10192</v>
      </c>
      <c r="R2788" t="s">
        <v>768</v>
      </c>
      <c r="S2788" t="s">
        <v>714</v>
      </c>
      <c r="T2788" t="s">
        <v>54</v>
      </c>
      <c r="U2788" t="s">
        <v>283</v>
      </c>
      <c r="V2788" t="s">
        <v>168</v>
      </c>
      <c r="W2788" t="s">
        <v>74</v>
      </c>
      <c r="X2788" t="s">
        <v>103</v>
      </c>
      <c r="AA2788" t="s">
        <v>169</v>
      </c>
      <c r="AB2788" t="s">
        <v>130</v>
      </c>
      <c r="AC2788" t="s">
        <v>79</v>
      </c>
      <c r="AD2788" t="s">
        <v>80</v>
      </c>
      <c r="AE2788" t="s">
        <v>82</v>
      </c>
      <c r="AF2788" t="s">
        <v>0</v>
      </c>
      <c r="AG2788" t="s">
        <v>0</v>
      </c>
      <c r="AH2788" s="1" t="s">
        <v>14253</v>
      </c>
      <c r="AI2788" s="1" t="s">
        <v>14254</v>
      </c>
      <c r="AJ2788" s="1" t="s">
        <v>14255</v>
      </c>
      <c r="AK2788" t="s">
        <v>61</v>
      </c>
      <c r="AL2788" t="s">
        <v>61</v>
      </c>
      <c r="AM2788" t="s">
        <v>0</v>
      </c>
      <c r="AN2788" t="s">
        <v>0</v>
      </c>
      <c r="AO2788" t="s">
        <v>0</v>
      </c>
      <c r="AP2788" t="s">
        <v>0</v>
      </c>
      <c r="AQ2788" t="s">
        <v>61</v>
      </c>
      <c r="AR2788" t="s">
        <v>0</v>
      </c>
      <c r="AS2788" t="str">
        <f>HYPERLINK("https://tessa.gazprom-neft.local/edo/card/0521f2b5-e87e-4eb6-bd55-0139e69b54b4", "https://tessa.gazprom-neft.local/edo/card/0521f2b5-e87e-4eb6-bd55-0139e69b54b4")</f>
        <v>https://tessa.gazprom-neft.local/edo/card/0521f2b5-e87e-4eb6-bd55-0139e69b54b4</v>
      </c>
    </row>
    <row r="2789" spans="1:45" hidden="1" x14ac:dyDescent="0.25">
      <c r="A2789" t="s">
        <v>44</v>
      </c>
      <c r="B2789" t="s">
        <v>0</v>
      </c>
      <c r="C2789" t="s">
        <v>67</v>
      </c>
      <c r="F2789" s="18" t="s">
        <v>10152</v>
      </c>
      <c r="G2789" t="s">
        <v>0</v>
      </c>
      <c r="H2789" t="s">
        <v>0</v>
      </c>
      <c r="I2789" t="s">
        <v>10194</v>
      </c>
      <c r="J2789" t="s">
        <v>10194</v>
      </c>
      <c r="K2789" t="s">
        <v>85</v>
      </c>
      <c r="L2789" t="s">
        <v>86</v>
      </c>
      <c r="M2789" t="s">
        <v>523</v>
      </c>
      <c r="N2789" t="s">
        <v>10193</v>
      </c>
      <c r="O2789" t="s">
        <v>0</v>
      </c>
      <c r="P2789" t="s">
        <v>523</v>
      </c>
      <c r="Q2789" t="s">
        <v>9207</v>
      </c>
      <c r="R2789" t="s">
        <v>1011</v>
      </c>
      <c r="S2789" t="s">
        <v>0</v>
      </c>
      <c r="T2789" t="s">
        <v>54</v>
      </c>
      <c r="U2789" t="s">
        <v>1012</v>
      </c>
      <c r="V2789" t="s">
        <v>91</v>
      </c>
      <c r="W2789" t="s">
        <v>57</v>
      </c>
      <c r="X2789" t="s">
        <v>103</v>
      </c>
      <c r="AA2789" t="s">
        <v>92</v>
      </c>
      <c r="AB2789" t="s">
        <v>94</v>
      </c>
      <c r="AC2789" t="s">
        <v>65</v>
      </c>
      <c r="AD2789" t="s">
        <v>0</v>
      </c>
      <c r="AE2789" t="s">
        <v>0</v>
      </c>
      <c r="AF2789" t="s">
        <v>0</v>
      </c>
      <c r="AG2789" t="s">
        <v>0</v>
      </c>
      <c r="AH2789" s="1" t="s">
        <v>0</v>
      </c>
      <c r="AI2789" s="1" t="s">
        <v>0</v>
      </c>
      <c r="AJ2789" s="1" t="s">
        <v>0</v>
      </c>
      <c r="AK2789" t="s">
        <v>61</v>
      </c>
      <c r="AL2789" t="s">
        <v>61</v>
      </c>
      <c r="AM2789" t="s">
        <v>0</v>
      </c>
      <c r="AN2789" t="s">
        <v>0</v>
      </c>
      <c r="AO2789" t="s">
        <v>0</v>
      </c>
      <c r="AP2789" t="s">
        <v>0</v>
      </c>
      <c r="AQ2789" t="s">
        <v>61</v>
      </c>
      <c r="AR2789" t="s">
        <v>0</v>
      </c>
      <c r="AS2789" t="str">
        <f>HYPERLINK("https://tessa.gazprom-neft.local/edo/card/09d11358-882d-47a2-a041-0970b82319f6", "https://tessa.gazprom-neft.local/edo/card/09d11358-882d-47a2-a041-0970b82319f6")</f>
        <v>https://tessa.gazprom-neft.local/edo/card/09d11358-882d-47a2-a041-0970b82319f6</v>
      </c>
    </row>
    <row r="2790" spans="1:45" hidden="1" x14ac:dyDescent="0.25">
      <c r="A2790" t="s">
        <v>44</v>
      </c>
      <c r="B2790" t="s">
        <v>2080</v>
      </c>
      <c r="C2790" t="s">
        <v>67</v>
      </c>
      <c r="F2790" s="18" t="s">
        <v>2081</v>
      </c>
      <c r="G2790" t="s">
        <v>2082</v>
      </c>
      <c r="H2790" t="s">
        <v>0</v>
      </c>
      <c r="I2790" t="s">
        <v>10196</v>
      </c>
      <c r="J2790" t="s">
        <v>10196</v>
      </c>
      <c r="K2790" t="s">
        <v>85</v>
      </c>
      <c r="L2790" t="s">
        <v>86</v>
      </c>
      <c r="M2790" t="s">
        <v>289</v>
      </c>
      <c r="N2790" t="s">
        <v>10195</v>
      </c>
      <c r="O2790" t="s">
        <v>0</v>
      </c>
      <c r="P2790" t="s">
        <v>289</v>
      </c>
      <c r="Q2790" t="s">
        <v>289</v>
      </c>
      <c r="R2790" t="s">
        <v>2079</v>
      </c>
      <c r="S2790" t="s">
        <v>2079</v>
      </c>
      <c r="T2790" t="s">
        <v>54</v>
      </c>
      <c r="U2790" t="s">
        <v>55</v>
      </c>
      <c r="V2790" t="s">
        <v>56</v>
      </c>
      <c r="W2790" t="s">
        <v>57</v>
      </c>
      <c r="X2790" t="s">
        <v>223</v>
      </c>
      <c r="AA2790" t="s">
        <v>59</v>
      </c>
      <c r="AB2790" t="s">
        <v>300</v>
      </c>
      <c r="AC2790" t="s">
        <v>65</v>
      </c>
      <c r="AD2790" t="s">
        <v>0</v>
      </c>
      <c r="AE2790" t="s">
        <v>0</v>
      </c>
      <c r="AF2790" t="s">
        <v>0</v>
      </c>
      <c r="AG2790" t="s">
        <v>0</v>
      </c>
      <c r="AH2790" s="1" t="s">
        <v>0</v>
      </c>
      <c r="AI2790" s="1" t="s">
        <v>0</v>
      </c>
      <c r="AJ2790" s="1" t="s">
        <v>0</v>
      </c>
      <c r="AK2790" t="s">
        <v>61</v>
      </c>
      <c r="AL2790" t="s">
        <v>61</v>
      </c>
      <c r="AM2790" t="s">
        <v>0</v>
      </c>
      <c r="AN2790" t="s">
        <v>0</v>
      </c>
      <c r="AO2790" t="s">
        <v>0</v>
      </c>
      <c r="AP2790" t="s">
        <v>0</v>
      </c>
      <c r="AQ2790" t="s">
        <v>61</v>
      </c>
      <c r="AR2790" t="s">
        <v>0</v>
      </c>
      <c r="AS2790" t="str">
        <f>HYPERLINK("https://tessa.gazprom-neft.local/edo/card/380797b7-cfd9-4544-8892-8a473063311a", "https://tessa.gazprom-neft.local/edo/card/380797b7-cfd9-4544-8892-8a473063311a")</f>
        <v>https://tessa.gazprom-neft.local/edo/card/380797b7-cfd9-4544-8892-8a473063311a</v>
      </c>
    </row>
    <row r="2791" spans="1:45" hidden="1" x14ac:dyDescent="0.25">
      <c r="A2791" t="s">
        <v>44</v>
      </c>
      <c r="B2791" t="s">
        <v>10200</v>
      </c>
      <c r="C2791" t="s">
        <v>67</v>
      </c>
      <c r="F2791" s="18" t="s">
        <v>10201</v>
      </c>
      <c r="G2791" t="s">
        <v>10202</v>
      </c>
      <c r="H2791" t="s">
        <v>0</v>
      </c>
      <c r="I2791" t="s">
        <v>10198</v>
      </c>
      <c r="J2791" t="s">
        <v>10198</v>
      </c>
      <c r="K2791" t="s">
        <v>47</v>
      </c>
      <c r="L2791" t="s">
        <v>96</v>
      </c>
      <c r="M2791" t="s">
        <v>0</v>
      </c>
      <c r="N2791" t="s">
        <v>10197</v>
      </c>
      <c r="O2791" t="s">
        <v>0</v>
      </c>
      <c r="P2791" t="s">
        <v>10199</v>
      </c>
      <c r="Q2791" t="s">
        <v>10199</v>
      </c>
      <c r="R2791" t="s">
        <v>2079</v>
      </c>
      <c r="S2791" t="s">
        <v>2079</v>
      </c>
      <c r="T2791" t="s">
        <v>54</v>
      </c>
      <c r="U2791" t="s">
        <v>55</v>
      </c>
      <c r="V2791" t="s">
        <v>56</v>
      </c>
      <c r="W2791" t="s">
        <v>57</v>
      </c>
      <c r="X2791" t="s">
        <v>103</v>
      </c>
      <c r="AA2791" t="s">
        <v>59</v>
      </c>
      <c r="AB2791" t="s">
        <v>64</v>
      </c>
      <c r="AC2791" t="s">
        <v>79</v>
      </c>
      <c r="AD2791" t="s">
        <v>80</v>
      </c>
      <c r="AE2791" t="s">
        <v>118</v>
      </c>
      <c r="AF2791" t="s">
        <v>0</v>
      </c>
      <c r="AG2791" t="s">
        <v>0</v>
      </c>
      <c r="AH2791" s="1" t="s">
        <v>14256</v>
      </c>
      <c r="AI2791" s="1" t="s">
        <v>14256</v>
      </c>
      <c r="AJ2791" s="1">
        <v>0</v>
      </c>
      <c r="AK2791" t="s">
        <v>61</v>
      </c>
      <c r="AL2791" t="s">
        <v>61</v>
      </c>
      <c r="AM2791" t="s">
        <v>0</v>
      </c>
      <c r="AN2791" t="s">
        <v>0</v>
      </c>
      <c r="AO2791" t="s">
        <v>0</v>
      </c>
      <c r="AP2791" t="s">
        <v>0</v>
      </c>
      <c r="AQ2791" t="s">
        <v>61</v>
      </c>
      <c r="AR2791" t="s">
        <v>0</v>
      </c>
      <c r="AS2791" t="str">
        <f>HYPERLINK("https://tessa.gazprom-neft.local/edo/card/e48f6954-ff30-410b-8759-fc46eb1face5", "https://tessa.gazprom-neft.local/edo/card/e48f6954-ff30-410b-8759-fc46eb1face5")</f>
        <v>https://tessa.gazprom-neft.local/edo/card/e48f6954-ff30-410b-8759-fc46eb1face5</v>
      </c>
    </row>
    <row r="2792" spans="1:45" x14ac:dyDescent="0.25">
      <c r="A2792" t="s">
        <v>44</v>
      </c>
      <c r="B2792" t="s">
        <v>661</v>
      </c>
      <c r="C2792" t="s">
        <v>67</v>
      </c>
      <c r="F2792" s="18" t="s">
        <v>662</v>
      </c>
      <c r="G2792" t="s">
        <v>663</v>
      </c>
      <c r="H2792" t="s">
        <v>0</v>
      </c>
      <c r="I2792" t="s">
        <v>0</v>
      </c>
      <c r="J2792" t="s">
        <v>712</v>
      </c>
      <c r="K2792" t="s">
        <v>47</v>
      </c>
      <c r="L2792" t="s">
        <v>48</v>
      </c>
      <c r="M2792" t="s">
        <v>0</v>
      </c>
      <c r="N2792" t="s">
        <v>10203</v>
      </c>
      <c r="O2792" t="s">
        <v>0</v>
      </c>
      <c r="P2792" t="s">
        <v>10204</v>
      </c>
      <c r="Q2792" t="s">
        <v>10205</v>
      </c>
      <c r="R2792" t="s">
        <v>768</v>
      </c>
      <c r="S2792" t="s">
        <v>714</v>
      </c>
      <c r="T2792" t="s">
        <v>54</v>
      </c>
      <c r="U2792" t="s">
        <v>283</v>
      </c>
      <c r="V2792" t="s">
        <v>168</v>
      </c>
      <c r="W2792" t="s">
        <v>74</v>
      </c>
      <c r="X2792" t="s">
        <v>58</v>
      </c>
      <c r="AA2792" t="s">
        <v>169</v>
      </c>
      <c r="AB2792" t="s">
        <v>130</v>
      </c>
      <c r="AC2792" t="s">
        <v>65</v>
      </c>
      <c r="AD2792" t="s">
        <v>80</v>
      </c>
      <c r="AE2792" t="s">
        <v>0</v>
      </c>
      <c r="AF2792" t="s">
        <v>0</v>
      </c>
      <c r="AG2792" t="s">
        <v>0</v>
      </c>
      <c r="AH2792" s="1" t="s">
        <v>0</v>
      </c>
      <c r="AI2792" s="1" t="s">
        <v>0</v>
      </c>
      <c r="AJ2792" s="1" t="s">
        <v>0</v>
      </c>
      <c r="AK2792" t="s">
        <v>61</v>
      </c>
      <c r="AL2792" t="s">
        <v>61</v>
      </c>
      <c r="AM2792" t="s">
        <v>0</v>
      </c>
      <c r="AN2792" t="s">
        <v>0</v>
      </c>
      <c r="AO2792" t="s">
        <v>0</v>
      </c>
      <c r="AP2792" t="s">
        <v>0</v>
      </c>
      <c r="AQ2792" t="s">
        <v>61</v>
      </c>
      <c r="AR2792" t="s">
        <v>0</v>
      </c>
      <c r="AS2792" t="str">
        <f>HYPERLINK("https://tessa.gazprom-neft.local/edo/card/4d9b58e4-8be0-4098-a987-7ec1680bd43d", "https://tessa.gazprom-neft.local/edo/card/4d9b58e4-8be0-4098-a987-7ec1680bd43d")</f>
        <v>https://tessa.gazprom-neft.local/edo/card/4d9b58e4-8be0-4098-a987-7ec1680bd43d</v>
      </c>
    </row>
    <row r="2793" spans="1:45" x14ac:dyDescent="0.25">
      <c r="A2793" t="s">
        <v>44</v>
      </c>
      <c r="B2793" t="s">
        <v>2091</v>
      </c>
      <c r="C2793" t="s">
        <v>67</v>
      </c>
      <c r="F2793" s="18" t="s">
        <v>2092</v>
      </c>
      <c r="G2793" t="s">
        <v>2093</v>
      </c>
      <c r="H2793" t="s">
        <v>2088</v>
      </c>
      <c r="I2793" t="s">
        <v>0</v>
      </c>
      <c r="J2793" t="s">
        <v>51</v>
      </c>
      <c r="K2793" t="s">
        <v>47</v>
      </c>
      <c r="L2793" t="s">
        <v>48</v>
      </c>
      <c r="M2793" t="s">
        <v>0</v>
      </c>
      <c r="N2793" t="s">
        <v>10206</v>
      </c>
      <c r="O2793" t="s">
        <v>0</v>
      </c>
      <c r="P2793" t="s">
        <v>48</v>
      </c>
      <c r="Q2793" t="s">
        <v>10207</v>
      </c>
      <c r="R2793" t="s">
        <v>1610</v>
      </c>
      <c r="S2793" t="s">
        <v>1610</v>
      </c>
      <c r="T2793" t="s">
        <v>54</v>
      </c>
      <c r="U2793" t="s">
        <v>101</v>
      </c>
      <c r="V2793" t="s">
        <v>168</v>
      </c>
      <c r="W2793" t="s">
        <v>57</v>
      </c>
      <c r="X2793" t="s">
        <v>103</v>
      </c>
      <c r="AA2793" t="s">
        <v>169</v>
      </c>
      <c r="AB2793" t="s">
        <v>2089</v>
      </c>
      <c r="AC2793" t="s">
        <v>79</v>
      </c>
      <c r="AD2793" t="s">
        <v>80</v>
      </c>
      <c r="AE2793" t="s">
        <v>82</v>
      </c>
      <c r="AF2793" t="s">
        <v>0</v>
      </c>
      <c r="AG2793" t="s">
        <v>0</v>
      </c>
      <c r="AH2793" s="1" t="s">
        <v>14257</v>
      </c>
      <c r="AI2793" s="1" t="s">
        <v>14258</v>
      </c>
      <c r="AJ2793" s="1" t="s">
        <v>14259</v>
      </c>
      <c r="AK2793" t="s">
        <v>61</v>
      </c>
      <c r="AL2793" t="s">
        <v>61</v>
      </c>
      <c r="AM2793" t="s">
        <v>0</v>
      </c>
      <c r="AN2793" t="s">
        <v>0</v>
      </c>
      <c r="AO2793" t="s">
        <v>0</v>
      </c>
      <c r="AP2793" t="s">
        <v>0</v>
      </c>
      <c r="AQ2793" t="s">
        <v>61</v>
      </c>
      <c r="AR2793" t="s">
        <v>0</v>
      </c>
      <c r="AS2793" t="str">
        <f>HYPERLINK("https://tessa.gazprom-neft.local/edo/card/4003aaec-1547-4d35-84ce-e6db8b11f8a1", "https://tessa.gazprom-neft.local/edo/card/4003aaec-1547-4d35-84ce-e6db8b11f8a1")</f>
        <v>https://tessa.gazprom-neft.local/edo/card/4003aaec-1547-4d35-84ce-e6db8b11f8a1</v>
      </c>
    </row>
    <row r="2794" spans="1:45" x14ac:dyDescent="0.25">
      <c r="A2794" t="s">
        <v>44</v>
      </c>
      <c r="B2794" t="s">
        <v>350</v>
      </c>
      <c r="C2794" t="s">
        <v>67</v>
      </c>
      <c r="F2794" s="18" t="s">
        <v>1027</v>
      </c>
      <c r="G2794" t="s">
        <v>352</v>
      </c>
      <c r="H2794" t="s">
        <v>0</v>
      </c>
      <c r="I2794" t="s">
        <v>0</v>
      </c>
      <c r="J2794" t="s">
        <v>70</v>
      </c>
      <c r="K2794" t="s">
        <v>47</v>
      </c>
      <c r="L2794" t="s">
        <v>48</v>
      </c>
      <c r="M2794" t="s">
        <v>0</v>
      </c>
      <c r="N2794" t="s">
        <v>10208</v>
      </c>
      <c r="O2794" t="s">
        <v>0</v>
      </c>
      <c r="P2794" t="s">
        <v>10209</v>
      </c>
      <c r="Q2794" t="s">
        <v>10210</v>
      </c>
      <c r="R2794" t="s">
        <v>768</v>
      </c>
      <c r="S2794" t="s">
        <v>349</v>
      </c>
      <c r="T2794" t="s">
        <v>54</v>
      </c>
      <c r="U2794" t="s">
        <v>283</v>
      </c>
      <c r="V2794" t="s">
        <v>168</v>
      </c>
      <c r="W2794" t="s">
        <v>57</v>
      </c>
      <c r="X2794" t="s">
        <v>58</v>
      </c>
      <c r="AA2794" t="s">
        <v>169</v>
      </c>
      <c r="AB2794" t="s">
        <v>64</v>
      </c>
      <c r="AC2794" t="s">
        <v>79</v>
      </c>
      <c r="AD2794" t="s">
        <v>80</v>
      </c>
      <c r="AE2794" t="s">
        <v>82</v>
      </c>
      <c r="AF2794" t="s">
        <v>0</v>
      </c>
      <c r="AG2794" t="s">
        <v>0</v>
      </c>
      <c r="AH2794" s="1" t="s">
        <v>14260</v>
      </c>
      <c r="AI2794" s="1" t="s">
        <v>14261</v>
      </c>
      <c r="AJ2794" s="1" t="s">
        <v>14262</v>
      </c>
      <c r="AK2794" t="s">
        <v>61</v>
      </c>
      <c r="AL2794" t="s">
        <v>61</v>
      </c>
      <c r="AM2794" t="s">
        <v>0</v>
      </c>
      <c r="AN2794" t="s">
        <v>0</v>
      </c>
      <c r="AO2794" t="s">
        <v>0</v>
      </c>
      <c r="AP2794" t="s">
        <v>0</v>
      </c>
      <c r="AQ2794" t="s">
        <v>61</v>
      </c>
      <c r="AR2794" t="s">
        <v>0</v>
      </c>
      <c r="AS2794" t="str">
        <f>HYPERLINK("https://tessa.gazprom-neft.local/edo/card/8dcffd90-94aa-46e7-84e7-493771932400", "https://tessa.gazprom-neft.local/edo/card/8dcffd90-94aa-46e7-84e7-493771932400")</f>
        <v>https://tessa.gazprom-neft.local/edo/card/8dcffd90-94aa-46e7-84e7-493771932400</v>
      </c>
    </row>
    <row r="2795" spans="1:45" hidden="1" x14ac:dyDescent="0.25">
      <c r="A2795" t="s">
        <v>44</v>
      </c>
      <c r="B2795" t="s">
        <v>350</v>
      </c>
      <c r="C2795" t="s">
        <v>67</v>
      </c>
      <c r="F2795" s="18" t="s">
        <v>1027</v>
      </c>
      <c r="G2795" t="s">
        <v>352</v>
      </c>
      <c r="H2795" t="s">
        <v>0</v>
      </c>
      <c r="I2795" t="s">
        <v>0</v>
      </c>
      <c r="J2795" t="s">
        <v>51</v>
      </c>
      <c r="K2795" t="s">
        <v>47</v>
      </c>
      <c r="L2795" t="s">
        <v>763</v>
      </c>
      <c r="M2795" t="s">
        <v>0</v>
      </c>
      <c r="N2795" t="s">
        <v>10211</v>
      </c>
      <c r="O2795" t="s">
        <v>0</v>
      </c>
      <c r="P2795" t="s">
        <v>10212</v>
      </c>
      <c r="Q2795" t="s">
        <v>10213</v>
      </c>
      <c r="R2795" t="s">
        <v>768</v>
      </c>
      <c r="S2795" t="s">
        <v>349</v>
      </c>
      <c r="T2795" t="s">
        <v>54</v>
      </c>
      <c r="U2795" t="s">
        <v>283</v>
      </c>
      <c r="V2795" t="s">
        <v>308</v>
      </c>
      <c r="W2795" t="s">
        <v>57</v>
      </c>
      <c r="X2795" t="s">
        <v>58</v>
      </c>
      <c r="AA2795" t="s">
        <v>309</v>
      </c>
      <c r="AB2795" t="s">
        <v>64</v>
      </c>
      <c r="AC2795" t="s">
        <v>79</v>
      </c>
      <c r="AD2795" t="s">
        <v>80</v>
      </c>
      <c r="AE2795" t="s">
        <v>82</v>
      </c>
      <c r="AF2795" t="s">
        <v>0</v>
      </c>
      <c r="AG2795" t="s">
        <v>0</v>
      </c>
      <c r="AH2795" s="1" t="s">
        <v>14263</v>
      </c>
      <c r="AI2795" s="1" t="s">
        <v>14264</v>
      </c>
      <c r="AJ2795" s="1" t="s">
        <v>14265</v>
      </c>
      <c r="AK2795" t="s">
        <v>61</v>
      </c>
      <c r="AL2795" t="s">
        <v>61</v>
      </c>
      <c r="AM2795" t="s">
        <v>0</v>
      </c>
      <c r="AN2795" t="s">
        <v>0</v>
      </c>
      <c r="AO2795" t="s">
        <v>0</v>
      </c>
      <c r="AP2795" t="s">
        <v>0</v>
      </c>
      <c r="AQ2795" t="s">
        <v>61</v>
      </c>
      <c r="AR2795" t="s">
        <v>0</v>
      </c>
      <c r="AS2795" t="str">
        <f>HYPERLINK("https://tessa.gazprom-neft.local/edo/card/e21c5179-bc09-4277-a39d-a1fd5dc1cd6a", "https://tessa.gazprom-neft.local/edo/card/e21c5179-bc09-4277-a39d-a1fd5dc1cd6a")</f>
        <v>https://tessa.gazprom-neft.local/edo/card/e21c5179-bc09-4277-a39d-a1fd5dc1cd6a</v>
      </c>
    </row>
    <row r="2796" spans="1:45" x14ac:dyDescent="0.25">
      <c r="A2796" t="s">
        <v>44</v>
      </c>
      <c r="B2796" t="s">
        <v>436</v>
      </c>
      <c r="C2796" t="s">
        <v>67</v>
      </c>
      <c r="F2796" s="18" t="s">
        <v>437</v>
      </c>
      <c r="G2796" t="s">
        <v>438</v>
      </c>
      <c r="H2796" t="s">
        <v>483</v>
      </c>
      <c r="I2796" t="s">
        <v>0</v>
      </c>
      <c r="J2796" t="s">
        <v>271</v>
      </c>
      <c r="K2796" t="s">
        <v>47</v>
      </c>
      <c r="L2796" t="s">
        <v>48</v>
      </c>
      <c r="M2796" t="s">
        <v>0</v>
      </c>
      <c r="N2796" t="s">
        <v>10214</v>
      </c>
      <c r="O2796" t="s">
        <v>0</v>
      </c>
      <c r="P2796" t="s">
        <v>10215</v>
      </c>
      <c r="Q2796" t="s">
        <v>10216</v>
      </c>
      <c r="R2796" t="s">
        <v>484</v>
      </c>
      <c r="S2796" t="s">
        <v>484</v>
      </c>
      <c r="T2796" t="s">
        <v>10217</v>
      </c>
      <c r="U2796" t="s">
        <v>274</v>
      </c>
      <c r="V2796" t="s">
        <v>864</v>
      </c>
      <c r="W2796" t="s">
        <v>57</v>
      </c>
      <c r="X2796" t="s">
        <v>103</v>
      </c>
      <c r="AA2796" t="s">
        <v>865</v>
      </c>
      <c r="AB2796" t="s">
        <v>328</v>
      </c>
      <c r="AC2796" t="s">
        <v>65</v>
      </c>
      <c r="AD2796" t="s">
        <v>144</v>
      </c>
      <c r="AE2796" t="s">
        <v>0</v>
      </c>
      <c r="AF2796" t="s">
        <v>0</v>
      </c>
      <c r="AG2796" t="s">
        <v>0</v>
      </c>
      <c r="AH2796" s="1" t="s">
        <v>0</v>
      </c>
      <c r="AI2796" s="1" t="s">
        <v>0</v>
      </c>
      <c r="AJ2796" s="1" t="s">
        <v>0</v>
      </c>
      <c r="AK2796" t="s">
        <v>61</v>
      </c>
      <c r="AL2796" t="s">
        <v>61</v>
      </c>
      <c r="AM2796" t="s">
        <v>0</v>
      </c>
      <c r="AN2796" t="s">
        <v>0</v>
      </c>
      <c r="AO2796" t="s">
        <v>0</v>
      </c>
      <c r="AP2796" t="s">
        <v>0</v>
      </c>
      <c r="AQ2796" t="s">
        <v>0</v>
      </c>
      <c r="AR2796" t="s">
        <v>61</v>
      </c>
      <c r="AS2796" t="str">
        <f>HYPERLINK("https://tessa.gazprom-neft.local/edo/card/503bebf9-7e3f-4ce3-93bb-76f932af899f", "https://tessa.gazprom-neft.local/edo/card/503bebf9-7e3f-4ce3-93bb-76f932af899f")</f>
        <v>https://tessa.gazprom-neft.local/edo/card/503bebf9-7e3f-4ce3-93bb-76f932af899f</v>
      </c>
    </row>
    <row r="2797" spans="1:45" hidden="1" x14ac:dyDescent="0.25">
      <c r="A2797" t="s">
        <v>44</v>
      </c>
      <c r="B2797" t="s">
        <v>245</v>
      </c>
      <c r="C2797" t="s">
        <v>67</v>
      </c>
      <c r="F2797" s="18" t="s">
        <v>246</v>
      </c>
      <c r="G2797" t="s">
        <v>247</v>
      </c>
      <c r="H2797" t="s">
        <v>10219</v>
      </c>
      <c r="I2797" t="s">
        <v>0</v>
      </c>
      <c r="J2797" t="s">
        <v>10221</v>
      </c>
      <c r="K2797" t="s">
        <v>47</v>
      </c>
      <c r="L2797" t="s">
        <v>239</v>
      </c>
      <c r="M2797" t="s">
        <v>0</v>
      </c>
      <c r="N2797" t="s">
        <v>10218</v>
      </c>
      <c r="O2797" t="s">
        <v>0</v>
      </c>
      <c r="P2797" t="s">
        <v>10220</v>
      </c>
      <c r="Q2797" t="s">
        <v>10222</v>
      </c>
      <c r="R2797" t="s">
        <v>4387</v>
      </c>
      <c r="S2797" t="s">
        <v>4387</v>
      </c>
      <c r="T2797" t="s">
        <v>10217</v>
      </c>
      <c r="U2797" t="s">
        <v>892</v>
      </c>
      <c r="V2797" t="s">
        <v>340</v>
      </c>
      <c r="W2797" t="s">
        <v>74</v>
      </c>
      <c r="X2797" t="s">
        <v>103</v>
      </c>
      <c r="AA2797" t="s">
        <v>341</v>
      </c>
      <c r="AB2797" t="s">
        <v>256</v>
      </c>
      <c r="AC2797" t="s">
        <v>278</v>
      </c>
      <c r="AD2797" t="s">
        <v>144</v>
      </c>
      <c r="AE2797" t="s">
        <v>82</v>
      </c>
      <c r="AF2797" t="s">
        <v>0</v>
      </c>
      <c r="AG2797" t="s">
        <v>0</v>
      </c>
      <c r="AH2797" s="1" t="s">
        <v>14266</v>
      </c>
      <c r="AI2797" s="1" t="s">
        <v>14267</v>
      </c>
      <c r="AJ2797" s="1" t="s">
        <v>14268</v>
      </c>
      <c r="AK2797" t="s">
        <v>61</v>
      </c>
      <c r="AL2797" t="s">
        <v>61</v>
      </c>
      <c r="AM2797" t="s">
        <v>0</v>
      </c>
      <c r="AN2797" t="s">
        <v>0</v>
      </c>
      <c r="AO2797" t="s">
        <v>0</v>
      </c>
      <c r="AP2797" t="s">
        <v>0</v>
      </c>
      <c r="AQ2797" t="s">
        <v>0</v>
      </c>
      <c r="AR2797" t="s">
        <v>61</v>
      </c>
      <c r="AS2797" t="str">
        <f>HYPERLINK("https://tessa.gazprom-neft.local/edo/card/dd9245cc-9913-498c-b29d-afe4a9d29bf8", "https://tessa.gazprom-neft.local/edo/card/dd9245cc-9913-498c-b29d-afe4a9d29bf8")</f>
        <v>https://tessa.gazprom-neft.local/edo/card/dd9245cc-9913-498c-b29d-afe4a9d29bf8</v>
      </c>
    </row>
    <row r="2798" spans="1:45" hidden="1" x14ac:dyDescent="0.25">
      <c r="A2798" t="s">
        <v>44</v>
      </c>
      <c r="B2798" t="s">
        <v>297</v>
      </c>
      <c r="C2798" t="s">
        <v>67</v>
      </c>
      <c r="F2798" s="18" t="s">
        <v>298</v>
      </c>
      <c r="G2798" t="s">
        <v>299</v>
      </c>
      <c r="H2798" t="s">
        <v>10224</v>
      </c>
      <c r="I2798" t="s">
        <v>0</v>
      </c>
      <c r="J2798" t="s">
        <v>51</v>
      </c>
      <c r="K2798" t="s">
        <v>47</v>
      </c>
      <c r="L2798" t="s">
        <v>389</v>
      </c>
      <c r="M2798" t="s">
        <v>0</v>
      </c>
      <c r="N2798" t="s">
        <v>10223</v>
      </c>
      <c r="O2798" t="s">
        <v>271</v>
      </c>
      <c r="P2798" t="s">
        <v>10225</v>
      </c>
      <c r="Q2798" t="s">
        <v>10226</v>
      </c>
      <c r="R2798" t="s">
        <v>484</v>
      </c>
      <c r="S2798" t="s">
        <v>484</v>
      </c>
      <c r="T2798" t="s">
        <v>10217</v>
      </c>
      <c r="U2798" t="s">
        <v>274</v>
      </c>
      <c r="V2798" t="s">
        <v>56</v>
      </c>
      <c r="W2798" t="s">
        <v>74</v>
      </c>
      <c r="X2798" t="s">
        <v>103</v>
      </c>
      <c r="AA2798" t="s">
        <v>59</v>
      </c>
      <c r="AB2798" t="s">
        <v>64</v>
      </c>
      <c r="AC2798" t="s">
        <v>65</v>
      </c>
      <c r="AD2798" t="s">
        <v>0</v>
      </c>
      <c r="AE2798" t="s">
        <v>0</v>
      </c>
      <c r="AF2798" t="s">
        <v>0</v>
      </c>
      <c r="AG2798" t="s">
        <v>0</v>
      </c>
      <c r="AH2798" s="1" t="s">
        <v>0</v>
      </c>
      <c r="AI2798" s="1" t="s">
        <v>0</v>
      </c>
      <c r="AJ2798" s="1" t="s">
        <v>0</v>
      </c>
      <c r="AK2798" t="s">
        <v>61</v>
      </c>
      <c r="AL2798" t="s">
        <v>61</v>
      </c>
      <c r="AM2798" t="s">
        <v>0</v>
      </c>
      <c r="AN2798" t="s">
        <v>0</v>
      </c>
      <c r="AO2798" t="s">
        <v>0</v>
      </c>
      <c r="AP2798" t="s">
        <v>0</v>
      </c>
      <c r="AQ2798" t="s">
        <v>0</v>
      </c>
      <c r="AR2798" t="s">
        <v>61</v>
      </c>
      <c r="AS2798" t="str">
        <f>HYPERLINK("https://tessa.gazprom-neft.local/edo/card/23672f6f-3741-42eb-8787-8edebc3097b4", "https://tessa.gazprom-neft.local/edo/card/23672f6f-3741-42eb-8787-8edebc3097b4")</f>
        <v>https://tessa.gazprom-neft.local/edo/card/23672f6f-3741-42eb-8787-8edebc3097b4</v>
      </c>
    </row>
    <row r="2799" spans="1:45" hidden="1" x14ac:dyDescent="0.25">
      <c r="A2799" t="s">
        <v>44</v>
      </c>
      <c r="B2799" t="s">
        <v>297</v>
      </c>
      <c r="C2799" t="s">
        <v>67</v>
      </c>
      <c r="F2799" s="18" t="s">
        <v>298</v>
      </c>
      <c r="G2799" t="s">
        <v>299</v>
      </c>
      <c r="H2799" t="s">
        <v>10224</v>
      </c>
      <c r="I2799" t="s">
        <v>0</v>
      </c>
      <c r="J2799" t="s">
        <v>51</v>
      </c>
      <c r="K2799" t="s">
        <v>47</v>
      </c>
      <c r="L2799" t="s">
        <v>389</v>
      </c>
      <c r="M2799" t="s">
        <v>0</v>
      </c>
      <c r="N2799" t="s">
        <v>10227</v>
      </c>
      <c r="O2799" t="s">
        <v>156</v>
      </c>
      <c r="P2799" t="s">
        <v>10228</v>
      </c>
      <c r="Q2799" t="s">
        <v>10229</v>
      </c>
      <c r="R2799" t="s">
        <v>484</v>
      </c>
      <c r="S2799" t="s">
        <v>484</v>
      </c>
      <c r="T2799" t="s">
        <v>10217</v>
      </c>
      <c r="U2799" t="s">
        <v>274</v>
      </c>
      <c r="V2799" t="s">
        <v>56</v>
      </c>
      <c r="W2799" t="s">
        <v>74</v>
      </c>
      <c r="X2799" t="s">
        <v>103</v>
      </c>
      <c r="AA2799" t="s">
        <v>59</v>
      </c>
      <c r="AB2799" t="s">
        <v>64</v>
      </c>
      <c r="AC2799" t="s">
        <v>65</v>
      </c>
      <c r="AD2799" t="s">
        <v>0</v>
      </c>
      <c r="AE2799" t="s">
        <v>0</v>
      </c>
      <c r="AF2799" t="s">
        <v>0</v>
      </c>
      <c r="AG2799" t="s">
        <v>0</v>
      </c>
      <c r="AH2799" s="1" t="s">
        <v>0</v>
      </c>
      <c r="AI2799" s="1" t="s">
        <v>0</v>
      </c>
      <c r="AJ2799" s="1" t="s">
        <v>0</v>
      </c>
      <c r="AK2799" t="s">
        <v>61</v>
      </c>
      <c r="AL2799" t="s">
        <v>61</v>
      </c>
      <c r="AM2799" t="s">
        <v>0</v>
      </c>
      <c r="AN2799" t="s">
        <v>0</v>
      </c>
      <c r="AO2799" t="s">
        <v>0</v>
      </c>
      <c r="AP2799" t="s">
        <v>0</v>
      </c>
      <c r="AQ2799" t="s">
        <v>0</v>
      </c>
      <c r="AR2799" t="s">
        <v>61</v>
      </c>
      <c r="AS2799" t="str">
        <f>HYPERLINK("https://tessa.gazprom-neft.local/edo/card/b128dbc6-41e7-4f51-8057-f1276f0a7774", "https://tessa.gazprom-neft.local/edo/card/b128dbc6-41e7-4f51-8057-f1276f0a7774")</f>
        <v>https://tessa.gazprom-neft.local/edo/card/b128dbc6-41e7-4f51-8057-f1276f0a7774</v>
      </c>
    </row>
    <row r="2800" spans="1:45" x14ac:dyDescent="0.25">
      <c r="A2800" t="s">
        <v>44</v>
      </c>
      <c r="B2800" t="s">
        <v>1640</v>
      </c>
      <c r="C2800" t="s">
        <v>67</v>
      </c>
      <c r="F2800" s="18" t="s">
        <v>1641</v>
      </c>
      <c r="G2800" t="s">
        <v>1642</v>
      </c>
      <c r="H2800" t="s">
        <v>1801</v>
      </c>
      <c r="I2800" t="s">
        <v>0</v>
      </c>
      <c r="J2800" t="s">
        <v>955</v>
      </c>
      <c r="K2800" t="s">
        <v>47</v>
      </c>
      <c r="L2800" t="s">
        <v>48</v>
      </c>
      <c r="M2800" t="s">
        <v>0</v>
      </c>
      <c r="N2800" t="s">
        <v>10230</v>
      </c>
      <c r="O2800" t="s">
        <v>0</v>
      </c>
      <c r="P2800" t="s">
        <v>10231</v>
      </c>
      <c r="Q2800" t="s">
        <v>10232</v>
      </c>
      <c r="R2800" t="s">
        <v>1083</v>
      </c>
      <c r="S2800" t="s">
        <v>1083</v>
      </c>
      <c r="T2800" t="s">
        <v>10217</v>
      </c>
      <c r="U2800" t="s">
        <v>1043</v>
      </c>
      <c r="V2800" t="s">
        <v>723</v>
      </c>
      <c r="W2800" t="s">
        <v>57</v>
      </c>
      <c r="X2800" t="s">
        <v>103</v>
      </c>
      <c r="AA2800" t="s">
        <v>1031</v>
      </c>
      <c r="AB2800" t="s">
        <v>64</v>
      </c>
      <c r="AC2800" t="s">
        <v>278</v>
      </c>
      <c r="AD2800" t="s">
        <v>80</v>
      </c>
      <c r="AE2800" t="s">
        <v>82</v>
      </c>
      <c r="AF2800" t="s">
        <v>0</v>
      </c>
      <c r="AG2800" t="s">
        <v>0</v>
      </c>
      <c r="AH2800" s="1" t="s">
        <v>14269</v>
      </c>
      <c r="AI2800" s="1" t="s">
        <v>14270</v>
      </c>
      <c r="AJ2800" s="1" t="s">
        <v>14271</v>
      </c>
      <c r="AK2800" t="s">
        <v>61</v>
      </c>
      <c r="AL2800" t="s">
        <v>61</v>
      </c>
      <c r="AM2800" t="s">
        <v>0</v>
      </c>
      <c r="AN2800" t="s">
        <v>0</v>
      </c>
      <c r="AO2800" t="s">
        <v>0</v>
      </c>
      <c r="AP2800" t="s">
        <v>0</v>
      </c>
      <c r="AQ2800" t="s">
        <v>0</v>
      </c>
      <c r="AR2800" t="s">
        <v>61</v>
      </c>
      <c r="AS2800" t="str">
        <f>HYPERLINK("https://tessa.gazprom-neft.local/edo/card/c3ac7f74-56df-4aad-9fe6-b69e36bf1b20", "https://tessa.gazprom-neft.local/edo/card/c3ac7f74-56df-4aad-9fe6-b69e36bf1b20")</f>
        <v>https://tessa.gazprom-neft.local/edo/card/c3ac7f74-56df-4aad-9fe6-b69e36bf1b20</v>
      </c>
    </row>
    <row r="2801" spans="1:45" x14ac:dyDescent="0.25">
      <c r="A2801" t="s">
        <v>44</v>
      </c>
      <c r="B2801" t="s">
        <v>1925</v>
      </c>
      <c r="C2801" t="s">
        <v>67</v>
      </c>
      <c r="F2801" s="18" t="s">
        <v>1926</v>
      </c>
      <c r="G2801" t="s">
        <v>1927</v>
      </c>
      <c r="H2801" t="s">
        <v>10234</v>
      </c>
      <c r="I2801" t="s">
        <v>0</v>
      </c>
      <c r="J2801" t="s">
        <v>51</v>
      </c>
      <c r="K2801" t="s">
        <v>85</v>
      </c>
      <c r="L2801" t="s">
        <v>48</v>
      </c>
      <c r="M2801" t="s">
        <v>2128</v>
      </c>
      <c r="N2801" t="s">
        <v>10233</v>
      </c>
      <c r="O2801" t="s">
        <v>0</v>
      </c>
      <c r="P2801" t="s">
        <v>10235</v>
      </c>
      <c r="Q2801" t="s">
        <v>10236</v>
      </c>
      <c r="R2801" t="s">
        <v>10237</v>
      </c>
      <c r="S2801" t="s">
        <v>10237</v>
      </c>
      <c r="T2801" t="s">
        <v>10217</v>
      </c>
      <c r="U2801" t="s">
        <v>1792</v>
      </c>
      <c r="V2801" t="s">
        <v>846</v>
      </c>
      <c r="W2801" t="s">
        <v>74</v>
      </c>
      <c r="X2801" t="s">
        <v>103</v>
      </c>
      <c r="AA2801" t="s">
        <v>847</v>
      </c>
      <c r="AB2801" t="s">
        <v>256</v>
      </c>
      <c r="AC2801" t="s">
        <v>65</v>
      </c>
      <c r="AD2801" t="s">
        <v>0</v>
      </c>
      <c r="AE2801" t="s">
        <v>0</v>
      </c>
      <c r="AF2801" t="s">
        <v>0</v>
      </c>
      <c r="AG2801" t="s">
        <v>0</v>
      </c>
      <c r="AH2801" s="1" t="s">
        <v>0</v>
      </c>
      <c r="AI2801" s="1" t="s">
        <v>0</v>
      </c>
      <c r="AJ2801" s="1" t="s">
        <v>0</v>
      </c>
      <c r="AK2801" t="s">
        <v>61</v>
      </c>
      <c r="AL2801" t="s">
        <v>61</v>
      </c>
      <c r="AM2801" t="s">
        <v>0</v>
      </c>
      <c r="AN2801" t="s">
        <v>0</v>
      </c>
      <c r="AO2801" t="s">
        <v>0</v>
      </c>
      <c r="AP2801" t="s">
        <v>0</v>
      </c>
      <c r="AQ2801" t="s">
        <v>0</v>
      </c>
      <c r="AR2801" t="s">
        <v>61</v>
      </c>
      <c r="AS2801" t="str">
        <f>HYPERLINK("https://tessa.gazprom-neft.local/edo/card/857aec9e-84b2-40d1-bd94-2a05aaa5ab4e", "https://tessa.gazprom-neft.local/edo/card/857aec9e-84b2-40d1-bd94-2a05aaa5ab4e")</f>
        <v>https://tessa.gazprom-neft.local/edo/card/857aec9e-84b2-40d1-bd94-2a05aaa5ab4e</v>
      </c>
    </row>
    <row r="2802" spans="1:45" x14ac:dyDescent="0.25">
      <c r="A2802" t="s">
        <v>44</v>
      </c>
      <c r="B2802" t="s">
        <v>1684</v>
      </c>
      <c r="C2802" t="s">
        <v>67</v>
      </c>
      <c r="F2802" s="18" t="s">
        <v>1685</v>
      </c>
      <c r="G2802" t="s">
        <v>1686</v>
      </c>
      <c r="H2802" t="s">
        <v>10239</v>
      </c>
      <c r="I2802" t="s">
        <v>0</v>
      </c>
      <c r="J2802" t="s">
        <v>51</v>
      </c>
      <c r="K2802" t="s">
        <v>85</v>
      </c>
      <c r="L2802" t="s">
        <v>48</v>
      </c>
      <c r="M2802" t="s">
        <v>2128</v>
      </c>
      <c r="N2802" t="s">
        <v>10238</v>
      </c>
      <c r="O2802" t="s">
        <v>0</v>
      </c>
      <c r="P2802" t="s">
        <v>2128</v>
      </c>
      <c r="Q2802" t="s">
        <v>10240</v>
      </c>
      <c r="R2802" t="s">
        <v>10241</v>
      </c>
      <c r="S2802" t="s">
        <v>0</v>
      </c>
      <c r="T2802" t="s">
        <v>10217</v>
      </c>
      <c r="U2802" t="s">
        <v>101</v>
      </c>
      <c r="V2802" t="s">
        <v>168</v>
      </c>
      <c r="W2802" t="s">
        <v>74</v>
      </c>
      <c r="X2802" t="s">
        <v>103</v>
      </c>
      <c r="AA2802" t="s">
        <v>169</v>
      </c>
      <c r="AB2802" t="s">
        <v>366</v>
      </c>
      <c r="AC2802" t="s">
        <v>278</v>
      </c>
      <c r="AD2802" t="s">
        <v>367</v>
      </c>
      <c r="AE2802" t="s">
        <v>82</v>
      </c>
      <c r="AF2802" t="s">
        <v>0</v>
      </c>
      <c r="AG2802" t="s">
        <v>0</v>
      </c>
      <c r="AH2802" s="1" t="s">
        <v>14272</v>
      </c>
      <c r="AI2802" s="1" t="s">
        <v>14273</v>
      </c>
      <c r="AJ2802" s="1" t="s">
        <v>14274</v>
      </c>
      <c r="AK2802" t="s">
        <v>61</v>
      </c>
      <c r="AL2802" t="s">
        <v>61</v>
      </c>
      <c r="AM2802" t="s">
        <v>0</v>
      </c>
      <c r="AN2802" t="s">
        <v>0</v>
      </c>
      <c r="AO2802" t="s">
        <v>0</v>
      </c>
      <c r="AP2802" t="s">
        <v>0</v>
      </c>
      <c r="AQ2802" t="s">
        <v>0</v>
      </c>
      <c r="AR2802" t="s">
        <v>61</v>
      </c>
      <c r="AS2802" t="str">
        <f>HYPERLINK("https://tessa.gazprom-neft.local/edo/card/ace45db1-ce70-4909-a505-4b67edd797ef", "https://tessa.gazprom-neft.local/edo/card/ace45db1-ce70-4909-a505-4b67edd797ef")</f>
        <v>https://tessa.gazprom-neft.local/edo/card/ace45db1-ce70-4909-a505-4b67edd797ef</v>
      </c>
    </row>
    <row r="2803" spans="1:45" hidden="1" x14ac:dyDescent="0.25">
      <c r="A2803" t="s">
        <v>44</v>
      </c>
      <c r="B2803" t="s">
        <v>964</v>
      </c>
      <c r="C2803" t="s">
        <v>4861</v>
      </c>
      <c r="F2803" s="18" t="s">
        <v>965</v>
      </c>
      <c r="G2803" t="s">
        <v>966</v>
      </c>
      <c r="H2803" t="s">
        <v>0</v>
      </c>
      <c r="I2803" t="s">
        <v>0</v>
      </c>
      <c r="J2803" t="s">
        <v>0</v>
      </c>
      <c r="K2803" t="s">
        <v>47</v>
      </c>
      <c r="L2803" t="s">
        <v>96</v>
      </c>
      <c r="M2803" t="s">
        <v>0</v>
      </c>
      <c r="N2803" t="s">
        <v>10242</v>
      </c>
      <c r="O2803" t="s">
        <v>0</v>
      </c>
      <c r="P2803" t="s">
        <v>7280</v>
      </c>
      <c r="Q2803" t="s">
        <v>10243</v>
      </c>
      <c r="R2803" t="s">
        <v>1120</v>
      </c>
      <c r="S2803" t="s">
        <v>1120</v>
      </c>
      <c r="T2803" t="s">
        <v>10217</v>
      </c>
      <c r="U2803" t="s">
        <v>294</v>
      </c>
      <c r="V2803" t="s">
        <v>295</v>
      </c>
      <c r="W2803" t="s">
        <v>74</v>
      </c>
      <c r="X2803" t="s">
        <v>103</v>
      </c>
      <c r="AA2803" t="s">
        <v>296</v>
      </c>
      <c r="AB2803" t="s">
        <v>1354</v>
      </c>
      <c r="AC2803" t="s">
        <v>278</v>
      </c>
      <c r="AD2803" t="s">
        <v>80</v>
      </c>
      <c r="AE2803" t="s">
        <v>82</v>
      </c>
      <c r="AF2803" t="s">
        <v>0</v>
      </c>
      <c r="AG2803" t="s">
        <v>0</v>
      </c>
      <c r="AH2803" s="1" t="s">
        <v>14275</v>
      </c>
      <c r="AI2803" s="1" t="s">
        <v>14276</v>
      </c>
      <c r="AJ2803" s="1" t="s">
        <v>14277</v>
      </c>
      <c r="AK2803" t="s">
        <v>61</v>
      </c>
      <c r="AL2803" t="s">
        <v>61</v>
      </c>
      <c r="AM2803" t="s">
        <v>0</v>
      </c>
      <c r="AN2803" t="s">
        <v>0</v>
      </c>
      <c r="AO2803" t="s">
        <v>0</v>
      </c>
      <c r="AP2803" t="s">
        <v>0</v>
      </c>
      <c r="AQ2803" t="s">
        <v>0</v>
      </c>
      <c r="AR2803" t="s">
        <v>61</v>
      </c>
      <c r="AS2803" t="str">
        <f>HYPERLINK("https://tessa.gazprom-neft.local/edo/card/50efabef-9380-4c13-b800-1a837eb8bf8d", "https://tessa.gazprom-neft.local/edo/card/50efabef-9380-4c13-b800-1a837eb8bf8d")</f>
        <v>https://tessa.gazprom-neft.local/edo/card/50efabef-9380-4c13-b800-1a837eb8bf8d</v>
      </c>
    </row>
    <row r="2804" spans="1:45" hidden="1" x14ac:dyDescent="0.25">
      <c r="A2804" t="s">
        <v>44</v>
      </c>
      <c r="B2804" t="s">
        <v>436</v>
      </c>
      <c r="C2804" t="s">
        <v>67</v>
      </c>
      <c r="F2804" s="18" t="s">
        <v>437</v>
      </c>
      <c r="G2804" t="s">
        <v>438</v>
      </c>
      <c r="H2804" t="s">
        <v>10245</v>
      </c>
      <c r="I2804" t="s">
        <v>0</v>
      </c>
      <c r="J2804" t="s">
        <v>156</v>
      </c>
      <c r="K2804" t="s">
        <v>47</v>
      </c>
      <c r="L2804" t="s">
        <v>239</v>
      </c>
      <c r="M2804" t="s">
        <v>0</v>
      </c>
      <c r="N2804" t="s">
        <v>10244</v>
      </c>
      <c r="O2804" t="s">
        <v>0</v>
      </c>
      <c r="P2804" t="s">
        <v>10246</v>
      </c>
      <c r="Q2804" t="s">
        <v>10247</v>
      </c>
      <c r="R2804" t="s">
        <v>484</v>
      </c>
      <c r="S2804" t="s">
        <v>484</v>
      </c>
      <c r="T2804" t="s">
        <v>10217</v>
      </c>
      <c r="U2804" t="s">
        <v>274</v>
      </c>
      <c r="V2804" t="s">
        <v>56</v>
      </c>
      <c r="W2804" t="s">
        <v>74</v>
      </c>
      <c r="X2804" t="s">
        <v>103</v>
      </c>
      <c r="AA2804" t="s">
        <v>59</v>
      </c>
      <c r="AB2804" t="s">
        <v>64</v>
      </c>
      <c r="AC2804" t="s">
        <v>278</v>
      </c>
      <c r="AD2804" t="s">
        <v>144</v>
      </c>
      <c r="AE2804" t="s">
        <v>82</v>
      </c>
      <c r="AF2804" t="s">
        <v>0</v>
      </c>
      <c r="AG2804" t="s">
        <v>0</v>
      </c>
      <c r="AH2804" s="1" t="s">
        <v>14278</v>
      </c>
      <c r="AI2804" s="1" t="s">
        <v>14279</v>
      </c>
      <c r="AJ2804" s="1" t="s">
        <v>14280</v>
      </c>
      <c r="AK2804" t="s">
        <v>61</v>
      </c>
      <c r="AL2804" t="s">
        <v>61</v>
      </c>
      <c r="AM2804" t="s">
        <v>0</v>
      </c>
      <c r="AN2804" t="s">
        <v>0</v>
      </c>
      <c r="AO2804" t="s">
        <v>0</v>
      </c>
      <c r="AP2804" t="s">
        <v>10248</v>
      </c>
      <c r="AQ2804" t="s">
        <v>0</v>
      </c>
      <c r="AR2804" t="s">
        <v>61</v>
      </c>
      <c r="AS2804" t="str">
        <f>HYPERLINK("https://tessa.gazprom-neft.local/edo/card/1fd2672c-65b8-4f66-b753-9badb815c736", "https://tessa.gazprom-neft.local/edo/card/1fd2672c-65b8-4f66-b753-9badb815c736")</f>
        <v>https://tessa.gazprom-neft.local/edo/card/1fd2672c-65b8-4f66-b753-9badb815c736</v>
      </c>
    </row>
    <row r="2805" spans="1:45" hidden="1" x14ac:dyDescent="0.25">
      <c r="A2805" t="s">
        <v>44</v>
      </c>
      <c r="B2805" t="s">
        <v>2993</v>
      </c>
      <c r="C2805" t="s">
        <v>67</v>
      </c>
      <c r="F2805" s="18" t="s">
        <v>2994</v>
      </c>
      <c r="G2805" t="s">
        <v>2995</v>
      </c>
      <c r="H2805" t="s">
        <v>0</v>
      </c>
      <c r="I2805" t="s">
        <v>10250</v>
      </c>
      <c r="J2805" t="s">
        <v>10250</v>
      </c>
      <c r="K2805" t="s">
        <v>47</v>
      </c>
      <c r="L2805" t="s">
        <v>96</v>
      </c>
      <c r="M2805" t="s">
        <v>0</v>
      </c>
      <c r="N2805" t="s">
        <v>10249</v>
      </c>
      <c r="O2805" t="s">
        <v>0</v>
      </c>
      <c r="P2805" t="s">
        <v>10251</v>
      </c>
      <c r="Q2805" t="s">
        <v>10252</v>
      </c>
      <c r="R2805" t="s">
        <v>540</v>
      </c>
      <c r="S2805" t="s">
        <v>10253</v>
      </c>
      <c r="T2805" t="s">
        <v>10217</v>
      </c>
      <c r="U2805" t="s">
        <v>541</v>
      </c>
      <c r="V2805" t="s">
        <v>56</v>
      </c>
      <c r="W2805" t="s">
        <v>57</v>
      </c>
      <c r="X2805" t="s">
        <v>103</v>
      </c>
      <c r="AA2805" t="s">
        <v>59</v>
      </c>
      <c r="AB2805" t="s">
        <v>64</v>
      </c>
      <c r="AC2805" t="s">
        <v>278</v>
      </c>
      <c r="AD2805" t="s">
        <v>80</v>
      </c>
      <c r="AE2805" t="s">
        <v>82</v>
      </c>
      <c r="AF2805" t="s">
        <v>0</v>
      </c>
      <c r="AG2805" t="s">
        <v>0</v>
      </c>
      <c r="AH2805" s="1" t="s">
        <v>14281</v>
      </c>
      <c r="AI2805" s="1" t="s">
        <v>14282</v>
      </c>
      <c r="AJ2805" s="1" t="s">
        <v>14283</v>
      </c>
      <c r="AK2805" t="s">
        <v>61</v>
      </c>
      <c r="AL2805" t="s">
        <v>61</v>
      </c>
      <c r="AM2805" t="s">
        <v>0</v>
      </c>
      <c r="AN2805" t="s">
        <v>0</v>
      </c>
      <c r="AO2805" t="s">
        <v>0</v>
      </c>
      <c r="AP2805" t="s">
        <v>0</v>
      </c>
      <c r="AQ2805" t="s">
        <v>0</v>
      </c>
      <c r="AR2805" t="s">
        <v>61</v>
      </c>
      <c r="AS2805" t="str">
        <f>HYPERLINK("https://tessa.gazprom-neft.local/edo/card/50eeb6c6-25a8-4f39-8657-592819538e94", "https://tessa.gazprom-neft.local/edo/card/50eeb6c6-25a8-4f39-8657-592819538e94")</f>
        <v>https://tessa.gazprom-neft.local/edo/card/50eeb6c6-25a8-4f39-8657-592819538e94</v>
      </c>
    </row>
    <row r="2806" spans="1:45" x14ac:dyDescent="0.25">
      <c r="A2806" t="s">
        <v>44</v>
      </c>
      <c r="B2806" t="s">
        <v>793</v>
      </c>
      <c r="C2806" t="s">
        <v>67</v>
      </c>
      <c r="F2806" s="18" t="s">
        <v>794</v>
      </c>
      <c r="G2806" t="s">
        <v>795</v>
      </c>
      <c r="H2806" t="s">
        <v>10255</v>
      </c>
      <c r="I2806" t="s">
        <v>0</v>
      </c>
      <c r="J2806" t="s">
        <v>355</v>
      </c>
      <c r="K2806" t="s">
        <v>47</v>
      </c>
      <c r="L2806" t="s">
        <v>48</v>
      </c>
      <c r="M2806" t="s">
        <v>0</v>
      </c>
      <c r="N2806" t="s">
        <v>10254</v>
      </c>
      <c r="O2806" t="s">
        <v>0</v>
      </c>
      <c r="P2806" t="s">
        <v>10256</v>
      </c>
      <c r="Q2806" t="s">
        <v>1291</v>
      </c>
      <c r="R2806" t="s">
        <v>361</v>
      </c>
      <c r="S2806" t="s">
        <v>361</v>
      </c>
      <c r="T2806" t="s">
        <v>10217</v>
      </c>
      <c r="U2806" t="s">
        <v>362</v>
      </c>
      <c r="V2806" t="s">
        <v>295</v>
      </c>
      <c r="W2806" t="s">
        <v>74</v>
      </c>
      <c r="X2806" t="s">
        <v>103</v>
      </c>
      <c r="AA2806" t="s">
        <v>296</v>
      </c>
      <c r="AB2806" t="s">
        <v>366</v>
      </c>
      <c r="AC2806" t="s">
        <v>65</v>
      </c>
      <c r="AD2806" t="s">
        <v>367</v>
      </c>
      <c r="AE2806" t="s">
        <v>0</v>
      </c>
      <c r="AF2806" t="s">
        <v>0</v>
      </c>
      <c r="AG2806" t="s">
        <v>0</v>
      </c>
      <c r="AH2806" s="1" t="s">
        <v>0</v>
      </c>
      <c r="AI2806" s="1" t="s">
        <v>0</v>
      </c>
      <c r="AJ2806" s="1" t="s">
        <v>0</v>
      </c>
      <c r="AK2806" t="s">
        <v>61</v>
      </c>
      <c r="AL2806" t="s">
        <v>61</v>
      </c>
      <c r="AM2806" t="s">
        <v>0</v>
      </c>
      <c r="AN2806" t="s">
        <v>0</v>
      </c>
      <c r="AO2806" t="s">
        <v>0</v>
      </c>
      <c r="AP2806" t="s">
        <v>0</v>
      </c>
      <c r="AQ2806" t="s">
        <v>0</v>
      </c>
      <c r="AR2806" t="s">
        <v>61</v>
      </c>
      <c r="AS2806" t="str">
        <f>HYPERLINK("https://tessa.gazprom-neft.local/edo/card/d94aafab-7101-477a-812a-7b49f3cfb61a", "https://tessa.gazprom-neft.local/edo/card/d94aafab-7101-477a-812a-7b49f3cfb61a")</f>
        <v>https://tessa.gazprom-neft.local/edo/card/d94aafab-7101-477a-812a-7b49f3cfb61a</v>
      </c>
    </row>
    <row r="2807" spans="1:45" hidden="1" x14ac:dyDescent="0.25">
      <c r="A2807" t="s">
        <v>44</v>
      </c>
      <c r="B2807" t="s">
        <v>436</v>
      </c>
      <c r="C2807" t="s">
        <v>67</v>
      </c>
      <c r="F2807" s="18" t="s">
        <v>437</v>
      </c>
      <c r="G2807" t="s">
        <v>438</v>
      </c>
      <c r="H2807" t="s">
        <v>10245</v>
      </c>
      <c r="I2807" t="s">
        <v>0</v>
      </c>
      <c r="J2807" t="s">
        <v>51</v>
      </c>
      <c r="K2807" t="s">
        <v>47</v>
      </c>
      <c r="L2807" t="s">
        <v>389</v>
      </c>
      <c r="M2807" t="s">
        <v>0</v>
      </c>
      <c r="N2807" t="s">
        <v>10257</v>
      </c>
      <c r="O2807" t="s">
        <v>271</v>
      </c>
      <c r="P2807" t="s">
        <v>10258</v>
      </c>
      <c r="Q2807" t="s">
        <v>10259</v>
      </c>
      <c r="R2807" t="s">
        <v>484</v>
      </c>
      <c r="S2807" t="s">
        <v>484</v>
      </c>
      <c r="T2807" t="s">
        <v>10217</v>
      </c>
      <c r="U2807" t="s">
        <v>274</v>
      </c>
      <c r="V2807" t="s">
        <v>56</v>
      </c>
      <c r="W2807" t="s">
        <v>74</v>
      </c>
      <c r="X2807" t="s">
        <v>103</v>
      </c>
      <c r="AA2807" t="s">
        <v>59</v>
      </c>
      <c r="AB2807" t="s">
        <v>64</v>
      </c>
      <c r="AC2807" t="s">
        <v>278</v>
      </c>
      <c r="AD2807" t="s">
        <v>144</v>
      </c>
      <c r="AE2807" t="s">
        <v>82</v>
      </c>
      <c r="AF2807" t="s">
        <v>0</v>
      </c>
      <c r="AG2807" t="s">
        <v>0</v>
      </c>
      <c r="AH2807" s="1" t="s">
        <v>14284</v>
      </c>
      <c r="AI2807" s="1" t="s">
        <v>14285</v>
      </c>
      <c r="AJ2807" s="1" t="s">
        <v>14286</v>
      </c>
      <c r="AK2807" t="s">
        <v>61</v>
      </c>
      <c r="AL2807" t="s">
        <v>61</v>
      </c>
      <c r="AM2807" t="s">
        <v>0</v>
      </c>
      <c r="AN2807" t="s">
        <v>0</v>
      </c>
      <c r="AO2807" t="s">
        <v>0</v>
      </c>
      <c r="AP2807" t="s">
        <v>0</v>
      </c>
      <c r="AQ2807" t="s">
        <v>0</v>
      </c>
      <c r="AR2807" t="s">
        <v>61</v>
      </c>
      <c r="AS2807" t="str">
        <f>HYPERLINK("https://tessa.gazprom-neft.local/edo/card/227c362b-1431-44b6-8d53-0b9ed7a8f09c", "https://tessa.gazprom-neft.local/edo/card/227c362b-1431-44b6-8d53-0b9ed7a8f09c")</f>
        <v>https://tessa.gazprom-neft.local/edo/card/227c362b-1431-44b6-8d53-0b9ed7a8f09c</v>
      </c>
    </row>
    <row r="2808" spans="1:45" x14ac:dyDescent="0.25">
      <c r="A2808" t="s">
        <v>44</v>
      </c>
      <c r="B2808" t="s">
        <v>1084</v>
      </c>
      <c r="C2808" t="s">
        <v>67</v>
      </c>
      <c r="F2808" s="18" t="s">
        <v>1085</v>
      </c>
      <c r="G2808" t="s">
        <v>1086</v>
      </c>
      <c r="H2808" t="s">
        <v>10261</v>
      </c>
      <c r="I2808" t="s">
        <v>0</v>
      </c>
      <c r="J2808" t="s">
        <v>355</v>
      </c>
      <c r="K2808" t="s">
        <v>47</v>
      </c>
      <c r="L2808" t="s">
        <v>48</v>
      </c>
      <c r="M2808" t="s">
        <v>0</v>
      </c>
      <c r="N2808" t="s">
        <v>10260</v>
      </c>
      <c r="O2808" t="s">
        <v>0</v>
      </c>
      <c r="P2808" t="s">
        <v>1092</v>
      </c>
      <c r="Q2808" t="s">
        <v>10262</v>
      </c>
      <c r="R2808" t="s">
        <v>1083</v>
      </c>
      <c r="S2808" t="s">
        <v>10263</v>
      </c>
      <c r="T2808" t="s">
        <v>10217</v>
      </c>
      <c r="U2808" t="s">
        <v>1043</v>
      </c>
      <c r="V2808" t="s">
        <v>723</v>
      </c>
      <c r="W2808" t="s">
        <v>74</v>
      </c>
      <c r="X2808" t="s">
        <v>103</v>
      </c>
      <c r="AA2808" t="s">
        <v>1031</v>
      </c>
      <c r="AB2808" t="s">
        <v>64</v>
      </c>
      <c r="AC2808" t="s">
        <v>278</v>
      </c>
      <c r="AD2808" t="s">
        <v>80</v>
      </c>
      <c r="AE2808" t="s">
        <v>82</v>
      </c>
      <c r="AF2808" t="s">
        <v>0</v>
      </c>
      <c r="AG2808" t="s">
        <v>0</v>
      </c>
      <c r="AH2808" s="1" t="s">
        <v>14287</v>
      </c>
      <c r="AI2808" s="1" t="s">
        <v>14288</v>
      </c>
      <c r="AJ2808" s="1" t="s">
        <v>14289</v>
      </c>
      <c r="AK2808" t="s">
        <v>61</v>
      </c>
      <c r="AL2808" t="s">
        <v>61</v>
      </c>
      <c r="AM2808" t="s">
        <v>0</v>
      </c>
      <c r="AN2808" t="s">
        <v>0</v>
      </c>
      <c r="AO2808" t="s">
        <v>0</v>
      </c>
      <c r="AP2808" t="s">
        <v>0</v>
      </c>
      <c r="AQ2808" t="s">
        <v>0</v>
      </c>
      <c r="AR2808" t="s">
        <v>61</v>
      </c>
      <c r="AS2808" t="str">
        <f>HYPERLINK("https://tessa.gazprom-neft.local/edo/card/a821a143-fb2e-4cd0-8f08-32f1912a4739", "https://tessa.gazprom-neft.local/edo/card/a821a143-fb2e-4cd0-8f08-32f1912a4739")</f>
        <v>https://tessa.gazprom-neft.local/edo/card/a821a143-fb2e-4cd0-8f08-32f1912a4739</v>
      </c>
    </row>
    <row r="2809" spans="1:45" x14ac:dyDescent="0.25">
      <c r="A2809" t="s">
        <v>44</v>
      </c>
      <c r="B2809" t="s">
        <v>1640</v>
      </c>
      <c r="C2809" t="s">
        <v>67</v>
      </c>
      <c r="F2809" s="18" t="s">
        <v>1641</v>
      </c>
      <c r="G2809" t="s">
        <v>1642</v>
      </c>
      <c r="H2809" t="s">
        <v>1801</v>
      </c>
      <c r="I2809" t="s">
        <v>0</v>
      </c>
      <c r="J2809" t="s">
        <v>1098</v>
      </c>
      <c r="K2809" t="s">
        <v>47</v>
      </c>
      <c r="L2809" t="s">
        <v>48</v>
      </c>
      <c r="M2809" t="s">
        <v>0</v>
      </c>
      <c r="N2809" t="s">
        <v>10264</v>
      </c>
      <c r="O2809" t="s">
        <v>0</v>
      </c>
      <c r="P2809" t="s">
        <v>10265</v>
      </c>
      <c r="Q2809" t="s">
        <v>10232</v>
      </c>
      <c r="R2809" t="s">
        <v>1083</v>
      </c>
      <c r="S2809" t="s">
        <v>1083</v>
      </c>
      <c r="T2809" t="s">
        <v>10217</v>
      </c>
      <c r="U2809" t="s">
        <v>1043</v>
      </c>
      <c r="V2809" t="s">
        <v>723</v>
      </c>
      <c r="W2809" t="s">
        <v>57</v>
      </c>
      <c r="X2809" t="s">
        <v>103</v>
      </c>
      <c r="AA2809" t="s">
        <v>0</v>
      </c>
      <c r="AB2809" t="s">
        <v>64</v>
      </c>
      <c r="AC2809" t="s">
        <v>278</v>
      </c>
      <c r="AD2809" t="s">
        <v>80</v>
      </c>
      <c r="AE2809" t="s">
        <v>82</v>
      </c>
      <c r="AF2809" t="s">
        <v>0</v>
      </c>
      <c r="AG2809" t="s">
        <v>0</v>
      </c>
      <c r="AH2809" s="1" t="s">
        <v>14290</v>
      </c>
      <c r="AI2809" s="1" t="s">
        <v>14291</v>
      </c>
      <c r="AJ2809" s="1" t="s">
        <v>14292</v>
      </c>
      <c r="AK2809" t="s">
        <v>61</v>
      </c>
      <c r="AL2809" t="s">
        <v>61</v>
      </c>
      <c r="AM2809" t="s">
        <v>0</v>
      </c>
      <c r="AN2809" t="s">
        <v>0</v>
      </c>
      <c r="AO2809" t="s">
        <v>0</v>
      </c>
      <c r="AP2809" t="s">
        <v>0</v>
      </c>
      <c r="AQ2809" t="s">
        <v>0</v>
      </c>
      <c r="AR2809" t="s">
        <v>61</v>
      </c>
      <c r="AS2809" t="str">
        <f>HYPERLINK("https://tessa.gazprom-neft.local/edo/card/119896df-a836-4308-8ba4-980f0513394f", "https://tessa.gazprom-neft.local/edo/card/119896df-a836-4308-8ba4-980f0513394f")</f>
        <v>https://tessa.gazprom-neft.local/edo/card/119896df-a836-4308-8ba4-980f0513394f</v>
      </c>
    </row>
    <row r="2810" spans="1:45" x14ac:dyDescent="0.25">
      <c r="A2810" t="s">
        <v>44</v>
      </c>
      <c r="B2810" t="s">
        <v>436</v>
      </c>
      <c r="C2810" t="s">
        <v>67</v>
      </c>
      <c r="F2810" s="18" t="s">
        <v>437</v>
      </c>
      <c r="G2810" t="s">
        <v>438</v>
      </c>
      <c r="H2810" t="s">
        <v>8578</v>
      </c>
      <c r="I2810" t="s">
        <v>0</v>
      </c>
      <c r="J2810" t="s">
        <v>1955</v>
      </c>
      <c r="K2810" t="s">
        <v>47</v>
      </c>
      <c r="L2810" t="s">
        <v>48</v>
      </c>
      <c r="M2810" t="s">
        <v>0</v>
      </c>
      <c r="N2810" t="s">
        <v>10266</v>
      </c>
      <c r="O2810" t="s">
        <v>0</v>
      </c>
      <c r="P2810" t="s">
        <v>10267</v>
      </c>
      <c r="Q2810" t="s">
        <v>3883</v>
      </c>
      <c r="R2810" t="s">
        <v>484</v>
      </c>
      <c r="S2810" t="s">
        <v>484</v>
      </c>
      <c r="T2810" t="s">
        <v>10217</v>
      </c>
      <c r="U2810" t="s">
        <v>274</v>
      </c>
      <c r="V2810" t="s">
        <v>723</v>
      </c>
      <c r="W2810" t="s">
        <v>74</v>
      </c>
      <c r="X2810" t="s">
        <v>58</v>
      </c>
      <c r="AA2810" t="s">
        <v>1767</v>
      </c>
      <c r="AB2810" t="s">
        <v>64</v>
      </c>
      <c r="AC2810" t="s">
        <v>65</v>
      </c>
      <c r="AD2810" t="s">
        <v>0</v>
      </c>
      <c r="AE2810" t="s">
        <v>0</v>
      </c>
      <c r="AF2810" t="s">
        <v>0</v>
      </c>
      <c r="AG2810" t="s">
        <v>0</v>
      </c>
      <c r="AH2810" s="1" t="s">
        <v>0</v>
      </c>
      <c r="AI2810" s="1" t="s">
        <v>0</v>
      </c>
      <c r="AJ2810" s="1" t="s">
        <v>0</v>
      </c>
      <c r="AK2810" t="s">
        <v>61</v>
      </c>
      <c r="AL2810" t="s">
        <v>61</v>
      </c>
      <c r="AM2810" t="s">
        <v>0</v>
      </c>
      <c r="AN2810" t="s">
        <v>0</v>
      </c>
      <c r="AO2810" t="s">
        <v>0</v>
      </c>
      <c r="AP2810" t="s">
        <v>0</v>
      </c>
      <c r="AQ2810" t="s">
        <v>0</v>
      </c>
      <c r="AR2810" t="s">
        <v>61</v>
      </c>
      <c r="AS2810" t="str">
        <f>HYPERLINK("https://tessa.gazprom-neft.local/edo/card/29b195c8-727c-499a-9b68-d7b24e100a1f", "https://tessa.gazprom-neft.local/edo/card/29b195c8-727c-499a-9b68-d7b24e100a1f")</f>
        <v>https://tessa.gazprom-neft.local/edo/card/29b195c8-727c-499a-9b68-d7b24e100a1f</v>
      </c>
    </row>
    <row r="2811" spans="1:45" x14ac:dyDescent="0.25">
      <c r="A2811" t="s">
        <v>44</v>
      </c>
      <c r="B2811" t="s">
        <v>497</v>
      </c>
      <c r="C2811" t="s">
        <v>67</v>
      </c>
      <c r="F2811" s="18" t="s">
        <v>498</v>
      </c>
      <c r="G2811" t="s">
        <v>499</v>
      </c>
      <c r="H2811" t="s">
        <v>10269</v>
      </c>
      <c r="I2811" t="s">
        <v>0</v>
      </c>
      <c r="J2811" t="s">
        <v>122</v>
      </c>
      <c r="K2811" t="s">
        <v>47</v>
      </c>
      <c r="L2811" t="s">
        <v>48</v>
      </c>
      <c r="M2811" t="s">
        <v>0</v>
      </c>
      <c r="N2811" t="s">
        <v>10268</v>
      </c>
      <c r="O2811" t="s">
        <v>0</v>
      </c>
      <c r="P2811" t="s">
        <v>10270</v>
      </c>
      <c r="Q2811" t="s">
        <v>10271</v>
      </c>
      <c r="R2811" t="s">
        <v>484</v>
      </c>
      <c r="S2811" t="s">
        <v>484</v>
      </c>
      <c r="T2811" t="s">
        <v>10217</v>
      </c>
      <c r="U2811" t="s">
        <v>274</v>
      </c>
      <c r="V2811" t="s">
        <v>723</v>
      </c>
      <c r="W2811" t="s">
        <v>74</v>
      </c>
      <c r="X2811" t="s">
        <v>58</v>
      </c>
      <c r="AA2811" t="s">
        <v>1767</v>
      </c>
      <c r="AB2811" t="s">
        <v>64</v>
      </c>
      <c r="AC2811" t="s">
        <v>278</v>
      </c>
      <c r="AD2811" t="s">
        <v>144</v>
      </c>
      <c r="AE2811" t="s">
        <v>82</v>
      </c>
      <c r="AF2811" t="s">
        <v>0</v>
      </c>
      <c r="AG2811" t="s">
        <v>0</v>
      </c>
      <c r="AH2811" s="1" t="s">
        <v>14293</v>
      </c>
      <c r="AI2811" s="1" t="s">
        <v>14294</v>
      </c>
      <c r="AJ2811" s="1" t="s">
        <v>14295</v>
      </c>
      <c r="AK2811" t="s">
        <v>61</v>
      </c>
      <c r="AL2811" t="s">
        <v>61</v>
      </c>
      <c r="AM2811" t="s">
        <v>0</v>
      </c>
      <c r="AN2811" t="s">
        <v>0</v>
      </c>
      <c r="AO2811" t="s">
        <v>0</v>
      </c>
      <c r="AP2811" t="s">
        <v>0</v>
      </c>
      <c r="AQ2811" t="s">
        <v>0</v>
      </c>
      <c r="AR2811" t="s">
        <v>61</v>
      </c>
      <c r="AS2811" t="str">
        <f>HYPERLINK("https://tessa.gazprom-neft.local/edo/card/7cad7f2b-2b78-477e-b8bc-a8f6bd132c55", "https://tessa.gazprom-neft.local/edo/card/7cad7f2b-2b78-477e-b8bc-a8f6bd132c55")</f>
        <v>https://tessa.gazprom-neft.local/edo/card/7cad7f2b-2b78-477e-b8bc-a8f6bd132c55</v>
      </c>
    </row>
    <row r="2812" spans="1:45" hidden="1" x14ac:dyDescent="0.25">
      <c r="A2812" t="s">
        <v>44</v>
      </c>
      <c r="B2812" t="s">
        <v>10275</v>
      </c>
      <c r="C2812" t="s">
        <v>67</v>
      </c>
      <c r="F2812" s="18" t="s">
        <v>10276</v>
      </c>
      <c r="G2812" t="s">
        <v>10277</v>
      </c>
      <c r="H2812" t="s">
        <v>0</v>
      </c>
      <c r="I2812" t="s">
        <v>10273</v>
      </c>
      <c r="J2812" t="s">
        <v>10273</v>
      </c>
      <c r="K2812" t="s">
        <v>47</v>
      </c>
      <c r="L2812" t="s">
        <v>96</v>
      </c>
      <c r="M2812" t="s">
        <v>0</v>
      </c>
      <c r="N2812" t="s">
        <v>10272</v>
      </c>
      <c r="O2812" t="s">
        <v>0</v>
      </c>
      <c r="P2812" t="s">
        <v>10274</v>
      </c>
      <c r="Q2812" t="s">
        <v>4014</v>
      </c>
      <c r="R2812" t="s">
        <v>484</v>
      </c>
      <c r="S2812" t="s">
        <v>484</v>
      </c>
      <c r="T2812" t="s">
        <v>10217</v>
      </c>
      <c r="U2812" t="s">
        <v>274</v>
      </c>
      <c r="V2812" t="s">
        <v>56</v>
      </c>
      <c r="W2812" t="s">
        <v>74</v>
      </c>
      <c r="X2812" t="s">
        <v>103</v>
      </c>
      <c r="AA2812" t="s">
        <v>59</v>
      </c>
      <c r="AB2812" t="s">
        <v>64</v>
      </c>
      <c r="AC2812" t="s">
        <v>278</v>
      </c>
      <c r="AD2812" t="s">
        <v>144</v>
      </c>
      <c r="AE2812" t="s">
        <v>82</v>
      </c>
      <c r="AF2812" t="s">
        <v>0</v>
      </c>
      <c r="AG2812" t="s">
        <v>0</v>
      </c>
      <c r="AH2812" s="1" t="s">
        <v>11898</v>
      </c>
      <c r="AI2812" s="1" t="s">
        <v>11899</v>
      </c>
      <c r="AJ2812" s="1" t="s">
        <v>11900</v>
      </c>
      <c r="AK2812" t="s">
        <v>61</v>
      </c>
      <c r="AL2812" t="s">
        <v>61</v>
      </c>
      <c r="AM2812" t="s">
        <v>0</v>
      </c>
      <c r="AN2812" t="s">
        <v>0</v>
      </c>
      <c r="AO2812" t="s">
        <v>0</v>
      </c>
      <c r="AP2812" t="s">
        <v>0</v>
      </c>
      <c r="AQ2812" t="s">
        <v>0</v>
      </c>
      <c r="AR2812" t="s">
        <v>61</v>
      </c>
      <c r="AS2812" t="str">
        <f>HYPERLINK("https://tessa.gazprom-neft.local/edo/card/c7e3b604-8a5d-46cb-9e91-46c8e76ebdba", "https://tessa.gazprom-neft.local/edo/card/c7e3b604-8a5d-46cb-9e91-46c8e76ebdba")</f>
        <v>https://tessa.gazprom-neft.local/edo/card/c7e3b604-8a5d-46cb-9e91-46c8e76ebdba</v>
      </c>
    </row>
    <row r="2813" spans="1:45" hidden="1" x14ac:dyDescent="0.25">
      <c r="A2813" t="s">
        <v>44</v>
      </c>
      <c r="B2813" t="s">
        <v>1925</v>
      </c>
      <c r="C2813" t="s">
        <v>67</v>
      </c>
      <c r="F2813" s="18" t="s">
        <v>1926</v>
      </c>
      <c r="G2813" t="s">
        <v>1927</v>
      </c>
      <c r="H2813" t="s">
        <v>8067</v>
      </c>
      <c r="I2813" t="s">
        <v>0</v>
      </c>
      <c r="J2813" t="s">
        <v>51</v>
      </c>
      <c r="K2813" t="s">
        <v>47</v>
      </c>
      <c r="L2813" t="s">
        <v>389</v>
      </c>
      <c r="M2813" t="s">
        <v>0</v>
      </c>
      <c r="N2813" t="s">
        <v>10278</v>
      </c>
      <c r="O2813" t="s">
        <v>10279</v>
      </c>
      <c r="P2813" t="s">
        <v>10280</v>
      </c>
      <c r="Q2813" t="s">
        <v>10281</v>
      </c>
      <c r="R2813" t="s">
        <v>1924</v>
      </c>
      <c r="S2813" t="s">
        <v>1924</v>
      </c>
      <c r="T2813" t="s">
        <v>10217</v>
      </c>
      <c r="U2813" t="s">
        <v>73</v>
      </c>
      <c r="V2813" t="s">
        <v>56</v>
      </c>
      <c r="W2813" t="s">
        <v>74</v>
      </c>
      <c r="X2813" t="s">
        <v>103</v>
      </c>
      <c r="AA2813" t="s">
        <v>0</v>
      </c>
      <c r="AB2813" t="s">
        <v>366</v>
      </c>
      <c r="AC2813" t="s">
        <v>278</v>
      </c>
      <c r="AD2813" t="s">
        <v>367</v>
      </c>
      <c r="AE2813" t="s">
        <v>82</v>
      </c>
      <c r="AF2813" t="s">
        <v>0</v>
      </c>
      <c r="AG2813" t="s">
        <v>0</v>
      </c>
      <c r="AH2813" s="1" t="s">
        <v>14296</v>
      </c>
      <c r="AI2813" s="1" t="s">
        <v>14297</v>
      </c>
      <c r="AJ2813" s="1" t="s">
        <v>14298</v>
      </c>
      <c r="AK2813" t="s">
        <v>61</v>
      </c>
      <c r="AL2813" t="s">
        <v>61</v>
      </c>
      <c r="AM2813" t="s">
        <v>0</v>
      </c>
      <c r="AN2813" t="s">
        <v>0</v>
      </c>
      <c r="AO2813" t="s">
        <v>0</v>
      </c>
      <c r="AP2813" t="s">
        <v>0</v>
      </c>
      <c r="AQ2813" t="s">
        <v>0</v>
      </c>
      <c r="AR2813" t="s">
        <v>61</v>
      </c>
      <c r="AS2813" t="str">
        <f>HYPERLINK("https://tessa.gazprom-neft.local/edo/card/5e534677-dd77-493a-9e3f-9e9250fdec82", "https://tessa.gazprom-neft.local/edo/card/5e534677-dd77-493a-9e3f-9e9250fdec82")</f>
        <v>https://tessa.gazprom-neft.local/edo/card/5e534677-dd77-493a-9e3f-9e9250fdec82</v>
      </c>
    </row>
    <row r="2814" spans="1:45" hidden="1" x14ac:dyDescent="0.25">
      <c r="A2814" t="s">
        <v>44</v>
      </c>
      <c r="B2814" t="s">
        <v>436</v>
      </c>
      <c r="C2814" t="s">
        <v>67</v>
      </c>
      <c r="F2814" s="18" t="s">
        <v>437</v>
      </c>
      <c r="G2814" t="s">
        <v>438</v>
      </c>
      <c r="H2814" t="s">
        <v>10245</v>
      </c>
      <c r="I2814" t="s">
        <v>0</v>
      </c>
      <c r="J2814" t="s">
        <v>51</v>
      </c>
      <c r="K2814" t="s">
        <v>47</v>
      </c>
      <c r="L2814" t="s">
        <v>389</v>
      </c>
      <c r="M2814" t="s">
        <v>0</v>
      </c>
      <c r="N2814" t="s">
        <v>10282</v>
      </c>
      <c r="O2814" t="s">
        <v>156</v>
      </c>
      <c r="P2814" t="s">
        <v>10283</v>
      </c>
      <c r="Q2814" t="s">
        <v>10284</v>
      </c>
      <c r="R2814" t="s">
        <v>484</v>
      </c>
      <c r="S2814" t="s">
        <v>484</v>
      </c>
      <c r="T2814" t="s">
        <v>10217</v>
      </c>
      <c r="U2814" t="s">
        <v>274</v>
      </c>
      <c r="V2814" t="s">
        <v>56</v>
      </c>
      <c r="W2814" t="s">
        <v>74</v>
      </c>
      <c r="X2814" t="s">
        <v>103</v>
      </c>
      <c r="AA2814" t="s">
        <v>59</v>
      </c>
      <c r="AB2814" t="s">
        <v>64</v>
      </c>
      <c r="AC2814" t="s">
        <v>278</v>
      </c>
      <c r="AD2814" t="s">
        <v>144</v>
      </c>
      <c r="AE2814" t="s">
        <v>82</v>
      </c>
      <c r="AF2814" t="s">
        <v>0</v>
      </c>
      <c r="AG2814" t="s">
        <v>0</v>
      </c>
      <c r="AH2814" s="1" t="s">
        <v>14278</v>
      </c>
      <c r="AI2814" s="1" t="s">
        <v>14279</v>
      </c>
      <c r="AJ2814" s="1" t="s">
        <v>14280</v>
      </c>
      <c r="AK2814" t="s">
        <v>61</v>
      </c>
      <c r="AL2814" t="s">
        <v>61</v>
      </c>
      <c r="AM2814" t="s">
        <v>0</v>
      </c>
      <c r="AN2814" t="s">
        <v>0</v>
      </c>
      <c r="AO2814" t="s">
        <v>0</v>
      </c>
      <c r="AP2814" t="s">
        <v>0</v>
      </c>
      <c r="AQ2814" t="s">
        <v>0</v>
      </c>
      <c r="AR2814" t="s">
        <v>61</v>
      </c>
      <c r="AS2814" t="str">
        <f>HYPERLINK("https://tessa.gazprom-neft.local/edo/card/443c16c4-df38-4c23-ad6b-8842a59e5da4", "https://tessa.gazprom-neft.local/edo/card/443c16c4-df38-4c23-ad6b-8842a59e5da4")</f>
        <v>https://tessa.gazprom-neft.local/edo/card/443c16c4-df38-4c23-ad6b-8842a59e5da4</v>
      </c>
    </row>
    <row r="2815" spans="1:45" hidden="1" x14ac:dyDescent="0.25">
      <c r="A2815" t="s">
        <v>44</v>
      </c>
      <c r="B2815" t="s">
        <v>1684</v>
      </c>
      <c r="C2815" t="s">
        <v>67</v>
      </c>
      <c r="F2815" s="18" t="s">
        <v>1685</v>
      </c>
      <c r="G2815" t="s">
        <v>1686</v>
      </c>
      <c r="H2815" t="s">
        <v>10239</v>
      </c>
      <c r="I2815" t="s">
        <v>0</v>
      </c>
      <c r="J2815" t="s">
        <v>271</v>
      </c>
      <c r="K2815" t="s">
        <v>47</v>
      </c>
      <c r="L2815" t="s">
        <v>763</v>
      </c>
      <c r="M2815" t="s">
        <v>0</v>
      </c>
      <c r="N2815" t="s">
        <v>10285</v>
      </c>
      <c r="O2815" t="s">
        <v>0</v>
      </c>
      <c r="P2815" t="s">
        <v>10286</v>
      </c>
      <c r="Q2815" t="s">
        <v>10287</v>
      </c>
      <c r="R2815" t="s">
        <v>10241</v>
      </c>
      <c r="S2815" t="s">
        <v>0</v>
      </c>
      <c r="T2815" t="s">
        <v>10217</v>
      </c>
      <c r="U2815" t="s">
        <v>101</v>
      </c>
      <c r="V2815" t="s">
        <v>168</v>
      </c>
      <c r="W2815" t="s">
        <v>57</v>
      </c>
      <c r="X2815" t="s">
        <v>103</v>
      </c>
      <c r="AA2815" t="s">
        <v>169</v>
      </c>
      <c r="AB2815" t="s">
        <v>366</v>
      </c>
      <c r="AC2815" t="s">
        <v>278</v>
      </c>
      <c r="AD2815" t="s">
        <v>367</v>
      </c>
      <c r="AE2815" t="s">
        <v>82</v>
      </c>
      <c r="AF2815" t="s">
        <v>0</v>
      </c>
      <c r="AG2815" t="s">
        <v>0</v>
      </c>
      <c r="AH2815" s="1" t="s">
        <v>14299</v>
      </c>
      <c r="AI2815" s="1" t="s">
        <v>14300</v>
      </c>
      <c r="AJ2815" s="1" t="s">
        <v>11209</v>
      </c>
      <c r="AK2815" t="s">
        <v>61</v>
      </c>
      <c r="AL2815" t="s">
        <v>61</v>
      </c>
      <c r="AM2815" t="s">
        <v>0</v>
      </c>
      <c r="AN2815" t="s">
        <v>0</v>
      </c>
      <c r="AO2815" t="s">
        <v>0</v>
      </c>
      <c r="AP2815" t="s">
        <v>0</v>
      </c>
      <c r="AQ2815" t="s">
        <v>0</v>
      </c>
      <c r="AR2815" t="s">
        <v>61</v>
      </c>
      <c r="AS2815" t="str">
        <f>HYPERLINK("https://tessa.gazprom-neft.local/edo/card/48427232-ae36-4074-98b1-800c3c80027e", "https://tessa.gazprom-neft.local/edo/card/48427232-ae36-4074-98b1-800c3c80027e")</f>
        <v>https://tessa.gazprom-neft.local/edo/card/48427232-ae36-4074-98b1-800c3c80027e</v>
      </c>
    </row>
    <row r="2816" spans="1:45" x14ac:dyDescent="0.25">
      <c r="A2816" t="s">
        <v>44</v>
      </c>
      <c r="B2816" t="s">
        <v>436</v>
      </c>
      <c r="C2816" t="s">
        <v>67</v>
      </c>
      <c r="F2816" s="18" t="s">
        <v>437</v>
      </c>
      <c r="G2816" t="s">
        <v>438</v>
      </c>
      <c r="H2816" t="s">
        <v>483</v>
      </c>
      <c r="I2816" t="s">
        <v>0</v>
      </c>
      <c r="J2816" t="s">
        <v>156</v>
      </c>
      <c r="K2816" t="s">
        <v>47</v>
      </c>
      <c r="L2816" t="s">
        <v>48</v>
      </c>
      <c r="M2816" t="s">
        <v>0</v>
      </c>
      <c r="N2816" t="s">
        <v>10288</v>
      </c>
      <c r="O2816" t="s">
        <v>0</v>
      </c>
      <c r="P2816" t="s">
        <v>10289</v>
      </c>
      <c r="Q2816" t="s">
        <v>10290</v>
      </c>
      <c r="R2816" t="s">
        <v>4942</v>
      </c>
      <c r="S2816" t="s">
        <v>4942</v>
      </c>
      <c r="T2816" t="s">
        <v>10217</v>
      </c>
      <c r="U2816" t="s">
        <v>274</v>
      </c>
      <c r="V2816" t="s">
        <v>56</v>
      </c>
      <c r="W2816" t="s">
        <v>74</v>
      </c>
      <c r="X2816" t="s">
        <v>223</v>
      </c>
      <c r="AA2816" t="s">
        <v>0</v>
      </c>
      <c r="AB2816" t="s">
        <v>328</v>
      </c>
      <c r="AC2816" t="s">
        <v>65</v>
      </c>
      <c r="AD2816" t="s">
        <v>0</v>
      </c>
      <c r="AE2816" t="s">
        <v>0</v>
      </c>
      <c r="AF2816" t="s">
        <v>0</v>
      </c>
      <c r="AG2816" t="s">
        <v>0</v>
      </c>
      <c r="AH2816" s="1" t="s">
        <v>0</v>
      </c>
      <c r="AI2816" s="1" t="s">
        <v>0</v>
      </c>
      <c r="AJ2816" s="1" t="s">
        <v>0</v>
      </c>
      <c r="AK2816" t="s">
        <v>61</v>
      </c>
      <c r="AL2816" t="s">
        <v>61</v>
      </c>
      <c r="AM2816" t="s">
        <v>0</v>
      </c>
      <c r="AN2816" t="s">
        <v>0</v>
      </c>
      <c r="AO2816" t="s">
        <v>0</v>
      </c>
      <c r="AP2816" t="s">
        <v>0</v>
      </c>
      <c r="AQ2816" t="s">
        <v>0</v>
      </c>
      <c r="AR2816" t="s">
        <v>61</v>
      </c>
      <c r="AS2816" t="str">
        <f>HYPERLINK("https://tessa.gazprom-neft.local/edo/card/92c7b403-ec55-43a2-a03d-c77befcb3781", "https://tessa.gazprom-neft.local/edo/card/92c7b403-ec55-43a2-a03d-c77befcb3781")</f>
        <v>https://tessa.gazprom-neft.local/edo/card/92c7b403-ec55-43a2-a03d-c77befcb3781</v>
      </c>
    </row>
    <row r="2817" spans="1:45" hidden="1" x14ac:dyDescent="0.25">
      <c r="A2817" t="s">
        <v>44</v>
      </c>
      <c r="B2817" t="s">
        <v>297</v>
      </c>
      <c r="C2817" t="s">
        <v>67</v>
      </c>
      <c r="F2817" s="18" t="s">
        <v>298</v>
      </c>
      <c r="G2817" t="s">
        <v>299</v>
      </c>
      <c r="H2817" t="s">
        <v>0</v>
      </c>
      <c r="I2817" t="s">
        <v>10292</v>
      </c>
      <c r="J2817" t="s">
        <v>10292</v>
      </c>
      <c r="K2817" t="s">
        <v>47</v>
      </c>
      <c r="L2817" t="s">
        <v>96</v>
      </c>
      <c r="M2817" t="s">
        <v>0</v>
      </c>
      <c r="N2817" t="s">
        <v>10291</v>
      </c>
      <c r="O2817" t="s">
        <v>0</v>
      </c>
      <c r="P2817" t="s">
        <v>10293</v>
      </c>
      <c r="Q2817" t="s">
        <v>10294</v>
      </c>
      <c r="R2817" t="s">
        <v>1711</v>
      </c>
      <c r="S2817" t="s">
        <v>1711</v>
      </c>
      <c r="T2817" t="s">
        <v>10217</v>
      </c>
      <c r="U2817" t="s">
        <v>605</v>
      </c>
      <c r="V2817" t="s">
        <v>126</v>
      </c>
      <c r="W2817" t="s">
        <v>74</v>
      </c>
      <c r="X2817" t="s">
        <v>103</v>
      </c>
      <c r="AA2817" t="s">
        <v>200</v>
      </c>
      <c r="AB2817" t="s">
        <v>64</v>
      </c>
      <c r="AC2817" t="s">
        <v>278</v>
      </c>
      <c r="AD2817" t="s">
        <v>144</v>
      </c>
      <c r="AE2817" t="s">
        <v>82</v>
      </c>
      <c r="AF2817" t="s">
        <v>0</v>
      </c>
      <c r="AG2817" t="s">
        <v>0</v>
      </c>
      <c r="AH2817" s="1" t="s">
        <v>14301</v>
      </c>
      <c r="AI2817" s="1" t="s">
        <v>14302</v>
      </c>
      <c r="AJ2817" s="1" t="s">
        <v>14303</v>
      </c>
      <c r="AK2817" t="s">
        <v>61</v>
      </c>
      <c r="AL2817" t="s">
        <v>61</v>
      </c>
      <c r="AM2817" t="s">
        <v>0</v>
      </c>
      <c r="AN2817" t="s">
        <v>0</v>
      </c>
      <c r="AO2817" t="s">
        <v>0</v>
      </c>
      <c r="AP2817" t="s">
        <v>0</v>
      </c>
      <c r="AQ2817" t="s">
        <v>0</v>
      </c>
      <c r="AR2817" t="s">
        <v>61</v>
      </c>
      <c r="AS2817" t="str">
        <f>HYPERLINK("https://tessa.gazprom-neft.local/edo/card/3d28800e-1268-41bc-bc96-ad07b2e2ba56", "https://tessa.gazprom-neft.local/edo/card/3d28800e-1268-41bc-bc96-ad07b2e2ba56")</f>
        <v>https://tessa.gazprom-neft.local/edo/card/3d28800e-1268-41bc-bc96-ad07b2e2ba56</v>
      </c>
    </row>
    <row r="2818" spans="1:45" x14ac:dyDescent="0.25">
      <c r="A2818" t="s">
        <v>44</v>
      </c>
      <c r="B2818" t="s">
        <v>1684</v>
      </c>
      <c r="C2818" t="s">
        <v>67</v>
      </c>
      <c r="F2818" s="18" t="s">
        <v>1685</v>
      </c>
      <c r="G2818" t="s">
        <v>1686</v>
      </c>
      <c r="H2818" t="s">
        <v>6195</v>
      </c>
      <c r="I2818" t="s">
        <v>0</v>
      </c>
      <c r="J2818" t="s">
        <v>271</v>
      </c>
      <c r="K2818" t="s">
        <v>47</v>
      </c>
      <c r="L2818" t="s">
        <v>48</v>
      </c>
      <c r="M2818" t="s">
        <v>0</v>
      </c>
      <c r="N2818" t="s">
        <v>10295</v>
      </c>
      <c r="O2818" t="s">
        <v>0</v>
      </c>
      <c r="P2818" t="s">
        <v>10296</v>
      </c>
      <c r="Q2818" t="s">
        <v>10297</v>
      </c>
      <c r="R2818" t="s">
        <v>10298</v>
      </c>
      <c r="S2818" t="s">
        <v>10298</v>
      </c>
      <c r="T2818" t="s">
        <v>10217</v>
      </c>
      <c r="U2818" t="s">
        <v>1792</v>
      </c>
      <c r="V2818" t="s">
        <v>846</v>
      </c>
      <c r="W2818" t="s">
        <v>74</v>
      </c>
      <c r="X2818" t="s">
        <v>103</v>
      </c>
      <c r="AA2818" t="s">
        <v>847</v>
      </c>
      <c r="AB2818" t="s">
        <v>64</v>
      </c>
      <c r="AC2818" t="s">
        <v>65</v>
      </c>
      <c r="AD2818" t="s">
        <v>0</v>
      </c>
      <c r="AE2818" t="s">
        <v>0</v>
      </c>
      <c r="AF2818" t="s">
        <v>0</v>
      </c>
      <c r="AG2818" t="s">
        <v>0</v>
      </c>
      <c r="AH2818" s="1" t="s">
        <v>0</v>
      </c>
      <c r="AI2818" s="1" t="s">
        <v>0</v>
      </c>
      <c r="AJ2818" s="1" t="s">
        <v>0</v>
      </c>
      <c r="AK2818" t="s">
        <v>61</v>
      </c>
      <c r="AL2818" t="s">
        <v>61</v>
      </c>
      <c r="AM2818" t="s">
        <v>0</v>
      </c>
      <c r="AN2818" t="s">
        <v>0</v>
      </c>
      <c r="AO2818" t="s">
        <v>0</v>
      </c>
      <c r="AP2818" t="s">
        <v>0</v>
      </c>
      <c r="AQ2818" t="s">
        <v>0</v>
      </c>
      <c r="AR2818" t="s">
        <v>61</v>
      </c>
      <c r="AS2818" t="str">
        <f>HYPERLINK("https://tessa.gazprom-neft.local/edo/card/ca4d0425-665f-496b-83c4-a137e8c27aee", "https://tessa.gazprom-neft.local/edo/card/ca4d0425-665f-496b-83c4-a137e8c27aee")</f>
        <v>https://tessa.gazprom-neft.local/edo/card/ca4d0425-665f-496b-83c4-a137e8c27aee</v>
      </c>
    </row>
    <row r="2819" spans="1:45" x14ac:dyDescent="0.25">
      <c r="A2819" t="s">
        <v>44</v>
      </c>
      <c r="B2819" t="s">
        <v>297</v>
      </c>
      <c r="C2819" t="s">
        <v>67</v>
      </c>
      <c r="F2819" s="18" t="s">
        <v>298</v>
      </c>
      <c r="G2819" t="s">
        <v>299</v>
      </c>
      <c r="H2819" t="s">
        <v>3896</v>
      </c>
      <c r="I2819" t="s">
        <v>0</v>
      </c>
      <c r="J2819" t="s">
        <v>156</v>
      </c>
      <c r="K2819" t="s">
        <v>47</v>
      </c>
      <c r="L2819" t="s">
        <v>48</v>
      </c>
      <c r="M2819" t="s">
        <v>0</v>
      </c>
      <c r="N2819" t="s">
        <v>10299</v>
      </c>
      <c r="O2819" t="s">
        <v>0</v>
      </c>
      <c r="P2819" t="s">
        <v>10300</v>
      </c>
      <c r="Q2819" t="s">
        <v>10301</v>
      </c>
      <c r="R2819" t="s">
        <v>282</v>
      </c>
      <c r="S2819" t="s">
        <v>0</v>
      </c>
      <c r="T2819" t="s">
        <v>10217</v>
      </c>
      <c r="U2819" t="s">
        <v>55</v>
      </c>
      <c r="V2819" t="s">
        <v>864</v>
      </c>
      <c r="W2819" t="s">
        <v>74</v>
      </c>
      <c r="X2819" t="s">
        <v>103</v>
      </c>
      <c r="AA2819" t="s">
        <v>865</v>
      </c>
      <c r="AB2819" t="s">
        <v>130</v>
      </c>
      <c r="AC2819" t="s">
        <v>65</v>
      </c>
      <c r="AD2819" t="s">
        <v>80</v>
      </c>
      <c r="AE2819" t="s">
        <v>0</v>
      </c>
      <c r="AF2819" t="s">
        <v>0</v>
      </c>
      <c r="AG2819" t="s">
        <v>0</v>
      </c>
      <c r="AH2819" s="1" t="s">
        <v>0</v>
      </c>
      <c r="AI2819" s="1" t="s">
        <v>0</v>
      </c>
      <c r="AJ2819" s="1" t="s">
        <v>0</v>
      </c>
      <c r="AK2819" t="s">
        <v>61</v>
      </c>
      <c r="AL2819" t="s">
        <v>61</v>
      </c>
      <c r="AM2819" t="s">
        <v>0</v>
      </c>
      <c r="AN2819" t="s">
        <v>0</v>
      </c>
      <c r="AO2819" t="s">
        <v>0</v>
      </c>
      <c r="AP2819" t="s">
        <v>10248</v>
      </c>
      <c r="AQ2819" t="s">
        <v>0</v>
      </c>
      <c r="AR2819" t="s">
        <v>61</v>
      </c>
      <c r="AS2819" t="str">
        <f>HYPERLINK("https://tessa.gazprom-neft.local/edo/card/8d9d9ec3-d20d-4fe4-8317-42932335268c", "https://tessa.gazprom-neft.local/edo/card/8d9d9ec3-d20d-4fe4-8317-42932335268c")</f>
        <v>https://tessa.gazprom-neft.local/edo/card/8d9d9ec3-d20d-4fe4-8317-42932335268c</v>
      </c>
    </row>
    <row r="2820" spans="1:45" hidden="1" x14ac:dyDescent="0.25">
      <c r="A2820" t="s">
        <v>44</v>
      </c>
      <c r="B2820" t="s">
        <v>245</v>
      </c>
      <c r="C2820" t="s">
        <v>67</v>
      </c>
      <c r="F2820" s="18" t="s">
        <v>246</v>
      </c>
      <c r="G2820" t="s">
        <v>247</v>
      </c>
      <c r="H2820" t="s">
        <v>1105</v>
      </c>
      <c r="I2820" t="s">
        <v>0</v>
      </c>
      <c r="J2820" t="s">
        <v>10304</v>
      </c>
      <c r="K2820" t="s">
        <v>47</v>
      </c>
      <c r="L2820" t="s">
        <v>239</v>
      </c>
      <c r="M2820" t="s">
        <v>0</v>
      </c>
      <c r="N2820" t="s">
        <v>10302</v>
      </c>
      <c r="O2820" t="s">
        <v>0</v>
      </c>
      <c r="P2820" t="s">
        <v>10303</v>
      </c>
      <c r="Q2820" t="s">
        <v>5945</v>
      </c>
      <c r="R2820" t="s">
        <v>484</v>
      </c>
      <c r="S2820" t="s">
        <v>484</v>
      </c>
      <c r="T2820" t="s">
        <v>10217</v>
      </c>
      <c r="U2820" t="s">
        <v>274</v>
      </c>
      <c r="V2820" t="s">
        <v>846</v>
      </c>
      <c r="W2820" t="s">
        <v>74</v>
      </c>
      <c r="X2820" t="s">
        <v>103</v>
      </c>
      <c r="AA2820" t="s">
        <v>847</v>
      </c>
      <c r="AB2820" t="s">
        <v>328</v>
      </c>
      <c r="AC2820" t="s">
        <v>278</v>
      </c>
      <c r="AD2820" t="s">
        <v>144</v>
      </c>
      <c r="AE2820" t="s">
        <v>82</v>
      </c>
      <c r="AF2820" t="s">
        <v>0</v>
      </c>
      <c r="AG2820" t="s">
        <v>0</v>
      </c>
      <c r="AH2820" s="1" t="s">
        <v>14304</v>
      </c>
      <c r="AI2820" s="1" t="s">
        <v>14305</v>
      </c>
      <c r="AJ2820" s="1" t="s">
        <v>14306</v>
      </c>
      <c r="AK2820" t="s">
        <v>61</v>
      </c>
      <c r="AL2820" t="s">
        <v>61</v>
      </c>
      <c r="AM2820" t="s">
        <v>0</v>
      </c>
      <c r="AN2820" t="s">
        <v>0</v>
      </c>
      <c r="AO2820" t="s">
        <v>0</v>
      </c>
      <c r="AP2820" t="s">
        <v>0</v>
      </c>
      <c r="AQ2820" t="s">
        <v>0</v>
      </c>
      <c r="AR2820" t="s">
        <v>61</v>
      </c>
      <c r="AS2820" t="str">
        <f>HYPERLINK("https://tessa.gazprom-neft.local/edo/card/a1909484-ef2d-45c5-ac27-2f6ad1748a68", "https://tessa.gazprom-neft.local/edo/card/a1909484-ef2d-45c5-ac27-2f6ad1748a68")</f>
        <v>https://tessa.gazprom-neft.local/edo/card/a1909484-ef2d-45c5-ac27-2f6ad1748a68</v>
      </c>
    </row>
    <row r="2821" spans="1:45" hidden="1" x14ac:dyDescent="0.25">
      <c r="A2821" t="s">
        <v>44</v>
      </c>
      <c r="B2821" t="s">
        <v>1684</v>
      </c>
      <c r="C2821" t="s">
        <v>67</v>
      </c>
      <c r="F2821" s="18" t="s">
        <v>1685</v>
      </c>
      <c r="G2821" t="s">
        <v>1686</v>
      </c>
      <c r="H2821" t="s">
        <v>3773</v>
      </c>
      <c r="I2821" t="s">
        <v>0</v>
      </c>
      <c r="J2821" t="s">
        <v>271</v>
      </c>
      <c r="K2821" t="s">
        <v>47</v>
      </c>
      <c r="L2821" t="s">
        <v>239</v>
      </c>
      <c r="M2821" t="s">
        <v>0</v>
      </c>
      <c r="N2821" t="s">
        <v>10305</v>
      </c>
      <c r="O2821" t="s">
        <v>0</v>
      </c>
      <c r="P2821" t="s">
        <v>10306</v>
      </c>
      <c r="Q2821" t="s">
        <v>10307</v>
      </c>
      <c r="R2821" t="s">
        <v>1711</v>
      </c>
      <c r="S2821" t="s">
        <v>1711</v>
      </c>
      <c r="T2821" t="s">
        <v>10217</v>
      </c>
      <c r="U2821" t="s">
        <v>605</v>
      </c>
      <c r="V2821" t="s">
        <v>126</v>
      </c>
      <c r="W2821" t="s">
        <v>74</v>
      </c>
      <c r="X2821" t="s">
        <v>103</v>
      </c>
      <c r="AA2821" t="s">
        <v>224</v>
      </c>
      <c r="AB2821" t="s">
        <v>366</v>
      </c>
      <c r="AC2821" t="s">
        <v>278</v>
      </c>
      <c r="AD2821" t="s">
        <v>367</v>
      </c>
      <c r="AE2821" t="s">
        <v>82</v>
      </c>
      <c r="AF2821" t="s">
        <v>0</v>
      </c>
      <c r="AG2821" t="s">
        <v>0</v>
      </c>
      <c r="AH2821" s="1" t="s">
        <v>14307</v>
      </c>
      <c r="AI2821" s="1" t="s">
        <v>14308</v>
      </c>
      <c r="AJ2821" s="1" t="s">
        <v>14309</v>
      </c>
      <c r="AK2821" t="s">
        <v>61</v>
      </c>
      <c r="AL2821" t="s">
        <v>61</v>
      </c>
      <c r="AM2821" t="s">
        <v>0</v>
      </c>
      <c r="AN2821" t="s">
        <v>0</v>
      </c>
      <c r="AO2821" t="s">
        <v>0</v>
      </c>
      <c r="AP2821" t="s">
        <v>0</v>
      </c>
      <c r="AQ2821" t="s">
        <v>0</v>
      </c>
      <c r="AR2821" t="s">
        <v>61</v>
      </c>
      <c r="AS2821" t="str">
        <f>HYPERLINK("https://tessa.gazprom-neft.local/edo/card/d2ab3f30-065b-435a-ace9-3b6d0df07f42", "https://tessa.gazprom-neft.local/edo/card/d2ab3f30-065b-435a-ace9-3b6d0df07f42")</f>
        <v>https://tessa.gazprom-neft.local/edo/card/d2ab3f30-065b-435a-ace9-3b6d0df07f42</v>
      </c>
    </row>
    <row r="2822" spans="1:45" hidden="1" x14ac:dyDescent="0.25">
      <c r="A2822" t="s">
        <v>44</v>
      </c>
      <c r="B2822" t="s">
        <v>436</v>
      </c>
      <c r="C2822" t="s">
        <v>67</v>
      </c>
      <c r="F2822" s="18" t="s">
        <v>437</v>
      </c>
      <c r="G2822" t="s">
        <v>438</v>
      </c>
      <c r="H2822" t="s">
        <v>10245</v>
      </c>
      <c r="I2822" t="s">
        <v>0</v>
      </c>
      <c r="J2822" t="s">
        <v>271</v>
      </c>
      <c r="K2822" t="s">
        <v>47</v>
      </c>
      <c r="L2822" t="s">
        <v>389</v>
      </c>
      <c r="M2822" t="s">
        <v>0</v>
      </c>
      <c r="N2822" t="s">
        <v>10308</v>
      </c>
      <c r="O2822" t="s">
        <v>271</v>
      </c>
      <c r="P2822" t="s">
        <v>10309</v>
      </c>
      <c r="Q2822" t="s">
        <v>10259</v>
      </c>
      <c r="R2822" t="s">
        <v>484</v>
      </c>
      <c r="S2822" t="s">
        <v>484</v>
      </c>
      <c r="T2822" t="s">
        <v>10217</v>
      </c>
      <c r="U2822" t="s">
        <v>274</v>
      </c>
      <c r="V2822" t="s">
        <v>56</v>
      </c>
      <c r="W2822" t="s">
        <v>74</v>
      </c>
      <c r="X2822" t="s">
        <v>103</v>
      </c>
      <c r="AA2822" t="s">
        <v>59</v>
      </c>
      <c r="AB2822" t="s">
        <v>64</v>
      </c>
      <c r="AC2822" t="s">
        <v>278</v>
      </c>
      <c r="AD2822" t="s">
        <v>144</v>
      </c>
      <c r="AE2822" t="s">
        <v>82</v>
      </c>
      <c r="AF2822" t="s">
        <v>0</v>
      </c>
      <c r="AG2822" t="s">
        <v>0</v>
      </c>
      <c r="AH2822" s="1" t="s">
        <v>14310</v>
      </c>
      <c r="AI2822" s="1" t="s">
        <v>14311</v>
      </c>
      <c r="AJ2822" s="1" t="s">
        <v>14312</v>
      </c>
      <c r="AK2822" t="s">
        <v>61</v>
      </c>
      <c r="AL2822" t="s">
        <v>61</v>
      </c>
      <c r="AM2822" t="s">
        <v>0</v>
      </c>
      <c r="AN2822" t="s">
        <v>0</v>
      </c>
      <c r="AO2822" t="s">
        <v>0</v>
      </c>
      <c r="AP2822" t="s">
        <v>10248</v>
      </c>
      <c r="AQ2822" t="s">
        <v>0</v>
      </c>
      <c r="AR2822" t="s">
        <v>61</v>
      </c>
      <c r="AS2822" t="str">
        <f>HYPERLINK("https://tessa.gazprom-neft.local/edo/card/0093da05-8400-478d-b089-7b848932c736", "https://tessa.gazprom-neft.local/edo/card/0093da05-8400-478d-b089-7b848932c736")</f>
        <v>https://tessa.gazprom-neft.local/edo/card/0093da05-8400-478d-b089-7b848932c736</v>
      </c>
    </row>
    <row r="2823" spans="1:45" hidden="1" x14ac:dyDescent="0.25">
      <c r="A2823" t="s">
        <v>44</v>
      </c>
      <c r="B2823" t="s">
        <v>436</v>
      </c>
      <c r="C2823" t="s">
        <v>67</v>
      </c>
      <c r="F2823" s="18" t="s">
        <v>437</v>
      </c>
      <c r="G2823" t="s">
        <v>438</v>
      </c>
      <c r="H2823" t="s">
        <v>483</v>
      </c>
      <c r="I2823" t="s">
        <v>0</v>
      </c>
      <c r="J2823" t="s">
        <v>872</v>
      </c>
      <c r="K2823" t="s">
        <v>47</v>
      </c>
      <c r="L2823" t="s">
        <v>239</v>
      </c>
      <c r="M2823" t="s">
        <v>0</v>
      </c>
      <c r="N2823" t="s">
        <v>10310</v>
      </c>
      <c r="O2823" t="s">
        <v>0</v>
      </c>
      <c r="P2823" t="s">
        <v>10311</v>
      </c>
      <c r="Q2823" t="s">
        <v>10312</v>
      </c>
      <c r="R2823" t="s">
        <v>4942</v>
      </c>
      <c r="S2823" t="s">
        <v>10313</v>
      </c>
      <c r="T2823" t="s">
        <v>10217</v>
      </c>
      <c r="U2823" t="s">
        <v>274</v>
      </c>
      <c r="V2823" t="s">
        <v>56</v>
      </c>
      <c r="W2823" t="s">
        <v>74</v>
      </c>
      <c r="X2823" t="s">
        <v>103</v>
      </c>
      <c r="AA2823" t="s">
        <v>0</v>
      </c>
      <c r="AB2823" t="s">
        <v>328</v>
      </c>
      <c r="AC2823" t="s">
        <v>278</v>
      </c>
      <c r="AD2823" t="s">
        <v>144</v>
      </c>
      <c r="AE2823" t="s">
        <v>82</v>
      </c>
      <c r="AF2823" t="s">
        <v>0</v>
      </c>
      <c r="AG2823" t="s">
        <v>0</v>
      </c>
      <c r="AH2823" s="1" t="s">
        <v>14313</v>
      </c>
      <c r="AI2823" s="1" t="s">
        <v>14314</v>
      </c>
      <c r="AJ2823" s="1" t="s">
        <v>14315</v>
      </c>
      <c r="AK2823" t="s">
        <v>61</v>
      </c>
      <c r="AL2823" t="s">
        <v>61</v>
      </c>
      <c r="AM2823" t="s">
        <v>0</v>
      </c>
      <c r="AN2823" t="s">
        <v>0</v>
      </c>
      <c r="AO2823" t="s">
        <v>0</v>
      </c>
      <c r="AP2823" t="s">
        <v>0</v>
      </c>
      <c r="AQ2823" t="s">
        <v>0</v>
      </c>
      <c r="AR2823" t="s">
        <v>61</v>
      </c>
      <c r="AS2823" t="str">
        <f>HYPERLINK("https://tessa.gazprom-neft.local/edo/card/4f6a7a2b-c65f-49c6-854c-1e19b3a396cb", "https://tessa.gazprom-neft.local/edo/card/4f6a7a2b-c65f-49c6-854c-1e19b3a396cb")</f>
        <v>https://tessa.gazprom-neft.local/edo/card/4f6a7a2b-c65f-49c6-854c-1e19b3a396cb</v>
      </c>
    </row>
    <row r="2824" spans="1:45" hidden="1" x14ac:dyDescent="0.25">
      <c r="A2824" t="s">
        <v>44</v>
      </c>
      <c r="B2824" t="s">
        <v>436</v>
      </c>
      <c r="C2824" t="s">
        <v>67</v>
      </c>
      <c r="F2824" s="18" t="s">
        <v>437</v>
      </c>
      <c r="G2824" t="s">
        <v>438</v>
      </c>
      <c r="H2824" t="s">
        <v>10245</v>
      </c>
      <c r="I2824" t="s">
        <v>0</v>
      </c>
      <c r="J2824" t="s">
        <v>355</v>
      </c>
      <c r="K2824" t="s">
        <v>47</v>
      </c>
      <c r="L2824" t="s">
        <v>239</v>
      </c>
      <c r="M2824" t="s">
        <v>0</v>
      </c>
      <c r="N2824" t="s">
        <v>10314</v>
      </c>
      <c r="O2824" t="s">
        <v>0</v>
      </c>
      <c r="P2824" t="s">
        <v>10246</v>
      </c>
      <c r="Q2824" t="s">
        <v>10247</v>
      </c>
      <c r="R2824" t="s">
        <v>484</v>
      </c>
      <c r="S2824" t="s">
        <v>484</v>
      </c>
      <c r="T2824" t="s">
        <v>10217</v>
      </c>
      <c r="U2824" t="s">
        <v>274</v>
      </c>
      <c r="V2824" t="s">
        <v>56</v>
      </c>
      <c r="W2824" t="s">
        <v>74</v>
      </c>
      <c r="X2824" t="s">
        <v>103</v>
      </c>
      <c r="AA2824" t="s">
        <v>59</v>
      </c>
      <c r="AB2824" t="s">
        <v>64</v>
      </c>
      <c r="AC2824" t="s">
        <v>278</v>
      </c>
      <c r="AD2824" t="s">
        <v>144</v>
      </c>
      <c r="AE2824" t="s">
        <v>82</v>
      </c>
      <c r="AF2824" t="s">
        <v>0</v>
      </c>
      <c r="AG2824" t="s">
        <v>0</v>
      </c>
      <c r="AH2824" s="1" t="s">
        <v>14316</v>
      </c>
      <c r="AI2824" s="1" t="s">
        <v>14317</v>
      </c>
      <c r="AJ2824" s="1" t="s">
        <v>14318</v>
      </c>
      <c r="AK2824" t="s">
        <v>61</v>
      </c>
      <c r="AL2824" t="s">
        <v>61</v>
      </c>
      <c r="AM2824" t="s">
        <v>0</v>
      </c>
      <c r="AN2824" t="s">
        <v>0</v>
      </c>
      <c r="AO2824" t="s">
        <v>0</v>
      </c>
      <c r="AP2824" t="s">
        <v>10248</v>
      </c>
      <c r="AQ2824" t="s">
        <v>0</v>
      </c>
      <c r="AR2824" t="s">
        <v>61</v>
      </c>
      <c r="AS2824" t="str">
        <f>HYPERLINK("https://tessa.gazprom-neft.local/edo/card/a60ab3a0-409d-47bb-a2ba-d6d3177cc336", "https://tessa.gazprom-neft.local/edo/card/a60ab3a0-409d-47bb-a2ba-d6d3177cc336")</f>
        <v>https://tessa.gazprom-neft.local/edo/card/a60ab3a0-409d-47bb-a2ba-d6d3177cc336</v>
      </c>
    </row>
    <row r="2825" spans="1:45" hidden="1" x14ac:dyDescent="0.25">
      <c r="A2825" t="s">
        <v>44</v>
      </c>
      <c r="B2825" t="s">
        <v>964</v>
      </c>
      <c r="C2825" t="s">
        <v>67</v>
      </c>
      <c r="F2825" s="18" t="s">
        <v>965</v>
      </c>
      <c r="G2825" t="s">
        <v>966</v>
      </c>
      <c r="H2825" t="s">
        <v>0</v>
      </c>
      <c r="I2825" t="s">
        <v>10316</v>
      </c>
      <c r="J2825" t="s">
        <v>10316</v>
      </c>
      <c r="K2825" t="s">
        <v>47</v>
      </c>
      <c r="L2825" t="s">
        <v>96</v>
      </c>
      <c r="M2825" t="s">
        <v>0</v>
      </c>
      <c r="N2825" t="s">
        <v>10315</v>
      </c>
      <c r="O2825" t="s">
        <v>0</v>
      </c>
      <c r="P2825" t="s">
        <v>434</v>
      </c>
      <c r="Q2825" t="s">
        <v>10317</v>
      </c>
      <c r="R2825" t="s">
        <v>1610</v>
      </c>
      <c r="S2825" t="s">
        <v>1610</v>
      </c>
      <c r="T2825" t="s">
        <v>10217</v>
      </c>
      <c r="U2825" t="s">
        <v>101</v>
      </c>
      <c r="V2825" t="s">
        <v>91</v>
      </c>
      <c r="W2825" t="s">
        <v>57</v>
      </c>
      <c r="X2825" t="s">
        <v>103</v>
      </c>
      <c r="AA2825" t="s">
        <v>92</v>
      </c>
      <c r="AB2825" t="s">
        <v>434</v>
      </c>
      <c r="AC2825" t="s">
        <v>65</v>
      </c>
      <c r="AD2825" t="s">
        <v>0</v>
      </c>
      <c r="AE2825" t="s">
        <v>0</v>
      </c>
      <c r="AF2825" t="s">
        <v>0</v>
      </c>
      <c r="AG2825" t="s">
        <v>0</v>
      </c>
      <c r="AH2825" s="1" t="s">
        <v>0</v>
      </c>
      <c r="AI2825" s="1" t="s">
        <v>0</v>
      </c>
      <c r="AJ2825" s="1" t="s">
        <v>0</v>
      </c>
      <c r="AK2825" t="s">
        <v>61</v>
      </c>
      <c r="AL2825" t="s">
        <v>61</v>
      </c>
      <c r="AM2825" t="s">
        <v>0</v>
      </c>
      <c r="AN2825" t="s">
        <v>0</v>
      </c>
      <c r="AO2825" t="s">
        <v>0</v>
      </c>
      <c r="AP2825" t="s">
        <v>0</v>
      </c>
      <c r="AQ2825" t="s">
        <v>0</v>
      </c>
      <c r="AR2825" t="s">
        <v>61</v>
      </c>
      <c r="AS2825" t="str">
        <f>HYPERLINK("https://tessa.gazprom-neft.local/edo/card/e9e5d9ce-9be4-43cc-8776-d662166eb244", "https://tessa.gazprom-neft.local/edo/card/e9e5d9ce-9be4-43cc-8776-d662166eb244")</f>
        <v>https://tessa.gazprom-neft.local/edo/card/e9e5d9ce-9be4-43cc-8776-d662166eb244</v>
      </c>
    </row>
    <row r="2826" spans="1:45" x14ac:dyDescent="0.25">
      <c r="A2826" t="s">
        <v>44</v>
      </c>
      <c r="B2826" t="s">
        <v>801</v>
      </c>
      <c r="C2826" t="s">
        <v>67</v>
      </c>
      <c r="F2826" s="18" t="s">
        <v>802</v>
      </c>
      <c r="G2826" t="s">
        <v>803</v>
      </c>
      <c r="H2826" t="s">
        <v>10319</v>
      </c>
      <c r="I2826" t="s">
        <v>0</v>
      </c>
      <c r="J2826" t="s">
        <v>51</v>
      </c>
      <c r="K2826" t="s">
        <v>47</v>
      </c>
      <c r="L2826" t="s">
        <v>48</v>
      </c>
      <c r="M2826" t="s">
        <v>0</v>
      </c>
      <c r="N2826" t="s">
        <v>10318</v>
      </c>
      <c r="O2826" t="s">
        <v>0</v>
      </c>
      <c r="P2826" t="s">
        <v>10320</v>
      </c>
      <c r="Q2826" t="s">
        <v>10301</v>
      </c>
      <c r="R2826" t="s">
        <v>282</v>
      </c>
      <c r="S2826" t="s">
        <v>0</v>
      </c>
      <c r="T2826" t="s">
        <v>10217</v>
      </c>
      <c r="U2826" t="s">
        <v>55</v>
      </c>
      <c r="V2826" t="s">
        <v>864</v>
      </c>
      <c r="W2826" t="s">
        <v>74</v>
      </c>
      <c r="X2826" t="s">
        <v>103</v>
      </c>
      <c r="AA2826" t="s">
        <v>865</v>
      </c>
      <c r="AB2826" t="s">
        <v>130</v>
      </c>
      <c r="AC2826" t="s">
        <v>65</v>
      </c>
      <c r="AD2826" t="s">
        <v>0</v>
      </c>
      <c r="AE2826" t="s">
        <v>0</v>
      </c>
      <c r="AF2826" t="s">
        <v>0</v>
      </c>
      <c r="AG2826" t="s">
        <v>0</v>
      </c>
      <c r="AH2826" s="1" t="s">
        <v>0</v>
      </c>
      <c r="AI2826" s="1" t="s">
        <v>0</v>
      </c>
      <c r="AJ2826" s="1" t="s">
        <v>0</v>
      </c>
      <c r="AK2826" t="s">
        <v>61</v>
      </c>
      <c r="AL2826" t="s">
        <v>61</v>
      </c>
      <c r="AM2826" t="s">
        <v>0</v>
      </c>
      <c r="AN2826" t="s">
        <v>0</v>
      </c>
      <c r="AO2826" t="s">
        <v>0</v>
      </c>
      <c r="AP2826" t="s">
        <v>0</v>
      </c>
      <c r="AQ2826" t="s">
        <v>0</v>
      </c>
      <c r="AR2826" t="s">
        <v>61</v>
      </c>
      <c r="AS2826" t="str">
        <f>HYPERLINK("https://tessa.gazprom-neft.local/edo/card/e8425cd1-1ce8-482a-89c9-42ed8e72ef0f", "https://tessa.gazprom-neft.local/edo/card/e8425cd1-1ce8-482a-89c9-42ed8e72ef0f")</f>
        <v>https://tessa.gazprom-neft.local/edo/card/e8425cd1-1ce8-482a-89c9-42ed8e72ef0f</v>
      </c>
    </row>
    <row r="2827" spans="1:45" hidden="1" x14ac:dyDescent="0.25">
      <c r="A2827" t="s">
        <v>44</v>
      </c>
      <c r="B2827" t="s">
        <v>497</v>
      </c>
      <c r="C2827" t="s">
        <v>67</v>
      </c>
      <c r="F2827" s="18" t="s">
        <v>498</v>
      </c>
      <c r="G2827" t="s">
        <v>499</v>
      </c>
      <c r="H2827" t="s">
        <v>5075</v>
      </c>
      <c r="I2827" t="s">
        <v>0</v>
      </c>
      <c r="J2827" t="s">
        <v>271</v>
      </c>
      <c r="K2827" t="s">
        <v>47</v>
      </c>
      <c r="L2827" t="s">
        <v>493</v>
      </c>
      <c r="M2827" t="s">
        <v>0</v>
      </c>
      <c r="N2827" t="s">
        <v>10321</v>
      </c>
      <c r="O2827" t="s">
        <v>0</v>
      </c>
      <c r="P2827" t="s">
        <v>10322</v>
      </c>
      <c r="Q2827" t="s">
        <v>5077</v>
      </c>
      <c r="R2827" t="s">
        <v>1062</v>
      </c>
      <c r="S2827" t="s">
        <v>1062</v>
      </c>
      <c r="T2827" t="s">
        <v>10217</v>
      </c>
      <c r="U2827" t="s">
        <v>294</v>
      </c>
      <c r="V2827" t="s">
        <v>295</v>
      </c>
      <c r="W2827" t="s">
        <v>74</v>
      </c>
      <c r="X2827" t="s">
        <v>58</v>
      </c>
      <c r="AA2827" t="s">
        <v>296</v>
      </c>
      <c r="AB2827" t="s">
        <v>500</v>
      </c>
      <c r="AC2827" t="s">
        <v>278</v>
      </c>
      <c r="AD2827" t="s">
        <v>80</v>
      </c>
      <c r="AE2827" t="s">
        <v>82</v>
      </c>
      <c r="AF2827" t="s">
        <v>0</v>
      </c>
      <c r="AG2827" t="s">
        <v>0</v>
      </c>
      <c r="AH2827" s="1" t="s">
        <v>12322</v>
      </c>
      <c r="AI2827" s="1" t="s">
        <v>12323</v>
      </c>
      <c r="AJ2827" s="1" t="s">
        <v>12324</v>
      </c>
      <c r="AK2827" t="s">
        <v>61</v>
      </c>
      <c r="AL2827" t="s">
        <v>61</v>
      </c>
      <c r="AM2827" t="s">
        <v>0</v>
      </c>
      <c r="AN2827" t="s">
        <v>0</v>
      </c>
      <c r="AO2827" t="s">
        <v>0</v>
      </c>
      <c r="AP2827" t="s">
        <v>0</v>
      </c>
      <c r="AQ2827" t="s">
        <v>0</v>
      </c>
      <c r="AR2827" t="s">
        <v>61</v>
      </c>
      <c r="AS2827" t="str">
        <f>HYPERLINK("https://tessa.gazprom-neft.local/edo/card/94439fcb-1850-456e-a342-a67434b5eb77", "https://tessa.gazprom-neft.local/edo/card/94439fcb-1850-456e-a342-a67434b5eb77")</f>
        <v>https://tessa.gazprom-neft.local/edo/card/94439fcb-1850-456e-a342-a67434b5eb77</v>
      </c>
    </row>
    <row r="2828" spans="1:45" x14ac:dyDescent="0.25">
      <c r="A2828" t="s">
        <v>44</v>
      </c>
      <c r="B2828" t="s">
        <v>297</v>
      </c>
      <c r="C2828" t="s">
        <v>67</v>
      </c>
      <c r="F2828" s="18" t="s">
        <v>298</v>
      </c>
      <c r="G2828" t="s">
        <v>299</v>
      </c>
      <c r="H2828" t="s">
        <v>10224</v>
      </c>
      <c r="I2828" t="s">
        <v>0</v>
      </c>
      <c r="J2828" t="s">
        <v>51</v>
      </c>
      <c r="K2828" t="s">
        <v>47</v>
      </c>
      <c r="L2828" t="s">
        <v>48</v>
      </c>
      <c r="M2828" t="s">
        <v>0</v>
      </c>
      <c r="N2828" t="s">
        <v>10323</v>
      </c>
      <c r="O2828" t="s">
        <v>0</v>
      </c>
      <c r="P2828" t="s">
        <v>10324</v>
      </c>
      <c r="Q2828" t="s">
        <v>10325</v>
      </c>
      <c r="R2828" t="s">
        <v>484</v>
      </c>
      <c r="S2828" t="s">
        <v>484</v>
      </c>
      <c r="T2828" t="s">
        <v>10217</v>
      </c>
      <c r="U2828" t="s">
        <v>274</v>
      </c>
      <c r="V2828" t="s">
        <v>864</v>
      </c>
      <c r="W2828" t="s">
        <v>74</v>
      </c>
      <c r="X2828" t="s">
        <v>103</v>
      </c>
      <c r="AA2828" t="s">
        <v>865</v>
      </c>
      <c r="AB2828" t="s">
        <v>64</v>
      </c>
      <c r="AC2828" t="s">
        <v>278</v>
      </c>
      <c r="AD2828" t="s">
        <v>144</v>
      </c>
      <c r="AE2828" t="s">
        <v>82</v>
      </c>
      <c r="AF2828" t="s">
        <v>0</v>
      </c>
      <c r="AG2828" t="s">
        <v>0</v>
      </c>
      <c r="AH2828" s="1" t="s">
        <v>14319</v>
      </c>
      <c r="AI2828" s="1" t="s">
        <v>14320</v>
      </c>
      <c r="AJ2828" s="1" t="s">
        <v>14321</v>
      </c>
      <c r="AK2828" t="s">
        <v>61</v>
      </c>
      <c r="AL2828" t="s">
        <v>61</v>
      </c>
      <c r="AM2828" t="s">
        <v>0</v>
      </c>
      <c r="AN2828" t="s">
        <v>0</v>
      </c>
      <c r="AO2828" t="s">
        <v>0</v>
      </c>
      <c r="AP2828" t="s">
        <v>0</v>
      </c>
      <c r="AQ2828" t="s">
        <v>0</v>
      </c>
      <c r="AR2828" t="s">
        <v>61</v>
      </c>
      <c r="AS2828" t="str">
        <f>HYPERLINK("https://tessa.gazprom-neft.local/edo/card/ba94f111-363b-4e58-996e-5ef11a86375d", "https://tessa.gazprom-neft.local/edo/card/ba94f111-363b-4e58-996e-5ef11a86375d")</f>
        <v>https://tessa.gazprom-neft.local/edo/card/ba94f111-363b-4e58-996e-5ef11a86375d</v>
      </c>
    </row>
    <row r="2829" spans="1:45" hidden="1" x14ac:dyDescent="0.25">
      <c r="A2829" t="s">
        <v>44</v>
      </c>
      <c r="B2829" t="s">
        <v>436</v>
      </c>
      <c r="C2829" t="s">
        <v>218</v>
      </c>
      <c r="F2829" s="18" t="s">
        <v>437</v>
      </c>
      <c r="G2829" t="s">
        <v>438</v>
      </c>
      <c r="H2829" t="s">
        <v>0</v>
      </c>
      <c r="I2829" t="s">
        <v>0</v>
      </c>
      <c r="J2829" t="s">
        <v>0</v>
      </c>
      <c r="K2829" t="s">
        <v>47</v>
      </c>
      <c r="L2829" t="s">
        <v>96</v>
      </c>
      <c r="M2829" t="s">
        <v>0</v>
      </c>
      <c r="N2829" t="s">
        <v>10326</v>
      </c>
      <c r="O2829" t="s">
        <v>0</v>
      </c>
      <c r="P2829" t="s">
        <v>0</v>
      </c>
      <c r="Q2829" t="s">
        <v>1131</v>
      </c>
      <c r="R2829" t="s">
        <v>484</v>
      </c>
      <c r="S2829" t="s">
        <v>484</v>
      </c>
      <c r="T2829" t="s">
        <v>10217</v>
      </c>
      <c r="U2829" t="s">
        <v>274</v>
      </c>
      <c r="V2829" t="s">
        <v>846</v>
      </c>
      <c r="W2829" t="s">
        <v>74</v>
      </c>
      <c r="X2829" t="s">
        <v>103</v>
      </c>
      <c r="AA2829" t="s">
        <v>847</v>
      </c>
      <c r="AB2829" t="s">
        <v>64</v>
      </c>
      <c r="AC2829" t="s">
        <v>278</v>
      </c>
      <c r="AD2829" t="s">
        <v>144</v>
      </c>
      <c r="AE2829" t="s">
        <v>0</v>
      </c>
      <c r="AF2829" t="s">
        <v>0</v>
      </c>
      <c r="AG2829" t="s">
        <v>0</v>
      </c>
      <c r="AH2829" s="1" t="s">
        <v>0</v>
      </c>
      <c r="AI2829" s="1" t="s">
        <v>0</v>
      </c>
      <c r="AJ2829" s="1" t="s">
        <v>0</v>
      </c>
      <c r="AK2829" t="s">
        <v>61</v>
      </c>
      <c r="AL2829" t="s">
        <v>61</v>
      </c>
      <c r="AM2829" t="s">
        <v>0</v>
      </c>
      <c r="AN2829" t="s">
        <v>0</v>
      </c>
      <c r="AO2829" t="s">
        <v>0</v>
      </c>
      <c r="AP2829" t="s">
        <v>0</v>
      </c>
      <c r="AQ2829" t="s">
        <v>0</v>
      </c>
      <c r="AR2829" t="s">
        <v>61</v>
      </c>
      <c r="AS2829" t="str">
        <f>HYPERLINK("https://tessa.gazprom-neft.local/edo/card/ee162cdd-4996-4a1b-a0cd-c0d0c3adceae", "https://tessa.gazprom-neft.local/edo/card/ee162cdd-4996-4a1b-a0cd-c0d0c3adceae")</f>
        <v>https://tessa.gazprom-neft.local/edo/card/ee162cdd-4996-4a1b-a0cd-c0d0c3adceae</v>
      </c>
    </row>
    <row r="2830" spans="1:45" hidden="1" x14ac:dyDescent="0.25">
      <c r="A2830" t="s">
        <v>44</v>
      </c>
      <c r="B2830" t="s">
        <v>2993</v>
      </c>
      <c r="C2830" t="s">
        <v>67</v>
      </c>
      <c r="F2830" s="18" t="s">
        <v>2994</v>
      </c>
      <c r="G2830" t="s">
        <v>2995</v>
      </c>
      <c r="H2830" t="s">
        <v>0</v>
      </c>
      <c r="I2830" t="s">
        <v>10328</v>
      </c>
      <c r="J2830" t="s">
        <v>10328</v>
      </c>
      <c r="K2830" t="s">
        <v>47</v>
      </c>
      <c r="L2830" t="s">
        <v>96</v>
      </c>
      <c r="M2830" t="s">
        <v>0</v>
      </c>
      <c r="N2830" t="s">
        <v>10327</v>
      </c>
      <c r="O2830" t="s">
        <v>0</v>
      </c>
      <c r="P2830" t="s">
        <v>10329</v>
      </c>
      <c r="Q2830" t="s">
        <v>10330</v>
      </c>
      <c r="R2830" t="s">
        <v>4942</v>
      </c>
      <c r="S2830" t="s">
        <v>4942</v>
      </c>
      <c r="T2830" t="s">
        <v>10217</v>
      </c>
      <c r="U2830" t="s">
        <v>274</v>
      </c>
      <c r="V2830" t="s">
        <v>126</v>
      </c>
      <c r="W2830" t="s">
        <v>74</v>
      </c>
      <c r="X2830" t="s">
        <v>103</v>
      </c>
      <c r="AA2830" t="s">
        <v>200</v>
      </c>
      <c r="AB2830" t="s">
        <v>64</v>
      </c>
      <c r="AC2830" t="s">
        <v>278</v>
      </c>
      <c r="AD2830" t="s">
        <v>144</v>
      </c>
      <c r="AE2830" t="s">
        <v>82</v>
      </c>
      <c r="AF2830" t="s">
        <v>0</v>
      </c>
      <c r="AG2830" t="s">
        <v>10331</v>
      </c>
      <c r="AH2830" s="1" t="s">
        <v>14322</v>
      </c>
      <c r="AI2830" s="1" t="s">
        <v>14323</v>
      </c>
      <c r="AJ2830" s="1" t="s">
        <v>14324</v>
      </c>
      <c r="AK2830" t="s">
        <v>81</v>
      </c>
      <c r="AL2830" t="s">
        <v>61</v>
      </c>
      <c r="AM2830" t="s">
        <v>0</v>
      </c>
      <c r="AN2830" t="s">
        <v>0</v>
      </c>
      <c r="AO2830" t="s">
        <v>0</v>
      </c>
      <c r="AP2830" t="s">
        <v>0</v>
      </c>
      <c r="AQ2830" t="s">
        <v>0</v>
      </c>
      <c r="AR2830" t="s">
        <v>61</v>
      </c>
      <c r="AS2830" t="str">
        <f>HYPERLINK("https://tessa.gazprom-neft.local/edo/card/11ee83db-767f-41cf-958e-e6684117786e", "https://tessa.gazprom-neft.local/edo/card/11ee83db-767f-41cf-958e-e6684117786e")</f>
        <v>https://tessa.gazprom-neft.local/edo/card/11ee83db-767f-41cf-958e-e6684117786e</v>
      </c>
    </row>
    <row r="2831" spans="1:45" hidden="1" x14ac:dyDescent="0.25">
      <c r="A2831" t="s">
        <v>44</v>
      </c>
      <c r="B2831" t="s">
        <v>0</v>
      </c>
      <c r="C2831" t="s">
        <v>218</v>
      </c>
      <c r="F2831" s="18" t="s">
        <v>0</v>
      </c>
      <c r="G2831" t="s">
        <v>0</v>
      </c>
      <c r="H2831" t="s">
        <v>0</v>
      </c>
      <c r="I2831" t="s">
        <v>0</v>
      </c>
      <c r="J2831" t="s">
        <v>0</v>
      </c>
      <c r="K2831" t="s">
        <v>0</v>
      </c>
      <c r="L2831" t="s">
        <v>0</v>
      </c>
      <c r="M2831" t="s">
        <v>0</v>
      </c>
      <c r="N2831" t="s">
        <v>10332</v>
      </c>
      <c r="O2831" t="s">
        <v>0</v>
      </c>
      <c r="P2831" t="s">
        <v>0</v>
      </c>
      <c r="Q2831" t="s">
        <v>0</v>
      </c>
      <c r="R2831" t="s">
        <v>484</v>
      </c>
      <c r="S2831" t="s">
        <v>0</v>
      </c>
      <c r="T2831" t="s">
        <v>10217</v>
      </c>
      <c r="U2831" t="s">
        <v>274</v>
      </c>
      <c r="V2831" t="s">
        <v>0</v>
      </c>
      <c r="W2831" t="s">
        <v>0</v>
      </c>
      <c r="X2831" t="s">
        <v>0</v>
      </c>
      <c r="AA2831" t="s">
        <v>0</v>
      </c>
      <c r="AB2831" t="s">
        <v>0</v>
      </c>
      <c r="AC2831" t="s">
        <v>0</v>
      </c>
      <c r="AD2831" t="s">
        <v>0</v>
      </c>
      <c r="AE2831" t="s">
        <v>0</v>
      </c>
      <c r="AF2831" t="s">
        <v>0</v>
      </c>
      <c r="AG2831" t="s">
        <v>0</v>
      </c>
      <c r="AH2831" s="1" t="s">
        <v>0</v>
      </c>
      <c r="AI2831" s="1" t="s">
        <v>0</v>
      </c>
      <c r="AJ2831" s="1" t="s">
        <v>0</v>
      </c>
      <c r="AK2831" t="s">
        <v>61</v>
      </c>
      <c r="AL2831" t="s">
        <v>61</v>
      </c>
      <c r="AM2831" t="s">
        <v>0</v>
      </c>
      <c r="AN2831" t="s">
        <v>0</v>
      </c>
      <c r="AO2831" t="s">
        <v>0</v>
      </c>
      <c r="AP2831" t="s">
        <v>0</v>
      </c>
      <c r="AQ2831" t="s">
        <v>0</v>
      </c>
      <c r="AR2831" t="s">
        <v>61</v>
      </c>
      <c r="AS2831" t="str">
        <f>HYPERLINK("https://tessa.gazprom-neft.local/edo/card/007da231-d8e1-4ecc-8487-ead69885d2fa", "https://tessa.gazprom-neft.local/edo/card/007da231-d8e1-4ecc-8487-ead69885d2fa")</f>
        <v>https://tessa.gazprom-neft.local/edo/card/007da231-d8e1-4ecc-8487-ead69885d2fa</v>
      </c>
    </row>
    <row r="2832" spans="1:45" hidden="1" x14ac:dyDescent="0.25">
      <c r="A2832" t="s">
        <v>44</v>
      </c>
      <c r="B2832" t="s">
        <v>2993</v>
      </c>
      <c r="C2832" t="s">
        <v>67</v>
      </c>
      <c r="F2832" s="18" t="s">
        <v>2994</v>
      </c>
      <c r="G2832" t="s">
        <v>2995</v>
      </c>
      <c r="H2832" t="s">
        <v>0</v>
      </c>
      <c r="I2832" t="s">
        <v>0</v>
      </c>
      <c r="J2832" t="s">
        <v>51</v>
      </c>
      <c r="K2832" t="s">
        <v>47</v>
      </c>
      <c r="L2832" t="s">
        <v>239</v>
      </c>
      <c r="M2832" t="s">
        <v>0</v>
      </c>
      <c r="N2832" t="s">
        <v>10333</v>
      </c>
      <c r="O2832" t="s">
        <v>0</v>
      </c>
      <c r="P2832" t="s">
        <v>10334</v>
      </c>
      <c r="Q2832" t="s">
        <v>10335</v>
      </c>
      <c r="R2832" t="s">
        <v>4942</v>
      </c>
      <c r="S2832" t="s">
        <v>4942</v>
      </c>
      <c r="T2832" t="s">
        <v>10217</v>
      </c>
      <c r="U2832" t="s">
        <v>274</v>
      </c>
      <c r="V2832" t="s">
        <v>56</v>
      </c>
      <c r="W2832" t="s">
        <v>74</v>
      </c>
      <c r="X2832" t="s">
        <v>103</v>
      </c>
      <c r="AA2832" t="s">
        <v>59</v>
      </c>
      <c r="AB2832" t="s">
        <v>64</v>
      </c>
      <c r="AC2832" t="s">
        <v>278</v>
      </c>
      <c r="AD2832" t="s">
        <v>144</v>
      </c>
      <c r="AE2832" t="s">
        <v>82</v>
      </c>
      <c r="AF2832" t="s">
        <v>0</v>
      </c>
      <c r="AG2832" t="s">
        <v>0</v>
      </c>
      <c r="AH2832" s="1" t="s">
        <v>14325</v>
      </c>
      <c r="AI2832" s="1" t="s">
        <v>14326</v>
      </c>
      <c r="AJ2832" s="1" t="s">
        <v>14327</v>
      </c>
      <c r="AK2832" t="s">
        <v>61</v>
      </c>
      <c r="AL2832" t="s">
        <v>61</v>
      </c>
      <c r="AM2832" t="s">
        <v>0</v>
      </c>
      <c r="AN2832" t="s">
        <v>0</v>
      </c>
      <c r="AO2832" t="s">
        <v>0</v>
      </c>
      <c r="AP2832" t="s">
        <v>0</v>
      </c>
      <c r="AQ2832" t="s">
        <v>0</v>
      </c>
      <c r="AR2832" t="s">
        <v>61</v>
      </c>
      <c r="AS2832" t="str">
        <f>HYPERLINK("https://tessa.gazprom-neft.local/edo/card/b7a5d6a8-7c09-44f3-a712-b35403bc8d40", "https://tessa.gazprom-neft.local/edo/card/b7a5d6a8-7c09-44f3-a712-b35403bc8d40")</f>
        <v>https://tessa.gazprom-neft.local/edo/card/b7a5d6a8-7c09-44f3-a712-b35403bc8d40</v>
      </c>
    </row>
    <row r="2833" spans="1:45" x14ac:dyDescent="0.25">
      <c r="A2833" t="s">
        <v>44</v>
      </c>
      <c r="B2833" t="s">
        <v>436</v>
      </c>
      <c r="C2833" t="s">
        <v>67</v>
      </c>
      <c r="F2833" s="18" t="s">
        <v>437</v>
      </c>
      <c r="G2833" t="s">
        <v>438</v>
      </c>
      <c r="H2833" t="s">
        <v>4603</v>
      </c>
      <c r="I2833" t="s">
        <v>0</v>
      </c>
      <c r="J2833" t="s">
        <v>1428</v>
      </c>
      <c r="K2833" t="s">
        <v>47</v>
      </c>
      <c r="L2833" t="s">
        <v>48</v>
      </c>
      <c r="M2833" t="s">
        <v>0</v>
      </c>
      <c r="N2833" t="s">
        <v>10336</v>
      </c>
      <c r="O2833" t="s">
        <v>0</v>
      </c>
      <c r="P2833" t="s">
        <v>10337</v>
      </c>
      <c r="Q2833" t="s">
        <v>10338</v>
      </c>
      <c r="R2833" t="s">
        <v>1083</v>
      </c>
      <c r="S2833" t="s">
        <v>7009</v>
      </c>
      <c r="T2833" t="s">
        <v>10217</v>
      </c>
      <c r="U2833" t="s">
        <v>1792</v>
      </c>
      <c r="V2833" t="s">
        <v>846</v>
      </c>
      <c r="W2833" t="s">
        <v>57</v>
      </c>
      <c r="X2833" t="s">
        <v>103</v>
      </c>
      <c r="AA2833" t="s">
        <v>847</v>
      </c>
      <c r="AB2833" t="s">
        <v>64</v>
      </c>
      <c r="AC2833" t="s">
        <v>278</v>
      </c>
      <c r="AD2833" t="s">
        <v>144</v>
      </c>
      <c r="AE2833" t="s">
        <v>82</v>
      </c>
      <c r="AF2833" t="s">
        <v>0</v>
      </c>
      <c r="AG2833" t="s">
        <v>0</v>
      </c>
      <c r="AH2833" s="1" t="s">
        <v>14328</v>
      </c>
      <c r="AI2833" s="1" t="s">
        <v>14329</v>
      </c>
      <c r="AJ2833" s="1" t="s">
        <v>14330</v>
      </c>
      <c r="AK2833" t="s">
        <v>61</v>
      </c>
      <c r="AL2833" t="s">
        <v>61</v>
      </c>
      <c r="AM2833" t="s">
        <v>0</v>
      </c>
      <c r="AN2833" t="s">
        <v>0</v>
      </c>
      <c r="AO2833" t="s">
        <v>0</v>
      </c>
      <c r="AP2833" t="s">
        <v>10248</v>
      </c>
      <c r="AQ2833" t="s">
        <v>0</v>
      </c>
      <c r="AR2833" t="s">
        <v>61</v>
      </c>
      <c r="AS2833" t="str">
        <f>HYPERLINK("https://tessa.gazprom-neft.local/edo/card/a1960f87-8a81-43da-b9a2-aeaa1998e289", "https://tessa.gazprom-neft.local/edo/card/a1960f87-8a81-43da-b9a2-aeaa1998e289")</f>
        <v>https://tessa.gazprom-neft.local/edo/card/a1960f87-8a81-43da-b9a2-aeaa1998e289</v>
      </c>
    </row>
    <row r="2834" spans="1:45" x14ac:dyDescent="0.25">
      <c r="A2834" t="s">
        <v>44</v>
      </c>
      <c r="B2834" t="s">
        <v>436</v>
      </c>
      <c r="C2834" t="s">
        <v>67</v>
      </c>
      <c r="F2834" s="18" t="s">
        <v>437</v>
      </c>
      <c r="G2834" t="s">
        <v>438</v>
      </c>
      <c r="H2834" t="s">
        <v>8578</v>
      </c>
      <c r="I2834" t="s">
        <v>0</v>
      </c>
      <c r="J2834" t="s">
        <v>2508</v>
      </c>
      <c r="K2834" t="s">
        <v>47</v>
      </c>
      <c r="L2834" t="s">
        <v>48</v>
      </c>
      <c r="M2834" t="s">
        <v>0</v>
      </c>
      <c r="N2834" t="s">
        <v>10339</v>
      </c>
      <c r="O2834" t="s">
        <v>0</v>
      </c>
      <c r="P2834" t="s">
        <v>10340</v>
      </c>
      <c r="Q2834" t="s">
        <v>10341</v>
      </c>
      <c r="R2834" t="s">
        <v>1342</v>
      </c>
      <c r="S2834" t="s">
        <v>1342</v>
      </c>
      <c r="T2834" t="s">
        <v>10217</v>
      </c>
      <c r="U2834" t="s">
        <v>274</v>
      </c>
      <c r="V2834" t="s">
        <v>723</v>
      </c>
      <c r="W2834" t="s">
        <v>57</v>
      </c>
      <c r="X2834" t="s">
        <v>103</v>
      </c>
      <c r="AA2834" t="s">
        <v>1031</v>
      </c>
      <c r="AB2834" t="s">
        <v>64</v>
      </c>
      <c r="AC2834" t="s">
        <v>278</v>
      </c>
      <c r="AD2834" t="s">
        <v>144</v>
      </c>
      <c r="AE2834" t="s">
        <v>82</v>
      </c>
      <c r="AF2834" t="s">
        <v>0</v>
      </c>
      <c r="AG2834" t="s">
        <v>0</v>
      </c>
      <c r="AH2834" s="1" t="s">
        <v>14331</v>
      </c>
      <c r="AI2834" s="1" t="s">
        <v>14332</v>
      </c>
      <c r="AJ2834" s="1" t="s">
        <v>14333</v>
      </c>
      <c r="AK2834" t="s">
        <v>61</v>
      </c>
      <c r="AL2834" t="s">
        <v>61</v>
      </c>
      <c r="AM2834" t="s">
        <v>0</v>
      </c>
      <c r="AN2834" t="s">
        <v>0</v>
      </c>
      <c r="AO2834" t="s">
        <v>0</v>
      </c>
      <c r="AP2834" t="s">
        <v>10248</v>
      </c>
      <c r="AQ2834" t="s">
        <v>0</v>
      </c>
      <c r="AR2834" t="s">
        <v>61</v>
      </c>
      <c r="AS2834" t="str">
        <f>HYPERLINK("https://tessa.gazprom-neft.local/edo/card/a0ca9c61-2e2f-4caf-9ef0-58ee4c4d6a56", "https://tessa.gazprom-neft.local/edo/card/a0ca9c61-2e2f-4caf-9ef0-58ee4c4d6a56")</f>
        <v>https://tessa.gazprom-neft.local/edo/card/a0ca9c61-2e2f-4caf-9ef0-58ee4c4d6a56</v>
      </c>
    </row>
    <row r="2835" spans="1:45" hidden="1" x14ac:dyDescent="0.25">
      <c r="A2835" t="s">
        <v>44</v>
      </c>
      <c r="B2835" t="s">
        <v>1925</v>
      </c>
      <c r="C2835" t="s">
        <v>67</v>
      </c>
      <c r="F2835" s="18" t="s">
        <v>1926</v>
      </c>
      <c r="G2835" t="s">
        <v>1927</v>
      </c>
      <c r="H2835" t="s">
        <v>8067</v>
      </c>
      <c r="I2835" t="s">
        <v>0</v>
      </c>
      <c r="J2835" t="s">
        <v>51</v>
      </c>
      <c r="K2835" t="s">
        <v>47</v>
      </c>
      <c r="L2835" t="s">
        <v>239</v>
      </c>
      <c r="M2835" t="s">
        <v>0</v>
      </c>
      <c r="N2835" t="s">
        <v>10342</v>
      </c>
      <c r="O2835" t="s">
        <v>0</v>
      </c>
      <c r="P2835" t="s">
        <v>10343</v>
      </c>
      <c r="Q2835" t="s">
        <v>10281</v>
      </c>
      <c r="R2835" t="s">
        <v>1924</v>
      </c>
      <c r="S2835" t="s">
        <v>1924</v>
      </c>
      <c r="T2835" t="s">
        <v>10217</v>
      </c>
      <c r="U2835" t="s">
        <v>73</v>
      </c>
      <c r="V2835" t="s">
        <v>56</v>
      </c>
      <c r="W2835" t="s">
        <v>74</v>
      </c>
      <c r="X2835" t="s">
        <v>103</v>
      </c>
      <c r="AA2835" t="s">
        <v>0</v>
      </c>
      <c r="AB2835" t="s">
        <v>366</v>
      </c>
      <c r="AC2835" t="s">
        <v>278</v>
      </c>
      <c r="AD2835" t="s">
        <v>367</v>
      </c>
      <c r="AE2835" t="s">
        <v>82</v>
      </c>
      <c r="AF2835" t="s">
        <v>0</v>
      </c>
      <c r="AG2835" t="s">
        <v>0</v>
      </c>
      <c r="AH2835" s="1" t="s">
        <v>14334</v>
      </c>
      <c r="AI2835" s="1" t="s">
        <v>14335</v>
      </c>
      <c r="AJ2835" s="1" t="s">
        <v>14336</v>
      </c>
      <c r="AK2835" t="s">
        <v>61</v>
      </c>
      <c r="AL2835" t="s">
        <v>61</v>
      </c>
      <c r="AM2835" t="s">
        <v>0</v>
      </c>
      <c r="AN2835" t="s">
        <v>0</v>
      </c>
      <c r="AO2835" t="s">
        <v>0</v>
      </c>
      <c r="AP2835" t="s">
        <v>0</v>
      </c>
      <c r="AQ2835" t="s">
        <v>0</v>
      </c>
      <c r="AR2835" t="s">
        <v>61</v>
      </c>
      <c r="AS2835" t="str">
        <f>HYPERLINK("https://tessa.gazprom-neft.local/edo/card/cdbce700-d28e-429b-b9ae-8d22b187a602", "https://tessa.gazprom-neft.local/edo/card/cdbce700-d28e-429b-b9ae-8d22b187a602")</f>
        <v>https://tessa.gazprom-neft.local/edo/card/cdbce700-d28e-429b-b9ae-8d22b187a602</v>
      </c>
    </row>
    <row r="2836" spans="1:45" x14ac:dyDescent="0.25">
      <c r="A2836" t="s">
        <v>44</v>
      </c>
      <c r="B2836" t="s">
        <v>1925</v>
      </c>
      <c r="C2836" t="s">
        <v>67</v>
      </c>
      <c r="F2836" s="18" t="s">
        <v>1926</v>
      </c>
      <c r="G2836" t="s">
        <v>1927</v>
      </c>
      <c r="H2836" t="s">
        <v>10345</v>
      </c>
      <c r="I2836" t="s">
        <v>0</v>
      </c>
      <c r="J2836" t="s">
        <v>271</v>
      </c>
      <c r="K2836" t="s">
        <v>47</v>
      </c>
      <c r="L2836" t="s">
        <v>48</v>
      </c>
      <c r="M2836" t="s">
        <v>0</v>
      </c>
      <c r="N2836" t="s">
        <v>10344</v>
      </c>
      <c r="O2836" t="s">
        <v>0</v>
      </c>
      <c r="P2836" t="s">
        <v>9689</v>
      </c>
      <c r="Q2836" t="s">
        <v>10346</v>
      </c>
      <c r="R2836" t="s">
        <v>10298</v>
      </c>
      <c r="S2836" t="s">
        <v>1638</v>
      </c>
      <c r="T2836" t="s">
        <v>10217</v>
      </c>
      <c r="U2836" t="s">
        <v>1792</v>
      </c>
      <c r="V2836" t="s">
        <v>846</v>
      </c>
      <c r="W2836" t="s">
        <v>74</v>
      </c>
      <c r="X2836" t="s">
        <v>223</v>
      </c>
      <c r="AA2836" t="s">
        <v>847</v>
      </c>
      <c r="AB2836" t="s">
        <v>256</v>
      </c>
      <c r="AC2836" t="s">
        <v>65</v>
      </c>
      <c r="AD2836" t="s">
        <v>0</v>
      </c>
      <c r="AE2836" t="s">
        <v>0</v>
      </c>
      <c r="AF2836" t="s">
        <v>0</v>
      </c>
      <c r="AG2836" t="s">
        <v>0</v>
      </c>
      <c r="AH2836" s="1" t="s">
        <v>0</v>
      </c>
      <c r="AI2836" s="1" t="s">
        <v>0</v>
      </c>
      <c r="AJ2836" s="1" t="s">
        <v>0</v>
      </c>
      <c r="AK2836" t="s">
        <v>61</v>
      </c>
      <c r="AL2836" t="s">
        <v>61</v>
      </c>
      <c r="AM2836" t="s">
        <v>0</v>
      </c>
      <c r="AN2836" t="s">
        <v>0</v>
      </c>
      <c r="AO2836" t="s">
        <v>0</v>
      </c>
      <c r="AP2836" t="s">
        <v>0</v>
      </c>
      <c r="AQ2836" t="s">
        <v>0</v>
      </c>
      <c r="AR2836" t="s">
        <v>61</v>
      </c>
      <c r="AS2836" t="str">
        <f>HYPERLINK("https://tessa.gazprom-neft.local/edo/card/b5938a0a-9948-44d1-ad6d-c8d86656b5c6", "https://tessa.gazprom-neft.local/edo/card/b5938a0a-9948-44d1-ad6d-c8d86656b5c6")</f>
        <v>https://tessa.gazprom-neft.local/edo/card/b5938a0a-9948-44d1-ad6d-c8d86656b5c6</v>
      </c>
    </row>
    <row r="2837" spans="1:45" x14ac:dyDescent="0.25">
      <c r="A2837" t="s">
        <v>44</v>
      </c>
      <c r="B2837" t="s">
        <v>1925</v>
      </c>
      <c r="C2837" t="s">
        <v>67</v>
      </c>
      <c r="F2837" s="18" t="s">
        <v>1926</v>
      </c>
      <c r="G2837" t="s">
        <v>1927</v>
      </c>
      <c r="H2837" t="s">
        <v>10348</v>
      </c>
      <c r="I2837" t="s">
        <v>0</v>
      </c>
      <c r="J2837" t="s">
        <v>51</v>
      </c>
      <c r="K2837" t="s">
        <v>47</v>
      </c>
      <c r="L2837" t="s">
        <v>48</v>
      </c>
      <c r="M2837" t="s">
        <v>0</v>
      </c>
      <c r="N2837" t="s">
        <v>10347</v>
      </c>
      <c r="O2837" t="s">
        <v>0</v>
      </c>
      <c r="P2837" t="s">
        <v>48</v>
      </c>
      <c r="Q2837" t="s">
        <v>10346</v>
      </c>
      <c r="R2837" t="s">
        <v>10298</v>
      </c>
      <c r="S2837" t="s">
        <v>5511</v>
      </c>
      <c r="T2837" t="s">
        <v>10217</v>
      </c>
      <c r="U2837" t="s">
        <v>1792</v>
      </c>
      <c r="V2837" t="s">
        <v>846</v>
      </c>
      <c r="W2837" t="s">
        <v>74</v>
      </c>
      <c r="X2837" t="s">
        <v>223</v>
      </c>
      <c r="AA2837" t="s">
        <v>847</v>
      </c>
      <c r="AB2837" t="s">
        <v>256</v>
      </c>
      <c r="AC2837" t="s">
        <v>65</v>
      </c>
      <c r="AD2837" t="s">
        <v>0</v>
      </c>
      <c r="AE2837" t="s">
        <v>0</v>
      </c>
      <c r="AF2837" t="s">
        <v>0</v>
      </c>
      <c r="AG2837" t="s">
        <v>0</v>
      </c>
      <c r="AH2837" s="1" t="s">
        <v>0</v>
      </c>
      <c r="AI2837" s="1" t="s">
        <v>0</v>
      </c>
      <c r="AJ2837" s="1" t="s">
        <v>0</v>
      </c>
      <c r="AK2837" t="s">
        <v>61</v>
      </c>
      <c r="AL2837" t="s">
        <v>61</v>
      </c>
      <c r="AM2837" t="s">
        <v>0</v>
      </c>
      <c r="AN2837" t="s">
        <v>0</v>
      </c>
      <c r="AO2837" t="s">
        <v>0</v>
      </c>
      <c r="AP2837" t="s">
        <v>0</v>
      </c>
      <c r="AQ2837" t="s">
        <v>0</v>
      </c>
      <c r="AR2837" t="s">
        <v>61</v>
      </c>
      <c r="AS2837" t="str">
        <f>HYPERLINK("https://tessa.gazprom-neft.local/edo/card/68ee185f-3093-4593-b491-3d5e74f417f1", "https://tessa.gazprom-neft.local/edo/card/68ee185f-3093-4593-b491-3d5e74f417f1")</f>
        <v>https://tessa.gazprom-neft.local/edo/card/68ee185f-3093-4593-b491-3d5e74f417f1</v>
      </c>
    </row>
    <row r="2838" spans="1:45" x14ac:dyDescent="0.25">
      <c r="A2838" t="s">
        <v>44</v>
      </c>
      <c r="B2838" t="s">
        <v>1925</v>
      </c>
      <c r="C2838" t="s">
        <v>67</v>
      </c>
      <c r="F2838" s="18" t="s">
        <v>1926</v>
      </c>
      <c r="G2838" t="s">
        <v>1927</v>
      </c>
      <c r="H2838" t="s">
        <v>8067</v>
      </c>
      <c r="I2838" t="s">
        <v>0</v>
      </c>
      <c r="J2838" t="s">
        <v>271</v>
      </c>
      <c r="K2838" t="s">
        <v>47</v>
      </c>
      <c r="L2838" t="s">
        <v>48</v>
      </c>
      <c r="M2838" t="s">
        <v>0</v>
      </c>
      <c r="N2838" t="s">
        <v>10349</v>
      </c>
      <c r="O2838" t="s">
        <v>0</v>
      </c>
      <c r="P2838" t="s">
        <v>10350</v>
      </c>
      <c r="Q2838" t="s">
        <v>10351</v>
      </c>
      <c r="R2838" t="s">
        <v>1924</v>
      </c>
      <c r="S2838" t="s">
        <v>1924</v>
      </c>
      <c r="T2838" t="s">
        <v>10217</v>
      </c>
      <c r="U2838" t="s">
        <v>73</v>
      </c>
      <c r="V2838" t="s">
        <v>56</v>
      </c>
      <c r="W2838" t="s">
        <v>74</v>
      </c>
      <c r="X2838" t="s">
        <v>103</v>
      </c>
      <c r="AA2838" t="s">
        <v>59</v>
      </c>
      <c r="AB2838" t="s">
        <v>366</v>
      </c>
      <c r="AC2838" t="s">
        <v>65</v>
      </c>
      <c r="AD2838" t="s">
        <v>367</v>
      </c>
      <c r="AE2838" t="s">
        <v>0</v>
      </c>
      <c r="AF2838" t="s">
        <v>0</v>
      </c>
      <c r="AG2838" t="s">
        <v>0</v>
      </c>
      <c r="AH2838" s="1" t="s">
        <v>0</v>
      </c>
      <c r="AI2838" s="1" t="s">
        <v>0</v>
      </c>
      <c r="AJ2838" s="1" t="s">
        <v>0</v>
      </c>
      <c r="AK2838" t="s">
        <v>61</v>
      </c>
      <c r="AL2838" t="s">
        <v>61</v>
      </c>
      <c r="AM2838" t="s">
        <v>0</v>
      </c>
      <c r="AN2838" t="s">
        <v>0</v>
      </c>
      <c r="AO2838" t="s">
        <v>0</v>
      </c>
      <c r="AP2838" t="s">
        <v>0</v>
      </c>
      <c r="AQ2838" t="s">
        <v>0</v>
      </c>
      <c r="AR2838" t="s">
        <v>61</v>
      </c>
      <c r="AS2838" t="str">
        <f>HYPERLINK("https://tessa.gazprom-neft.local/edo/card/bed47ed6-aa21-4777-83ea-e1a44fb38dec", "https://tessa.gazprom-neft.local/edo/card/bed47ed6-aa21-4777-83ea-e1a44fb38dec")</f>
        <v>https://tessa.gazprom-neft.local/edo/card/bed47ed6-aa21-4777-83ea-e1a44fb38dec</v>
      </c>
    </row>
    <row r="2839" spans="1:45" hidden="1" x14ac:dyDescent="0.25">
      <c r="A2839" t="s">
        <v>44</v>
      </c>
      <c r="B2839" t="s">
        <v>297</v>
      </c>
      <c r="C2839" t="s">
        <v>67</v>
      </c>
      <c r="F2839" s="18" t="s">
        <v>298</v>
      </c>
      <c r="G2839" t="s">
        <v>299</v>
      </c>
      <c r="H2839" t="s">
        <v>10224</v>
      </c>
      <c r="I2839" t="s">
        <v>0</v>
      </c>
      <c r="J2839" t="s">
        <v>271</v>
      </c>
      <c r="K2839" t="s">
        <v>47</v>
      </c>
      <c r="L2839" t="s">
        <v>239</v>
      </c>
      <c r="M2839" t="s">
        <v>0</v>
      </c>
      <c r="N2839" t="s">
        <v>10352</v>
      </c>
      <c r="O2839" t="s">
        <v>0</v>
      </c>
      <c r="P2839" t="s">
        <v>10353</v>
      </c>
      <c r="Q2839" t="s">
        <v>10354</v>
      </c>
      <c r="R2839" t="s">
        <v>484</v>
      </c>
      <c r="S2839" t="s">
        <v>484</v>
      </c>
      <c r="T2839" t="s">
        <v>10217</v>
      </c>
      <c r="U2839" t="s">
        <v>274</v>
      </c>
      <c r="V2839" t="s">
        <v>864</v>
      </c>
      <c r="W2839" t="s">
        <v>74</v>
      </c>
      <c r="X2839" t="s">
        <v>103</v>
      </c>
      <c r="AA2839" t="s">
        <v>865</v>
      </c>
      <c r="AB2839" t="s">
        <v>64</v>
      </c>
      <c r="AC2839" t="s">
        <v>278</v>
      </c>
      <c r="AD2839" t="s">
        <v>144</v>
      </c>
      <c r="AE2839" t="s">
        <v>82</v>
      </c>
      <c r="AF2839" t="s">
        <v>0</v>
      </c>
      <c r="AG2839" t="s">
        <v>0</v>
      </c>
      <c r="AH2839" s="1" t="s">
        <v>14337</v>
      </c>
      <c r="AI2839" s="1" t="s">
        <v>14338</v>
      </c>
      <c r="AJ2839" s="1" t="s">
        <v>14339</v>
      </c>
      <c r="AK2839" t="s">
        <v>61</v>
      </c>
      <c r="AL2839" t="s">
        <v>61</v>
      </c>
      <c r="AM2839" t="s">
        <v>0</v>
      </c>
      <c r="AN2839" t="s">
        <v>0</v>
      </c>
      <c r="AO2839" t="s">
        <v>0</v>
      </c>
      <c r="AP2839" t="s">
        <v>0</v>
      </c>
      <c r="AQ2839" t="s">
        <v>0</v>
      </c>
      <c r="AR2839" t="s">
        <v>61</v>
      </c>
      <c r="AS2839" t="str">
        <f>HYPERLINK("https://tessa.gazprom-neft.local/edo/card/5d12df3c-5a88-4b0b-b7c0-00f614fe22e8", "https://tessa.gazprom-neft.local/edo/card/5d12df3c-5a88-4b0b-b7c0-00f614fe22e8")</f>
        <v>https://tessa.gazprom-neft.local/edo/card/5d12df3c-5a88-4b0b-b7c0-00f614fe22e8</v>
      </c>
    </row>
    <row r="2840" spans="1:45" hidden="1" x14ac:dyDescent="0.25">
      <c r="A2840" t="s">
        <v>44</v>
      </c>
      <c r="B2840" t="s">
        <v>297</v>
      </c>
      <c r="C2840" t="s">
        <v>67</v>
      </c>
      <c r="F2840" s="18" t="s">
        <v>298</v>
      </c>
      <c r="G2840" t="s">
        <v>299</v>
      </c>
      <c r="H2840" t="s">
        <v>10224</v>
      </c>
      <c r="I2840" t="s">
        <v>0</v>
      </c>
      <c r="J2840" t="s">
        <v>156</v>
      </c>
      <c r="K2840" t="s">
        <v>47</v>
      </c>
      <c r="L2840" t="s">
        <v>239</v>
      </c>
      <c r="M2840" t="s">
        <v>0</v>
      </c>
      <c r="N2840" t="s">
        <v>10355</v>
      </c>
      <c r="O2840" t="s">
        <v>0</v>
      </c>
      <c r="P2840" t="s">
        <v>10356</v>
      </c>
      <c r="Q2840" t="s">
        <v>10357</v>
      </c>
      <c r="R2840" t="s">
        <v>484</v>
      </c>
      <c r="S2840" t="s">
        <v>484</v>
      </c>
      <c r="T2840" t="s">
        <v>10217</v>
      </c>
      <c r="U2840" t="s">
        <v>274</v>
      </c>
      <c r="V2840" t="s">
        <v>864</v>
      </c>
      <c r="W2840" t="s">
        <v>74</v>
      </c>
      <c r="X2840" t="s">
        <v>103</v>
      </c>
      <c r="AA2840" t="s">
        <v>865</v>
      </c>
      <c r="AB2840" t="s">
        <v>64</v>
      </c>
      <c r="AC2840" t="s">
        <v>278</v>
      </c>
      <c r="AD2840" t="s">
        <v>144</v>
      </c>
      <c r="AE2840" t="s">
        <v>82</v>
      </c>
      <c r="AF2840" t="s">
        <v>0</v>
      </c>
      <c r="AG2840" t="s">
        <v>0</v>
      </c>
      <c r="AH2840" s="1" t="s">
        <v>14337</v>
      </c>
      <c r="AI2840" s="1" t="s">
        <v>14338</v>
      </c>
      <c r="AJ2840" s="1" t="s">
        <v>14339</v>
      </c>
      <c r="AK2840" t="s">
        <v>61</v>
      </c>
      <c r="AL2840" t="s">
        <v>61</v>
      </c>
      <c r="AM2840" t="s">
        <v>0</v>
      </c>
      <c r="AN2840" t="s">
        <v>0</v>
      </c>
      <c r="AO2840" t="s">
        <v>0</v>
      </c>
      <c r="AP2840" t="s">
        <v>0</v>
      </c>
      <c r="AQ2840" t="s">
        <v>0</v>
      </c>
      <c r="AR2840" t="s">
        <v>61</v>
      </c>
      <c r="AS2840" t="str">
        <f>HYPERLINK("https://tessa.gazprom-neft.local/edo/card/7a1c901d-94d4-47ce-b1b1-4e36f5b1ef98", "https://tessa.gazprom-neft.local/edo/card/7a1c901d-94d4-47ce-b1b1-4e36f5b1ef98")</f>
        <v>https://tessa.gazprom-neft.local/edo/card/7a1c901d-94d4-47ce-b1b1-4e36f5b1ef98</v>
      </c>
    </row>
    <row r="2841" spans="1:45" hidden="1" x14ac:dyDescent="0.25">
      <c r="A2841" t="s">
        <v>44</v>
      </c>
      <c r="B2841" t="s">
        <v>1640</v>
      </c>
      <c r="C2841" t="s">
        <v>67</v>
      </c>
      <c r="F2841" s="18" t="s">
        <v>1641</v>
      </c>
      <c r="G2841" t="s">
        <v>1642</v>
      </c>
      <c r="H2841" t="s">
        <v>0</v>
      </c>
      <c r="I2841" t="s">
        <v>10359</v>
      </c>
      <c r="J2841" t="s">
        <v>10359</v>
      </c>
      <c r="K2841" t="s">
        <v>47</v>
      </c>
      <c r="L2841" t="s">
        <v>96</v>
      </c>
      <c r="M2841" t="s">
        <v>0</v>
      </c>
      <c r="N2841" t="s">
        <v>10358</v>
      </c>
      <c r="O2841" t="s">
        <v>0</v>
      </c>
      <c r="P2841" t="s">
        <v>10360</v>
      </c>
      <c r="Q2841" t="s">
        <v>10361</v>
      </c>
      <c r="R2841" t="s">
        <v>484</v>
      </c>
      <c r="S2841" t="s">
        <v>4942</v>
      </c>
      <c r="T2841" t="s">
        <v>10217</v>
      </c>
      <c r="U2841" t="s">
        <v>274</v>
      </c>
      <c r="V2841" t="s">
        <v>56</v>
      </c>
      <c r="W2841" t="s">
        <v>74</v>
      </c>
      <c r="X2841" t="s">
        <v>103</v>
      </c>
      <c r="AA2841" t="s">
        <v>6414</v>
      </c>
      <c r="AB2841" t="s">
        <v>130</v>
      </c>
      <c r="AC2841" t="s">
        <v>278</v>
      </c>
      <c r="AD2841" t="s">
        <v>144</v>
      </c>
      <c r="AE2841" t="s">
        <v>82</v>
      </c>
      <c r="AF2841" t="s">
        <v>0</v>
      </c>
      <c r="AG2841" t="s">
        <v>0</v>
      </c>
      <c r="AH2841" s="1" t="s">
        <v>14340</v>
      </c>
      <c r="AI2841" s="1" t="s">
        <v>14341</v>
      </c>
      <c r="AJ2841" s="1" t="s">
        <v>14342</v>
      </c>
      <c r="AK2841" t="s">
        <v>61</v>
      </c>
      <c r="AL2841" t="s">
        <v>61</v>
      </c>
      <c r="AM2841" t="s">
        <v>0</v>
      </c>
      <c r="AN2841" t="s">
        <v>0</v>
      </c>
      <c r="AO2841" t="s">
        <v>0</v>
      </c>
      <c r="AP2841" t="s">
        <v>0</v>
      </c>
      <c r="AQ2841" t="s">
        <v>0</v>
      </c>
      <c r="AR2841" t="s">
        <v>61</v>
      </c>
      <c r="AS2841" t="str">
        <f>HYPERLINK("https://tessa.gazprom-neft.local/edo/card/c340d798-4429-42f3-9b2f-65ba0fa0adbf", "https://tessa.gazprom-neft.local/edo/card/c340d798-4429-42f3-9b2f-65ba0fa0adbf")</f>
        <v>https://tessa.gazprom-neft.local/edo/card/c340d798-4429-42f3-9b2f-65ba0fa0adbf</v>
      </c>
    </row>
    <row r="2842" spans="1:45" x14ac:dyDescent="0.25">
      <c r="A2842" t="s">
        <v>44</v>
      </c>
      <c r="B2842" t="s">
        <v>793</v>
      </c>
      <c r="C2842" t="s">
        <v>67</v>
      </c>
      <c r="F2842" s="18" t="s">
        <v>794</v>
      </c>
      <c r="G2842" t="s">
        <v>795</v>
      </c>
      <c r="H2842" t="s">
        <v>10255</v>
      </c>
      <c r="I2842" t="s">
        <v>0</v>
      </c>
      <c r="J2842" t="s">
        <v>51</v>
      </c>
      <c r="K2842" t="s">
        <v>47</v>
      </c>
      <c r="L2842" t="s">
        <v>48</v>
      </c>
      <c r="M2842" t="s">
        <v>0</v>
      </c>
      <c r="N2842" t="s">
        <v>10362</v>
      </c>
      <c r="O2842" t="s">
        <v>0</v>
      </c>
      <c r="P2842" t="s">
        <v>10363</v>
      </c>
      <c r="Q2842" t="s">
        <v>360</v>
      </c>
      <c r="R2842" t="s">
        <v>361</v>
      </c>
      <c r="S2842" t="s">
        <v>361</v>
      </c>
      <c r="T2842" t="s">
        <v>10217</v>
      </c>
      <c r="U2842" t="s">
        <v>362</v>
      </c>
      <c r="V2842" t="s">
        <v>295</v>
      </c>
      <c r="W2842" t="s">
        <v>74</v>
      </c>
      <c r="X2842" t="s">
        <v>103</v>
      </c>
      <c r="AA2842" t="s">
        <v>296</v>
      </c>
      <c r="AB2842" t="s">
        <v>366</v>
      </c>
      <c r="AC2842" t="s">
        <v>278</v>
      </c>
      <c r="AD2842" t="s">
        <v>367</v>
      </c>
      <c r="AE2842" t="s">
        <v>82</v>
      </c>
      <c r="AF2842" t="s">
        <v>0</v>
      </c>
      <c r="AG2842" t="s">
        <v>0</v>
      </c>
      <c r="AH2842" s="1" t="s">
        <v>14343</v>
      </c>
      <c r="AI2842" s="1" t="s">
        <v>14344</v>
      </c>
      <c r="AJ2842" s="1" t="s">
        <v>14345</v>
      </c>
      <c r="AK2842" t="s">
        <v>61</v>
      </c>
      <c r="AL2842" t="s">
        <v>61</v>
      </c>
      <c r="AM2842" t="s">
        <v>0</v>
      </c>
      <c r="AN2842" t="s">
        <v>0</v>
      </c>
      <c r="AO2842" t="s">
        <v>0</v>
      </c>
      <c r="AP2842" t="s">
        <v>0</v>
      </c>
      <c r="AQ2842" t="s">
        <v>0</v>
      </c>
      <c r="AR2842" t="s">
        <v>61</v>
      </c>
      <c r="AS2842" t="str">
        <f>HYPERLINK("https://tessa.gazprom-neft.local/edo/card/088a4028-7b17-470f-ba2d-82d42ed1ba2b", "https://tessa.gazprom-neft.local/edo/card/088a4028-7b17-470f-ba2d-82d42ed1ba2b")</f>
        <v>https://tessa.gazprom-neft.local/edo/card/088a4028-7b17-470f-ba2d-82d42ed1ba2b</v>
      </c>
    </row>
    <row r="2843" spans="1:45" hidden="1" x14ac:dyDescent="0.25">
      <c r="A2843" t="s">
        <v>44</v>
      </c>
      <c r="B2843" t="s">
        <v>0</v>
      </c>
      <c r="C2843" t="s">
        <v>218</v>
      </c>
      <c r="F2843" s="18" t="s">
        <v>0</v>
      </c>
      <c r="G2843" t="s">
        <v>0</v>
      </c>
      <c r="H2843" t="s">
        <v>0</v>
      </c>
      <c r="I2843" t="s">
        <v>0</v>
      </c>
      <c r="J2843" t="s">
        <v>0</v>
      </c>
      <c r="K2843" t="s">
        <v>85</v>
      </c>
      <c r="L2843" t="s">
        <v>86</v>
      </c>
      <c r="M2843" t="s">
        <v>3500</v>
      </c>
      <c r="N2843" t="s">
        <v>10364</v>
      </c>
      <c r="O2843" t="s">
        <v>0</v>
      </c>
      <c r="P2843" t="s">
        <v>3500</v>
      </c>
      <c r="Q2843" t="s">
        <v>5785</v>
      </c>
      <c r="R2843" t="s">
        <v>891</v>
      </c>
      <c r="S2843" t="s">
        <v>891</v>
      </c>
      <c r="T2843" t="s">
        <v>10217</v>
      </c>
      <c r="U2843" t="s">
        <v>892</v>
      </c>
      <c r="V2843" t="s">
        <v>126</v>
      </c>
      <c r="W2843" t="s">
        <v>74</v>
      </c>
      <c r="X2843" t="s">
        <v>223</v>
      </c>
      <c r="AA2843" t="s">
        <v>5596</v>
      </c>
      <c r="AB2843" t="s">
        <v>94</v>
      </c>
      <c r="AC2843" t="s">
        <v>0</v>
      </c>
      <c r="AD2843" t="s">
        <v>0</v>
      </c>
      <c r="AE2843" t="s">
        <v>0</v>
      </c>
      <c r="AF2843" t="s">
        <v>0</v>
      </c>
      <c r="AG2843" t="s">
        <v>0</v>
      </c>
      <c r="AH2843" s="1" t="s">
        <v>0</v>
      </c>
      <c r="AI2843" s="1" t="s">
        <v>0</v>
      </c>
      <c r="AJ2843" s="1" t="s">
        <v>0</v>
      </c>
      <c r="AK2843" t="s">
        <v>61</v>
      </c>
      <c r="AL2843" t="s">
        <v>61</v>
      </c>
      <c r="AM2843" t="s">
        <v>0</v>
      </c>
      <c r="AN2843" t="s">
        <v>0</v>
      </c>
      <c r="AO2843" t="s">
        <v>0</v>
      </c>
      <c r="AP2843" t="s">
        <v>0</v>
      </c>
      <c r="AQ2843" t="s">
        <v>0</v>
      </c>
      <c r="AR2843" t="s">
        <v>61</v>
      </c>
      <c r="AS2843" t="str">
        <f>HYPERLINK("https://tessa.gazprom-neft.local/edo/card/701a3585-cb96-411e-8a7c-d6e930dc124b", "https://tessa.gazprom-neft.local/edo/card/701a3585-cb96-411e-8a7c-d6e930dc124b")</f>
        <v>https://tessa.gazprom-neft.local/edo/card/701a3585-cb96-411e-8a7c-d6e930dc124b</v>
      </c>
    </row>
    <row r="2844" spans="1:45" x14ac:dyDescent="0.25">
      <c r="A2844" t="s">
        <v>44</v>
      </c>
      <c r="B2844" t="s">
        <v>436</v>
      </c>
      <c r="C2844" t="s">
        <v>67</v>
      </c>
      <c r="F2844" s="18" t="s">
        <v>437</v>
      </c>
      <c r="G2844" t="s">
        <v>438</v>
      </c>
      <c r="H2844" t="s">
        <v>719</v>
      </c>
      <c r="I2844" t="s">
        <v>0</v>
      </c>
      <c r="J2844" t="s">
        <v>4356</v>
      </c>
      <c r="K2844" t="s">
        <v>47</v>
      </c>
      <c r="L2844" t="s">
        <v>48</v>
      </c>
      <c r="M2844" t="s">
        <v>0</v>
      </c>
      <c r="N2844" t="s">
        <v>10365</v>
      </c>
      <c r="O2844" t="s">
        <v>0</v>
      </c>
      <c r="P2844" t="s">
        <v>10366</v>
      </c>
      <c r="Q2844" t="s">
        <v>10367</v>
      </c>
      <c r="R2844" t="s">
        <v>1083</v>
      </c>
      <c r="S2844" t="s">
        <v>1083</v>
      </c>
      <c r="T2844" t="s">
        <v>10217</v>
      </c>
      <c r="U2844" t="s">
        <v>274</v>
      </c>
      <c r="V2844" t="s">
        <v>723</v>
      </c>
      <c r="W2844" t="s">
        <v>74</v>
      </c>
      <c r="X2844" t="s">
        <v>103</v>
      </c>
      <c r="AA2844" t="s">
        <v>1031</v>
      </c>
      <c r="AB2844" t="s">
        <v>64</v>
      </c>
      <c r="AC2844" t="s">
        <v>278</v>
      </c>
      <c r="AD2844" t="s">
        <v>144</v>
      </c>
      <c r="AE2844" t="s">
        <v>82</v>
      </c>
      <c r="AF2844" t="s">
        <v>0</v>
      </c>
      <c r="AG2844" t="s">
        <v>0</v>
      </c>
      <c r="AH2844" s="1" t="s">
        <v>14346</v>
      </c>
      <c r="AI2844" s="1" t="s">
        <v>14347</v>
      </c>
      <c r="AJ2844" s="1" t="s">
        <v>14348</v>
      </c>
      <c r="AK2844" t="s">
        <v>61</v>
      </c>
      <c r="AL2844" t="s">
        <v>61</v>
      </c>
      <c r="AM2844" t="s">
        <v>0</v>
      </c>
      <c r="AN2844" t="s">
        <v>0</v>
      </c>
      <c r="AO2844" t="s">
        <v>0</v>
      </c>
      <c r="AP2844" t="s">
        <v>0</v>
      </c>
      <c r="AQ2844" t="s">
        <v>0</v>
      </c>
      <c r="AR2844" t="s">
        <v>61</v>
      </c>
      <c r="AS2844" t="str">
        <f>HYPERLINK("https://tessa.gazprom-neft.local/edo/card/dd125af5-948a-4bfb-913f-986f2a327669", "https://tessa.gazprom-neft.local/edo/card/dd125af5-948a-4bfb-913f-986f2a327669")</f>
        <v>https://tessa.gazprom-neft.local/edo/card/dd125af5-948a-4bfb-913f-986f2a327669</v>
      </c>
    </row>
    <row r="2845" spans="1:45" x14ac:dyDescent="0.25">
      <c r="A2845" t="s">
        <v>44</v>
      </c>
      <c r="B2845" t="s">
        <v>245</v>
      </c>
      <c r="C2845" t="s">
        <v>67</v>
      </c>
      <c r="F2845" s="18" t="s">
        <v>246</v>
      </c>
      <c r="G2845" t="s">
        <v>247</v>
      </c>
      <c r="H2845" t="s">
        <v>1105</v>
      </c>
      <c r="I2845" t="s">
        <v>0</v>
      </c>
      <c r="J2845" t="s">
        <v>51</v>
      </c>
      <c r="K2845" t="s">
        <v>47</v>
      </c>
      <c r="L2845" t="s">
        <v>48</v>
      </c>
      <c r="M2845" t="s">
        <v>0</v>
      </c>
      <c r="N2845" t="s">
        <v>10368</v>
      </c>
      <c r="O2845" t="s">
        <v>10304</v>
      </c>
      <c r="P2845" t="s">
        <v>10369</v>
      </c>
      <c r="Q2845" t="s">
        <v>10370</v>
      </c>
      <c r="R2845" t="s">
        <v>484</v>
      </c>
      <c r="S2845" t="s">
        <v>484</v>
      </c>
      <c r="T2845" t="s">
        <v>10217</v>
      </c>
      <c r="U2845" t="s">
        <v>274</v>
      </c>
      <c r="V2845" t="s">
        <v>126</v>
      </c>
      <c r="W2845" t="s">
        <v>74</v>
      </c>
      <c r="X2845" t="s">
        <v>103</v>
      </c>
      <c r="AA2845" t="s">
        <v>200</v>
      </c>
      <c r="AB2845" t="s">
        <v>328</v>
      </c>
      <c r="AC2845" t="s">
        <v>278</v>
      </c>
      <c r="AD2845" t="s">
        <v>144</v>
      </c>
      <c r="AE2845" t="s">
        <v>82</v>
      </c>
      <c r="AF2845" t="s">
        <v>0</v>
      </c>
      <c r="AG2845" t="s">
        <v>0</v>
      </c>
      <c r="AH2845" s="1" t="s">
        <v>14304</v>
      </c>
      <c r="AI2845" s="1" t="s">
        <v>14305</v>
      </c>
      <c r="AJ2845" s="1" t="s">
        <v>14306</v>
      </c>
      <c r="AK2845" t="s">
        <v>61</v>
      </c>
      <c r="AL2845" t="s">
        <v>61</v>
      </c>
      <c r="AM2845" t="s">
        <v>0</v>
      </c>
      <c r="AN2845" t="s">
        <v>0</v>
      </c>
      <c r="AO2845" t="s">
        <v>0</v>
      </c>
      <c r="AP2845" t="s">
        <v>0</v>
      </c>
      <c r="AQ2845" t="s">
        <v>0</v>
      </c>
      <c r="AR2845" t="s">
        <v>61</v>
      </c>
      <c r="AS2845" t="str">
        <f>HYPERLINK("https://tessa.gazprom-neft.local/edo/card/04d0f7f1-b205-4be4-aac3-5b6c3a6ec541", "https://tessa.gazprom-neft.local/edo/card/04d0f7f1-b205-4be4-aac3-5b6c3a6ec541")</f>
        <v>https://tessa.gazprom-neft.local/edo/card/04d0f7f1-b205-4be4-aac3-5b6c3a6ec541</v>
      </c>
    </row>
    <row r="2846" spans="1:45" hidden="1" x14ac:dyDescent="0.25">
      <c r="A2846" t="s">
        <v>44</v>
      </c>
      <c r="B2846" t="s">
        <v>436</v>
      </c>
      <c r="C2846" t="s">
        <v>67</v>
      </c>
      <c r="F2846" s="18" t="s">
        <v>437</v>
      </c>
      <c r="G2846" t="s">
        <v>438</v>
      </c>
      <c r="H2846" t="s">
        <v>0</v>
      </c>
      <c r="I2846" t="s">
        <v>10372</v>
      </c>
      <c r="J2846" t="s">
        <v>10372</v>
      </c>
      <c r="K2846" t="s">
        <v>47</v>
      </c>
      <c r="L2846" t="s">
        <v>86</v>
      </c>
      <c r="M2846" t="s">
        <v>0</v>
      </c>
      <c r="N2846" t="s">
        <v>10371</v>
      </c>
      <c r="O2846" t="s">
        <v>0</v>
      </c>
      <c r="P2846" t="s">
        <v>10373</v>
      </c>
      <c r="Q2846" t="s">
        <v>10374</v>
      </c>
      <c r="R2846" t="s">
        <v>10375</v>
      </c>
      <c r="S2846" t="s">
        <v>0</v>
      </c>
      <c r="T2846" t="s">
        <v>10217</v>
      </c>
      <c r="U2846" t="s">
        <v>1534</v>
      </c>
      <c r="V2846" t="s">
        <v>56</v>
      </c>
      <c r="W2846" t="s">
        <v>74</v>
      </c>
      <c r="X2846" t="s">
        <v>58</v>
      </c>
      <c r="AA2846" t="s">
        <v>59</v>
      </c>
      <c r="AB2846" t="s">
        <v>1419</v>
      </c>
      <c r="AC2846" t="s">
        <v>278</v>
      </c>
      <c r="AD2846" t="s">
        <v>80</v>
      </c>
      <c r="AE2846" t="s">
        <v>889</v>
      </c>
      <c r="AF2846" t="s">
        <v>0</v>
      </c>
      <c r="AG2846" t="s">
        <v>0</v>
      </c>
      <c r="AH2846" s="1" t="s">
        <v>14349</v>
      </c>
      <c r="AI2846" s="1" t="s">
        <v>14349</v>
      </c>
      <c r="AJ2846" s="1">
        <v>0</v>
      </c>
      <c r="AK2846" t="s">
        <v>61</v>
      </c>
      <c r="AL2846" t="s">
        <v>61</v>
      </c>
      <c r="AM2846" t="s">
        <v>0</v>
      </c>
      <c r="AN2846" t="s">
        <v>0</v>
      </c>
      <c r="AO2846" t="s">
        <v>0</v>
      </c>
      <c r="AP2846" t="s">
        <v>0</v>
      </c>
      <c r="AQ2846" t="s">
        <v>0</v>
      </c>
      <c r="AR2846" t="s">
        <v>61</v>
      </c>
      <c r="AS2846" t="str">
        <f>HYPERLINK("https://tessa.gazprom-neft.local/edo/card/e8646d11-b92d-456b-94c2-2ee2989ad078", "https://tessa.gazprom-neft.local/edo/card/e8646d11-b92d-456b-94c2-2ee2989ad078")</f>
        <v>https://tessa.gazprom-neft.local/edo/card/e8646d11-b92d-456b-94c2-2ee2989ad078</v>
      </c>
    </row>
    <row r="2847" spans="1:45" hidden="1" x14ac:dyDescent="0.25">
      <c r="A2847" t="s">
        <v>44</v>
      </c>
      <c r="B2847" t="s">
        <v>436</v>
      </c>
      <c r="C2847" t="s">
        <v>218</v>
      </c>
      <c r="F2847" s="18" t="s">
        <v>437</v>
      </c>
      <c r="G2847" t="s">
        <v>438</v>
      </c>
      <c r="H2847" t="s">
        <v>10245</v>
      </c>
      <c r="I2847" t="s">
        <v>0</v>
      </c>
      <c r="J2847" t="s">
        <v>0</v>
      </c>
      <c r="K2847" t="s">
        <v>47</v>
      </c>
      <c r="L2847" t="s">
        <v>239</v>
      </c>
      <c r="M2847" t="s">
        <v>0</v>
      </c>
      <c r="N2847" t="s">
        <v>10376</v>
      </c>
      <c r="O2847" t="s">
        <v>0</v>
      </c>
      <c r="P2847" t="s">
        <v>10246</v>
      </c>
      <c r="Q2847" t="s">
        <v>10247</v>
      </c>
      <c r="R2847" t="s">
        <v>484</v>
      </c>
      <c r="S2847" t="s">
        <v>484</v>
      </c>
      <c r="T2847" t="s">
        <v>10217</v>
      </c>
      <c r="U2847" t="s">
        <v>274</v>
      </c>
      <c r="V2847" t="s">
        <v>56</v>
      </c>
      <c r="W2847" t="s">
        <v>74</v>
      </c>
      <c r="X2847" t="s">
        <v>103</v>
      </c>
      <c r="AA2847" t="s">
        <v>59</v>
      </c>
      <c r="AB2847" t="s">
        <v>64</v>
      </c>
      <c r="AC2847" t="s">
        <v>278</v>
      </c>
      <c r="AD2847" t="s">
        <v>144</v>
      </c>
      <c r="AE2847" t="s">
        <v>82</v>
      </c>
      <c r="AF2847" t="s">
        <v>0</v>
      </c>
      <c r="AG2847" t="s">
        <v>0</v>
      </c>
      <c r="AH2847" s="1" t="s">
        <v>14350</v>
      </c>
      <c r="AI2847" s="1" t="s">
        <v>14351</v>
      </c>
      <c r="AJ2847" s="1" t="s">
        <v>14352</v>
      </c>
      <c r="AK2847" t="s">
        <v>61</v>
      </c>
      <c r="AL2847" t="s">
        <v>61</v>
      </c>
      <c r="AM2847" t="s">
        <v>0</v>
      </c>
      <c r="AN2847" t="s">
        <v>0</v>
      </c>
      <c r="AO2847" t="s">
        <v>0</v>
      </c>
      <c r="AP2847" t="s">
        <v>0</v>
      </c>
      <c r="AQ2847" t="s">
        <v>0</v>
      </c>
      <c r="AR2847" t="s">
        <v>61</v>
      </c>
      <c r="AS2847" t="str">
        <f>HYPERLINK("https://tessa.gazprom-neft.local/edo/card/aa688bd7-d48a-47cc-a7e4-0e7267ea3372", "https://tessa.gazprom-neft.local/edo/card/aa688bd7-d48a-47cc-a7e4-0e7267ea3372")</f>
        <v>https://tessa.gazprom-neft.local/edo/card/aa688bd7-d48a-47cc-a7e4-0e7267ea3372</v>
      </c>
    </row>
    <row r="2848" spans="1:45" hidden="1" x14ac:dyDescent="0.25">
      <c r="A2848" t="s">
        <v>44</v>
      </c>
      <c r="B2848" t="s">
        <v>297</v>
      </c>
      <c r="C2848" t="s">
        <v>67</v>
      </c>
      <c r="F2848" s="18" t="s">
        <v>298</v>
      </c>
      <c r="G2848" t="s">
        <v>299</v>
      </c>
      <c r="H2848" t="s">
        <v>0</v>
      </c>
      <c r="I2848" t="s">
        <v>10378</v>
      </c>
      <c r="J2848" t="s">
        <v>10378</v>
      </c>
      <c r="K2848" t="s">
        <v>47</v>
      </c>
      <c r="L2848" t="s">
        <v>96</v>
      </c>
      <c r="M2848" t="s">
        <v>0</v>
      </c>
      <c r="N2848" t="s">
        <v>10377</v>
      </c>
      <c r="O2848" t="s">
        <v>0</v>
      </c>
      <c r="P2848" t="s">
        <v>10379</v>
      </c>
      <c r="Q2848" t="s">
        <v>10380</v>
      </c>
      <c r="R2848" t="s">
        <v>484</v>
      </c>
      <c r="S2848" t="s">
        <v>484</v>
      </c>
      <c r="T2848" t="s">
        <v>10217</v>
      </c>
      <c r="U2848" t="s">
        <v>274</v>
      </c>
      <c r="V2848" t="s">
        <v>126</v>
      </c>
      <c r="W2848" t="s">
        <v>74</v>
      </c>
      <c r="X2848" t="s">
        <v>103</v>
      </c>
      <c r="AA2848" t="s">
        <v>5596</v>
      </c>
      <c r="AB2848" t="s">
        <v>64</v>
      </c>
      <c r="AC2848" t="s">
        <v>278</v>
      </c>
      <c r="AD2848" t="s">
        <v>144</v>
      </c>
      <c r="AE2848" t="s">
        <v>82</v>
      </c>
      <c r="AF2848" t="s">
        <v>0</v>
      </c>
      <c r="AG2848" t="s">
        <v>0</v>
      </c>
      <c r="AH2848" s="1" t="s">
        <v>14353</v>
      </c>
      <c r="AI2848" s="1" t="s">
        <v>14354</v>
      </c>
      <c r="AJ2848" s="1" t="s">
        <v>14355</v>
      </c>
      <c r="AK2848" t="s">
        <v>61</v>
      </c>
      <c r="AL2848" t="s">
        <v>61</v>
      </c>
      <c r="AM2848" t="s">
        <v>0</v>
      </c>
      <c r="AN2848" t="s">
        <v>0</v>
      </c>
      <c r="AO2848" t="s">
        <v>0</v>
      </c>
      <c r="AP2848" t="s">
        <v>0</v>
      </c>
      <c r="AQ2848" t="s">
        <v>0</v>
      </c>
      <c r="AR2848" t="s">
        <v>61</v>
      </c>
      <c r="AS2848" t="str">
        <f>HYPERLINK("https://tessa.gazprom-neft.local/edo/card/1fe901e8-6247-4e8b-99f8-c58f01c47bcd", "https://tessa.gazprom-neft.local/edo/card/1fe901e8-6247-4e8b-99f8-c58f01c47bcd")</f>
        <v>https://tessa.gazprom-neft.local/edo/card/1fe901e8-6247-4e8b-99f8-c58f01c47bcd</v>
      </c>
    </row>
    <row r="2849" spans="1:45" hidden="1" x14ac:dyDescent="0.25">
      <c r="A2849" t="s">
        <v>44</v>
      </c>
      <c r="B2849" t="s">
        <v>436</v>
      </c>
      <c r="C2849" t="s">
        <v>67</v>
      </c>
      <c r="F2849" s="18" t="s">
        <v>437</v>
      </c>
      <c r="G2849" t="s">
        <v>438</v>
      </c>
      <c r="H2849" t="s">
        <v>10245</v>
      </c>
      <c r="I2849" t="s">
        <v>0</v>
      </c>
      <c r="J2849" t="s">
        <v>872</v>
      </c>
      <c r="K2849" t="s">
        <v>47</v>
      </c>
      <c r="L2849" t="s">
        <v>239</v>
      </c>
      <c r="M2849" t="s">
        <v>0</v>
      </c>
      <c r="N2849" t="s">
        <v>10381</v>
      </c>
      <c r="O2849" t="s">
        <v>0</v>
      </c>
      <c r="P2849" t="s">
        <v>10246</v>
      </c>
      <c r="Q2849" t="s">
        <v>10382</v>
      </c>
      <c r="R2849" t="s">
        <v>484</v>
      </c>
      <c r="S2849" t="s">
        <v>484</v>
      </c>
      <c r="T2849" t="s">
        <v>10217</v>
      </c>
      <c r="U2849" t="s">
        <v>274</v>
      </c>
      <c r="V2849" t="s">
        <v>126</v>
      </c>
      <c r="W2849" t="s">
        <v>74</v>
      </c>
      <c r="X2849" t="s">
        <v>103</v>
      </c>
      <c r="AA2849" t="s">
        <v>200</v>
      </c>
      <c r="AB2849" t="s">
        <v>64</v>
      </c>
      <c r="AC2849" t="s">
        <v>278</v>
      </c>
      <c r="AD2849" t="s">
        <v>144</v>
      </c>
      <c r="AE2849" t="s">
        <v>82</v>
      </c>
      <c r="AF2849" t="s">
        <v>0</v>
      </c>
      <c r="AG2849" t="s">
        <v>0</v>
      </c>
      <c r="AH2849" s="1" t="s">
        <v>14350</v>
      </c>
      <c r="AI2849" s="1" t="s">
        <v>14351</v>
      </c>
      <c r="AJ2849" s="1" t="s">
        <v>14352</v>
      </c>
      <c r="AK2849" t="s">
        <v>61</v>
      </c>
      <c r="AL2849" t="s">
        <v>61</v>
      </c>
      <c r="AM2849" t="s">
        <v>0</v>
      </c>
      <c r="AN2849" t="s">
        <v>0</v>
      </c>
      <c r="AO2849" t="s">
        <v>0</v>
      </c>
      <c r="AP2849" t="s">
        <v>0</v>
      </c>
      <c r="AQ2849" t="s">
        <v>0</v>
      </c>
      <c r="AR2849" t="s">
        <v>61</v>
      </c>
      <c r="AS2849" t="str">
        <f>HYPERLINK("https://tessa.gazprom-neft.local/edo/card/6b6b4470-67a0-48d1-8cc2-c6ef2d876ca3", "https://tessa.gazprom-neft.local/edo/card/6b6b4470-67a0-48d1-8cc2-c6ef2d876ca3")</f>
        <v>https://tessa.gazprom-neft.local/edo/card/6b6b4470-67a0-48d1-8cc2-c6ef2d876ca3</v>
      </c>
    </row>
    <row r="2850" spans="1:45" hidden="1" x14ac:dyDescent="0.25">
      <c r="A2850" t="s">
        <v>44</v>
      </c>
      <c r="B2850" t="s">
        <v>964</v>
      </c>
      <c r="C2850" t="s">
        <v>67</v>
      </c>
      <c r="F2850" s="18" t="s">
        <v>965</v>
      </c>
      <c r="G2850" t="s">
        <v>966</v>
      </c>
      <c r="H2850" t="s">
        <v>0</v>
      </c>
      <c r="I2850" t="s">
        <v>10384</v>
      </c>
      <c r="J2850" t="s">
        <v>10384</v>
      </c>
      <c r="K2850" t="s">
        <v>47</v>
      </c>
      <c r="L2850" t="s">
        <v>96</v>
      </c>
      <c r="M2850" t="s">
        <v>0</v>
      </c>
      <c r="N2850" t="s">
        <v>10383</v>
      </c>
      <c r="O2850" t="s">
        <v>0</v>
      </c>
      <c r="P2850" t="s">
        <v>10385</v>
      </c>
      <c r="Q2850" t="s">
        <v>10386</v>
      </c>
      <c r="R2850" t="s">
        <v>1062</v>
      </c>
      <c r="S2850" t="s">
        <v>1062</v>
      </c>
      <c r="T2850" t="s">
        <v>10217</v>
      </c>
      <c r="U2850" t="s">
        <v>294</v>
      </c>
      <c r="V2850" t="s">
        <v>340</v>
      </c>
      <c r="W2850" t="s">
        <v>74</v>
      </c>
      <c r="X2850" t="s">
        <v>58</v>
      </c>
      <c r="AA2850" t="s">
        <v>341</v>
      </c>
      <c r="AB2850" t="s">
        <v>500</v>
      </c>
      <c r="AC2850" t="s">
        <v>278</v>
      </c>
      <c r="AD2850" t="s">
        <v>80</v>
      </c>
      <c r="AE2850" t="s">
        <v>82</v>
      </c>
      <c r="AF2850" t="s">
        <v>0</v>
      </c>
      <c r="AG2850" t="s">
        <v>0</v>
      </c>
      <c r="AH2850" s="1" t="s">
        <v>14356</v>
      </c>
      <c r="AI2850" s="1" t="s">
        <v>14357</v>
      </c>
      <c r="AJ2850" s="1" t="s">
        <v>14358</v>
      </c>
      <c r="AK2850" t="s">
        <v>61</v>
      </c>
      <c r="AL2850" t="s">
        <v>61</v>
      </c>
      <c r="AM2850" t="s">
        <v>0</v>
      </c>
      <c r="AN2850" t="s">
        <v>0</v>
      </c>
      <c r="AO2850" t="s">
        <v>0</v>
      </c>
      <c r="AP2850" t="s">
        <v>0</v>
      </c>
      <c r="AQ2850" t="s">
        <v>0</v>
      </c>
      <c r="AR2850" t="s">
        <v>61</v>
      </c>
      <c r="AS2850" t="str">
        <f>HYPERLINK("https://tessa.gazprom-neft.local/edo/card/00ae4473-5a91-4c28-9d09-58dc35166a54", "https://tessa.gazprom-neft.local/edo/card/00ae4473-5a91-4c28-9d09-58dc35166a54")</f>
        <v>https://tessa.gazprom-neft.local/edo/card/00ae4473-5a91-4c28-9d09-58dc35166a54</v>
      </c>
    </row>
    <row r="2851" spans="1:45" x14ac:dyDescent="0.25">
      <c r="A2851" t="s">
        <v>44</v>
      </c>
      <c r="B2851" t="s">
        <v>436</v>
      </c>
      <c r="C2851" t="s">
        <v>67</v>
      </c>
      <c r="F2851" s="18" t="s">
        <v>437</v>
      </c>
      <c r="G2851" t="s">
        <v>438</v>
      </c>
      <c r="H2851" t="s">
        <v>4603</v>
      </c>
      <c r="I2851" t="s">
        <v>0</v>
      </c>
      <c r="J2851" t="s">
        <v>6114</v>
      </c>
      <c r="K2851" t="s">
        <v>47</v>
      </c>
      <c r="L2851" t="s">
        <v>48</v>
      </c>
      <c r="M2851" t="s">
        <v>0</v>
      </c>
      <c r="N2851" t="s">
        <v>10387</v>
      </c>
      <c r="O2851" t="s">
        <v>0</v>
      </c>
      <c r="P2851" t="s">
        <v>10388</v>
      </c>
      <c r="Q2851" t="s">
        <v>10389</v>
      </c>
      <c r="R2851" t="s">
        <v>484</v>
      </c>
      <c r="S2851" t="s">
        <v>484</v>
      </c>
      <c r="T2851" t="s">
        <v>10217</v>
      </c>
      <c r="U2851" t="s">
        <v>274</v>
      </c>
      <c r="V2851" t="s">
        <v>864</v>
      </c>
      <c r="W2851" t="s">
        <v>74</v>
      </c>
      <c r="X2851" t="s">
        <v>58</v>
      </c>
      <c r="AA2851" t="s">
        <v>865</v>
      </c>
      <c r="AB2851" t="s">
        <v>64</v>
      </c>
      <c r="AC2851" t="s">
        <v>65</v>
      </c>
      <c r="AD2851" t="s">
        <v>0</v>
      </c>
      <c r="AE2851" t="s">
        <v>0</v>
      </c>
      <c r="AF2851" t="s">
        <v>0</v>
      </c>
      <c r="AG2851" t="s">
        <v>0</v>
      </c>
      <c r="AH2851" s="1" t="s">
        <v>0</v>
      </c>
      <c r="AI2851" s="1" t="s">
        <v>0</v>
      </c>
      <c r="AJ2851" s="1" t="s">
        <v>0</v>
      </c>
      <c r="AK2851" t="s">
        <v>61</v>
      </c>
      <c r="AL2851" t="s">
        <v>61</v>
      </c>
      <c r="AM2851" t="s">
        <v>0</v>
      </c>
      <c r="AN2851" t="s">
        <v>0</v>
      </c>
      <c r="AO2851" t="s">
        <v>0</v>
      </c>
      <c r="AP2851" t="s">
        <v>0</v>
      </c>
      <c r="AQ2851" t="s">
        <v>0</v>
      </c>
      <c r="AR2851" t="s">
        <v>61</v>
      </c>
      <c r="AS2851" t="str">
        <f>HYPERLINK("https://tessa.gazprom-neft.local/edo/card/798f5740-e071-426e-916f-c3e7d4952fbd", "https://tessa.gazprom-neft.local/edo/card/798f5740-e071-426e-916f-c3e7d4952fbd")</f>
        <v>https://tessa.gazprom-neft.local/edo/card/798f5740-e071-426e-916f-c3e7d4952fbd</v>
      </c>
    </row>
    <row r="2852" spans="1:45" x14ac:dyDescent="0.25">
      <c r="A2852" t="s">
        <v>44</v>
      </c>
      <c r="B2852" t="s">
        <v>297</v>
      </c>
      <c r="C2852" t="s">
        <v>67</v>
      </c>
      <c r="F2852" s="18" t="s">
        <v>298</v>
      </c>
      <c r="G2852" t="s">
        <v>299</v>
      </c>
      <c r="H2852" t="s">
        <v>10224</v>
      </c>
      <c r="I2852" t="s">
        <v>0</v>
      </c>
      <c r="J2852" t="s">
        <v>271</v>
      </c>
      <c r="K2852" t="s">
        <v>47</v>
      </c>
      <c r="L2852" t="s">
        <v>48</v>
      </c>
      <c r="M2852" t="s">
        <v>0</v>
      </c>
      <c r="N2852" t="s">
        <v>10390</v>
      </c>
      <c r="O2852" t="s">
        <v>0</v>
      </c>
      <c r="P2852" t="s">
        <v>10391</v>
      </c>
      <c r="Q2852" t="s">
        <v>10392</v>
      </c>
      <c r="R2852" t="s">
        <v>484</v>
      </c>
      <c r="S2852" t="s">
        <v>484</v>
      </c>
      <c r="T2852" t="s">
        <v>10217</v>
      </c>
      <c r="U2852" t="s">
        <v>274</v>
      </c>
      <c r="V2852" t="s">
        <v>56</v>
      </c>
      <c r="W2852" t="s">
        <v>74</v>
      </c>
      <c r="X2852" t="s">
        <v>103</v>
      </c>
      <c r="AA2852" t="s">
        <v>59</v>
      </c>
      <c r="AB2852" t="s">
        <v>64</v>
      </c>
      <c r="AC2852" t="s">
        <v>278</v>
      </c>
      <c r="AD2852" t="s">
        <v>144</v>
      </c>
      <c r="AE2852" t="s">
        <v>82</v>
      </c>
      <c r="AF2852" t="s">
        <v>0</v>
      </c>
      <c r="AG2852" t="s">
        <v>0</v>
      </c>
      <c r="AH2852" s="1" t="s">
        <v>14319</v>
      </c>
      <c r="AI2852" s="1" t="s">
        <v>14320</v>
      </c>
      <c r="AJ2852" s="1" t="s">
        <v>14321</v>
      </c>
      <c r="AK2852" t="s">
        <v>61</v>
      </c>
      <c r="AL2852" t="s">
        <v>61</v>
      </c>
      <c r="AM2852" t="s">
        <v>0</v>
      </c>
      <c r="AN2852" t="s">
        <v>0</v>
      </c>
      <c r="AO2852" t="s">
        <v>0</v>
      </c>
      <c r="AP2852" t="s">
        <v>0</v>
      </c>
      <c r="AQ2852" t="s">
        <v>0</v>
      </c>
      <c r="AR2852" t="s">
        <v>61</v>
      </c>
      <c r="AS2852" t="str">
        <f>HYPERLINK("https://tessa.gazprom-neft.local/edo/card/4dff9db6-38f0-4abc-9b09-8a9eb5916189", "https://tessa.gazprom-neft.local/edo/card/4dff9db6-38f0-4abc-9b09-8a9eb5916189")</f>
        <v>https://tessa.gazprom-neft.local/edo/card/4dff9db6-38f0-4abc-9b09-8a9eb5916189</v>
      </c>
    </row>
    <row r="2853" spans="1:45" x14ac:dyDescent="0.25">
      <c r="A2853" t="s">
        <v>44</v>
      </c>
      <c r="B2853" t="s">
        <v>436</v>
      </c>
      <c r="C2853" t="s">
        <v>67</v>
      </c>
      <c r="F2853" s="18" t="s">
        <v>437</v>
      </c>
      <c r="G2853" t="s">
        <v>438</v>
      </c>
      <c r="H2853" t="s">
        <v>10394</v>
      </c>
      <c r="I2853" t="s">
        <v>0</v>
      </c>
      <c r="J2853" t="s">
        <v>4838</v>
      </c>
      <c r="K2853" t="s">
        <v>47</v>
      </c>
      <c r="L2853" t="s">
        <v>48</v>
      </c>
      <c r="M2853" t="s">
        <v>0</v>
      </c>
      <c r="N2853" t="s">
        <v>10393</v>
      </c>
      <c r="O2853" t="s">
        <v>0</v>
      </c>
      <c r="P2853" t="s">
        <v>10395</v>
      </c>
      <c r="Q2853" t="s">
        <v>10396</v>
      </c>
      <c r="R2853" t="s">
        <v>1083</v>
      </c>
      <c r="S2853" t="s">
        <v>1083</v>
      </c>
      <c r="T2853" t="s">
        <v>10217</v>
      </c>
      <c r="U2853" t="s">
        <v>1043</v>
      </c>
      <c r="V2853" t="s">
        <v>723</v>
      </c>
      <c r="W2853" t="s">
        <v>74</v>
      </c>
      <c r="X2853" t="s">
        <v>103</v>
      </c>
      <c r="AA2853" t="s">
        <v>1031</v>
      </c>
      <c r="AB2853" t="s">
        <v>64</v>
      </c>
      <c r="AC2853" t="s">
        <v>278</v>
      </c>
      <c r="AD2853" t="s">
        <v>80</v>
      </c>
      <c r="AE2853" t="s">
        <v>82</v>
      </c>
      <c r="AF2853" t="s">
        <v>0</v>
      </c>
      <c r="AG2853" t="s">
        <v>0</v>
      </c>
      <c r="AH2853" s="1" t="s">
        <v>14359</v>
      </c>
      <c r="AI2853" s="1" t="s">
        <v>14360</v>
      </c>
      <c r="AJ2853" s="1" t="s">
        <v>14361</v>
      </c>
      <c r="AK2853" t="s">
        <v>61</v>
      </c>
      <c r="AL2853" t="s">
        <v>61</v>
      </c>
      <c r="AM2853" t="s">
        <v>0</v>
      </c>
      <c r="AN2853" t="s">
        <v>0</v>
      </c>
      <c r="AO2853" t="s">
        <v>0</v>
      </c>
      <c r="AP2853" t="s">
        <v>0</v>
      </c>
      <c r="AQ2853" t="s">
        <v>0</v>
      </c>
      <c r="AR2853" t="s">
        <v>61</v>
      </c>
      <c r="AS2853" t="str">
        <f>HYPERLINK("https://tessa.gazprom-neft.local/edo/card/e8a9fc33-beec-4ac8-b0a7-5188e28eafbe", "https://tessa.gazprom-neft.local/edo/card/e8a9fc33-beec-4ac8-b0a7-5188e28eafbe")</f>
        <v>https://tessa.gazprom-neft.local/edo/card/e8a9fc33-beec-4ac8-b0a7-5188e28eafbe</v>
      </c>
    </row>
    <row r="2854" spans="1:45" x14ac:dyDescent="0.25">
      <c r="A2854" t="s">
        <v>44</v>
      </c>
      <c r="B2854" t="s">
        <v>497</v>
      </c>
      <c r="C2854" t="s">
        <v>67</v>
      </c>
      <c r="F2854" s="18" t="s">
        <v>498</v>
      </c>
      <c r="G2854" t="s">
        <v>499</v>
      </c>
      <c r="H2854" t="s">
        <v>10269</v>
      </c>
      <c r="I2854" t="s">
        <v>0</v>
      </c>
      <c r="J2854" t="s">
        <v>331</v>
      </c>
      <c r="K2854" t="s">
        <v>47</v>
      </c>
      <c r="L2854" t="s">
        <v>48</v>
      </c>
      <c r="M2854" t="s">
        <v>0</v>
      </c>
      <c r="N2854" t="s">
        <v>10397</v>
      </c>
      <c r="O2854" t="s">
        <v>0</v>
      </c>
      <c r="P2854" t="s">
        <v>10398</v>
      </c>
      <c r="Q2854" t="s">
        <v>10399</v>
      </c>
      <c r="R2854" t="s">
        <v>484</v>
      </c>
      <c r="S2854" t="s">
        <v>484</v>
      </c>
      <c r="T2854" t="s">
        <v>10217</v>
      </c>
      <c r="U2854" t="s">
        <v>274</v>
      </c>
      <c r="V2854" t="s">
        <v>864</v>
      </c>
      <c r="W2854" t="s">
        <v>74</v>
      </c>
      <c r="X2854" t="s">
        <v>58</v>
      </c>
      <c r="AA2854" t="s">
        <v>865</v>
      </c>
      <c r="AB2854" t="s">
        <v>64</v>
      </c>
      <c r="AC2854" t="s">
        <v>65</v>
      </c>
      <c r="AD2854" t="s">
        <v>144</v>
      </c>
      <c r="AE2854" t="s">
        <v>0</v>
      </c>
      <c r="AF2854" t="s">
        <v>0</v>
      </c>
      <c r="AG2854" t="s">
        <v>0</v>
      </c>
      <c r="AH2854" s="1" t="s">
        <v>0</v>
      </c>
      <c r="AI2854" s="1" t="s">
        <v>0</v>
      </c>
      <c r="AJ2854" s="1" t="s">
        <v>0</v>
      </c>
      <c r="AK2854" t="s">
        <v>61</v>
      </c>
      <c r="AL2854" t="s">
        <v>61</v>
      </c>
      <c r="AM2854" t="s">
        <v>0</v>
      </c>
      <c r="AN2854" t="s">
        <v>0</v>
      </c>
      <c r="AO2854" t="s">
        <v>0</v>
      </c>
      <c r="AP2854" t="s">
        <v>0</v>
      </c>
      <c r="AQ2854" t="s">
        <v>0</v>
      </c>
      <c r="AR2854" t="s">
        <v>61</v>
      </c>
      <c r="AS2854" t="str">
        <f>HYPERLINK("https://tessa.gazprom-neft.local/edo/card/032285bb-1948-4d40-99ea-fc7a32becfa3", "https://tessa.gazprom-neft.local/edo/card/032285bb-1948-4d40-99ea-fc7a32becfa3")</f>
        <v>https://tessa.gazprom-neft.local/edo/card/032285bb-1948-4d40-99ea-fc7a32becfa3</v>
      </c>
    </row>
    <row r="2855" spans="1:45" hidden="1" x14ac:dyDescent="0.25">
      <c r="A2855" t="s">
        <v>44</v>
      </c>
      <c r="B2855" t="s">
        <v>245</v>
      </c>
      <c r="C2855" t="s">
        <v>67</v>
      </c>
      <c r="F2855" s="18" t="s">
        <v>246</v>
      </c>
      <c r="G2855" t="s">
        <v>247</v>
      </c>
      <c r="H2855" t="s">
        <v>10401</v>
      </c>
      <c r="I2855" t="s">
        <v>0</v>
      </c>
      <c r="J2855" t="s">
        <v>10403</v>
      </c>
      <c r="K2855" t="s">
        <v>47</v>
      </c>
      <c r="L2855" t="s">
        <v>239</v>
      </c>
      <c r="M2855" t="s">
        <v>0</v>
      </c>
      <c r="N2855" t="s">
        <v>10400</v>
      </c>
      <c r="O2855" t="s">
        <v>0</v>
      </c>
      <c r="P2855" t="s">
        <v>10402</v>
      </c>
      <c r="Q2855" t="s">
        <v>10222</v>
      </c>
      <c r="R2855" t="s">
        <v>4387</v>
      </c>
      <c r="S2855" t="s">
        <v>4387</v>
      </c>
      <c r="T2855" t="s">
        <v>10217</v>
      </c>
      <c r="U2855" t="s">
        <v>892</v>
      </c>
      <c r="V2855" t="s">
        <v>56</v>
      </c>
      <c r="W2855" t="s">
        <v>74</v>
      </c>
      <c r="X2855" t="s">
        <v>103</v>
      </c>
      <c r="AA2855" t="s">
        <v>59</v>
      </c>
      <c r="AB2855" t="s">
        <v>256</v>
      </c>
      <c r="AC2855" t="s">
        <v>278</v>
      </c>
      <c r="AD2855" t="s">
        <v>144</v>
      </c>
      <c r="AE2855" t="s">
        <v>82</v>
      </c>
      <c r="AF2855" t="s">
        <v>0</v>
      </c>
      <c r="AG2855" t="s">
        <v>0</v>
      </c>
      <c r="AH2855" s="1" t="s">
        <v>14362</v>
      </c>
      <c r="AI2855" s="1" t="s">
        <v>14363</v>
      </c>
      <c r="AJ2855" s="1" t="s">
        <v>14364</v>
      </c>
      <c r="AK2855" t="s">
        <v>61</v>
      </c>
      <c r="AL2855" t="s">
        <v>61</v>
      </c>
      <c r="AM2855" t="s">
        <v>0</v>
      </c>
      <c r="AN2855" t="s">
        <v>0</v>
      </c>
      <c r="AO2855" t="s">
        <v>0</v>
      </c>
      <c r="AP2855" t="s">
        <v>0</v>
      </c>
      <c r="AQ2855" t="s">
        <v>0</v>
      </c>
      <c r="AR2855" t="s">
        <v>61</v>
      </c>
      <c r="AS2855" t="str">
        <f>HYPERLINK("https://tessa.gazprom-neft.local/edo/card/8e55044c-8e30-4cfc-b3c1-5003675e0349", "https://tessa.gazprom-neft.local/edo/card/8e55044c-8e30-4cfc-b3c1-5003675e0349")</f>
        <v>https://tessa.gazprom-neft.local/edo/card/8e55044c-8e30-4cfc-b3c1-5003675e0349</v>
      </c>
    </row>
    <row r="2856" spans="1:45" hidden="1" x14ac:dyDescent="0.25">
      <c r="A2856" t="s">
        <v>44</v>
      </c>
      <c r="B2856" t="s">
        <v>436</v>
      </c>
      <c r="C2856" t="s">
        <v>67</v>
      </c>
      <c r="F2856" s="18" t="s">
        <v>437</v>
      </c>
      <c r="G2856" t="s">
        <v>438</v>
      </c>
      <c r="H2856" t="s">
        <v>10245</v>
      </c>
      <c r="I2856" t="s">
        <v>0</v>
      </c>
      <c r="J2856" t="s">
        <v>156</v>
      </c>
      <c r="K2856" t="s">
        <v>47</v>
      </c>
      <c r="L2856" t="s">
        <v>389</v>
      </c>
      <c r="M2856" t="s">
        <v>0</v>
      </c>
      <c r="N2856" t="s">
        <v>10404</v>
      </c>
      <c r="O2856" t="s">
        <v>271</v>
      </c>
      <c r="P2856" t="s">
        <v>10405</v>
      </c>
      <c r="Q2856" t="s">
        <v>10406</v>
      </c>
      <c r="R2856" t="s">
        <v>484</v>
      </c>
      <c r="S2856" t="s">
        <v>484</v>
      </c>
      <c r="T2856" t="s">
        <v>10217</v>
      </c>
      <c r="U2856" t="s">
        <v>274</v>
      </c>
      <c r="V2856" t="s">
        <v>56</v>
      </c>
      <c r="W2856" t="s">
        <v>74</v>
      </c>
      <c r="X2856" t="s">
        <v>103</v>
      </c>
      <c r="AA2856" t="s">
        <v>6414</v>
      </c>
      <c r="AB2856" t="s">
        <v>64</v>
      </c>
      <c r="AC2856" t="s">
        <v>278</v>
      </c>
      <c r="AD2856" t="s">
        <v>144</v>
      </c>
      <c r="AE2856" t="s">
        <v>82</v>
      </c>
      <c r="AF2856" t="s">
        <v>0</v>
      </c>
      <c r="AG2856" t="s">
        <v>0</v>
      </c>
      <c r="AH2856" s="1" t="s">
        <v>14310</v>
      </c>
      <c r="AI2856" s="1" t="s">
        <v>14311</v>
      </c>
      <c r="AJ2856" s="1" t="s">
        <v>14312</v>
      </c>
      <c r="AK2856" t="s">
        <v>61</v>
      </c>
      <c r="AL2856" t="s">
        <v>61</v>
      </c>
      <c r="AM2856" t="s">
        <v>0</v>
      </c>
      <c r="AN2856" t="s">
        <v>0</v>
      </c>
      <c r="AO2856" t="s">
        <v>0</v>
      </c>
      <c r="AP2856" t="s">
        <v>0</v>
      </c>
      <c r="AQ2856" t="s">
        <v>0</v>
      </c>
      <c r="AR2856" t="s">
        <v>61</v>
      </c>
      <c r="AS2856" t="str">
        <f>HYPERLINK("https://tessa.gazprom-neft.local/edo/card/c0820dee-618f-4a22-be99-d826b0144350", "https://tessa.gazprom-neft.local/edo/card/c0820dee-618f-4a22-be99-d826b0144350")</f>
        <v>https://tessa.gazprom-neft.local/edo/card/c0820dee-618f-4a22-be99-d826b0144350</v>
      </c>
    </row>
    <row r="2857" spans="1:45" hidden="1" x14ac:dyDescent="0.25">
      <c r="A2857" t="s">
        <v>44</v>
      </c>
      <c r="B2857" t="s">
        <v>436</v>
      </c>
      <c r="C2857" t="s">
        <v>67</v>
      </c>
      <c r="F2857" s="18" t="s">
        <v>437</v>
      </c>
      <c r="G2857" t="s">
        <v>438</v>
      </c>
      <c r="H2857" t="s">
        <v>10245</v>
      </c>
      <c r="I2857" t="s">
        <v>0</v>
      </c>
      <c r="J2857" t="s">
        <v>51</v>
      </c>
      <c r="K2857" t="s">
        <v>47</v>
      </c>
      <c r="L2857" t="s">
        <v>389</v>
      </c>
      <c r="M2857" t="s">
        <v>0</v>
      </c>
      <c r="N2857" t="s">
        <v>10407</v>
      </c>
      <c r="O2857" t="s">
        <v>872</v>
      </c>
      <c r="P2857" t="s">
        <v>10408</v>
      </c>
      <c r="Q2857" t="s">
        <v>10409</v>
      </c>
      <c r="R2857" t="s">
        <v>484</v>
      </c>
      <c r="S2857" t="s">
        <v>484</v>
      </c>
      <c r="T2857" t="s">
        <v>10217</v>
      </c>
      <c r="U2857" t="s">
        <v>274</v>
      </c>
      <c r="V2857" t="s">
        <v>56</v>
      </c>
      <c r="W2857" t="s">
        <v>74</v>
      </c>
      <c r="X2857" t="s">
        <v>103</v>
      </c>
      <c r="AA2857" t="s">
        <v>6414</v>
      </c>
      <c r="AB2857" t="s">
        <v>64</v>
      </c>
      <c r="AC2857" t="s">
        <v>278</v>
      </c>
      <c r="AD2857" t="s">
        <v>144</v>
      </c>
      <c r="AE2857" t="s">
        <v>82</v>
      </c>
      <c r="AF2857" t="s">
        <v>0</v>
      </c>
      <c r="AG2857" t="s">
        <v>0</v>
      </c>
      <c r="AH2857" s="1" t="s">
        <v>14365</v>
      </c>
      <c r="AI2857" s="1" t="s">
        <v>14366</v>
      </c>
      <c r="AJ2857" s="1" t="s">
        <v>14367</v>
      </c>
      <c r="AK2857" t="s">
        <v>61</v>
      </c>
      <c r="AL2857" t="s">
        <v>61</v>
      </c>
      <c r="AM2857" t="s">
        <v>0</v>
      </c>
      <c r="AN2857" t="s">
        <v>0</v>
      </c>
      <c r="AO2857" t="s">
        <v>0</v>
      </c>
      <c r="AP2857" t="s">
        <v>10248</v>
      </c>
      <c r="AQ2857" t="s">
        <v>0</v>
      </c>
      <c r="AR2857" t="s">
        <v>61</v>
      </c>
      <c r="AS2857" t="str">
        <f>HYPERLINK("https://tessa.gazprom-neft.local/edo/card/c5b9172f-5fd6-4e54-98e9-0973bc89ba3c", "https://tessa.gazprom-neft.local/edo/card/c5b9172f-5fd6-4e54-98e9-0973bc89ba3c")</f>
        <v>https://tessa.gazprom-neft.local/edo/card/c5b9172f-5fd6-4e54-98e9-0973bc89ba3c</v>
      </c>
    </row>
    <row r="2858" spans="1:45" hidden="1" x14ac:dyDescent="0.25">
      <c r="A2858" t="s">
        <v>44</v>
      </c>
      <c r="B2858" t="s">
        <v>1684</v>
      </c>
      <c r="C2858" t="s">
        <v>218</v>
      </c>
      <c r="F2858" s="18" t="s">
        <v>1685</v>
      </c>
      <c r="G2858" t="s">
        <v>1686</v>
      </c>
      <c r="H2858" t="s">
        <v>0</v>
      </c>
      <c r="I2858" t="s">
        <v>0</v>
      </c>
      <c r="J2858" t="s">
        <v>0</v>
      </c>
      <c r="K2858" t="s">
        <v>47</v>
      </c>
      <c r="L2858" t="s">
        <v>96</v>
      </c>
      <c r="M2858" t="s">
        <v>0</v>
      </c>
      <c r="N2858" t="s">
        <v>10410</v>
      </c>
      <c r="O2858" t="s">
        <v>0</v>
      </c>
      <c r="P2858" t="s">
        <v>10411</v>
      </c>
      <c r="Q2858" t="s">
        <v>10412</v>
      </c>
      <c r="R2858" t="s">
        <v>293</v>
      </c>
      <c r="S2858" t="s">
        <v>293</v>
      </c>
      <c r="T2858" t="s">
        <v>10217</v>
      </c>
      <c r="U2858" t="s">
        <v>294</v>
      </c>
      <c r="V2858" t="s">
        <v>295</v>
      </c>
      <c r="W2858" t="s">
        <v>74</v>
      </c>
      <c r="X2858" t="s">
        <v>103</v>
      </c>
      <c r="AA2858" t="s">
        <v>296</v>
      </c>
      <c r="AB2858" t="s">
        <v>130</v>
      </c>
      <c r="AC2858" t="s">
        <v>0</v>
      </c>
      <c r="AD2858" t="s">
        <v>80</v>
      </c>
      <c r="AE2858" t="s">
        <v>82</v>
      </c>
      <c r="AF2858" t="s">
        <v>0</v>
      </c>
      <c r="AG2858" t="s">
        <v>0</v>
      </c>
      <c r="AH2858" s="1" t="s">
        <v>14368</v>
      </c>
      <c r="AI2858" s="1" t="s">
        <v>14369</v>
      </c>
      <c r="AJ2858" s="1" t="s">
        <v>14370</v>
      </c>
      <c r="AK2858" t="s">
        <v>61</v>
      </c>
      <c r="AL2858" t="s">
        <v>61</v>
      </c>
      <c r="AM2858" t="s">
        <v>0</v>
      </c>
      <c r="AN2858" t="s">
        <v>0</v>
      </c>
      <c r="AO2858" t="s">
        <v>0</v>
      </c>
      <c r="AP2858" t="s">
        <v>0</v>
      </c>
      <c r="AQ2858" t="s">
        <v>0</v>
      </c>
      <c r="AR2858" t="s">
        <v>61</v>
      </c>
      <c r="AS2858" t="str">
        <f>HYPERLINK("https://tessa.gazprom-neft.local/edo/card/331e53f7-2c5b-452f-931c-9e8ede5f25b6", "https://tessa.gazprom-neft.local/edo/card/331e53f7-2c5b-452f-931c-9e8ede5f25b6")</f>
        <v>https://tessa.gazprom-neft.local/edo/card/331e53f7-2c5b-452f-931c-9e8ede5f25b6</v>
      </c>
    </row>
    <row r="2859" spans="1:45" hidden="1" x14ac:dyDescent="0.25">
      <c r="A2859" t="s">
        <v>44</v>
      </c>
      <c r="B2859" t="s">
        <v>245</v>
      </c>
      <c r="C2859" t="s">
        <v>67</v>
      </c>
      <c r="F2859" s="18" t="s">
        <v>246</v>
      </c>
      <c r="G2859" t="s">
        <v>247</v>
      </c>
      <c r="H2859" t="s">
        <v>1105</v>
      </c>
      <c r="I2859" t="s">
        <v>0</v>
      </c>
      <c r="J2859" t="s">
        <v>10415</v>
      </c>
      <c r="K2859" t="s">
        <v>47</v>
      </c>
      <c r="L2859" t="s">
        <v>239</v>
      </c>
      <c r="M2859" t="s">
        <v>0</v>
      </c>
      <c r="N2859" t="s">
        <v>10413</v>
      </c>
      <c r="O2859" t="s">
        <v>0</v>
      </c>
      <c r="P2859" t="s">
        <v>10414</v>
      </c>
      <c r="Q2859" t="s">
        <v>10416</v>
      </c>
      <c r="R2859" t="s">
        <v>4942</v>
      </c>
      <c r="S2859" t="s">
        <v>4942</v>
      </c>
      <c r="T2859" t="s">
        <v>10217</v>
      </c>
      <c r="U2859" t="s">
        <v>274</v>
      </c>
      <c r="V2859" t="s">
        <v>56</v>
      </c>
      <c r="W2859" t="s">
        <v>74</v>
      </c>
      <c r="X2859" t="s">
        <v>103</v>
      </c>
      <c r="AA2859" t="s">
        <v>6414</v>
      </c>
      <c r="AB2859" t="s">
        <v>328</v>
      </c>
      <c r="AC2859" t="s">
        <v>278</v>
      </c>
      <c r="AD2859" t="s">
        <v>144</v>
      </c>
      <c r="AE2859" t="s">
        <v>82</v>
      </c>
      <c r="AF2859" t="s">
        <v>0</v>
      </c>
      <c r="AG2859" t="s">
        <v>0</v>
      </c>
      <c r="AH2859" s="1" t="s">
        <v>14371</v>
      </c>
      <c r="AI2859" s="1" t="s">
        <v>14372</v>
      </c>
      <c r="AJ2859" s="1" t="s">
        <v>14373</v>
      </c>
      <c r="AK2859" t="s">
        <v>61</v>
      </c>
      <c r="AL2859" t="s">
        <v>61</v>
      </c>
      <c r="AM2859" t="s">
        <v>0</v>
      </c>
      <c r="AN2859" t="s">
        <v>0</v>
      </c>
      <c r="AO2859" t="s">
        <v>0</v>
      </c>
      <c r="AP2859" t="s">
        <v>0</v>
      </c>
      <c r="AQ2859" t="s">
        <v>0</v>
      </c>
      <c r="AR2859" t="s">
        <v>61</v>
      </c>
      <c r="AS2859" t="str">
        <f>HYPERLINK("https://tessa.gazprom-neft.local/edo/card/c3a72bd2-0502-42f3-9234-3fbd71fe45dd", "https://tessa.gazprom-neft.local/edo/card/c3a72bd2-0502-42f3-9234-3fbd71fe45dd")</f>
        <v>https://tessa.gazprom-neft.local/edo/card/c3a72bd2-0502-42f3-9234-3fbd71fe45dd</v>
      </c>
    </row>
    <row r="2860" spans="1:45" hidden="1" x14ac:dyDescent="0.25">
      <c r="A2860" t="s">
        <v>44</v>
      </c>
      <c r="B2860" t="s">
        <v>245</v>
      </c>
      <c r="C2860" t="s">
        <v>67</v>
      </c>
      <c r="F2860" s="18" t="s">
        <v>246</v>
      </c>
      <c r="G2860" t="s">
        <v>247</v>
      </c>
      <c r="H2860" t="s">
        <v>1105</v>
      </c>
      <c r="I2860" t="s">
        <v>0</v>
      </c>
      <c r="J2860" t="s">
        <v>10419</v>
      </c>
      <c r="K2860" t="s">
        <v>47</v>
      </c>
      <c r="L2860" t="s">
        <v>239</v>
      </c>
      <c r="M2860" t="s">
        <v>0</v>
      </c>
      <c r="N2860" t="s">
        <v>10417</v>
      </c>
      <c r="O2860" t="s">
        <v>0</v>
      </c>
      <c r="P2860" t="s">
        <v>10418</v>
      </c>
      <c r="Q2860" t="s">
        <v>5945</v>
      </c>
      <c r="R2860" t="s">
        <v>484</v>
      </c>
      <c r="S2860" t="s">
        <v>484</v>
      </c>
      <c r="T2860" t="s">
        <v>10217</v>
      </c>
      <c r="U2860" t="s">
        <v>274</v>
      </c>
      <c r="V2860" t="s">
        <v>864</v>
      </c>
      <c r="W2860" t="s">
        <v>74</v>
      </c>
      <c r="X2860" t="s">
        <v>103</v>
      </c>
      <c r="AA2860" t="s">
        <v>865</v>
      </c>
      <c r="AB2860" t="s">
        <v>328</v>
      </c>
      <c r="AC2860" t="s">
        <v>278</v>
      </c>
      <c r="AD2860" t="s">
        <v>144</v>
      </c>
      <c r="AE2860" t="s">
        <v>82</v>
      </c>
      <c r="AF2860" t="s">
        <v>0</v>
      </c>
      <c r="AG2860" t="s">
        <v>0</v>
      </c>
      <c r="AH2860" s="1" t="s">
        <v>14374</v>
      </c>
      <c r="AI2860" s="1" t="s">
        <v>14375</v>
      </c>
      <c r="AJ2860" s="1" t="s">
        <v>14376</v>
      </c>
      <c r="AK2860" t="s">
        <v>61</v>
      </c>
      <c r="AL2860" t="s">
        <v>61</v>
      </c>
      <c r="AM2860" t="s">
        <v>0</v>
      </c>
      <c r="AN2860" t="s">
        <v>0</v>
      </c>
      <c r="AO2860" t="s">
        <v>0</v>
      </c>
      <c r="AP2860" t="s">
        <v>0</v>
      </c>
      <c r="AQ2860" t="s">
        <v>0</v>
      </c>
      <c r="AR2860" t="s">
        <v>61</v>
      </c>
      <c r="AS2860" t="str">
        <f>HYPERLINK("https://tessa.gazprom-neft.local/edo/card/852141c6-5a63-4e2d-85a9-0f177d52d125", "https://tessa.gazprom-neft.local/edo/card/852141c6-5a63-4e2d-85a9-0f177d52d125")</f>
        <v>https://tessa.gazprom-neft.local/edo/card/852141c6-5a63-4e2d-85a9-0f177d52d125</v>
      </c>
    </row>
    <row r="2861" spans="1:45" x14ac:dyDescent="0.25">
      <c r="A2861" t="s">
        <v>44</v>
      </c>
      <c r="B2861" t="s">
        <v>1640</v>
      </c>
      <c r="C2861" t="s">
        <v>67</v>
      </c>
      <c r="F2861" s="18" t="s">
        <v>1641</v>
      </c>
      <c r="G2861" t="s">
        <v>1642</v>
      </c>
      <c r="H2861" t="s">
        <v>1801</v>
      </c>
      <c r="I2861" t="s">
        <v>0</v>
      </c>
      <c r="J2861" t="s">
        <v>872</v>
      </c>
      <c r="K2861" t="s">
        <v>47</v>
      </c>
      <c r="L2861" t="s">
        <v>48</v>
      </c>
      <c r="M2861" t="s">
        <v>0</v>
      </c>
      <c r="N2861" t="s">
        <v>10420</v>
      </c>
      <c r="O2861" t="s">
        <v>0</v>
      </c>
      <c r="P2861" t="s">
        <v>10421</v>
      </c>
      <c r="Q2861" t="s">
        <v>10422</v>
      </c>
      <c r="R2861" t="s">
        <v>1083</v>
      </c>
      <c r="S2861" t="s">
        <v>1083</v>
      </c>
      <c r="T2861" t="s">
        <v>10217</v>
      </c>
      <c r="U2861" t="s">
        <v>1043</v>
      </c>
      <c r="V2861" t="s">
        <v>723</v>
      </c>
      <c r="W2861" t="s">
        <v>57</v>
      </c>
      <c r="X2861" t="s">
        <v>223</v>
      </c>
      <c r="AA2861" t="s">
        <v>1031</v>
      </c>
      <c r="AB2861" t="s">
        <v>64</v>
      </c>
      <c r="AC2861" t="s">
        <v>65</v>
      </c>
      <c r="AD2861" t="s">
        <v>0</v>
      </c>
      <c r="AE2861" t="s">
        <v>0</v>
      </c>
      <c r="AF2861" t="s">
        <v>0</v>
      </c>
      <c r="AG2861" t="s">
        <v>0</v>
      </c>
      <c r="AH2861" s="1" t="s">
        <v>0</v>
      </c>
      <c r="AI2861" s="1" t="s">
        <v>0</v>
      </c>
      <c r="AJ2861" s="1" t="s">
        <v>0</v>
      </c>
      <c r="AK2861" t="s">
        <v>61</v>
      </c>
      <c r="AL2861" t="s">
        <v>61</v>
      </c>
      <c r="AM2861" t="s">
        <v>0</v>
      </c>
      <c r="AN2861" t="s">
        <v>0</v>
      </c>
      <c r="AO2861" t="s">
        <v>0</v>
      </c>
      <c r="AP2861" t="s">
        <v>0</v>
      </c>
      <c r="AQ2861" t="s">
        <v>0</v>
      </c>
      <c r="AR2861" t="s">
        <v>61</v>
      </c>
      <c r="AS2861" t="str">
        <f>HYPERLINK("https://tessa.gazprom-neft.local/edo/card/c59a9d1b-dd3d-49c0-9522-55aa2bdadded", "https://tessa.gazprom-neft.local/edo/card/c59a9d1b-dd3d-49c0-9522-55aa2bdadded")</f>
        <v>https://tessa.gazprom-neft.local/edo/card/c59a9d1b-dd3d-49c0-9522-55aa2bdadded</v>
      </c>
    </row>
    <row r="2862" spans="1:45" hidden="1" x14ac:dyDescent="0.25">
      <c r="A2862" t="s">
        <v>44</v>
      </c>
      <c r="B2862" t="s">
        <v>1640</v>
      </c>
      <c r="C2862" t="s">
        <v>67</v>
      </c>
      <c r="F2862" s="18" t="s">
        <v>1641</v>
      </c>
      <c r="G2862" t="s">
        <v>1642</v>
      </c>
      <c r="H2862" t="s">
        <v>0</v>
      </c>
      <c r="I2862" t="s">
        <v>10424</v>
      </c>
      <c r="J2862" t="s">
        <v>10424</v>
      </c>
      <c r="K2862" t="s">
        <v>85</v>
      </c>
      <c r="L2862" t="s">
        <v>86</v>
      </c>
      <c r="M2862" t="s">
        <v>3500</v>
      </c>
      <c r="N2862" t="s">
        <v>10423</v>
      </c>
      <c r="O2862" t="s">
        <v>0</v>
      </c>
      <c r="P2862" t="s">
        <v>3500</v>
      </c>
      <c r="Q2862" t="s">
        <v>8252</v>
      </c>
      <c r="R2862" t="s">
        <v>484</v>
      </c>
      <c r="S2862" t="s">
        <v>484</v>
      </c>
      <c r="T2862" t="s">
        <v>10217</v>
      </c>
      <c r="U2862" t="s">
        <v>274</v>
      </c>
      <c r="V2862" t="s">
        <v>91</v>
      </c>
      <c r="W2862" t="s">
        <v>74</v>
      </c>
      <c r="X2862" t="s">
        <v>103</v>
      </c>
      <c r="AA2862" t="s">
        <v>5705</v>
      </c>
      <c r="AB2862" t="s">
        <v>94</v>
      </c>
      <c r="AC2862" t="s">
        <v>65</v>
      </c>
      <c r="AD2862" t="s">
        <v>0</v>
      </c>
      <c r="AE2862" t="s">
        <v>0</v>
      </c>
      <c r="AF2862" t="s">
        <v>0</v>
      </c>
      <c r="AG2862" t="s">
        <v>0</v>
      </c>
      <c r="AH2862" s="1" t="s">
        <v>0</v>
      </c>
      <c r="AI2862" s="1" t="s">
        <v>0</v>
      </c>
      <c r="AJ2862" s="1" t="s">
        <v>0</v>
      </c>
      <c r="AK2862" t="s">
        <v>61</v>
      </c>
      <c r="AL2862" t="s">
        <v>61</v>
      </c>
      <c r="AM2862" t="s">
        <v>0</v>
      </c>
      <c r="AN2862" t="s">
        <v>0</v>
      </c>
      <c r="AO2862" t="s">
        <v>0</v>
      </c>
      <c r="AP2862" t="s">
        <v>0</v>
      </c>
      <c r="AQ2862" t="s">
        <v>0</v>
      </c>
      <c r="AR2862" t="s">
        <v>61</v>
      </c>
      <c r="AS2862" t="str">
        <f>HYPERLINK("https://tessa.gazprom-neft.local/edo/card/f5c3c028-27dc-4ef6-818e-e44e66c95f08", "https://tessa.gazprom-neft.local/edo/card/f5c3c028-27dc-4ef6-818e-e44e66c95f08")</f>
        <v>https://tessa.gazprom-neft.local/edo/card/f5c3c028-27dc-4ef6-818e-e44e66c95f08</v>
      </c>
    </row>
    <row r="2863" spans="1:45" x14ac:dyDescent="0.25">
      <c r="A2863" t="s">
        <v>44</v>
      </c>
      <c r="B2863" t="s">
        <v>436</v>
      </c>
      <c r="C2863" t="s">
        <v>67</v>
      </c>
      <c r="F2863" s="18" t="s">
        <v>437</v>
      </c>
      <c r="G2863" t="s">
        <v>438</v>
      </c>
      <c r="H2863" t="s">
        <v>4603</v>
      </c>
      <c r="I2863" t="s">
        <v>0</v>
      </c>
      <c r="J2863" t="s">
        <v>1132</v>
      </c>
      <c r="K2863" t="s">
        <v>47</v>
      </c>
      <c r="L2863" t="s">
        <v>48</v>
      </c>
      <c r="M2863" t="s">
        <v>0</v>
      </c>
      <c r="N2863" t="s">
        <v>10425</v>
      </c>
      <c r="O2863" t="s">
        <v>0</v>
      </c>
      <c r="P2863" t="s">
        <v>10426</v>
      </c>
      <c r="Q2863" t="s">
        <v>10427</v>
      </c>
      <c r="R2863" t="s">
        <v>484</v>
      </c>
      <c r="S2863" t="s">
        <v>484</v>
      </c>
      <c r="T2863" t="s">
        <v>10217</v>
      </c>
      <c r="U2863" t="s">
        <v>274</v>
      </c>
      <c r="V2863" t="s">
        <v>340</v>
      </c>
      <c r="W2863" t="s">
        <v>74</v>
      </c>
      <c r="X2863" t="s">
        <v>58</v>
      </c>
      <c r="AA2863" t="s">
        <v>341</v>
      </c>
      <c r="AB2863" t="s">
        <v>64</v>
      </c>
      <c r="AC2863" t="s">
        <v>65</v>
      </c>
      <c r="AD2863" t="s">
        <v>0</v>
      </c>
      <c r="AE2863" t="s">
        <v>0</v>
      </c>
      <c r="AF2863" t="s">
        <v>0</v>
      </c>
      <c r="AG2863" t="s">
        <v>0</v>
      </c>
      <c r="AH2863" s="1" t="s">
        <v>0</v>
      </c>
      <c r="AI2863" s="1" t="s">
        <v>0</v>
      </c>
      <c r="AJ2863" s="1" t="s">
        <v>0</v>
      </c>
      <c r="AK2863" t="s">
        <v>61</v>
      </c>
      <c r="AL2863" t="s">
        <v>61</v>
      </c>
      <c r="AM2863" t="s">
        <v>0</v>
      </c>
      <c r="AN2863" t="s">
        <v>0</v>
      </c>
      <c r="AO2863" t="s">
        <v>0</v>
      </c>
      <c r="AP2863" t="s">
        <v>0</v>
      </c>
      <c r="AQ2863" t="s">
        <v>0</v>
      </c>
      <c r="AR2863" t="s">
        <v>61</v>
      </c>
      <c r="AS2863" t="str">
        <f>HYPERLINK("https://tessa.gazprom-neft.local/edo/card/3dd4a02f-b36e-48ac-be3f-e826368b860e", "https://tessa.gazprom-neft.local/edo/card/3dd4a02f-b36e-48ac-be3f-e826368b860e")</f>
        <v>https://tessa.gazprom-neft.local/edo/card/3dd4a02f-b36e-48ac-be3f-e826368b860e</v>
      </c>
    </row>
    <row r="2864" spans="1:45" hidden="1" x14ac:dyDescent="0.25">
      <c r="A2864" t="s">
        <v>44</v>
      </c>
      <c r="B2864" t="s">
        <v>297</v>
      </c>
      <c r="C2864" t="s">
        <v>67</v>
      </c>
      <c r="F2864" s="18" t="s">
        <v>298</v>
      </c>
      <c r="G2864" t="s">
        <v>299</v>
      </c>
      <c r="H2864" t="s">
        <v>10378</v>
      </c>
      <c r="I2864" t="s">
        <v>0</v>
      </c>
      <c r="J2864" t="s">
        <v>51</v>
      </c>
      <c r="K2864" t="s">
        <v>47</v>
      </c>
      <c r="L2864" t="s">
        <v>239</v>
      </c>
      <c r="M2864" t="s">
        <v>0</v>
      </c>
      <c r="N2864" t="s">
        <v>10428</v>
      </c>
      <c r="O2864" t="s">
        <v>0</v>
      </c>
      <c r="P2864" t="s">
        <v>10429</v>
      </c>
      <c r="Q2864" t="s">
        <v>10430</v>
      </c>
      <c r="R2864" t="s">
        <v>484</v>
      </c>
      <c r="S2864" t="s">
        <v>484</v>
      </c>
      <c r="T2864" t="s">
        <v>10217</v>
      </c>
      <c r="U2864" t="s">
        <v>274</v>
      </c>
      <c r="V2864" t="s">
        <v>126</v>
      </c>
      <c r="W2864" t="s">
        <v>74</v>
      </c>
      <c r="X2864" t="s">
        <v>103</v>
      </c>
      <c r="AA2864" t="s">
        <v>5596</v>
      </c>
      <c r="AB2864" t="s">
        <v>64</v>
      </c>
      <c r="AC2864" t="s">
        <v>278</v>
      </c>
      <c r="AD2864" t="s">
        <v>144</v>
      </c>
      <c r="AE2864" t="s">
        <v>82</v>
      </c>
      <c r="AF2864" t="s">
        <v>0</v>
      </c>
      <c r="AG2864" t="s">
        <v>0</v>
      </c>
      <c r="AH2864" s="1" t="s">
        <v>14377</v>
      </c>
      <c r="AI2864" s="1" t="s">
        <v>14378</v>
      </c>
      <c r="AJ2864" s="1" t="s">
        <v>14379</v>
      </c>
      <c r="AK2864" t="s">
        <v>61</v>
      </c>
      <c r="AL2864" t="s">
        <v>61</v>
      </c>
      <c r="AM2864" t="s">
        <v>0</v>
      </c>
      <c r="AN2864" t="s">
        <v>0</v>
      </c>
      <c r="AO2864" t="s">
        <v>0</v>
      </c>
      <c r="AP2864" t="s">
        <v>0</v>
      </c>
      <c r="AQ2864" t="s">
        <v>0</v>
      </c>
      <c r="AR2864" t="s">
        <v>61</v>
      </c>
      <c r="AS2864" t="str">
        <f>HYPERLINK("https://tessa.gazprom-neft.local/edo/card/bddc4a37-ca14-4be9-84ae-1a4cece77106", "https://tessa.gazprom-neft.local/edo/card/bddc4a37-ca14-4be9-84ae-1a4cece77106")</f>
        <v>https://tessa.gazprom-neft.local/edo/card/bddc4a37-ca14-4be9-84ae-1a4cece77106</v>
      </c>
    </row>
    <row r="2865" spans="1:45" x14ac:dyDescent="0.25">
      <c r="A2865" t="s">
        <v>44</v>
      </c>
      <c r="B2865" t="s">
        <v>497</v>
      </c>
      <c r="C2865" t="s">
        <v>67</v>
      </c>
      <c r="F2865" s="18" t="s">
        <v>498</v>
      </c>
      <c r="G2865" t="s">
        <v>499</v>
      </c>
      <c r="H2865" t="s">
        <v>10432</v>
      </c>
      <c r="I2865" t="s">
        <v>0</v>
      </c>
      <c r="J2865" t="s">
        <v>263</v>
      </c>
      <c r="K2865" t="s">
        <v>47</v>
      </c>
      <c r="L2865" t="s">
        <v>48</v>
      </c>
      <c r="M2865" t="s">
        <v>0</v>
      </c>
      <c r="N2865" t="s">
        <v>10431</v>
      </c>
      <c r="O2865" t="s">
        <v>0</v>
      </c>
      <c r="P2865" t="s">
        <v>10433</v>
      </c>
      <c r="Q2865" t="s">
        <v>10434</v>
      </c>
      <c r="R2865" t="s">
        <v>484</v>
      </c>
      <c r="S2865" t="s">
        <v>484</v>
      </c>
      <c r="T2865" t="s">
        <v>10217</v>
      </c>
      <c r="U2865" t="s">
        <v>274</v>
      </c>
      <c r="V2865" t="s">
        <v>864</v>
      </c>
      <c r="W2865" t="s">
        <v>57</v>
      </c>
      <c r="X2865" t="s">
        <v>58</v>
      </c>
      <c r="AA2865" t="s">
        <v>865</v>
      </c>
      <c r="AB2865" t="s">
        <v>64</v>
      </c>
      <c r="AC2865" t="s">
        <v>278</v>
      </c>
      <c r="AD2865" t="s">
        <v>144</v>
      </c>
      <c r="AE2865" t="s">
        <v>82</v>
      </c>
      <c r="AF2865" t="s">
        <v>0</v>
      </c>
      <c r="AG2865" t="s">
        <v>0</v>
      </c>
      <c r="AH2865" s="1" t="s">
        <v>14380</v>
      </c>
      <c r="AI2865" s="1" t="s">
        <v>14293</v>
      </c>
      <c r="AJ2865" s="1" t="s">
        <v>14381</v>
      </c>
      <c r="AK2865" t="s">
        <v>61</v>
      </c>
      <c r="AL2865" t="s">
        <v>61</v>
      </c>
      <c r="AM2865" t="s">
        <v>0</v>
      </c>
      <c r="AN2865" t="s">
        <v>0</v>
      </c>
      <c r="AO2865" t="s">
        <v>0</v>
      </c>
      <c r="AP2865" t="s">
        <v>0</v>
      </c>
      <c r="AQ2865" t="s">
        <v>0</v>
      </c>
      <c r="AR2865" t="s">
        <v>61</v>
      </c>
      <c r="AS2865" t="str">
        <f>HYPERLINK("https://tessa.gazprom-neft.local/edo/card/b9be7542-85f2-475d-b330-c63f50fc9fdf", "https://tessa.gazprom-neft.local/edo/card/b9be7542-85f2-475d-b330-c63f50fc9fdf")</f>
        <v>https://tessa.gazprom-neft.local/edo/card/b9be7542-85f2-475d-b330-c63f50fc9fdf</v>
      </c>
    </row>
    <row r="2866" spans="1:45" hidden="1" x14ac:dyDescent="0.25">
      <c r="A2866" t="s">
        <v>44</v>
      </c>
      <c r="B2866" t="s">
        <v>0</v>
      </c>
      <c r="C2866" t="s">
        <v>218</v>
      </c>
      <c r="F2866" s="18" t="s">
        <v>0</v>
      </c>
      <c r="G2866" t="s">
        <v>0</v>
      </c>
      <c r="H2866" t="s">
        <v>0</v>
      </c>
      <c r="I2866" t="s">
        <v>0</v>
      </c>
      <c r="J2866" t="s">
        <v>0</v>
      </c>
      <c r="K2866" t="s">
        <v>85</v>
      </c>
      <c r="L2866" t="s">
        <v>86</v>
      </c>
      <c r="M2866" t="s">
        <v>289</v>
      </c>
      <c r="N2866" t="s">
        <v>10435</v>
      </c>
      <c r="O2866" t="s">
        <v>0</v>
      </c>
      <c r="P2866" t="s">
        <v>289</v>
      </c>
      <c r="Q2866" t="s">
        <v>10436</v>
      </c>
      <c r="R2866" t="s">
        <v>6712</v>
      </c>
      <c r="S2866" t="s">
        <v>0</v>
      </c>
      <c r="T2866" t="s">
        <v>10217</v>
      </c>
      <c r="U2866" t="s">
        <v>283</v>
      </c>
      <c r="V2866" t="s">
        <v>137</v>
      </c>
      <c r="W2866" t="s">
        <v>0</v>
      </c>
      <c r="X2866" t="s">
        <v>223</v>
      </c>
      <c r="AA2866" t="s">
        <v>0</v>
      </c>
      <c r="AB2866" t="s">
        <v>300</v>
      </c>
      <c r="AC2866" t="s">
        <v>0</v>
      </c>
      <c r="AD2866" t="s">
        <v>0</v>
      </c>
      <c r="AE2866" t="s">
        <v>0</v>
      </c>
      <c r="AF2866" t="s">
        <v>0</v>
      </c>
      <c r="AG2866" t="s">
        <v>0</v>
      </c>
      <c r="AH2866" s="1" t="s">
        <v>0</v>
      </c>
      <c r="AI2866" s="1" t="s">
        <v>0</v>
      </c>
      <c r="AJ2866" s="1" t="s">
        <v>0</v>
      </c>
      <c r="AK2866" t="s">
        <v>61</v>
      </c>
      <c r="AL2866" t="s">
        <v>61</v>
      </c>
      <c r="AM2866" t="s">
        <v>0</v>
      </c>
      <c r="AN2866" t="s">
        <v>0</v>
      </c>
      <c r="AO2866" t="s">
        <v>0</v>
      </c>
      <c r="AP2866" t="s">
        <v>0</v>
      </c>
      <c r="AQ2866" t="s">
        <v>0</v>
      </c>
      <c r="AR2866" t="s">
        <v>61</v>
      </c>
      <c r="AS2866" t="str">
        <f>HYPERLINK("https://tessa.gazprom-neft.local/edo/card/c1acbb17-42ab-43c8-8c87-0130ea2cec83", "https://tessa.gazprom-neft.local/edo/card/c1acbb17-42ab-43c8-8c87-0130ea2cec83")</f>
        <v>https://tessa.gazprom-neft.local/edo/card/c1acbb17-42ab-43c8-8c87-0130ea2cec83</v>
      </c>
    </row>
    <row r="2867" spans="1:45" x14ac:dyDescent="0.25">
      <c r="A2867" t="s">
        <v>44</v>
      </c>
      <c r="B2867" t="s">
        <v>801</v>
      </c>
      <c r="C2867" t="s">
        <v>67</v>
      </c>
      <c r="F2867" s="18" t="s">
        <v>802</v>
      </c>
      <c r="G2867" t="s">
        <v>803</v>
      </c>
      <c r="H2867" t="s">
        <v>797</v>
      </c>
      <c r="I2867" t="s">
        <v>0</v>
      </c>
      <c r="J2867" t="s">
        <v>51</v>
      </c>
      <c r="K2867" t="s">
        <v>47</v>
      </c>
      <c r="L2867" t="s">
        <v>48</v>
      </c>
      <c r="M2867" t="s">
        <v>0</v>
      </c>
      <c r="N2867" t="s">
        <v>10437</v>
      </c>
      <c r="O2867" t="s">
        <v>0</v>
      </c>
      <c r="P2867" t="s">
        <v>10438</v>
      </c>
      <c r="Q2867" t="s">
        <v>10438</v>
      </c>
      <c r="R2867" t="s">
        <v>799</v>
      </c>
      <c r="S2867" t="s">
        <v>799</v>
      </c>
      <c r="T2867" t="s">
        <v>10217</v>
      </c>
      <c r="U2867" t="s">
        <v>55</v>
      </c>
      <c r="V2867" t="s">
        <v>917</v>
      </c>
      <c r="W2867" t="s">
        <v>74</v>
      </c>
      <c r="X2867" t="s">
        <v>103</v>
      </c>
      <c r="AA2867" t="s">
        <v>1278</v>
      </c>
      <c r="AB2867" t="s">
        <v>804</v>
      </c>
      <c r="AC2867" t="s">
        <v>65</v>
      </c>
      <c r="AD2867" t="s">
        <v>0</v>
      </c>
      <c r="AE2867" t="s">
        <v>0</v>
      </c>
      <c r="AF2867" t="s">
        <v>0</v>
      </c>
      <c r="AG2867" t="s">
        <v>0</v>
      </c>
      <c r="AH2867" s="1" t="s">
        <v>0</v>
      </c>
      <c r="AI2867" s="1" t="s">
        <v>0</v>
      </c>
      <c r="AJ2867" s="1" t="s">
        <v>0</v>
      </c>
      <c r="AK2867" t="s">
        <v>61</v>
      </c>
      <c r="AL2867" t="s">
        <v>61</v>
      </c>
      <c r="AM2867" t="s">
        <v>0</v>
      </c>
      <c r="AN2867" t="s">
        <v>0</v>
      </c>
      <c r="AO2867" t="s">
        <v>0</v>
      </c>
      <c r="AP2867" t="s">
        <v>0</v>
      </c>
      <c r="AQ2867" t="s">
        <v>0</v>
      </c>
      <c r="AR2867" t="s">
        <v>61</v>
      </c>
      <c r="AS2867" t="str">
        <f>HYPERLINK("https://tessa.gazprom-neft.local/edo/card/e0c972a2-ad22-470e-96bc-9c2770d82fa7", "https://tessa.gazprom-neft.local/edo/card/e0c972a2-ad22-470e-96bc-9c2770d82fa7")</f>
        <v>https://tessa.gazprom-neft.local/edo/card/e0c972a2-ad22-470e-96bc-9c2770d82fa7</v>
      </c>
    </row>
    <row r="2868" spans="1:45" hidden="1" x14ac:dyDescent="0.25">
      <c r="A2868" t="s">
        <v>44</v>
      </c>
      <c r="B2868" t="s">
        <v>1684</v>
      </c>
      <c r="C2868" t="s">
        <v>7416</v>
      </c>
      <c r="F2868" s="18" t="s">
        <v>1685</v>
      </c>
      <c r="G2868" t="s">
        <v>1686</v>
      </c>
      <c r="H2868" t="s">
        <v>0</v>
      </c>
      <c r="I2868" t="s">
        <v>0</v>
      </c>
      <c r="J2868" t="s">
        <v>0</v>
      </c>
      <c r="K2868" t="s">
        <v>47</v>
      </c>
      <c r="L2868" t="s">
        <v>96</v>
      </c>
      <c r="M2868" t="s">
        <v>0</v>
      </c>
      <c r="N2868" t="s">
        <v>10439</v>
      </c>
      <c r="O2868" t="s">
        <v>0</v>
      </c>
      <c r="P2868" t="s">
        <v>10440</v>
      </c>
      <c r="Q2868" t="s">
        <v>10441</v>
      </c>
      <c r="R2868" t="s">
        <v>484</v>
      </c>
      <c r="S2868" t="s">
        <v>484</v>
      </c>
      <c r="T2868" t="s">
        <v>10217</v>
      </c>
      <c r="U2868" t="s">
        <v>274</v>
      </c>
      <c r="V2868" t="s">
        <v>56</v>
      </c>
      <c r="W2868" t="s">
        <v>74</v>
      </c>
      <c r="X2868" t="s">
        <v>103</v>
      </c>
      <c r="AA2868" t="s">
        <v>6414</v>
      </c>
      <c r="AB2868" t="s">
        <v>64</v>
      </c>
      <c r="AC2868" t="s">
        <v>278</v>
      </c>
      <c r="AD2868" t="s">
        <v>144</v>
      </c>
      <c r="AE2868" t="s">
        <v>82</v>
      </c>
      <c r="AF2868" t="s">
        <v>0</v>
      </c>
      <c r="AG2868" t="s">
        <v>0</v>
      </c>
      <c r="AH2868" s="1" t="s">
        <v>14382</v>
      </c>
      <c r="AI2868" s="1" t="s">
        <v>14383</v>
      </c>
      <c r="AJ2868" s="1" t="s">
        <v>14384</v>
      </c>
      <c r="AK2868" t="s">
        <v>61</v>
      </c>
      <c r="AL2868" t="s">
        <v>61</v>
      </c>
      <c r="AM2868" t="s">
        <v>0</v>
      </c>
      <c r="AN2868" t="s">
        <v>0</v>
      </c>
      <c r="AO2868" t="s">
        <v>0</v>
      </c>
      <c r="AP2868" t="s">
        <v>0</v>
      </c>
      <c r="AQ2868" t="s">
        <v>0</v>
      </c>
      <c r="AR2868" t="s">
        <v>61</v>
      </c>
      <c r="AS2868" t="str">
        <f>HYPERLINK("https://tessa.gazprom-neft.local/edo/card/b6f6251f-dc8a-4aaa-a4d3-4276509e9980", "https://tessa.gazprom-neft.local/edo/card/b6f6251f-dc8a-4aaa-a4d3-4276509e9980")</f>
        <v>https://tessa.gazprom-neft.local/edo/card/b6f6251f-dc8a-4aaa-a4d3-4276509e9980</v>
      </c>
    </row>
    <row r="2869" spans="1:45" hidden="1" x14ac:dyDescent="0.25">
      <c r="A2869" t="s">
        <v>44</v>
      </c>
      <c r="B2869" t="s">
        <v>436</v>
      </c>
      <c r="C2869" t="s">
        <v>67</v>
      </c>
      <c r="F2869" s="18" t="s">
        <v>437</v>
      </c>
      <c r="G2869" t="s">
        <v>438</v>
      </c>
      <c r="H2869" t="s">
        <v>0</v>
      </c>
      <c r="I2869" t="s">
        <v>10443</v>
      </c>
      <c r="J2869" t="s">
        <v>10443</v>
      </c>
      <c r="K2869" t="s">
        <v>47</v>
      </c>
      <c r="L2869" t="s">
        <v>96</v>
      </c>
      <c r="M2869" t="s">
        <v>0</v>
      </c>
      <c r="N2869" t="s">
        <v>10442</v>
      </c>
      <c r="O2869" t="s">
        <v>0</v>
      </c>
      <c r="P2869" t="s">
        <v>10444</v>
      </c>
      <c r="Q2869" t="s">
        <v>10445</v>
      </c>
      <c r="R2869" t="s">
        <v>484</v>
      </c>
      <c r="S2869" t="s">
        <v>484</v>
      </c>
      <c r="T2869" t="s">
        <v>10217</v>
      </c>
      <c r="U2869" t="s">
        <v>274</v>
      </c>
      <c r="V2869" t="s">
        <v>864</v>
      </c>
      <c r="W2869" t="s">
        <v>74</v>
      </c>
      <c r="X2869" t="s">
        <v>103</v>
      </c>
      <c r="AA2869" t="s">
        <v>865</v>
      </c>
      <c r="AB2869" t="s">
        <v>64</v>
      </c>
      <c r="AC2869" t="s">
        <v>278</v>
      </c>
      <c r="AD2869" t="s">
        <v>144</v>
      </c>
      <c r="AE2869" t="s">
        <v>82</v>
      </c>
      <c r="AF2869" t="s">
        <v>0</v>
      </c>
      <c r="AG2869" t="s">
        <v>0</v>
      </c>
      <c r="AH2869" s="1" t="s">
        <v>14385</v>
      </c>
      <c r="AI2869" s="1" t="s">
        <v>14386</v>
      </c>
      <c r="AJ2869" s="1" t="s">
        <v>14387</v>
      </c>
      <c r="AK2869" t="s">
        <v>61</v>
      </c>
      <c r="AL2869" t="s">
        <v>61</v>
      </c>
      <c r="AM2869" t="s">
        <v>0</v>
      </c>
      <c r="AN2869" t="s">
        <v>0</v>
      </c>
      <c r="AO2869" t="s">
        <v>0</v>
      </c>
      <c r="AP2869" t="s">
        <v>10248</v>
      </c>
      <c r="AQ2869" t="s">
        <v>0</v>
      </c>
      <c r="AR2869" t="s">
        <v>61</v>
      </c>
      <c r="AS2869" t="str">
        <f>HYPERLINK("https://tessa.gazprom-neft.local/edo/card/f92b3579-c4d4-49ac-82f8-ec9bd7c7011e", "https://tessa.gazprom-neft.local/edo/card/f92b3579-c4d4-49ac-82f8-ec9bd7c7011e")</f>
        <v>https://tessa.gazprom-neft.local/edo/card/f92b3579-c4d4-49ac-82f8-ec9bd7c7011e</v>
      </c>
    </row>
    <row r="2870" spans="1:45" hidden="1" x14ac:dyDescent="0.25">
      <c r="A2870" t="s">
        <v>44</v>
      </c>
      <c r="B2870" t="s">
        <v>964</v>
      </c>
      <c r="C2870" t="s">
        <v>67</v>
      </c>
      <c r="F2870" s="18" t="s">
        <v>965</v>
      </c>
      <c r="G2870" t="s">
        <v>966</v>
      </c>
      <c r="H2870" t="s">
        <v>10384</v>
      </c>
      <c r="I2870" t="s">
        <v>0</v>
      </c>
      <c r="J2870" t="s">
        <v>156</v>
      </c>
      <c r="K2870" t="s">
        <v>85</v>
      </c>
      <c r="L2870" t="s">
        <v>2719</v>
      </c>
      <c r="M2870" t="s">
        <v>4973</v>
      </c>
      <c r="N2870" t="s">
        <v>10446</v>
      </c>
      <c r="O2870" t="s">
        <v>0</v>
      </c>
      <c r="P2870" t="s">
        <v>4973</v>
      </c>
      <c r="Q2870" t="s">
        <v>10447</v>
      </c>
      <c r="R2870" t="s">
        <v>4156</v>
      </c>
      <c r="S2870" t="s">
        <v>4156</v>
      </c>
      <c r="T2870" t="s">
        <v>10217</v>
      </c>
      <c r="U2870" t="s">
        <v>294</v>
      </c>
      <c r="V2870" t="s">
        <v>295</v>
      </c>
      <c r="W2870" t="s">
        <v>74</v>
      </c>
      <c r="X2870" t="s">
        <v>223</v>
      </c>
      <c r="AA2870" t="s">
        <v>6944</v>
      </c>
      <c r="AB2870" t="s">
        <v>500</v>
      </c>
      <c r="AC2870" t="s">
        <v>278</v>
      </c>
      <c r="AD2870" t="s">
        <v>80</v>
      </c>
      <c r="AE2870" t="s">
        <v>82</v>
      </c>
      <c r="AF2870" t="s">
        <v>0</v>
      </c>
      <c r="AG2870" t="s">
        <v>0</v>
      </c>
      <c r="AH2870" s="1" t="s">
        <v>14388</v>
      </c>
      <c r="AI2870" s="1" t="s">
        <v>14389</v>
      </c>
      <c r="AJ2870" s="1" t="s">
        <v>14390</v>
      </c>
      <c r="AK2870" t="s">
        <v>61</v>
      </c>
      <c r="AL2870" t="s">
        <v>61</v>
      </c>
      <c r="AM2870" t="s">
        <v>0</v>
      </c>
      <c r="AN2870" t="s">
        <v>0</v>
      </c>
      <c r="AO2870" t="s">
        <v>0</v>
      </c>
      <c r="AP2870" t="s">
        <v>0</v>
      </c>
      <c r="AQ2870" t="s">
        <v>0</v>
      </c>
      <c r="AR2870" t="s">
        <v>61</v>
      </c>
      <c r="AS2870" t="str">
        <f>HYPERLINK("https://tessa.gazprom-neft.local/edo/card/90aa842f-6998-41a5-aae4-fec888815136", "https://tessa.gazprom-neft.local/edo/card/90aa842f-6998-41a5-aae4-fec888815136")</f>
        <v>https://tessa.gazprom-neft.local/edo/card/90aa842f-6998-41a5-aae4-fec888815136</v>
      </c>
    </row>
    <row r="2871" spans="1:45" hidden="1" x14ac:dyDescent="0.25">
      <c r="A2871" t="s">
        <v>44</v>
      </c>
      <c r="B2871" t="s">
        <v>10452</v>
      </c>
      <c r="C2871" t="s">
        <v>67</v>
      </c>
      <c r="F2871" s="18" t="s">
        <v>10453</v>
      </c>
      <c r="G2871" t="s">
        <v>10454</v>
      </c>
      <c r="H2871" t="s">
        <v>0</v>
      </c>
      <c r="I2871" t="s">
        <v>10449</v>
      </c>
      <c r="J2871" t="s">
        <v>10449</v>
      </c>
      <c r="K2871" t="s">
        <v>47</v>
      </c>
      <c r="L2871" t="s">
        <v>96</v>
      </c>
      <c r="M2871" t="s">
        <v>0</v>
      </c>
      <c r="N2871" t="s">
        <v>10448</v>
      </c>
      <c r="O2871" t="s">
        <v>0</v>
      </c>
      <c r="P2871" t="s">
        <v>10450</v>
      </c>
      <c r="Q2871" t="s">
        <v>10451</v>
      </c>
      <c r="R2871" t="s">
        <v>484</v>
      </c>
      <c r="S2871" t="s">
        <v>484</v>
      </c>
      <c r="T2871" t="s">
        <v>10217</v>
      </c>
      <c r="U2871" t="s">
        <v>274</v>
      </c>
      <c r="V2871" t="s">
        <v>126</v>
      </c>
      <c r="W2871" t="s">
        <v>74</v>
      </c>
      <c r="X2871" t="s">
        <v>103</v>
      </c>
      <c r="AA2871" t="s">
        <v>5596</v>
      </c>
      <c r="AB2871" t="s">
        <v>64</v>
      </c>
      <c r="AC2871" t="s">
        <v>278</v>
      </c>
      <c r="AD2871" t="s">
        <v>144</v>
      </c>
      <c r="AE2871" t="s">
        <v>82</v>
      </c>
      <c r="AF2871" t="s">
        <v>0</v>
      </c>
      <c r="AG2871" t="s">
        <v>0</v>
      </c>
      <c r="AH2871" s="1" t="s">
        <v>14391</v>
      </c>
      <c r="AI2871" s="1" t="s">
        <v>14392</v>
      </c>
      <c r="AJ2871" s="1" t="s">
        <v>14393</v>
      </c>
      <c r="AK2871" t="s">
        <v>61</v>
      </c>
      <c r="AL2871" t="s">
        <v>61</v>
      </c>
      <c r="AM2871" t="s">
        <v>0</v>
      </c>
      <c r="AN2871" t="s">
        <v>0</v>
      </c>
      <c r="AO2871" t="s">
        <v>0</v>
      </c>
      <c r="AP2871" t="s">
        <v>0</v>
      </c>
      <c r="AQ2871" t="s">
        <v>0</v>
      </c>
      <c r="AR2871" t="s">
        <v>61</v>
      </c>
      <c r="AS2871" t="str">
        <f>HYPERLINK("https://tessa.gazprom-neft.local/edo/card/64fbde7a-be99-4fdf-93f9-ca3e2c82c502", "https://tessa.gazprom-neft.local/edo/card/64fbde7a-be99-4fdf-93f9-ca3e2c82c502")</f>
        <v>https://tessa.gazprom-neft.local/edo/card/64fbde7a-be99-4fdf-93f9-ca3e2c82c502</v>
      </c>
    </row>
    <row r="2872" spans="1:45" hidden="1" x14ac:dyDescent="0.25">
      <c r="A2872" t="s">
        <v>44</v>
      </c>
      <c r="B2872" t="s">
        <v>436</v>
      </c>
      <c r="C2872" t="s">
        <v>7416</v>
      </c>
      <c r="F2872" s="18" t="s">
        <v>437</v>
      </c>
      <c r="G2872" t="s">
        <v>438</v>
      </c>
      <c r="H2872" t="s">
        <v>10245</v>
      </c>
      <c r="I2872" t="s">
        <v>0</v>
      </c>
      <c r="J2872" t="s">
        <v>51</v>
      </c>
      <c r="K2872" t="s">
        <v>47</v>
      </c>
      <c r="L2872" t="s">
        <v>389</v>
      </c>
      <c r="M2872" t="s">
        <v>0</v>
      </c>
      <c r="N2872" t="s">
        <v>10455</v>
      </c>
      <c r="O2872" t="s">
        <v>355</v>
      </c>
      <c r="P2872" t="s">
        <v>10456</v>
      </c>
      <c r="Q2872" t="s">
        <v>10457</v>
      </c>
      <c r="R2872" t="s">
        <v>484</v>
      </c>
      <c r="S2872" t="s">
        <v>484</v>
      </c>
      <c r="T2872" t="s">
        <v>10217</v>
      </c>
      <c r="U2872" t="s">
        <v>274</v>
      </c>
      <c r="V2872" t="s">
        <v>56</v>
      </c>
      <c r="W2872" t="s">
        <v>74</v>
      </c>
      <c r="X2872" t="s">
        <v>103</v>
      </c>
      <c r="AA2872" t="s">
        <v>6414</v>
      </c>
      <c r="AB2872" t="s">
        <v>64</v>
      </c>
      <c r="AC2872" t="s">
        <v>278</v>
      </c>
      <c r="AD2872" t="s">
        <v>144</v>
      </c>
      <c r="AE2872" t="s">
        <v>82</v>
      </c>
      <c r="AF2872" t="s">
        <v>0</v>
      </c>
      <c r="AG2872" t="s">
        <v>0</v>
      </c>
      <c r="AH2872" s="1" t="s">
        <v>14394</v>
      </c>
      <c r="AI2872" s="1" t="s">
        <v>14395</v>
      </c>
      <c r="AJ2872" s="1" t="s">
        <v>14396</v>
      </c>
      <c r="AK2872" t="s">
        <v>61</v>
      </c>
      <c r="AL2872" t="s">
        <v>61</v>
      </c>
      <c r="AM2872" t="s">
        <v>0</v>
      </c>
      <c r="AN2872" t="s">
        <v>0</v>
      </c>
      <c r="AO2872" t="s">
        <v>0</v>
      </c>
      <c r="AP2872" t="s">
        <v>10248</v>
      </c>
      <c r="AQ2872" t="s">
        <v>0</v>
      </c>
      <c r="AR2872" t="s">
        <v>61</v>
      </c>
      <c r="AS2872" t="str">
        <f>HYPERLINK("https://tessa.gazprom-neft.local/edo/card/23038211-1cca-40f6-a64d-566037927804", "https://tessa.gazprom-neft.local/edo/card/23038211-1cca-40f6-a64d-566037927804")</f>
        <v>https://tessa.gazprom-neft.local/edo/card/23038211-1cca-40f6-a64d-566037927804</v>
      </c>
    </row>
    <row r="2873" spans="1:45" x14ac:dyDescent="0.25">
      <c r="A2873" t="s">
        <v>44</v>
      </c>
      <c r="B2873" t="s">
        <v>245</v>
      </c>
      <c r="C2873" t="s">
        <v>7416</v>
      </c>
      <c r="F2873" s="18" t="s">
        <v>246</v>
      </c>
      <c r="G2873" t="s">
        <v>247</v>
      </c>
      <c r="H2873" t="s">
        <v>1105</v>
      </c>
      <c r="I2873" t="s">
        <v>0</v>
      </c>
      <c r="J2873" t="s">
        <v>0</v>
      </c>
      <c r="K2873" t="s">
        <v>47</v>
      </c>
      <c r="L2873" t="s">
        <v>48</v>
      </c>
      <c r="M2873" t="s">
        <v>0</v>
      </c>
      <c r="N2873" t="s">
        <v>10458</v>
      </c>
      <c r="O2873" t="s">
        <v>10415</v>
      </c>
      <c r="P2873" t="s">
        <v>10459</v>
      </c>
      <c r="Q2873" t="s">
        <v>10460</v>
      </c>
      <c r="R2873" t="s">
        <v>4942</v>
      </c>
      <c r="S2873" t="s">
        <v>4942</v>
      </c>
      <c r="T2873" t="s">
        <v>10217</v>
      </c>
      <c r="U2873" t="s">
        <v>274</v>
      </c>
      <c r="V2873" t="s">
        <v>56</v>
      </c>
      <c r="W2873" t="s">
        <v>74</v>
      </c>
      <c r="X2873" t="s">
        <v>103</v>
      </c>
      <c r="AA2873" t="s">
        <v>6414</v>
      </c>
      <c r="AB2873" t="s">
        <v>328</v>
      </c>
      <c r="AC2873" t="s">
        <v>278</v>
      </c>
      <c r="AD2873" t="s">
        <v>144</v>
      </c>
      <c r="AE2873" t="s">
        <v>82</v>
      </c>
      <c r="AF2873" t="s">
        <v>0</v>
      </c>
      <c r="AG2873" t="s">
        <v>0</v>
      </c>
      <c r="AH2873" s="1" t="s">
        <v>14371</v>
      </c>
      <c r="AI2873" s="1" t="s">
        <v>14372</v>
      </c>
      <c r="AJ2873" s="1" t="s">
        <v>14373</v>
      </c>
      <c r="AK2873" t="s">
        <v>61</v>
      </c>
      <c r="AL2873" t="s">
        <v>61</v>
      </c>
      <c r="AM2873" t="s">
        <v>0</v>
      </c>
      <c r="AN2873" t="s">
        <v>0</v>
      </c>
      <c r="AO2873" t="s">
        <v>0</v>
      </c>
      <c r="AP2873" t="s">
        <v>0</v>
      </c>
      <c r="AQ2873" t="s">
        <v>0</v>
      </c>
      <c r="AR2873" t="s">
        <v>61</v>
      </c>
      <c r="AS2873" t="str">
        <f>HYPERLINK("https://tessa.gazprom-neft.local/edo/card/5089168c-39ce-47d2-8cbe-76859b4c4671", "https://tessa.gazprom-neft.local/edo/card/5089168c-39ce-47d2-8cbe-76859b4c4671")</f>
        <v>https://tessa.gazprom-neft.local/edo/card/5089168c-39ce-47d2-8cbe-76859b4c4671</v>
      </c>
    </row>
    <row r="2874" spans="1:45" hidden="1" x14ac:dyDescent="0.25">
      <c r="A2874" t="s">
        <v>44</v>
      </c>
      <c r="B2874" t="s">
        <v>964</v>
      </c>
      <c r="C2874" t="s">
        <v>67</v>
      </c>
      <c r="F2874" s="18" t="s">
        <v>965</v>
      </c>
      <c r="G2874" t="s">
        <v>966</v>
      </c>
      <c r="H2874" t="s">
        <v>10384</v>
      </c>
      <c r="I2874" t="s">
        <v>0</v>
      </c>
      <c r="J2874" t="s">
        <v>271</v>
      </c>
      <c r="K2874" t="s">
        <v>47</v>
      </c>
      <c r="L2874" t="s">
        <v>493</v>
      </c>
      <c r="M2874" t="s">
        <v>0</v>
      </c>
      <c r="N2874" t="s">
        <v>10461</v>
      </c>
      <c r="O2874" t="s">
        <v>0</v>
      </c>
      <c r="P2874" t="s">
        <v>10462</v>
      </c>
      <c r="Q2874" t="s">
        <v>10463</v>
      </c>
      <c r="R2874" t="s">
        <v>1062</v>
      </c>
      <c r="S2874" t="s">
        <v>1062</v>
      </c>
      <c r="T2874" t="s">
        <v>10217</v>
      </c>
      <c r="U2874" t="s">
        <v>294</v>
      </c>
      <c r="V2874" t="s">
        <v>295</v>
      </c>
      <c r="W2874" t="s">
        <v>74</v>
      </c>
      <c r="X2874" t="s">
        <v>103</v>
      </c>
      <c r="AA2874" t="s">
        <v>296</v>
      </c>
      <c r="AB2874" t="s">
        <v>500</v>
      </c>
      <c r="AC2874" t="s">
        <v>278</v>
      </c>
      <c r="AD2874" t="s">
        <v>80</v>
      </c>
      <c r="AE2874" t="s">
        <v>82</v>
      </c>
      <c r="AF2874" t="s">
        <v>0</v>
      </c>
      <c r="AG2874" t="s">
        <v>0</v>
      </c>
      <c r="AH2874" s="1" t="s">
        <v>14397</v>
      </c>
      <c r="AI2874" s="1" t="s">
        <v>14398</v>
      </c>
      <c r="AJ2874" s="1" t="s">
        <v>14399</v>
      </c>
      <c r="AK2874" t="s">
        <v>61</v>
      </c>
      <c r="AL2874" t="s">
        <v>61</v>
      </c>
      <c r="AM2874" t="s">
        <v>0</v>
      </c>
      <c r="AN2874" t="s">
        <v>0</v>
      </c>
      <c r="AO2874" t="s">
        <v>0</v>
      </c>
      <c r="AP2874" t="s">
        <v>0</v>
      </c>
      <c r="AQ2874" t="s">
        <v>0</v>
      </c>
      <c r="AR2874" t="s">
        <v>61</v>
      </c>
      <c r="AS2874" t="str">
        <f>HYPERLINK("https://tessa.gazprom-neft.local/edo/card/71c42114-f257-48ff-a4c5-2ba906215864", "https://tessa.gazprom-neft.local/edo/card/71c42114-f257-48ff-a4c5-2ba906215864")</f>
        <v>https://tessa.gazprom-neft.local/edo/card/71c42114-f257-48ff-a4c5-2ba906215864</v>
      </c>
    </row>
    <row r="2875" spans="1:45" hidden="1" x14ac:dyDescent="0.25">
      <c r="A2875" t="s">
        <v>44</v>
      </c>
      <c r="B2875" t="s">
        <v>964</v>
      </c>
      <c r="C2875" t="s">
        <v>7416</v>
      </c>
      <c r="F2875" s="18" t="s">
        <v>965</v>
      </c>
      <c r="G2875" t="s">
        <v>966</v>
      </c>
      <c r="H2875" t="s">
        <v>0</v>
      </c>
      <c r="I2875" t="s">
        <v>0</v>
      </c>
      <c r="J2875" t="s">
        <v>0</v>
      </c>
      <c r="K2875" t="s">
        <v>47</v>
      </c>
      <c r="L2875" t="s">
        <v>96</v>
      </c>
      <c r="M2875" t="s">
        <v>0</v>
      </c>
      <c r="N2875" t="s">
        <v>10464</v>
      </c>
      <c r="O2875" t="s">
        <v>0</v>
      </c>
      <c r="P2875" t="s">
        <v>10465</v>
      </c>
      <c r="Q2875" t="s">
        <v>10466</v>
      </c>
      <c r="R2875" t="s">
        <v>4156</v>
      </c>
      <c r="S2875" t="s">
        <v>4156</v>
      </c>
      <c r="T2875" t="s">
        <v>10217</v>
      </c>
      <c r="U2875" t="s">
        <v>294</v>
      </c>
      <c r="V2875" t="s">
        <v>295</v>
      </c>
      <c r="W2875" t="s">
        <v>74</v>
      </c>
      <c r="X2875" t="s">
        <v>103</v>
      </c>
      <c r="AA2875" t="s">
        <v>6944</v>
      </c>
      <c r="AB2875" t="s">
        <v>500</v>
      </c>
      <c r="AC2875" t="s">
        <v>278</v>
      </c>
      <c r="AD2875" t="s">
        <v>80</v>
      </c>
      <c r="AE2875" t="s">
        <v>82</v>
      </c>
      <c r="AF2875" t="s">
        <v>0</v>
      </c>
      <c r="AG2875" t="s">
        <v>0</v>
      </c>
      <c r="AH2875" s="1" t="s">
        <v>14400</v>
      </c>
      <c r="AI2875" s="1" t="s">
        <v>14401</v>
      </c>
      <c r="AJ2875" s="1" t="s">
        <v>14402</v>
      </c>
      <c r="AK2875" t="s">
        <v>61</v>
      </c>
      <c r="AL2875" t="s">
        <v>61</v>
      </c>
      <c r="AM2875" t="s">
        <v>0</v>
      </c>
      <c r="AN2875" t="s">
        <v>0</v>
      </c>
      <c r="AO2875" t="s">
        <v>0</v>
      </c>
      <c r="AP2875" t="s">
        <v>0</v>
      </c>
      <c r="AQ2875" t="s">
        <v>0</v>
      </c>
      <c r="AR2875" t="s">
        <v>61</v>
      </c>
      <c r="AS2875" t="str">
        <f>HYPERLINK("https://tessa.gazprom-neft.local/edo/card/c3be209a-fc85-4851-a3f5-c7c7568b2a91", "https://tessa.gazprom-neft.local/edo/card/c3be209a-fc85-4851-a3f5-c7c7568b2a91")</f>
        <v>https://tessa.gazprom-neft.local/edo/card/c3be209a-fc85-4851-a3f5-c7c7568b2a91</v>
      </c>
    </row>
    <row r="2876" spans="1:45" hidden="1" x14ac:dyDescent="0.25">
      <c r="A2876" t="s">
        <v>44</v>
      </c>
      <c r="B2876" t="s">
        <v>436</v>
      </c>
      <c r="C2876" t="s">
        <v>67</v>
      </c>
      <c r="F2876" s="18" t="s">
        <v>437</v>
      </c>
      <c r="G2876" t="s">
        <v>438</v>
      </c>
      <c r="H2876" t="s">
        <v>0</v>
      </c>
      <c r="I2876" t="s">
        <v>10245</v>
      </c>
      <c r="J2876" t="s">
        <v>10245</v>
      </c>
      <c r="K2876" t="s">
        <v>47</v>
      </c>
      <c r="L2876" t="s">
        <v>96</v>
      </c>
      <c r="M2876" t="s">
        <v>0</v>
      </c>
      <c r="N2876" t="s">
        <v>10467</v>
      </c>
      <c r="O2876" t="s">
        <v>0</v>
      </c>
      <c r="P2876" t="s">
        <v>10468</v>
      </c>
      <c r="Q2876" t="s">
        <v>10469</v>
      </c>
      <c r="R2876" t="s">
        <v>484</v>
      </c>
      <c r="S2876" t="s">
        <v>484</v>
      </c>
      <c r="T2876" t="s">
        <v>10217</v>
      </c>
      <c r="U2876" t="s">
        <v>274</v>
      </c>
      <c r="V2876" t="s">
        <v>56</v>
      </c>
      <c r="W2876" t="s">
        <v>74</v>
      </c>
      <c r="X2876" t="s">
        <v>103</v>
      </c>
      <c r="AA2876" t="s">
        <v>59</v>
      </c>
      <c r="AB2876" t="s">
        <v>64</v>
      </c>
      <c r="AC2876" t="s">
        <v>278</v>
      </c>
      <c r="AD2876" t="s">
        <v>144</v>
      </c>
      <c r="AE2876" t="s">
        <v>82</v>
      </c>
      <c r="AF2876" t="s">
        <v>0</v>
      </c>
      <c r="AG2876" t="s">
        <v>0</v>
      </c>
      <c r="AH2876" s="1" t="s">
        <v>14403</v>
      </c>
      <c r="AI2876" s="1" t="s">
        <v>14404</v>
      </c>
      <c r="AJ2876" s="1" t="s">
        <v>14405</v>
      </c>
      <c r="AK2876" t="s">
        <v>61</v>
      </c>
      <c r="AL2876" t="s">
        <v>61</v>
      </c>
      <c r="AM2876" t="s">
        <v>0</v>
      </c>
      <c r="AN2876" t="s">
        <v>0</v>
      </c>
      <c r="AO2876" t="s">
        <v>0</v>
      </c>
      <c r="AP2876" t="s">
        <v>0</v>
      </c>
      <c r="AQ2876" t="s">
        <v>0</v>
      </c>
      <c r="AR2876" t="s">
        <v>61</v>
      </c>
      <c r="AS2876" t="str">
        <f>HYPERLINK("https://tessa.gazprom-neft.local/edo/card/6c6c7abd-e223-4132-931c-1b0c5d661893", "https://tessa.gazprom-neft.local/edo/card/6c6c7abd-e223-4132-931c-1b0c5d661893")</f>
        <v>https://tessa.gazprom-neft.local/edo/card/6c6c7abd-e223-4132-931c-1b0c5d661893</v>
      </c>
    </row>
    <row r="2877" spans="1:45" hidden="1" x14ac:dyDescent="0.25">
      <c r="A2877" t="s">
        <v>44</v>
      </c>
      <c r="B2877" t="s">
        <v>436</v>
      </c>
      <c r="C2877" t="s">
        <v>67</v>
      </c>
      <c r="F2877" s="18" t="s">
        <v>437</v>
      </c>
      <c r="G2877" t="s">
        <v>438</v>
      </c>
      <c r="H2877" t="s">
        <v>10245</v>
      </c>
      <c r="I2877" t="s">
        <v>0</v>
      </c>
      <c r="J2877" t="s">
        <v>51</v>
      </c>
      <c r="K2877" t="s">
        <v>47</v>
      </c>
      <c r="L2877" t="s">
        <v>239</v>
      </c>
      <c r="M2877" t="s">
        <v>0</v>
      </c>
      <c r="N2877" t="s">
        <v>10470</v>
      </c>
      <c r="O2877" t="s">
        <v>0</v>
      </c>
      <c r="P2877" t="s">
        <v>10246</v>
      </c>
      <c r="Q2877" t="s">
        <v>10247</v>
      </c>
      <c r="R2877" t="s">
        <v>484</v>
      </c>
      <c r="S2877" t="s">
        <v>484</v>
      </c>
      <c r="T2877" t="s">
        <v>10217</v>
      </c>
      <c r="U2877" t="s">
        <v>274</v>
      </c>
      <c r="V2877" t="s">
        <v>56</v>
      </c>
      <c r="W2877" t="s">
        <v>74</v>
      </c>
      <c r="X2877" t="s">
        <v>103</v>
      </c>
      <c r="AA2877" t="s">
        <v>0</v>
      </c>
      <c r="AB2877" t="s">
        <v>64</v>
      </c>
      <c r="AC2877" t="s">
        <v>278</v>
      </c>
      <c r="AD2877" t="s">
        <v>144</v>
      </c>
      <c r="AE2877" t="s">
        <v>82</v>
      </c>
      <c r="AF2877" t="s">
        <v>0</v>
      </c>
      <c r="AG2877" t="s">
        <v>0</v>
      </c>
      <c r="AH2877" s="1" t="s">
        <v>14406</v>
      </c>
      <c r="AI2877" s="1" t="s">
        <v>14407</v>
      </c>
      <c r="AJ2877" s="1" t="s">
        <v>14408</v>
      </c>
      <c r="AK2877" t="s">
        <v>61</v>
      </c>
      <c r="AL2877" t="s">
        <v>61</v>
      </c>
      <c r="AM2877" t="s">
        <v>0</v>
      </c>
      <c r="AN2877" t="s">
        <v>0</v>
      </c>
      <c r="AO2877" t="s">
        <v>0</v>
      </c>
      <c r="AP2877" t="s">
        <v>0</v>
      </c>
      <c r="AQ2877" t="s">
        <v>0</v>
      </c>
      <c r="AR2877" t="s">
        <v>61</v>
      </c>
      <c r="AS2877" t="str">
        <f>HYPERLINK("https://tessa.gazprom-neft.local/edo/card/1190063c-3a1f-48fa-ac04-1788eff94405", "https://tessa.gazprom-neft.local/edo/card/1190063c-3a1f-48fa-ac04-1788eff94405")</f>
        <v>https://tessa.gazprom-neft.local/edo/card/1190063c-3a1f-48fa-ac04-1788eff94405</v>
      </c>
    </row>
    <row r="2878" spans="1:45" hidden="1" x14ac:dyDescent="0.25">
      <c r="A2878" t="s">
        <v>44</v>
      </c>
      <c r="B2878" t="s">
        <v>3503</v>
      </c>
      <c r="C2878" t="s">
        <v>67</v>
      </c>
      <c r="F2878" s="18" t="s">
        <v>3504</v>
      </c>
      <c r="G2878" t="s">
        <v>3505</v>
      </c>
      <c r="H2878" t="s">
        <v>0</v>
      </c>
      <c r="I2878" t="s">
        <v>10472</v>
      </c>
      <c r="J2878" t="s">
        <v>10472</v>
      </c>
      <c r="K2878" t="s">
        <v>85</v>
      </c>
      <c r="L2878" t="s">
        <v>86</v>
      </c>
      <c r="M2878" t="s">
        <v>289</v>
      </c>
      <c r="N2878" t="s">
        <v>10471</v>
      </c>
      <c r="O2878" t="s">
        <v>0</v>
      </c>
      <c r="P2878" t="s">
        <v>289</v>
      </c>
      <c r="Q2878" t="s">
        <v>10473</v>
      </c>
      <c r="R2878" t="s">
        <v>427</v>
      </c>
      <c r="S2878" t="s">
        <v>427</v>
      </c>
      <c r="T2878" t="s">
        <v>10217</v>
      </c>
      <c r="U2878" t="s">
        <v>428</v>
      </c>
      <c r="V2878" t="s">
        <v>340</v>
      </c>
      <c r="W2878" t="s">
        <v>74</v>
      </c>
      <c r="X2878" t="s">
        <v>223</v>
      </c>
      <c r="AA2878" t="s">
        <v>341</v>
      </c>
      <c r="AB2878" t="s">
        <v>300</v>
      </c>
      <c r="AC2878" t="s">
        <v>65</v>
      </c>
      <c r="AD2878" t="s">
        <v>0</v>
      </c>
      <c r="AE2878" t="s">
        <v>0</v>
      </c>
      <c r="AF2878" t="s">
        <v>0</v>
      </c>
      <c r="AG2878" t="s">
        <v>0</v>
      </c>
      <c r="AH2878" s="1" t="s">
        <v>0</v>
      </c>
      <c r="AI2878" s="1" t="s">
        <v>0</v>
      </c>
      <c r="AJ2878" s="1" t="s">
        <v>0</v>
      </c>
      <c r="AK2878" t="s">
        <v>61</v>
      </c>
      <c r="AL2878" t="s">
        <v>61</v>
      </c>
      <c r="AM2878" t="s">
        <v>0</v>
      </c>
      <c r="AN2878" t="s">
        <v>0</v>
      </c>
      <c r="AO2878" t="s">
        <v>0</v>
      </c>
      <c r="AP2878" t="s">
        <v>0</v>
      </c>
      <c r="AQ2878" t="s">
        <v>0</v>
      </c>
      <c r="AR2878" t="s">
        <v>61</v>
      </c>
      <c r="AS2878" t="str">
        <f>HYPERLINK("https://tessa.gazprom-neft.local/edo/card/f22811d7-318d-4b91-9002-d6c690e1f501", "https://tessa.gazprom-neft.local/edo/card/f22811d7-318d-4b91-9002-d6c690e1f501")</f>
        <v>https://tessa.gazprom-neft.local/edo/card/f22811d7-318d-4b91-9002-d6c690e1f501</v>
      </c>
    </row>
    <row r="2879" spans="1:45" hidden="1" x14ac:dyDescent="0.25">
      <c r="A2879" t="s">
        <v>44</v>
      </c>
      <c r="B2879" t="s">
        <v>3326</v>
      </c>
      <c r="C2879" t="s">
        <v>67</v>
      </c>
      <c r="F2879" s="18" t="s">
        <v>10476</v>
      </c>
      <c r="G2879" t="s">
        <v>3328</v>
      </c>
      <c r="H2879" t="s">
        <v>0</v>
      </c>
      <c r="I2879" t="s">
        <v>10475</v>
      </c>
      <c r="J2879" t="s">
        <v>10475</v>
      </c>
      <c r="K2879" t="s">
        <v>85</v>
      </c>
      <c r="L2879" t="s">
        <v>86</v>
      </c>
      <c r="M2879" t="s">
        <v>289</v>
      </c>
      <c r="N2879" t="s">
        <v>10474</v>
      </c>
      <c r="O2879" t="s">
        <v>0</v>
      </c>
      <c r="P2879" t="s">
        <v>289</v>
      </c>
      <c r="Q2879" t="s">
        <v>8153</v>
      </c>
      <c r="R2879" t="s">
        <v>427</v>
      </c>
      <c r="S2879" t="s">
        <v>427</v>
      </c>
      <c r="T2879" t="s">
        <v>10217</v>
      </c>
      <c r="U2879" t="s">
        <v>428</v>
      </c>
      <c r="V2879" t="s">
        <v>340</v>
      </c>
      <c r="W2879" t="s">
        <v>74</v>
      </c>
      <c r="X2879" t="s">
        <v>223</v>
      </c>
      <c r="AA2879" t="s">
        <v>341</v>
      </c>
      <c r="AB2879" t="s">
        <v>300</v>
      </c>
      <c r="AC2879" t="s">
        <v>65</v>
      </c>
      <c r="AD2879" t="s">
        <v>0</v>
      </c>
      <c r="AE2879" t="s">
        <v>0</v>
      </c>
      <c r="AF2879" t="s">
        <v>0</v>
      </c>
      <c r="AG2879" t="s">
        <v>0</v>
      </c>
      <c r="AH2879" s="1" t="s">
        <v>0</v>
      </c>
      <c r="AI2879" s="1" t="s">
        <v>0</v>
      </c>
      <c r="AJ2879" s="1" t="s">
        <v>0</v>
      </c>
      <c r="AK2879" t="s">
        <v>61</v>
      </c>
      <c r="AL2879" t="s">
        <v>61</v>
      </c>
      <c r="AM2879" t="s">
        <v>0</v>
      </c>
      <c r="AN2879" t="s">
        <v>0</v>
      </c>
      <c r="AO2879" t="s">
        <v>0</v>
      </c>
      <c r="AP2879" t="s">
        <v>0</v>
      </c>
      <c r="AQ2879" t="s">
        <v>0</v>
      </c>
      <c r="AR2879" t="s">
        <v>61</v>
      </c>
      <c r="AS2879" t="str">
        <f>HYPERLINK("https://tessa.gazprom-neft.local/edo/card/c8d428e6-60bd-44e0-9714-1aefc495bcac", "https://tessa.gazprom-neft.local/edo/card/c8d428e6-60bd-44e0-9714-1aefc495bcac")</f>
        <v>https://tessa.gazprom-neft.local/edo/card/c8d428e6-60bd-44e0-9714-1aefc495bcac</v>
      </c>
    </row>
    <row r="2880" spans="1:45" hidden="1" x14ac:dyDescent="0.25">
      <c r="A2880" t="s">
        <v>44</v>
      </c>
      <c r="B2880" t="s">
        <v>1640</v>
      </c>
      <c r="C2880" t="s">
        <v>67</v>
      </c>
      <c r="F2880" s="18" t="s">
        <v>1641</v>
      </c>
      <c r="G2880" t="s">
        <v>1642</v>
      </c>
      <c r="H2880" t="s">
        <v>0</v>
      </c>
      <c r="I2880" t="s">
        <v>10478</v>
      </c>
      <c r="J2880" t="s">
        <v>10478</v>
      </c>
      <c r="K2880" t="s">
        <v>85</v>
      </c>
      <c r="L2880" t="s">
        <v>86</v>
      </c>
      <c r="M2880" t="s">
        <v>289</v>
      </c>
      <c r="N2880" t="s">
        <v>10477</v>
      </c>
      <c r="O2880" t="s">
        <v>0</v>
      </c>
      <c r="P2880" t="s">
        <v>289</v>
      </c>
      <c r="Q2880" t="s">
        <v>8153</v>
      </c>
      <c r="R2880" t="s">
        <v>427</v>
      </c>
      <c r="S2880" t="s">
        <v>427</v>
      </c>
      <c r="T2880" t="s">
        <v>10217</v>
      </c>
      <c r="U2880" t="s">
        <v>428</v>
      </c>
      <c r="V2880" t="s">
        <v>340</v>
      </c>
      <c r="W2880" t="s">
        <v>74</v>
      </c>
      <c r="X2880" t="s">
        <v>223</v>
      </c>
      <c r="AA2880" t="s">
        <v>341</v>
      </c>
      <c r="AB2880" t="s">
        <v>300</v>
      </c>
      <c r="AC2880" t="s">
        <v>65</v>
      </c>
      <c r="AD2880" t="s">
        <v>0</v>
      </c>
      <c r="AE2880" t="s">
        <v>0</v>
      </c>
      <c r="AF2880" t="s">
        <v>0</v>
      </c>
      <c r="AG2880" t="s">
        <v>0</v>
      </c>
      <c r="AH2880" s="1" t="s">
        <v>0</v>
      </c>
      <c r="AI2880" s="1" t="s">
        <v>0</v>
      </c>
      <c r="AJ2880" s="1" t="s">
        <v>0</v>
      </c>
      <c r="AK2880" t="s">
        <v>61</v>
      </c>
      <c r="AL2880" t="s">
        <v>61</v>
      </c>
      <c r="AM2880" t="s">
        <v>0</v>
      </c>
      <c r="AN2880" t="s">
        <v>0</v>
      </c>
      <c r="AO2880" t="s">
        <v>0</v>
      </c>
      <c r="AP2880" t="s">
        <v>0</v>
      </c>
      <c r="AQ2880" t="s">
        <v>0</v>
      </c>
      <c r="AR2880" t="s">
        <v>61</v>
      </c>
      <c r="AS2880" t="str">
        <f>HYPERLINK("https://tessa.gazprom-neft.local/edo/card/19ae4ccf-f087-440d-8c8c-3bdec8d0734f", "https://tessa.gazprom-neft.local/edo/card/19ae4ccf-f087-440d-8c8c-3bdec8d0734f")</f>
        <v>https://tessa.gazprom-neft.local/edo/card/19ae4ccf-f087-440d-8c8c-3bdec8d0734f</v>
      </c>
    </row>
    <row r="2881" spans="1:45" hidden="1" x14ac:dyDescent="0.25">
      <c r="A2881" t="s">
        <v>44</v>
      </c>
      <c r="B2881" t="s">
        <v>1684</v>
      </c>
      <c r="C2881" t="s">
        <v>67</v>
      </c>
      <c r="F2881" s="18" t="s">
        <v>1685</v>
      </c>
      <c r="G2881" t="s">
        <v>1686</v>
      </c>
      <c r="H2881" t="s">
        <v>0</v>
      </c>
      <c r="I2881" t="s">
        <v>10480</v>
      </c>
      <c r="J2881" t="s">
        <v>10480</v>
      </c>
      <c r="K2881" t="s">
        <v>85</v>
      </c>
      <c r="L2881" t="s">
        <v>86</v>
      </c>
      <c r="M2881" t="s">
        <v>289</v>
      </c>
      <c r="N2881" t="s">
        <v>10479</v>
      </c>
      <c r="O2881" t="s">
        <v>0</v>
      </c>
      <c r="P2881" t="s">
        <v>289</v>
      </c>
      <c r="Q2881" t="s">
        <v>8153</v>
      </c>
      <c r="R2881" t="s">
        <v>427</v>
      </c>
      <c r="S2881" t="s">
        <v>427</v>
      </c>
      <c r="T2881" t="s">
        <v>10217</v>
      </c>
      <c r="U2881" t="s">
        <v>428</v>
      </c>
      <c r="V2881" t="s">
        <v>340</v>
      </c>
      <c r="W2881" t="s">
        <v>74</v>
      </c>
      <c r="X2881" t="s">
        <v>223</v>
      </c>
      <c r="AA2881" t="s">
        <v>341</v>
      </c>
      <c r="AB2881" t="s">
        <v>300</v>
      </c>
      <c r="AC2881" t="s">
        <v>65</v>
      </c>
      <c r="AD2881" t="s">
        <v>0</v>
      </c>
      <c r="AE2881" t="s">
        <v>0</v>
      </c>
      <c r="AF2881" t="s">
        <v>0</v>
      </c>
      <c r="AG2881" t="s">
        <v>0</v>
      </c>
      <c r="AH2881" s="1" t="s">
        <v>0</v>
      </c>
      <c r="AI2881" s="1" t="s">
        <v>0</v>
      </c>
      <c r="AJ2881" s="1" t="s">
        <v>0</v>
      </c>
      <c r="AK2881" t="s">
        <v>61</v>
      </c>
      <c r="AL2881" t="s">
        <v>61</v>
      </c>
      <c r="AM2881" t="s">
        <v>0</v>
      </c>
      <c r="AN2881" t="s">
        <v>0</v>
      </c>
      <c r="AO2881" t="s">
        <v>0</v>
      </c>
      <c r="AP2881" t="s">
        <v>0</v>
      </c>
      <c r="AQ2881" t="s">
        <v>0</v>
      </c>
      <c r="AR2881" t="s">
        <v>61</v>
      </c>
      <c r="AS2881" t="str">
        <f>HYPERLINK("https://tessa.gazprom-neft.local/edo/card/6e14a86d-0bcf-49c4-8a50-561eb77ea952", "https://tessa.gazprom-neft.local/edo/card/6e14a86d-0bcf-49c4-8a50-561eb77ea952")</f>
        <v>https://tessa.gazprom-neft.local/edo/card/6e14a86d-0bcf-49c4-8a50-561eb77ea952</v>
      </c>
    </row>
    <row r="2882" spans="1:45" hidden="1" x14ac:dyDescent="0.25">
      <c r="A2882" t="s">
        <v>44</v>
      </c>
      <c r="B2882" t="s">
        <v>297</v>
      </c>
      <c r="C2882" t="s">
        <v>67</v>
      </c>
      <c r="F2882" s="18" t="s">
        <v>298</v>
      </c>
      <c r="G2882" t="s">
        <v>299</v>
      </c>
      <c r="H2882" t="s">
        <v>0</v>
      </c>
      <c r="I2882" t="s">
        <v>10482</v>
      </c>
      <c r="J2882" t="s">
        <v>10482</v>
      </c>
      <c r="K2882" t="s">
        <v>85</v>
      </c>
      <c r="L2882" t="s">
        <v>86</v>
      </c>
      <c r="M2882" t="s">
        <v>289</v>
      </c>
      <c r="N2882" t="s">
        <v>10481</v>
      </c>
      <c r="O2882" t="s">
        <v>0</v>
      </c>
      <c r="P2882" t="s">
        <v>289</v>
      </c>
      <c r="Q2882" t="s">
        <v>8153</v>
      </c>
      <c r="R2882" t="s">
        <v>427</v>
      </c>
      <c r="S2882" t="s">
        <v>427</v>
      </c>
      <c r="T2882" t="s">
        <v>10217</v>
      </c>
      <c r="U2882" t="s">
        <v>428</v>
      </c>
      <c r="V2882" t="s">
        <v>340</v>
      </c>
      <c r="W2882" t="s">
        <v>74</v>
      </c>
      <c r="X2882" t="s">
        <v>223</v>
      </c>
      <c r="AA2882" t="s">
        <v>341</v>
      </c>
      <c r="AB2882" t="s">
        <v>300</v>
      </c>
      <c r="AC2882" t="s">
        <v>65</v>
      </c>
      <c r="AD2882" t="s">
        <v>0</v>
      </c>
      <c r="AE2882" t="s">
        <v>0</v>
      </c>
      <c r="AF2882" t="s">
        <v>0</v>
      </c>
      <c r="AG2882" t="s">
        <v>0</v>
      </c>
      <c r="AH2882" s="1" t="s">
        <v>0</v>
      </c>
      <c r="AI2882" s="1" t="s">
        <v>0</v>
      </c>
      <c r="AJ2882" s="1" t="s">
        <v>0</v>
      </c>
      <c r="AK2882" t="s">
        <v>61</v>
      </c>
      <c r="AL2882" t="s">
        <v>61</v>
      </c>
      <c r="AM2882" t="s">
        <v>0</v>
      </c>
      <c r="AN2882" t="s">
        <v>0</v>
      </c>
      <c r="AO2882" t="s">
        <v>0</v>
      </c>
      <c r="AP2882" t="s">
        <v>0</v>
      </c>
      <c r="AQ2882" t="s">
        <v>0</v>
      </c>
      <c r="AR2882" t="s">
        <v>61</v>
      </c>
      <c r="AS2882" t="str">
        <f>HYPERLINK("https://tessa.gazprom-neft.local/edo/card/b3bed244-2f6a-4246-b7ca-337c105c16aa", "https://tessa.gazprom-neft.local/edo/card/b3bed244-2f6a-4246-b7ca-337c105c16aa")</f>
        <v>https://tessa.gazprom-neft.local/edo/card/b3bed244-2f6a-4246-b7ca-337c105c16aa</v>
      </c>
    </row>
    <row r="2883" spans="1:45" x14ac:dyDescent="0.25">
      <c r="A2883" t="s">
        <v>44</v>
      </c>
      <c r="B2883" t="s">
        <v>436</v>
      </c>
      <c r="C2883" t="s">
        <v>67</v>
      </c>
      <c r="F2883" s="18" t="s">
        <v>437</v>
      </c>
      <c r="G2883" t="s">
        <v>438</v>
      </c>
      <c r="H2883" t="s">
        <v>4603</v>
      </c>
      <c r="I2883" t="s">
        <v>0</v>
      </c>
      <c r="J2883" t="s">
        <v>5867</v>
      </c>
      <c r="K2883" t="s">
        <v>47</v>
      </c>
      <c r="L2883" t="s">
        <v>48</v>
      </c>
      <c r="M2883" t="s">
        <v>0</v>
      </c>
      <c r="N2883" t="s">
        <v>10483</v>
      </c>
      <c r="O2883" t="s">
        <v>0</v>
      </c>
      <c r="P2883" t="s">
        <v>10484</v>
      </c>
      <c r="Q2883" t="s">
        <v>10485</v>
      </c>
      <c r="R2883" t="s">
        <v>1083</v>
      </c>
      <c r="S2883" t="s">
        <v>1083</v>
      </c>
      <c r="T2883" t="s">
        <v>10217</v>
      </c>
      <c r="U2883" t="s">
        <v>1043</v>
      </c>
      <c r="V2883" t="s">
        <v>723</v>
      </c>
      <c r="W2883" t="s">
        <v>74</v>
      </c>
      <c r="X2883" t="s">
        <v>103</v>
      </c>
      <c r="AA2883" t="s">
        <v>1031</v>
      </c>
      <c r="AB2883" t="s">
        <v>64</v>
      </c>
      <c r="AC2883" t="s">
        <v>278</v>
      </c>
      <c r="AD2883" t="s">
        <v>144</v>
      </c>
      <c r="AE2883" t="s">
        <v>82</v>
      </c>
      <c r="AF2883" t="s">
        <v>0</v>
      </c>
      <c r="AG2883" t="s">
        <v>0</v>
      </c>
      <c r="AH2883" s="1" t="s">
        <v>14409</v>
      </c>
      <c r="AI2883" s="1" t="s">
        <v>14410</v>
      </c>
      <c r="AJ2883" s="1" t="s">
        <v>14411</v>
      </c>
      <c r="AK2883" t="s">
        <v>61</v>
      </c>
      <c r="AL2883" t="s">
        <v>61</v>
      </c>
      <c r="AM2883" t="s">
        <v>0</v>
      </c>
      <c r="AN2883" t="s">
        <v>0</v>
      </c>
      <c r="AO2883" t="s">
        <v>0</v>
      </c>
      <c r="AP2883" t="s">
        <v>0</v>
      </c>
      <c r="AQ2883" t="s">
        <v>0</v>
      </c>
      <c r="AR2883" t="s">
        <v>61</v>
      </c>
      <c r="AS2883" t="str">
        <f>HYPERLINK("https://tessa.gazprom-neft.local/edo/card/04ff30e1-4e60-4590-bb2a-39b8619d8820", "https://tessa.gazprom-neft.local/edo/card/04ff30e1-4e60-4590-bb2a-39b8619d8820")</f>
        <v>https://tessa.gazprom-neft.local/edo/card/04ff30e1-4e60-4590-bb2a-39b8619d8820</v>
      </c>
    </row>
    <row r="2884" spans="1:45" x14ac:dyDescent="0.25">
      <c r="A2884" t="s">
        <v>44</v>
      </c>
      <c r="B2884" t="s">
        <v>964</v>
      </c>
      <c r="C2884" t="s">
        <v>67</v>
      </c>
      <c r="F2884" s="18" t="s">
        <v>965</v>
      </c>
      <c r="G2884" t="s">
        <v>966</v>
      </c>
      <c r="H2884" t="s">
        <v>4309</v>
      </c>
      <c r="I2884" t="s">
        <v>0</v>
      </c>
      <c r="J2884" t="s">
        <v>156</v>
      </c>
      <c r="K2884" t="s">
        <v>47</v>
      </c>
      <c r="L2884" t="s">
        <v>48</v>
      </c>
      <c r="M2884" t="s">
        <v>0</v>
      </c>
      <c r="N2884" t="s">
        <v>10486</v>
      </c>
      <c r="O2884" t="s">
        <v>0</v>
      </c>
      <c r="P2884" t="s">
        <v>10487</v>
      </c>
      <c r="Q2884" t="s">
        <v>1291</v>
      </c>
      <c r="R2884" t="s">
        <v>361</v>
      </c>
      <c r="S2884" t="s">
        <v>361</v>
      </c>
      <c r="T2884" t="s">
        <v>10217</v>
      </c>
      <c r="U2884" t="s">
        <v>362</v>
      </c>
      <c r="V2884" t="s">
        <v>295</v>
      </c>
      <c r="W2884" t="s">
        <v>74</v>
      </c>
      <c r="X2884" t="s">
        <v>103</v>
      </c>
      <c r="AA2884" t="s">
        <v>296</v>
      </c>
      <c r="AB2884" t="s">
        <v>366</v>
      </c>
      <c r="AC2884" t="s">
        <v>65</v>
      </c>
      <c r="AD2884" t="s">
        <v>0</v>
      </c>
      <c r="AE2884" t="s">
        <v>0</v>
      </c>
      <c r="AF2884" t="s">
        <v>0</v>
      </c>
      <c r="AG2884" t="s">
        <v>0</v>
      </c>
      <c r="AH2884" s="1" t="s">
        <v>0</v>
      </c>
      <c r="AI2884" s="1" t="s">
        <v>0</v>
      </c>
      <c r="AJ2884" s="1" t="s">
        <v>0</v>
      </c>
      <c r="AK2884" t="s">
        <v>61</v>
      </c>
      <c r="AL2884" t="s">
        <v>61</v>
      </c>
      <c r="AM2884" t="s">
        <v>0</v>
      </c>
      <c r="AN2884" t="s">
        <v>0</v>
      </c>
      <c r="AO2884" t="s">
        <v>0</v>
      </c>
      <c r="AP2884" t="s">
        <v>0</v>
      </c>
      <c r="AQ2884" t="s">
        <v>0</v>
      </c>
      <c r="AR2884" t="s">
        <v>61</v>
      </c>
      <c r="AS2884" t="str">
        <f>HYPERLINK("https://tessa.gazprom-neft.local/edo/card/943e6ba4-1610-46c9-a88c-cca48668da0f", "https://tessa.gazprom-neft.local/edo/card/943e6ba4-1610-46c9-a88c-cca48668da0f")</f>
        <v>https://tessa.gazprom-neft.local/edo/card/943e6ba4-1610-46c9-a88c-cca48668da0f</v>
      </c>
    </row>
    <row r="2885" spans="1:45" x14ac:dyDescent="0.25">
      <c r="A2885" t="s">
        <v>44</v>
      </c>
      <c r="B2885" t="s">
        <v>964</v>
      </c>
      <c r="C2885" t="s">
        <v>67</v>
      </c>
      <c r="F2885" s="18" t="s">
        <v>965</v>
      </c>
      <c r="G2885" t="s">
        <v>966</v>
      </c>
      <c r="H2885" t="s">
        <v>10489</v>
      </c>
      <c r="I2885" t="s">
        <v>0</v>
      </c>
      <c r="J2885" t="s">
        <v>271</v>
      </c>
      <c r="K2885" t="s">
        <v>47</v>
      </c>
      <c r="L2885" t="s">
        <v>48</v>
      </c>
      <c r="M2885" t="s">
        <v>0</v>
      </c>
      <c r="N2885" t="s">
        <v>10488</v>
      </c>
      <c r="O2885" t="s">
        <v>0</v>
      </c>
      <c r="P2885" t="s">
        <v>10490</v>
      </c>
      <c r="Q2885" t="s">
        <v>1291</v>
      </c>
      <c r="R2885" t="s">
        <v>361</v>
      </c>
      <c r="S2885" t="s">
        <v>361</v>
      </c>
      <c r="T2885" t="s">
        <v>10217</v>
      </c>
      <c r="U2885" t="s">
        <v>362</v>
      </c>
      <c r="V2885" t="s">
        <v>295</v>
      </c>
      <c r="W2885" t="s">
        <v>74</v>
      </c>
      <c r="X2885" t="s">
        <v>103</v>
      </c>
      <c r="AA2885" t="s">
        <v>296</v>
      </c>
      <c r="AB2885" t="s">
        <v>366</v>
      </c>
      <c r="AC2885" t="s">
        <v>65</v>
      </c>
      <c r="AD2885" t="s">
        <v>367</v>
      </c>
      <c r="AE2885" t="s">
        <v>0</v>
      </c>
      <c r="AF2885" t="s">
        <v>0</v>
      </c>
      <c r="AG2885" t="s">
        <v>0</v>
      </c>
      <c r="AH2885" s="1" t="s">
        <v>0</v>
      </c>
      <c r="AI2885" s="1" t="s">
        <v>0</v>
      </c>
      <c r="AJ2885" s="1" t="s">
        <v>0</v>
      </c>
      <c r="AK2885" t="s">
        <v>61</v>
      </c>
      <c r="AL2885" t="s">
        <v>61</v>
      </c>
      <c r="AM2885" t="s">
        <v>0</v>
      </c>
      <c r="AN2885" t="s">
        <v>0</v>
      </c>
      <c r="AO2885" t="s">
        <v>0</v>
      </c>
      <c r="AP2885" t="s">
        <v>0</v>
      </c>
      <c r="AQ2885" t="s">
        <v>0</v>
      </c>
      <c r="AR2885" t="s">
        <v>61</v>
      </c>
      <c r="AS2885" t="str">
        <f>HYPERLINK("https://tessa.gazprom-neft.local/edo/card/0e5bc27d-420b-45bc-a490-9e4fe5cf0f6a", "https://tessa.gazprom-neft.local/edo/card/0e5bc27d-420b-45bc-a490-9e4fe5cf0f6a")</f>
        <v>https://tessa.gazprom-neft.local/edo/card/0e5bc27d-420b-45bc-a490-9e4fe5cf0f6a</v>
      </c>
    </row>
    <row r="2886" spans="1:45" hidden="1" x14ac:dyDescent="0.25">
      <c r="A2886" t="s">
        <v>44</v>
      </c>
      <c r="B2886" t="s">
        <v>497</v>
      </c>
      <c r="C2886" t="s">
        <v>67</v>
      </c>
      <c r="F2886" s="18" t="s">
        <v>498</v>
      </c>
      <c r="G2886" t="s">
        <v>499</v>
      </c>
      <c r="H2886" t="s">
        <v>0</v>
      </c>
      <c r="I2886" t="s">
        <v>10492</v>
      </c>
      <c r="J2886" t="s">
        <v>10492</v>
      </c>
      <c r="K2886" t="s">
        <v>85</v>
      </c>
      <c r="L2886" t="s">
        <v>86</v>
      </c>
      <c r="M2886" t="s">
        <v>289</v>
      </c>
      <c r="N2886" t="s">
        <v>10491</v>
      </c>
      <c r="O2886" t="s">
        <v>0</v>
      </c>
      <c r="P2886" t="s">
        <v>289</v>
      </c>
      <c r="Q2886" t="s">
        <v>10493</v>
      </c>
      <c r="R2886" t="s">
        <v>427</v>
      </c>
      <c r="S2886" t="s">
        <v>427</v>
      </c>
      <c r="T2886" t="s">
        <v>10217</v>
      </c>
      <c r="U2886" t="s">
        <v>428</v>
      </c>
      <c r="V2886" t="s">
        <v>340</v>
      </c>
      <c r="W2886" t="s">
        <v>74</v>
      </c>
      <c r="X2886" t="s">
        <v>223</v>
      </c>
      <c r="AA2886" t="s">
        <v>341</v>
      </c>
      <c r="AB2886" t="s">
        <v>300</v>
      </c>
      <c r="AC2886" t="s">
        <v>65</v>
      </c>
      <c r="AD2886" t="s">
        <v>0</v>
      </c>
      <c r="AE2886" t="s">
        <v>0</v>
      </c>
      <c r="AF2886" t="s">
        <v>0</v>
      </c>
      <c r="AG2886" t="s">
        <v>0</v>
      </c>
      <c r="AH2886" s="1" t="s">
        <v>0</v>
      </c>
      <c r="AI2886" s="1" t="s">
        <v>0</v>
      </c>
      <c r="AJ2886" s="1" t="s">
        <v>0</v>
      </c>
      <c r="AK2886" t="s">
        <v>61</v>
      </c>
      <c r="AL2886" t="s">
        <v>61</v>
      </c>
      <c r="AM2886" t="s">
        <v>0</v>
      </c>
      <c r="AN2886" t="s">
        <v>0</v>
      </c>
      <c r="AO2886" t="s">
        <v>0</v>
      </c>
      <c r="AP2886" t="s">
        <v>0</v>
      </c>
      <c r="AQ2886" t="s">
        <v>0</v>
      </c>
      <c r="AR2886" t="s">
        <v>61</v>
      </c>
      <c r="AS2886" t="str">
        <f>HYPERLINK("https://tessa.gazprom-neft.local/edo/card/6090b988-ffc2-476f-b82d-69fab5bbf70d", "https://tessa.gazprom-neft.local/edo/card/6090b988-ffc2-476f-b82d-69fab5bbf70d")</f>
        <v>https://tessa.gazprom-neft.local/edo/card/6090b988-ffc2-476f-b82d-69fab5bbf70d</v>
      </c>
    </row>
    <row r="2887" spans="1:45" x14ac:dyDescent="0.25">
      <c r="A2887" t="s">
        <v>44</v>
      </c>
      <c r="B2887" t="s">
        <v>793</v>
      </c>
      <c r="C2887" t="s">
        <v>67</v>
      </c>
      <c r="F2887" s="18" t="s">
        <v>794</v>
      </c>
      <c r="G2887" t="s">
        <v>795</v>
      </c>
      <c r="H2887" t="s">
        <v>10255</v>
      </c>
      <c r="I2887" t="s">
        <v>0</v>
      </c>
      <c r="J2887" t="s">
        <v>271</v>
      </c>
      <c r="K2887" t="s">
        <v>47</v>
      </c>
      <c r="L2887" t="s">
        <v>48</v>
      </c>
      <c r="M2887" t="s">
        <v>0</v>
      </c>
      <c r="N2887" t="s">
        <v>10494</v>
      </c>
      <c r="O2887" t="s">
        <v>0</v>
      </c>
      <c r="P2887" t="s">
        <v>10495</v>
      </c>
      <c r="Q2887" t="s">
        <v>360</v>
      </c>
      <c r="R2887" t="s">
        <v>361</v>
      </c>
      <c r="S2887" t="s">
        <v>361</v>
      </c>
      <c r="T2887" t="s">
        <v>10217</v>
      </c>
      <c r="U2887" t="s">
        <v>362</v>
      </c>
      <c r="V2887" t="s">
        <v>295</v>
      </c>
      <c r="W2887" t="s">
        <v>74</v>
      </c>
      <c r="X2887" t="s">
        <v>103</v>
      </c>
      <c r="AA2887" t="s">
        <v>296</v>
      </c>
      <c r="AB2887" t="s">
        <v>366</v>
      </c>
      <c r="AC2887" t="s">
        <v>278</v>
      </c>
      <c r="AD2887" t="s">
        <v>367</v>
      </c>
      <c r="AE2887" t="s">
        <v>82</v>
      </c>
      <c r="AF2887" t="s">
        <v>0</v>
      </c>
      <c r="AG2887" t="s">
        <v>0</v>
      </c>
      <c r="AH2887" s="1" t="s">
        <v>14412</v>
      </c>
      <c r="AI2887" s="1" t="s">
        <v>14413</v>
      </c>
      <c r="AJ2887" s="1" t="s">
        <v>14414</v>
      </c>
      <c r="AK2887" t="s">
        <v>61</v>
      </c>
      <c r="AL2887" t="s">
        <v>61</v>
      </c>
      <c r="AM2887" t="s">
        <v>0</v>
      </c>
      <c r="AN2887" t="s">
        <v>0</v>
      </c>
      <c r="AO2887" t="s">
        <v>0</v>
      </c>
      <c r="AP2887" t="s">
        <v>0</v>
      </c>
      <c r="AQ2887" t="s">
        <v>0</v>
      </c>
      <c r="AR2887" t="s">
        <v>61</v>
      </c>
      <c r="AS2887" t="str">
        <f>HYPERLINK("https://tessa.gazprom-neft.local/edo/card/78ac208f-d678-4563-9a21-4b3e65c50910", "https://tessa.gazprom-neft.local/edo/card/78ac208f-d678-4563-9a21-4b3e65c50910")</f>
        <v>https://tessa.gazprom-neft.local/edo/card/78ac208f-d678-4563-9a21-4b3e65c50910</v>
      </c>
    </row>
    <row r="2888" spans="1:45" hidden="1" x14ac:dyDescent="0.25">
      <c r="A2888" t="s">
        <v>44</v>
      </c>
      <c r="B2888" t="s">
        <v>410</v>
      </c>
      <c r="C2888" t="s">
        <v>67</v>
      </c>
      <c r="F2888" s="18" t="s">
        <v>411</v>
      </c>
      <c r="G2888" t="s">
        <v>412</v>
      </c>
      <c r="H2888" t="s">
        <v>0</v>
      </c>
      <c r="I2888" t="s">
        <v>10497</v>
      </c>
      <c r="J2888" t="s">
        <v>10497</v>
      </c>
      <c r="K2888" t="s">
        <v>85</v>
      </c>
      <c r="L2888" t="s">
        <v>86</v>
      </c>
      <c r="M2888" t="s">
        <v>289</v>
      </c>
      <c r="N2888" t="s">
        <v>10496</v>
      </c>
      <c r="O2888" t="s">
        <v>0</v>
      </c>
      <c r="P2888" t="s">
        <v>289</v>
      </c>
      <c r="Q2888" t="s">
        <v>8153</v>
      </c>
      <c r="R2888" t="s">
        <v>427</v>
      </c>
      <c r="S2888" t="s">
        <v>0</v>
      </c>
      <c r="T2888" t="s">
        <v>10217</v>
      </c>
      <c r="U2888" t="s">
        <v>428</v>
      </c>
      <c r="V2888" t="s">
        <v>340</v>
      </c>
      <c r="W2888" t="s">
        <v>74</v>
      </c>
      <c r="X2888" t="s">
        <v>223</v>
      </c>
      <c r="AA2888" t="s">
        <v>341</v>
      </c>
      <c r="AB2888" t="s">
        <v>300</v>
      </c>
      <c r="AC2888" t="s">
        <v>65</v>
      </c>
      <c r="AD2888" t="s">
        <v>0</v>
      </c>
      <c r="AE2888" t="s">
        <v>0</v>
      </c>
      <c r="AF2888" t="s">
        <v>0</v>
      </c>
      <c r="AG2888" t="s">
        <v>0</v>
      </c>
      <c r="AH2888" s="1" t="s">
        <v>0</v>
      </c>
      <c r="AI2888" s="1" t="s">
        <v>0</v>
      </c>
      <c r="AJ2888" s="1" t="s">
        <v>0</v>
      </c>
      <c r="AK2888" t="s">
        <v>61</v>
      </c>
      <c r="AL2888" t="s">
        <v>61</v>
      </c>
      <c r="AM2888" t="s">
        <v>0</v>
      </c>
      <c r="AN2888" t="s">
        <v>0</v>
      </c>
      <c r="AO2888" t="s">
        <v>0</v>
      </c>
      <c r="AP2888" t="s">
        <v>0</v>
      </c>
      <c r="AQ2888" t="s">
        <v>0</v>
      </c>
      <c r="AR2888" t="s">
        <v>61</v>
      </c>
      <c r="AS2888" t="str">
        <f>HYPERLINK("https://tessa.gazprom-neft.local/edo/card/2f338dbf-bd03-4a0b-a53d-fe100aa9e7c0", "https://tessa.gazprom-neft.local/edo/card/2f338dbf-bd03-4a0b-a53d-fe100aa9e7c0")</f>
        <v>https://tessa.gazprom-neft.local/edo/card/2f338dbf-bd03-4a0b-a53d-fe100aa9e7c0</v>
      </c>
    </row>
    <row r="2889" spans="1:45" hidden="1" x14ac:dyDescent="0.25">
      <c r="A2889" t="s">
        <v>44</v>
      </c>
      <c r="B2889" t="s">
        <v>1084</v>
      </c>
      <c r="C2889" t="s">
        <v>67</v>
      </c>
      <c r="F2889" s="18" t="s">
        <v>1085</v>
      </c>
      <c r="G2889" t="s">
        <v>1086</v>
      </c>
      <c r="H2889" t="s">
        <v>0</v>
      </c>
      <c r="I2889" t="s">
        <v>10499</v>
      </c>
      <c r="J2889" t="s">
        <v>10499</v>
      </c>
      <c r="K2889" t="s">
        <v>85</v>
      </c>
      <c r="L2889" t="s">
        <v>86</v>
      </c>
      <c r="M2889" t="s">
        <v>289</v>
      </c>
      <c r="N2889" t="s">
        <v>10498</v>
      </c>
      <c r="O2889" t="s">
        <v>0</v>
      </c>
      <c r="P2889" t="s">
        <v>289</v>
      </c>
      <c r="Q2889" t="s">
        <v>8153</v>
      </c>
      <c r="R2889" t="s">
        <v>427</v>
      </c>
      <c r="S2889" t="s">
        <v>427</v>
      </c>
      <c r="T2889" t="s">
        <v>10217</v>
      </c>
      <c r="U2889" t="s">
        <v>428</v>
      </c>
      <c r="V2889" t="s">
        <v>340</v>
      </c>
      <c r="W2889" t="s">
        <v>74</v>
      </c>
      <c r="X2889" t="s">
        <v>223</v>
      </c>
      <c r="AA2889" t="s">
        <v>341</v>
      </c>
      <c r="AB2889" t="s">
        <v>300</v>
      </c>
      <c r="AC2889" t="s">
        <v>65</v>
      </c>
      <c r="AD2889" t="s">
        <v>0</v>
      </c>
      <c r="AE2889" t="s">
        <v>0</v>
      </c>
      <c r="AF2889" t="s">
        <v>0</v>
      </c>
      <c r="AG2889" t="s">
        <v>0</v>
      </c>
      <c r="AH2889" s="1" t="s">
        <v>0</v>
      </c>
      <c r="AI2889" s="1" t="s">
        <v>0</v>
      </c>
      <c r="AJ2889" s="1" t="s">
        <v>0</v>
      </c>
      <c r="AK2889" t="s">
        <v>61</v>
      </c>
      <c r="AL2889" t="s">
        <v>61</v>
      </c>
      <c r="AM2889" t="s">
        <v>0</v>
      </c>
      <c r="AN2889" t="s">
        <v>0</v>
      </c>
      <c r="AO2889" t="s">
        <v>0</v>
      </c>
      <c r="AP2889" t="s">
        <v>0</v>
      </c>
      <c r="AQ2889" t="s">
        <v>0</v>
      </c>
      <c r="AR2889" t="s">
        <v>61</v>
      </c>
      <c r="AS2889" t="str">
        <f>HYPERLINK("https://tessa.gazprom-neft.local/edo/card/bd0cc888-0278-49dc-8485-35cc8a7b175f", "https://tessa.gazprom-neft.local/edo/card/bd0cc888-0278-49dc-8485-35cc8a7b175f")</f>
        <v>https://tessa.gazprom-neft.local/edo/card/bd0cc888-0278-49dc-8485-35cc8a7b175f</v>
      </c>
    </row>
    <row r="2890" spans="1:45" hidden="1" x14ac:dyDescent="0.25">
      <c r="A2890" t="s">
        <v>44</v>
      </c>
      <c r="B2890" t="s">
        <v>436</v>
      </c>
      <c r="C2890" t="s">
        <v>67</v>
      </c>
      <c r="F2890" s="18" t="s">
        <v>437</v>
      </c>
      <c r="G2890" t="s">
        <v>438</v>
      </c>
      <c r="H2890" t="s">
        <v>0</v>
      </c>
      <c r="I2890" t="s">
        <v>10501</v>
      </c>
      <c r="J2890" t="s">
        <v>10501</v>
      </c>
      <c r="K2890" t="s">
        <v>85</v>
      </c>
      <c r="L2890" t="s">
        <v>86</v>
      </c>
      <c r="M2890" t="s">
        <v>289</v>
      </c>
      <c r="N2890" t="s">
        <v>10500</v>
      </c>
      <c r="O2890" t="s">
        <v>0</v>
      </c>
      <c r="P2890" t="s">
        <v>10502</v>
      </c>
      <c r="Q2890" t="s">
        <v>10503</v>
      </c>
      <c r="R2890" t="s">
        <v>427</v>
      </c>
      <c r="S2890" t="s">
        <v>427</v>
      </c>
      <c r="T2890" t="s">
        <v>10217</v>
      </c>
      <c r="U2890" t="s">
        <v>428</v>
      </c>
      <c r="V2890" t="s">
        <v>340</v>
      </c>
      <c r="W2890" t="s">
        <v>74</v>
      </c>
      <c r="X2890" t="s">
        <v>223</v>
      </c>
      <c r="AA2890" t="s">
        <v>341</v>
      </c>
      <c r="AB2890" t="s">
        <v>300</v>
      </c>
      <c r="AC2890" t="s">
        <v>65</v>
      </c>
      <c r="AD2890" t="s">
        <v>0</v>
      </c>
      <c r="AE2890" t="s">
        <v>0</v>
      </c>
      <c r="AF2890" t="s">
        <v>0</v>
      </c>
      <c r="AG2890" t="s">
        <v>0</v>
      </c>
      <c r="AH2890" s="1" t="s">
        <v>0</v>
      </c>
      <c r="AI2890" s="1" t="s">
        <v>0</v>
      </c>
      <c r="AJ2890" s="1" t="s">
        <v>0</v>
      </c>
      <c r="AK2890" t="s">
        <v>61</v>
      </c>
      <c r="AL2890" t="s">
        <v>61</v>
      </c>
      <c r="AM2890" t="s">
        <v>0</v>
      </c>
      <c r="AN2890" t="s">
        <v>0</v>
      </c>
      <c r="AO2890" t="s">
        <v>0</v>
      </c>
      <c r="AP2890" t="s">
        <v>0</v>
      </c>
      <c r="AQ2890" t="s">
        <v>0</v>
      </c>
      <c r="AR2890" t="s">
        <v>61</v>
      </c>
      <c r="AS2890" t="str">
        <f>HYPERLINK("https://tessa.gazprom-neft.local/edo/card/7f35a7e1-f085-44ac-812d-5513ccc0f98c", "https://tessa.gazprom-neft.local/edo/card/7f35a7e1-f085-44ac-812d-5513ccc0f98c")</f>
        <v>https://tessa.gazprom-neft.local/edo/card/7f35a7e1-f085-44ac-812d-5513ccc0f98c</v>
      </c>
    </row>
    <row r="2891" spans="1:45" x14ac:dyDescent="0.25">
      <c r="A2891" t="s">
        <v>44</v>
      </c>
      <c r="B2891" t="s">
        <v>1640</v>
      </c>
      <c r="C2891" t="s">
        <v>67</v>
      </c>
      <c r="F2891" s="18" t="s">
        <v>1641</v>
      </c>
      <c r="G2891" t="s">
        <v>1642</v>
      </c>
      <c r="H2891" t="s">
        <v>1801</v>
      </c>
      <c r="I2891" t="s">
        <v>0</v>
      </c>
      <c r="J2891" t="s">
        <v>70</v>
      </c>
      <c r="K2891" t="s">
        <v>47</v>
      </c>
      <c r="L2891" t="s">
        <v>48</v>
      </c>
      <c r="M2891" t="s">
        <v>0</v>
      </c>
      <c r="N2891" t="s">
        <v>10504</v>
      </c>
      <c r="O2891" t="s">
        <v>0</v>
      </c>
      <c r="P2891" t="s">
        <v>10505</v>
      </c>
      <c r="Q2891" t="s">
        <v>10506</v>
      </c>
      <c r="R2891" t="s">
        <v>1083</v>
      </c>
      <c r="S2891" t="s">
        <v>1083</v>
      </c>
      <c r="T2891" t="s">
        <v>10217</v>
      </c>
      <c r="U2891" t="s">
        <v>1043</v>
      </c>
      <c r="V2891" t="s">
        <v>723</v>
      </c>
      <c r="W2891" t="s">
        <v>57</v>
      </c>
      <c r="X2891" t="s">
        <v>103</v>
      </c>
      <c r="AA2891" t="s">
        <v>1031</v>
      </c>
      <c r="AB2891" t="s">
        <v>64</v>
      </c>
      <c r="AC2891" t="s">
        <v>278</v>
      </c>
      <c r="AD2891" t="s">
        <v>144</v>
      </c>
      <c r="AE2891" t="s">
        <v>82</v>
      </c>
      <c r="AF2891" t="s">
        <v>0</v>
      </c>
      <c r="AG2891" t="s">
        <v>0</v>
      </c>
      <c r="AH2891" s="1" t="s">
        <v>14415</v>
      </c>
      <c r="AI2891" s="1" t="s">
        <v>14416</v>
      </c>
      <c r="AJ2891" s="1" t="s">
        <v>14417</v>
      </c>
      <c r="AK2891" t="s">
        <v>61</v>
      </c>
      <c r="AL2891" t="s">
        <v>61</v>
      </c>
      <c r="AM2891" t="s">
        <v>0</v>
      </c>
      <c r="AN2891" t="s">
        <v>0</v>
      </c>
      <c r="AO2891" t="s">
        <v>0</v>
      </c>
      <c r="AP2891" t="s">
        <v>0</v>
      </c>
      <c r="AQ2891" t="s">
        <v>0</v>
      </c>
      <c r="AR2891" t="s">
        <v>61</v>
      </c>
      <c r="AS2891" t="str">
        <f>HYPERLINK("https://tessa.gazprom-neft.local/edo/card/212afc7e-a33a-43b3-b21b-b9a6853f51e3", "https://tessa.gazprom-neft.local/edo/card/212afc7e-a33a-43b3-b21b-b9a6853f51e3")</f>
        <v>https://tessa.gazprom-neft.local/edo/card/212afc7e-a33a-43b3-b21b-b9a6853f51e3</v>
      </c>
    </row>
    <row r="2892" spans="1:45" x14ac:dyDescent="0.25">
      <c r="A2892" t="s">
        <v>44</v>
      </c>
      <c r="B2892" t="s">
        <v>436</v>
      </c>
      <c r="C2892" t="s">
        <v>67</v>
      </c>
      <c r="F2892" s="18" t="s">
        <v>437</v>
      </c>
      <c r="G2892" t="s">
        <v>438</v>
      </c>
      <c r="H2892" t="s">
        <v>8578</v>
      </c>
      <c r="I2892" t="s">
        <v>0</v>
      </c>
      <c r="J2892" t="s">
        <v>10509</v>
      </c>
      <c r="K2892" t="s">
        <v>47</v>
      </c>
      <c r="L2892" t="s">
        <v>48</v>
      </c>
      <c r="M2892" t="s">
        <v>0</v>
      </c>
      <c r="N2892" t="s">
        <v>10507</v>
      </c>
      <c r="O2892" t="s">
        <v>0</v>
      </c>
      <c r="P2892" t="s">
        <v>10508</v>
      </c>
      <c r="Q2892" t="s">
        <v>10510</v>
      </c>
      <c r="R2892" t="s">
        <v>1083</v>
      </c>
      <c r="S2892" t="s">
        <v>1083</v>
      </c>
      <c r="T2892" t="s">
        <v>10217</v>
      </c>
      <c r="U2892" t="s">
        <v>1043</v>
      </c>
      <c r="V2892" t="s">
        <v>723</v>
      </c>
      <c r="W2892" t="s">
        <v>74</v>
      </c>
      <c r="X2892" t="s">
        <v>103</v>
      </c>
      <c r="AA2892" t="s">
        <v>1031</v>
      </c>
      <c r="AB2892" t="s">
        <v>64</v>
      </c>
      <c r="AC2892" t="s">
        <v>278</v>
      </c>
      <c r="AD2892" t="s">
        <v>80</v>
      </c>
      <c r="AE2892" t="s">
        <v>82</v>
      </c>
      <c r="AF2892" t="s">
        <v>0</v>
      </c>
      <c r="AG2892" t="s">
        <v>0</v>
      </c>
      <c r="AH2892" s="1" t="s">
        <v>14418</v>
      </c>
      <c r="AI2892" s="1" t="s">
        <v>14419</v>
      </c>
      <c r="AJ2892" s="1" t="s">
        <v>14420</v>
      </c>
      <c r="AK2892" t="s">
        <v>61</v>
      </c>
      <c r="AL2892" t="s">
        <v>61</v>
      </c>
      <c r="AM2892" t="s">
        <v>0</v>
      </c>
      <c r="AN2892" t="s">
        <v>0</v>
      </c>
      <c r="AO2892" t="s">
        <v>0</v>
      </c>
      <c r="AP2892" t="s">
        <v>0</v>
      </c>
      <c r="AQ2892" t="s">
        <v>0</v>
      </c>
      <c r="AR2892" t="s">
        <v>61</v>
      </c>
      <c r="AS2892" t="str">
        <f>HYPERLINK("https://tessa.gazprom-neft.local/edo/card/7e391c20-99d2-4db6-8238-771ec152929b", "https://tessa.gazprom-neft.local/edo/card/7e391c20-99d2-4db6-8238-771ec152929b")</f>
        <v>https://tessa.gazprom-neft.local/edo/card/7e391c20-99d2-4db6-8238-771ec152929b</v>
      </c>
    </row>
    <row r="2893" spans="1:45" x14ac:dyDescent="0.25">
      <c r="A2893" t="s">
        <v>44</v>
      </c>
      <c r="B2893" t="s">
        <v>436</v>
      </c>
      <c r="C2893" t="s">
        <v>67</v>
      </c>
      <c r="F2893" s="18" t="s">
        <v>437</v>
      </c>
      <c r="G2893" t="s">
        <v>438</v>
      </c>
      <c r="H2893" t="s">
        <v>8578</v>
      </c>
      <c r="I2893" t="s">
        <v>0</v>
      </c>
      <c r="J2893" t="s">
        <v>6486</v>
      </c>
      <c r="K2893" t="s">
        <v>47</v>
      </c>
      <c r="L2893" t="s">
        <v>48</v>
      </c>
      <c r="M2893" t="s">
        <v>0</v>
      </c>
      <c r="N2893" t="s">
        <v>10511</v>
      </c>
      <c r="O2893" t="s">
        <v>0</v>
      </c>
      <c r="P2893" t="s">
        <v>10512</v>
      </c>
      <c r="Q2893" t="s">
        <v>10513</v>
      </c>
      <c r="R2893" t="s">
        <v>1083</v>
      </c>
      <c r="S2893" t="s">
        <v>1083</v>
      </c>
      <c r="T2893" t="s">
        <v>10217</v>
      </c>
      <c r="U2893" t="s">
        <v>1043</v>
      </c>
      <c r="V2893" t="s">
        <v>723</v>
      </c>
      <c r="W2893" t="s">
        <v>74</v>
      </c>
      <c r="X2893" t="s">
        <v>103</v>
      </c>
      <c r="AA2893" t="s">
        <v>1031</v>
      </c>
      <c r="AB2893" t="s">
        <v>64</v>
      </c>
      <c r="AC2893" t="s">
        <v>278</v>
      </c>
      <c r="AD2893" t="s">
        <v>80</v>
      </c>
      <c r="AE2893" t="s">
        <v>82</v>
      </c>
      <c r="AF2893" t="s">
        <v>0</v>
      </c>
      <c r="AG2893" t="s">
        <v>0</v>
      </c>
      <c r="AH2893" s="1" t="s">
        <v>14421</v>
      </c>
      <c r="AI2893" s="1" t="s">
        <v>14422</v>
      </c>
      <c r="AJ2893" s="1" t="s">
        <v>14423</v>
      </c>
      <c r="AK2893" t="s">
        <v>61</v>
      </c>
      <c r="AL2893" t="s">
        <v>61</v>
      </c>
      <c r="AM2893" t="s">
        <v>0</v>
      </c>
      <c r="AN2893" t="s">
        <v>0</v>
      </c>
      <c r="AO2893" t="s">
        <v>0</v>
      </c>
      <c r="AP2893" t="s">
        <v>0</v>
      </c>
      <c r="AQ2893" t="s">
        <v>0</v>
      </c>
      <c r="AR2893" t="s">
        <v>61</v>
      </c>
      <c r="AS2893" t="str">
        <f>HYPERLINK("https://tessa.gazprom-neft.local/edo/card/8787ea3b-ff50-4723-b21b-508f5b960c5e", "https://tessa.gazprom-neft.local/edo/card/8787ea3b-ff50-4723-b21b-508f5b960c5e")</f>
        <v>https://tessa.gazprom-neft.local/edo/card/8787ea3b-ff50-4723-b21b-508f5b960c5e</v>
      </c>
    </row>
    <row r="2894" spans="1:45" x14ac:dyDescent="0.25">
      <c r="A2894" t="s">
        <v>44</v>
      </c>
      <c r="B2894" t="s">
        <v>1925</v>
      </c>
      <c r="C2894" t="s">
        <v>67</v>
      </c>
      <c r="F2894" s="18" t="s">
        <v>1926</v>
      </c>
      <c r="G2894" t="s">
        <v>1927</v>
      </c>
      <c r="H2894" t="s">
        <v>8067</v>
      </c>
      <c r="I2894" t="s">
        <v>0</v>
      </c>
      <c r="J2894" t="s">
        <v>156</v>
      </c>
      <c r="K2894" t="s">
        <v>47</v>
      </c>
      <c r="L2894" t="s">
        <v>48</v>
      </c>
      <c r="M2894" t="s">
        <v>0</v>
      </c>
      <c r="N2894" t="s">
        <v>10514</v>
      </c>
      <c r="O2894" t="s">
        <v>0</v>
      </c>
      <c r="P2894" t="s">
        <v>8068</v>
      </c>
      <c r="Q2894" t="s">
        <v>8069</v>
      </c>
      <c r="R2894" t="s">
        <v>1924</v>
      </c>
      <c r="S2894" t="s">
        <v>1924</v>
      </c>
      <c r="T2894" t="s">
        <v>10217</v>
      </c>
      <c r="U2894" t="s">
        <v>73</v>
      </c>
      <c r="V2894" t="s">
        <v>56</v>
      </c>
      <c r="W2894" t="s">
        <v>74</v>
      </c>
      <c r="X2894" t="s">
        <v>103</v>
      </c>
      <c r="AA2894" t="s">
        <v>59</v>
      </c>
      <c r="AB2894" t="s">
        <v>366</v>
      </c>
      <c r="AC2894" t="s">
        <v>278</v>
      </c>
      <c r="AD2894" t="s">
        <v>367</v>
      </c>
      <c r="AE2894" t="s">
        <v>82</v>
      </c>
      <c r="AF2894" t="s">
        <v>0</v>
      </c>
      <c r="AG2894" t="s">
        <v>0</v>
      </c>
      <c r="AH2894" s="1" t="s">
        <v>13425</v>
      </c>
      <c r="AI2894" s="1" t="s">
        <v>13426</v>
      </c>
      <c r="AJ2894" s="1" t="s">
        <v>13427</v>
      </c>
      <c r="AK2894" t="s">
        <v>61</v>
      </c>
      <c r="AL2894" t="s">
        <v>61</v>
      </c>
      <c r="AM2894" t="s">
        <v>0</v>
      </c>
      <c r="AN2894" t="s">
        <v>0</v>
      </c>
      <c r="AO2894" t="s">
        <v>0</v>
      </c>
      <c r="AP2894" t="s">
        <v>0</v>
      </c>
      <c r="AQ2894" t="s">
        <v>0</v>
      </c>
      <c r="AR2894" t="s">
        <v>61</v>
      </c>
      <c r="AS2894" t="str">
        <f>HYPERLINK("https://tessa.gazprom-neft.local/edo/card/8519dc85-4476-4348-a9d6-100346325834", "https://tessa.gazprom-neft.local/edo/card/8519dc85-4476-4348-a9d6-100346325834")</f>
        <v>https://tessa.gazprom-neft.local/edo/card/8519dc85-4476-4348-a9d6-100346325834</v>
      </c>
    </row>
    <row r="2895" spans="1:45" hidden="1" x14ac:dyDescent="0.25">
      <c r="A2895" t="s">
        <v>44</v>
      </c>
      <c r="B2895" t="s">
        <v>964</v>
      </c>
      <c r="C2895" t="s">
        <v>67</v>
      </c>
      <c r="F2895" s="18" t="s">
        <v>965</v>
      </c>
      <c r="G2895" t="s">
        <v>966</v>
      </c>
      <c r="H2895" t="s">
        <v>0</v>
      </c>
      <c r="I2895" t="s">
        <v>10489</v>
      </c>
      <c r="J2895" t="s">
        <v>10489</v>
      </c>
      <c r="K2895" t="s">
        <v>85</v>
      </c>
      <c r="L2895" t="s">
        <v>96</v>
      </c>
      <c r="M2895" t="s">
        <v>398</v>
      </c>
      <c r="N2895" t="s">
        <v>10515</v>
      </c>
      <c r="O2895" t="s">
        <v>0</v>
      </c>
      <c r="P2895" t="s">
        <v>10516</v>
      </c>
      <c r="Q2895" t="s">
        <v>10517</v>
      </c>
      <c r="R2895" t="s">
        <v>361</v>
      </c>
      <c r="S2895" t="s">
        <v>361</v>
      </c>
      <c r="T2895" t="s">
        <v>10217</v>
      </c>
      <c r="U2895" t="s">
        <v>294</v>
      </c>
      <c r="V2895" t="s">
        <v>295</v>
      </c>
      <c r="W2895" t="s">
        <v>74</v>
      </c>
      <c r="X2895" t="s">
        <v>103</v>
      </c>
      <c r="AA2895" t="s">
        <v>296</v>
      </c>
      <c r="AB2895" t="s">
        <v>366</v>
      </c>
      <c r="AC2895" t="s">
        <v>278</v>
      </c>
      <c r="AD2895" t="s">
        <v>367</v>
      </c>
      <c r="AE2895" t="s">
        <v>82</v>
      </c>
      <c r="AF2895" t="s">
        <v>0</v>
      </c>
      <c r="AG2895" t="s">
        <v>0</v>
      </c>
      <c r="AH2895" s="1" t="s">
        <v>14424</v>
      </c>
      <c r="AI2895" s="1" t="s">
        <v>14425</v>
      </c>
      <c r="AJ2895" s="1" t="s">
        <v>14426</v>
      </c>
      <c r="AK2895" t="s">
        <v>61</v>
      </c>
      <c r="AL2895" t="s">
        <v>61</v>
      </c>
      <c r="AM2895" t="s">
        <v>0</v>
      </c>
      <c r="AN2895" t="s">
        <v>0</v>
      </c>
      <c r="AO2895" t="s">
        <v>0</v>
      </c>
      <c r="AP2895" t="s">
        <v>0</v>
      </c>
      <c r="AQ2895" t="s">
        <v>0</v>
      </c>
      <c r="AR2895" t="s">
        <v>61</v>
      </c>
      <c r="AS2895" t="str">
        <f>HYPERLINK("https://tessa.gazprom-neft.local/edo/card/9a177afe-5432-41d8-9ed1-6516166b44b6", "https://tessa.gazprom-neft.local/edo/card/9a177afe-5432-41d8-9ed1-6516166b44b6")</f>
        <v>https://tessa.gazprom-neft.local/edo/card/9a177afe-5432-41d8-9ed1-6516166b44b6</v>
      </c>
    </row>
    <row r="2896" spans="1:45" x14ac:dyDescent="0.25">
      <c r="A2896" t="s">
        <v>44</v>
      </c>
      <c r="B2896" t="s">
        <v>436</v>
      </c>
      <c r="C2896" t="s">
        <v>67</v>
      </c>
      <c r="F2896" s="18" t="s">
        <v>437</v>
      </c>
      <c r="G2896" t="s">
        <v>438</v>
      </c>
      <c r="H2896" t="s">
        <v>8578</v>
      </c>
      <c r="I2896" t="s">
        <v>0</v>
      </c>
      <c r="J2896" t="s">
        <v>6358</v>
      </c>
      <c r="K2896" t="s">
        <v>47</v>
      </c>
      <c r="L2896" t="s">
        <v>48</v>
      </c>
      <c r="M2896" t="s">
        <v>0</v>
      </c>
      <c r="N2896" t="s">
        <v>10518</v>
      </c>
      <c r="O2896" t="s">
        <v>0</v>
      </c>
      <c r="P2896" t="s">
        <v>10519</v>
      </c>
      <c r="Q2896" t="s">
        <v>10520</v>
      </c>
      <c r="R2896" t="s">
        <v>1083</v>
      </c>
      <c r="S2896" t="s">
        <v>1083</v>
      </c>
      <c r="T2896" t="s">
        <v>10217</v>
      </c>
      <c r="U2896" t="s">
        <v>1043</v>
      </c>
      <c r="V2896" t="s">
        <v>723</v>
      </c>
      <c r="W2896" t="s">
        <v>74</v>
      </c>
      <c r="X2896" t="s">
        <v>103</v>
      </c>
      <c r="AA2896" t="s">
        <v>1031</v>
      </c>
      <c r="AB2896" t="s">
        <v>64</v>
      </c>
      <c r="AC2896" t="s">
        <v>278</v>
      </c>
      <c r="AD2896" t="s">
        <v>80</v>
      </c>
      <c r="AE2896" t="s">
        <v>82</v>
      </c>
      <c r="AF2896" t="s">
        <v>0</v>
      </c>
      <c r="AG2896" t="s">
        <v>0</v>
      </c>
      <c r="AH2896" s="1" t="s">
        <v>14427</v>
      </c>
      <c r="AI2896" s="1" t="s">
        <v>14428</v>
      </c>
      <c r="AJ2896" s="1" t="s">
        <v>14429</v>
      </c>
      <c r="AK2896" t="s">
        <v>61</v>
      </c>
      <c r="AL2896" t="s">
        <v>61</v>
      </c>
      <c r="AM2896" t="s">
        <v>0</v>
      </c>
      <c r="AN2896" t="s">
        <v>0</v>
      </c>
      <c r="AO2896" t="s">
        <v>0</v>
      </c>
      <c r="AP2896" t="s">
        <v>0</v>
      </c>
      <c r="AQ2896" t="s">
        <v>0</v>
      </c>
      <c r="AR2896" t="s">
        <v>61</v>
      </c>
      <c r="AS2896" t="str">
        <f>HYPERLINK("https://tessa.gazprom-neft.local/edo/card/4a5cde3b-b492-4de1-b7fc-677e32ffc075", "https://tessa.gazprom-neft.local/edo/card/4a5cde3b-b492-4de1-b7fc-677e32ffc075")</f>
        <v>https://tessa.gazprom-neft.local/edo/card/4a5cde3b-b492-4de1-b7fc-677e32ffc075</v>
      </c>
    </row>
    <row r="2897" spans="1:45" x14ac:dyDescent="0.25">
      <c r="A2897" t="s">
        <v>44</v>
      </c>
      <c r="B2897" t="s">
        <v>436</v>
      </c>
      <c r="C2897" t="s">
        <v>67</v>
      </c>
      <c r="F2897" s="18" t="s">
        <v>437</v>
      </c>
      <c r="G2897" t="s">
        <v>438</v>
      </c>
      <c r="H2897" t="s">
        <v>8578</v>
      </c>
      <c r="I2897" t="s">
        <v>0</v>
      </c>
      <c r="J2897" t="s">
        <v>2667</v>
      </c>
      <c r="K2897" t="s">
        <v>47</v>
      </c>
      <c r="L2897" t="s">
        <v>48</v>
      </c>
      <c r="M2897" t="s">
        <v>0</v>
      </c>
      <c r="N2897" t="s">
        <v>10521</v>
      </c>
      <c r="O2897" t="s">
        <v>0</v>
      </c>
      <c r="P2897" t="s">
        <v>10522</v>
      </c>
      <c r="Q2897" t="s">
        <v>10523</v>
      </c>
      <c r="R2897" t="s">
        <v>484</v>
      </c>
      <c r="S2897" t="s">
        <v>484</v>
      </c>
      <c r="T2897" t="s">
        <v>10217</v>
      </c>
      <c r="U2897" t="s">
        <v>274</v>
      </c>
      <c r="V2897" t="s">
        <v>846</v>
      </c>
      <c r="W2897" t="s">
        <v>74</v>
      </c>
      <c r="X2897" t="s">
        <v>103</v>
      </c>
      <c r="AA2897" t="s">
        <v>847</v>
      </c>
      <c r="AB2897" t="s">
        <v>64</v>
      </c>
      <c r="AC2897" t="s">
        <v>278</v>
      </c>
      <c r="AD2897" t="s">
        <v>80</v>
      </c>
      <c r="AE2897" t="s">
        <v>82</v>
      </c>
      <c r="AF2897" t="s">
        <v>0</v>
      </c>
      <c r="AG2897" t="s">
        <v>0</v>
      </c>
      <c r="AH2897" s="1" t="s">
        <v>14430</v>
      </c>
      <c r="AI2897" s="1" t="s">
        <v>14431</v>
      </c>
      <c r="AJ2897" s="1" t="s">
        <v>14432</v>
      </c>
      <c r="AK2897" t="s">
        <v>61</v>
      </c>
      <c r="AL2897" t="s">
        <v>61</v>
      </c>
      <c r="AM2897" t="s">
        <v>0</v>
      </c>
      <c r="AN2897" t="s">
        <v>0</v>
      </c>
      <c r="AO2897" t="s">
        <v>0</v>
      </c>
      <c r="AP2897" t="s">
        <v>0</v>
      </c>
      <c r="AQ2897" t="s">
        <v>0</v>
      </c>
      <c r="AR2897" t="s">
        <v>61</v>
      </c>
      <c r="AS2897" t="str">
        <f>HYPERLINK("https://tessa.gazprom-neft.local/edo/card/8262ce82-6437-4531-b271-fadf926271f8", "https://tessa.gazprom-neft.local/edo/card/8262ce82-6437-4531-b271-fadf926271f8")</f>
        <v>https://tessa.gazprom-neft.local/edo/card/8262ce82-6437-4531-b271-fadf926271f8</v>
      </c>
    </row>
    <row r="2898" spans="1:45" x14ac:dyDescent="0.25">
      <c r="A2898" t="s">
        <v>44</v>
      </c>
      <c r="B2898" t="s">
        <v>436</v>
      </c>
      <c r="C2898" t="s">
        <v>67</v>
      </c>
      <c r="F2898" s="18" t="s">
        <v>437</v>
      </c>
      <c r="G2898" t="s">
        <v>438</v>
      </c>
      <c r="H2898" t="s">
        <v>8578</v>
      </c>
      <c r="I2898" t="s">
        <v>0</v>
      </c>
      <c r="J2898" t="s">
        <v>8112</v>
      </c>
      <c r="K2898" t="s">
        <v>47</v>
      </c>
      <c r="L2898" t="s">
        <v>48</v>
      </c>
      <c r="M2898" t="s">
        <v>0</v>
      </c>
      <c r="N2898" t="s">
        <v>10524</v>
      </c>
      <c r="O2898" t="s">
        <v>0</v>
      </c>
      <c r="P2898" t="s">
        <v>10525</v>
      </c>
      <c r="Q2898" t="s">
        <v>10526</v>
      </c>
      <c r="R2898" t="s">
        <v>484</v>
      </c>
      <c r="S2898" t="s">
        <v>484</v>
      </c>
      <c r="T2898" t="s">
        <v>10217</v>
      </c>
      <c r="U2898" t="s">
        <v>274</v>
      </c>
      <c r="V2898" t="s">
        <v>864</v>
      </c>
      <c r="W2898" t="s">
        <v>57</v>
      </c>
      <c r="X2898" t="s">
        <v>103</v>
      </c>
      <c r="AA2898" t="s">
        <v>865</v>
      </c>
      <c r="AB2898" t="s">
        <v>64</v>
      </c>
      <c r="AC2898" t="s">
        <v>278</v>
      </c>
      <c r="AD2898" t="s">
        <v>80</v>
      </c>
      <c r="AE2898" t="s">
        <v>82</v>
      </c>
      <c r="AF2898" t="s">
        <v>0</v>
      </c>
      <c r="AG2898" t="s">
        <v>0</v>
      </c>
      <c r="AH2898" s="1" t="s">
        <v>14433</v>
      </c>
      <c r="AI2898" s="1" t="s">
        <v>14434</v>
      </c>
      <c r="AJ2898" s="1" t="s">
        <v>14435</v>
      </c>
      <c r="AK2898" t="s">
        <v>61</v>
      </c>
      <c r="AL2898" t="s">
        <v>61</v>
      </c>
      <c r="AM2898" t="s">
        <v>0</v>
      </c>
      <c r="AN2898" t="s">
        <v>0</v>
      </c>
      <c r="AO2898" t="s">
        <v>0</v>
      </c>
      <c r="AP2898" t="s">
        <v>0</v>
      </c>
      <c r="AQ2898" t="s">
        <v>0</v>
      </c>
      <c r="AR2898" t="s">
        <v>61</v>
      </c>
      <c r="AS2898" t="str">
        <f>HYPERLINK("https://tessa.gazprom-neft.local/edo/card/8000556d-6981-43c2-bbb6-a9ddd3433f8a", "https://tessa.gazprom-neft.local/edo/card/8000556d-6981-43c2-bbb6-a9ddd3433f8a")</f>
        <v>https://tessa.gazprom-neft.local/edo/card/8000556d-6981-43c2-bbb6-a9ddd3433f8a</v>
      </c>
    </row>
    <row r="2899" spans="1:45" hidden="1" x14ac:dyDescent="0.25">
      <c r="A2899" t="s">
        <v>44</v>
      </c>
      <c r="B2899" t="s">
        <v>801</v>
      </c>
      <c r="C2899" t="s">
        <v>67</v>
      </c>
      <c r="F2899" s="18" t="s">
        <v>802</v>
      </c>
      <c r="G2899" t="s">
        <v>803</v>
      </c>
      <c r="H2899" t="s">
        <v>0</v>
      </c>
      <c r="I2899" t="s">
        <v>10528</v>
      </c>
      <c r="J2899" t="s">
        <v>10528</v>
      </c>
      <c r="K2899" t="s">
        <v>47</v>
      </c>
      <c r="L2899" t="s">
        <v>96</v>
      </c>
      <c r="M2899" t="s">
        <v>0</v>
      </c>
      <c r="N2899" t="s">
        <v>10527</v>
      </c>
      <c r="O2899" t="s">
        <v>0</v>
      </c>
      <c r="P2899" t="s">
        <v>10529</v>
      </c>
      <c r="Q2899" t="s">
        <v>10530</v>
      </c>
      <c r="R2899" t="s">
        <v>282</v>
      </c>
      <c r="S2899" t="s">
        <v>0</v>
      </c>
      <c r="T2899" t="s">
        <v>10217</v>
      </c>
      <c r="U2899" t="s">
        <v>55</v>
      </c>
      <c r="V2899" t="s">
        <v>56</v>
      </c>
      <c r="W2899" t="s">
        <v>74</v>
      </c>
      <c r="X2899" t="s">
        <v>103</v>
      </c>
      <c r="AA2899" t="s">
        <v>0</v>
      </c>
      <c r="AB2899" t="s">
        <v>130</v>
      </c>
      <c r="AC2899" t="s">
        <v>278</v>
      </c>
      <c r="AD2899" t="s">
        <v>80</v>
      </c>
      <c r="AE2899" t="s">
        <v>82</v>
      </c>
      <c r="AF2899" t="s">
        <v>0</v>
      </c>
      <c r="AG2899" t="s">
        <v>0</v>
      </c>
      <c r="AH2899" s="1" t="s">
        <v>14436</v>
      </c>
      <c r="AI2899" s="1" t="s">
        <v>14437</v>
      </c>
      <c r="AJ2899" s="1" t="s">
        <v>14438</v>
      </c>
      <c r="AK2899" t="s">
        <v>61</v>
      </c>
      <c r="AL2899" t="s">
        <v>61</v>
      </c>
      <c r="AM2899" t="s">
        <v>0</v>
      </c>
      <c r="AN2899" t="s">
        <v>0</v>
      </c>
      <c r="AO2899" t="s">
        <v>0</v>
      </c>
      <c r="AP2899" t="s">
        <v>0</v>
      </c>
      <c r="AQ2899" t="s">
        <v>0</v>
      </c>
      <c r="AR2899" t="s">
        <v>61</v>
      </c>
      <c r="AS2899" t="str">
        <f>HYPERLINK("https://tessa.gazprom-neft.local/edo/card/408ae42d-1cd5-43c0-bcbe-150797c22309", "https://tessa.gazprom-neft.local/edo/card/408ae42d-1cd5-43c0-bcbe-150797c22309")</f>
        <v>https://tessa.gazprom-neft.local/edo/card/408ae42d-1cd5-43c0-bcbe-150797c22309</v>
      </c>
    </row>
    <row r="2900" spans="1:45" x14ac:dyDescent="0.25">
      <c r="A2900" t="s">
        <v>44</v>
      </c>
      <c r="B2900" t="s">
        <v>1684</v>
      </c>
      <c r="C2900" t="s">
        <v>67</v>
      </c>
      <c r="F2900" s="18" t="s">
        <v>1685</v>
      </c>
      <c r="G2900" t="s">
        <v>1686</v>
      </c>
      <c r="H2900" t="s">
        <v>10239</v>
      </c>
      <c r="I2900" t="s">
        <v>0</v>
      </c>
      <c r="J2900" t="s">
        <v>156</v>
      </c>
      <c r="K2900" t="s">
        <v>47</v>
      </c>
      <c r="L2900" t="s">
        <v>48</v>
      </c>
      <c r="M2900" t="s">
        <v>0</v>
      </c>
      <c r="N2900" t="s">
        <v>10531</v>
      </c>
      <c r="O2900" t="s">
        <v>0</v>
      </c>
      <c r="P2900" t="s">
        <v>10532</v>
      </c>
      <c r="Q2900" t="s">
        <v>10533</v>
      </c>
      <c r="R2900" t="s">
        <v>10241</v>
      </c>
      <c r="S2900" t="s">
        <v>10241</v>
      </c>
      <c r="T2900" t="s">
        <v>10217</v>
      </c>
      <c r="U2900" t="s">
        <v>101</v>
      </c>
      <c r="V2900" t="s">
        <v>168</v>
      </c>
      <c r="W2900" t="s">
        <v>74</v>
      </c>
      <c r="X2900" t="s">
        <v>103</v>
      </c>
      <c r="AA2900" t="s">
        <v>169</v>
      </c>
      <c r="AB2900" t="s">
        <v>366</v>
      </c>
      <c r="AC2900" t="s">
        <v>278</v>
      </c>
      <c r="AD2900" t="s">
        <v>367</v>
      </c>
      <c r="AE2900" t="s">
        <v>82</v>
      </c>
      <c r="AF2900" t="s">
        <v>0</v>
      </c>
      <c r="AG2900" t="s">
        <v>0</v>
      </c>
      <c r="AH2900" s="1" t="s">
        <v>14439</v>
      </c>
      <c r="AI2900" s="1" t="s">
        <v>14440</v>
      </c>
      <c r="AJ2900" s="1" t="s">
        <v>14441</v>
      </c>
      <c r="AK2900" t="s">
        <v>61</v>
      </c>
      <c r="AL2900" t="s">
        <v>61</v>
      </c>
      <c r="AM2900" t="s">
        <v>0</v>
      </c>
      <c r="AN2900" t="s">
        <v>0</v>
      </c>
      <c r="AO2900" t="s">
        <v>0</v>
      </c>
      <c r="AP2900" t="s">
        <v>0</v>
      </c>
      <c r="AQ2900" t="s">
        <v>0</v>
      </c>
      <c r="AR2900" t="s">
        <v>61</v>
      </c>
      <c r="AS2900" t="str">
        <f>HYPERLINK("https://tessa.gazprom-neft.local/edo/card/8e4a4921-cba7-4e82-a258-ee312a0f9858", "https://tessa.gazprom-neft.local/edo/card/8e4a4921-cba7-4e82-a258-ee312a0f9858")</f>
        <v>https://tessa.gazprom-neft.local/edo/card/8e4a4921-cba7-4e82-a258-ee312a0f9858</v>
      </c>
    </row>
    <row r="2901" spans="1:45" hidden="1" x14ac:dyDescent="0.25">
      <c r="A2901" t="s">
        <v>44</v>
      </c>
      <c r="B2901" t="s">
        <v>497</v>
      </c>
      <c r="C2901" t="s">
        <v>67</v>
      </c>
      <c r="F2901" s="18" t="s">
        <v>498</v>
      </c>
      <c r="G2901" t="s">
        <v>499</v>
      </c>
      <c r="H2901" t="s">
        <v>494</v>
      </c>
      <c r="I2901" t="s">
        <v>0</v>
      </c>
      <c r="J2901" t="s">
        <v>156</v>
      </c>
      <c r="K2901" t="s">
        <v>47</v>
      </c>
      <c r="L2901" t="s">
        <v>493</v>
      </c>
      <c r="M2901" t="s">
        <v>0</v>
      </c>
      <c r="N2901" t="s">
        <v>10534</v>
      </c>
      <c r="O2901" t="s">
        <v>0</v>
      </c>
      <c r="P2901" t="s">
        <v>10535</v>
      </c>
      <c r="Q2901" t="s">
        <v>10536</v>
      </c>
      <c r="R2901" t="s">
        <v>4156</v>
      </c>
      <c r="S2901" t="s">
        <v>4156</v>
      </c>
      <c r="T2901" t="s">
        <v>10217</v>
      </c>
      <c r="U2901" t="s">
        <v>294</v>
      </c>
      <c r="V2901" t="s">
        <v>295</v>
      </c>
      <c r="W2901" t="s">
        <v>74</v>
      </c>
      <c r="X2901" t="s">
        <v>103</v>
      </c>
      <c r="AA2901" t="s">
        <v>296</v>
      </c>
      <c r="AB2901" t="s">
        <v>500</v>
      </c>
      <c r="AC2901" t="s">
        <v>278</v>
      </c>
      <c r="AD2901" t="s">
        <v>80</v>
      </c>
      <c r="AE2901" t="s">
        <v>82</v>
      </c>
      <c r="AF2901" t="s">
        <v>0</v>
      </c>
      <c r="AG2901" t="s">
        <v>0</v>
      </c>
      <c r="AH2901" s="1" t="s">
        <v>14442</v>
      </c>
      <c r="AI2901" s="1" t="s">
        <v>14443</v>
      </c>
      <c r="AJ2901" s="1" t="s">
        <v>14444</v>
      </c>
      <c r="AK2901" t="s">
        <v>61</v>
      </c>
      <c r="AL2901" t="s">
        <v>61</v>
      </c>
      <c r="AM2901" t="s">
        <v>0</v>
      </c>
      <c r="AN2901" t="s">
        <v>0</v>
      </c>
      <c r="AO2901" t="s">
        <v>0</v>
      </c>
      <c r="AP2901" t="s">
        <v>0</v>
      </c>
      <c r="AQ2901" t="s">
        <v>0</v>
      </c>
      <c r="AR2901" t="s">
        <v>61</v>
      </c>
      <c r="AS2901" t="str">
        <f>HYPERLINK("https://tessa.gazprom-neft.local/edo/card/fa05cadf-b230-4031-961c-f4eadfd8bb9d", "https://tessa.gazprom-neft.local/edo/card/fa05cadf-b230-4031-961c-f4eadfd8bb9d")</f>
        <v>https://tessa.gazprom-neft.local/edo/card/fa05cadf-b230-4031-961c-f4eadfd8bb9d</v>
      </c>
    </row>
    <row r="2902" spans="1:45" x14ac:dyDescent="0.25">
      <c r="A2902" t="s">
        <v>44</v>
      </c>
      <c r="B2902" t="s">
        <v>245</v>
      </c>
      <c r="C2902" t="s">
        <v>67</v>
      </c>
      <c r="F2902" s="18" t="s">
        <v>246</v>
      </c>
      <c r="G2902" t="s">
        <v>247</v>
      </c>
      <c r="H2902" t="s">
        <v>10538</v>
      </c>
      <c r="I2902" t="s">
        <v>0</v>
      </c>
      <c r="J2902" t="s">
        <v>271</v>
      </c>
      <c r="K2902" t="s">
        <v>47</v>
      </c>
      <c r="L2902" t="s">
        <v>48</v>
      </c>
      <c r="M2902" t="s">
        <v>0</v>
      </c>
      <c r="N2902" t="s">
        <v>10537</v>
      </c>
      <c r="O2902" t="s">
        <v>0</v>
      </c>
      <c r="P2902" t="s">
        <v>10539</v>
      </c>
      <c r="Q2902" t="s">
        <v>10540</v>
      </c>
      <c r="R2902" t="s">
        <v>484</v>
      </c>
      <c r="S2902" t="s">
        <v>484</v>
      </c>
      <c r="T2902" t="s">
        <v>10217</v>
      </c>
      <c r="U2902" t="s">
        <v>274</v>
      </c>
      <c r="V2902" t="s">
        <v>864</v>
      </c>
      <c r="W2902" t="s">
        <v>74</v>
      </c>
      <c r="X2902" t="s">
        <v>103</v>
      </c>
      <c r="AA2902" t="s">
        <v>865</v>
      </c>
      <c r="AB2902" t="s">
        <v>256</v>
      </c>
      <c r="AC2902" t="s">
        <v>65</v>
      </c>
      <c r="AD2902" t="s">
        <v>0</v>
      </c>
      <c r="AE2902" t="s">
        <v>0</v>
      </c>
      <c r="AF2902" t="s">
        <v>0</v>
      </c>
      <c r="AG2902" t="s">
        <v>0</v>
      </c>
      <c r="AH2902" s="1" t="s">
        <v>0</v>
      </c>
      <c r="AI2902" s="1" t="s">
        <v>0</v>
      </c>
      <c r="AJ2902" s="1" t="s">
        <v>0</v>
      </c>
      <c r="AK2902" t="s">
        <v>61</v>
      </c>
      <c r="AL2902" t="s">
        <v>61</v>
      </c>
      <c r="AM2902" t="s">
        <v>0</v>
      </c>
      <c r="AN2902" t="s">
        <v>0</v>
      </c>
      <c r="AO2902" t="s">
        <v>0</v>
      </c>
      <c r="AP2902" t="s">
        <v>0</v>
      </c>
      <c r="AQ2902" t="s">
        <v>0</v>
      </c>
      <c r="AR2902" t="s">
        <v>61</v>
      </c>
      <c r="AS2902" t="str">
        <f>HYPERLINK("https://tessa.gazprom-neft.local/edo/card/eb582e18-f4e3-4040-9410-1c6b772fa34f", "https://tessa.gazprom-neft.local/edo/card/eb582e18-f4e3-4040-9410-1c6b772fa34f")</f>
        <v>https://tessa.gazprom-neft.local/edo/card/eb582e18-f4e3-4040-9410-1c6b772fa34f</v>
      </c>
    </row>
    <row r="2903" spans="1:45" hidden="1" x14ac:dyDescent="0.25">
      <c r="A2903" t="s">
        <v>44</v>
      </c>
      <c r="B2903" t="s">
        <v>801</v>
      </c>
      <c r="C2903" t="s">
        <v>67</v>
      </c>
      <c r="F2903" s="18" t="s">
        <v>802</v>
      </c>
      <c r="G2903" t="s">
        <v>803</v>
      </c>
      <c r="H2903" t="s">
        <v>0</v>
      </c>
      <c r="I2903" t="s">
        <v>10542</v>
      </c>
      <c r="J2903" t="s">
        <v>10542</v>
      </c>
      <c r="K2903" t="s">
        <v>85</v>
      </c>
      <c r="L2903" t="s">
        <v>86</v>
      </c>
      <c r="M2903" t="s">
        <v>3500</v>
      </c>
      <c r="N2903" t="s">
        <v>10541</v>
      </c>
      <c r="O2903" t="s">
        <v>0</v>
      </c>
      <c r="P2903" t="s">
        <v>3500</v>
      </c>
      <c r="Q2903" t="s">
        <v>8252</v>
      </c>
      <c r="R2903" t="s">
        <v>799</v>
      </c>
      <c r="S2903" t="s">
        <v>0</v>
      </c>
      <c r="T2903" t="s">
        <v>10217</v>
      </c>
      <c r="U2903" t="s">
        <v>303</v>
      </c>
      <c r="V2903" t="s">
        <v>91</v>
      </c>
      <c r="W2903" t="s">
        <v>74</v>
      </c>
      <c r="X2903" t="s">
        <v>58</v>
      </c>
      <c r="AA2903" t="s">
        <v>92</v>
      </c>
      <c r="AB2903" t="s">
        <v>94</v>
      </c>
      <c r="AC2903" t="s">
        <v>65</v>
      </c>
      <c r="AD2903" t="s">
        <v>0</v>
      </c>
      <c r="AE2903" t="s">
        <v>0</v>
      </c>
      <c r="AF2903" t="s">
        <v>0</v>
      </c>
      <c r="AG2903" t="s">
        <v>0</v>
      </c>
      <c r="AH2903" s="1" t="s">
        <v>0</v>
      </c>
      <c r="AI2903" s="1" t="s">
        <v>0</v>
      </c>
      <c r="AJ2903" s="1" t="s">
        <v>0</v>
      </c>
      <c r="AK2903" t="s">
        <v>61</v>
      </c>
      <c r="AL2903" t="s">
        <v>61</v>
      </c>
      <c r="AM2903" t="s">
        <v>0</v>
      </c>
      <c r="AN2903" t="s">
        <v>0</v>
      </c>
      <c r="AO2903" t="s">
        <v>0</v>
      </c>
      <c r="AP2903" t="s">
        <v>10248</v>
      </c>
      <c r="AQ2903" t="s">
        <v>0</v>
      </c>
      <c r="AR2903" t="s">
        <v>61</v>
      </c>
      <c r="AS2903" t="str">
        <f>HYPERLINK("https://tessa.gazprom-neft.local/edo/card/c0e7a4c6-0fd2-4b25-ab24-3f154bf0a67b", "https://tessa.gazprom-neft.local/edo/card/c0e7a4c6-0fd2-4b25-ab24-3f154bf0a67b")</f>
        <v>https://tessa.gazprom-neft.local/edo/card/c0e7a4c6-0fd2-4b25-ab24-3f154bf0a67b</v>
      </c>
    </row>
    <row r="2904" spans="1:45" x14ac:dyDescent="0.25">
      <c r="A2904" t="s">
        <v>44</v>
      </c>
      <c r="B2904" t="s">
        <v>793</v>
      </c>
      <c r="C2904" t="s">
        <v>67</v>
      </c>
      <c r="F2904" s="18" t="s">
        <v>794</v>
      </c>
      <c r="G2904" t="s">
        <v>795</v>
      </c>
      <c r="H2904" t="s">
        <v>10255</v>
      </c>
      <c r="I2904" t="s">
        <v>0</v>
      </c>
      <c r="J2904" t="s">
        <v>156</v>
      </c>
      <c r="K2904" t="s">
        <v>47</v>
      </c>
      <c r="L2904" t="s">
        <v>48</v>
      </c>
      <c r="M2904" t="s">
        <v>0</v>
      </c>
      <c r="N2904" t="s">
        <v>10543</v>
      </c>
      <c r="O2904" t="s">
        <v>0</v>
      </c>
      <c r="P2904" t="s">
        <v>10544</v>
      </c>
      <c r="Q2904" t="s">
        <v>1291</v>
      </c>
      <c r="R2904" t="s">
        <v>361</v>
      </c>
      <c r="S2904" t="s">
        <v>361</v>
      </c>
      <c r="T2904" t="s">
        <v>10217</v>
      </c>
      <c r="U2904" t="s">
        <v>362</v>
      </c>
      <c r="V2904" t="s">
        <v>295</v>
      </c>
      <c r="W2904" t="s">
        <v>74</v>
      </c>
      <c r="X2904" t="s">
        <v>103</v>
      </c>
      <c r="AA2904" t="s">
        <v>296</v>
      </c>
      <c r="AB2904" t="s">
        <v>366</v>
      </c>
      <c r="AC2904" t="s">
        <v>65</v>
      </c>
      <c r="AD2904" t="s">
        <v>367</v>
      </c>
      <c r="AE2904" t="s">
        <v>0</v>
      </c>
      <c r="AF2904" t="s">
        <v>0</v>
      </c>
      <c r="AG2904" t="s">
        <v>0</v>
      </c>
      <c r="AH2904" s="1" t="s">
        <v>0</v>
      </c>
      <c r="AI2904" s="1" t="s">
        <v>0</v>
      </c>
      <c r="AJ2904" s="1" t="s">
        <v>0</v>
      </c>
      <c r="AK2904" t="s">
        <v>61</v>
      </c>
      <c r="AL2904" t="s">
        <v>61</v>
      </c>
      <c r="AM2904" t="s">
        <v>0</v>
      </c>
      <c r="AN2904" t="s">
        <v>0</v>
      </c>
      <c r="AO2904" t="s">
        <v>0</v>
      </c>
      <c r="AP2904" t="s">
        <v>0</v>
      </c>
      <c r="AQ2904" t="s">
        <v>0</v>
      </c>
      <c r="AR2904" t="s">
        <v>61</v>
      </c>
      <c r="AS2904" t="str">
        <f>HYPERLINK("https://tessa.gazprom-neft.local/edo/card/2c11b972-6861-49b0-9913-8db45f6dd341", "https://tessa.gazprom-neft.local/edo/card/2c11b972-6861-49b0-9913-8db45f6dd341")</f>
        <v>https://tessa.gazprom-neft.local/edo/card/2c11b972-6861-49b0-9913-8db45f6dd341</v>
      </c>
    </row>
    <row r="2905" spans="1:45" hidden="1" x14ac:dyDescent="0.25">
      <c r="A2905" t="s">
        <v>44</v>
      </c>
      <c r="B2905" t="s">
        <v>436</v>
      </c>
      <c r="C2905" t="s">
        <v>67</v>
      </c>
      <c r="F2905" s="18" t="s">
        <v>437</v>
      </c>
      <c r="G2905" t="s">
        <v>438</v>
      </c>
      <c r="H2905" t="s">
        <v>10245</v>
      </c>
      <c r="I2905" t="s">
        <v>0</v>
      </c>
      <c r="J2905" t="s">
        <v>271</v>
      </c>
      <c r="K2905" t="s">
        <v>47</v>
      </c>
      <c r="L2905" t="s">
        <v>239</v>
      </c>
      <c r="M2905" t="s">
        <v>0</v>
      </c>
      <c r="N2905" t="s">
        <v>10545</v>
      </c>
      <c r="O2905" t="s">
        <v>0</v>
      </c>
      <c r="P2905" t="s">
        <v>10246</v>
      </c>
      <c r="Q2905" t="s">
        <v>10247</v>
      </c>
      <c r="R2905" t="s">
        <v>484</v>
      </c>
      <c r="S2905" t="s">
        <v>484</v>
      </c>
      <c r="T2905" t="s">
        <v>10217</v>
      </c>
      <c r="U2905" t="s">
        <v>274</v>
      </c>
      <c r="V2905" t="s">
        <v>56</v>
      </c>
      <c r="W2905" t="s">
        <v>74</v>
      </c>
      <c r="X2905" t="s">
        <v>103</v>
      </c>
      <c r="AA2905" t="s">
        <v>59</v>
      </c>
      <c r="AB2905" t="s">
        <v>64</v>
      </c>
      <c r="AC2905" t="s">
        <v>278</v>
      </c>
      <c r="AD2905" t="s">
        <v>144</v>
      </c>
      <c r="AE2905" t="s">
        <v>82</v>
      </c>
      <c r="AF2905" t="s">
        <v>0</v>
      </c>
      <c r="AG2905" t="s">
        <v>0</v>
      </c>
      <c r="AH2905" s="1" t="s">
        <v>14445</v>
      </c>
      <c r="AI2905" s="1" t="s">
        <v>14446</v>
      </c>
      <c r="AJ2905" s="1" t="s">
        <v>14447</v>
      </c>
      <c r="AK2905" t="s">
        <v>61</v>
      </c>
      <c r="AL2905" t="s">
        <v>61</v>
      </c>
      <c r="AM2905" t="s">
        <v>0</v>
      </c>
      <c r="AN2905" t="s">
        <v>0</v>
      </c>
      <c r="AO2905" t="s">
        <v>0</v>
      </c>
      <c r="AP2905" t="s">
        <v>10248</v>
      </c>
      <c r="AQ2905" t="s">
        <v>0</v>
      </c>
      <c r="AR2905" t="s">
        <v>61</v>
      </c>
      <c r="AS2905" t="str">
        <f>HYPERLINK("https://tessa.gazprom-neft.local/edo/card/990329c6-c975-432a-b7f8-1b9dff85a1ec", "https://tessa.gazprom-neft.local/edo/card/990329c6-c975-432a-b7f8-1b9dff85a1ec")</f>
        <v>https://tessa.gazprom-neft.local/edo/card/990329c6-c975-432a-b7f8-1b9dff85a1ec</v>
      </c>
    </row>
    <row r="2906" spans="1:45" x14ac:dyDescent="0.25">
      <c r="A2906" t="s">
        <v>44</v>
      </c>
      <c r="B2906" t="s">
        <v>1084</v>
      </c>
      <c r="C2906" t="s">
        <v>67</v>
      </c>
      <c r="F2906" s="18" t="s">
        <v>1085</v>
      </c>
      <c r="G2906" t="s">
        <v>1086</v>
      </c>
      <c r="H2906" t="s">
        <v>10261</v>
      </c>
      <c r="I2906" t="s">
        <v>0</v>
      </c>
      <c r="J2906" t="s">
        <v>156</v>
      </c>
      <c r="K2906" t="s">
        <v>47</v>
      </c>
      <c r="L2906" t="s">
        <v>48</v>
      </c>
      <c r="M2906" t="s">
        <v>0</v>
      </c>
      <c r="N2906" t="s">
        <v>10546</v>
      </c>
      <c r="O2906" t="s">
        <v>0</v>
      </c>
      <c r="P2906" t="s">
        <v>1474</v>
      </c>
      <c r="Q2906" t="s">
        <v>10547</v>
      </c>
      <c r="R2906" t="s">
        <v>1083</v>
      </c>
      <c r="S2906" t="s">
        <v>10253</v>
      </c>
      <c r="T2906" t="s">
        <v>10217</v>
      </c>
      <c r="U2906" t="s">
        <v>1043</v>
      </c>
      <c r="V2906" t="s">
        <v>723</v>
      </c>
      <c r="W2906" t="s">
        <v>74</v>
      </c>
      <c r="X2906" t="s">
        <v>58</v>
      </c>
      <c r="AA2906" t="s">
        <v>1031</v>
      </c>
      <c r="AB2906" t="s">
        <v>64</v>
      </c>
      <c r="AC2906" t="s">
        <v>65</v>
      </c>
      <c r="AD2906" t="s">
        <v>0</v>
      </c>
      <c r="AE2906" t="s">
        <v>0</v>
      </c>
      <c r="AF2906" t="s">
        <v>0</v>
      </c>
      <c r="AG2906" t="s">
        <v>0</v>
      </c>
      <c r="AH2906" s="1" t="s">
        <v>0</v>
      </c>
      <c r="AI2906" s="1" t="s">
        <v>0</v>
      </c>
      <c r="AJ2906" s="1" t="s">
        <v>0</v>
      </c>
      <c r="AK2906" t="s">
        <v>61</v>
      </c>
      <c r="AL2906" t="s">
        <v>61</v>
      </c>
      <c r="AM2906" t="s">
        <v>0</v>
      </c>
      <c r="AN2906" t="s">
        <v>0</v>
      </c>
      <c r="AO2906" t="s">
        <v>0</v>
      </c>
      <c r="AP2906" t="s">
        <v>0</v>
      </c>
      <c r="AQ2906" t="s">
        <v>0</v>
      </c>
      <c r="AR2906" t="s">
        <v>61</v>
      </c>
      <c r="AS2906" t="str">
        <f>HYPERLINK("https://tessa.gazprom-neft.local/edo/card/c108459f-1c97-47fd-93fe-f8973aa042aa", "https://tessa.gazprom-neft.local/edo/card/c108459f-1c97-47fd-93fe-f8973aa042aa")</f>
        <v>https://tessa.gazprom-neft.local/edo/card/c108459f-1c97-47fd-93fe-f8973aa042aa</v>
      </c>
    </row>
    <row r="2907" spans="1:45" x14ac:dyDescent="0.25">
      <c r="A2907" t="s">
        <v>44</v>
      </c>
      <c r="B2907" t="s">
        <v>964</v>
      </c>
      <c r="C2907" t="s">
        <v>67</v>
      </c>
      <c r="F2907" s="18" t="s">
        <v>965</v>
      </c>
      <c r="G2907" t="s">
        <v>966</v>
      </c>
      <c r="H2907" t="s">
        <v>10489</v>
      </c>
      <c r="I2907" t="s">
        <v>0</v>
      </c>
      <c r="J2907" t="s">
        <v>51</v>
      </c>
      <c r="K2907" t="s">
        <v>47</v>
      </c>
      <c r="L2907" t="s">
        <v>48</v>
      </c>
      <c r="M2907" t="s">
        <v>0</v>
      </c>
      <c r="N2907" t="s">
        <v>10548</v>
      </c>
      <c r="O2907" t="s">
        <v>0</v>
      </c>
      <c r="P2907" t="s">
        <v>10549</v>
      </c>
      <c r="Q2907" t="s">
        <v>1291</v>
      </c>
      <c r="R2907" t="s">
        <v>361</v>
      </c>
      <c r="S2907" t="s">
        <v>361</v>
      </c>
      <c r="T2907" t="s">
        <v>10217</v>
      </c>
      <c r="U2907" t="s">
        <v>362</v>
      </c>
      <c r="V2907" t="s">
        <v>295</v>
      </c>
      <c r="W2907" t="s">
        <v>74</v>
      </c>
      <c r="X2907" t="s">
        <v>103</v>
      </c>
      <c r="AA2907" t="s">
        <v>296</v>
      </c>
      <c r="AB2907" t="s">
        <v>366</v>
      </c>
      <c r="AC2907" t="s">
        <v>65</v>
      </c>
      <c r="AD2907" t="s">
        <v>367</v>
      </c>
      <c r="AE2907" t="s">
        <v>0</v>
      </c>
      <c r="AF2907" t="s">
        <v>0</v>
      </c>
      <c r="AG2907" t="s">
        <v>0</v>
      </c>
      <c r="AH2907" s="1" t="s">
        <v>0</v>
      </c>
      <c r="AI2907" s="1" t="s">
        <v>0</v>
      </c>
      <c r="AJ2907" s="1" t="s">
        <v>0</v>
      </c>
      <c r="AK2907" t="s">
        <v>61</v>
      </c>
      <c r="AL2907" t="s">
        <v>61</v>
      </c>
      <c r="AM2907" t="s">
        <v>0</v>
      </c>
      <c r="AN2907" t="s">
        <v>0</v>
      </c>
      <c r="AO2907" t="s">
        <v>0</v>
      </c>
      <c r="AP2907" t="s">
        <v>0</v>
      </c>
      <c r="AQ2907" t="s">
        <v>0</v>
      </c>
      <c r="AR2907" t="s">
        <v>61</v>
      </c>
      <c r="AS2907" t="str">
        <f>HYPERLINK("https://tessa.gazprom-neft.local/edo/card/8d5e6e45-498c-4071-823c-5bec16fb9023", "https://tessa.gazprom-neft.local/edo/card/8d5e6e45-498c-4071-823c-5bec16fb9023")</f>
        <v>https://tessa.gazprom-neft.local/edo/card/8d5e6e45-498c-4071-823c-5bec16fb9023</v>
      </c>
    </row>
    <row r="2908" spans="1:45" x14ac:dyDescent="0.25">
      <c r="A2908" t="s">
        <v>44</v>
      </c>
      <c r="B2908" t="s">
        <v>245</v>
      </c>
      <c r="C2908" t="s">
        <v>67</v>
      </c>
      <c r="F2908" s="18" t="s">
        <v>246</v>
      </c>
      <c r="G2908" t="s">
        <v>247</v>
      </c>
      <c r="H2908" t="s">
        <v>10538</v>
      </c>
      <c r="I2908" t="s">
        <v>0</v>
      </c>
      <c r="J2908" t="s">
        <v>51</v>
      </c>
      <c r="K2908" t="s">
        <v>47</v>
      </c>
      <c r="L2908" t="s">
        <v>48</v>
      </c>
      <c r="M2908" t="s">
        <v>0</v>
      </c>
      <c r="N2908" t="s">
        <v>10550</v>
      </c>
      <c r="O2908" t="s">
        <v>0</v>
      </c>
      <c r="P2908" t="s">
        <v>10551</v>
      </c>
      <c r="Q2908" t="s">
        <v>10551</v>
      </c>
      <c r="R2908" t="s">
        <v>233</v>
      </c>
      <c r="S2908" t="s">
        <v>233</v>
      </c>
      <c r="T2908" t="s">
        <v>10217</v>
      </c>
      <c r="U2908" t="s">
        <v>55</v>
      </c>
      <c r="V2908" t="s">
        <v>917</v>
      </c>
      <c r="W2908" t="s">
        <v>74</v>
      </c>
      <c r="X2908" t="s">
        <v>103</v>
      </c>
      <c r="AA2908" t="s">
        <v>1278</v>
      </c>
      <c r="AB2908" t="s">
        <v>256</v>
      </c>
      <c r="AC2908" t="s">
        <v>278</v>
      </c>
      <c r="AD2908" t="s">
        <v>144</v>
      </c>
      <c r="AE2908" t="s">
        <v>82</v>
      </c>
      <c r="AF2908" t="s">
        <v>0</v>
      </c>
      <c r="AG2908" t="s">
        <v>0</v>
      </c>
      <c r="AH2908" s="1" t="s">
        <v>14448</v>
      </c>
      <c r="AI2908" s="1" t="s">
        <v>14449</v>
      </c>
      <c r="AJ2908" s="1" t="s">
        <v>14450</v>
      </c>
      <c r="AK2908" t="s">
        <v>61</v>
      </c>
      <c r="AL2908" t="s">
        <v>61</v>
      </c>
      <c r="AM2908" t="s">
        <v>0</v>
      </c>
      <c r="AN2908" t="s">
        <v>0</v>
      </c>
      <c r="AO2908" t="s">
        <v>0</v>
      </c>
      <c r="AP2908" t="s">
        <v>0</v>
      </c>
      <c r="AQ2908" t="s">
        <v>0</v>
      </c>
      <c r="AR2908" t="s">
        <v>61</v>
      </c>
      <c r="AS2908" t="str">
        <f>HYPERLINK("https://tessa.gazprom-neft.local/edo/card/5b4272cf-8bac-4620-a47e-332b7ddbfe45", "https://tessa.gazprom-neft.local/edo/card/5b4272cf-8bac-4620-a47e-332b7ddbfe45")</f>
        <v>https://tessa.gazprom-neft.local/edo/card/5b4272cf-8bac-4620-a47e-332b7ddbfe45</v>
      </c>
    </row>
    <row r="2909" spans="1:45" hidden="1" x14ac:dyDescent="0.25">
      <c r="A2909" t="s">
        <v>44</v>
      </c>
      <c r="B2909" t="s">
        <v>245</v>
      </c>
      <c r="C2909" t="s">
        <v>67</v>
      </c>
      <c r="F2909" s="18" t="s">
        <v>246</v>
      </c>
      <c r="G2909" t="s">
        <v>247</v>
      </c>
      <c r="H2909" t="s">
        <v>1105</v>
      </c>
      <c r="I2909" t="s">
        <v>0</v>
      </c>
      <c r="J2909" t="s">
        <v>10554</v>
      </c>
      <c r="K2909" t="s">
        <v>47</v>
      </c>
      <c r="L2909" t="s">
        <v>239</v>
      </c>
      <c r="M2909" t="s">
        <v>0</v>
      </c>
      <c r="N2909" t="s">
        <v>10552</v>
      </c>
      <c r="O2909" t="s">
        <v>0</v>
      </c>
      <c r="P2909" t="s">
        <v>10553</v>
      </c>
      <c r="Q2909" t="s">
        <v>10555</v>
      </c>
      <c r="R2909" t="s">
        <v>233</v>
      </c>
      <c r="S2909" t="s">
        <v>233</v>
      </c>
      <c r="T2909" t="s">
        <v>10217</v>
      </c>
      <c r="U2909" t="s">
        <v>55</v>
      </c>
      <c r="V2909" t="s">
        <v>56</v>
      </c>
      <c r="W2909" t="s">
        <v>57</v>
      </c>
      <c r="X2909" t="s">
        <v>103</v>
      </c>
      <c r="AA2909" t="s">
        <v>59</v>
      </c>
      <c r="AB2909" t="s">
        <v>328</v>
      </c>
      <c r="AC2909" t="s">
        <v>278</v>
      </c>
      <c r="AD2909" t="s">
        <v>144</v>
      </c>
      <c r="AE2909" t="s">
        <v>82</v>
      </c>
      <c r="AF2909" t="s">
        <v>0</v>
      </c>
      <c r="AG2909" t="s">
        <v>0</v>
      </c>
      <c r="AH2909" s="1" t="s">
        <v>14451</v>
      </c>
      <c r="AI2909" s="1" t="s">
        <v>14452</v>
      </c>
      <c r="AJ2909" s="1" t="s">
        <v>14453</v>
      </c>
      <c r="AK2909" t="s">
        <v>61</v>
      </c>
      <c r="AL2909" t="s">
        <v>61</v>
      </c>
      <c r="AM2909" t="s">
        <v>0</v>
      </c>
      <c r="AN2909" t="s">
        <v>0</v>
      </c>
      <c r="AO2909" t="s">
        <v>0</v>
      </c>
      <c r="AP2909" t="s">
        <v>0</v>
      </c>
      <c r="AQ2909" t="s">
        <v>0</v>
      </c>
      <c r="AR2909" t="s">
        <v>61</v>
      </c>
      <c r="AS2909" t="str">
        <f>HYPERLINK("https://tessa.gazprom-neft.local/edo/card/dc2db3e3-a64b-471c-be8b-956e2da3c5f4", "https://tessa.gazprom-neft.local/edo/card/dc2db3e3-a64b-471c-be8b-956e2da3c5f4")</f>
        <v>https://tessa.gazprom-neft.local/edo/card/dc2db3e3-a64b-471c-be8b-956e2da3c5f4</v>
      </c>
    </row>
    <row r="2910" spans="1:45" hidden="1" x14ac:dyDescent="0.25">
      <c r="A2910" t="s">
        <v>44</v>
      </c>
      <c r="B2910" t="s">
        <v>245</v>
      </c>
      <c r="C2910" t="s">
        <v>67</v>
      </c>
      <c r="F2910" s="18" t="s">
        <v>246</v>
      </c>
      <c r="G2910" t="s">
        <v>247</v>
      </c>
      <c r="H2910" t="s">
        <v>5943</v>
      </c>
      <c r="I2910" t="s">
        <v>0</v>
      </c>
      <c r="J2910" t="s">
        <v>10558</v>
      </c>
      <c r="K2910" t="s">
        <v>47</v>
      </c>
      <c r="L2910" t="s">
        <v>239</v>
      </c>
      <c r="M2910" t="s">
        <v>0</v>
      </c>
      <c r="N2910" t="s">
        <v>10556</v>
      </c>
      <c r="O2910" t="s">
        <v>0</v>
      </c>
      <c r="P2910" t="s">
        <v>10557</v>
      </c>
      <c r="Q2910" t="s">
        <v>10559</v>
      </c>
      <c r="R2910" t="s">
        <v>244</v>
      </c>
      <c r="S2910" t="s">
        <v>244</v>
      </c>
      <c r="T2910" t="s">
        <v>10217</v>
      </c>
      <c r="U2910" t="s">
        <v>55</v>
      </c>
      <c r="V2910" t="s">
        <v>917</v>
      </c>
      <c r="W2910" t="s">
        <v>74</v>
      </c>
      <c r="X2910" t="s">
        <v>103</v>
      </c>
      <c r="AA2910" t="s">
        <v>1278</v>
      </c>
      <c r="AB2910" t="s">
        <v>256</v>
      </c>
      <c r="AC2910" t="s">
        <v>278</v>
      </c>
      <c r="AD2910" t="s">
        <v>144</v>
      </c>
      <c r="AE2910" t="s">
        <v>82</v>
      </c>
      <c r="AF2910" t="s">
        <v>0</v>
      </c>
      <c r="AG2910" t="s">
        <v>0</v>
      </c>
      <c r="AH2910" s="1" t="s">
        <v>14454</v>
      </c>
      <c r="AI2910" s="1" t="s">
        <v>14455</v>
      </c>
      <c r="AJ2910" s="1" t="s">
        <v>14456</v>
      </c>
      <c r="AK2910" t="s">
        <v>61</v>
      </c>
      <c r="AL2910" t="s">
        <v>61</v>
      </c>
      <c r="AM2910" t="s">
        <v>0</v>
      </c>
      <c r="AN2910" t="s">
        <v>0</v>
      </c>
      <c r="AO2910" t="s">
        <v>0</v>
      </c>
      <c r="AP2910" t="s">
        <v>0</v>
      </c>
      <c r="AQ2910" t="s">
        <v>0</v>
      </c>
      <c r="AR2910" t="s">
        <v>61</v>
      </c>
      <c r="AS2910" t="str">
        <f>HYPERLINK("https://tessa.gazprom-neft.local/edo/card/4db01a9b-149b-43a3-be50-9fcb51a6141b", "https://tessa.gazprom-neft.local/edo/card/4db01a9b-149b-43a3-be50-9fcb51a6141b")</f>
        <v>https://tessa.gazprom-neft.local/edo/card/4db01a9b-149b-43a3-be50-9fcb51a6141b</v>
      </c>
    </row>
    <row r="2911" spans="1:45" x14ac:dyDescent="0.25">
      <c r="A2911" t="s">
        <v>44</v>
      </c>
      <c r="B2911" t="s">
        <v>1684</v>
      </c>
      <c r="C2911" t="s">
        <v>67</v>
      </c>
      <c r="F2911" s="18" t="s">
        <v>1685</v>
      </c>
      <c r="G2911" t="s">
        <v>1686</v>
      </c>
      <c r="H2911" t="s">
        <v>6195</v>
      </c>
      <c r="I2911" t="s">
        <v>0</v>
      </c>
      <c r="J2911" t="s">
        <v>51</v>
      </c>
      <c r="K2911" t="s">
        <v>47</v>
      </c>
      <c r="L2911" t="s">
        <v>48</v>
      </c>
      <c r="M2911" t="s">
        <v>0</v>
      </c>
      <c r="N2911" t="s">
        <v>10560</v>
      </c>
      <c r="O2911" t="s">
        <v>0</v>
      </c>
      <c r="P2911" t="s">
        <v>10561</v>
      </c>
      <c r="Q2911" t="s">
        <v>10562</v>
      </c>
      <c r="R2911" t="s">
        <v>484</v>
      </c>
      <c r="S2911" t="s">
        <v>484</v>
      </c>
      <c r="T2911" t="s">
        <v>10217</v>
      </c>
      <c r="U2911" t="s">
        <v>274</v>
      </c>
      <c r="V2911" t="s">
        <v>846</v>
      </c>
      <c r="W2911" t="s">
        <v>74</v>
      </c>
      <c r="X2911" t="s">
        <v>103</v>
      </c>
      <c r="AA2911" t="s">
        <v>847</v>
      </c>
      <c r="AB2911" t="s">
        <v>64</v>
      </c>
      <c r="AC2911" t="s">
        <v>65</v>
      </c>
      <c r="AD2911" t="s">
        <v>80</v>
      </c>
      <c r="AE2911" t="s">
        <v>0</v>
      </c>
      <c r="AF2911" t="s">
        <v>0</v>
      </c>
      <c r="AG2911" t="s">
        <v>0</v>
      </c>
      <c r="AH2911" s="1" t="s">
        <v>0</v>
      </c>
      <c r="AI2911" s="1" t="s">
        <v>0</v>
      </c>
      <c r="AJ2911" s="1" t="s">
        <v>0</v>
      </c>
      <c r="AK2911" t="s">
        <v>61</v>
      </c>
      <c r="AL2911" t="s">
        <v>61</v>
      </c>
      <c r="AM2911" t="s">
        <v>0</v>
      </c>
      <c r="AN2911" t="s">
        <v>0</v>
      </c>
      <c r="AO2911" t="s">
        <v>0</v>
      </c>
      <c r="AP2911" t="s">
        <v>0</v>
      </c>
      <c r="AQ2911" t="s">
        <v>0</v>
      </c>
      <c r="AR2911" t="s">
        <v>61</v>
      </c>
      <c r="AS2911" t="str">
        <f>HYPERLINK("https://tessa.gazprom-neft.local/edo/card/658a292d-ecf8-4f4a-b232-9be398816f80", "https://tessa.gazprom-neft.local/edo/card/658a292d-ecf8-4f4a-b232-9be398816f80")</f>
        <v>https://tessa.gazprom-neft.local/edo/card/658a292d-ecf8-4f4a-b232-9be398816f80</v>
      </c>
    </row>
    <row r="2912" spans="1:45" x14ac:dyDescent="0.25">
      <c r="A2912" t="s">
        <v>44</v>
      </c>
      <c r="B2912" t="s">
        <v>436</v>
      </c>
      <c r="C2912" t="s">
        <v>67</v>
      </c>
      <c r="F2912" s="18" t="s">
        <v>437</v>
      </c>
      <c r="G2912" t="s">
        <v>438</v>
      </c>
      <c r="H2912" t="s">
        <v>10564</v>
      </c>
      <c r="I2912" t="s">
        <v>0</v>
      </c>
      <c r="J2912" t="s">
        <v>156</v>
      </c>
      <c r="K2912" t="s">
        <v>47</v>
      </c>
      <c r="L2912" t="s">
        <v>48</v>
      </c>
      <c r="M2912" t="s">
        <v>0</v>
      </c>
      <c r="N2912" t="s">
        <v>10563</v>
      </c>
      <c r="O2912" t="s">
        <v>0</v>
      </c>
      <c r="P2912" t="s">
        <v>10565</v>
      </c>
      <c r="Q2912" t="s">
        <v>10565</v>
      </c>
      <c r="R2912" t="s">
        <v>1083</v>
      </c>
      <c r="S2912" t="s">
        <v>444</v>
      </c>
      <c r="T2912" t="s">
        <v>10217</v>
      </c>
      <c r="U2912" t="s">
        <v>274</v>
      </c>
      <c r="V2912" t="s">
        <v>340</v>
      </c>
      <c r="W2912" t="s">
        <v>57</v>
      </c>
      <c r="X2912" t="s">
        <v>103</v>
      </c>
      <c r="AA2912" t="s">
        <v>341</v>
      </c>
      <c r="AB2912" t="s">
        <v>64</v>
      </c>
      <c r="AC2912" t="s">
        <v>278</v>
      </c>
      <c r="AD2912" t="s">
        <v>80</v>
      </c>
      <c r="AE2912" t="s">
        <v>82</v>
      </c>
      <c r="AF2912" t="s">
        <v>0</v>
      </c>
      <c r="AG2912" t="s">
        <v>0</v>
      </c>
      <c r="AH2912" s="1" t="s">
        <v>14457</v>
      </c>
      <c r="AI2912" s="1" t="s">
        <v>14458</v>
      </c>
      <c r="AJ2912" s="1" t="s">
        <v>14459</v>
      </c>
      <c r="AK2912" t="s">
        <v>61</v>
      </c>
      <c r="AL2912" t="s">
        <v>61</v>
      </c>
      <c r="AM2912" t="s">
        <v>0</v>
      </c>
      <c r="AN2912" t="s">
        <v>0</v>
      </c>
      <c r="AO2912" t="s">
        <v>0</v>
      </c>
      <c r="AP2912" t="s">
        <v>10248</v>
      </c>
      <c r="AQ2912" t="s">
        <v>0</v>
      </c>
      <c r="AR2912" t="s">
        <v>61</v>
      </c>
      <c r="AS2912" t="str">
        <f>HYPERLINK("https://tessa.gazprom-neft.local/edo/card/5dddb660-6825-4587-b9d1-52c90e03b1b5", "https://tessa.gazprom-neft.local/edo/card/5dddb660-6825-4587-b9d1-52c90e03b1b5")</f>
        <v>https://tessa.gazprom-neft.local/edo/card/5dddb660-6825-4587-b9d1-52c90e03b1b5</v>
      </c>
    </row>
    <row r="2913" spans="1:45" x14ac:dyDescent="0.25">
      <c r="A2913" t="s">
        <v>44</v>
      </c>
      <c r="B2913" t="s">
        <v>1640</v>
      </c>
      <c r="C2913" t="s">
        <v>67</v>
      </c>
      <c r="F2913" s="18" t="s">
        <v>1641</v>
      </c>
      <c r="G2913" t="s">
        <v>1642</v>
      </c>
      <c r="H2913" t="s">
        <v>10567</v>
      </c>
      <c r="I2913" t="s">
        <v>0</v>
      </c>
      <c r="J2913" t="s">
        <v>355</v>
      </c>
      <c r="K2913" t="s">
        <v>47</v>
      </c>
      <c r="L2913" t="s">
        <v>48</v>
      </c>
      <c r="M2913" t="s">
        <v>0</v>
      </c>
      <c r="N2913" t="s">
        <v>10566</v>
      </c>
      <c r="O2913" t="s">
        <v>0</v>
      </c>
      <c r="P2913" t="s">
        <v>10568</v>
      </c>
      <c r="Q2913" t="s">
        <v>10569</v>
      </c>
      <c r="R2913" t="s">
        <v>1083</v>
      </c>
      <c r="S2913" t="s">
        <v>8025</v>
      </c>
      <c r="T2913" t="s">
        <v>10217</v>
      </c>
      <c r="U2913" t="s">
        <v>274</v>
      </c>
      <c r="V2913" t="s">
        <v>846</v>
      </c>
      <c r="W2913" t="s">
        <v>57</v>
      </c>
      <c r="X2913" t="s">
        <v>103</v>
      </c>
      <c r="AA2913" t="s">
        <v>847</v>
      </c>
      <c r="AB2913" t="s">
        <v>64</v>
      </c>
      <c r="AC2913" t="s">
        <v>278</v>
      </c>
      <c r="AD2913" t="s">
        <v>80</v>
      </c>
      <c r="AE2913" t="s">
        <v>82</v>
      </c>
      <c r="AF2913" t="s">
        <v>0</v>
      </c>
      <c r="AG2913" t="s">
        <v>0</v>
      </c>
      <c r="AH2913" s="1" t="s">
        <v>14460</v>
      </c>
      <c r="AI2913" s="1" t="s">
        <v>14461</v>
      </c>
      <c r="AJ2913" s="1" t="s">
        <v>14462</v>
      </c>
      <c r="AK2913" t="s">
        <v>61</v>
      </c>
      <c r="AL2913" t="s">
        <v>61</v>
      </c>
      <c r="AM2913" t="s">
        <v>0</v>
      </c>
      <c r="AN2913" t="s">
        <v>0</v>
      </c>
      <c r="AO2913" t="s">
        <v>0</v>
      </c>
      <c r="AP2913" t="s">
        <v>0</v>
      </c>
      <c r="AQ2913" t="s">
        <v>0</v>
      </c>
      <c r="AR2913" t="s">
        <v>61</v>
      </c>
      <c r="AS2913" t="str">
        <f>HYPERLINK("https://tessa.gazprom-neft.local/edo/card/95e6fb2d-d35f-4ee4-9be8-247ac69cab2d", "https://tessa.gazprom-neft.local/edo/card/95e6fb2d-d35f-4ee4-9be8-247ac69cab2d")</f>
        <v>https://tessa.gazprom-neft.local/edo/card/95e6fb2d-d35f-4ee4-9be8-247ac69cab2d</v>
      </c>
    </row>
    <row r="2914" spans="1:45" hidden="1" x14ac:dyDescent="0.25">
      <c r="A2914" t="s">
        <v>44</v>
      </c>
      <c r="B2914" t="s">
        <v>1684</v>
      </c>
      <c r="C2914" t="s">
        <v>67</v>
      </c>
      <c r="F2914" s="18" t="s">
        <v>1685</v>
      </c>
      <c r="G2914" t="s">
        <v>1686</v>
      </c>
      <c r="H2914" t="s">
        <v>10239</v>
      </c>
      <c r="I2914" t="s">
        <v>0</v>
      </c>
      <c r="J2914" t="s">
        <v>156</v>
      </c>
      <c r="K2914" t="s">
        <v>47</v>
      </c>
      <c r="L2914" t="s">
        <v>239</v>
      </c>
      <c r="M2914" t="s">
        <v>0</v>
      </c>
      <c r="N2914" t="s">
        <v>10570</v>
      </c>
      <c r="O2914" t="s">
        <v>0</v>
      </c>
      <c r="P2914" t="s">
        <v>10571</v>
      </c>
      <c r="Q2914" t="s">
        <v>2565</v>
      </c>
      <c r="R2914" t="s">
        <v>135</v>
      </c>
      <c r="S2914" t="s">
        <v>135</v>
      </c>
      <c r="T2914" t="s">
        <v>10217</v>
      </c>
      <c r="U2914" t="s">
        <v>136</v>
      </c>
      <c r="V2914" t="s">
        <v>308</v>
      </c>
      <c r="W2914" t="s">
        <v>74</v>
      </c>
      <c r="X2914" t="s">
        <v>103</v>
      </c>
      <c r="AA2914" t="s">
        <v>309</v>
      </c>
      <c r="AB2914" t="s">
        <v>366</v>
      </c>
      <c r="AC2914" t="s">
        <v>278</v>
      </c>
      <c r="AD2914" t="s">
        <v>367</v>
      </c>
      <c r="AE2914" t="s">
        <v>82</v>
      </c>
      <c r="AF2914" t="s">
        <v>0</v>
      </c>
      <c r="AG2914" t="s">
        <v>0</v>
      </c>
      <c r="AH2914" s="1" t="s">
        <v>14463</v>
      </c>
      <c r="AI2914" s="1" t="s">
        <v>14464</v>
      </c>
      <c r="AJ2914" s="1" t="s">
        <v>14465</v>
      </c>
      <c r="AK2914" t="s">
        <v>61</v>
      </c>
      <c r="AL2914" t="s">
        <v>61</v>
      </c>
      <c r="AM2914" t="s">
        <v>0</v>
      </c>
      <c r="AN2914" t="s">
        <v>0</v>
      </c>
      <c r="AO2914" t="s">
        <v>0</v>
      </c>
      <c r="AP2914" t="s">
        <v>0</v>
      </c>
      <c r="AQ2914" t="s">
        <v>0</v>
      </c>
      <c r="AR2914" t="s">
        <v>61</v>
      </c>
      <c r="AS2914" t="str">
        <f>HYPERLINK("https://tessa.gazprom-neft.local/edo/card/719532cc-a6dd-43e8-831c-f892b401adcf", "https://tessa.gazprom-neft.local/edo/card/719532cc-a6dd-43e8-831c-f892b401adcf")</f>
        <v>https://tessa.gazprom-neft.local/edo/card/719532cc-a6dd-43e8-831c-f892b401adcf</v>
      </c>
    </row>
    <row r="2915" spans="1:45" x14ac:dyDescent="0.25">
      <c r="A2915" t="s">
        <v>44</v>
      </c>
      <c r="B2915" t="s">
        <v>1084</v>
      </c>
      <c r="C2915" t="s">
        <v>67</v>
      </c>
      <c r="F2915" s="18" t="s">
        <v>1085</v>
      </c>
      <c r="G2915" t="s">
        <v>1086</v>
      </c>
      <c r="H2915" t="s">
        <v>10573</v>
      </c>
      <c r="I2915" t="s">
        <v>0</v>
      </c>
      <c r="J2915" t="s">
        <v>271</v>
      </c>
      <c r="K2915" t="s">
        <v>47</v>
      </c>
      <c r="L2915" t="s">
        <v>48</v>
      </c>
      <c r="M2915" t="s">
        <v>0</v>
      </c>
      <c r="N2915" t="s">
        <v>10572</v>
      </c>
      <c r="O2915" t="s">
        <v>0</v>
      </c>
      <c r="P2915" t="s">
        <v>312</v>
      </c>
      <c r="Q2915" t="s">
        <v>10574</v>
      </c>
      <c r="R2915" t="s">
        <v>1083</v>
      </c>
      <c r="S2915" t="s">
        <v>10253</v>
      </c>
      <c r="T2915" t="s">
        <v>10217</v>
      </c>
      <c r="U2915" t="s">
        <v>274</v>
      </c>
      <c r="V2915" t="s">
        <v>723</v>
      </c>
      <c r="W2915" t="s">
        <v>74</v>
      </c>
      <c r="X2915" t="s">
        <v>103</v>
      </c>
      <c r="AA2915" t="s">
        <v>1031</v>
      </c>
      <c r="AB2915" t="s">
        <v>64</v>
      </c>
      <c r="AC2915" t="s">
        <v>278</v>
      </c>
      <c r="AD2915" t="s">
        <v>80</v>
      </c>
      <c r="AE2915" t="s">
        <v>82</v>
      </c>
      <c r="AF2915" t="s">
        <v>0</v>
      </c>
      <c r="AG2915" t="s">
        <v>0</v>
      </c>
      <c r="AH2915" s="1" t="s">
        <v>14466</v>
      </c>
      <c r="AI2915" s="1" t="s">
        <v>14467</v>
      </c>
      <c r="AJ2915" s="1" t="s">
        <v>14468</v>
      </c>
      <c r="AK2915" t="s">
        <v>61</v>
      </c>
      <c r="AL2915" t="s">
        <v>61</v>
      </c>
      <c r="AM2915" t="s">
        <v>0</v>
      </c>
      <c r="AN2915" t="s">
        <v>0</v>
      </c>
      <c r="AO2915" t="s">
        <v>0</v>
      </c>
      <c r="AP2915" t="s">
        <v>0</v>
      </c>
      <c r="AQ2915" t="s">
        <v>0</v>
      </c>
      <c r="AR2915" t="s">
        <v>61</v>
      </c>
      <c r="AS2915" t="str">
        <f>HYPERLINK("https://tessa.gazprom-neft.local/edo/card/0fa5e7a1-9c88-4a6c-a773-00c7b4362c34", "https://tessa.gazprom-neft.local/edo/card/0fa5e7a1-9c88-4a6c-a773-00c7b4362c34")</f>
        <v>https://tessa.gazprom-neft.local/edo/card/0fa5e7a1-9c88-4a6c-a773-00c7b4362c34</v>
      </c>
    </row>
    <row r="2916" spans="1:45" hidden="1" x14ac:dyDescent="0.25">
      <c r="A2916" t="s">
        <v>44</v>
      </c>
      <c r="B2916" t="s">
        <v>1925</v>
      </c>
      <c r="C2916" t="s">
        <v>67</v>
      </c>
      <c r="F2916" s="18" t="s">
        <v>1926</v>
      </c>
      <c r="G2916" t="s">
        <v>1927</v>
      </c>
      <c r="H2916" t="s">
        <v>0</v>
      </c>
      <c r="I2916" t="s">
        <v>10576</v>
      </c>
      <c r="J2916" t="s">
        <v>10576</v>
      </c>
      <c r="K2916" t="s">
        <v>47</v>
      </c>
      <c r="L2916" t="s">
        <v>96</v>
      </c>
      <c r="M2916" t="s">
        <v>0</v>
      </c>
      <c r="N2916" t="s">
        <v>10575</v>
      </c>
      <c r="O2916" t="s">
        <v>0</v>
      </c>
      <c r="P2916" t="s">
        <v>6196</v>
      </c>
      <c r="Q2916" t="s">
        <v>10577</v>
      </c>
      <c r="R2916" t="s">
        <v>10578</v>
      </c>
      <c r="S2916" t="s">
        <v>5511</v>
      </c>
      <c r="T2916" t="s">
        <v>10217</v>
      </c>
      <c r="U2916" t="s">
        <v>1792</v>
      </c>
      <c r="V2916" t="s">
        <v>846</v>
      </c>
      <c r="W2916" t="s">
        <v>57</v>
      </c>
      <c r="X2916" t="s">
        <v>103</v>
      </c>
      <c r="AA2916" t="s">
        <v>847</v>
      </c>
      <c r="AB2916" t="s">
        <v>256</v>
      </c>
      <c r="AC2916" t="s">
        <v>278</v>
      </c>
      <c r="AD2916" t="s">
        <v>80</v>
      </c>
      <c r="AE2916" t="s">
        <v>82</v>
      </c>
      <c r="AF2916" t="s">
        <v>0</v>
      </c>
      <c r="AG2916" t="s">
        <v>0</v>
      </c>
      <c r="AH2916" s="1" t="s">
        <v>14469</v>
      </c>
      <c r="AI2916" s="1" t="s">
        <v>14470</v>
      </c>
      <c r="AJ2916" s="1" t="s">
        <v>14471</v>
      </c>
      <c r="AK2916" t="s">
        <v>61</v>
      </c>
      <c r="AL2916" t="s">
        <v>61</v>
      </c>
      <c r="AM2916" t="s">
        <v>0</v>
      </c>
      <c r="AN2916" t="s">
        <v>0</v>
      </c>
      <c r="AO2916" t="s">
        <v>0</v>
      </c>
      <c r="AP2916" t="s">
        <v>0</v>
      </c>
      <c r="AQ2916" t="s">
        <v>0</v>
      </c>
      <c r="AR2916" t="s">
        <v>61</v>
      </c>
      <c r="AS2916" t="str">
        <f>HYPERLINK("https://tessa.gazprom-neft.local/edo/card/e3f4a681-83f4-4487-88f5-25967c8304fa", "https://tessa.gazprom-neft.local/edo/card/e3f4a681-83f4-4487-88f5-25967c8304fa")</f>
        <v>https://tessa.gazprom-neft.local/edo/card/e3f4a681-83f4-4487-88f5-25967c8304fa</v>
      </c>
    </row>
    <row r="2917" spans="1:45" x14ac:dyDescent="0.25">
      <c r="A2917" t="s">
        <v>44</v>
      </c>
      <c r="B2917" t="s">
        <v>1084</v>
      </c>
      <c r="C2917" t="s">
        <v>67</v>
      </c>
      <c r="F2917" s="18" t="s">
        <v>1085</v>
      </c>
      <c r="G2917" t="s">
        <v>1086</v>
      </c>
      <c r="H2917" t="s">
        <v>1079</v>
      </c>
      <c r="I2917" t="s">
        <v>0</v>
      </c>
      <c r="J2917" t="s">
        <v>872</v>
      </c>
      <c r="K2917" t="s">
        <v>47</v>
      </c>
      <c r="L2917" t="s">
        <v>48</v>
      </c>
      <c r="M2917" t="s">
        <v>0</v>
      </c>
      <c r="N2917" t="s">
        <v>10579</v>
      </c>
      <c r="O2917" t="s">
        <v>0</v>
      </c>
      <c r="P2917" t="s">
        <v>10580</v>
      </c>
      <c r="Q2917" t="s">
        <v>10581</v>
      </c>
      <c r="R2917" t="s">
        <v>1083</v>
      </c>
      <c r="S2917" t="s">
        <v>10582</v>
      </c>
      <c r="T2917" t="s">
        <v>10217</v>
      </c>
      <c r="U2917" t="s">
        <v>274</v>
      </c>
      <c r="V2917" t="s">
        <v>846</v>
      </c>
      <c r="W2917" t="s">
        <v>57</v>
      </c>
      <c r="X2917" t="s">
        <v>103</v>
      </c>
      <c r="AA2917" t="s">
        <v>847</v>
      </c>
      <c r="AB2917" t="s">
        <v>64</v>
      </c>
      <c r="AC2917" t="s">
        <v>65</v>
      </c>
      <c r="AD2917" t="s">
        <v>0</v>
      </c>
      <c r="AE2917" t="s">
        <v>0</v>
      </c>
      <c r="AF2917" t="s">
        <v>0</v>
      </c>
      <c r="AG2917" t="s">
        <v>0</v>
      </c>
      <c r="AH2917" s="1" t="s">
        <v>0</v>
      </c>
      <c r="AI2917" s="1" t="s">
        <v>0</v>
      </c>
      <c r="AJ2917" s="1" t="s">
        <v>0</v>
      </c>
      <c r="AK2917" t="s">
        <v>61</v>
      </c>
      <c r="AL2917" t="s">
        <v>61</v>
      </c>
      <c r="AM2917" t="s">
        <v>0</v>
      </c>
      <c r="AN2917" t="s">
        <v>0</v>
      </c>
      <c r="AO2917" t="s">
        <v>0</v>
      </c>
      <c r="AP2917" t="s">
        <v>0</v>
      </c>
      <c r="AQ2917" t="s">
        <v>0</v>
      </c>
      <c r="AR2917" t="s">
        <v>61</v>
      </c>
      <c r="AS2917" t="str">
        <f>HYPERLINK("https://tessa.gazprom-neft.local/edo/card/fb11354d-94fb-4af0-91e2-3ed8eb103961", "https://tessa.gazprom-neft.local/edo/card/fb11354d-94fb-4af0-91e2-3ed8eb103961")</f>
        <v>https://tessa.gazprom-neft.local/edo/card/fb11354d-94fb-4af0-91e2-3ed8eb103961</v>
      </c>
    </row>
    <row r="2918" spans="1:45" hidden="1" x14ac:dyDescent="0.25">
      <c r="A2918" t="s">
        <v>44</v>
      </c>
      <c r="B2918" t="s">
        <v>297</v>
      </c>
      <c r="C2918" t="s">
        <v>67</v>
      </c>
      <c r="F2918" s="18" t="s">
        <v>298</v>
      </c>
      <c r="G2918" t="s">
        <v>299</v>
      </c>
      <c r="H2918" t="s">
        <v>0</v>
      </c>
      <c r="I2918" t="s">
        <v>3896</v>
      </c>
      <c r="J2918" t="s">
        <v>3896</v>
      </c>
      <c r="K2918" t="s">
        <v>47</v>
      </c>
      <c r="L2918" t="s">
        <v>96</v>
      </c>
      <c r="M2918" t="s">
        <v>0</v>
      </c>
      <c r="N2918" t="s">
        <v>10583</v>
      </c>
      <c r="O2918" t="s">
        <v>0</v>
      </c>
      <c r="P2918" t="s">
        <v>10584</v>
      </c>
      <c r="Q2918" t="s">
        <v>10584</v>
      </c>
      <c r="R2918" t="s">
        <v>799</v>
      </c>
      <c r="S2918" t="s">
        <v>0</v>
      </c>
      <c r="T2918" t="s">
        <v>10217</v>
      </c>
      <c r="U2918" t="s">
        <v>55</v>
      </c>
      <c r="V2918" t="s">
        <v>917</v>
      </c>
      <c r="W2918" t="s">
        <v>74</v>
      </c>
      <c r="X2918" t="s">
        <v>103</v>
      </c>
      <c r="AA2918" t="s">
        <v>1278</v>
      </c>
      <c r="AB2918" t="s">
        <v>130</v>
      </c>
      <c r="AC2918" t="s">
        <v>278</v>
      </c>
      <c r="AD2918" t="s">
        <v>80</v>
      </c>
      <c r="AE2918" t="s">
        <v>82</v>
      </c>
      <c r="AF2918" t="s">
        <v>0</v>
      </c>
      <c r="AG2918" t="s">
        <v>0</v>
      </c>
      <c r="AH2918" s="1" t="s">
        <v>14472</v>
      </c>
      <c r="AI2918" s="1" t="s">
        <v>14473</v>
      </c>
      <c r="AJ2918" s="1" t="s">
        <v>14474</v>
      </c>
      <c r="AK2918" t="s">
        <v>61</v>
      </c>
      <c r="AL2918" t="s">
        <v>61</v>
      </c>
      <c r="AM2918" t="s">
        <v>0</v>
      </c>
      <c r="AN2918" t="s">
        <v>0</v>
      </c>
      <c r="AO2918" t="s">
        <v>0</v>
      </c>
      <c r="AP2918" t="s">
        <v>0</v>
      </c>
      <c r="AQ2918" t="s">
        <v>0</v>
      </c>
      <c r="AR2918" t="s">
        <v>61</v>
      </c>
      <c r="AS2918" t="str">
        <f>HYPERLINK("https://tessa.gazprom-neft.local/edo/card/9da05744-e927-4ca2-a2ed-b7c088169b7c", "https://tessa.gazprom-neft.local/edo/card/9da05744-e927-4ca2-a2ed-b7c088169b7c")</f>
        <v>https://tessa.gazprom-neft.local/edo/card/9da05744-e927-4ca2-a2ed-b7c088169b7c</v>
      </c>
    </row>
    <row r="2919" spans="1:45" hidden="1" x14ac:dyDescent="0.25">
      <c r="A2919" t="s">
        <v>44</v>
      </c>
      <c r="B2919" t="s">
        <v>245</v>
      </c>
      <c r="C2919" t="s">
        <v>67</v>
      </c>
      <c r="F2919" s="18" t="s">
        <v>246</v>
      </c>
      <c r="G2919" t="s">
        <v>247</v>
      </c>
      <c r="H2919" t="s">
        <v>5943</v>
      </c>
      <c r="I2919" t="s">
        <v>0</v>
      </c>
      <c r="J2919" t="s">
        <v>10587</v>
      </c>
      <c r="K2919" t="s">
        <v>47</v>
      </c>
      <c r="L2919" t="s">
        <v>239</v>
      </c>
      <c r="M2919" t="s">
        <v>0</v>
      </c>
      <c r="N2919" t="s">
        <v>10585</v>
      </c>
      <c r="O2919" t="s">
        <v>0</v>
      </c>
      <c r="P2919" t="s">
        <v>10586</v>
      </c>
      <c r="Q2919" t="s">
        <v>10588</v>
      </c>
      <c r="R2919" t="s">
        <v>1083</v>
      </c>
      <c r="S2919" t="s">
        <v>0</v>
      </c>
      <c r="T2919" t="s">
        <v>10217</v>
      </c>
      <c r="U2919" t="s">
        <v>274</v>
      </c>
      <c r="V2919" t="s">
        <v>846</v>
      </c>
      <c r="W2919" t="s">
        <v>74</v>
      </c>
      <c r="X2919" t="s">
        <v>103</v>
      </c>
      <c r="AA2919" t="s">
        <v>847</v>
      </c>
      <c r="AB2919" t="s">
        <v>256</v>
      </c>
      <c r="AC2919" t="s">
        <v>278</v>
      </c>
      <c r="AD2919" t="s">
        <v>80</v>
      </c>
      <c r="AE2919" t="s">
        <v>82</v>
      </c>
      <c r="AF2919" t="s">
        <v>0</v>
      </c>
      <c r="AG2919" t="s">
        <v>0</v>
      </c>
      <c r="AH2919" s="1" t="s">
        <v>14475</v>
      </c>
      <c r="AI2919" s="1" t="s">
        <v>14476</v>
      </c>
      <c r="AJ2919" s="1" t="s">
        <v>14477</v>
      </c>
      <c r="AK2919" t="s">
        <v>61</v>
      </c>
      <c r="AL2919" t="s">
        <v>61</v>
      </c>
      <c r="AM2919" t="s">
        <v>0</v>
      </c>
      <c r="AN2919" t="s">
        <v>0</v>
      </c>
      <c r="AO2919" t="s">
        <v>0</v>
      </c>
      <c r="AP2919" t="s">
        <v>0</v>
      </c>
      <c r="AQ2919" t="s">
        <v>0</v>
      </c>
      <c r="AR2919" t="s">
        <v>61</v>
      </c>
      <c r="AS2919" t="str">
        <f>HYPERLINK("https://tessa.gazprom-neft.local/edo/card/a24733a7-0e4b-4435-ad67-afe71655a4c7", "https://tessa.gazprom-neft.local/edo/card/a24733a7-0e4b-4435-ad67-afe71655a4c7")</f>
        <v>https://tessa.gazprom-neft.local/edo/card/a24733a7-0e4b-4435-ad67-afe71655a4c7</v>
      </c>
    </row>
    <row r="2920" spans="1:45" hidden="1" x14ac:dyDescent="0.25">
      <c r="A2920" t="s">
        <v>44</v>
      </c>
      <c r="B2920" t="s">
        <v>245</v>
      </c>
      <c r="C2920" t="s">
        <v>67</v>
      </c>
      <c r="F2920" s="18" t="s">
        <v>246</v>
      </c>
      <c r="G2920" t="s">
        <v>247</v>
      </c>
      <c r="H2920" t="s">
        <v>5943</v>
      </c>
      <c r="I2920" t="s">
        <v>0</v>
      </c>
      <c r="J2920" t="s">
        <v>10591</v>
      </c>
      <c r="K2920" t="s">
        <v>47</v>
      </c>
      <c r="L2920" t="s">
        <v>239</v>
      </c>
      <c r="M2920" t="s">
        <v>0</v>
      </c>
      <c r="N2920" t="s">
        <v>10589</v>
      </c>
      <c r="O2920" t="s">
        <v>0</v>
      </c>
      <c r="P2920" t="s">
        <v>10590</v>
      </c>
      <c r="Q2920" t="s">
        <v>10592</v>
      </c>
      <c r="R2920" t="s">
        <v>1083</v>
      </c>
      <c r="S2920" t="s">
        <v>1519</v>
      </c>
      <c r="T2920" t="s">
        <v>10217</v>
      </c>
      <c r="U2920" t="s">
        <v>274</v>
      </c>
      <c r="V2920" t="s">
        <v>917</v>
      </c>
      <c r="W2920" t="s">
        <v>74</v>
      </c>
      <c r="X2920" t="s">
        <v>103</v>
      </c>
      <c r="AA2920" t="s">
        <v>1278</v>
      </c>
      <c r="AB2920" t="s">
        <v>64</v>
      </c>
      <c r="AC2920" t="s">
        <v>278</v>
      </c>
      <c r="AD2920" t="s">
        <v>80</v>
      </c>
      <c r="AE2920" t="s">
        <v>82</v>
      </c>
      <c r="AF2920" t="s">
        <v>0</v>
      </c>
      <c r="AG2920" t="s">
        <v>0</v>
      </c>
      <c r="AH2920" s="1" t="s">
        <v>14478</v>
      </c>
      <c r="AI2920" s="1" t="s">
        <v>14479</v>
      </c>
      <c r="AJ2920" s="1" t="s">
        <v>14480</v>
      </c>
      <c r="AK2920" t="s">
        <v>61</v>
      </c>
      <c r="AL2920" t="s">
        <v>61</v>
      </c>
      <c r="AM2920" t="s">
        <v>0</v>
      </c>
      <c r="AN2920" t="s">
        <v>0</v>
      </c>
      <c r="AO2920" t="s">
        <v>0</v>
      </c>
      <c r="AP2920" t="s">
        <v>0</v>
      </c>
      <c r="AQ2920" t="s">
        <v>0</v>
      </c>
      <c r="AR2920" t="s">
        <v>61</v>
      </c>
      <c r="AS2920" t="str">
        <f>HYPERLINK("https://tessa.gazprom-neft.local/edo/card/24304767-ca9f-46bc-bdaa-02485b9291a8", "https://tessa.gazprom-neft.local/edo/card/24304767-ca9f-46bc-bdaa-02485b9291a8")</f>
        <v>https://tessa.gazprom-neft.local/edo/card/24304767-ca9f-46bc-bdaa-02485b9291a8</v>
      </c>
    </row>
    <row r="2921" spans="1:45" hidden="1" x14ac:dyDescent="0.25">
      <c r="A2921" t="s">
        <v>44</v>
      </c>
      <c r="B2921" t="s">
        <v>297</v>
      </c>
      <c r="C2921" t="s">
        <v>67</v>
      </c>
      <c r="F2921" s="18" t="s">
        <v>298</v>
      </c>
      <c r="G2921" t="s">
        <v>299</v>
      </c>
      <c r="H2921" t="s">
        <v>0</v>
      </c>
      <c r="I2921" t="s">
        <v>10224</v>
      </c>
      <c r="J2921" t="s">
        <v>10224</v>
      </c>
      <c r="K2921" t="s">
        <v>47</v>
      </c>
      <c r="L2921" t="s">
        <v>96</v>
      </c>
      <c r="M2921" t="s">
        <v>0</v>
      </c>
      <c r="N2921" t="s">
        <v>10593</v>
      </c>
      <c r="O2921" t="s">
        <v>0</v>
      </c>
      <c r="P2921" t="s">
        <v>10594</v>
      </c>
      <c r="Q2921" t="s">
        <v>10595</v>
      </c>
      <c r="R2921" t="s">
        <v>484</v>
      </c>
      <c r="S2921" t="s">
        <v>484</v>
      </c>
      <c r="T2921" t="s">
        <v>10217</v>
      </c>
      <c r="U2921" t="s">
        <v>274</v>
      </c>
      <c r="V2921" t="s">
        <v>340</v>
      </c>
      <c r="W2921" t="s">
        <v>74</v>
      </c>
      <c r="X2921" t="s">
        <v>103</v>
      </c>
      <c r="AA2921" t="s">
        <v>341</v>
      </c>
      <c r="AB2921" t="s">
        <v>64</v>
      </c>
      <c r="AC2921" t="s">
        <v>278</v>
      </c>
      <c r="AD2921" t="s">
        <v>144</v>
      </c>
      <c r="AE2921" t="s">
        <v>82</v>
      </c>
      <c r="AF2921" t="s">
        <v>0</v>
      </c>
      <c r="AG2921" t="s">
        <v>0</v>
      </c>
      <c r="AH2921" s="1" t="s">
        <v>14319</v>
      </c>
      <c r="AI2921" s="1" t="s">
        <v>14320</v>
      </c>
      <c r="AJ2921" s="1" t="s">
        <v>14321</v>
      </c>
      <c r="AK2921" t="s">
        <v>61</v>
      </c>
      <c r="AL2921" t="s">
        <v>61</v>
      </c>
      <c r="AM2921" t="s">
        <v>0</v>
      </c>
      <c r="AN2921" t="s">
        <v>0</v>
      </c>
      <c r="AO2921" t="s">
        <v>0</v>
      </c>
      <c r="AP2921" t="s">
        <v>0</v>
      </c>
      <c r="AQ2921" t="s">
        <v>0</v>
      </c>
      <c r="AR2921" t="s">
        <v>61</v>
      </c>
      <c r="AS2921" t="str">
        <f>HYPERLINK("https://tessa.gazprom-neft.local/edo/card/678526cb-bbfd-4d81-a50c-332a6936e30a", "https://tessa.gazprom-neft.local/edo/card/678526cb-bbfd-4d81-a50c-332a6936e30a")</f>
        <v>https://tessa.gazprom-neft.local/edo/card/678526cb-bbfd-4d81-a50c-332a6936e30a</v>
      </c>
    </row>
    <row r="2922" spans="1:45" hidden="1" x14ac:dyDescent="0.25">
      <c r="A2922" t="s">
        <v>44</v>
      </c>
      <c r="B2922" t="s">
        <v>2408</v>
      </c>
      <c r="C2922" t="s">
        <v>67</v>
      </c>
      <c r="F2922" s="18" t="s">
        <v>2409</v>
      </c>
      <c r="G2922" t="s">
        <v>2410</v>
      </c>
      <c r="H2922" t="s">
        <v>0</v>
      </c>
      <c r="I2922" t="s">
        <v>10597</v>
      </c>
      <c r="J2922" t="s">
        <v>10597</v>
      </c>
      <c r="K2922" t="s">
        <v>47</v>
      </c>
      <c r="L2922" t="s">
        <v>96</v>
      </c>
      <c r="M2922" t="s">
        <v>0</v>
      </c>
      <c r="N2922" t="s">
        <v>10596</v>
      </c>
      <c r="O2922" t="s">
        <v>0</v>
      </c>
      <c r="P2922" t="s">
        <v>10598</v>
      </c>
      <c r="Q2922" t="s">
        <v>10599</v>
      </c>
      <c r="R2922" t="s">
        <v>714</v>
      </c>
      <c r="S2922" t="s">
        <v>714</v>
      </c>
      <c r="T2922" t="s">
        <v>10217</v>
      </c>
      <c r="U2922" t="s">
        <v>101</v>
      </c>
      <c r="V2922" t="s">
        <v>102</v>
      </c>
      <c r="W2922" t="s">
        <v>74</v>
      </c>
      <c r="X2922" t="s">
        <v>103</v>
      </c>
      <c r="AA2922" t="s">
        <v>104</v>
      </c>
      <c r="AB2922" t="s">
        <v>366</v>
      </c>
      <c r="AC2922" t="s">
        <v>278</v>
      </c>
      <c r="AD2922" t="s">
        <v>367</v>
      </c>
      <c r="AE2922" t="s">
        <v>82</v>
      </c>
      <c r="AF2922" t="s">
        <v>0</v>
      </c>
      <c r="AG2922" t="s">
        <v>0</v>
      </c>
      <c r="AH2922" s="1" t="s">
        <v>14481</v>
      </c>
      <c r="AI2922" s="1" t="s">
        <v>14482</v>
      </c>
      <c r="AJ2922" s="1" t="s">
        <v>14483</v>
      </c>
      <c r="AK2922" t="s">
        <v>61</v>
      </c>
      <c r="AL2922" t="s">
        <v>61</v>
      </c>
      <c r="AM2922" t="s">
        <v>0</v>
      </c>
      <c r="AN2922" t="s">
        <v>0</v>
      </c>
      <c r="AO2922" t="s">
        <v>0</v>
      </c>
      <c r="AP2922" t="s">
        <v>10248</v>
      </c>
      <c r="AQ2922" t="s">
        <v>0</v>
      </c>
      <c r="AR2922" t="s">
        <v>61</v>
      </c>
      <c r="AS2922" t="str">
        <f>HYPERLINK("https://tessa.gazprom-neft.local/edo/card/ea0d615e-3488-40a8-ab7c-38377a5cd901", "https://tessa.gazprom-neft.local/edo/card/ea0d615e-3488-40a8-ab7c-38377a5cd901")</f>
        <v>https://tessa.gazprom-neft.local/edo/card/ea0d615e-3488-40a8-ab7c-38377a5cd901</v>
      </c>
    </row>
    <row r="2923" spans="1:45" hidden="1" x14ac:dyDescent="0.25">
      <c r="A2923" t="s">
        <v>44</v>
      </c>
      <c r="B2923" t="s">
        <v>1640</v>
      </c>
      <c r="C2923" t="s">
        <v>67</v>
      </c>
      <c r="F2923" s="18" t="s">
        <v>1641</v>
      </c>
      <c r="G2923" t="s">
        <v>1642</v>
      </c>
      <c r="H2923" t="s">
        <v>10601</v>
      </c>
      <c r="I2923" t="s">
        <v>0</v>
      </c>
      <c r="J2923" t="s">
        <v>271</v>
      </c>
      <c r="K2923" t="s">
        <v>47</v>
      </c>
      <c r="L2923" t="s">
        <v>389</v>
      </c>
      <c r="M2923" t="s">
        <v>0</v>
      </c>
      <c r="N2923" t="s">
        <v>10600</v>
      </c>
      <c r="O2923" t="s">
        <v>271</v>
      </c>
      <c r="P2923" t="s">
        <v>10602</v>
      </c>
      <c r="Q2923" t="s">
        <v>10603</v>
      </c>
      <c r="R2923" t="s">
        <v>1083</v>
      </c>
      <c r="S2923" t="s">
        <v>10604</v>
      </c>
      <c r="T2923" t="s">
        <v>10217</v>
      </c>
      <c r="U2923" t="s">
        <v>274</v>
      </c>
      <c r="V2923" t="s">
        <v>846</v>
      </c>
      <c r="W2923" t="s">
        <v>57</v>
      </c>
      <c r="X2923" t="s">
        <v>103</v>
      </c>
      <c r="AA2923" t="s">
        <v>847</v>
      </c>
      <c r="AB2923" t="s">
        <v>64</v>
      </c>
      <c r="AC2923" t="s">
        <v>278</v>
      </c>
      <c r="AD2923" t="s">
        <v>80</v>
      </c>
      <c r="AE2923" t="s">
        <v>82</v>
      </c>
      <c r="AF2923" t="s">
        <v>0</v>
      </c>
      <c r="AG2923" t="s">
        <v>0</v>
      </c>
      <c r="AH2923" s="1" t="s">
        <v>14484</v>
      </c>
      <c r="AI2923" s="1" t="s">
        <v>14485</v>
      </c>
      <c r="AJ2923" s="1" t="s">
        <v>14486</v>
      </c>
      <c r="AK2923" t="s">
        <v>61</v>
      </c>
      <c r="AL2923" t="s">
        <v>61</v>
      </c>
      <c r="AM2923" t="s">
        <v>0</v>
      </c>
      <c r="AN2923" t="s">
        <v>0</v>
      </c>
      <c r="AO2923" t="s">
        <v>0</v>
      </c>
      <c r="AP2923" t="s">
        <v>0</v>
      </c>
      <c r="AQ2923" t="s">
        <v>0</v>
      </c>
      <c r="AR2923" t="s">
        <v>61</v>
      </c>
      <c r="AS2923" t="str">
        <f>HYPERLINK("https://tessa.gazprom-neft.local/edo/card/ff4bc4cb-6017-45dd-8457-60601674743b", "https://tessa.gazprom-neft.local/edo/card/ff4bc4cb-6017-45dd-8457-60601674743b")</f>
        <v>https://tessa.gazprom-neft.local/edo/card/ff4bc4cb-6017-45dd-8457-60601674743b</v>
      </c>
    </row>
    <row r="2924" spans="1:45" hidden="1" x14ac:dyDescent="0.25">
      <c r="A2924" t="s">
        <v>44</v>
      </c>
      <c r="B2924" t="s">
        <v>1640</v>
      </c>
      <c r="C2924" t="s">
        <v>67</v>
      </c>
      <c r="F2924" s="18" t="s">
        <v>1641</v>
      </c>
      <c r="G2924" t="s">
        <v>1642</v>
      </c>
      <c r="H2924" t="s">
        <v>1635</v>
      </c>
      <c r="I2924" t="s">
        <v>0</v>
      </c>
      <c r="J2924" t="s">
        <v>271</v>
      </c>
      <c r="K2924" t="s">
        <v>47</v>
      </c>
      <c r="L2924" t="s">
        <v>389</v>
      </c>
      <c r="M2924" t="s">
        <v>0</v>
      </c>
      <c r="N2924" t="s">
        <v>10605</v>
      </c>
      <c r="O2924" t="s">
        <v>5392</v>
      </c>
      <c r="P2924" t="s">
        <v>10606</v>
      </c>
      <c r="Q2924" t="s">
        <v>10607</v>
      </c>
      <c r="R2924" t="s">
        <v>1083</v>
      </c>
      <c r="S2924" t="s">
        <v>10608</v>
      </c>
      <c r="T2924" t="s">
        <v>10217</v>
      </c>
      <c r="U2924" t="s">
        <v>274</v>
      </c>
      <c r="V2924" t="s">
        <v>846</v>
      </c>
      <c r="W2924" t="s">
        <v>74</v>
      </c>
      <c r="X2924" t="s">
        <v>103</v>
      </c>
      <c r="AA2924" t="s">
        <v>847</v>
      </c>
      <c r="AB2924" t="s">
        <v>64</v>
      </c>
      <c r="AC2924" t="s">
        <v>278</v>
      </c>
      <c r="AD2924" t="s">
        <v>80</v>
      </c>
      <c r="AE2924" t="s">
        <v>82</v>
      </c>
      <c r="AF2924" t="s">
        <v>0</v>
      </c>
      <c r="AG2924" t="s">
        <v>0</v>
      </c>
      <c r="AH2924" s="1" t="s">
        <v>14487</v>
      </c>
      <c r="AI2924" s="1" t="s">
        <v>14488</v>
      </c>
      <c r="AJ2924" s="1" t="s">
        <v>14489</v>
      </c>
      <c r="AK2924" t="s">
        <v>61</v>
      </c>
      <c r="AL2924" t="s">
        <v>61</v>
      </c>
      <c r="AM2924" t="s">
        <v>0</v>
      </c>
      <c r="AN2924" t="s">
        <v>0</v>
      </c>
      <c r="AO2924" t="s">
        <v>0</v>
      </c>
      <c r="AP2924" t="s">
        <v>0</v>
      </c>
      <c r="AQ2924" t="s">
        <v>0</v>
      </c>
      <c r="AR2924" t="s">
        <v>61</v>
      </c>
      <c r="AS2924" t="str">
        <f>HYPERLINK("https://tessa.gazprom-neft.local/edo/card/061b556c-7f36-4750-adf3-07e07cc9acae", "https://tessa.gazprom-neft.local/edo/card/061b556c-7f36-4750-adf3-07e07cc9acae")</f>
        <v>https://tessa.gazprom-neft.local/edo/card/061b556c-7f36-4750-adf3-07e07cc9acae</v>
      </c>
    </row>
    <row r="2925" spans="1:45" x14ac:dyDescent="0.25">
      <c r="A2925" t="s">
        <v>44</v>
      </c>
      <c r="B2925" t="s">
        <v>2408</v>
      </c>
      <c r="C2925" t="s">
        <v>67</v>
      </c>
      <c r="F2925" s="18" t="s">
        <v>2409</v>
      </c>
      <c r="G2925" t="s">
        <v>2410</v>
      </c>
      <c r="H2925" t="s">
        <v>2405</v>
      </c>
      <c r="I2925" t="s">
        <v>0</v>
      </c>
      <c r="J2925" t="s">
        <v>51</v>
      </c>
      <c r="K2925" t="s">
        <v>47</v>
      </c>
      <c r="L2925" t="s">
        <v>48</v>
      </c>
      <c r="M2925" t="s">
        <v>0</v>
      </c>
      <c r="N2925" t="s">
        <v>10609</v>
      </c>
      <c r="O2925" t="s">
        <v>0</v>
      </c>
      <c r="P2925" t="s">
        <v>10610</v>
      </c>
      <c r="Q2925" t="s">
        <v>10611</v>
      </c>
      <c r="R2925" t="s">
        <v>1083</v>
      </c>
      <c r="S2925" t="s">
        <v>10612</v>
      </c>
      <c r="T2925" t="s">
        <v>10217</v>
      </c>
      <c r="U2925" t="s">
        <v>274</v>
      </c>
      <c r="V2925" t="s">
        <v>56</v>
      </c>
      <c r="W2925" t="s">
        <v>74</v>
      </c>
      <c r="X2925" t="s">
        <v>103</v>
      </c>
      <c r="AA2925" t="s">
        <v>59</v>
      </c>
      <c r="AB2925" t="s">
        <v>64</v>
      </c>
      <c r="AC2925" t="s">
        <v>65</v>
      </c>
      <c r="AD2925" t="s">
        <v>0</v>
      </c>
      <c r="AE2925" t="s">
        <v>0</v>
      </c>
      <c r="AF2925" t="s">
        <v>0</v>
      </c>
      <c r="AG2925" t="s">
        <v>0</v>
      </c>
      <c r="AH2925" s="1" t="s">
        <v>0</v>
      </c>
      <c r="AI2925" s="1" t="s">
        <v>0</v>
      </c>
      <c r="AJ2925" s="1" t="s">
        <v>0</v>
      </c>
      <c r="AK2925" t="s">
        <v>61</v>
      </c>
      <c r="AL2925" t="s">
        <v>61</v>
      </c>
      <c r="AM2925" t="s">
        <v>0</v>
      </c>
      <c r="AN2925" t="s">
        <v>0</v>
      </c>
      <c r="AO2925" t="s">
        <v>0</v>
      </c>
      <c r="AP2925" t="s">
        <v>0</v>
      </c>
      <c r="AQ2925" t="s">
        <v>0</v>
      </c>
      <c r="AR2925" t="s">
        <v>61</v>
      </c>
      <c r="AS2925" t="str">
        <f>HYPERLINK("https://tessa.gazprom-neft.local/edo/card/5619a43a-d77a-4c54-a564-59a5a33a0e68", "https://tessa.gazprom-neft.local/edo/card/5619a43a-d77a-4c54-a564-59a5a33a0e68")</f>
        <v>https://tessa.gazprom-neft.local/edo/card/5619a43a-d77a-4c54-a564-59a5a33a0e68</v>
      </c>
    </row>
    <row r="2926" spans="1:45" x14ac:dyDescent="0.25">
      <c r="A2926" t="s">
        <v>44</v>
      </c>
      <c r="B2926" t="s">
        <v>964</v>
      </c>
      <c r="C2926" t="s">
        <v>67</v>
      </c>
      <c r="F2926" s="18" t="s">
        <v>965</v>
      </c>
      <c r="G2926" t="s">
        <v>966</v>
      </c>
      <c r="H2926" t="s">
        <v>4309</v>
      </c>
      <c r="I2926" t="s">
        <v>0</v>
      </c>
      <c r="J2926" t="s">
        <v>51</v>
      </c>
      <c r="K2926" t="s">
        <v>47</v>
      </c>
      <c r="L2926" t="s">
        <v>48</v>
      </c>
      <c r="M2926" t="s">
        <v>0</v>
      </c>
      <c r="N2926" t="s">
        <v>10613</v>
      </c>
      <c r="O2926" t="s">
        <v>0</v>
      </c>
      <c r="P2926" t="s">
        <v>10614</v>
      </c>
      <c r="Q2926" t="s">
        <v>1291</v>
      </c>
      <c r="R2926" t="s">
        <v>361</v>
      </c>
      <c r="S2926" t="s">
        <v>361</v>
      </c>
      <c r="T2926" t="s">
        <v>10217</v>
      </c>
      <c r="U2926" t="s">
        <v>362</v>
      </c>
      <c r="V2926" t="s">
        <v>295</v>
      </c>
      <c r="W2926" t="s">
        <v>74</v>
      </c>
      <c r="X2926" t="s">
        <v>103</v>
      </c>
      <c r="AA2926" t="s">
        <v>296</v>
      </c>
      <c r="AB2926" t="s">
        <v>366</v>
      </c>
      <c r="AC2926" t="s">
        <v>65</v>
      </c>
      <c r="AD2926" t="s">
        <v>0</v>
      </c>
      <c r="AE2926" t="s">
        <v>0</v>
      </c>
      <c r="AF2926" t="s">
        <v>0</v>
      </c>
      <c r="AG2926" t="s">
        <v>0</v>
      </c>
      <c r="AH2926" s="1" t="s">
        <v>0</v>
      </c>
      <c r="AI2926" s="1" t="s">
        <v>0</v>
      </c>
      <c r="AJ2926" s="1" t="s">
        <v>0</v>
      </c>
      <c r="AK2926" t="s">
        <v>61</v>
      </c>
      <c r="AL2926" t="s">
        <v>61</v>
      </c>
      <c r="AM2926" t="s">
        <v>0</v>
      </c>
      <c r="AN2926" t="s">
        <v>0</v>
      </c>
      <c r="AO2926" t="s">
        <v>0</v>
      </c>
      <c r="AP2926" t="s">
        <v>10248</v>
      </c>
      <c r="AQ2926" t="s">
        <v>0</v>
      </c>
      <c r="AR2926" t="s">
        <v>61</v>
      </c>
      <c r="AS2926" t="str">
        <f>HYPERLINK("https://tessa.gazprom-neft.local/edo/card/a3ccb7f2-3f84-4bbf-825e-27aa4f1fed82", "https://tessa.gazprom-neft.local/edo/card/a3ccb7f2-3f84-4bbf-825e-27aa4f1fed82")</f>
        <v>https://tessa.gazprom-neft.local/edo/card/a3ccb7f2-3f84-4bbf-825e-27aa4f1fed82</v>
      </c>
    </row>
    <row r="2927" spans="1:45" hidden="1" x14ac:dyDescent="0.25">
      <c r="A2927" t="s">
        <v>44</v>
      </c>
      <c r="B2927" t="s">
        <v>297</v>
      </c>
      <c r="C2927" t="s">
        <v>67</v>
      </c>
      <c r="F2927" s="18" t="s">
        <v>298</v>
      </c>
      <c r="G2927" t="s">
        <v>299</v>
      </c>
      <c r="H2927" t="s">
        <v>10224</v>
      </c>
      <c r="I2927" t="s">
        <v>0</v>
      </c>
      <c r="J2927" t="s">
        <v>51</v>
      </c>
      <c r="K2927" t="s">
        <v>47</v>
      </c>
      <c r="L2927" t="s">
        <v>239</v>
      </c>
      <c r="M2927" t="s">
        <v>0</v>
      </c>
      <c r="N2927" t="s">
        <v>10615</v>
      </c>
      <c r="O2927" t="s">
        <v>0</v>
      </c>
      <c r="P2927" t="s">
        <v>10616</v>
      </c>
      <c r="Q2927" t="s">
        <v>10617</v>
      </c>
      <c r="R2927" t="s">
        <v>484</v>
      </c>
      <c r="S2927" t="s">
        <v>484</v>
      </c>
      <c r="T2927" t="s">
        <v>10217</v>
      </c>
      <c r="U2927" t="s">
        <v>274</v>
      </c>
      <c r="V2927" t="s">
        <v>56</v>
      </c>
      <c r="W2927" t="s">
        <v>74</v>
      </c>
      <c r="X2927" t="s">
        <v>103</v>
      </c>
      <c r="AA2927" t="s">
        <v>0</v>
      </c>
      <c r="AB2927" t="s">
        <v>64</v>
      </c>
      <c r="AC2927" t="s">
        <v>278</v>
      </c>
      <c r="AD2927" t="s">
        <v>144</v>
      </c>
      <c r="AE2927" t="s">
        <v>82</v>
      </c>
      <c r="AF2927" t="s">
        <v>0</v>
      </c>
      <c r="AG2927" t="s">
        <v>0</v>
      </c>
      <c r="AH2927" s="1" t="s">
        <v>14490</v>
      </c>
      <c r="AI2927" s="1" t="s">
        <v>14491</v>
      </c>
      <c r="AJ2927" s="1" t="s">
        <v>14492</v>
      </c>
      <c r="AK2927" t="s">
        <v>61</v>
      </c>
      <c r="AL2927" t="s">
        <v>61</v>
      </c>
      <c r="AM2927" t="s">
        <v>0</v>
      </c>
      <c r="AN2927" t="s">
        <v>0</v>
      </c>
      <c r="AO2927" t="s">
        <v>0</v>
      </c>
      <c r="AP2927" t="s">
        <v>0</v>
      </c>
      <c r="AQ2927" t="s">
        <v>0</v>
      </c>
      <c r="AR2927" t="s">
        <v>61</v>
      </c>
      <c r="AS2927" t="str">
        <f>HYPERLINK("https://tessa.gazprom-neft.local/edo/card/16c7d650-efd3-4ad6-99ae-e96ae87faf91", "https://tessa.gazprom-neft.local/edo/card/16c7d650-efd3-4ad6-99ae-e96ae87faf91")</f>
        <v>https://tessa.gazprom-neft.local/edo/card/16c7d650-efd3-4ad6-99ae-e96ae87faf91</v>
      </c>
    </row>
    <row r="2928" spans="1:45" x14ac:dyDescent="0.25">
      <c r="A2928" t="s">
        <v>44</v>
      </c>
      <c r="B2928" t="s">
        <v>964</v>
      </c>
      <c r="C2928" t="s">
        <v>67</v>
      </c>
      <c r="F2928" s="18" t="s">
        <v>965</v>
      </c>
      <c r="G2928" t="s">
        <v>966</v>
      </c>
      <c r="H2928" t="s">
        <v>4309</v>
      </c>
      <c r="I2928" t="s">
        <v>0</v>
      </c>
      <c r="J2928" t="s">
        <v>271</v>
      </c>
      <c r="K2928" t="s">
        <v>47</v>
      </c>
      <c r="L2928" t="s">
        <v>48</v>
      </c>
      <c r="M2928" t="s">
        <v>0</v>
      </c>
      <c r="N2928" t="s">
        <v>10618</v>
      </c>
      <c r="O2928" t="s">
        <v>0</v>
      </c>
      <c r="P2928" t="s">
        <v>10619</v>
      </c>
      <c r="Q2928" t="s">
        <v>1291</v>
      </c>
      <c r="R2928" t="s">
        <v>361</v>
      </c>
      <c r="S2928" t="s">
        <v>361</v>
      </c>
      <c r="T2928" t="s">
        <v>10217</v>
      </c>
      <c r="U2928" t="s">
        <v>362</v>
      </c>
      <c r="V2928" t="s">
        <v>295</v>
      </c>
      <c r="W2928" t="s">
        <v>74</v>
      </c>
      <c r="X2928" t="s">
        <v>103</v>
      </c>
      <c r="AA2928" t="s">
        <v>296</v>
      </c>
      <c r="AB2928" t="s">
        <v>366</v>
      </c>
      <c r="AC2928" t="s">
        <v>65</v>
      </c>
      <c r="AD2928" t="s">
        <v>0</v>
      </c>
      <c r="AE2928" t="s">
        <v>0</v>
      </c>
      <c r="AF2928" t="s">
        <v>0</v>
      </c>
      <c r="AG2928" t="s">
        <v>0</v>
      </c>
      <c r="AH2928" s="1" t="s">
        <v>0</v>
      </c>
      <c r="AI2928" s="1" t="s">
        <v>0</v>
      </c>
      <c r="AJ2928" s="1" t="s">
        <v>0</v>
      </c>
      <c r="AK2928" t="s">
        <v>61</v>
      </c>
      <c r="AL2928" t="s">
        <v>61</v>
      </c>
      <c r="AM2928" t="s">
        <v>0</v>
      </c>
      <c r="AN2928" t="s">
        <v>0</v>
      </c>
      <c r="AO2928" t="s">
        <v>0</v>
      </c>
      <c r="AP2928" t="s">
        <v>0</v>
      </c>
      <c r="AQ2928" t="s">
        <v>0</v>
      </c>
      <c r="AR2928" t="s">
        <v>61</v>
      </c>
      <c r="AS2928" t="str">
        <f>HYPERLINK("https://tessa.gazprom-neft.local/edo/card/88f37fa0-6f81-48a1-a9d2-0ca3657911cf", "https://tessa.gazprom-neft.local/edo/card/88f37fa0-6f81-48a1-a9d2-0ca3657911cf")</f>
        <v>https://tessa.gazprom-neft.local/edo/card/88f37fa0-6f81-48a1-a9d2-0ca3657911cf</v>
      </c>
    </row>
    <row r="2929" spans="1:45" x14ac:dyDescent="0.25">
      <c r="A2929" t="s">
        <v>44</v>
      </c>
      <c r="B2929" t="s">
        <v>297</v>
      </c>
      <c r="C2929" t="s">
        <v>67</v>
      </c>
      <c r="F2929" s="18" t="s">
        <v>298</v>
      </c>
      <c r="G2929" t="s">
        <v>299</v>
      </c>
      <c r="H2929" t="s">
        <v>3896</v>
      </c>
      <c r="I2929" t="s">
        <v>0</v>
      </c>
      <c r="J2929" t="s">
        <v>271</v>
      </c>
      <c r="K2929" t="s">
        <v>47</v>
      </c>
      <c r="L2929" t="s">
        <v>48</v>
      </c>
      <c r="M2929" t="s">
        <v>0</v>
      </c>
      <c r="N2929" t="s">
        <v>10620</v>
      </c>
      <c r="O2929" t="s">
        <v>0</v>
      </c>
      <c r="P2929" t="s">
        <v>10621</v>
      </c>
      <c r="Q2929" t="s">
        <v>10622</v>
      </c>
      <c r="R2929" t="s">
        <v>282</v>
      </c>
      <c r="S2929" t="s">
        <v>0</v>
      </c>
      <c r="T2929" t="s">
        <v>10217</v>
      </c>
      <c r="U2929" t="s">
        <v>55</v>
      </c>
      <c r="V2929" t="s">
        <v>56</v>
      </c>
      <c r="W2929" t="s">
        <v>74</v>
      </c>
      <c r="X2929" t="s">
        <v>103</v>
      </c>
      <c r="AA2929" t="s">
        <v>0</v>
      </c>
      <c r="AB2929" t="s">
        <v>130</v>
      </c>
      <c r="AC2929" t="s">
        <v>278</v>
      </c>
      <c r="AD2929" t="s">
        <v>80</v>
      </c>
      <c r="AE2929" t="s">
        <v>82</v>
      </c>
      <c r="AF2929" t="s">
        <v>0</v>
      </c>
      <c r="AG2929" t="s">
        <v>0</v>
      </c>
      <c r="AH2929" s="1" t="s">
        <v>14493</v>
      </c>
      <c r="AI2929" s="1" t="s">
        <v>14494</v>
      </c>
      <c r="AJ2929" s="1" t="s">
        <v>14495</v>
      </c>
      <c r="AK2929" t="s">
        <v>61</v>
      </c>
      <c r="AL2929" t="s">
        <v>61</v>
      </c>
      <c r="AM2929" t="s">
        <v>0</v>
      </c>
      <c r="AN2929" t="s">
        <v>0</v>
      </c>
      <c r="AO2929" t="s">
        <v>0</v>
      </c>
      <c r="AP2929" t="s">
        <v>10248</v>
      </c>
      <c r="AQ2929" t="s">
        <v>0</v>
      </c>
      <c r="AR2929" t="s">
        <v>61</v>
      </c>
      <c r="AS2929" t="str">
        <f>HYPERLINK("https://tessa.gazprom-neft.local/edo/card/7f52f3f8-c88f-4699-aece-f81b6b6c678b", "https://tessa.gazprom-neft.local/edo/card/7f52f3f8-c88f-4699-aece-f81b6b6c678b")</f>
        <v>https://tessa.gazprom-neft.local/edo/card/7f52f3f8-c88f-4699-aece-f81b6b6c678b</v>
      </c>
    </row>
    <row r="2930" spans="1:45" hidden="1" x14ac:dyDescent="0.25">
      <c r="A2930" t="s">
        <v>44</v>
      </c>
      <c r="B2930" t="s">
        <v>245</v>
      </c>
      <c r="C2930" t="s">
        <v>67</v>
      </c>
      <c r="F2930" s="18" t="s">
        <v>246</v>
      </c>
      <c r="G2930" t="s">
        <v>247</v>
      </c>
      <c r="H2930" t="s">
        <v>1105</v>
      </c>
      <c r="I2930" t="s">
        <v>0</v>
      </c>
      <c r="J2930" t="s">
        <v>10625</v>
      </c>
      <c r="K2930" t="s">
        <v>47</v>
      </c>
      <c r="L2930" t="s">
        <v>239</v>
      </c>
      <c r="M2930" t="s">
        <v>0</v>
      </c>
      <c r="N2930" t="s">
        <v>10623</v>
      </c>
      <c r="O2930" t="s">
        <v>0</v>
      </c>
      <c r="P2930" t="s">
        <v>10624</v>
      </c>
      <c r="Q2930" t="s">
        <v>10624</v>
      </c>
      <c r="R2930" t="s">
        <v>233</v>
      </c>
      <c r="S2930" t="s">
        <v>233</v>
      </c>
      <c r="T2930" t="s">
        <v>10217</v>
      </c>
      <c r="U2930" t="s">
        <v>55</v>
      </c>
      <c r="V2930" t="s">
        <v>56</v>
      </c>
      <c r="W2930" t="s">
        <v>74</v>
      </c>
      <c r="X2930" t="s">
        <v>103</v>
      </c>
      <c r="AA2930" t="s">
        <v>59</v>
      </c>
      <c r="AB2930" t="s">
        <v>328</v>
      </c>
      <c r="AC2930" t="s">
        <v>278</v>
      </c>
      <c r="AD2930" t="s">
        <v>144</v>
      </c>
      <c r="AE2930" t="s">
        <v>82</v>
      </c>
      <c r="AF2930" t="s">
        <v>0</v>
      </c>
      <c r="AG2930" t="s">
        <v>0</v>
      </c>
      <c r="AH2930" s="1" t="s">
        <v>14496</v>
      </c>
      <c r="AI2930" s="1" t="s">
        <v>14497</v>
      </c>
      <c r="AJ2930" s="1" t="s">
        <v>14498</v>
      </c>
      <c r="AK2930" t="s">
        <v>61</v>
      </c>
      <c r="AL2930" t="s">
        <v>61</v>
      </c>
      <c r="AM2930" t="s">
        <v>0</v>
      </c>
      <c r="AN2930" t="s">
        <v>0</v>
      </c>
      <c r="AO2930" t="s">
        <v>0</v>
      </c>
      <c r="AP2930" t="s">
        <v>0</v>
      </c>
      <c r="AQ2930" t="s">
        <v>0</v>
      </c>
      <c r="AR2930" t="s">
        <v>61</v>
      </c>
      <c r="AS2930" t="str">
        <f>HYPERLINK("https://tessa.gazprom-neft.local/edo/card/c93408fb-b34a-4e2c-ac5e-1fe864e1a56c", "https://tessa.gazprom-neft.local/edo/card/c93408fb-b34a-4e2c-ac5e-1fe864e1a56c")</f>
        <v>https://tessa.gazprom-neft.local/edo/card/c93408fb-b34a-4e2c-ac5e-1fe864e1a56c</v>
      </c>
    </row>
    <row r="2931" spans="1:45" x14ac:dyDescent="0.25">
      <c r="A2931" t="s">
        <v>44</v>
      </c>
      <c r="B2931" t="s">
        <v>436</v>
      </c>
      <c r="C2931" t="s">
        <v>67</v>
      </c>
      <c r="F2931" s="18" t="s">
        <v>437</v>
      </c>
      <c r="G2931" t="s">
        <v>438</v>
      </c>
      <c r="H2931" t="s">
        <v>4603</v>
      </c>
      <c r="I2931" t="s">
        <v>0</v>
      </c>
      <c r="J2931" t="s">
        <v>657</v>
      </c>
      <c r="K2931" t="s">
        <v>47</v>
      </c>
      <c r="L2931" t="s">
        <v>48</v>
      </c>
      <c r="M2931" t="s">
        <v>0</v>
      </c>
      <c r="N2931" t="s">
        <v>10626</v>
      </c>
      <c r="O2931" t="s">
        <v>0</v>
      </c>
      <c r="P2931" t="s">
        <v>10627</v>
      </c>
      <c r="Q2931" t="s">
        <v>10628</v>
      </c>
      <c r="R2931" t="s">
        <v>1342</v>
      </c>
      <c r="S2931" t="s">
        <v>1342</v>
      </c>
      <c r="T2931" t="s">
        <v>10217</v>
      </c>
      <c r="U2931" t="s">
        <v>274</v>
      </c>
      <c r="V2931" t="s">
        <v>340</v>
      </c>
      <c r="W2931" t="s">
        <v>57</v>
      </c>
      <c r="X2931" t="s">
        <v>103</v>
      </c>
      <c r="AA2931" t="s">
        <v>341</v>
      </c>
      <c r="AB2931" t="s">
        <v>64</v>
      </c>
      <c r="AC2931" t="s">
        <v>65</v>
      </c>
      <c r="AD2931" t="s">
        <v>0</v>
      </c>
      <c r="AE2931" t="s">
        <v>0</v>
      </c>
      <c r="AF2931" t="s">
        <v>0</v>
      </c>
      <c r="AG2931" t="s">
        <v>0</v>
      </c>
      <c r="AH2931" s="1" t="s">
        <v>0</v>
      </c>
      <c r="AI2931" s="1" t="s">
        <v>0</v>
      </c>
      <c r="AJ2931" s="1" t="s">
        <v>0</v>
      </c>
      <c r="AK2931" t="s">
        <v>61</v>
      </c>
      <c r="AL2931" t="s">
        <v>61</v>
      </c>
      <c r="AM2931" t="s">
        <v>0</v>
      </c>
      <c r="AN2931" t="s">
        <v>0</v>
      </c>
      <c r="AO2931" t="s">
        <v>0</v>
      </c>
      <c r="AP2931" t="s">
        <v>0</v>
      </c>
      <c r="AQ2931" t="s">
        <v>0</v>
      </c>
      <c r="AR2931" t="s">
        <v>61</v>
      </c>
      <c r="AS2931" t="str">
        <f>HYPERLINK("https://tessa.gazprom-neft.local/edo/card/f86dd22e-1725-40c1-8ad5-3ca4dea27f95", "https://tessa.gazprom-neft.local/edo/card/f86dd22e-1725-40c1-8ad5-3ca4dea27f95")</f>
        <v>https://tessa.gazprom-neft.local/edo/card/f86dd22e-1725-40c1-8ad5-3ca4dea27f95</v>
      </c>
    </row>
    <row r="2932" spans="1:45" x14ac:dyDescent="0.25">
      <c r="A2932" t="s">
        <v>44</v>
      </c>
      <c r="B2932" t="s">
        <v>1684</v>
      </c>
      <c r="C2932" t="s">
        <v>67</v>
      </c>
      <c r="F2932" s="18" t="s">
        <v>1685</v>
      </c>
      <c r="G2932" t="s">
        <v>1686</v>
      </c>
      <c r="H2932" t="s">
        <v>10239</v>
      </c>
      <c r="I2932" t="s">
        <v>0</v>
      </c>
      <c r="J2932" t="s">
        <v>271</v>
      </c>
      <c r="K2932" t="s">
        <v>47</v>
      </c>
      <c r="L2932" t="s">
        <v>48</v>
      </c>
      <c r="M2932" t="s">
        <v>0</v>
      </c>
      <c r="N2932" t="s">
        <v>10629</v>
      </c>
      <c r="O2932" t="s">
        <v>0</v>
      </c>
      <c r="P2932" t="s">
        <v>10630</v>
      </c>
      <c r="Q2932" t="s">
        <v>10631</v>
      </c>
      <c r="R2932" t="s">
        <v>10241</v>
      </c>
      <c r="S2932" t="s">
        <v>0</v>
      </c>
      <c r="T2932" t="s">
        <v>10217</v>
      </c>
      <c r="U2932" t="s">
        <v>101</v>
      </c>
      <c r="V2932" t="s">
        <v>168</v>
      </c>
      <c r="W2932" t="s">
        <v>74</v>
      </c>
      <c r="X2932" t="s">
        <v>103</v>
      </c>
      <c r="AA2932" t="s">
        <v>169</v>
      </c>
      <c r="AB2932" t="s">
        <v>366</v>
      </c>
      <c r="AC2932" t="s">
        <v>278</v>
      </c>
      <c r="AD2932" t="s">
        <v>367</v>
      </c>
      <c r="AE2932" t="s">
        <v>82</v>
      </c>
      <c r="AF2932" t="s">
        <v>0</v>
      </c>
      <c r="AG2932" t="s">
        <v>0</v>
      </c>
      <c r="AH2932" s="1" t="s">
        <v>14499</v>
      </c>
      <c r="AI2932" s="1" t="s">
        <v>14500</v>
      </c>
      <c r="AJ2932" s="1" t="s">
        <v>14501</v>
      </c>
      <c r="AK2932" t="s">
        <v>61</v>
      </c>
      <c r="AL2932" t="s">
        <v>61</v>
      </c>
      <c r="AM2932" t="s">
        <v>0</v>
      </c>
      <c r="AN2932" t="s">
        <v>0</v>
      </c>
      <c r="AO2932" t="s">
        <v>0</v>
      </c>
      <c r="AP2932" t="s">
        <v>0</v>
      </c>
      <c r="AQ2932" t="s">
        <v>0</v>
      </c>
      <c r="AR2932" t="s">
        <v>61</v>
      </c>
      <c r="AS2932" t="str">
        <f>HYPERLINK("https://tessa.gazprom-neft.local/edo/card/c58c048f-9e31-43ab-b522-62cf6d4f925e", "https://tessa.gazprom-neft.local/edo/card/c58c048f-9e31-43ab-b522-62cf6d4f925e")</f>
        <v>https://tessa.gazprom-neft.local/edo/card/c58c048f-9e31-43ab-b522-62cf6d4f925e</v>
      </c>
    </row>
    <row r="2933" spans="1:45" hidden="1" x14ac:dyDescent="0.25">
      <c r="A2933" t="s">
        <v>44</v>
      </c>
      <c r="B2933" t="s">
        <v>1084</v>
      </c>
      <c r="C2933" t="s">
        <v>67</v>
      </c>
      <c r="F2933" s="18" t="s">
        <v>1085</v>
      </c>
      <c r="G2933" t="s">
        <v>1086</v>
      </c>
      <c r="H2933" t="s">
        <v>0</v>
      </c>
      <c r="I2933" t="s">
        <v>10633</v>
      </c>
      <c r="J2933" t="s">
        <v>10633</v>
      </c>
      <c r="K2933" t="s">
        <v>47</v>
      </c>
      <c r="L2933" t="s">
        <v>96</v>
      </c>
      <c r="M2933" t="s">
        <v>0</v>
      </c>
      <c r="N2933" t="s">
        <v>10632</v>
      </c>
      <c r="O2933" t="s">
        <v>0</v>
      </c>
      <c r="P2933" t="s">
        <v>10634</v>
      </c>
      <c r="Q2933" t="s">
        <v>10635</v>
      </c>
      <c r="R2933" t="s">
        <v>484</v>
      </c>
      <c r="S2933" t="s">
        <v>484</v>
      </c>
      <c r="T2933" t="s">
        <v>10217</v>
      </c>
      <c r="U2933" t="s">
        <v>274</v>
      </c>
      <c r="V2933" t="s">
        <v>56</v>
      </c>
      <c r="W2933" t="s">
        <v>74</v>
      </c>
      <c r="X2933" t="s">
        <v>103</v>
      </c>
      <c r="AA2933" t="s">
        <v>59</v>
      </c>
      <c r="AB2933" t="s">
        <v>64</v>
      </c>
      <c r="AC2933" t="s">
        <v>278</v>
      </c>
      <c r="AD2933" t="s">
        <v>144</v>
      </c>
      <c r="AE2933" t="s">
        <v>82</v>
      </c>
      <c r="AF2933" t="s">
        <v>0</v>
      </c>
      <c r="AG2933" t="s">
        <v>0</v>
      </c>
      <c r="AH2933" s="1" t="s">
        <v>14502</v>
      </c>
      <c r="AI2933" s="1" t="s">
        <v>14503</v>
      </c>
      <c r="AJ2933" s="1" t="s">
        <v>14504</v>
      </c>
      <c r="AK2933" t="s">
        <v>61</v>
      </c>
      <c r="AL2933" t="s">
        <v>61</v>
      </c>
      <c r="AM2933" t="s">
        <v>0</v>
      </c>
      <c r="AN2933" t="s">
        <v>0</v>
      </c>
      <c r="AO2933" t="s">
        <v>0</v>
      </c>
      <c r="AP2933" t="s">
        <v>0</v>
      </c>
      <c r="AQ2933" t="s">
        <v>0</v>
      </c>
      <c r="AR2933" t="s">
        <v>61</v>
      </c>
      <c r="AS2933" t="str">
        <f>HYPERLINK("https://tessa.gazprom-neft.local/edo/card/064d4cb4-d16f-4639-a007-9d5360d4c8b1", "https://tessa.gazprom-neft.local/edo/card/064d4cb4-d16f-4639-a007-9d5360d4c8b1")</f>
        <v>https://tessa.gazprom-neft.local/edo/card/064d4cb4-d16f-4639-a007-9d5360d4c8b1</v>
      </c>
    </row>
    <row r="2934" spans="1:45" hidden="1" x14ac:dyDescent="0.25">
      <c r="A2934" t="s">
        <v>44</v>
      </c>
      <c r="B2934" t="s">
        <v>801</v>
      </c>
      <c r="C2934" t="s">
        <v>67</v>
      </c>
      <c r="F2934" s="18" t="s">
        <v>802</v>
      </c>
      <c r="G2934" t="s">
        <v>803</v>
      </c>
      <c r="H2934" t="s">
        <v>0</v>
      </c>
      <c r="I2934" t="s">
        <v>10319</v>
      </c>
      <c r="J2934" t="s">
        <v>10319</v>
      </c>
      <c r="K2934" t="s">
        <v>47</v>
      </c>
      <c r="L2934" t="s">
        <v>96</v>
      </c>
      <c r="M2934" t="s">
        <v>0</v>
      </c>
      <c r="N2934" t="s">
        <v>10636</v>
      </c>
      <c r="O2934" t="s">
        <v>0</v>
      </c>
      <c r="P2934" t="s">
        <v>10637</v>
      </c>
      <c r="Q2934" t="s">
        <v>10638</v>
      </c>
      <c r="R2934" t="s">
        <v>282</v>
      </c>
      <c r="S2934" t="s">
        <v>10639</v>
      </c>
      <c r="T2934" t="s">
        <v>10217</v>
      </c>
      <c r="U2934" t="s">
        <v>55</v>
      </c>
      <c r="V2934" t="s">
        <v>56</v>
      </c>
      <c r="W2934" t="s">
        <v>74</v>
      </c>
      <c r="X2934" t="s">
        <v>103</v>
      </c>
      <c r="AA2934" t="s">
        <v>0</v>
      </c>
      <c r="AB2934" t="s">
        <v>130</v>
      </c>
      <c r="AC2934" t="s">
        <v>278</v>
      </c>
      <c r="AD2934" t="s">
        <v>80</v>
      </c>
      <c r="AE2934" t="s">
        <v>82</v>
      </c>
      <c r="AF2934" t="s">
        <v>0</v>
      </c>
      <c r="AG2934" t="s">
        <v>0</v>
      </c>
      <c r="AH2934" s="1" t="s">
        <v>14505</v>
      </c>
      <c r="AI2934" s="1" t="s">
        <v>14506</v>
      </c>
      <c r="AJ2934" s="1" t="s">
        <v>14507</v>
      </c>
      <c r="AK2934" t="s">
        <v>61</v>
      </c>
      <c r="AL2934" t="s">
        <v>61</v>
      </c>
      <c r="AM2934" t="s">
        <v>0</v>
      </c>
      <c r="AN2934" t="s">
        <v>0</v>
      </c>
      <c r="AO2934" t="s">
        <v>0</v>
      </c>
      <c r="AP2934" t="s">
        <v>0</v>
      </c>
      <c r="AQ2934" t="s">
        <v>0</v>
      </c>
      <c r="AR2934" t="s">
        <v>61</v>
      </c>
      <c r="AS2934" t="str">
        <f>HYPERLINK("https://tessa.gazprom-neft.local/edo/card/93d2f2e2-912e-4795-a0e2-0cf2d023317c", "https://tessa.gazprom-neft.local/edo/card/93d2f2e2-912e-4795-a0e2-0cf2d023317c")</f>
        <v>https://tessa.gazprom-neft.local/edo/card/93d2f2e2-912e-4795-a0e2-0cf2d023317c</v>
      </c>
    </row>
    <row r="2935" spans="1:45" hidden="1" x14ac:dyDescent="0.25">
      <c r="A2935" t="s">
        <v>44</v>
      </c>
      <c r="B2935" t="s">
        <v>520</v>
      </c>
      <c r="C2935" t="s">
        <v>4861</v>
      </c>
      <c r="F2935" s="18" t="s">
        <v>521</v>
      </c>
      <c r="G2935" t="s">
        <v>522</v>
      </c>
      <c r="H2935" t="s">
        <v>0</v>
      </c>
      <c r="I2935" t="s">
        <v>0</v>
      </c>
      <c r="J2935" t="s">
        <v>0</v>
      </c>
      <c r="K2935" t="s">
        <v>85</v>
      </c>
      <c r="L2935" t="s">
        <v>86</v>
      </c>
      <c r="M2935" t="s">
        <v>216</v>
      </c>
      <c r="N2935" t="s">
        <v>10640</v>
      </c>
      <c r="O2935" t="s">
        <v>0</v>
      </c>
      <c r="P2935" t="s">
        <v>216</v>
      </c>
      <c r="Q2935" t="s">
        <v>9900</v>
      </c>
      <c r="R2935" t="s">
        <v>519</v>
      </c>
      <c r="S2935" t="s">
        <v>519</v>
      </c>
      <c r="T2935" t="s">
        <v>10217</v>
      </c>
      <c r="U2935" t="s">
        <v>362</v>
      </c>
      <c r="V2935" t="s">
        <v>295</v>
      </c>
      <c r="W2935" t="s">
        <v>74</v>
      </c>
      <c r="X2935" t="s">
        <v>103</v>
      </c>
      <c r="AA2935" t="s">
        <v>296</v>
      </c>
      <c r="AB2935" t="s">
        <v>228</v>
      </c>
      <c r="AC2935" t="s">
        <v>65</v>
      </c>
      <c r="AD2935" t="s">
        <v>0</v>
      </c>
      <c r="AE2935" t="s">
        <v>0</v>
      </c>
      <c r="AF2935" t="s">
        <v>0</v>
      </c>
      <c r="AG2935" t="s">
        <v>0</v>
      </c>
      <c r="AH2935" s="1" t="s">
        <v>0</v>
      </c>
      <c r="AI2935" s="1" t="s">
        <v>0</v>
      </c>
      <c r="AJ2935" s="1" t="s">
        <v>0</v>
      </c>
      <c r="AK2935" t="s">
        <v>61</v>
      </c>
      <c r="AL2935" t="s">
        <v>61</v>
      </c>
      <c r="AM2935" t="s">
        <v>0</v>
      </c>
      <c r="AN2935" t="s">
        <v>0</v>
      </c>
      <c r="AO2935" t="s">
        <v>0</v>
      </c>
      <c r="AP2935" t="s">
        <v>0</v>
      </c>
      <c r="AQ2935" t="s">
        <v>0</v>
      </c>
      <c r="AR2935" t="s">
        <v>61</v>
      </c>
      <c r="AS2935" t="str">
        <f>HYPERLINK("https://tessa.gazprom-neft.local/edo/card/73a6f0ec-a8a3-454e-8de2-e295f9479132", "https://tessa.gazprom-neft.local/edo/card/73a6f0ec-a8a3-454e-8de2-e295f9479132")</f>
        <v>https://tessa.gazprom-neft.local/edo/card/73a6f0ec-a8a3-454e-8de2-e295f9479132</v>
      </c>
    </row>
    <row r="2936" spans="1:45" x14ac:dyDescent="0.25">
      <c r="A2936" t="s">
        <v>44</v>
      </c>
      <c r="B2936" t="s">
        <v>436</v>
      </c>
      <c r="C2936" t="s">
        <v>67</v>
      </c>
      <c r="F2936" s="18" t="s">
        <v>437</v>
      </c>
      <c r="G2936" t="s">
        <v>438</v>
      </c>
      <c r="H2936" t="s">
        <v>9489</v>
      </c>
      <c r="I2936" t="s">
        <v>0</v>
      </c>
      <c r="J2936" t="s">
        <v>51</v>
      </c>
      <c r="K2936" t="s">
        <v>47</v>
      </c>
      <c r="L2936" t="s">
        <v>48</v>
      </c>
      <c r="M2936" t="s">
        <v>0</v>
      </c>
      <c r="N2936" t="s">
        <v>10641</v>
      </c>
      <c r="O2936" t="s">
        <v>0</v>
      </c>
      <c r="P2936" t="s">
        <v>50</v>
      </c>
      <c r="Q2936" t="s">
        <v>10642</v>
      </c>
      <c r="R2936" t="s">
        <v>484</v>
      </c>
      <c r="S2936" t="s">
        <v>484</v>
      </c>
      <c r="T2936" t="s">
        <v>10217</v>
      </c>
      <c r="U2936" t="s">
        <v>274</v>
      </c>
      <c r="V2936" t="s">
        <v>340</v>
      </c>
      <c r="W2936" t="s">
        <v>74</v>
      </c>
      <c r="X2936" t="s">
        <v>103</v>
      </c>
      <c r="AA2936" t="s">
        <v>341</v>
      </c>
      <c r="AB2936" t="s">
        <v>64</v>
      </c>
      <c r="AC2936" t="s">
        <v>65</v>
      </c>
      <c r="AD2936" t="s">
        <v>144</v>
      </c>
      <c r="AE2936" t="s">
        <v>0</v>
      </c>
      <c r="AF2936" t="s">
        <v>0</v>
      </c>
      <c r="AG2936" t="s">
        <v>0</v>
      </c>
      <c r="AH2936" s="1" t="s">
        <v>0</v>
      </c>
      <c r="AI2936" s="1" t="s">
        <v>0</v>
      </c>
      <c r="AJ2936" s="1" t="s">
        <v>0</v>
      </c>
      <c r="AK2936" t="s">
        <v>61</v>
      </c>
      <c r="AL2936" t="s">
        <v>61</v>
      </c>
      <c r="AM2936" t="s">
        <v>0</v>
      </c>
      <c r="AN2936" t="s">
        <v>0</v>
      </c>
      <c r="AO2936" t="s">
        <v>0</v>
      </c>
      <c r="AP2936" t="s">
        <v>0</v>
      </c>
      <c r="AQ2936" t="s">
        <v>0</v>
      </c>
      <c r="AR2936" t="s">
        <v>61</v>
      </c>
      <c r="AS2936" t="str">
        <f>HYPERLINK("https://tessa.gazprom-neft.local/edo/card/92cbc364-d9ba-4498-b5d4-06cb2f60843e", "https://tessa.gazprom-neft.local/edo/card/92cbc364-d9ba-4498-b5d4-06cb2f60843e")</f>
        <v>https://tessa.gazprom-neft.local/edo/card/92cbc364-d9ba-4498-b5d4-06cb2f60843e</v>
      </c>
    </row>
    <row r="2937" spans="1:45" x14ac:dyDescent="0.25">
      <c r="A2937" t="s">
        <v>44</v>
      </c>
      <c r="B2937" t="s">
        <v>1084</v>
      </c>
      <c r="C2937" t="s">
        <v>67</v>
      </c>
      <c r="F2937" s="18" t="s">
        <v>1085</v>
      </c>
      <c r="G2937" t="s">
        <v>1086</v>
      </c>
      <c r="H2937" t="s">
        <v>1518</v>
      </c>
      <c r="I2937" t="s">
        <v>0</v>
      </c>
      <c r="J2937" t="s">
        <v>271</v>
      </c>
      <c r="K2937" t="s">
        <v>47</v>
      </c>
      <c r="L2937" t="s">
        <v>48</v>
      </c>
      <c r="M2937" t="s">
        <v>0</v>
      </c>
      <c r="N2937" t="s">
        <v>10643</v>
      </c>
      <c r="O2937" t="s">
        <v>0</v>
      </c>
      <c r="P2937" t="s">
        <v>312</v>
      </c>
      <c r="Q2937" t="s">
        <v>10644</v>
      </c>
      <c r="R2937" t="s">
        <v>1083</v>
      </c>
      <c r="S2937" t="s">
        <v>72</v>
      </c>
      <c r="T2937" t="s">
        <v>10217</v>
      </c>
      <c r="U2937" t="s">
        <v>1043</v>
      </c>
      <c r="V2937" t="s">
        <v>723</v>
      </c>
      <c r="W2937" t="s">
        <v>74</v>
      </c>
      <c r="X2937" t="s">
        <v>103</v>
      </c>
      <c r="AA2937" t="s">
        <v>1031</v>
      </c>
      <c r="AB2937" t="s">
        <v>130</v>
      </c>
      <c r="AC2937" t="s">
        <v>65</v>
      </c>
      <c r="AD2937" t="s">
        <v>0</v>
      </c>
      <c r="AE2937" t="s">
        <v>0</v>
      </c>
      <c r="AF2937" t="s">
        <v>0</v>
      </c>
      <c r="AG2937" t="s">
        <v>0</v>
      </c>
      <c r="AH2937" s="1" t="s">
        <v>0</v>
      </c>
      <c r="AI2937" s="1" t="s">
        <v>0</v>
      </c>
      <c r="AJ2937" s="1" t="s">
        <v>0</v>
      </c>
      <c r="AK2937" t="s">
        <v>61</v>
      </c>
      <c r="AL2937" t="s">
        <v>61</v>
      </c>
      <c r="AM2937" t="s">
        <v>0</v>
      </c>
      <c r="AN2937" t="s">
        <v>0</v>
      </c>
      <c r="AO2937" t="s">
        <v>0</v>
      </c>
      <c r="AP2937" t="s">
        <v>0</v>
      </c>
      <c r="AQ2937" t="s">
        <v>0</v>
      </c>
      <c r="AR2937" t="s">
        <v>61</v>
      </c>
      <c r="AS2937" t="str">
        <f>HYPERLINK("https://tessa.gazprom-neft.local/edo/card/29730cf2-205f-47b3-b497-ed19ff6519e0", "https://tessa.gazprom-neft.local/edo/card/29730cf2-205f-47b3-b497-ed19ff6519e0")</f>
        <v>https://tessa.gazprom-neft.local/edo/card/29730cf2-205f-47b3-b497-ed19ff6519e0</v>
      </c>
    </row>
    <row r="2938" spans="1:45" hidden="1" x14ac:dyDescent="0.25">
      <c r="A2938" t="s">
        <v>44</v>
      </c>
      <c r="B2938" t="s">
        <v>2408</v>
      </c>
      <c r="C2938" t="s">
        <v>67</v>
      </c>
      <c r="F2938" s="18" t="s">
        <v>2409</v>
      </c>
      <c r="G2938" t="s">
        <v>2410</v>
      </c>
      <c r="H2938" t="s">
        <v>10597</v>
      </c>
      <c r="I2938" t="s">
        <v>0</v>
      </c>
      <c r="J2938" t="s">
        <v>51</v>
      </c>
      <c r="K2938" t="s">
        <v>47</v>
      </c>
      <c r="L2938" t="s">
        <v>763</v>
      </c>
      <c r="M2938" t="s">
        <v>0</v>
      </c>
      <c r="N2938" t="s">
        <v>10645</v>
      </c>
      <c r="O2938" t="s">
        <v>0</v>
      </c>
      <c r="P2938" t="s">
        <v>10646</v>
      </c>
      <c r="Q2938" t="s">
        <v>10647</v>
      </c>
      <c r="R2938" t="s">
        <v>714</v>
      </c>
      <c r="S2938" t="s">
        <v>714</v>
      </c>
      <c r="T2938" t="s">
        <v>10217</v>
      </c>
      <c r="U2938" t="s">
        <v>101</v>
      </c>
      <c r="V2938" t="s">
        <v>168</v>
      </c>
      <c r="W2938" t="s">
        <v>74</v>
      </c>
      <c r="X2938" t="s">
        <v>103</v>
      </c>
      <c r="AA2938" t="s">
        <v>6641</v>
      </c>
      <c r="AB2938" t="s">
        <v>366</v>
      </c>
      <c r="AC2938" t="s">
        <v>278</v>
      </c>
      <c r="AD2938" t="s">
        <v>367</v>
      </c>
      <c r="AE2938" t="s">
        <v>82</v>
      </c>
      <c r="AF2938" t="s">
        <v>0</v>
      </c>
      <c r="AG2938" t="s">
        <v>0</v>
      </c>
      <c r="AH2938" s="1" t="s">
        <v>14481</v>
      </c>
      <c r="AI2938" s="1" t="s">
        <v>14482</v>
      </c>
      <c r="AJ2938" s="1" t="s">
        <v>14483</v>
      </c>
      <c r="AK2938" t="s">
        <v>61</v>
      </c>
      <c r="AL2938" t="s">
        <v>61</v>
      </c>
      <c r="AM2938" t="s">
        <v>0</v>
      </c>
      <c r="AN2938" t="s">
        <v>0</v>
      </c>
      <c r="AO2938" t="s">
        <v>0</v>
      </c>
      <c r="AP2938" t="s">
        <v>10248</v>
      </c>
      <c r="AQ2938" t="s">
        <v>0</v>
      </c>
      <c r="AR2938" t="s">
        <v>61</v>
      </c>
      <c r="AS2938" t="str">
        <f>HYPERLINK("https://tessa.gazprom-neft.local/edo/card/ac00e649-f1f6-4e7a-8c2e-99cdf6784b9c", "https://tessa.gazprom-neft.local/edo/card/ac00e649-f1f6-4e7a-8c2e-99cdf6784b9c")</f>
        <v>https://tessa.gazprom-neft.local/edo/card/ac00e649-f1f6-4e7a-8c2e-99cdf6784b9c</v>
      </c>
    </row>
    <row r="2939" spans="1:45" hidden="1" x14ac:dyDescent="0.25">
      <c r="A2939" t="s">
        <v>44</v>
      </c>
      <c r="B2939" t="s">
        <v>801</v>
      </c>
      <c r="C2939" t="s">
        <v>67</v>
      </c>
      <c r="F2939" s="18" t="s">
        <v>802</v>
      </c>
      <c r="G2939" t="s">
        <v>803</v>
      </c>
      <c r="H2939" t="s">
        <v>797</v>
      </c>
      <c r="I2939" t="s">
        <v>0</v>
      </c>
      <c r="J2939" t="s">
        <v>3632</v>
      </c>
      <c r="K2939" t="s">
        <v>47</v>
      </c>
      <c r="L2939" t="s">
        <v>1858</v>
      </c>
      <c r="M2939" t="s">
        <v>0</v>
      </c>
      <c r="N2939" t="s">
        <v>10648</v>
      </c>
      <c r="O2939" t="s">
        <v>0</v>
      </c>
      <c r="P2939" t="s">
        <v>10649</v>
      </c>
      <c r="Q2939" t="s">
        <v>10650</v>
      </c>
      <c r="R2939" t="s">
        <v>282</v>
      </c>
      <c r="S2939" t="s">
        <v>0</v>
      </c>
      <c r="T2939" t="s">
        <v>10217</v>
      </c>
      <c r="U2939" t="s">
        <v>55</v>
      </c>
      <c r="V2939" t="s">
        <v>56</v>
      </c>
      <c r="W2939" t="s">
        <v>74</v>
      </c>
      <c r="X2939" t="s">
        <v>223</v>
      </c>
      <c r="AA2939" t="s">
        <v>0</v>
      </c>
      <c r="AB2939" t="s">
        <v>804</v>
      </c>
      <c r="AC2939" t="s">
        <v>65</v>
      </c>
      <c r="AD2939" t="s">
        <v>0</v>
      </c>
      <c r="AE2939" t="s">
        <v>0</v>
      </c>
      <c r="AF2939" t="s">
        <v>0</v>
      </c>
      <c r="AG2939" t="s">
        <v>0</v>
      </c>
      <c r="AH2939" s="1" t="s">
        <v>0</v>
      </c>
      <c r="AI2939" s="1" t="s">
        <v>0</v>
      </c>
      <c r="AJ2939" s="1" t="s">
        <v>0</v>
      </c>
      <c r="AK2939" t="s">
        <v>61</v>
      </c>
      <c r="AL2939" t="s">
        <v>61</v>
      </c>
      <c r="AM2939" t="s">
        <v>0</v>
      </c>
      <c r="AN2939" t="s">
        <v>0</v>
      </c>
      <c r="AO2939" t="s">
        <v>0</v>
      </c>
      <c r="AP2939" t="s">
        <v>0</v>
      </c>
      <c r="AQ2939" t="s">
        <v>0</v>
      </c>
      <c r="AR2939" t="s">
        <v>61</v>
      </c>
      <c r="AS2939" t="str">
        <f>HYPERLINK("https://tessa.gazprom-neft.local/edo/card/e2fac822-67c8-4eb8-af20-fa46eed2a815", "https://tessa.gazprom-neft.local/edo/card/e2fac822-67c8-4eb8-af20-fa46eed2a815")</f>
        <v>https://tessa.gazprom-neft.local/edo/card/e2fac822-67c8-4eb8-af20-fa46eed2a815</v>
      </c>
    </row>
    <row r="2940" spans="1:45" x14ac:dyDescent="0.25">
      <c r="A2940" t="s">
        <v>44</v>
      </c>
      <c r="B2940" t="s">
        <v>374</v>
      </c>
      <c r="C2940" t="s">
        <v>67</v>
      </c>
      <c r="F2940" s="18" t="s">
        <v>375</v>
      </c>
      <c r="G2940" t="s">
        <v>376</v>
      </c>
      <c r="H2940" t="s">
        <v>981</v>
      </c>
      <c r="I2940" t="s">
        <v>0</v>
      </c>
      <c r="J2940" t="s">
        <v>156</v>
      </c>
      <c r="K2940" t="s">
        <v>85</v>
      </c>
      <c r="L2940" t="s">
        <v>48</v>
      </c>
      <c r="M2940" t="s">
        <v>2128</v>
      </c>
      <c r="N2940" t="s">
        <v>10651</v>
      </c>
      <c r="O2940" t="s">
        <v>0</v>
      </c>
      <c r="P2940" t="s">
        <v>2128</v>
      </c>
      <c r="Q2940" t="s">
        <v>10652</v>
      </c>
      <c r="R2940" t="s">
        <v>2594</v>
      </c>
      <c r="S2940" t="s">
        <v>2594</v>
      </c>
      <c r="T2940" t="s">
        <v>10217</v>
      </c>
      <c r="U2940" t="s">
        <v>199</v>
      </c>
      <c r="V2940" t="s">
        <v>126</v>
      </c>
      <c r="W2940" t="s">
        <v>74</v>
      </c>
      <c r="X2940" t="s">
        <v>58</v>
      </c>
      <c r="AA2940" t="s">
        <v>224</v>
      </c>
      <c r="AB2940" t="s">
        <v>64</v>
      </c>
      <c r="AC2940" t="s">
        <v>65</v>
      </c>
      <c r="AD2940" t="s">
        <v>0</v>
      </c>
      <c r="AE2940" t="s">
        <v>0</v>
      </c>
      <c r="AF2940" t="s">
        <v>0</v>
      </c>
      <c r="AG2940" t="s">
        <v>0</v>
      </c>
      <c r="AH2940" s="1" t="s">
        <v>0</v>
      </c>
      <c r="AI2940" s="1" t="s">
        <v>0</v>
      </c>
      <c r="AJ2940" s="1" t="s">
        <v>0</v>
      </c>
      <c r="AK2940" t="s">
        <v>61</v>
      </c>
      <c r="AL2940" t="s">
        <v>61</v>
      </c>
      <c r="AM2940" t="s">
        <v>0</v>
      </c>
      <c r="AN2940" t="s">
        <v>0</v>
      </c>
      <c r="AO2940" t="s">
        <v>0</v>
      </c>
      <c r="AP2940" t="s">
        <v>0</v>
      </c>
      <c r="AQ2940" t="s">
        <v>0</v>
      </c>
      <c r="AR2940" t="s">
        <v>61</v>
      </c>
      <c r="AS2940" t="str">
        <f>HYPERLINK("https://tessa.gazprom-neft.local/edo/card/205dfcdd-3eff-4657-be2a-b468795403a2", "https://tessa.gazprom-neft.local/edo/card/205dfcdd-3eff-4657-be2a-b468795403a2")</f>
        <v>https://tessa.gazprom-neft.local/edo/card/205dfcdd-3eff-4657-be2a-b468795403a2</v>
      </c>
    </row>
    <row r="2941" spans="1:45" hidden="1" x14ac:dyDescent="0.25">
      <c r="A2941" t="s">
        <v>44</v>
      </c>
      <c r="B2941" t="s">
        <v>1925</v>
      </c>
      <c r="C2941" t="s">
        <v>67</v>
      </c>
      <c r="F2941" s="18" t="s">
        <v>1926</v>
      </c>
      <c r="G2941" t="s">
        <v>1927</v>
      </c>
      <c r="H2941" t="s">
        <v>0</v>
      </c>
      <c r="I2941" t="s">
        <v>10234</v>
      </c>
      <c r="J2941" t="s">
        <v>10234</v>
      </c>
      <c r="K2941" t="s">
        <v>47</v>
      </c>
      <c r="L2941" t="s">
        <v>96</v>
      </c>
      <c r="M2941" t="s">
        <v>0</v>
      </c>
      <c r="N2941" t="s">
        <v>10653</v>
      </c>
      <c r="O2941" t="s">
        <v>0</v>
      </c>
      <c r="P2941" t="s">
        <v>10654</v>
      </c>
      <c r="Q2941" t="s">
        <v>10655</v>
      </c>
      <c r="R2941" t="s">
        <v>10237</v>
      </c>
      <c r="S2941" t="s">
        <v>10656</v>
      </c>
      <c r="T2941" t="s">
        <v>10217</v>
      </c>
      <c r="U2941" t="s">
        <v>6018</v>
      </c>
      <c r="V2941" t="s">
        <v>846</v>
      </c>
      <c r="W2941" t="s">
        <v>74</v>
      </c>
      <c r="X2941" t="s">
        <v>103</v>
      </c>
      <c r="AA2941" t="s">
        <v>847</v>
      </c>
      <c r="AB2941" t="s">
        <v>256</v>
      </c>
      <c r="AC2941" t="s">
        <v>278</v>
      </c>
      <c r="AD2941" t="s">
        <v>80</v>
      </c>
      <c r="AE2941" t="s">
        <v>82</v>
      </c>
      <c r="AF2941" t="s">
        <v>0</v>
      </c>
      <c r="AG2941" t="s">
        <v>0</v>
      </c>
      <c r="AH2941" s="1" t="s">
        <v>14508</v>
      </c>
      <c r="AI2941" s="1" t="s">
        <v>14509</v>
      </c>
      <c r="AJ2941" s="1" t="s">
        <v>14510</v>
      </c>
      <c r="AK2941" t="s">
        <v>61</v>
      </c>
      <c r="AL2941" t="s">
        <v>61</v>
      </c>
      <c r="AM2941" t="s">
        <v>0</v>
      </c>
      <c r="AN2941" t="s">
        <v>0</v>
      </c>
      <c r="AO2941" t="s">
        <v>0</v>
      </c>
      <c r="AP2941" t="s">
        <v>0</v>
      </c>
      <c r="AQ2941" t="s">
        <v>0</v>
      </c>
      <c r="AR2941" t="s">
        <v>61</v>
      </c>
      <c r="AS2941" t="str">
        <f>HYPERLINK("https://tessa.gazprom-neft.local/edo/card/a464f8ed-1a2b-425a-a2fb-be3dc76208f0", "https://tessa.gazprom-neft.local/edo/card/a464f8ed-1a2b-425a-a2fb-be3dc76208f0")</f>
        <v>https://tessa.gazprom-neft.local/edo/card/a464f8ed-1a2b-425a-a2fb-be3dc76208f0</v>
      </c>
    </row>
    <row r="2942" spans="1:45" x14ac:dyDescent="0.25">
      <c r="A2942" t="s">
        <v>44</v>
      </c>
      <c r="B2942" t="s">
        <v>1925</v>
      </c>
      <c r="C2942" t="s">
        <v>67</v>
      </c>
      <c r="F2942" s="18" t="s">
        <v>1926</v>
      </c>
      <c r="G2942" t="s">
        <v>1927</v>
      </c>
      <c r="H2942" t="s">
        <v>8067</v>
      </c>
      <c r="I2942" t="s">
        <v>0</v>
      </c>
      <c r="J2942" t="s">
        <v>51</v>
      </c>
      <c r="K2942" t="s">
        <v>47</v>
      </c>
      <c r="L2942" t="s">
        <v>48</v>
      </c>
      <c r="M2942" t="s">
        <v>0</v>
      </c>
      <c r="N2942" t="s">
        <v>10657</v>
      </c>
      <c r="O2942" t="s">
        <v>0</v>
      </c>
      <c r="P2942" t="s">
        <v>10658</v>
      </c>
      <c r="Q2942" t="s">
        <v>10659</v>
      </c>
      <c r="R2942" t="s">
        <v>1924</v>
      </c>
      <c r="S2942" t="s">
        <v>1924</v>
      </c>
      <c r="T2942" t="s">
        <v>10217</v>
      </c>
      <c r="U2942" t="s">
        <v>73</v>
      </c>
      <c r="V2942" t="s">
        <v>864</v>
      </c>
      <c r="W2942" t="s">
        <v>74</v>
      </c>
      <c r="X2942" t="s">
        <v>103</v>
      </c>
      <c r="AA2942" t="s">
        <v>865</v>
      </c>
      <c r="AB2942" t="s">
        <v>366</v>
      </c>
      <c r="AC2942" t="s">
        <v>278</v>
      </c>
      <c r="AD2942" t="s">
        <v>367</v>
      </c>
      <c r="AE2942" t="s">
        <v>82</v>
      </c>
      <c r="AF2942" t="s">
        <v>0</v>
      </c>
      <c r="AG2942" t="s">
        <v>0</v>
      </c>
      <c r="AH2942" s="1" t="s">
        <v>14511</v>
      </c>
      <c r="AI2942" s="1" t="s">
        <v>14512</v>
      </c>
      <c r="AJ2942" s="1" t="s">
        <v>14513</v>
      </c>
      <c r="AK2942" t="s">
        <v>61</v>
      </c>
      <c r="AL2942" t="s">
        <v>61</v>
      </c>
      <c r="AM2942" t="s">
        <v>0</v>
      </c>
      <c r="AN2942" t="s">
        <v>0</v>
      </c>
      <c r="AO2942" t="s">
        <v>0</v>
      </c>
      <c r="AP2942" t="s">
        <v>0</v>
      </c>
      <c r="AQ2942" t="s">
        <v>0</v>
      </c>
      <c r="AR2942" t="s">
        <v>61</v>
      </c>
      <c r="AS2942" t="str">
        <f>HYPERLINK("https://tessa.gazprom-neft.local/edo/card/a2686e5f-139b-4fb4-a129-76fcde56bd61", "https://tessa.gazprom-neft.local/edo/card/a2686e5f-139b-4fb4-a129-76fcde56bd61")</f>
        <v>https://tessa.gazprom-neft.local/edo/card/a2686e5f-139b-4fb4-a129-76fcde56bd61</v>
      </c>
    </row>
    <row r="2943" spans="1:45" x14ac:dyDescent="0.25">
      <c r="A2943" t="s">
        <v>44</v>
      </c>
      <c r="B2943" t="s">
        <v>436</v>
      </c>
      <c r="C2943" t="s">
        <v>67</v>
      </c>
      <c r="F2943" s="18" t="s">
        <v>437</v>
      </c>
      <c r="G2943" t="s">
        <v>438</v>
      </c>
      <c r="H2943" t="s">
        <v>10661</v>
      </c>
      <c r="I2943" t="s">
        <v>0</v>
      </c>
      <c r="J2943" t="s">
        <v>2616</v>
      </c>
      <c r="K2943" t="s">
        <v>47</v>
      </c>
      <c r="L2943" t="s">
        <v>48</v>
      </c>
      <c r="M2943" t="s">
        <v>0</v>
      </c>
      <c r="N2943" t="s">
        <v>10660</v>
      </c>
      <c r="O2943" t="s">
        <v>0</v>
      </c>
      <c r="P2943" t="s">
        <v>10662</v>
      </c>
      <c r="Q2943" t="s">
        <v>1726</v>
      </c>
      <c r="R2943" t="s">
        <v>1586</v>
      </c>
      <c r="S2943" t="s">
        <v>1586</v>
      </c>
      <c r="T2943" t="s">
        <v>10217</v>
      </c>
      <c r="U2943" t="s">
        <v>428</v>
      </c>
      <c r="V2943" t="s">
        <v>340</v>
      </c>
      <c r="W2943" t="s">
        <v>74</v>
      </c>
      <c r="X2943" t="s">
        <v>58</v>
      </c>
      <c r="AA2943" t="s">
        <v>341</v>
      </c>
      <c r="AB2943" t="s">
        <v>2618</v>
      </c>
      <c r="AC2943" t="s">
        <v>10663</v>
      </c>
      <c r="AD2943" t="s">
        <v>80</v>
      </c>
      <c r="AE2943" t="s">
        <v>118</v>
      </c>
      <c r="AF2943" t="s">
        <v>0</v>
      </c>
      <c r="AG2943" t="s">
        <v>0</v>
      </c>
      <c r="AH2943" s="1" t="s">
        <v>14514</v>
      </c>
      <c r="AI2943" s="1" t="s">
        <v>14514</v>
      </c>
      <c r="AJ2943" s="1">
        <v>0</v>
      </c>
      <c r="AK2943" t="s">
        <v>61</v>
      </c>
      <c r="AL2943" t="s">
        <v>61</v>
      </c>
      <c r="AM2943" t="s">
        <v>0</v>
      </c>
      <c r="AN2943" t="s">
        <v>0</v>
      </c>
      <c r="AO2943" t="s">
        <v>0</v>
      </c>
      <c r="AP2943" t="s">
        <v>0</v>
      </c>
      <c r="AQ2943" t="s">
        <v>0</v>
      </c>
      <c r="AR2943" t="s">
        <v>61</v>
      </c>
      <c r="AS2943" t="str">
        <f>HYPERLINK("https://tessa.gazprom-neft.local/edo/card/c037fa24-e615-44d5-9d7b-e356013ca738", "https://tessa.gazprom-neft.local/edo/card/c037fa24-e615-44d5-9d7b-e356013ca738")</f>
        <v>https://tessa.gazprom-neft.local/edo/card/c037fa24-e615-44d5-9d7b-e356013ca738</v>
      </c>
    </row>
    <row r="2944" spans="1:45" hidden="1" x14ac:dyDescent="0.25">
      <c r="A2944" t="s">
        <v>44</v>
      </c>
      <c r="B2944" t="s">
        <v>1684</v>
      </c>
      <c r="C2944" t="s">
        <v>4861</v>
      </c>
      <c r="F2944" s="18" t="s">
        <v>1685</v>
      </c>
      <c r="G2944" t="s">
        <v>1686</v>
      </c>
      <c r="H2944" t="s">
        <v>0</v>
      </c>
      <c r="I2944" t="s">
        <v>0</v>
      </c>
      <c r="J2944" t="s">
        <v>0</v>
      </c>
      <c r="K2944" t="s">
        <v>47</v>
      </c>
      <c r="L2944" t="s">
        <v>86</v>
      </c>
      <c r="M2944" t="s">
        <v>0</v>
      </c>
      <c r="N2944" t="s">
        <v>10664</v>
      </c>
      <c r="O2944" t="s">
        <v>0</v>
      </c>
      <c r="P2944" t="s">
        <v>10665</v>
      </c>
      <c r="Q2944" t="s">
        <v>9960</v>
      </c>
      <c r="R2944" t="s">
        <v>519</v>
      </c>
      <c r="S2944" t="s">
        <v>519</v>
      </c>
      <c r="T2944" t="s">
        <v>10217</v>
      </c>
      <c r="U2944" t="s">
        <v>362</v>
      </c>
      <c r="V2944" t="s">
        <v>295</v>
      </c>
      <c r="W2944" t="s">
        <v>57</v>
      </c>
      <c r="X2944" t="s">
        <v>103</v>
      </c>
      <c r="AA2944" t="s">
        <v>296</v>
      </c>
      <c r="AB2944" t="s">
        <v>130</v>
      </c>
      <c r="AC2944" t="s">
        <v>65</v>
      </c>
      <c r="AD2944" t="s">
        <v>0</v>
      </c>
      <c r="AE2944" t="s">
        <v>0</v>
      </c>
      <c r="AF2944" t="s">
        <v>0</v>
      </c>
      <c r="AG2944" t="s">
        <v>0</v>
      </c>
      <c r="AH2944" s="1" t="s">
        <v>0</v>
      </c>
      <c r="AI2944" s="1" t="s">
        <v>0</v>
      </c>
      <c r="AJ2944" s="1" t="s">
        <v>0</v>
      </c>
      <c r="AK2944" t="s">
        <v>61</v>
      </c>
      <c r="AL2944" t="s">
        <v>61</v>
      </c>
      <c r="AM2944" t="s">
        <v>0</v>
      </c>
      <c r="AN2944" t="s">
        <v>0</v>
      </c>
      <c r="AO2944" t="s">
        <v>0</v>
      </c>
      <c r="AP2944" t="s">
        <v>0</v>
      </c>
      <c r="AQ2944" t="s">
        <v>0</v>
      </c>
      <c r="AR2944" t="s">
        <v>61</v>
      </c>
      <c r="AS2944" t="str">
        <f>HYPERLINK("https://tessa.gazprom-neft.local/edo/card/66e26cac-8801-41fd-b19b-94480ae8d121", "https://tessa.gazprom-neft.local/edo/card/66e26cac-8801-41fd-b19b-94480ae8d121")</f>
        <v>https://tessa.gazprom-neft.local/edo/card/66e26cac-8801-41fd-b19b-94480ae8d121</v>
      </c>
    </row>
    <row r="2945" spans="1:45" x14ac:dyDescent="0.25">
      <c r="A2945" t="s">
        <v>44</v>
      </c>
      <c r="B2945" t="s">
        <v>1640</v>
      </c>
      <c r="C2945" t="s">
        <v>67</v>
      </c>
      <c r="F2945" s="18" t="s">
        <v>1641</v>
      </c>
      <c r="G2945" t="s">
        <v>1642</v>
      </c>
      <c r="H2945" t="s">
        <v>1801</v>
      </c>
      <c r="I2945" t="s">
        <v>0</v>
      </c>
      <c r="J2945" t="s">
        <v>355</v>
      </c>
      <c r="K2945" t="s">
        <v>47</v>
      </c>
      <c r="L2945" t="s">
        <v>48</v>
      </c>
      <c r="M2945" t="s">
        <v>0</v>
      </c>
      <c r="N2945" t="s">
        <v>10666</v>
      </c>
      <c r="O2945" t="s">
        <v>0</v>
      </c>
      <c r="P2945" t="s">
        <v>10667</v>
      </c>
      <c r="Q2945" t="s">
        <v>10668</v>
      </c>
      <c r="R2945" t="s">
        <v>1083</v>
      </c>
      <c r="S2945" t="s">
        <v>10669</v>
      </c>
      <c r="T2945" t="s">
        <v>10217</v>
      </c>
      <c r="U2945" t="s">
        <v>1043</v>
      </c>
      <c r="V2945" t="s">
        <v>723</v>
      </c>
      <c r="W2945" t="s">
        <v>57</v>
      </c>
      <c r="X2945" t="s">
        <v>103</v>
      </c>
      <c r="AA2945" t="s">
        <v>1031</v>
      </c>
      <c r="AB2945" t="s">
        <v>64</v>
      </c>
      <c r="AC2945" t="s">
        <v>278</v>
      </c>
      <c r="AD2945" t="s">
        <v>80</v>
      </c>
      <c r="AE2945" t="s">
        <v>82</v>
      </c>
      <c r="AF2945" t="s">
        <v>0</v>
      </c>
      <c r="AG2945" t="s">
        <v>0</v>
      </c>
      <c r="AH2945" s="1" t="s">
        <v>14515</v>
      </c>
      <c r="AI2945" s="1" t="s">
        <v>14516</v>
      </c>
      <c r="AJ2945" s="1" t="s">
        <v>14517</v>
      </c>
      <c r="AK2945" t="s">
        <v>61</v>
      </c>
      <c r="AL2945" t="s">
        <v>61</v>
      </c>
      <c r="AM2945" t="s">
        <v>0</v>
      </c>
      <c r="AN2945" t="s">
        <v>0</v>
      </c>
      <c r="AO2945" t="s">
        <v>0</v>
      </c>
      <c r="AP2945" t="s">
        <v>0</v>
      </c>
      <c r="AQ2945" t="s">
        <v>0</v>
      </c>
      <c r="AR2945" t="s">
        <v>61</v>
      </c>
      <c r="AS2945" t="str">
        <f>HYPERLINK("https://tessa.gazprom-neft.local/edo/card/7fcfdadf-86a7-4e61-9472-b96b7c23fd30", "https://tessa.gazprom-neft.local/edo/card/7fcfdadf-86a7-4e61-9472-b96b7c23fd30")</f>
        <v>https://tessa.gazprom-neft.local/edo/card/7fcfdadf-86a7-4e61-9472-b96b7c23fd30</v>
      </c>
    </row>
    <row r="2946" spans="1:45" hidden="1" x14ac:dyDescent="0.25">
      <c r="A2946" t="s">
        <v>44</v>
      </c>
      <c r="B2946" t="s">
        <v>436</v>
      </c>
      <c r="C2946" t="s">
        <v>67</v>
      </c>
      <c r="F2946" s="18" t="s">
        <v>437</v>
      </c>
      <c r="G2946" t="s">
        <v>438</v>
      </c>
      <c r="H2946" t="s">
        <v>483</v>
      </c>
      <c r="I2946" t="s">
        <v>0</v>
      </c>
      <c r="J2946" t="s">
        <v>355</v>
      </c>
      <c r="K2946" t="s">
        <v>47</v>
      </c>
      <c r="L2946" t="s">
        <v>239</v>
      </c>
      <c r="M2946" t="s">
        <v>0</v>
      </c>
      <c r="N2946" t="s">
        <v>10670</v>
      </c>
      <c r="O2946" t="s">
        <v>0</v>
      </c>
      <c r="P2946" t="s">
        <v>10671</v>
      </c>
      <c r="Q2946" t="s">
        <v>10672</v>
      </c>
      <c r="R2946" t="s">
        <v>1083</v>
      </c>
      <c r="S2946" t="s">
        <v>1519</v>
      </c>
      <c r="T2946" t="s">
        <v>10217</v>
      </c>
      <c r="U2946" t="s">
        <v>55</v>
      </c>
      <c r="V2946" t="s">
        <v>56</v>
      </c>
      <c r="W2946" t="s">
        <v>74</v>
      </c>
      <c r="X2946" t="s">
        <v>103</v>
      </c>
      <c r="AA2946" t="s">
        <v>0</v>
      </c>
      <c r="AB2946" t="s">
        <v>64</v>
      </c>
      <c r="AC2946" t="s">
        <v>278</v>
      </c>
      <c r="AD2946" t="s">
        <v>144</v>
      </c>
      <c r="AE2946" t="s">
        <v>82</v>
      </c>
      <c r="AF2946" t="s">
        <v>0</v>
      </c>
      <c r="AG2946" t="s">
        <v>0</v>
      </c>
      <c r="AH2946" s="1" t="s">
        <v>14518</v>
      </c>
      <c r="AI2946" s="1" t="s">
        <v>14519</v>
      </c>
      <c r="AJ2946" s="1" t="s">
        <v>14520</v>
      </c>
      <c r="AK2946" t="s">
        <v>61</v>
      </c>
      <c r="AL2946" t="s">
        <v>61</v>
      </c>
      <c r="AM2946" t="s">
        <v>0</v>
      </c>
      <c r="AN2946" t="s">
        <v>0</v>
      </c>
      <c r="AO2946" t="s">
        <v>0</v>
      </c>
      <c r="AP2946" t="s">
        <v>0</v>
      </c>
      <c r="AQ2946" t="s">
        <v>0</v>
      </c>
      <c r="AR2946" t="s">
        <v>61</v>
      </c>
      <c r="AS2946" t="str">
        <f>HYPERLINK("https://tessa.gazprom-neft.local/edo/card/59518d93-b467-489e-9850-824390dfcc82", "https://tessa.gazprom-neft.local/edo/card/59518d93-b467-489e-9850-824390dfcc82")</f>
        <v>https://tessa.gazprom-neft.local/edo/card/59518d93-b467-489e-9850-824390dfcc82</v>
      </c>
    </row>
    <row r="2947" spans="1:45" x14ac:dyDescent="0.25">
      <c r="A2947" t="s">
        <v>44</v>
      </c>
      <c r="B2947" t="s">
        <v>1640</v>
      </c>
      <c r="C2947" t="s">
        <v>67</v>
      </c>
      <c r="F2947" s="18" t="s">
        <v>1641</v>
      </c>
      <c r="G2947" t="s">
        <v>1642</v>
      </c>
      <c r="H2947" t="s">
        <v>10674</v>
      </c>
      <c r="I2947" t="s">
        <v>0</v>
      </c>
      <c r="J2947" t="s">
        <v>872</v>
      </c>
      <c r="K2947" t="s">
        <v>47</v>
      </c>
      <c r="L2947" t="s">
        <v>48</v>
      </c>
      <c r="M2947" t="s">
        <v>0</v>
      </c>
      <c r="N2947" t="s">
        <v>10673</v>
      </c>
      <c r="O2947" t="s">
        <v>0</v>
      </c>
      <c r="P2947" t="s">
        <v>10675</v>
      </c>
      <c r="Q2947" t="s">
        <v>10676</v>
      </c>
      <c r="R2947" t="s">
        <v>1083</v>
      </c>
      <c r="S2947" t="s">
        <v>8025</v>
      </c>
      <c r="T2947" t="s">
        <v>10217</v>
      </c>
      <c r="U2947" t="s">
        <v>1792</v>
      </c>
      <c r="V2947" t="s">
        <v>846</v>
      </c>
      <c r="W2947" t="s">
        <v>57</v>
      </c>
      <c r="X2947" t="s">
        <v>103</v>
      </c>
      <c r="AA2947" t="s">
        <v>847</v>
      </c>
      <c r="AB2947" t="s">
        <v>64</v>
      </c>
      <c r="AC2947" t="s">
        <v>278</v>
      </c>
      <c r="AD2947" t="s">
        <v>80</v>
      </c>
      <c r="AE2947" t="s">
        <v>82</v>
      </c>
      <c r="AF2947" t="s">
        <v>0</v>
      </c>
      <c r="AG2947" t="s">
        <v>0</v>
      </c>
      <c r="AH2947" s="1" t="s">
        <v>14521</v>
      </c>
      <c r="AI2947" s="1" t="s">
        <v>14522</v>
      </c>
      <c r="AJ2947" s="1" t="s">
        <v>14523</v>
      </c>
      <c r="AK2947" t="s">
        <v>61</v>
      </c>
      <c r="AL2947" t="s">
        <v>61</v>
      </c>
      <c r="AM2947" t="s">
        <v>0</v>
      </c>
      <c r="AN2947" t="s">
        <v>0</v>
      </c>
      <c r="AO2947" t="s">
        <v>0</v>
      </c>
      <c r="AP2947" t="s">
        <v>0</v>
      </c>
      <c r="AQ2947" t="s">
        <v>0</v>
      </c>
      <c r="AR2947" t="s">
        <v>61</v>
      </c>
      <c r="AS2947" t="str">
        <f>HYPERLINK("https://tessa.gazprom-neft.local/edo/card/53c510a7-f772-4205-ad69-68efb63113b7", "https://tessa.gazprom-neft.local/edo/card/53c510a7-f772-4205-ad69-68efb63113b7")</f>
        <v>https://tessa.gazprom-neft.local/edo/card/53c510a7-f772-4205-ad69-68efb63113b7</v>
      </c>
    </row>
    <row r="2948" spans="1:45" x14ac:dyDescent="0.25">
      <c r="A2948" t="s">
        <v>44</v>
      </c>
      <c r="B2948" t="s">
        <v>297</v>
      </c>
      <c r="C2948" t="s">
        <v>67</v>
      </c>
      <c r="F2948" s="18" t="s">
        <v>298</v>
      </c>
      <c r="G2948" t="s">
        <v>299</v>
      </c>
      <c r="H2948" t="s">
        <v>3896</v>
      </c>
      <c r="I2948" t="s">
        <v>0</v>
      </c>
      <c r="J2948" t="s">
        <v>51</v>
      </c>
      <c r="K2948" t="s">
        <v>47</v>
      </c>
      <c r="L2948" t="s">
        <v>48</v>
      </c>
      <c r="M2948" t="s">
        <v>0</v>
      </c>
      <c r="N2948" t="s">
        <v>10677</v>
      </c>
      <c r="O2948" t="s">
        <v>0</v>
      </c>
      <c r="P2948" t="s">
        <v>10678</v>
      </c>
      <c r="Q2948" t="s">
        <v>10679</v>
      </c>
      <c r="R2948" t="s">
        <v>799</v>
      </c>
      <c r="S2948" t="s">
        <v>0</v>
      </c>
      <c r="T2948" t="s">
        <v>10217</v>
      </c>
      <c r="U2948" t="s">
        <v>55</v>
      </c>
      <c r="V2948" t="s">
        <v>56</v>
      </c>
      <c r="W2948" t="s">
        <v>74</v>
      </c>
      <c r="X2948" t="s">
        <v>103</v>
      </c>
      <c r="AA2948" t="s">
        <v>59</v>
      </c>
      <c r="AB2948" t="s">
        <v>130</v>
      </c>
      <c r="AC2948" t="s">
        <v>278</v>
      </c>
      <c r="AD2948" t="s">
        <v>80</v>
      </c>
      <c r="AE2948" t="s">
        <v>82</v>
      </c>
      <c r="AF2948" t="s">
        <v>0</v>
      </c>
      <c r="AG2948" t="s">
        <v>0</v>
      </c>
      <c r="AH2948" s="1" t="s">
        <v>14524</v>
      </c>
      <c r="AI2948" s="1" t="s">
        <v>14525</v>
      </c>
      <c r="AJ2948" s="1" t="s">
        <v>14526</v>
      </c>
      <c r="AK2948" t="s">
        <v>61</v>
      </c>
      <c r="AL2948" t="s">
        <v>61</v>
      </c>
      <c r="AM2948" t="s">
        <v>0</v>
      </c>
      <c r="AN2948" t="s">
        <v>0</v>
      </c>
      <c r="AO2948" t="s">
        <v>0</v>
      </c>
      <c r="AP2948" t="s">
        <v>0</v>
      </c>
      <c r="AQ2948" t="s">
        <v>0</v>
      </c>
      <c r="AR2948" t="s">
        <v>61</v>
      </c>
      <c r="AS2948" t="str">
        <f>HYPERLINK("https://tessa.gazprom-neft.local/edo/card/f95b2fee-a783-414a-9902-be21e5e31bf6", "https://tessa.gazprom-neft.local/edo/card/f95b2fee-a783-414a-9902-be21e5e31bf6")</f>
        <v>https://tessa.gazprom-neft.local/edo/card/f95b2fee-a783-414a-9902-be21e5e31bf6</v>
      </c>
    </row>
    <row r="2949" spans="1:45" x14ac:dyDescent="0.25">
      <c r="A2949" t="s">
        <v>44</v>
      </c>
      <c r="B2949" t="s">
        <v>1640</v>
      </c>
      <c r="C2949" t="s">
        <v>67</v>
      </c>
      <c r="F2949" s="18" t="s">
        <v>1641</v>
      </c>
      <c r="G2949" t="s">
        <v>1642</v>
      </c>
      <c r="H2949" t="s">
        <v>10601</v>
      </c>
      <c r="I2949" t="s">
        <v>0</v>
      </c>
      <c r="J2949" t="s">
        <v>271</v>
      </c>
      <c r="K2949" t="s">
        <v>47</v>
      </c>
      <c r="L2949" t="s">
        <v>48</v>
      </c>
      <c r="M2949" t="s">
        <v>0</v>
      </c>
      <c r="N2949" t="s">
        <v>10680</v>
      </c>
      <c r="O2949" t="s">
        <v>0</v>
      </c>
      <c r="P2949" t="s">
        <v>10681</v>
      </c>
      <c r="Q2949" t="s">
        <v>10682</v>
      </c>
      <c r="R2949" t="s">
        <v>1083</v>
      </c>
      <c r="S2949" t="s">
        <v>1638</v>
      </c>
      <c r="T2949" t="s">
        <v>10217</v>
      </c>
      <c r="U2949" t="s">
        <v>1792</v>
      </c>
      <c r="V2949" t="s">
        <v>846</v>
      </c>
      <c r="W2949" t="s">
        <v>74</v>
      </c>
      <c r="X2949" t="s">
        <v>103</v>
      </c>
      <c r="AA2949" t="s">
        <v>847</v>
      </c>
      <c r="AB2949" t="s">
        <v>64</v>
      </c>
      <c r="AC2949" t="s">
        <v>278</v>
      </c>
      <c r="AD2949" t="s">
        <v>144</v>
      </c>
      <c r="AE2949" t="s">
        <v>82</v>
      </c>
      <c r="AF2949" t="s">
        <v>0</v>
      </c>
      <c r="AG2949" t="s">
        <v>0</v>
      </c>
      <c r="AH2949" s="1" t="s">
        <v>14527</v>
      </c>
      <c r="AI2949" s="1" t="s">
        <v>14528</v>
      </c>
      <c r="AJ2949" s="1" t="s">
        <v>14529</v>
      </c>
      <c r="AK2949" t="s">
        <v>61</v>
      </c>
      <c r="AL2949" t="s">
        <v>61</v>
      </c>
      <c r="AM2949" t="s">
        <v>0</v>
      </c>
      <c r="AN2949" t="s">
        <v>0</v>
      </c>
      <c r="AO2949" t="s">
        <v>0</v>
      </c>
      <c r="AP2949" t="s">
        <v>0</v>
      </c>
      <c r="AQ2949" t="s">
        <v>0</v>
      </c>
      <c r="AR2949" t="s">
        <v>61</v>
      </c>
      <c r="AS2949" t="str">
        <f>HYPERLINK("https://tessa.gazprom-neft.local/edo/card/9d4791cc-7ca9-4c8e-bfc4-24129dbfcaa7", "https://tessa.gazprom-neft.local/edo/card/9d4791cc-7ca9-4c8e-bfc4-24129dbfcaa7")</f>
        <v>https://tessa.gazprom-neft.local/edo/card/9d4791cc-7ca9-4c8e-bfc4-24129dbfcaa7</v>
      </c>
    </row>
    <row r="2950" spans="1:45" hidden="1" x14ac:dyDescent="0.25">
      <c r="A2950" t="s">
        <v>44</v>
      </c>
      <c r="B2950" t="s">
        <v>793</v>
      </c>
      <c r="C2950" t="s">
        <v>67</v>
      </c>
      <c r="F2950" s="18" t="s">
        <v>794</v>
      </c>
      <c r="G2950" t="s">
        <v>795</v>
      </c>
      <c r="H2950" t="s">
        <v>0</v>
      </c>
      <c r="I2950" t="s">
        <v>10255</v>
      </c>
      <c r="J2950" t="s">
        <v>10255</v>
      </c>
      <c r="K2950" t="s">
        <v>85</v>
      </c>
      <c r="L2950" t="s">
        <v>96</v>
      </c>
      <c r="M2950" t="s">
        <v>398</v>
      </c>
      <c r="N2950" t="s">
        <v>10683</v>
      </c>
      <c r="O2950" t="s">
        <v>0</v>
      </c>
      <c r="P2950" t="s">
        <v>10684</v>
      </c>
      <c r="Q2950" t="s">
        <v>10517</v>
      </c>
      <c r="R2950" t="s">
        <v>361</v>
      </c>
      <c r="S2950" t="s">
        <v>361</v>
      </c>
      <c r="T2950" t="s">
        <v>10217</v>
      </c>
      <c r="U2950" t="s">
        <v>362</v>
      </c>
      <c r="V2950" t="s">
        <v>295</v>
      </c>
      <c r="W2950" t="s">
        <v>74</v>
      </c>
      <c r="X2950" t="s">
        <v>103</v>
      </c>
      <c r="AA2950" t="s">
        <v>296</v>
      </c>
      <c r="AB2950" t="s">
        <v>366</v>
      </c>
      <c r="AC2950" t="s">
        <v>278</v>
      </c>
      <c r="AD2950" t="s">
        <v>367</v>
      </c>
      <c r="AE2950" t="s">
        <v>82</v>
      </c>
      <c r="AF2950" t="s">
        <v>0</v>
      </c>
      <c r="AG2950" t="s">
        <v>0</v>
      </c>
      <c r="AH2950" s="1" t="s">
        <v>14530</v>
      </c>
      <c r="AI2950" s="1" t="s">
        <v>14531</v>
      </c>
      <c r="AJ2950" s="1" t="s">
        <v>14532</v>
      </c>
      <c r="AK2950" t="s">
        <v>61</v>
      </c>
      <c r="AL2950" t="s">
        <v>61</v>
      </c>
      <c r="AM2950" t="s">
        <v>0</v>
      </c>
      <c r="AN2950" t="s">
        <v>0</v>
      </c>
      <c r="AO2950" t="s">
        <v>0</v>
      </c>
      <c r="AP2950" t="s">
        <v>0</v>
      </c>
      <c r="AQ2950" t="s">
        <v>0</v>
      </c>
      <c r="AR2950" t="s">
        <v>61</v>
      </c>
      <c r="AS2950" t="str">
        <f>HYPERLINK("https://tessa.gazprom-neft.local/edo/card/5c4ed97d-9bbb-44d9-8913-32b2b8212b37", "https://tessa.gazprom-neft.local/edo/card/5c4ed97d-9bbb-44d9-8913-32b2b8212b37")</f>
        <v>https://tessa.gazprom-neft.local/edo/card/5c4ed97d-9bbb-44d9-8913-32b2b8212b37</v>
      </c>
    </row>
    <row r="2951" spans="1:45" hidden="1" x14ac:dyDescent="0.25">
      <c r="A2951" t="s">
        <v>44</v>
      </c>
      <c r="B2951" t="s">
        <v>1684</v>
      </c>
      <c r="C2951" t="s">
        <v>67</v>
      </c>
      <c r="F2951" s="18" t="s">
        <v>1685</v>
      </c>
      <c r="G2951" t="s">
        <v>1686</v>
      </c>
      <c r="H2951" t="s">
        <v>0</v>
      </c>
      <c r="I2951" t="s">
        <v>10239</v>
      </c>
      <c r="J2951" t="s">
        <v>10239</v>
      </c>
      <c r="K2951" t="s">
        <v>47</v>
      </c>
      <c r="L2951" t="s">
        <v>96</v>
      </c>
      <c r="M2951" t="s">
        <v>0</v>
      </c>
      <c r="N2951" t="s">
        <v>10685</v>
      </c>
      <c r="O2951" t="s">
        <v>0</v>
      </c>
      <c r="P2951" t="s">
        <v>10686</v>
      </c>
      <c r="Q2951" t="s">
        <v>10686</v>
      </c>
      <c r="R2951" t="s">
        <v>10241</v>
      </c>
      <c r="S2951" t="s">
        <v>10241</v>
      </c>
      <c r="T2951" t="s">
        <v>10217</v>
      </c>
      <c r="U2951" t="s">
        <v>101</v>
      </c>
      <c r="V2951" t="s">
        <v>168</v>
      </c>
      <c r="W2951" t="s">
        <v>74</v>
      </c>
      <c r="X2951" t="s">
        <v>103</v>
      </c>
      <c r="AA2951" t="s">
        <v>169</v>
      </c>
      <c r="AB2951" t="s">
        <v>366</v>
      </c>
      <c r="AC2951" t="s">
        <v>278</v>
      </c>
      <c r="AD2951" t="s">
        <v>367</v>
      </c>
      <c r="AE2951" t="s">
        <v>82</v>
      </c>
      <c r="AF2951" t="s">
        <v>0</v>
      </c>
      <c r="AG2951" t="s">
        <v>0</v>
      </c>
      <c r="AH2951" s="1" t="s">
        <v>14272</v>
      </c>
      <c r="AI2951" s="1" t="s">
        <v>14273</v>
      </c>
      <c r="AJ2951" s="1" t="s">
        <v>14274</v>
      </c>
      <c r="AK2951" t="s">
        <v>61</v>
      </c>
      <c r="AL2951" t="s">
        <v>61</v>
      </c>
      <c r="AM2951" t="s">
        <v>0</v>
      </c>
      <c r="AN2951" t="s">
        <v>0</v>
      </c>
      <c r="AO2951" t="s">
        <v>0</v>
      </c>
      <c r="AP2951" t="s">
        <v>0</v>
      </c>
      <c r="AQ2951" t="s">
        <v>0</v>
      </c>
      <c r="AR2951" t="s">
        <v>61</v>
      </c>
      <c r="AS2951" t="str">
        <f>HYPERLINK("https://tessa.gazprom-neft.local/edo/card/036ef890-db6a-4b3c-a6f9-76d0877c9907", "https://tessa.gazprom-neft.local/edo/card/036ef890-db6a-4b3c-a6f9-76d0877c9907")</f>
        <v>https://tessa.gazprom-neft.local/edo/card/036ef890-db6a-4b3c-a6f9-76d0877c9907</v>
      </c>
    </row>
    <row r="2952" spans="1:45" hidden="1" x14ac:dyDescent="0.25">
      <c r="A2952" t="s">
        <v>44</v>
      </c>
      <c r="B2952" t="s">
        <v>1684</v>
      </c>
      <c r="C2952" t="s">
        <v>67</v>
      </c>
      <c r="F2952" s="18" t="s">
        <v>1685</v>
      </c>
      <c r="G2952" t="s">
        <v>1686</v>
      </c>
      <c r="H2952" t="s">
        <v>0</v>
      </c>
      <c r="I2952" t="s">
        <v>0</v>
      </c>
      <c r="J2952" t="s">
        <v>51</v>
      </c>
      <c r="K2952" t="s">
        <v>47</v>
      </c>
      <c r="L2952" t="s">
        <v>763</v>
      </c>
      <c r="M2952" t="s">
        <v>0</v>
      </c>
      <c r="N2952" t="s">
        <v>10687</v>
      </c>
      <c r="O2952" t="s">
        <v>0</v>
      </c>
      <c r="P2952" t="s">
        <v>10688</v>
      </c>
      <c r="Q2952" t="s">
        <v>10689</v>
      </c>
      <c r="R2952" t="s">
        <v>349</v>
      </c>
      <c r="S2952" t="s">
        <v>349</v>
      </c>
      <c r="T2952" t="s">
        <v>10217</v>
      </c>
      <c r="U2952" t="s">
        <v>101</v>
      </c>
      <c r="V2952" t="s">
        <v>168</v>
      </c>
      <c r="W2952" t="s">
        <v>57</v>
      </c>
      <c r="X2952" t="s">
        <v>103</v>
      </c>
      <c r="AA2952" t="s">
        <v>0</v>
      </c>
      <c r="AB2952" t="s">
        <v>366</v>
      </c>
      <c r="AC2952" t="s">
        <v>278</v>
      </c>
      <c r="AD2952" t="s">
        <v>367</v>
      </c>
      <c r="AE2952" t="s">
        <v>82</v>
      </c>
      <c r="AF2952" t="s">
        <v>0</v>
      </c>
      <c r="AG2952" t="s">
        <v>0</v>
      </c>
      <c r="AH2952" s="1" t="s">
        <v>14263</v>
      </c>
      <c r="AI2952" s="1" t="s">
        <v>14264</v>
      </c>
      <c r="AJ2952" s="1" t="s">
        <v>14265</v>
      </c>
      <c r="AK2952" t="s">
        <v>61</v>
      </c>
      <c r="AL2952" t="s">
        <v>61</v>
      </c>
      <c r="AM2952" t="s">
        <v>0</v>
      </c>
      <c r="AN2952" t="s">
        <v>0</v>
      </c>
      <c r="AO2952" t="s">
        <v>0</v>
      </c>
      <c r="AP2952" t="s">
        <v>0</v>
      </c>
      <c r="AQ2952" t="s">
        <v>0</v>
      </c>
      <c r="AR2952" t="s">
        <v>61</v>
      </c>
      <c r="AS2952" t="str">
        <f>HYPERLINK("https://tessa.gazprom-neft.local/edo/card/0ad8d6d3-7fe1-4f44-a50d-4755cac05218", "https://tessa.gazprom-neft.local/edo/card/0ad8d6d3-7fe1-4f44-a50d-4755cac05218")</f>
        <v>https://tessa.gazprom-neft.local/edo/card/0ad8d6d3-7fe1-4f44-a50d-4755cac05218</v>
      </c>
    </row>
  </sheetData>
  <autoFilter ref="A1:DI2952">
    <filterColumn colId="11">
      <filters>
        <filter val="Дополнительное соглашение"/>
      </filters>
    </filterColumn>
    <sortState ref="A2:AS2952">
      <sortCondition descending="1" ref="D1"/>
    </sortState>
  </autoFilter>
  <pageMargins left="0.7" right="0.7" top="0.75" bottom="0.75" header="0.3" footer="0.3"/>
  <pageSetup paperSize="0" orientation="portrait" horizontalDpi="300" verticalDpi="300" r:id="rId1"/>
  <ignoredErrors>
    <ignoredError sqref="AA1:AF1 AL1:AS1 M1:X1 A1 AH1:AK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Газпромнефть-ГЕО, ООО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Бурков Артем Константинович</cp:lastModifiedBy>
  <dcterms:created xsi:type="dcterms:W3CDTF">2024-11-01T11:25:27Z</dcterms:created>
  <dcterms:modified xsi:type="dcterms:W3CDTF">2024-11-01T11:28:57Z</dcterms:modified>
</cp:coreProperties>
</file>